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88D8" lockStructure="1"/>
  <bookViews>
    <workbookView visibility="visible" minimized="0" showHorizontalScroll="1" showVerticalScroll="1" showSheetTabs="1" tabRatio="600" firstSheet="0" activeTab="1" autoFilterDateGrouping="1"/>
  </bookViews>
  <sheets>
    <sheet xmlns:r="http://schemas.openxmlformats.org/officeDocument/2006/relationships" name="Hướng dẫn" sheetId="1" state="visible" r:id="rId1"/>
    <sheet xmlns:r="http://schemas.openxmlformats.org/officeDocument/2006/relationships" name="Tổng quan" sheetId="2" state="visible" r:id="rId2"/>
    <sheet xmlns:r="http://schemas.openxmlformats.org/officeDocument/2006/relationships" name="Báo cáo tuần" sheetId="3" state="visible" r:id="rId3"/>
    <sheet xmlns:r="http://schemas.openxmlformats.org/officeDocument/2006/relationships" name="Phản ánh" sheetId="4" state="visible" r:id="rId4"/>
    <sheet xmlns:r="http://schemas.openxmlformats.org/officeDocument/2006/relationships" name="Kế hoạch" sheetId="5" state="visible" r:id="rId5"/>
    <sheet xmlns:r="http://schemas.openxmlformats.org/officeDocument/2006/relationships" name="Nhật ký tiến độ" sheetId="6" state="visible" r:id="rId6"/>
    <sheet xmlns:r="http://schemas.openxmlformats.org/officeDocument/2006/relationships" name="Lời nhắn" sheetId="7" state="visible" r:id="rId7"/>
    <sheet xmlns:r="http://schemas.openxmlformats.org/officeDocument/2006/relationships" name="Danh mục" sheetId="8" state="visible" r:id="rId8"/>
    <sheet xmlns:r="http://schemas.openxmlformats.org/officeDocument/2006/relationships" name="Số liệu" sheetId="9" state="visible" r:id="rId9"/>
  </sheets>
  <definedNames>
    <definedName name="DM_ViTri">'Danh mục'!$B$6:$B$29</definedName>
    <definedName name="DM_Tang">'Danh mục'!$C$6:$C$30</definedName>
    <definedName name="DM_PhanLoai">'Danh mục'!$D$6:$D$13</definedName>
    <definedName name="DM_CapDo">'Danh mục'!$E$6:$E$9</definedName>
    <definedName name="DM_TT_PA">'Danh mục'!$F$6:$F$9</definedName>
    <definedName name="DM_TT_CV">'Danh mục'!$G$6:$G$10</definedName>
    <definedName name="DM_Loai">'Danh mục'!$H$6:$H$7</definedName>
    <definedName name="DM_Nhom">'Danh mục'!$I$6:$I$12</definedName>
    <definedName name="DM_TanSuat">'Danh mục'!$J$6:$J$12</definedName>
    <definedName name="DM_TanSuatNgay">'Danh mục'!$K$6:$K$12</definedName>
    <definedName name="DM_TanSuatThang">'Danh mục'!$L$6:$L$12</definedName>
    <definedName name="DM_TVBQT">OFFSET('Danh mục'!$M$6,0,0,MAX(1,COUNTA('Danh mục'!$M$6:$M$20)),1)</definedName>
    <definedName name="DM_DonVi">OFFSET('Danh mục'!$N$6,0,0,MAX(1,COUNTA('Danh mục'!$N$6:$N$30)),1)</definedName>
    <definedName name="DanhSachMa">OFFSET('Danh mục'!$P$6,0,0,MAX(1,COUNTA('Phản ánh'!$A$6:$A$505)+COUNTA('Kế hoạch'!$A$6:$A$305)),1)</definedName>
    <definedName name="DS_PA">OFFSET('Phản ánh'!$A$6,0,0,MAX(1,COUNTA('Phản ánh'!$A$6:$A$505)),1)</definedName>
    <definedName name="DM_PhuTrach">OFFSET('Danh mục'!$R$6,0,0,MAX(1,COUNTA('Danh mục'!$R$6:$R$17)),1)</definedName>
    <definedName name="DM_ThucHien">OFFSET('Danh mục'!$V$6,0,0,MAX(1,COUNTA('Danh mục'!$V$6:$V$35)),1)</definedName>
    <definedName name="DM_Kenh">OFFSET('Danh mục'!$Z$6,0,0,MAX(1,COUNTA('Danh mục'!$Z$6:$Z$17)),1)</definedName>
    <definedName name="DM_SLA_Cap">'Danh mục'!$AB$6:$AB$9</definedName>
    <definedName name="DM_SLA_Gio">'Danh mục'!$AC$6:$AC$9</definedName>
    <definedName name="DM_DonViTG">'Danh mục'!$AE$6:$AE$7</definedName>
    <definedName name="TDBC">'Tổng quan'!$AH$3</definedName>
    <definedName name="NgayBC">INT('Tổng quan'!$AH$3)</definedName>
    <definedName name="_xlnm.Print_Area" localSheetId="0">'Hướng dẫn'!$A$1:$F$111</definedName>
    <definedName name="_xlnm.Print_Area" localSheetId="1">'Tổng quan'!$A$1:$AP$125</definedName>
    <definedName name="_xlnm.Print_Area" localSheetId="2">'Báo cáo tuần'!$A$1:$H$65</definedName>
    <definedName name="_xlnm.Print_Area" localSheetId="3">OFFSET('Phản ánh'!$A$1,0,0,5+MAX(1,COUNTA('Phản ánh'!$A$6:$A$3005)),33)</definedName>
    <definedName name="_xlnm._FilterDatabase" localSheetId="3" hidden="1">'Phản ánh'!$A$5:$AO$505</definedName>
    <definedName name="_xlnm.Print_Titles" localSheetId="3">'Phản ánh'!$4:$5</definedName>
    <definedName name="_xlnm.Print_Area" localSheetId="4">OFFSET('Kế hoạch'!$A$1,0,0,5+MAX(1,COUNTA('Kế hoạch'!$A$6:$A$3005)),35)</definedName>
    <definedName name="_xlnm._FilterDatabase" localSheetId="4" hidden="1">'Kế hoạch'!$A$5:$BB$305</definedName>
    <definedName name="_xlnm.Print_Titles" localSheetId="4">'Kế hoạch'!$4:$5</definedName>
    <definedName name="_xlnm.Print_Area" localSheetId="5">OFFSET('Nhật ký tiến độ'!$A$1,0,0,5+MAX(1,COUNTA('Nhật ký tiến độ'!$C$6:$C$3005)),13)</definedName>
    <definedName name="_xlnm._FilterDatabase" localSheetId="5" hidden="1">'Nhật ký tiến độ'!$A$5:$R$3005</definedName>
    <definedName name="_xlnm.Print_Titles" localSheetId="5">'Nhật ký tiến độ'!$4:$5</definedName>
    <definedName name="_xlnm._FilterDatabase" localSheetId="6" hidden="1">'Lời nhắn'!$A$5:$K$505</definedName>
    <definedName name="_xlnm.Print_Area" localSheetId="6">'Lời nhắn'!$A$1:$J$65</definedName>
  </definedNames>
  <calcPr calcId="124519" fullCalcOnLoad="1"/>
</workbook>
</file>

<file path=xl/styles.xml><?xml version="1.0" encoding="utf-8"?>
<styleSheet xmlns="http://schemas.openxmlformats.org/spreadsheetml/2006/main">
  <numFmts count="16">
    <numFmt numFmtId="164" formatCode="dd/mm/yyyy hh:mm"/>
    <numFmt numFmtId="165" formatCode="0.##"/>
    <numFmt numFmtId="166" formatCode="dd/mm/yyyy hh:mm;;"/>
    <numFmt numFmtId="167" formatCode="0%;-0%;0%"/>
    <numFmt numFmtId="168" formatCode="0.0"/>
    <numFmt numFmtId="169" formatCode="dd/mm/yyyy"/>
    <numFmt numFmtId="170" formatCode="#,##0;-#,##0;&quot;&quot;"/>
    <numFmt numFmtId="171" formatCode="0.000"/>
    <numFmt numFmtId="172" formatCode="dd/mm/yyyy;;"/>
    <numFmt numFmtId="173" formatCode="dd/mm"/>
    <numFmt numFmtId="174" formatCode="0;-0;&quot;–&quot;"/>
    <numFmt numFmtId="175" formatCode="0;0;;@"/>
    <numFmt numFmtId="176" formatCode="&quot;Tầng &quot;0"/>
    <numFmt numFmtId="177" formatCode="dd/mm hh:mm;;"/>
    <numFmt numFmtId="178" formatCode="dd/mm;;"/>
    <numFmt numFmtId="179" formatCode="#,##0;-#,##0;&quot;–&quot;"/>
  </numFmts>
  <fonts count="70">
    <font>
      <name val="Calibri"/>
      <family val="2"/>
      <color theme="1"/>
      <sz val="11"/>
      <scheme val="minor"/>
    </font>
    <font>
      <name val="Times New Roman"/>
      <b val="1"/>
      <color rgb="00E9CF86"/>
      <sz val="18"/>
    </font>
    <font>
      <name val="Arial"/>
      <color rgb="00F7E9BF"/>
      <sz val="10"/>
    </font>
    <font>
      <name val="Arial"/>
      <i val="1"/>
      <color rgb="005A6A62"/>
      <sz val="9"/>
    </font>
    <font>
      <name val="Arial"/>
      <b val="1"/>
      <color rgb="00FFFFFF"/>
      <sz val="9.5"/>
    </font>
    <font>
      <name val="Arial"/>
      <color rgb="0016231C"/>
      <sz val="9.5"/>
    </font>
    <font>
      <name val="Arial"/>
      <color rgb="005A6A62"/>
      <sz val="9"/>
    </font>
    <font>
      <name val="Arial"/>
      <b val="1"/>
      <color rgb="0016231C"/>
      <sz val="9.5"/>
    </font>
    <font>
      <name val="Arial"/>
      <i val="1"/>
      <color rgb="005A6A62"/>
      <sz val="8.5"/>
    </font>
    <font>
      <name val="Arial"/>
      <b val="1"/>
      <color rgb="0016231C"/>
      <sz val="9"/>
    </font>
    <font>
      <name val="Arial"/>
      <b val="1"/>
      <color rgb="002463AE"/>
      <sz val="11"/>
    </font>
    <font>
      <name val="Arial"/>
      <b val="1"/>
      <color rgb="00FFFFFF"/>
      <sz val="8.5"/>
    </font>
    <font>
      <name val="Arial"/>
      <b val="1"/>
      <color rgb="00FFFFFF"/>
      <sz val="9"/>
    </font>
    <font>
      <name val="Arial"/>
      <b val="1"/>
      <color rgb="0016231C"/>
      <sz val="8"/>
    </font>
    <font>
      <name val="Arial"/>
      <color rgb="005A6A62"/>
      <sz val="8"/>
    </font>
    <font>
      <name val="Arial"/>
      <b val="1"/>
      <color rgb="001C8C84"/>
      <sz val="11"/>
    </font>
    <font>
      <name val="Arial"/>
      <b val="1"/>
      <color rgb="0076479F"/>
      <sz val="11"/>
    </font>
    <font>
      <name val="Arial"/>
      <b val="1"/>
      <color rgb="00C9A443"/>
      <sz val="11"/>
    </font>
    <font>
      <name val="Arial"/>
      <b val="1"/>
      <color rgb="00A07A1C"/>
      <sz val="11"/>
    </font>
    <font>
      <name val="Times New Roman"/>
      <b val="1"/>
      <color rgb="00E9CF86"/>
      <sz val="26"/>
    </font>
    <font>
      <name val="Arial"/>
      <b val="1"/>
      <color rgb="00F7E9BF"/>
      <sz val="12"/>
    </font>
    <font>
      <name val="Arial"/>
      <color rgb="00BFD3C7"/>
      <sz val="9"/>
    </font>
    <font>
      <name val="Arial"/>
      <b val="1"/>
      <color rgb="00C9A443"/>
      <sz val="8.5"/>
    </font>
    <font>
      <name val="Times New Roman"/>
      <b val="1"/>
      <color rgb="00E9CF86"/>
      <sz val="17"/>
    </font>
    <font>
      <name val="Arial"/>
      <color rgb="00D6E4DC"/>
      <sz val="9"/>
    </font>
    <font>
      <name val="Arial"/>
      <b val="1"/>
      <color rgb="0016231C"/>
      <sz val="10.5"/>
    </font>
    <font>
      <name val="Times New Roman"/>
      <b val="1"/>
      <color rgb="000B5A3A"/>
      <sz val="13"/>
    </font>
    <font>
      <name val="Arial"/>
      <b val="1"/>
      <color rgb="005A6A62"/>
      <sz val="7.5"/>
    </font>
    <font>
      <name val="Times New Roman"/>
      <b val="1"/>
      <color rgb="002463AE"/>
      <sz val="28"/>
    </font>
    <font>
      <name val="Times New Roman"/>
      <b val="1"/>
      <color rgb="0016231C"/>
      <sz val="28"/>
    </font>
    <font>
      <name val="Times New Roman"/>
      <b val="1"/>
      <color rgb="000B7A4B"/>
      <sz val="28"/>
    </font>
    <font>
      <name val="Times New Roman"/>
      <b val="1"/>
      <color rgb="00C9A443"/>
      <sz val="28"/>
    </font>
    <font>
      <name val="Times New Roman"/>
      <b val="1"/>
      <color rgb="001C8C84"/>
      <sz val="28"/>
    </font>
    <font>
      <name val="Arial"/>
      <color rgb="0016231C"/>
      <sz val="10"/>
    </font>
    <font>
      <name val="Arial"/>
      <b val="1"/>
      <color rgb="00A8322A"/>
      <sz val="8"/>
    </font>
    <font>
      <name val="Times New Roman"/>
      <b val="1"/>
      <color rgb="00A8322A"/>
      <sz val="10"/>
    </font>
    <font>
      <name val="Times New Roman"/>
      <b val="1"/>
      <color rgb="00C0392B"/>
      <sz val="20"/>
    </font>
    <font>
      <name val="Arial"/>
      <b val="1"/>
      <color rgb="00E9CF86"/>
      <sz val="8"/>
    </font>
    <font>
      <name val="Times New Roman"/>
      <b val="1"/>
      <color rgb="00FFFFFF"/>
      <sz val="10"/>
    </font>
    <font>
      <name val="Times New Roman"/>
      <b val="1"/>
      <color rgb="0016231C"/>
      <sz val="16"/>
    </font>
    <font>
      <name val="Arial"/>
      <b val="1"/>
      <color rgb="005A6A62"/>
      <sz val="8"/>
    </font>
    <font>
      <name val="Times New Roman"/>
      <b val="1"/>
      <color rgb="0016231C"/>
      <sz val="10"/>
    </font>
    <font>
      <name val="Times New Roman"/>
      <b val="1"/>
      <color rgb="007A5A10"/>
      <sz val="14"/>
    </font>
    <font>
      <name val="Arial"/>
      <color rgb="005A6A62"/>
      <sz val="8.5"/>
    </font>
    <font>
      <name val="Arial"/>
      <color rgb="005A6A62"/>
      <sz val="7"/>
    </font>
    <font>
      <name val="Arial"/>
      <b val="1"/>
      <color rgb="00FFFFFF"/>
      <sz val="7.5"/>
    </font>
    <font>
      <name val="Times New Roman"/>
      <b val="1"/>
      <color rgb="000B5A3A"/>
      <sz val="22"/>
    </font>
    <font>
      <name val="Arial"/>
      <b val="1"/>
      <color rgb="00D9771E"/>
      <sz val="8"/>
    </font>
    <font>
      <name val="Arial"/>
      <b val="1"/>
      <color rgb="008A6A10"/>
      <sz val="8"/>
    </font>
    <font>
      <name val="Arial"/>
      <b val="1"/>
      <color rgb="00FFFFFF"/>
      <sz val="8"/>
    </font>
    <font>
      <name val="Arial"/>
      <b val="1"/>
      <color rgb="0016231C"/>
      <sz val="8.5"/>
    </font>
    <font>
      <name val="Arial"/>
      <color rgb="0016231C"/>
      <sz val="8.5"/>
    </font>
    <font>
      <name val="Arial"/>
      <b val="1"/>
      <color rgb="002463AE"/>
      <sz val="8.5"/>
    </font>
    <font>
      <name val="Arial"/>
      <color rgb="0016231C"/>
      <sz val="8"/>
    </font>
    <font>
      <name val="Arial"/>
      <b val="1"/>
      <color rgb="001C8C84"/>
      <sz val="8.5"/>
    </font>
    <font>
      <name val="Times New Roman"/>
      <b val="1"/>
      <color rgb="000B7A4B"/>
      <sz val="20"/>
    </font>
    <font>
      <name val="Arial"/>
      <color rgb="0016231C"/>
      <sz val="9"/>
    </font>
    <font>
      <name val="Arial"/>
      <b val="1"/>
      <i val="1"/>
      <color rgb="005A6A62"/>
      <sz val="8.5"/>
    </font>
    <font>
      <name val="Times New Roman"/>
      <b val="1"/>
      <color rgb="00E9CF86"/>
      <sz val="13"/>
    </font>
    <font>
      <name val="Arial"/>
      <i val="1"/>
      <color rgb="00BFD3C7"/>
      <sz val="8.5"/>
    </font>
    <font>
      <name val="Times New Roman"/>
      <b val="1"/>
      <color rgb="000B5A3A"/>
      <sz val="12"/>
    </font>
    <font>
      <name val="Arial"/>
      <b val="1"/>
      <color rgb="0016231C"/>
      <sz val="10"/>
    </font>
    <font>
      <name val="Times New Roman"/>
      <b val="1"/>
      <color rgb="00E9CF86"/>
      <sz val="22"/>
    </font>
    <font>
      <name val="Arial"/>
      <color rgb="0016231C"/>
      <sz val="10.5"/>
    </font>
    <font>
      <name val="Times New Roman"/>
      <b val="1"/>
      <color rgb="00FFFFFF"/>
      <sz val="11"/>
    </font>
    <font>
      <name val="Times New Roman"/>
      <b val="1"/>
      <color rgb="000B5A3A"/>
      <sz val="14"/>
    </font>
    <font>
      <name val="Arial"/>
      <b val="1"/>
      <color rgb="00FFFFFF"/>
      <sz val="10"/>
    </font>
    <font>
      <name val="Arial"/>
      <b val="1"/>
      <color rgb="00C9A443"/>
      <sz val="10"/>
    </font>
    <font>
      <name val="Times New Roman"/>
      <b val="1"/>
      <color rgb="00F7E9BF"/>
      <sz val="12.5"/>
    </font>
    <font>
      <name val="Times New Roman"/>
      <b val="1"/>
      <color rgb="00063B28"/>
      <sz val="12"/>
    </font>
  </fonts>
  <fills count="29">
    <fill>
      <patternFill/>
    </fill>
    <fill>
      <patternFill patternType="gray125"/>
    </fill>
    <fill>
      <patternFill patternType="solid">
        <fgColor rgb="000B5A3A"/>
        <bgColor rgb="000B5A3A"/>
      </patternFill>
    </fill>
    <fill>
      <patternFill patternType="solid">
        <fgColor rgb="00FFF8E1"/>
        <bgColor rgb="00FFF8E1"/>
      </patternFill>
    </fill>
    <fill>
      <patternFill patternType="solid">
        <fgColor rgb="005A6A62"/>
        <bgColor rgb="005A6A62"/>
      </patternFill>
    </fill>
    <fill>
      <patternFill patternType="solid">
        <fgColor rgb="00F4F6F5"/>
        <bgColor rgb="00F4F6F5"/>
      </patternFill>
    </fill>
    <fill>
      <patternFill patternType="solid">
        <fgColor rgb="002463AE"/>
        <bgColor rgb="002463AE"/>
      </patternFill>
    </fill>
    <fill>
      <patternFill patternType="solid">
        <fgColor rgb="009AA5A0"/>
        <bgColor rgb="009AA5A0"/>
      </patternFill>
    </fill>
    <fill>
      <patternFill patternType="solid">
        <fgColor rgb="00C9D1CC"/>
        <bgColor rgb="00C9D1CC"/>
      </patternFill>
    </fill>
    <fill>
      <patternFill patternType="solid">
        <fgColor rgb="00ECEFED"/>
        <bgColor rgb="00ECEFED"/>
      </patternFill>
    </fill>
    <fill>
      <patternFill patternType="solid">
        <fgColor rgb="001C8C84"/>
        <bgColor rgb="001C8C84"/>
      </patternFill>
    </fill>
    <fill>
      <patternFill patternType="solid">
        <fgColor rgb="0076479F"/>
        <bgColor rgb="0076479F"/>
      </patternFill>
    </fill>
    <fill>
      <patternFill patternType="solid">
        <fgColor rgb="00C9A443"/>
        <bgColor rgb="00C9A443"/>
      </patternFill>
    </fill>
    <fill>
      <patternFill patternType="solid">
        <fgColor rgb="00A07A1C"/>
        <bgColor rgb="00A07A1C"/>
      </patternFill>
    </fill>
    <fill>
      <patternFill patternType="solid">
        <fgColor rgb="00F2F5F3"/>
        <bgColor rgb="00F2F5F3"/>
      </patternFill>
    </fill>
    <fill>
      <patternFill patternType="solid">
        <fgColor rgb="0008482E"/>
        <bgColor rgb="0008482E"/>
      </patternFill>
    </fill>
    <fill>
      <patternFill patternType="solid">
        <fgColor rgb="00DDEFE4"/>
        <bgColor rgb="00DDEFE4"/>
      </patternFill>
    </fill>
    <fill>
      <patternFill patternType="solid">
        <fgColor rgb="00FFFFFF"/>
        <bgColor rgb="00FFFFFF"/>
      </patternFill>
    </fill>
    <fill>
      <patternFill patternType="solid">
        <fgColor rgb="00FCEDEC"/>
        <bgColor rgb="00FCEDEC"/>
      </patternFill>
    </fill>
    <fill>
      <patternFill patternType="solid">
        <fgColor rgb="00EDF2EF"/>
        <bgColor rgb="00EDF2EF"/>
      </patternFill>
    </fill>
    <fill>
      <patternFill patternType="lightVertical">
        <fgColor rgb="002F7A58"/>
        <bgColor rgb="000B5A3A"/>
      </patternFill>
    </fill>
    <fill>
      <patternFill patternType="solid">
        <fgColor rgb="000E4A31"/>
        <bgColor rgb="000E4A31"/>
      </patternFill>
    </fill>
    <fill>
      <patternFill patternType="solid">
        <fgColor rgb="00C0392B"/>
        <bgColor rgb="00C0392B"/>
      </patternFill>
    </fill>
    <fill>
      <patternFill patternType="solid">
        <fgColor rgb="00D9771E"/>
        <bgColor rgb="00D9771E"/>
      </patternFill>
    </fill>
    <fill>
      <patternFill patternType="solid">
        <fgColor rgb="00E9CF86"/>
        <bgColor rgb="00E9CF86"/>
      </patternFill>
    </fill>
    <fill>
      <patternFill patternType="solid">
        <fgColor rgb="00F7FAF8"/>
        <bgColor rgb="00F7FAF8"/>
      </patternFill>
    </fill>
    <fill>
      <patternFill patternType="solid">
        <fgColor rgb="002A6E4E"/>
        <bgColor rgb="002A6E4E"/>
      </patternFill>
    </fill>
    <fill>
      <patternFill patternType="solid">
        <fgColor rgb="007F8C8D"/>
        <bgColor rgb="007F8C8D"/>
      </patternFill>
    </fill>
    <fill>
      <patternFill patternType="solid">
        <fgColor rgb="00F6F2E7"/>
        <bgColor rgb="00F6F2E7"/>
      </patternFill>
    </fill>
  </fills>
  <borders count="79">
    <border>
      <left/>
      <right/>
      <top/>
      <bottom/>
      <diagonal/>
    </border>
    <border>
      <bottom style="thick">
        <color rgb="007F8C8D"/>
      </bottom>
    </border>
    <border>
      <bottom style="thin">
        <color rgb="00DCE4DF"/>
      </bottom>
    </border>
    <border>
      <bottom style="thick">
        <color rgb="002463AE"/>
      </bottom>
    </border>
    <border>
      <left style="thin">
        <color rgb="00FFFFFF"/>
      </left>
      <right style="thin">
        <color rgb="00FFFFFF"/>
      </right>
      <bottom style="medium">
        <color rgb="00C9A443"/>
      </bottom>
    </border>
    <border>
      <left style="thin">
        <color rgb="00E3E9E5"/>
      </left>
      <right style="thin">
        <color rgb="00E3E9E5"/>
      </right>
      <top style="thin">
        <color rgb="00E3E9E5"/>
      </top>
      <bottom style="thin">
        <color rgb="00E3E9E5"/>
      </bottom>
    </border>
    <border>
      <bottom style="thin">
        <color rgb="00E3E9E5"/>
      </bottom>
    </border>
    <border>
      <bottom style="thick">
        <color rgb="001C8C84"/>
      </bottom>
    </border>
    <border>
      <bottom style="thick">
        <color rgb="0076479F"/>
      </bottom>
    </border>
    <border>
      <bottom style="thick">
        <color rgb="009AA5A0"/>
      </bottom>
    </border>
    <border>
      <bottom style="thick">
        <color rgb="00C9A443"/>
      </bottom>
    </border>
    <border>
      <left style="thin">
        <color rgb="00C9A443"/>
      </left>
      <top style="thin">
        <color rgb="00C9A443"/>
      </top>
    </border>
    <border>
      <top style="thin">
        <color rgb="00C9A443"/>
      </top>
    </border>
    <border>
      <right style="thin">
        <color rgb="00C9A443"/>
      </right>
      <top style="thin">
        <color rgb="00C9A443"/>
      </top>
    </border>
    <border>
      <left style="thin">
        <color rgb="00C9A443"/>
      </left>
    </border>
    <border/>
    <border>
      <right style="thin">
        <color rgb="00C9A443"/>
      </right>
    </border>
    <border>
      <left style="thin">
        <color rgb="00C9A443"/>
      </left>
      <bottom style="thin">
        <color rgb="00C9A443"/>
      </bottom>
    </border>
    <border>
      <bottom style="thin">
        <color rgb="00C9A443"/>
      </bottom>
    </border>
    <border>
      <right style="thin">
        <color rgb="00C9A443"/>
      </right>
      <bottom style="thin">
        <color rgb="00C9A443"/>
      </bottom>
    </border>
    <border>
      <bottom style="medium">
        <color rgb="00C9A443"/>
      </bottom>
    </border>
    <border>
      <left style="thick">
        <color rgb="002463AE"/>
      </left>
      <top style="thin">
        <color rgb="00DCE4DF"/>
      </top>
    </border>
    <border>
      <top style="thin">
        <color rgb="00DCE4DF"/>
      </top>
    </border>
    <border>
      <right style="thin">
        <color rgb="00DCE4DF"/>
      </right>
      <top style="thin">
        <color rgb="00DCE4DF"/>
      </top>
    </border>
    <border>
      <left style="thick">
        <color rgb="002463AE"/>
      </left>
    </border>
    <border>
      <right style="thin">
        <color rgb="00DCE4DF"/>
      </right>
    </border>
    <border>
      <left style="thick">
        <color rgb="002463AE"/>
      </left>
      <bottom style="thin">
        <color rgb="00DCE4DF"/>
      </bottom>
    </border>
    <border>
      <right style="thin">
        <color rgb="00DCE4DF"/>
      </right>
      <bottom style="thin">
        <color rgb="00DCE4DF"/>
      </bottom>
    </border>
    <border>
      <left style="thick">
        <color rgb="00C0392B"/>
      </left>
      <top style="thin">
        <color rgb="00DCE4DF"/>
      </top>
    </border>
    <border>
      <left style="thick">
        <color rgb="00C0392B"/>
      </left>
    </border>
    <border>
      <left style="thick">
        <color rgb="00C0392B"/>
      </left>
      <bottom style="thin">
        <color rgb="00DCE4DF"/>
      </bottom>
    </border>
    <border>
      <left style="thick">
        <color rgb="00D9771E"/>
      </left>
      <top style="thin">
        <color rgb="00DCE4DF"/>
      </top>
    </border>
    <border>
      <left style="thick">
        <color rgb="00D9771E"/>
      </left>
    </border>
    <border>
      <left style="thick">
        <color rgb="00D9771E"/>
      </left>
      <bottom style="thin">
        <color rgb="00DCE4DF"/>
      </bottom>
    </border>
    <border>
      <left style="thick">
        <color rgb="000B7A4B"/>
      </left>
      <top style="thin">
        <color rgb="00DCE4DF"/>
      </top>
    </border>
    <border>
      <left style="thick">
        <color rgb="000B7A4B"/>
      </left>
    </border>
    <border>
      <left style="thick">
        <color rgb="000B7A4B"/>
      </left>
      <bottom style="thin">
        <color rgb="00DCE4DF"/>
      </bottom>
    </border>
    <border>
      <left style="thick">
        <color rgb="00C9A443"/>
      </left>
      <top style="thin">
        <color rgb="00DCE4DF"/>
      </top>
    </border>
    <border>
      <left style="thick">
        <color rgb="00C9A443"/>
      </left>
    </border>
    <border>
      <left style="thick">
        <color rgb="00C9A443"/>
      </left>
      <bottom style="thin">
        <color rgb="00DCE4DF"/>
      </bottom>
    </border>
    <border>
      <left style="thick">
        <color rgb="001C8C84"/>
      </left>
      <top style="thin">
        <color rgb="00DCE4DF"/>
      </top>
    </border>
    <border>
      <left style="thick">
        <color rgb="001C8C84"/>
      </left>
    </border>
    <border>
      <left style="thick">
        <color rgb="001C8C84"/>
      </left>
      <bottom style="thin">
        <color rgb="00DCE4DF"/>
      </bottom>
    </border>
    <border>
      <left style="thin">
        <color rgb="00E8B7B2"/>
      </left>
      <top style="thin">
        <color rgb="00E8B7B2"/>
      </top>
    </border>
    <border>
      <top style="thin">
        <color rgb="00E8B7B2"/>
      </top>
    </border>
    <border>
      <right style="thin">
        <color rgb="00E8B7B2"/>
      </right>
      <top style="thin">
        <color rgb="00E8B7B2"/>
      </top>
    </border>
    <border>
      <left style="thin">
        <color rgb="00E8B7B2"/>
      </left>
    </border>
    <border>
      <right style="thin">
        <color rgb="00E8B7B2"/>
      </right>
    </border>
    <border>
      <left style="thin">
        <color rgb="00E8B7B2"/>
      </left>
      <bottom style="thin">
        <color rgb="00E8B7B2"/>
      </bottom>
    </border>
    <border>
      <bottom style="thin">
        <color rgb="00E8B7B2"/>
      </bottom>
    </border>
    <border>
      <right style="thin">
        <color rgb="00E8B7B2"/>
      </right>
      <bottom style="thin">
        <color rgb="00E8B7B2"/>
      </bottom>
    </border>
    <border>
      <left style="thin">
        <color rgb="00DCE4DF"/>
      </left>
      <top style="thin">
        <color rgb="00DCE4DF"/>
      </top>
    </border>
    <border>
      <left style="thin">
        <color rgb="00DCE4DF"/>
      </left>
    </border>
    <border>
      <left style="thin">
        <color rgb="00DCE4DF"/>
      </left>
      <bottom style="thin">
        <color rgb="00DCE4DF"/>
      </bottom>
    </border>
    <border>
      <left style="thin">
        <color rgb="00E9D9A6"/>
      </left>
      <top style="thin">
        <color rgb="00E9D9A6"/>
      </top>
    </border>
    <border>
      <top style="thin">
        <color rgb="00E9D9A6"/>
      </top>
    </border>
    <border>
      <right style="thin">
        <color rgb="00E9D9A6"/>
      </right>
      <top style="thin">
        <color rgb="00E9D9A6"/>
      </top>
    </border>
    <border>
      <left style="thin">
        <color rgb="00E9D9A6"/>
      </left>
    </border>
    <border>
      <right style="thin">
        <color rgb="00E9D9A6"/>
      </right>
    </border>
    <border>
      <left style="thin">
        <color rgb="00E9D9A6"/>
      </left>
      <bottom style="thin">
        <color rgb="00E9D9A6"/>
      </bottom>
    </border>
    <border>
      <bottom style="thin">
        <color rgb="00E9D9A6"/>
      </bottom>
    </border>
    <border>
      <right style="thin">
        <color rgb="00E9D9A6"/>
      </right>
      <bottom style="thin">
        <color rgb="00E9D9A6"/>
      </bottom>
    </border>
    <border>
      <left style="medium">
        <color rgb="0008482E"/>
      </left>
      <top style="medium">
        <color rgb="0008482E"/>
      </top>
      <bottom style="thin">
        <color rgb="002A6E4E"/>
      </bottom>
    </border>
    <border>
      <top style="medium">
        <color rgb="0008482E"/>
      </top>
      <bottom style="thin">
        <color rgb="002A6E4E"/>
      </bottom>
    </border>
    <border>
      <right style="medium">
        <color rgb="0008482E"/>
      </right>
      <top style="medium">
        <color rgb="0008482E"/>
      </top>
      <bottom style="thin">
        <color rgb="002A6E4E"/>
      </bottom>
    </border>
    <border>
      <left style="medium">
        <color rgb="0008482E"/>
      </left>
      <top style="thin">
        <color rgb="002A6E4E"/>
      </top>
      <bottom style="thin">
        <color rgb="002A6E4E"/>
      </bottom>
    </border>
    <border>
      <top style="thin">
        <color rgb="002A6E4E"/>
      </top>
      <bottom style="thin">
        <color rgb="002A6E4E"/>
      </bottom>
    </border>
    <border>
      <right style="medium">
        <color rgb="0008482E"/>
      </right>
      <top style="thin">
        <color rgb="002A6E4E"/>
      </top>
      <bottom style="thin">
        <color rgb="002A6E4E"/>
      </bottom>
    </border>
    <border>
      <left style="medium">
        <color rgb="0008482E"/>
      </left>
      <top style="thin">
        <color rgb="002A6E4E"/>
      </top>
      <bottom style="thick">
        <color rgb="00C9A443"/>
      </bottom>
    </border>
    <border>
      <top style="thin">
        <color rgb="002A6E4E"/>
      </top>
      <bottom style="thick">
        <color rgb="00C9A443"/>
      </bottom>
    </border>
    <border>
      <right style="medium">
        <color rgb="0008482E"/>
      </right>
      <top style="thin">
        <color rgb="002A6E4E"/>
      </top>
      <bottom style="thick">
        <color rgb="00C9A443"/>
      </bottom>
    </border>
    <border>
      <left style="thin">
        <color rgb="0008482E"/>
      </left>
      <right style="thin">
        <color rgb="0008482E"/>
      </right>
      <top style="thin">
        <color rgb="0008482E"/>
      </top>
      <bottom style="thin">
        <color rgb="0008482E"/>
      </bottom>
    </border>
    <border>
      <bottom style="thin">
        <color rgb="00EDF2EF"/>
      </bottom>
    </border>
    <border>
      <left style="thick">
        <color rgb="00C9A443"/>
      </left>
      <top style="thin">
        <color rgb="00DCE4DF"/>
      </top>
      <bottom style="thin">
        <color rgb="00DCE4DF"/>
      </bottom>
    </border>
    <border>
      <top style="thin">
        <color rgb="00DCE4DF"/>
      </top>
      <bottom style="thin">
        <color rgb="00DCE4DF"/>
      </bottom>
    </border>
    <border>
      <right style="thin">
        <color rgb="00DCE4DF"/>
      </right>
      <top style="thin">
        <color rgb="00DCE4DF"/>
      </top>
      <bottom style="thin">
        <color rgb="00DCE4DF"/>
      </bottom>
    </border>
    <border>
      <top style="medium">
        <color rgb="00C9A443"/>
      </top>
    </border>
    <border>
      <left/>
      <right/>
      <top style="medium">
        <color rgb="00C9A443"/>
      </top>
      <bottom/>
      <diagonal/>
    </border>
    <border>
      <left style="thick">
        <color rgb="00B8892B"/>
      </left>
      <right/>
      <top/>
      <bottom/>
      <diagonal/>
    </border>
  </borders>
  <cellStyleXfs count="1">
    <xf numFmtId="0" fontId="0" fillId="0" borderId="0"/>
  </cellStyleXfs>
  <cellXfs count="265">
    <xf numFmtId="0" fontId="0" fillId="0" borderId="0" pivotButton="0" quotePrefix="0" xfId="0"/>
    <xf numFmtId="0" fontId="0" fillId="2" borderId="0" pivotButton="0" quotePrefix="0" xfId="0"/>
    <xf numFmtId="0" fontId="62" fillId="2" borderId="0" applyAlignment="1" pivotButton="0" quotePrefix="0" xfId="0">
      <alignment horizontal="left" vertical="center"/>
    </xf>
    <xf numFmtId="0" fontId="0" fillId="2" borderId="10" pivotButton="0" quotePrefix="0" xfId="0"/>
    <xf numFmtId="0" fontId="2" fillId="2" borderId="10" applyAlignment="1" pivotButton="0" quotePrefix="0" xfId="0">
      <alignment horizontal="left" vertical="center"/>
    </xf>
    <xf numFmtId="0" fontId="0" fillId="0" borderId="10" pivotButton="0" quotePrefix="0" xfId="0"/>
    <xf numFmtId="0" fontId="63" fillId="0" borderId="0" applyAlignment="1" pivotButton="0" quotePrefix="0" xfId="0">
      <alignment horizontal="left" vertical="center" wrapText="1"/>
    </xf>
    <xf numFmtId="0" fontId="64" fillId="12" borderId="0" applyAlignment="1" pivotButton="0" quotePrefix="0" xfId="0">
      <alignment horizontal="center" vertical="center" wrapText="1"/>
    </xf>
    <xf numFmtId="0" fontId="65" fillId="0" borderId="20" applyAlignment="1" pivotButton="0" quotePrefix="0" xfId="0">
      <alignment horizontal="left" vertical="center" indent="1"/>
    </xf>
    <xf numFmtId="0" fontId="0" fillId="0" borderId="20" pivotButton="0" quotePrefix="0" xfId="0"/>
    <xf numFmtId="0" fontId="4" fillId="4" borderId="0" applyAlignment="1" pivotButton="0" quotePrefix="0" xfId="0">
      <alignment horizontal="center" vertical="center" wrapText="1"/>
    </xf>
    <xf numFmtId="0" fontId="66" fillId="12" borderId="2" applyAlignment="1" pivotButton="0" quotePrefix="0" xfId="0">
      <alignment horizontal="center" vertical="center" wrapText="1"/>
    </xf>
    <xf numFmtId="0" fontId="5" fillId="0" borderId="2" applyAlignment="1" pivotButton="0" quotePrefix="0" xfId="0">
      <alignment horizontal="left" vertical="center" wrapText="1" indent="1"/>
    </xf>
    <xf numFmtId="0" fontId="6" fillId="0" borderId="2" applyAlignment="1" pivotButton="0" quotePrefix="0" xfId="0">
      <alignment horizontal="left" vertical="center" wrapText="1" indent="1"/>
    </xf>
    <xf numFmtId="0" fontId="66" fillId="2" borderId="2" applyAlignment="1" pivotButton="0" quotePrefix="0" xfId="0">
      <alignment horizontal="center" vertical="center" wrapText="1"/>
    </xf>
    <xf numFmtId="0" fontId="66" fillId="26" borderId="2" applyAlignment="1" pivotButton="0" quotePrefix="0" xfId="0">
      <alignment horizontal="center" vertical="center" wrapText="1"/>
    </xf>
    <xf numFmtId="0" fontId="66" fillId="6" borderId="2" applyAlignment="1" pivotButton="0" quotePrefix="0" xfId="0">
      <alignment horizontal="center" vertical="center" wrapText="1"/>
    </xf>
    <xf numFmtId="0" fontId="66" fillId="10" borderId="2" applyAlignment="1" pivotButton="0" quotePrefix="0" xfId="0">
      <alignment horizontal="center" vertical="center" wrapText="1"/>
    </xf>
    <xf numFmtId="0" fontId="66" fillId="11" borderId="2" applyAlignment="1" pivotButton="0" quotePrefix="0" xfId="0">
      <alignment horizontal="center" vertical="center" wrapText="1"/>
    </xf>
    <xf numFmtId="0" fontId="66" fillId="13" borderId="2" applyAlignment="1" pivotButton="0" quotePrefix="0" xfId="0">
      <alignment horizontal="center" vertical="center" wrapText="1"/>
    </xf>
    <xf numFmtId="0" fontId="66" fillId="27" borderId="2" applyAlignment="1" pivotButton="0" quotePrefix="0" xfId="0">
      <alignment horizontal="center" vertical="center" wrapText="1"/>
    </xf>
    <xf numFmtId="0" fontId="66" fillId="7" borderId="2" applyAlignment="1" pivotButton="0" quotePrefix="0" xfId="0">
      <alignment horizontal="center" vertical="center" wrapText="1"/>
    </xf>
    <xf numFmtId="0" fontId="67" fillId="0" borderId="0" applyAlignment="1" pivotButton="0" quotePrefix="0" xfId="0">
      <alignment horizontal="center" vertical="top"/>
    </xf>
    <xf numFmtId="0" fontId="33" fillId="0" borderId="0" applyAlignment="1" pivotButton="0" quotePrefix="0" xfId="0">
      <alignment horizontal="left" vertical="top" wrapText="1"/>
    </xf>
    <xf numFmtId="0" fontId="60" fillId="0" borderId="0" applyAlignment="1" pivotButton="0" quotePrefix="0" xfId="0">
      <alignment horizontal="left" vertical="center"/>
    </xf>
    <xf numFmtId="0" fontId="19" fillId="2" borderId="0" applyAlignment="1" pivotButton="0" quotePrefix="0" xfId="0">
      <alignment horizontal="left" vertical="center"/>
    </xf>
    <xf numFmtId="0" fontId="22" fillId="15" borderId="11" applyAlignment="1" pivotButton="0" quotePrefix="0" xfId="0">
      <alignment horizontal="center" vertical="center" wrapText="1"/>
    </xf>
    <xf numFmtId="0" fontId="0" fillId="15" borderId="12" pivotButton="0" quotePrefix="0" xfId="0"/>
    <xf numFmtId="0" fontId="0" fillId="15" borderId="13" pivotButton="0" quotePrefix="0" xfId="0"/>
    <xf numFmtId="164" fontId="23" fillId="15" borderId="14" applyAlignment="1" applyProtection="1" pivotButton="0" quotePrefix="0" xfId="0">
      <alignment horizontal="center" vertical="center" wrapText="1"/>
      <protection locked="0" hidden="0"/>
    </xf>
    <xf numFmtId="0" fontId="0" fillId="15" borderId="15" pivotButton="0" quotePrefix="0" xfId="0"/>
    <xf numFmtId="0" fontId="0" fillId="15" borderId="16" pivotButton="0" quotePrefix="0" xfId="0"/>
    <xf numFmtId="0" fontId="20" fillId="2" borderId="0" applyAlignment="1" pivotButton="0" quotePrefix="0" xfId="0">
      <alignment horizontal="left" vertical="center"/>
    </xf>
    <xf numFmtId="0" fontId="0" fillId="15" borderId="14" pivotButton="0" quotePrefix="0" xfId="0"/>
    <xf numFmtId="0" fontId="21" fillId="2" borderId="0" applyAlignment="1" pivotButton="0" quotePrefix="0" xfId="0">
      <alignment horizontal="left" vertical="center"/>
    </xf>
    <xf numFmtId="0" fontId="24" fillId="15" borderId="17" applyAlignment="1" pivotButton="0" quotePrefix="0" xfId="0">
      <alignment horizontal="center" vertical="center" wrapText="1"/>
    </xf>
    <xf numFmtId="0" fontId="0" fillId="15" borderId="18" pivotButton="0" quotePrefix="0" xfId="0"/>
    <xf numFmtId="0" fontId="0" fillId="15" borderId="19" pivotButton="0" quotePrefix="0" xfId="0"/>
    <xf numFmtId="0" fontId="0" fillId="12" borderId="0" pivotButton="0" quotePrefix="0" xfId="0"/>
    <xf numFmtId="0" fontId="0" fillId="14" borderId="0" pivotButton="0" quotePrefix="0" xfId="0"/>
    <xf numFmtId="0" fontId="25" fillId="16" borderId="0" applyAlignment="1" pivotButton="0" quotePrefix="0" xfId="0">
      <alignment horizontal="left" vertical="center" wrapText="1" indent="1"/>
    </xf>
    <xf numFmtId="0" fontId="0" fillId="16" borderId="0" pivotButton="0" quotePrefix="0" xfId="0"/>
    <xf numFmtId="0" fontId="7" fillId="16" borderId="0" applyAlignment="1" pivotButton="0" quotePrefix="0" xfId="0">
      <alignment horizontal="center" vertical="center" wrapText="1"/>
    </xf>
    <xf numFmtId="0" fontId="14" fillId="0" borderId="0" pivotButton="0" quotePrefix="0" xfId="0"/>
    <xf numFmtId="0" fontId="26" fillId="14" borderId="20" applyAlignment="1" pivotButton="0" quotePrefix="0" xfId="0">
      <alignment horizontal="left" vertical="bottom"/>
    </xf>
    <xf numFmtId="0" fontId="27" fillId="17" borderId="21" applyAlignment="1" pivotButton="0" quotePrefix="0" xfId="0">
      <alignment horizontal="left" vertical="center" wrapText="1" indent="1"/>
    </xf>
    <xf numFmtId="0" fontId="0" fillId="0" borderId="22" pivotButton="0" quotePrefix="0" xfId="0"/>
    <xf numFmtId="0" fontId="0" fillId="0" borderId="23" pivotButton="0" quotePrefix="0" xfId="0"/>
    <xf numFmtId="0" fontId="27" fillId="17" borderId="28" applyAlignment="1" pivotButton="0" quotePrefix="0" xfId="0">
      <alignment horizontal="left" vertical="center" wrapText="1" indent="1"/>
    </xf>
    <xf numFmtId="0" fontId="27" fillId="17" borderId="31" applyAlignment="1" pivotButton="0" quotePrefix="0" xfId="0">
      <alignment horizontal="left" vertical="center" wrapText="1" indent="1"/>
    </xf>
    <xf numFmtId="0" fontId="27" fillId="17" borderId="34" applyAlignment="1" pivotButton="0" quotePrefix="0" xfId="0">
      <alignment horizontal="left" vertical="center" wrapText="1" indent="1"/>
    </xf>
    <xf numFmtId="0" fontId="27" fillId="17" borderId="37" applyAlignment="1" pivotButton="0" quotePrefix="0" xfId="0">
      <alignment horizontal="left" vertical="center" wrapText="1" indent="1"/>
    </xf>
    <xf numFmtId="0" fontId="27" fillId="17" borderId="40" applyAlignment="1" pivotButton="0" quotePrefix="0" xfId="0">
      <alignment horizontal="left" vertical="center" wrapText="1" indent="1"/>
    </xf>
    <xf numFmtId="1" fontId="28" fillId="17" borderId="24" applyAlignment="1" pivotButton="0" quotePrefix="0" xfId="0">
      <alignment horizontal="left" vertical="center" indent="1"/>
    </xf>
    <xf numFmtId="0" fontId="0" fillId="0" borderId="15" pivotButton="0" quotePrefix="0" xfId="0"/>
    <xf numFmtId="0" fontId="0" fillId="0" borderId="25" pivotButton="0" quotePrefix="0" xfId="0"/>
    <xf numFmtId="1" fontId="29" fillId="17" borderId="29" applyAlignment="1" pivotButton="0" quotePrefix="0" xfId="0">
      <alignment horizontal="left" vertical="center" indent="1"/>
    </xf>
    <xf numFmtId="1" fontId="29" fillId="17" borderId="32" applyAlignment="1" pivotButton="0" quotePrefix="0" xfId="0">
      <alignment horizontal="left" vertical="center" indent="1"/>
    </xf>
    <xf numFmtId="9" fontId="30" fillId="17" borderId="35" applyAlignment="1" pivotButton="0" quotePrefix="0" xfId="0">
      <alignment horizontal="left" vertical="center" indent="1"/>
    </xf>
    <xf numFmtId="1" fontId="31" fillId="17" borderId="38" applyAlignment="1" pivotButton="0" quotePrefix="0" xfId="0">
      <alignment horizontal="left" vertical="center" indent="1"/>
    </xf>
    <xf numFmtId="1" fontId="32" fillId="17" borderId="41" applyAlignment="1" pivotButton="0" quotePrefix="0" xfId="0">
      <alignment horizontal="left" vertical="center" indent="1"/>
    </xf>
    <xf numFmtId="0" fontId="0" fillId="0" borderId="24" pivotButton="0" quotePrefix="0" xfId="0"/>
    <xf numFmtId="0" fontId="0" fillId="0" borderId="29" pivotButton="0" quotePrefix="0" xfId="0"/>
    <xf numFmtId="0" fontId="0" fillId="0" borderId="32" pivotButton="0" quotePrefix="0" xfId="0"/>
    <xf numFmtId="0" fontId="0" fillId="0" borderId="35" pivotButton="0" quotePrefix="0" xfId="0"/>
    <xf numFmtId="0" fontId="0" fillId="0" borderId="38" pivotButton="0" quotePrefix="0" xfId="0"/>
    <xf numFmtId="0" fontId="0" fillId="0" borderId="41" pivotButton="0" quotePrefix="0" xfId="0"/>
    <xf numFmtId="0" fontId="14" fillId="17" borderId="26" applyAlignment="1" pivotButton="0" quotePrefix="0" xfId="0">
      <alignment horizontal="left" vertical="top" wrapText="1" indent="1"/>
    </xf>
    <xf numFmtId="0" fontId="0" fillId="0" borderId="2" pivotButton="0" quotePrefix="0" xfId="0"/>
    <xf numFmtId="0" fontId="0" fillId="0" borderId="27" pivotButton="0" quotePrefix="0" xfId="0"/>
    <xf numFmtId="0" fontId="14" fillId="17" borderId="30" applyAlignment="1" pivotButton="0" quotePrefix="0" xfId="0">
      <alignment horizontal="left" vertical="top" wrapText="1" indent="1"/>
    </xf>
    <xf numFmtId="0" fontId="14" fillId="17" borderId="33" applyAlignment="1" pivotButton="0" quotePrefix="0" xfId="0">
      <alignment horizontal="left" vertical="top" wrapText="1" indent="1"/>
    </xf>
    <xf numFmtId="0" fontId="14" fillId="17" borderId="36" applyAlignment="1" pivotButton="0" quotePrefix="0" xfId="0">
      <alignment horizontal="left" vertical="top" wrapText="1" indent="1"/>
    </xf>
    <xf numFmtId="0" fontId="14" fillId="17" borderId="39" applyAlignment="1" pivotButton="0" quotePrefix="0" xfId="0">
      <alignment horizontal="left" vertical="top" wrapText="1" indent="1"/>
    </xf>
    <xf numFmtId="0" fontId="14" fillId="17" borderId="42" applyAlignment="1" pivotButton="0" quotePrefix="0" xfId="0">
      <alignment horizontal="left" vertical="top" wrapText="1" indent="1"/>
    </xf>
    <xf numFmtId="0" fontId="33" fillId="17" borderId="37" applyAlignment="1" pivotButton="0" quotePrefix="0" xfId="0">
      <alignment horizontal="left" vertical="center" wrapText="1" indent="1"/>
    </xf>
    <xf numFmtId="0" fontId="0" fillId="17" borderId="22" pivotButton="0" quotePrefix="0" xfId="0"/>
    <xf numFmtId="0" fontId="0" fillId="17" borderId="23" pivotButton="0" quotePrefix="0" xfId="0"/>
    <xf numFmtId="0" fontId="33" fillId="17" borderId="39" applyAlignment="1" pivotButton="0" quotePrefix="0" xfId="0">
      <alignment horizontal="left" vertical="center" wrapText="1" indent="1"/>
    </xf>
    <xf numFmtId="0" fontId="0" fillId="17" borderId="2" pivotButton="0" quotePrefix="0" xfId="0"/>
    <xf numFmtId="0" fontId="0" fillId="17" borderId="27" pivotButton="0" quotePrefix="0" xfId="0"/>
    <xf numFmtId="0" fontId="34" fillId="18" borderId="43" applyAlignment="1" pivotButton="0" quotePrefix="0" xfId="0">
      <alignment horizontal="center" vertical="center" wrapText="1"/>
    </xf>
    <xf numFmtId="0" fontId="0" fillId="18" borderId="44" pivotButton="0" quotePrefix="0" xfId="0"/>
    <xf numFmtId="0" fontId="0" fillId="18" borderId="45" pivotButton="0" quotePrefix="0" xfId="0"/>
    <xf numFmtId="0" fontId="37" fillId="2" borderId="11" applyAlignment="1" pivotButton="0" quotePrefix="0" xfId="0">
      <alignment horizontal="center" vertical="center" wrapText="1"/>
    </xf>
    <xf numFmtId="0" fontId="0" fillId="2" borderId="13" pivotButton="0" quotePrefix="0" xfId="0"/>
    <xf numFmtId="0" fontId="40" fillId="19" borderId="51" applyAlignment="1" pivotButton="0" quotePrefix="0" xfId="0">
      <alignment horizontal="center" vertical="center" wrapText="1"/>
    </xf>
    <xf numFmtId="0" fontId="0" fillId="19" borderId="23" pivotButton="0" quotePrefix="0" xfId="0"/>
    <xf numFmtId="0" fontId="40" fillId="3" borderId="54" applyAlignment="1" pivotButton="0" quotePrefix="0" xfId="0">
      <alignment horizontal="center" vertical="center" wrapText="1"/>
    </xf>
    <xf numFmtId="0" fontId="0" fillId="3" borderId="55" pivotButton="0" quotePrefix="0" xfId="0"/>
    <xf numFmtId="0" fontId="0" fillId="3" borderId="56" pivotButton="0" quotePrefix="0" xfId="0"/>
    <xf numFmtId="0" fontId="35" fillId="18" borderId="46" applyAlignment="1" pivotButton="0" quotePrefix="0" xfId="0">
      <alignment horizontal="center" vertical="center" wrapText="1"/>
    </xf>
    <xf numFmtId="0" fontId="0" fillId="18" borderId="15" pivotButton="0" quotePrefix="0" xfId="0"/>
    <xf numFmtId="0" fontId="0" fillId="18" borderId="47" pivotButton="0" quotePrefix="0" xfId="0"/>
    <xf numFmtId="173" fontId="38" fillId="2" borderId="14" applyAlignment="1" pivotButton="0" quotePrefix="0" xfId="0">
      <alignment horizontal="center" vertical="center" wrapText="1"/>
    </xf>
    <xf numFmtId="0" fontId="0" fillId="2" borderId="16" pivotButton="0" quotePrefix="0" xfId="0"/>
    <xf numFmtId="173" fontId="41" fillId="19" borderId="52" applyAlignment="1" pivotButton="0" quotePrefix="0" xfId="0">
      <alignment horizontal="center" vertical="center" wrapText="1"/>
    </xf>
    <xf numFmtId="0" fontId="0" fillId="19" borderId="25" pivotButton="0" quotePrefix="0" xfId="0"/>
    <xf numFmtId="0" fontId="42" fillId="3" borderId="57" applyAlignment="1" pivotButton="0" quotePrefix="0" xfId="0">
      <alignment horizontal="center" vertical="center" wrapText="1"/>
    </xf>
    <xf numFmtId="0" fontId="0" fillId="3" borderId="15" pivotButton="0" quotePrefix="0" xfId="0"/>
    <xf numFmtId="0" fontId="0" fillId="3" borderId="58" pivotButton="0" quotePrefix="0" xfId="0"/>
    <xf numFmtId="0" fontId="36" fillId="18" borderId="48" applyAlignment="1" pivotButton="0" quotePrefix="0" xfId="0">
      <alignment horizontal="center" vertical="center" wrapText="1"/>
    </xf>
    <xf numFmtId="0" fontId="0" fillId="18" borderId="49" pivotButton="0" quotePrefix="0" xfId="0"/>
    <xf numFmtId="0" fontId="0" fillId="18" borderId="50" pivotButton="0" quotePrefix="0" xfId="0"/>
    <xf numFmtId="174" fontId="39" fillId="17" borderId="17" applyAlignment="1" pivotButton="0" quotePrefix="0" xfId="0">
      <alignment horizontal="center" vertical="center" wrapText="1"/>
    </xf>
    <xf numFmtId="0" fontId="0" fillId="17" borderId="19" pivotButton="0" quotePrefix="0" xfId="0"/>
    <xf numFmtId="174" fontId="39" fillId="17" borderId="53" applyAlignment="1" pivotButton="0" quotePrefix="0" xfId="0">
      <alignment horizontal="center" vertical="center" wrapText="1"/>
    </xf>
    <xf numFmtId="0" fontId="14" fillId="3" borderId="59" applyAlignment="1" pivotButton="0" quotePrefix="0" xfId="0">
      <alignment horizontal="center" vertical="center" wrapText="1"/>
    </xf>
    <xf numFmtId="0" fontId="0" fillId="3" borderId="60" pivotButton="0" quotePrefix="0" xfId="0"/>
    <xf numFmtId="0" fontId="0" fillId="3" borderId="61" pivotButton="0" quotePrefix="0" xfId="0"/>
    <xf numFmtId="0" fontId="43" fillId="14" borderId="0" applyAlignment="1" pivotButton="0" quotePrefix="0" xfId="0">
      <alignment horizontal="left" vertical="center" wrapText="1"/>
    </xf>
    <xf numFmtId="0" fontId="44" fillId="14" borderId="0" applyAlignment="1" pivotButton="0" quotePrefix="0" xfId="0">
      <alignment horizontal="right" vertical="center"/>
    </xf>
    <xf numFmtId="175" fontId="45" fillId="15" borderId="62" applyAlignment="1" pivotButton="0" quotePrefix="0" xfId="0">
      <alignment horizontal="center" vertical="center" wrapText="1"/>
    </xf>
    <xf numFmtId="0" fontId="0" fillId="15" borderId="63" pivotButton="0" quotePrefix="0" xfId="0"/>
    <xf numFmtId="0" fontId="0" fillId="15" borderId="64" pivotButton="0" quotePrefix="0" xfId="0"/>
    <xf numFmtId="0" fontId="49" fillId="2" borderId="0" applyAlignment="1" pivotButton="0" quotePrefix="0" xfId="0">
      <alignment horizontal="center" vertical="center" wrapText="1"/>
    </xf>
    <xf numFmtId="176" fontId="44" fillId="14" borderId="0" applyAlignment="1" pivotButton="0" quotePrefix="0" xfId="0">
      <alignment horizontal="right" vertical="center"/>
    </xf>
    <xf numFmtId="175" fontId="45" fillId="20" borderId="65" applyAlignment="1" pivotButton="0" quotePrefix="0" xfId="0">
      <alignment horizontal="center" vertical="center" wrapText="1"/>
    </xf>
    <xf numFmtId="0" fontId="0" fillId="20" borderId="66" pivotButton="0" quotePrefix="0" xfId="0"/>
    <xf numFmtId="0" fontId="0" fillId="20" borderId="67" pivotButton="0" quotePrefix="0" xfId="0"/>
    <xf numFmtId="0" fontId="50" fillId="17" borderId="72" applyAlignment="1" pivotButton="0" quotePrefix="0" xfId="0">
      <alignment horizontal="left" vertical="center" indent="1"/>
    </xf>
    <xf numFmtId="0" fontId="0" fillId="17" borderId="72" pivotButton="0" quotePrefix="0" xfId="0"/>
    <xf numFmtId="174" fontId="9" fillId="17" borderId="72" applyAlignment="1" pivotButton="0" quotePrefix="0" xfId="0">
      <alignment horizontal="center" vertical="center" wrapText="1"/>
    </xf>
    <xf numFmtId="0" fontId="13" fillId="17" borderId="72" applyAlignment="1" pivotButton="0" quotePrefix="0" xfId="0">
      <alignment horizontal="center" vertical="center" wrapText="1"/>
    </xf>
    <xf numFmtId="0" fontId="50" fillId="25" borderId="72" applyAlignment="1" pivotButton="0" quotePrefix="0" xfId="0">
      <alignment horizontal="left" vertical="center" indent="1"/>
    </xf>
    <xf numFmtId="0" fontId="0" fillId="25" borderId="72" pivotButton="0" quotePrefix="0" xfId="0"/>
    <xf numFmtId="174" fontId="9" fillId="25" borderId="72" applyAlignment="1" pivotButton="0" quotePrefix="0" xfId="0">
      <alignment horizontal="center" vertical="center" wrapText="1"/>
    </xf>
    <xf numFmtId="0" fontId="13" fillId="25" borderId="72" applyAlignment="1" pivotButton="0" quotePrefix="0" xfId="0">
      <alignment horizontal="center" vertical="center" wrapText="1"/>
    </xf>
    <xf numFmtId="0" fontId="51" fillId="17" borderId="72" applyAlignment="1" pivotButton="0" quotePrefix="0" xfId="0">
      <alignment horizontal="left" vertical="center" indent="1"/>
    </xf>
    <xf numFmtId="0" fontId="51" fillId="25" borderId="72" applyAlignment="1" pivotButton="0" quotePrefix="0" xfId="0">
      <alignment horizontal="left" vertical="center" indent="1"/>
    </xf>
    <xf numFmtId="175" fontId="45" fillId="21" borderId="68" applyAlignment="1" pivotButton="0" quotePrefix="0" xfId="0">
      <alignment horizontal="center" vertical="center" wrapText="1"/>
    </xf>
    <xf numFmtId="0" fontId="0" fillId="21" borderId="69" pivotButton="0" quotePrefix="0" xfId="0"/>
    <xf numFmtId="0" fontId="0" fillId="21" borderId="70" pivotButton="0" quotePrefix="0" xfId="0"/>
    <xf numFmtId="0" fontId="46" fillId="14" borderId="0" applyAlignment="1" pivotButton="0" quotePrefix="0" xfId="0">
      <alignment horizontal="center" vertical="center" wrapText="1"/>
    </xf>
    <xf numFmtId="0" fontId="47" fillId="14" borderId="0" applyAlignment="1" pivotButton="0" quotePrefix="0" xfId="0">
      <alignment horizontal="center" vertical="center" wrapText="1"/>
    </xf>
    <xf numFmtId="0" fontId="48" fillId="14" borderId="0" applyAlignment="1" pivotButton="0" quotePrefix="0" xfId="0">
      <alignment horizontal="center" vertical="center" wrapText="1"/>
    </xf>
    <xf numFmtId="0" fontId="0" fillId="22" borderId="71" pivotButton="0" quotePrefix="0" xfId="0"/>
    <xf numFmtId="0" fontId="14" fillId="14" borderId="0" applyAlignment="1" pivotButton="0" quotePrefix="0" xfId="0">
      <alignment horizontal="left" vertical="center" indent="1"/>
    </xf>
    <xf numFmtId="0" fontId="0" fillId="23" borderId="71" pivotButton="0" quotePrefix="0" xfId="0"/>
    <xf numFmtId="0" fontId="0" fillId="24" borderId="71" pivotButton="0" quotePrefix="0" xfId="0"/>
    <xf numFmtId="0" fontId="11" fillId="2" borderId="0" applyAlignment="1" pivotButton="0" quotePrefix="0" xfId="0">
      <alignment horizontal="center" vertical="center" wrapText="1"/>
    </xf>
    <xf numFmtId="0" fontId="43" fillId="17" borderId="72" applyAlignment="1" pivotButton="0" quotePrefix="0" xfId="0">
      <alignment horizontal="center" vertical="center" wrapText="1"/>
    </xf>
    <xf numFmtId="0" fontId="52" fillId="17" borderId="72" applyAlignment="1" pivotButton="0" quotePrefix="0" xfId="0">
      <alignment horizontal="center" vertical="center" wrapText="1"/>
    </xf>
    <xf numFmtId="0" fontId="51" fillId="17" borderId="72" applyAlignment="1" pivotButton="0" quotePrefix="0" xfId="0">
      <alignment horizontal="left" vertical="center" wrapText="1"/>
    </xf>
    <xf numFmtId="0" fontId="14" fillId="17" borderId="72" applyAlignment="1" pivotButton="0" quotePrefix="0" xfId="0">
      <alignment horizontal="left" vertical="center" wrapText="1"/>
    </xf>
    <xf numFmtId="177" fontId="53" fillId="17" borderId="72" applyAlignment="1" pivotButton="0" quotePrefix="0" xfId="0">
      <alignment horizontal="center" vertical="center" wrapText="1"/>
    </xf>
    <xf numFmtId="9" fontId="50" fillId="17" borderId="72" applyAlignment="1" pivotButton="0" quotePrefix="0" xfId="0">
      <alignment horizontal="center" vertical="center" wrapText="1"/>
    </xf>
    <xf numFmtId="0" fontId="54" fillId="17" borderId="72" applyAlignment="1" pivotButton="0" quotePrefix="0" xfId="0">
      <alignment horizontal="center" vertical="center" wrapText="1"/>
    </xf>
    <xf numFmtId="178" fontId="51" fillId="17" borderId="72" applyAlignment="1" pivotButton="0" quotePrefix="0" xfId="0">
      <alignment horizontal="center" vertical="center" wrapText="1"/>
    </xf>
    <xf numFmtId="0" fontId="43" fillId="25" borderId="72" applyAlignment="1" pivotButton="0" quotePrefix="0" xfId="0">
      <alignment horizontal="center" vertical="center" wrapText="1"/>
    </xf>
    <xf numFmtId="0" fontId="52" fillId="25" borderId="72" applyAlignment="1" pivotButton="0" quotePrefix="0" xfId="0">
      <alignment horizontal="center" vertical="center" wrapText="1"/>
    </xf>
    <xf numFmtId="0" fontId="51" fillId="25" borderId="72" applyAlignment="1" pivotButton="0" quotePrefix="0" xfId="0">
      <alignment horizontal="left" vertical="center" wrapText="1"/>
    </xf>
    <xf numFmtId="0" fontId="14" fillId="25" borderId="72" applyAlignment="1" pivotButton="0" quotePrefix="0" xfId="0">
      <alignment horizontal="left" vertical="center" wrapText="1"/>
    </xf>
    <xf numFmtId="177" fontId="53" fillId="25" borderId="72" applyAlignment="1" pivotButton="0" quotePrefix="0" xfId="0">
      <alignment horizontal="center" vertical="center" wrapText="1"/>
    </xf>
    <xf numFmtId="9" fontId="50" fillId="25" borderId="72" applyAlignment="1" pivotButton="0" quotePrefix="0" xfId="0">
      <alignment horizontal="center" vertical="center" wrapText="1"/>
    </xf>
    <xf numFmtId="0" fontId="54" fillId="25" borderId="72" applyAlignment="1" pivotButton="0" quotePrefix="0" xfId="0">
      <alignment horizontal="center" vertical="center" wrapText="1"/>
    </xf>
    <xf numFmtId="178" fontId="51" fillId="25" borderId="72" applyAlignment="1" pivotButton="0" quotePrefix="0" xfId="0">
      <alignment horizontal="center" vertical="center" wrapText="1"/>
    </xf>
    <xf numFmtId="0" fontId="56" fillId="17" borderId="73" applyAlignment="1" pivotButton="0" quotePrefix="0" xfId="0">
      <alignment horizontal="left" vertical="center" wrapText="1" indent="1"/>
    </xf>
    <xf numFmtId="0" fontId="0" fillId="17" borderId="74" pivotButton="0" quotePrefix="0" xfId="0"/>
    <xf numFmtId="0" fontId="0" fillId="17" borderId="75" pivotButton="0" quotePrefix="0" xfId="0"/>
    <xf numFmtId="0" fontId="14" fillId="14" borderId="0" applyAlignment="1" pivotButton="0" quotePrefix="0" xfId="0">
      <alignment horizontal="left" vertical="center" wrapText="1"/>
    </xf>
    <xf numFmtId="0" fontId="55" fillId="17" borderId="35" applyAlignment="1" pivotButton="0" quotePrefix="0" xfId="0">
      <alignment horizontal="left" vertical="center" indent="1"/>
    </xf>
    <xf numFmtId="1" fontId="9" fillId="17" borderId="72" applyAlignment="1" pivotButton="0" quotePrefix="0" xfId="0">
      <alignment horizontal="center" vertical="center" wrapText="1"/>
    </xf>
    <xf numFmtId="0" fontId="51" fillId="17" borderId="72" applyAlignment="1" pivotButton="0" quotePrefix="0" xfId="0">
      <alignment horizontal="center" vertical="center" wrapText="1"/>
    </xf>
    <xf numFmtId="9" fontId="9" fillId="17" borderId="72" applyAlignment="1" pivotButton="0" quotePrefix="0" xfId="0">
      <alignment horizontal="center" vertical="center" wrapText="1"/>
    </xf>
    <xf numFmtId="1" fontId="9" fillId="25" borderId="72" applyAlignment="1" pivotButton="0" quotePrefix="0" xfId="0">
      <alignment horizontal="center" vertical="center" wrapText="1"/>
    </xf>
    <xf numFmtId="0" fontId="51" fillId="25" borderId="72" applyAlignment="1" pivotButton="0" quotePrefix="0" xfId="0">
      <alignment horizontal="center" vertical="center" wrapText="1"/>
    </xf>
    <xf numFmtId="9" fontId="9" fillId="25" borderId="72" applyAlignment="1" pivotButton="0" quotePrefix="0" xfId="0">
      <alignment horizontal="center" vertical="center" wrapText="1"/>
    </xf>
    <xf numFmtId="0" fontId="11" fillId="2" borderId="37" applyAlignment="1" pivotButton="0" quotePrefix="0" xfId="0">
      <alignment horizontal="left" vertical="center" indent="1"/>
    </xf>
    <xf numFmtId="0" fontId="0" fillId="2" borderId="22" pivotButton="0" quotePrefix="0" xfId="0"/>
    <xf numFmtId="0" fontId="0" fillId="2" borderId="23" pivotButton="0" quotePrefix="0" xfId="0"/>
    <xf numFmtId="0" fontId="40" fillId="17" borderId="38" applyAlignment="1" pivotButton="0" quotePrefix="0" xfId="0">
      <alignment horizontal="left" vertical="center" indent="1"/>
    </xf>
    <xf numFmtId="0" fontId="0" fillId="17" borderId="15" pivotButton="0" quotePrefix="0" xfId="0"/>
    <xf numFmtId="0" fontId="40" fillId="17" borderId="15" applyAlignment="1" pivotButton="0" quotePrefix="0" xfId="0">
      <alignment horizontal="left" vertical="center" indent="1"/>
    </xf>
    <xf numFmtId="0" fontId="0" fillId="17" borderId="25" pivotButton="0" quotePrefix="0" xfId="0"/>
    <xf numFmtId="179" fontId="39" fillId="17" borderId="38" applyAlignment="1" pivotButton="0" quotePrefix="0" xfId="0">
      <alignment horizontal="left" vertical="center" indent="1"/>
    </xf>
    <xf numFmtId="179" fontId="39" fillId="17" borderId="15" applyAlignment="1" pivotButton="0" quotePrefix="0" xfId="0">
      <alignment horizontal="left" vertical="center" indent="1"/>
    </xf>
    <xf numFmtId="0" fontId="14" fillId="17" borderId="39" applyAlignment="1" pivotButton="0" quotePrefix="0" xfId="0">
      <alignment horizontal="left" vertical="center" indent="1"/>
    </xf>
    <xf numFmtId="0" fontId="57" fillId="17" borderId="72" applyAlignment="1" pivotButton="0" quotePrefix="0" xfId="0">
      <alignment horizontal="left" vertical="center" indent="1"/>
    </xf>
    <xf numFmtId="0" fontId="0" fillId="2" borderId="76" pivotButton="0" quotePrefix="0" xfId="0"/>
    <xf numFmtId="0" fontId="58" fillId="2" borderId="76" applyAlignment="1" pivotButton="0" quotePrefix="0" xfId="0">
      <alignment horizontal="left" vertical="center"/>
    </xf>
    <xf numFmtId="0" fontId="0" fillId="0" borderId="77" pivotButton="0" quotePrefix="0" xfId="0"/>
    <xf numFmtId="0" fontId="59" fillId="2" borderId="76" applyAlignment="1" pivotButton="0" quotePrefix="0" xfId="0">
      <alignment horizontal="right" vertical="center"/>
    </xf>
    <xf numFmtId="0" fontId="1" fillId="2" borderId="0" applyAlignment="1" pivotButton="0" quotePrefix="0" xfId="0">
      <alignment horizontal="left" vertical="center" indent="1"/>
    </xf>
    <xf numFmtId="0" fontId="2" fillId="2" borderId="10" applyAlignment="1" pivotButton="0" quotePrefix="0" xfId="0">
      <alignment horizontal="left" vertical="center" indent="1"/>
    </xf>
    <xf numFmtId="0" fontId="3" fillId="0" borderId="0" applyAlignment="1" pivotButton="0" quotePrefix="0" xfId="0">
      <alignment horizontal="left" vertical="center"/>
    </xf>
    <xf numFmtId="0" fontId="60" fillId="0" borderId="20" applyAlignment="1" pivotButton="0" quotePrefix="0" xfId="0">
      <alignment horizontal="left" vertical="bottom"/>
    </xf>
    <xf numFmtId="0" fontId="7" fillId="17" borderId="72" applyAlignment="1" pivotButton="0" quotePrefix="0" xfId="0">
      <alignment horizontal="left" vertical="center" indent="1"/>
    </xf>
    <xf numFmtId="0" fontId="61" fillId="17" borderId="72" applyAlignment="1" pivotButton="0" quotePrefix="0" xfId="0">
      <alignment horizontal="left" vertical="center" indent="1"/>
    </xf>
    <xf numFmtId="0" fontId="7" fillId="25" borderId="72" applyAlignment="1" pivotButton="0" quotePrefix="0" xfId="0">
      <alignment horizontal="left" vertical="center" indent="1"/>
    </xf>
    <xf numFmtId="0" fontId="61" fillId="25" borderId="72" applyAlignment="1" pivotButton="0" quotePrefix="0" xfId="0">
      <alignment horizontal="left" vertical="center" indent="1"/>
    </xf>
    <xf numFmtId="0" fontId="51" fillId="17" borderId="72" applyAlignment="1" pivotButton="0" quotePrefix="0" xfId="0">
      <alignment horizontal="left" vertical="center" wrapText="1" indent="1"/>
    </xf>
    <xf numFmtId="177" fontId="51" fillId="17" borderId="72" applyAlignment="1" pivotButton="0" quotePrefix="0" xfId="0">
      <alignment horizontal="center" vertical="center" wrapText="1"/>
    </xf>
    <xf numFmtId="9" fontId="51" fillId="17" borderId="72" applyAlignment="1" pivotButton="0" quotePrefix="0" xfId="0">
      <alignment horizontal="center" vertical="center" wrapText="1"/>
    </xf>
    <xf numFmtId="0" fontId="50" fillId="17" borderId="72" applyAlignment="1" pivotButton="0" quotePrefix="0" xfId="0">
      <alignment horizontal="center" vertical="center" wrapText="1"/>
    </xf>
    <xf numFmtId="0" fontId="51" fillId="25" borderId="72" applyAlignment="1" pivotButton="0" quotePrefix="0" xfId="0">
      <alignment horizontal="left" vertical="center" wrapText="1" indent="1"/>
    </xf>
    <xf numFmtId="177" fontId="51" fillId="25" borderId="72" applyAlignment="1" pivotButton="0" quotePrefix="0" xfId="0">
      <alignment horizontal="center" vertical="center" wrapText="1"/>
    </xf>
    <xf numFmtId="9" fontId="51" fillId="25" borderId="72" applyAlignment="1" pivotButton="0" quotePrefix="0" xfId="0">
      <alignment horizontal="center" vertical="center" wrapText="1"/>
    </xf>
    <xf numFmtId="0" fontId="50" fillId="25" borderId="72" applyAlignment="1" pivotButton="0" quotePrefix="0" xfId="0">
      <alignment horizontal="center" vertical="center" wrapText="1"/>
    </xf>
    <xf numFmtId="0" fontId="50" fillId="17" borderId="72" applyAlignment="1" pivotButton="0" quotePrefix="0" xfId="0">
      <alignment horizontal="left" vertical="center" wrapText="1" indent="1"/>
    </xf>
    <xf numFmtId="0" fontId="50" fillId="25" borderId="72" applyAlignment="1" pivotButton="0" quotePrefix="0" xfId="0">
      <alignment horizontal="left" vertical="center" wrapText="1" indent="1"/>
    </xf>
    <xf numFmtId="0" fontId="8" fillId="0" borderId="0" applyAlignment="1" pivotButton="0" quotePrefix="0" xfId="0">
      <alignment horizontal="left" vertical="center" wrapText="1"/>
    </xf>
    <xf numFmtId="0" fontId="2" fillId="2" borderId="3" applyAlignment="1" pivotButton="0" quotePrefix="0" xfId="0">
      <alignment horizontal="left" vertical="center" indent="1"/>
    </xf>
    <xf numFmtId="0" fontId="0" fillId="0" borderId="3" pivotButton="0" quotePrefix="0" xfId="0"/>
    <xf numFmtId="0" fontId="3" fillId="0" borderId="0" applyAlignment="1" pivotButton="0" quotePrefix="0" xfId="0">
      <alignment horizontal="left" vertical="center" indent="1"/>
    </xf>
    <xf numFmtId="0" fontId="9" fillId="0" borderId="0" applyAlignment="1" pivotButton="0" quotePrefix="0" xfId="0">
      <alignment horizontal="right" vertical="center"/>
    </xf>
    <xf numFmtId="0" fontId="10" fillId="3" borderId="0" applyAlignment="1" pivotButton="0" quotePrefix="0" xfId="0">
      <alignment horizontal="left" vertical="center" indent="1"/>
    </xf>
    <xf numFmtId="0" fontId="11" fillId="6" borderId="0" applyAlignment="1" pivotButton="0" quotePrefix="0" xfId="0">
      <alignment horizontal="center" vertical="center" wrapText="1"/>
    </xf>
    <xf numFmtId="0" fontId="0" fillId="6" borderId="0" pivotButton="0" quotePrefix="0" xfId="0"/>
    <xf numFmtId="0" fontId="11" fillId="4" borderId="0" applyAlignment="1" pivotButton="0" quotePrefix="0" xfId="0">
      <alignment horizontal="center" vertical="center" wrapText="1"/>
    </xf>
    <xf numFmtId="0" fontId="0" fillId="4" borderId="0" pivotButton="0" quotePrefix="0" xfId="0"/>
    <xf numFmtId="0" fontId="11" fillId="7" borderId="0" applyAlignment="1" pivotButton="0" quotePrefix="0" xfId="0">
      <alignment horizontal="center" vertical="center" wrapText="1"/>
    </xf>
    <xf numFmtId="0" fontId="0" fillId="7" borderId="0" pivotButton="0" quotePrefix="0" xfId="0"/>
    <xf numFmtId="0" fontId="12" fillId="2" borderId="4" applyAlignment="1" pivotButton="0" quotePrefix="0" xfId="0">
      <alignment horizontal="center" vertical="center" wrapText="1"/>
    </xf>
    <xf numFmtId="0" fontId="12" fillId="4" borderId="4" applyAlignment="1" pivotButton="0" quotePrefix="0" xfId="0">
      <alignment horizontal="center" vertical="center" wrapText="1"/>
    </xf>
    <xf numFmtId="0" fontId="13" fillId="8" borderId="4" applyAlignment="1" pivotButton="0" quotePrefix="0" xfId="0">
      <alignment horizontal="center" vertical="center" wrapText="1"/>
    </xf>
    <xf numFmtId="0" fontId="5" fillId="0" borderId="5" applyAlignment="1" pivotButton="0" quotePrefix="0" xfId="0">
      <alignment horizontal="center" vertical="top" wrapText="1"/>
    </xf>
    <xf numFmtId="164" fontId="5" fillId="0" borderId="5" applyAlignment="1" pivotButton="0" quotePrefix="0" xfId="0">
      <alignment horizontal="center" vertical="top" wrapText="1"/>
    </xf>
    <xf numFmtId="0" fontId="5" fillId="0" borderId="5" applyAlignment="1" pivotButton="0" quotePrefix="0" xfId="0">
      <alignment vertical="top" wrapText="1"/>
    </xf>
    <xf numFmtId="165" fontId="5" fillId="0" borderId="5" applyAlignment="1" pivotButton="0" quotePrefix="0" xfId="0">
      <alignment horizontal="center" vertical="top" wrapText="1"/>
    </xf>
    <xf numFmtId="166" fontId="5" fillId="5" borderId="6" applyAlignment="1" pivotButton="0" quotePrefix="0" xfId="0">
      <alignment horizontal="center" vertical="top" wrapText="1"/>
    </xf>
    <xf numFmtId="0" fontId="5" fillId="5" borderId="6" applyAlignment="1" pivotButton="0" quotePrefix="0" xfId="0">
      <alignment vertical="top" wrapText="1"/>
    </xf>
    <xf numFmtId="167" fontId="5" fillId="5" borderId="6" applyAlignment="1" pivotButton="0" quotePrefix="0" xfId="0">
      <alignment horizontal="center" vertical="top" wrapText="1"/>
    </xf>
    <xf numFmtId="0" fontId="5" fillId="5" borderId="6" applyAlignment="1" pivotButton="0" quotePrefix="0" xfId="0">
      <alignment horizontal="center" vertical="top" wrapText="1"/>
    </xf>
    <xf numFmtId="168" fontId="14" fillId="9" borderId="6" applyAlignment="1" pivotButton="0" quotePrefix="0" xfId="0">
      <alignment vertical="top" wrapText="1"/>
    </xf>
    <xf numFmtId="0" fontId="14" fillId="9" borderId="6" applyAlignment="1" pivotButton="0" quotePrefix="0" xfId="0">
      <alignment vertical="top" wrapText="1"/>
    </xf>
    <xf numFmtId="0" fontId="2" fillId="2" borderId="7" applyAlignment="1" pivotButton="0" quotePrefix="0" xfId="0">
      <alignment horizontal="left" vertical="center" indent="1"/>
    </xf>
    <xf numFmtId="0" fontId="0" fillId="0" borderId="7" pivotButton="0" quotePrefix="0" xfId="0"/>
    <xf numFmtId="0" fontId="15" fillId="3" borderId="0" applyAlignment="1" pivotButton="0" quotePrefix="0" xfId="0">
      <alignment horizontal="left" vertical="center" indent="1"/>
    </xf>
    <xf numFmtId="0" fontId="11" fillId="10" borderId="0" applyAlignment="1" pivotButton="0" quotePrefix="0" xfId="0">
      <alignment horizontal="center" vertical="center" wrapText="1"/>
    </xf>
    <xf numFmtId="0" fontId="0" fillId="10" borderId="0" pivotButton="0" quotePrefix="0" xfId="0"/>
    <xf numFmtId="169" fontId="5" fillId="0" borderId="5" applyAlignment="1" pivotButton="0" quotePrefix="0" xfId="0">
      <alignment horizontal="center" vertical="top" wrapText="1"/>
    </xf>
    <xf numFmtId="170" fontId="5" fillId="0" borderId="5" applyAlignment="1" pivotButton="0" quotePrefix="0" xfId="0">
      <alignment vertical="top" wrapText="1"/>
    </xf>
    <xf numFmtId="171" fontId="14" fillId="9" borderId="6" applyAlignment="1" pivotButton="0" quotePrefix="0" xfId="0">
      <alignment vertical="top" wrapText="1"/>
    </xf>
    <xf numFmtId="172" fontId="14" fillId="9" borderId="6" applyAlignment="1" pivotButton="0" quotePrefix="0" xfId="0">
      <alignment vertical="top" wrapText="1"/>
    </xf>
    <xf numFmtId="0" fontId="2" fillId="2" borderId="8" applyAlignment="1" pivotButton="0" quotePrefix="0" xfId="0">
      <alignment horizontal="left" vertical="center" indent="1"/>
    </xf>
    <xf numFmtId="0" fontId="0" fillId="0" borderId="8" pivotButton="0" quotePrefix="0" xfId="0"/>
    <xf numFmtId="0" fontId="16" fillId="3" borderId="0" applyAlignment="1" pivotButton="0" quotePrefix="0" xfId="0">
      <alignment horizontal="left" vertical="center" indent="1"/>
    </xf>
    <xf numFmtId="0" fontId="11" fillId="11" borderId="0" applyAlignment="1" pivotButton="0" quotePrefix="0" xfId="0">
      <alignment horizontal="center" vertical="center" wrapText="1"/>
    </xf>
    <xf numFmtId="0" fontId="0" fillId="11" borderId="0" pivotButton="0" quotePrefix="0" xfId="0"/>
    <xf numFmtId="9" fontId="5" fillId="0" borderId="5" applyAlignment="1" pivotButton="0" quotePrefix="0" xfId="0">
      <alignment horizontal="center" vertical="top" wrapText="1"/>
    </xf>
    <xf numFmtId="0" fontId="18" fillId="3" borderId="0" applyAlignment="1" pivotButton="0" quotePrefix="0" xfId="0">
      <alignment horizontal="left" vertical="center" indent="1"/>
    </xf>
    <xf numFmtId="0" fontId="11" fillId="13" borderId="0" applyAlignment="1" pivotButton="0" quotePrefix="0" xfId="0">
      <alignment horizontal="center" vertical="center" wrapText="1"/>
    </xf>
    <xf numFmtId="0" fontId="0" fillId="13" borderId="0" pivotButton="0" quotePrefix="0" xfId="0"/>
    <xf numFmtId="0" fontId="12" fillId="13" borderId="4" applyAlignment="1" pivotButton="0" quotePrefix="0" xfId="0">
      <alignment horizontal="center" vertical="center" wrapText="1"/>
    </xf>
    <xf numFmtId="164" fontId="5" fillId="0" borderId="5" applyAlignment="1" applyProtection="1" pivotButton="0" quotePrefix="0" xfId="0">
      <alignment vertical="top" wrapText="1"/>
      <protection locked="0" hidden="0"/>
    </xf>
    <xf numFmtId="0" fontId="5" fillId="0" borderId="5" applyAlignment="1" applyProtection="1" pivotButton="0" quotePrefix="0" xfId="0">
      <alignment vertical="top" wrapText="1"/>
      <protection locked="0" hidden="0"/>
    </xf>
    <xf numFmtId="0" fontId="5" fillId="0" borderId="5" applyAlignment="1" applyProtection="1" pivotButton="0" quotePrefix="0" xfId="0">
      <alignment horizontal="center" vertical="top" wrapText="1"/>
      <protection locked="0" hidden="0"/>
    </xf>
    <xf numFmtId="164" fontId="5" fillId="0" borderId="5" applyAlignment="1" pivotButton="0" quotePrefix="0" xfId="0">
      <alignment vertical="top" wrapText="1"/>
    </xf>
    <xf numFmtId="0" fontId="2" fillId="2" borderId="1" applyAlignment="1" pivotButton="0" quotePrefix="0" xfId="0">
      <alignment horizontal="left" vertical="center" indent="1"/>
    </xf>
    <xf numFmtId="0" fontId="0" fillId="0" borderId="1" pivotButton="0" quotePrefix="0" xfId="0"/>
    <xf numFmtId="0" fontId="4" fillId="2" borderId="0" applyAlignment="1" pivotButton="0" quotePrefix="0" xfId="0">
      <alignment horizontal="center" vertical="center" wrapText="1"/>
    </xf>
    <xf numFmtId="0" fontId="5" fillId="0" borderId="2" pivotButton="0" quotePrefix="0" xfId="0"/>
    <xf numFmtId="0" fontId="5" fillId="0" borderId="2" applyAlignment="1" pivotButton="0" quotePrefix="0" xfId="0">
      <alignment horizontal="center"/>
    </xf>
    <xf numFmtId="0" fontId="5" fillId="3" borderId="2" pivotButton="0" quotePrefix="0" xfId="0"/>
    <xf numFmtId="0" fontId="6" fillId="5" borderId="0" pivotButton="0" quotePrefix="0" xfId="0"/>
    <xf numFmtId="0" fontId="7" fillId="3" borderId="2" applyAlignment="1" pivotButton="0" quotePrefix="0" xfId="0">
      <alignment horizontal="center"/>
    </xf>
    <xf numFmtId="1" fontId="5" fillId="0" borderId="2" pivotButton="0" quotePrefix="0" xfId="0"/>
    <xf numFmtId="0" fontId="8" fillId="0" borderId="0" applyAlignment="1" pivotButton="0" quotePrefix="0" xfId="0">
      <alignment horizontal="left" vertical="top" wrapText="1"/>
    </xf>
    <xf numFmtId="0" fontId="2" fillId="2" borderId="9" applyAlignment="1" pivotButton="0" quotePrefix="0" xfId="0">
      <alignment horizontal="left" vertical="center" indent="1"/>
    </xf>
    <xf numFmtId="0" fontId="0" fillId="0" borderId="9" pivotButton="0" quotePrefix="0" xfId="0"/>
    <xf numFmtId="0" fontId="12" fillId="4" borderId="0" applyAlignment="1" pivotButton="0" quotePrefix="0" xfId="0">
      <alignment horizontal="center" vertical="center" wrapText="1"/>
    </xf>
    <xf numFmtId="169" fontId="5" fillId="0" borderId="2" pivotButton="0" quotePrefix="0" xfId="0"/>
    <xf numFmtId="0" fontId="68" fillId="2" borderId="0" applyFont="1" applyAlignment="1" pivotButton="0" quotePrefix="0" xfId="0">
      <alignment horizontal="left" vertical="center" wrapText="1"/>
    </xf>
    <xf numFmtId="0" fontId="69" fillId="28" borderId="78" applyFont="1" applyFill="1" applyBorder="1" applyAlignment="1" pivotButton="0" quotePrefix="0" xfId="0">
      <alignment horizontal="left" vertical="center" wrapText="1" indent="1"/>
    </xf>
  </cellXfs>
  <cellStyles count="1">
    <cellStyle name="Normal" xfId="0" builtinId="0" hidden="0"/>
  </cellStyles>
  <dxfs count="45">
    <dxf>
      <font>
        <b val="1"/>
        <color rgb="00FFFFFF"/>
      </font>
      <fill>
        <patternFill patternType="solid">
          <fgColor rgb="008E1B12"/>
          <bgColor rgb="008E1B12"/>
        </patternFill>
      </fill>
    </dxf>
    <dxf>
      <font>
        <b val="1"/>
        <color rgb="00FFFFFF"/>
      </font>
      <fill>
        <patternFill patternType="solid">
          <fgColor rgb="00C0392B"/>
          <bgColor rgb="00C0392B"/>
        </patternFill>
      </fill>
    </dxf>
    <dxf>
      <font>
        <b val="1"/>
        <color rgb="00FFFFFF"/>
      </font>
      <fill>
        <patternFill patternType="solid">
          <fgColor rgb="00D9771E"/>
          <bgColor rgb="00D9771E"/>
        </patternFill>
      </fill>
    </dxf>
    <dxf>
      <font>
        <b val="1"/>
        <color rgb="003A2C00"/>
      </font>
      <fill>
        <patternFill patternType="solid">
          <fgColor rgb="00F6D98A"/>
          <bgColor rgb="00F6D98A"/>
        </patternFill>
      </fill>
    </dxf>
    <dxf>
      <font>
        <b val="1"/>
        <color rgb="001E7A46"/>
      </font>
      <fill>
        <patternFill patternType="solid">
          <fgColor rgb="00DDEFE4"/>
          <bgColor rgb="00DDEFE4"/>
        </patternFill>
      </fill>
    </dxf>
    <dxf>
      <font>
        <b val="1"/>
        <color rgb="00FFFFFF"/>
      </font>
      <fill>
        <patternFill patternType="solid">
          <fgColor rgb="001E7A46"/>
          <bgColor rgb="001E7A46"/>
        </patternFill>
      </fill>
    </dxf>
    <dxf>
      <font>
        <b val="1"/>
        <color rgb="00C0392B"/>
      </font>
    </dxf>
    <dxf>
      <font>
        <b val="1"/>
        <color rgb="00D9771E"/>
      </font>
    </dxf>
    <dxf>
      <font>
        <b val="1"/>
        <color rgb="00FFFFFF"/>
      </font>
      <fill>
        <patternFill patternType="solid">
          <fgColor rgb="000B5A3A"/>
          <bgColor rgb="000B5A3A"/>
        </patternFill>
      </fill>
    </dxf>
    <dxf>
      <font>
        <b val="1"/>
        <color rgb="00FFFFFF"/>
      </font>
      <fill>
        <patternFill patternType="solid">
          <fgColor rgb="005FA37E"/>
          <bgColor rgb="005FA37E"/>
        </patternFill>
      </fill>
    </dxf>
    <dxf>
      <font>
        <b val="1"/>
        <color rgb="000B5A3A"/>
      </font>
      <fill>
        <patternFill patternType="solid">
          <fgColor rgb="00D3EADB"/>
          <bgColor rgb="00D3EADB"/>
        </patternFill>
      </fill>
    </dxf>
    <dxf>
      <font>
        <b val="1"/>
        <color rgb="003A2C00"/>
      </font>
      <fill>
        <patternFill patternType="solid">
          <fgColor rgb="00E9CF86"/>
          <bgColor rgb="00E9CF86"/>
        </patternFill>
      </fill>
    </dxf>
    <dxf>
      <font>
        <color rgb="00A8B3AD"/>
      </font>
    </dxf>
    <dxf>
      <font>
        <b val="1"/>
        <color rgb="007A5A10"/>
      </font>
      <fill>
        <patternFill patternType="solid">
          <fgColor rgb="00FBEFCB"/>
          <bgColor rgb="00FBEFCB"/>
        </patternFill>
      </fill>
    </dxf>
    <dxf>
      <font>
        <b val="1"/>
        <color rgb="005A4300"/>
      </font>
      <fill>
        <patternFill patternType="solid">
          <fgColor rgb="00F6D98A"/>
          <bgColor rgb="00F6D98A"/>
        </patternFill>
      </fill>
    </dxf>
    <dxf>
      <font>
        <b val="1"/>
        <color rgb="006A4300"/>
      </font>
      <fill>
        <patternFill patternType="solid">
          <fgColor rgb="00F8E1AE"/>
          <bgColor rgb="00F8E1AE"/>
        </patternFill>
      </fill>
    </dxf>
    <dxf>
      <font>
        <b val="1"/>
        <color rgb="000B7A4B"/>
      </font>
      <fill>
        <patternFill patternType="solid">
          <fgColor rgb="00DDEFE4"/>
          <bgColor rgb="00DDEFE4"/>
        </patternFill>
      </fill>
    </dxf>
    <dxf>
      <font>
        <b val="1"/>
        <color rgb="008A5300"/>
      </font>
      <fill>
        <patternFill patternType="solid">
          <fgColor rgb="00FBE7CF"/>
          <bgColor rgb="00FBE7CF"/>
        </patternFill>
      </fill>
    </dxf>
    <dxf>
      <font>
        <b val="1"/>
        <color rgb="001E7A46"/>
      </font>
      <fill>
        <patternFill patternType="solid">
          <fgColor rgb="00D6EBDD"/>
          <bgColor rgb="00D6EBDD"/>
        </patternFill>
      </fill>
    </dxf>
    <dxf>
      <font>
        <b val="1"/>
        <color rgb="005A6A62"/>
      </font>
      <fill>
        <patternFill patternType="solid">
          <fgColor rgb="00EDF2EF"/>
          <bgColor rgb="00EDF2EF"/>
        </patternFill>
      </fill>
    </dxf>
    <dxf>
      <font>
        <b val="1"/>
        <color rgb="001E7A46"/>
      </font>
    </dxf>
    <dxf>
      <font>
        <b val="1"/>
        <color rgb="00C0392B"/>
      </font>
      <fill>
        <patternFill patternType="solid">
          <fgColor rgb="00FBE3E0"/>
          <bgColor rgb="00FBE3E0"/>
        </patternFill>
      </fill>
    </dxf>
    <dxf>
      <font>
        <b val="1"/>
        <color rgb="008A5300"/>
      </font>
      <fill>
        <patternFill patternType="solid">
          <fgColor rgb="00FFF3D6"/>
          <bgColor rgb="00FFF3D6"/>
        </patternFill>
      </fill>
    </dxf>
    <dxf>
      <font>
        <b val="1"/>
        <color rgb="00342700"/>
      </font>
      <fill>
        <patternFill patternType="solid">
          <fgColor rgb="00E0A526"/>
          <bgColor rgb="00E0A526"/>
        </patternFill>
      </fill>
    </dxf>
    <dxf>
      <font>
        <b val="1"/>
        <color rgb="00FFFFFF"/>
      </font>
      <fill>
        <patternFill patternType="solid">
          <fgColor rgb="005E8C72"/>
          <bgColor rgb="005E8C72"/>
        </patternFill>
      </fill>
    </dxf>
    <dxf>
      <font>
        <b val="1"/>
        <color rgb="005F6875"/>
      </font>
    </dxf>
    <dxf>
      <font>
        <b val="1"/>
        <color rgb="002463AE"/>
      </font>
    </dxf>
    <dxf>
      <font>
        <b val="1"/>
        <color rgb="0076479F"/>
      </font>
    </dxf>
    <dxf>
      <fill>
        <patternFill patternType="solid">
          <fgColor rgb="00F6CFCB"/>
          <bgColor rgb="00F6CFCB"/>
        </patternFill>
      </fill>
    </dxf>
    <dxf>
      <fill>
        <patternFill patternType="solid">
          <fgColor rgb="00FBE1DE"/>
          <bgColor rgb="00FBE1DE"/>
        </patternFill>
      </fill>
    </dxf>
    <dxf>
      <fill>
        <patternFill patternType="solid">
          <fgColor rgb="00FDEBD9"/>
          <bgColor rgb="00FDEBD9"/>
        </patternFill>
      </fill>
    </dxf>
    <dxf>
      <fill>
        <patternFill patternType="solid">
          <fgColor rgb="00FFF6DA"/>
          <bgColor rgb="00FFF6DA"/>
        </patternFill>
      </fill>
    </dxf>
    <dxf>
      <font>
        <color rgb="007A5A10"/>
      </font>
      <fill>
        <patternFill patternType="solid">
          <fgColor rgb="00FFF1C9"/>
          <bgColor rgb="00FFF1C9"/>
        </patternFill>
      </fill>
    </dxf>
    <dxf>
      <font>
        <b val="1"/>
        <color rgb="007A5A10"/>
      </font>
      <fill>
        <patternFill patternType="solid">
          <fgColor rgb="00F6EACB"/>
          <bgColor rgb="00F6EACB"/>
        </patternFill>
      </fill>
    </dxf>
    <dxf>
      <font>
        <b val="1"/>
        <color rgb="002F6DB5"/>
      </font>
    </dxf>
    <dxf>
      <font>
        <b val="1"/>
        <color rgb="009A6A3A"/>
      </font>
    </dxf>
    <dxf>
      <font>
        <b val="1"/>
        <color rgb="001C8C84"/>
      </font>
    </dxf>
    <dxf>
      <font>
        <b val="1"/>
        <color rgb="003F8F3A"/>
      </font>
    </dxf>
    <dxf>
      <font>
        <b val="1"/>
        <color rgb="001B7FB5"/>
      </font>
    </dxf>
    <dxf>
      <font>
        <b val="1"/>
        <color rgb="006B7280"/>
      </font>
    </dxf>
    <dxf>
      <font>
        <color rgb="00B7BFBA"/>
      </font>
      <fill>
        <patternFill patternType="solid">
          <fgColor rgb="00F1F3F2"/>
          <bgColor rgb="00F1F3F2"/>
        </patternFill>
      </fill>
    </dxf>
    <dxf>
      <numFmt numFmtId="170" formatCode="dd/mm/yyyy"/>
    </dxf>
    <dxf>
      <numFmt numFmtId="171" formatCode="dd/mm/yyyy"/>
    </dxf>
    <dxf>
      <numFmt numFmtId="172" formatCode="dd/mm/yyyy"/>
    </dxf>
    <dxf>
      <font>
        <b val="1"/>
        <color rgb="005A6A62"/>
      </font>
      <fill>
        <patternFill patternType="solid">
          <fgColor rgb="00EEF2F0"/>
          <bgColor rgb="00EEF2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100" b="1">
                <a:solidFill>
                  <a:srgbClr val="16231C"/>
                </a:solidFill>
                <a:latin typeface="Arial"/>
              </a:defRPr>
            </a:pPr>
            <a:r>
              <a:rPr sz="1100" b="1">
                <a:solidFill>
                  <a:srgbClr val="16231C"/>
                </a:solidFill>
                <a:latin typeface="Arial"/>
              </a:rPr>
              <a:t>Trạng thái phản ánh</a:t>
            </a:r>
          </a:p>
        </rich>
      </tx>
      <overlay val="0"/>
    </title>
    <plotArea>
      <doughnutChart>
        <varyColors val="1"/>
        <ser>
          <idx val="0"/>
          <order val="0"/>
          <tx>
            <strRef>
              <f>'Số liệu'!C5</f>
            </strRef>
          </tx>
          <spPr>
            <a:ln xmlns:a="http://schemas.openxmlformats.org/drawingml/2006/main">
              <a:prstDash val="solid"/>
            </a:ln>
          </spPr>
          <dPt>
            <idx val="0"/>
            <spPr>
              <a:solidFill xmlns:a="http://schemas.openxmlformats.org/drawingml/2006/main">
                <a:srgbClr val="5F6875"/>
              </a:solidFill>
              <a:ln xmlns:a="http://schemas.openxmlformats.org/drawingml/2006/main">
                <a:solidFill>
                  <a:srgbClr val="FFFFFF"/>
                </a:solidFill>
                <a:prstDash val="solid"/>
              </a:ln>
            </spPr>
          </dPt>
          <dPt>
            <idx val="1"/>
            <spPr>
              <a:solidFill xmlns:a="http://schemas.openxmlformats.org/drawingml/2006/main">
                <a:srgbClr val="2463AE"/>
              </a:solidFill>
              <a:ln xmlns:a="http://schemas.openxmlformats.org/drawingml/2006/main">
                <a:solidFill>
                  <a:srgbClr val="FFFFFF"/>
                </a:solidFill>
                <a:prstDash val="solid"/>
              </a:ln>
            </spPr>
          </dPt>
          <dPt>
            <idx val="2"/>
            <spPr>
              <a:solidFill xmlns:a="http://schemas.openxmlformats.org/drawingml/2006/main">
                <a:srgbClr val="76479F"/>
              </a:solidFill>
              <a:ln xmlns:a="http://schemas.openxmlformats.org/drawingml/2006/main">
                <a:solidFill>
                  <a:srgbClr val="FFFFFF"/>
                </a:solidFill>
                <a:prstDash val="solid"/>
              </a:ln>
            </spPr>
          </dPt>
          <dPt>
            <idx val="3"/>
            <spPr>
              <a:solidFill xmlns:a="http://schemas.openxmlformats.org/drawingml/2006/main">
                <a:srgbClr val="1E7A46"/>
              </a:solidFill>
              <a:ln xmlns:a="http://schemas.openxmlformats.org/drawingml/2006/main">
                <a:solidFill>
                  <a:srgbClr val="FFFFFF"/>
                </a:solidFill>
                <a:prstDash val="solid"/>
              </a:ln>
            </spPr>
          </dPt>
          <cat>
            <numRef>
              <f>'Số liệu'!$B$6:$B$9</f>
            </numRef>
          </cat>
          <val>
            <numRef>
              <f>'Số liệu'!$C$6:$C$9</f>
            </numRef>
          </val>
        </ser>
        <dLbls>
          <txPr>
            <a:bodyPr xmlns:a="http://schemas.openxmlformats.org/drawingml/2006/main"/>
            <a:p xmlns:a="http://schemas.openxmlformats.org/drawingml/2006/main">
              <a:pPr>
                <a:defRPr sz="900" b="1">
                  <a:solidFill>
                    <a:srgbClr val="FFFFFF"/>
                  </a:solidFill>
                  <a:latin typeface="Arial"/>
                </a:defRPr>
              </a:pPr>
              <a:r>
                <a:t/>
              </a:r>
              <a:endParaRPr sz="900" b="1">
                <a:solidFill>
                  <a:srgbClr val="FFFFFF"/>
                </a:solidFill>
                <a:latin typeface="Arial"/>
              </a:endParaRPr>
            </a:p>
          </txPr>
          <showLegendKey val="0"/>
          <showVal val="1"/>
          <showCatName val="0"/>
          <showSerName val="0"/>
          <showPercent val="0"/>
        </dLbls>
        <firstSliceAng val="0"/>
        <holeSize val="55"/>
      </doughnutChart>
    </plotArea>
    <legend>
      <legendPos val="b"/>
      <txPr>
        <a:bodyPr xmlns:a="http://schemas.openxmlformats.org/drawingml/2006/main"/>
        <a:p xmlns:a="http://schemas.openxmlformats.org/drawingml/2006/main">
          <a:pPr>
            <a:defRPr sz="800" b="0">
              <a:solidFill>
                <a:srgbClr val="16231C"/>
              </a:solidFill>
              <a:latin typeface="Arial"/>
            </a:defRPr>
          </a:pPr>
          <a:r>
            <a:t/>
          </a:r>
          <a:endParaRPr sz="800" b="0">
            <a:solidFill>
              <a:srgbClr val="16231C"/>
            </a:solidFill>
            <a:latin typeface="Arial"/>
          </a:endParaRPr>
        </a:p>
      </txPr>
    </legend>
    <plotVisOnly val="1"/>
    <dispBlanksAs val="gap"/>
  </chart>
  <spPr>
    <a:ln xmlns:a="http://schemas.openxmlformats.org/drawingml/2006/main">
      <a:solidFill>
        <a:srgbClr val="DCE4DF"/>
      </a:solid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100" b="1">
                <a:solidFill>
                  <a:srgbClr val="16231C"/>
                </a:solidFill>
                <a:latin typeface="Arial"/>
              </a:defRPr>
            </a:pPr>
            <a:r>
              <a:rPr sz="1100" b="1">
                <a:solidFill>
                  <a:srgbClr val="16231C"/>
                </a:solidFill>
                <a:latin typeface="Arial"/>
              </a:rPr>
              <a:t>Phản ánh theo phân loại</a:t>
            </a:r>
          </a:p>
        </rich>
      </tx>
      <overlay val="0"/>
    </title>
    <plotArea>
      <barChart>
        <barDir val="bar"/>
        <grouping val="stacked"/>
        <ser>
          <idx val="0"/>
          <order val="0"/>
          <tx>
            <strRef>
              <f>'Số liệu'!C12</f>
            </strRef>
          </tx>
          <spPr>
            <a:solidFill xmlns:a="http://schemas.openxmlformats.org/drawingml/2006/main">
              <a:srgbClr val="0B7A4B"/>
            </a:solidFill>
            <a:ln xmlns:a="http://schemas.openxmlformats.org/drawingml/2006/main">
              <a:solidFill>
                <a:srgbClr val="0B7A4B"/>
              </a:solidFill>
              <a:prstDash val="solid"/>
            </a:ln>
          </spPr>
          <cat>
            <numRef>
              <f>'Số liệu'!$B$13:$B$20</f>
            </numRef>
          </cat>
          <val>
            <numRef>
              <f>'Số liệu'!$C$13:$C$20</f>
            </numRef>
          </val>
        </ser>
        <ser>
          <idx val="1"/>
          <order val="1"/>
          <tx>
            <strRef>
              <f>'Số liệu'!D12</f>
            </strRef>
          </tx>
          <spPr>
            <a:solidFill xmlns:a="http://schemas.openxmlformats.org/drawingml/2006/main">
              <a:srgbClr val="BFD8C9"/>
            </a:solidFill>
            <a:ln xmlns:a="http://schemas.openxmlformats.org/drawingml/2006/main">
              <a:solidFill>
                <a:srgbClr val="BFD8C9"/>
              </a:solidFill>
              <a:prstDash val="solid"/>
            </a:ln>
          </spPr>
          <cat>
            <numRef>
              <f>'Số liệu'!$B$13:$B$20</f>
            </numRef>
          </cat>
          <val>
            <numRef>
              <f>'Số liệu'!$D$13:$D$20</f>
            </numRef>
          </val>
        </ser>
        <gapWidth val="45"/>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800" b="0">
                <a:solidFill>
                  <a:srgbClr val="16231C"/>
                </a:solidFill>
                <a:latin typeface="Arial"/>
              </a:defRPr>
            </a:pPr>
            <a:r>
              <a:t/>
            </a:r>
            <a:endParaRPr sz="800" b="0">
              <a:solidFill>
                <a:srgbClr val="16231C"/>
              </a:solidFill>
              <a:latin typeface="Arial"/>
            </a:endParaRPr>
          </a:p>
        </txPr>
        <crossAx val="100"/>
        <lblOffset val="100"/>
      </catAx>
      <valAx>
        <axId val="100"/>
        <scaling>
          <orientation val="minMax"/>
        </scaling>
        <delete val="0"/>
        <axPos val="l"/>
        <numFmt formatCode="0" sourceLinked="0"/>
        <majorTickMark val="none"/>
        <minorTickMark val="none"/>
        <txPr>
          <a:bodyPr xmlns:a="http://schemas.openxmlformats.org/drawingml/2006/main"/>
          <a:p xmlns:a="http://schemas.openxmlformats.org/drawingml/2006/main">
            <a:pPr>
              <a:defRPr sz="750" b="0">
                <a:solidFill>
                  <a:srgbClr val="5A6A62"/>
                </a:solidFill>
                <a:latin typeface="Arial"/>
              </a:defRPr>
            </a:pPr>
            <a:r>
              <a:t/>
            </a:r>
            <a:endParaRPr sz="750" b="0">
              <a:solidFill>
                <a:srgbClr val="5A6A62"/>
              </a:solidFill>
              <a:latin typeface="Arial"/>
            </a:endParaRPr>
          </a:p>
        </txPr>
        <crossAx val="10"/>
        <crosses val="max"/>
      </valAx>
    </plotArea>
    <legend>
      <legendPos val="b"/>
      <txPr>
        <a:bodyPr xmlns:a="http://schemas.openxmlformats.org/drawingml/2006/main"/>
        <a:p xmlns:a="http://schemas.openxmlformats.org/drawingml/2006/main">
          <a:pPr>
            <a:defRPr sz="800" b="0">
              <a:solidFill>
                <a:srgbClr val="16231C"/>
              </a:solidFill>
              <a:latin typeface="Arial"/>
            </a:defRPr>
          </a:pPr>
          <a:r>
            <a:t/>
          </a:r>
          <a:endParaRPr sz="800" b="0">
            <a:solidFill>
              <a:srgbClr val="16231C"/>
            </a:solidFill>
            <a:latin typeface="Arial"/>
          </a:endParaRPr>
        </a:p>
      </txPr>
    </legend>
    <plotVisOnly val="1"/>
    <dispBlanksAs val="gap"/>
  </chart>
  <spPr>
    <a:ln xmlns:a="http://schemas.openxmlformats.org/drawingml/2006/main">
      <a:solidFill>
        <a:srgbClr val="DCE4DF"/>
      </a:solidFill>
      <a:prstDash val="solid"/>
    </a:ln>
  </spPr>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100" b="1">
                <a:solidFill>
                  <a:srgbClr val="16231C"/>
                </a:solidFill>
                <a:latin typeface="Arial"/>
              </a:defRPr>
            </a:pPr>
            <a:r>
              <a:rPr sz="1100" b="1">
                <a:solidFill>
                  <a:srgbClr val="16231C"/>
                </a:solidFill>
                <a:latin typeface="Arial"/>
              </a:rPr>
              <a:t>Phản ánh mới và đã xử lý theo tuần</a:t>
            </a:r>
          </a:p>
        </rich>
      </tx>
      <overlay val="0"/>
    </title>
    <plotArea>
      <barChart>
        <barDir val="col"/>
        <grouping val="clustered"/>
        <ser>
          <idx val="0"/>
          <order val="0"/>
          <tx>
            <strRef>
              <f>'Số liệu'!D30</f>
            </strRef>
          </tx>
          <spPr>
            <a:solidFill xmlns:a="http://schemas.openxmlformats.org/drawingml/2006/main">
              <a:srgbClr val="C9A443"/>
            </a:solidFill>
            <a:ln xmlns:a="http://schemas.openxmlformats.org/drawingml/2006/main">
              <a:solidFill>
                <a:srgbClr val="C9A443"/>
              </a:solidFill>
              <a:prstDash val="solid"/>
            </a:ln>
          </spPr>
          <cat>
            <numRef>
              <f>'Số liệu'!$C$31:$C$38</f>
            </numRef>
          </cat>
          <val>
            <numRef>
              <f>'Số liệu'!$D$31:$D$38</f>
            </numRef>
          </val>
        </ser>
        <ser>
          <idx val="1"/>
          <order val="1"/>
          <tx>
            <strRef>
              <f>'Số liệu'!E30</f>
            </strRef>
          </tx>
          <spPr>
            <a:solidFill xmlns:a="http://schemas.openxmlformats.org/drawingml/2006/main">
              <a:srgbClr val="0B7A4B"/>
            </a:solidFill>
            <a:ln xmlns:a="http://schemas.openxmlformats.org/drawingml/2006/main">
              <a:solidFill>
                <a:srgbClr val="0B7A4B"/>
              </a:solidFill>
              <a:prstDash val="solid"/>
            </a:ln>
          </spPr>
          <cat>
            <numRef>
              <f>'Số liệu'!$C$31:$C$38</f>
            </numRef>
          </cat>
          <val>
            <numRef>
              <f>'Số liệu'!$E$31:$E$38</f>
            </numRef>
          </val>
        </ser>
        <gapWidth val="60"/>
        <overlap val="-1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800" b="0">
                <a:solidFill>
                  <a:srgbClr val="16231C"/>
                </a:solidFill>
                <a:latin typeface="Arial"/>
              </a:defRPr>
            </a:pPr>
            <a:r>
              <a:t/>
            </a:r>
            <a:endParaRPr sz="800" b="0">
              <a:solidFill>
                <a:srgbClr val="16231C"/>
              </a:solidFill>
              <a:latin typeface="Arial"/>
            </a:endParaRPr>
          </a:p>
        </txPr>
        <crossAx val="100"/>
        <lblOffset val="100"/>
      </catAx>
      <valAx>
        <axId val="100"/>
        <scaling>
          <orientation val="minMax"/>
        </scaling>
        <delete val="0"/>
        <axPos val="l"/>
        <numFmt formatCode="0" sourceLinked="0"/>
        <majorTickMark val="none"/>
        <minorTickMark val="none"/>
        <txPr>
          <a:bodyPr xmlns:a="http://schemas.openxmlformats.org/drawingml/2006/main"/>
          <a:p xmlns:a="http://schemas.openxmlformats.org/drawingml/2006/main">
            <a:pPr>
              <a:defRPr sz="750" b="0">
                <a:solidFill>
                  <a:srgbClr val="5A6A62"/>
                </a:solidFill>
                <a:latin typeface="Arial"/>
              </a:defRPr>
            </a:pPr>
            <a:r>
              <a:t/>
            </a:r>
            <a:endParaRPr sz="750" b="0">
              <a:solidFill>
                <a:srgbClr val="5A6A62"/>
              </a:solidFill>
              <a:latin typeface="Arial"/>
            </a:endParaRPr>
          </a:p>
        </txPr>
        <crossAx val="10"/>
      </valAx>
    </plotArea>
    <legend>
      <legendPos val="b"/>
      <txPr>
        <a:bodyPr xmlns:a="http://schemas.openxmlformats.org/drawingml/2006/main"/>
        <a:p xmlns:a="http://schemas.openxmlformats.org/drawingml/2006/main">
          <a:pPr>
            <a:defRPr sz="800" b="0">
              <a:solidFill>
                <a:srgbClr val="16231C"/>
              </a:solidFill>
              <a:latin typeface="Arial"/>
            </a:defRPr>
          </a:pPr>
          <a:r>
            <a:t/>
          </a:r>
          <a:endParaRPr sz="800" b="0">
            <a:solidFill>
              <a:srgbClr val="16231C"/>
            </a:solidFill>
            <a:latin typeface="Arial"/>
          </a:endParaRPr>
        </a:p>
      </txPr>
    </legend>
    <plotVisOnly val="1"/>
    <dispBlanksAs val="gap"/>
  </chart>
  <spPr>
    <a:ln xmlns:a="http://schemas.openxmlformats.org/drawingml/2006/main">
      <a:solidFill>
        <a:srgbClr val="DCE4DF"/>
      </a:solidFill>
      <a:prstDash val="solid"/>
    </a:ln>
  </spPr>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100" b="1">
                <a:solidFill>
                  <a:srgbClr val="16231C"/>
                </a:solidFill>
                <a:latin typeface="Arial"/>
              </a:defRPr>
            </a:pPr>
            <a:r>
              <a:rPr sz="1100" b="1">
                <a:solidFill>
                  <a:srgbClr val="16231C"/>
                </a:solidFill>
                <a:latin typeface="Arial"/>
              </a:rPr>
              <a:t>Tồn đọng theo cấp độ khẩn</a:t>
            </a:r>
          </a:p>
        </rich>
      </tx>
      <overlay val="0"/>
    </title>
    <plotArea>
      <barChart>
        <barDir val="bar"/>
        <grouping val="clustered"/>
        <ser>
          <idx val="0"/>
          <order val="0"/>
          <tx>
            <strRef>
              <f>'Số liệu'!C23</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FFFFFF"/>
                </a:solidFill>
                <a:prstDash val="solid"/>
              </a:ln>
            </spPr>
          </dPt>
          <dPt>
            <idx val="1"/>
            <spPr>
              <a:solidFill xmlns:a="http://schemas.openxmlformats.org/drawingml/2006/main">
                <a:srgbClr val="D9771E"/>
              </a:solidFill>
              <a:ln xmlns:a="http://schemas.openxmlformats.org/drawingml/2006/main">
                <a:solidFill>
                  <a:srgbClr val="FFFFFF"/>
                </a:solidFill>
                <a:prstDash val="solid"/>
              </a:ln>
            </spPr>
          </dPt>
          <dPt>
            <idx val="2"/>
            <spPr>
              <a:solidFill xmlns:a="http://schemas.openxmlformats.org/drawingml/2006/main">
                <a:srgbClr val="E0A526"/>
              </a:solidFill>
              <a:ln xmlns:a="http://schemas.openxmlformats.org/drawingml/2006/main">
                <a:solidFill>
                  <a:srgbClr val="FFFFFF"/>
                </a:solidFill>
                <a:prstDash val="solid"/>
              </a:ln>
            </spPr>
          </dPt>
          <dPt>
            <idx val="3"/>
            <spPr>
              <a:solidFill xmlns:a="http://schemas.openxmlformats.org/drawingml/2006/main">
                <a:srgbClr val="5E8C72"/>
              </a:solidFill>
              <a:ln xmlns:a="http://schemas.openxmlformats.org/drawingml/2006/main">
                <a:solidFill>
                  <a:srgbClr val="FFFFFF"/>
                </a:solidFill>
                <a:prstDash val="solid"/>
              </a:ln>
            </spPr>
          </dPt>
          <cat>
            <numRef>
              <f>'Số liệu'!$B$24:$B$27</f>
            </numRef>
          </cat>
          <val>
            <numRef>
              <f>'Số liệu'!$C$24:$C$27</f>
            </numRef>
          </val>
        </ser>
        <dLbls>
          <txPr>
            <a:bodyPr xmlns:a="http://schemas.openxmlformats.org/drawingml/2006/main"/>
            <a:p xmlns:a="http://schemas.openxmlformats.org/drawingml/2006/main">
              <a:pPr>
                <a:defRPr sz="850" b="1">
                  <a:solidFill>
                    <a:srgbClr val="16231C"/>
                  </a:solidFill>
                  <a:latin typeface="Arial"/>
                </a:defRPr>
              </a:pPr>
              <a:r>
                <a:t/>
              </a:r>
              <a:endParaRPr sz="850" b="1">
                <a:solidFill>
                  <a:srgbClr val="16231C"/>
                </a:solidFill>
                <a:latin typeface="Arial"/>
              </a:endParaRPr>
            </a:p>
          </txPr>
          <dLblPos val="outEnd"/>
          <showLegendKey val="0"/>
          <showVal val="1"/>
          <showCatName val="0"/>
          <showSerName val="0"/>
          <showPercent val="0"/>
        </dLbls>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800" b="0">
                <a:solidFill>
                  <a:srgbClr val="16231C"/>
                </a:solidFill>
                <a:latin typeface="Arial"/>
              </a:defRPr>
            </a:pPr>
            <a:r>
              <a:t/>
            </a:r>
            <a:endParaRPr sz="800" b="0">
              <a:solidFill>
                <a:srgbClr val="16231C"/>
              </a:solidFill>
              <a:latin typeface="Arial"/>
            </a:endParaRPr>
          </a:p>
        </txPr>
        <crossAx val="100"/>
        <lblOffset val="100"/>
      </catAx>
      <valAx>
        <axId val="100"/>
        <scaling>
          <orientation val="minMax"/>
        </scaling>
        <delete val="0"/>
        <axPos val="l"/>
        <numFmt formatCode="0" sourceLinked="0"/>
        <majorTickMark val="none"/>
        <minorTickMark val="none"/>
        <txPr>
          <a:bodyPr xmlns:a="http://schemas.openxmlformats.org/drawingml/2006/main"/>
          <a:p xmlns:a="http://schemas.openxmlformats.org/drawingml/2006/main">
            <a:pPr>
              <a:defRPr sz="750" b="0">
                <a:solidFill>
                  <a:srgbClr val="5A6A62"/>
                </a:solidFill>
                <a:latin typeface="Arial"/>
              </a:defRPr>
            </a:pPr>
            <a:r>
              <a:t/>
            </a:r>
            <a:endParaRPr sz="750" b="0">
              <a:solidFill>
                <a:srgbClr val="5A6A62"/>
              </a:solidFill>
              <a:latin typeface="Arial"/>
            </a:endParaRPr>
          </a:p>
        </txPr>
        <crossAx val="10"/>
        <crosses val="max"/>
      </valAx>
    </plotArea>
    <plotVisOnly val="1"/>
    <dispBlanksAs val="gap"/>
  </chart>
  <spPr>
    <a:ln xmlns:a="http://schemas.openxmlformats.org/drawingml/2006/main">
      <a:solidFill>
        <a:srgbClr val="DCE4DF"/>
      </a:solidFill>
      <a:prstDash val="solid"/>
    </a:ln>
  </spPr>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100" b="1">
                <a:solidFill>
                  <a:srgbClr val="16231C"/>
                </a:solidFill>
                <a:latin typeface="Arial"/>
              </a:defRPr>
            </a:pPr>
            <a:r>
              <a:rPr sz="1100" b="1">
                <a:solidFill>
                  <a:srgbClr val="16231C"/>
                </a:solidFill>
                <a:latin typeface="Arial"/>
              </a:rPr>
              <a:t>Công việc theo nhóm</a:t>
            </a:r>
          </a:p>
        </rich>
      </tx>
      <overlay val="0"/>
    </title>
    <plotArea>
      <barChart>
        <barDir val="bar"/>
        <grouping val="stacked"/>
        <ser>
          <idx val="0"/>
          <order val="0"/>
          <tx>
            <strRef>
              <f>'Số liệu'!C41</f>
            </strRef>
          </tx>
          <spPr>
            <a:solidFill xmlns:a="http://schemas.openxmlformats.org/drawingml/2006/main">
              <a:srgbClr val="0B7A4B"/>
            </a:solidFill>
            <a:ln xmlns:a="http://schemas.openxmlformats.org/drawingml/2006/main">
              <a:solidFill>
                <a:srgbClr val="0B7A4B"/>
              </a:solidFill>
              <a:prstDash val="solid"/>
            </a:ln>
          </spPr>
          <cat>
            <numRef>
              <f>'Số liệu'!$B$42:$B$48</f>
            </numRef>
          </cat>
          <val>
            <numRef>
              <f>'Số liệu'!$C$42:$C$48</f>
            </numRef>
          </val>
        </ser>
        <ser>
          <idx val="1"/>
          <order val="1"/>
          <tx>
            <strRef>
              <f>'Số liệu'!D41</f>
            </strRef>
          </tx>
          <spPr>
            <a:solidFill xmlns:a="http://schemas.openxmlformats.org/drawingml/2006/main">
              <a:srgbClr val="C9A443"/>
            </a:solidFill>
            <a:ln xmlns:a="http://schemas.openxmlformats.org/drawingml/2006/main">
              <a:solidFill>
                <a:srgbClr val="C9A443"/>
              </a:solidFill>
              <a:prstDash val="solid"/>
            </a:ln>
          </spPr>
          <cat>
            <numRef>
              <f>'Số liệu'!$B$42:$B$48</f>
            </numRef>
          </cat>
          <val>
            <numRef>
              <f>'Số liệu'!$D$42:$D$48</f>
            </numRef>
          </val>
        </ser>
        <gapWidth val="45"/>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800" b="0">
                <a:solidFill>
                  <a:srgbClr val="16231C"/>
                </a:solidFill>
                <a:latin typeface="Arial"/>
              </a:defRPr>
            </a:pPr>
            <a:r>
              <a:t/>
            </a:r>
            <a:endParaRPr sz="800" b="0">
              <a:solidFill>
                <a:srgbClr val="16231C"/>
              </a:solidFill>
              <a:latin typeface="Arial"/>
            </a:endParaRPr>
          </a:p>
        </txPr>
        <crossAx val="100"/>
        <lblOffset val="100"/>
      </catAx>
      <valAx>
        <axId val="100"/>
        <scaling>
          <orientation val="minMax"/>
        </scaling>
        <delete val="0"/>
        <axPos val="l"/>
        <numFmt formatCode="0" sourceLinked="0"/>
        <majorTickMark val="none"/>
        <minorTickMark val="none"/>
        <txPr>
          <a:bodyPr xmlns:a="http://schemas.openxmlformats.org/drawingml/2006/main"/>
          <a:p xmlns:a="http://schemas.openxmlformats.org/drawingml/2006/main">
            <a:pPr>
              <a:defRPr sz="750" b="0">
                <a:solidFill>
                  <a:srgbClr val="5A6A62"/>
                </a:solidFill>
                <a:latin typeface="Arial"/>
              </a:defRPr>
            </a:pPr>
            <a:r>
              <a:t/>
            </a:r>
            <a:endParaRPr sz="750" b="0">
              <a:solidFill>
                <a:srgbClr val="5A6A62"/>
              </a:solidFill>
              <a:latin typeface="Arial"/>
            </a:endParaRPr>
          </a:p>
        </txPr>
        <crossAx val="10"/>
        <crosses val="max"/>
      </valAx>
    </plotArea>
    <legend>
      <legendPos val="b"/>
      <txPr>
        <a:bodyPr xmlns:a="http://schemas.openxmlformats.org/drawingml/2006/main"/>
        <a:p xmlns:a="http://schemas.openxmlformats.org/drawingml/2006/main">
          <a:pPr>
            <a:defRPr sz="800" b="0">
              <a:solidFill>
                <a:srgbClr val="16231C"/>
              </a:solidFill>
              <a:latin typeface="Arial"/>
            </a:defRPr>
          </a:pPr>
          <a:r>
            <a:t/>
          </a:r>
          <a:endParaRPr sz="800" b="0">
            <a:solidFill>
              <a:srgbClr val="16231C"/>
            </a:solidFill>
            <a:latin typeface="Arial"/>
          </a:endParaRPr>
        </a:p>
      </txPr>
    </legend>
    <plotVisOnly val="1"/>
    <dispBlanksAs val="gap"/>
  </chart>
  <spPr>
    <a:ln xmlns:a="http://schemas.openxmlformats.org/drawingml/2006/main">
      <a:solidFill>
        <a:srgbClr val="DCE4DF"/>
      </a:solid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sz="1100" b="1">
                <a:solidFill>
                  <a:srgbClr val="16231C"/>
                </a:solidFill>
                <a:latin typeface="Arial"/>
              </a:defRPr>
            </a:pPr>
            <a:r>
              <a:rPr sz="1100" b="1">
                <a:solidFill>
                  <a:srgbClr val="16231C"/>
                </a:solidFill>
                <a:latin typeface="Arial"/>
              </a:rPr>
              <a:t>Tình hình tiến độ các đầu việc đang mở</a:t>
            </a:r>
          </a:p>
        </rich>
      </tx>
      <overlay val="0"/>
    </title>
    <plotArea>
      <barChart>
        <barDir val="col"/>
        <grouping val="clustered"/>
        <ser>
          <idx val="0"/>
          <order val="0"/>
          <tx>
            <strRef>
              <f>'Số liệu'!C51</f>
            </strRef>
          </tx>
          <spPr>
            <a:ln xmlns:a="http://schemas.openxmlformats.org/drawingml/2006/main">
              <a:prstDash val="solid"/>
            </a:ln>
          </spPr>
          <dPt>
            <idx val="0"/>
            <spPr>
              <a:solidFill xmlns:a="http://schemas.openxmlformats.org/drawingml/2006/main">
                <a:srgbClr val="0B7A4B"/>
              </a:solidFill>
              <a:ln xmlns:a="http://schemas.openxmlformats.org/drawingml/2006/main">
                <a:solidFill>
                  <a:srgbClr val="FFFFFF"/>
                </a:solidFill>
                <a:prstDash val="solid"/>
              </a:ln>
            </spPr>
          </dPt>
          <dPt>
            <idx val="1"/>
            <spPr>
              <a:solidFill xmlns:a="http://schemas.openxmlformats.org/drawingml/2006/main">
                <a:srgbClr val="9AA5A0"/>
              </a:solidFill>
              <a:ln xmlns:a="http://schemas.openxmlformats.org/drawingml/2006/main">
                <a:solidFill>
                  <a:srgbClr val="FFFFFF"/>
                </a:solidFill>
                <a:prstDash val="solid"/>
              </a:ln>
            </spPr>
          </dPt>
          <dPt>
            <idx val="2"/>
            <spPr>
              <a:solidFill xmlns:a="http://schemas.openxmlformats.org/drawingml/2006/main">
                <a:srgbClr val="F0B060"/>
              </a:solidFill>
              <a:ln xmlns:a="http://schemas.openxmlformats.org/drawingml/2006/main">
                <a:solidFill>
                  <a:srgbClr val="FFFFFF"/>
                </a:solidFill>
                <a:prstDash val="solid"/>
              </a:ln>
            </spPr>
          </dPt>
          <dPt>
            <idx val="3"/>
            <spPr>
              <a:solidFill xmlns:a="http://schemas.openxmlformats.org/drawingml/2006/main">
                <a:srgbClr val="D9B23C"/>
              </a:solidFill>
              <a:ln xmlns:a="http://schemas.openxmlformats.org/drawingml/2006/main">
                <a:solidFill>
                  <a:srgbClr val="FFFFFF"/>
                </a:solidFill>
                <a:prstDash val="solid"/>
              </a:ln>
            </spPr>
          </dPt>
          <dPt>
            <idx val="4"/>
            <spPr>
              <a:solidFill xmlns:a="http://schemas.openxmlformats.org/drawingml/2006/main">
                <a:srgbClr val="D9771E"/>
              </a:solidFill>
              <a:ln xmlns:a="http://schemas.openxmlformats.org/drawingml/2006/main">
                <a:solidFill>
                  <a:srgbClr val="FFFFFF"/>
                </a:solidFill>
                <a:prstDash val="solid"/>
              </a:ln>
            </spPr>
          </dPt>
          <dPt>
            <idx val="5"/>
            <spPr>
              <a:solidFill xmlns:a="http://schemas.openxmlformats.org/drawingml/2006/main">
                <a:srgbClr val="C0392B"/>
              </a:solidFill>
              <a:ln xmlns:a="http://schemas.openxmlformats.org/drawingml/2006/main">
                <a:solidFill>
                  <a:srgbClr val="FFFFFF"/>
                </a:solidFill>
                <a:prstDash val="solid"/>
              </a:ln>
            </spPr>
          </dPt>
          <cat>
            <numRef>
              <f>'Số liệu'!$B$52:$B$57</f>
            </numRef>
          </cat>
          <val>
            <numRef>
              <f>'Số liệu'!$C$52:$C$57</f>
            </numRef>
          </val>
        </ser>
        <dLbls>
          <txPr>
            <a:bodyPr xmlns:a="http://schemas.openxmlformats.org/drawingml/2006/main"/>
            <a:p xmlns:a="http://schemas.openxmlformats.org/drawingml/2006/main">
              <a:pPr>
                <a:defRPr sz="850" b="1">
                  <a:solidFill>
                    <a:srgbClr val="16231C"/>
                  </a:solidFill>
                  <a:latin typeface="Arial"/>
                </a:defRPr>
              </a:pPr>
              <a:r>
                <a:t/>
              </a:r>
              <a:endParaRPr sz="850" b="1">
                <a:solidFill>
                  <a:srgbClr val="16231C"/>
                </a:solidFill>
                <a:latin typeface="Arial"/>
              </a:endParaRPr>
            </a:p>
          </txPr>
          <dLblPos val="outEnd"/>
          <showLegendKey val="0"/>
          <showVal val="1"/>
          <showCatName val="0"/>
          <showSerName val="0"/>
          <showPercent val="0"/>
        </dLbls>
        <gapWidth val="45"/>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800" b="0">
                <a:solidFill>
                  <a:srgbClr val="16231C"/>
                </a:solidFill>
                <a:latin typeface="Arial"/>
              </a:defRPr>
            </a:pPr>
            <a:r>
              <a:t/>
            </a:r>
            <a:endParaRPr sz="800" b="0">
              <a:solidFill>
                <a:srgbClr val="16231C"/>
              </a:solidFill>
              <a:latin typeface="Arial"/>
            </a:endParaRPr>
          </a:p>
        </txPr>
        <crossAx val="100"/>
        <lblOffset val="100"/>
      </catAx>
      <valAx>
        <axId val="100"/>
        <scaling>
          <orientation val="minMax"/>
        </scaling>
        <delete val="0"/>
        <axPos val="l"/>
        <numFmt formatCode="0" sourceLinked="0"/>
        <majorTickMark val="none"/>
        <minorTickMark val="none"/>
        <txPr>
          <a:bodyPr xmlns:a="http://schemas.openxmlformats.org/drawingml/2006/main"/>
          <a:p xmlns:a="http://schemas.openxmlformats.org/drawingml/2006/main">
            <a:pPr>
              <a:defRPr sz="750" b="0">
                <a:solidFill>
                  <a:srgbClr val="5A6A62"/>
                </a:solidFill>
                <a:latin typeface="Arial"/>
              </a:defRPr>
            </a:pPr>
            <a:r>
              <a:t/>
            </a:r>
            <a:endParaRPr sz="750" b="0">
              <a:solidFill>
                <a:srgbClr val="5A6A62"/>
              </a:solidFill>
              <a:latin typeface="Arial"/>
            </a:endParaRPr>
          </a:p>
        </txPr>
        <crossAx val="10"/>
      </valAx>
    </plotArea>
    <plotVisOnly val="1"/>
    <dispBlanksAs val="gap"/>
  </chart>
  <spPr>
    <a:ln xmlns:a="http://schemas.openxmlformats.org/drawingml/2006/main">
      <a:solidFill>
        <a:srgbClr val="DCE4DF"/>
      </a:solidFill>
      <a:prstDash val="solid"/>
    </a:ln>
  </spPr>
</chartSpace>
</file>

<file path=xl/comments/comment1.xml><?xml version="1.0" encoding="utf-8"?>
<comments xmlns="http://schemas.openxmlformats.org/spreadsheetml/2006/main">
  <authors>
    <author>SSR</author>
  </authors>
  <commentList>
    <comment ref="AH3" authorId="0" shapeId="0">
      <text>
        <t>Mặc định là thời điểm hiện tại (=NOW()), tự cập nhật mỗi khi file tính lại. Gõ ngày giờ khác, ví dụ 20/09/2026 17:00, để xem lại tình hình tại thời điểm đó; nhập lại =NOW() để quay về hiện tại.</t>
      </text>
    </comment>
    <comment ref="AH7" authorId="0" shapeId="0">
      <text>
        <t>Chỉ số 100 điểm trừ dần: mỗi việc nhắc nhở 2, cảnh báo 5, báo động 10, báo động đỏ 15 điểm (tối đa 60); mỗi việc chậm tiến độ 2 điểm (tối đa 15); tỷ lệ đúng hạn 30 ngày trừ tối đa 25 điểm. Cùng cách tính với bản dashboard HTML.</t>
      </text>
    </comment>
  </commentList>
</comments>
</file>

<file path=xl/comments/comment2.xml><?xml version="1.0" encoding="utf-8"?>
<comments xmlns="http://schemas.openxmlformats.org/spreadsheetml/2006/main">
  <authors>
    <author>SSR</author>
  </authors>
  <commentList>
    <comment ref="A5" authorId="0" shapeId="0">
      <text>
        <t>Mỗi phản ánh một mã riêng, ví dụ PA-012. Xem ô Mã gợi ý phía trên.</t>
      </text>
    </comment>
    <comment ref="B5" authorId="0" shapeId="0">
      <text>
        <t>Ngày giờ tiếp nhận phản ánh, dạng dd/mm/yyyy hh:mm. Phím tắt: Ctrl+; rồi dấu cách rồi Ctrl+Shift+;</t>
      </text>
    </comment>
    <comment ref="G5" authorId="0" shapeId="0">
      <text>
        <t>Chỉ chọn khi vị trí là một block: Sảnh, 1 đến 23 hoặc Mái.</t>
      </text>
    </comment>
    <comment ref="K5" authorId="0" shapeId="0">
      <text>
        <t>Người chịu trách nhiệm chính, theo dõi đến khi xử lý xong. Danh sách ở tab Danh mục, cột R.</t>
      </text>
    </comment>
    <comment ref="L5" authorId="0" shapeId="0">
      <text>
        <t>Người trực tiếp bắt tay xử lý. Danh sách ở tab Danh mục, cột V; có thể gõ tên khác.</t>
      </text>
    </comment>
    <comment ref="O5" authorId="0" shapeId="0">
      <text>
        <t>Thời gian dự kiến từ lúc ghi nhận đến lúc xử lý xong. Nhập số, chọn đơn vị ở cột bên phải.</t>
      </text>
    </comment>
    <comment ref="P5" authorId="0" shapeId="0">
      <text>
        <t>Giờ hoặc Ngày. Để trống được hiểu là Ngày.</t>
      </text>
    </comment>
    <comment ref="Q5" authorId="0" shapeId="0">
      <text>
        <t>Hạn phải xử lý xong. Nhập ngày không kèm giờ được hiểu là 23:59 ngày đó. Để trống: tự tính bằng thời điểm ghi nhận cộng thời gian ước tính, chưa có ước tính thì cộng thời hạn chuẩn theo cấp độ khẩn (tab Danh mục).</t>
      </text>
    </comment>
    <comment ref="U5" authorId="0" shapeId="0">
      <text>
        <t>Deadline đã nhập; nếu để trống thì là deadline tự tính.</t>
      </text>
    </comment>
    <comment ref="X5" authorId="0" shapeId="0">
      <text>
        <t>Mức tiến độ lẽ ra phải đạt tính đến Thời điểm báo cáo, chia đều từ thời điểm ghi nhận đến deadline.</t>
      </text>
    </comment>
    <comment ref="Y5" authorId="0" shapeId="0">
      <text>
        <t>Chậm tiến độ khi thực tế thấp hơn kế hoạch từ 20 điểm % trở lên. Sắp đến hạn khi còn dưới 24 giờ.</t>
      </text>
    </comment>
    <comment ref="AA5" authorId="0" shapeId="0">
      <text>
        <t>Lấy từ dòng Nhật ký có trạng thái Đã xử lý.</t>
      </text>
    </comment>
    <comment ref="AB5" authorId="0" shapeId="0">
      <text>
        <t>Từ thời điểm ghi nhận đến thời điểm xử lý xong.</t>
      </text>
    </comment>
    <comment ref="AD5" authorId="0" shapeId="0">
      <text>
        <t>Tự bật khi quá deadline: dưới 1 ngày Nhắc nhở, 1 đến 3 ngày Cảnh báo, 3 đến 7 ngày Báo động, trên 7 ngày Báo động đỏ. Khẩn cấp tăng 2 mức, Cao tăng 1, Thấp giảm 1. Tự tắt khi Nhật ký ghi Đã xử lý.</t>
      </text>
    </comment>
  </commentList>
</comments>
</file>

<file path=xl/comments/comment3.xml><?xml version="1.0" encoding="utf-8"?>
<comments xmlns="http://schemas.openxmlformats.org/spreadsheetml/2006/main">
  <authors>
    <author>SSR</author>
  </authors>
  <commentList>
    <comment ref="A5" authorId="0" shapeId="0">
      <text>
        <t>Mỗi công việc một mã riêng, ví dụ CV-022.</t>
      </text>
    </comment>
    <comment ref="I5" authorId="0" shapeId="0">
      <text>
        <t>Ngày của một kỳ bất kỳ làm mốc, các kỳ sau cách đều theo tần suất.</t>
      </text>
    </comment>
    <comment ref="K5" authorId="0" shapeId="0">
      <text>
        <t>Để trống: tự tính bằng thời điểm ghi nhận cộng thời gian ước tính, chưa có ước tính thì theo mức ưu tiên. Nhập ngày không kèm giờ được hiểu là 23:59.</t>
      </text>
    </comment>
    <comment ref="R5" authorId="0" shapeId="0">
      <text>
        <t>Việc định kỳ: thời gian làm mỗi kỳ. Việc đột xuất: thời gian từ lúc ghi nhận đến lúc hoàn thành.</t>
      </text>
    </comment>
    <comment ref="S5" authorId="0" shapeId="0">
      <text>
        <t>Giờ hoặc Ngày. Để trống được hiểu là Giờ.</t>
      </text>
    </comment>
    <comment ref="Y5" authorId="0" shapeId="0">
      <text>
        <t>Việc đột xuất: deadline áp dụng. Việc định kỳ: ngày của kỳ tới, tự chuyển khi Nhật ký ghi Hoàn thành kỳ.</t>
      </text>
    </comment>
    <comment ref="AC5" authorId="0" shapeId="0">
      <text>
        <t>Chỉ tính cho việc đột xuất: chia đều từ thời điểm ghi nhận đến deadline.</t>
      </text>
    </comment>
    <comment ref="AE5" authorId="0" shapeId="0">
      <text>
        <t>Việc đột xuất: từ lúc ghi nhận đến lúc hoàn thành. Việc định kỳ: bình quân cột Thời gian thực hiện ở Nhật ký.</t>
      </text>
    </comment>
    <comment ref="AG5" authorId="0" shapeId="0">
      <text>
        <t>Tự bật khi quá deadline hoặc quá kỳ. Mức tăng theo thời gian quá hạn; việc đột xuất cộng theo mức ưu tiên, việc định kỳ PCCC và an ninh tăng 1 mức. Tự tắt khi hoàn thành.</t>
      </text>
    </comment>
  </commentList>
</comments>
</file>

<file path=xl/comments/comment4.xml><?xml version="1.0" encoding="utf-8"?>
<comments xmlns="http://schemas.openxmlformats.org/spreadsheetml/2006/main">
  <authors>
    <author>SSR</author>
  </authors>
  <commentList>
    <comment ref="B5" authorId="0" shapeId="0">
      <text>
        <t>Ngày giờ cập nhật, dạng dd/mm/yyyy hh:mm. Với dòng Đã xử lý hoặc Hoàn thành, đây là thời điểm xử lý xong.</t>
      </text>
    </comment>
    <comment ref="E5" authorId="0" shapeId="0">
      <text>
        <t>Phản ánh: Mới tiếp nhận, Đang xử lý, Chờ nhà thầu, Đã xử lý. Công việc: Chưa bắt đầu, Đang thực hiện, Tạm hoãn, Hoàn thành; việc định kỳ làm xong một kỳ chọn Hoàn thành kỳ.</t>
      </text>
    </comment>
    <comment ref="H5" authorId="0" shapeId="0">
      <text>
        <t>Không bắt buộc. Với việc định kỳ, khi ghi Hoàn thành kỳ hãy nhập số giờ thực tế đã làm để so với thời gian ước tính mỗi kỳ.</t>
      </text>
    </comment>
    <comment ref="L5" authorId="0" shapeId="0">
      <text>
        <t>Chỉ tính cho dòng hoàn thành: deadline của việc hoặc ngày của kỳ vừa làm xong.</t>
      </text>
    </comment>
  </commentList>
</comments>
</file>

<file path=xl/comments/comment5.xml><?xml version="1.0" encoding="utf-8"?>
<comments xmlns="http://schemas.openxmlformats.org/spreadsheetml/2006/main">
  <authors>
    <author>SSR</author>
  </authors>
  <commentList>
    <comment ref="AC6" authorId="0" shapeId="0">
      <text>
        <t>Thời hạn chuẩn tính từ thời điểm ghi nhận. Dùng để tự đặt deadline khi ô Deadline để trống và chưa nhập thời gian ước tính. Có thể sửa số giờ.</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image" Target="/xl/media/image2.png" Id="rId7"/></Relationships>
</file>

<file path=xl/drawings/drawing1.xml><?xml version="1.0" encoding="utf-8"?>
<wsDr xmlns="http://schemas.openxmlformats.org/drawingml/2006/spreadsheetDrawing">
  <oneCellAnchor>
    <from>
      <col>4</col>
      <colOff>0</colOff>
      <row>0</row>
      <rowOff>0</rowOff>
    </from>
    <ext cx="552450"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23</row>
      <rowOff>0</rowOff>
    </from>
    <ext cx="3888000" cy="316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14</col>
      <colOff>0</colOff>
      <row>23</row>
      <rowOff>0</rowOff>
    </from>
    <ext cx="3888000" cy="316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27</col>
      <colOff>0</colOff>
      <row>23</row>
      <rowOff>0</rowOff>
    </from>
    <ext cx="3888000" cy="3168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41</row>
      <rowOff>0</rowOff>
    </from>
    <ext cx="3888000" cy="3168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14</col>
      <colOff>0</colOff>
      <row>41</row>
      <rowOff>0</rowOff>
    </from>
    <ext cx="3888000" cy="3168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27</col>
      <colOff>0</colOff>
      <row>41</row>
      <rowOff>0</rowOff>
    </from>
    <ext cx="3888000" cy="3168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col>
      <colOff>0</colOff>
      <row>1</row>
      <rowOff>0</rowOff>
    </from>
    <ext cx="876300" cy="876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tabColor rgb="00C9A443"/>
    <outlinePr summaryBelow="1" summaryRight="1"/>
    <pageSetUpPr fitToPage="1"/>
  </sheetPr>
  <dimension ref="A1:F111"/>
  <sheetViews>
    <sheetView showGridLines="0" tabSelected="0" zoomScale="100" workbookViewId="0">
      <selection activeCell="A1" sqref="A1"/>
    </sheetView>
  </sheetViews>
  <sheetFormatPr baseColWidth="8" defaultRowHeight="15"/>
  <cols>
    <col width="2" customWidth="1" min="1" max="1"/>
    <col width="6" customWidth="1" min="2" max="2"/>
    <col width="24" customWidth="1" min="3" max="3"/>
    <col width="70" customWidth="1" min="4" max="4"/>
    <col width="24" customWidth="1" min="5" max="5"/>
    <col width="2" customWidth="1" min="6" max="6"/>
  </cols>
  <sheetData>
    <row r="1" ht="44" customHeight="1">
      <c r="A1" s="1" t="n"/>
      <c r="B1" s="2" t="inlineStr">
        <is>
          <t>HƯỚNG DẪN SỬ DỤNG</t>
        </is>
      </c>
      <c r="F1" s="1" t="n"/>
    </row>
    <row r="2" ht="22" customHeight="1">
      <c r="A2" s="3" t="n"/>
      <c r="B2" s="4" t="inlineStr">
        <is>
          <t>Bảng điều hành Saigon South Residences: phản ánh cư dân và kế hoạch bảo trì, vệ sinh, cảnh quan</t>
        </is>
      </c>
      <c r="C2" s="5" t="n"/>
      <c r="D2" s="5" t="n"/>
      <c r="E2" s="5" t="n"/>
      <c r="F2" s="3" t="n"/>
    </row>
    <row r="4" ht="32" customHeight="1">
      <c r="B4" s="6" t="inlineStr">
        <is>
          <t>File dùng để ghi nhận phản ánh của cư dân, lập kế hoạch vận hành và theo dõi tiến độ xử lý. Mọi con số, biểu đồ và sơ đồ ở tab Tổng quan tự thay đổi ngay khi nhập dữ liệu mới, không cần thao tác thêm.</t>
        </is>
      </c>
    </row>
    <row r="6" ht="24" customHeight="1">
      <c r="B6" s="7" t="inlineStr">
        <is>
          <t>1</t>
        </is>
      </c>
      <c r="C6" s="8" t="inlineStr">
        <is>
          <t>Các tab trong file</t>
        </is>
      </c>
      <c r="D6" s="9" t="n"/>
      <c r="E6" s="9" t="n"/>
    </row>
    <row r="7">
      <c r="C7" s="10" t="inlineStr">
        <is>
          <t>Tab</t>
        </is>
      </c>
      <c r="D7" s="10" t="inlineStr">
        <is>
          <t>Công dụng</t>
        </is>
      </c>
      <c r="E7" s="10" t="inlineStr">
        <is>
          <t>Người nhập</t>
        </is>
      </c>
    </row>
    <row r="8" ht="20" customHeight="1">
      <c r="C8" s="11" t="inlineStr">
        <is>
          <t>Hướng dẫn</t>
        </is>
      </c>
      <c r="D8" s="12" t="inlineStr">
        <is>
          <t>Tài liệu hướng dẫn này.</t>
        </is>
      </c>
      <c r="E8" s="13" t="inlineStr">
        <is>
          <t>Chỉ đọc</t>
        </is>
      </c>
    </row>
    <row r="9" ht="44" customHeight="1">
      <c r="C9" s="14" t="inlineStr">
        <is>
          <t>Tổng quan</t>
        </is>
      </c>
      <c r="D9" s="12" t="inlineStr">
        <is>
          <t>Bảng điều hành: thẻ chỉ số, tóm tắt tự động, lịch 14 ngày, 6 biểu đồ, sơ đồ 6 block, bảng theo khu vực, danh sách cần chú ý, thời gian xử lý và deadline, bảng theo người phụ trách, chi phí.</t>
        </is>
      </c>
      <c r="E9" s="13" t="inlineStr">
        <is>
          <t>Tự động; chỉ đổi Thời điểm báo cáo khi cần</t>
        </is>
      </c>
    </row>
    <row r="10" ht="30" customHeight="1">
      <c r="C10" s="15" t="inlineStr">
        <is>
          <t>Báo cáo tuần</t>
        </is>
      </c>
      <c r="D10" s="12" t="inlineStr">
        <is>
          <t>Trang tóm tắt khổ A4 để in hoặc lưu PDF khi họp: chỉ số chính, việc cần chú ý, bảng theo người phụ trách, lời nhắn chưa phản hồi. Tự cập nhật.</t>
        </is>
      </c>
      <c r="E10" s="13" t="inlineStr">
        <is>
          <t>Không sửa</t>
        </is>
      </c>
    </row>
    <row r="11" ht="30" customHeight="1">
      <c r="C11" s="16" t="inlineStr">
        <is>
          <t>Phản ánh</t>
        </is>
      </c>
      <c r="D11" s="12" t="inlineStr">
        <is>
          <t>Sổ ghi phản ánh: thời điểm ghi nhận, kênh, căn hộ, nội dung, vị trí, người phụ trách, người thực hiện, thời gian ước tính, deadline.</t>
        </is>
      </c>
      <c r="E11" s="13" t="inlineStr">
        <is>
          <t>Ban Quản lý, TV BQT</t>
        </is>
      </c>
    </row>
    <row r="12" ht="30" customHeight="1">
      <c r="C12" s="17" t="inlineStr">
        <is>
          <t>Kế hoạch</t>
        </is>
      </c>
      <c r="D12" s="12" t="inlineStr">
        <is>
          <t>Kế hoạch bảo trì, vệ sinh, cảnh quan: việc định kỳ lặp theo tần suất và việc đột xuất, kèm người phụ trách, ước tính, dự toán và chi phí.</t>
        </is>
      </c>
      <c r="E12" s="13" t="inlineStr">
        <is>
          <t>Ban Quản lý</t>
        </is>
      </c>
    </row>
    <row r="13" ht="30" customHeight="1">
      <c r="C13" s="18" t="inlineStr">
        <is>
          <t>Nhật ký tiến độ</t>
        </is>
      </c>
      <c r="D13" s="12" t="inlineStr">
        <is>
          <t>Mỗi lần cập nhật tiến độ ghi một dòng kèm thời điểm. Đây là nguồn của trạng thái, tiến độ và thời điểm xử lý xong.</t>
        </is>
      </c>
      <c r="E13" s="13" t="inlineStr">
        <is>
          <t>Người phụ trách từng việc</t>
        </is>
      </c>
    </row>
    <row r="14" ht="30" customHeight="1">
      <c r="C14" s="19" t="inlineStr">
        <is>
          <t>Lời nhắn</t>
        </is>
      </c>
      <c r="D14" s="12" t="inlineStr">
        <is>
          <t>Lời nhắn của người xem gửi Ban Quản lý và phần phản hồi. Không liên kết với phản ánh, kế hoạch hay số liệu tổng quan.</t>
        </is>
      </c>
      <c r="E14" s="13" t="inlineStr">
        <is>
          <t>Người xem (cột B đến F), Ban Quản lý (cột G đến J)</t>
        </is>
      </c>
    </row>
    <row r="15" ht="30" customHeight="1">
      <c r="C15" s="20" t="inlineStr">
        <is>
          <t>Danh mục</t>
        </is>
      </c>
      <c r="D15" s="12" t="inlineStr">
        <is>
          <t>Danh sách thả xuống: TV BQT, đơn vị, người phụ trách, người thực hiện, kênh tiếp nhận, thời hạn chuẩn theo cấp độ khẩn.</t>
        </is>
      </c>
      <c r="E15" s="13" t="inlineStr">
        <is>
          <t>Thư ký BQT</t>
        </is>
      </c>
    </row>
    <row r="16" ht="20" customHeight="1">
      <c r="C16" s="21" t="inlineStr">
        <is>
          <t>Số liệu</t>
        </is>
      </c>
      <c r="D16" s="12" t="inlineStr">
        <is>
          <t>Bảng số tự tính để vẽ biểu đồ.</t>
        </is>
      </c>
      <c r="E16" s="13" t="inlineStr">
        <is>
          <t>Không sửa</t>
        </is>
      </c>
    </row>
    <row r="17" ht="16" customHeight="1">
      <c r="B17" s="22" t="inlineStr">
        <is>
          <t>•</t>
        </is>
      </c>
      <c r="C17" s="23" t="inlineStr">
        <is>
          <t>Màu của từng tab dưới đáy cửa sổ trùng với màu ở cột Tab bên trên để dễ nhận ra.</t>
        </is>
      </c>
    </row>
    <row r="19" ht="24" customHeight="1">
      <c r="B19" s="7" t="inlineStr">
        <is>
          <t>2</t>
        </is>
      </c>
      <c r="C19" s="8" t="inlineStr">
        <is>
          <t>Quy trình mỗi ngày</t>
        </is>
      </c>
      <c r="D19" s="9" t="n"/>
      <c r="E19" s="9" t="n"/>
    </row>
    <row r="20" ht="30" customHeight="1">
      <c r="B20" s="22" t="inlineStr">
        <is>
          <t>1</t>
        </is>
      </c>
      <c r="C20" s="23" t="inlineStr">
        <is>
          <t>Có phản ánh mới: thêm một dòng ở tab Phản ánh, dùng mã ở ô Mã gợi ý tiếp theo (ô nền vàng phía trên bảng), ghi thời điểm ghi nhận, người phụ trách và người thực hiện.</t>
        </is>
      </c>
    </row>
    <row r="21" ht="16" customHeight="1">
      <c r="B21" s="22" t="inlineStr">
        <is>
          <t>2</t>
        </is>
      </c>
      <c r="C21" s="23" t="inlineStr">
        <is>
          <t>Có việc cần làm: thêm một dòng ở tab Kế hoạch, chọn Định kỳ hoặc Đột xuất.</t>
        </is>
      </c>
    </row>
    <row r="22" ht="30" customHeight="1">
      <c r="B22" s="22" t="inlineStr">
        <is>
          <t>3</t>
        </is>
      </c>
      <c r="C22" s="23" t="inlineStr">
        <is>
          <t>Có tiến triển: ghi một dòng mới ở tab Nhật ký tiến độ gồm thời điểm, mã, phần trăm hoàn thành và trạng thái. Dòng Đã xử lý hoặc Hoàn thành chính là thời điểm xử lý xong.</t>
        </is>
      </c>
    </row>
    <row r="23" ht="16" customHeight="1">
      <c r="B23" s="22" t="inlineStr">
        <is>
          <t>4</t>
        </is>
      </c>
      <c r="C23" s="23" t="inlineStr">
        <is>
          <t>Mở tab Tổng quan xem số liệu đã cập nhật, dùng hai danh sách Cần chú ý và bảng Theo người phụ trách để đôn đốc.</t>
        </is>
      </c>
    </row>
    <row r="25" ht="24" customHeight="1">
      <c r="B25" s="7" t="inlineStr">
        <is>
          <t>3</t>
        </is>
      </c>
      <c r="C25" s="8" t="inlineStr">
        <is>
          <t>Nhập phản ánh</t>
        </is>
      </c>
      <c r="D25" s="9" t="n"/>
      <c r="E25" s="9" t="n"/>
    </row>
    <row r="26" ht="16" customHeight="1">
      <c r="B26" s="22" t="inlineStr">
        <is>
          <t>•</t>
        </is>
      </c>
      <c r="C26" s="23" t="inlineStr">
        <is>
          <t>Ô nền trắng là ô nhập. Cột có tiêu đề xám tự tính, không gõ đè lên.</t>
        </is>
      </c>
    </row>
    <row r="27" ht="16" customHeight="1">
      <c r="B27" s="22" t="inlineStr">
        <is>
          <t>•</t>
        </is>
      </c>
      <c r="C27" s="23" t="inlineStr">
        <is>
          <t>Mỗi phản ánh một mã không trùng, ví dụ PA-012. Mã bị trùng sẽ tô đỏ.</t>
        </is>
      </c>
    </row>
    <row r="28" ht="30" customHeight="1">
      <c r="B28" s="22" t="inlineStr">
        <is>
          <t>•</t>
        </is>
      </c>
      <c r="C28" s="23" t="inlineStr">
        <is>
          <t>Thời điểm ghi nhận nhập dạng dd/mm/yyyy hh:mm. Cách nhanh nhất: nhấn Ctrl+; để điền ngày hôm nay, gõ một dấu cách, rồi nhấn Ctrl+Shift+; để điền giờ hiện tại.</t>
        </is>
      </c>
    </row>
    <row r="29" ht="30" customHeight="1">
      <c r="B29" s="22" t="inlineStr">
        <is>
          <t>•</t>
        </is>
      </c>
      <c r="C29" s="23" t="inlineStr">
        <is>
          <t>Kênh tiếp nhận (Zalo nhóm cư dân, hotline, trực tiếp, email, hộp thư góp ý, họp cư dân, BQL tự phát hiện) và Người phản ánh, căn hộ giúp liên hệ lại cư dân khi xử lý xong.</t>
        </is>
      </c>
    </row>
    <row r="30" ht="44" customHeight="1">
      <c r="B30" s="22" t="inlineStr">
        <is>
          <t>•</t>
        </is>
      </c>
      <c r="C30" s="23" t="inlineStr">
        <is>
          <t>Người phụ trách là người chịu trách nhiệm chính và theo dõi đến khi xong; Người thực hiện trực tiếp là người bắt tay xử lý. Chọn trong danh sách (tab Danh mục, cột R và V) hoặc gõ tên khác; bảng Theo người phụ trách trên Tổng quan tự lấy tên từ dữ liệu. Gõ tên thống nhất để không bị tách thành hai người.</t>
        </is>
      </c>
    </row>
    <row r="31" ht="16" customHeight="1">
      <c r="B31" s="22" t="inlineStr">
        <is>
          <t>•</t>
        </is>
      </c>
      <c r="C31" s="23" t="inlineStr">
        <is>
          <t>Vị trí chọn trong danh sách. Nếu là một block, chọn thêm Tầng để phản ánh hiện đúng tầng trên sơ đồ tháp.</t>
        </is>
      </c>
    </row>
    <row r="32" ht="16" customHeight="1">
      <c r="B32" s="22" t="inlineStr">
        <is>
          <t>•</t>
        </is>
      </c>
      <c r="C32" s="23" t="inlineStr">
        <is>
          <t>Link ảnh, hồ sơ: dán đường dẫn Google Drive, OneDrive hoặc album ảnh hiện trường, biên bản.</t>
        </is>
      </c>
    </row>
    <row r="33" ht="30" customHeight="1">
      <c r="B33" s="22" t="inlineStr">
        <is>
          <t>•</t>
        </is>
      </c>
      <c r="C33" s="23" t="inlineStr">
        <is>
          <t>Trạng thái, tiến độ và thời điểm xử lý xong không nhập ở tab này mà lấy từ Nhật ký tiến độ. Phản ánh chưa có dòng nhật ký nào được coi là Mới tiếp nhận, 0%.</t>
        </is>
      </c>
    </row>
    <row r="34" ht="16" customHeight="1">
      <c r="B34" s="22" t="inlineStr">
        <is>
          <t>•</t>
        </is>
      </c>
      <c r="C34" s="23" t="inlineStr">
        <is>
          <t>Nhập liên tục từ trên xuống, không để dòng trống xen giữa.</t>
        </is>
      </c>
    </row>
    <row r="36" ht="24" customHeight="1">
      <c r="B36" s="7" t="inlineStr">
        <is>
          <t>4</t>
        </is>
      </c>
      <c r="C36" s="8" t="inlineStr">
        <is>
          <t>Deadline, thời gian ước tính và thực tế</t>
        </is>
      </c>
      <c r="D36" s="9" t="n"/>
      <c r="E36" s="9" t="n"/>
    </row>
    <row r="37" ht="30" customHeight="1">
      <c r="B37" s="22" t="inlineStr">
        <is>
          <t>•</t>
        </is>
      </c>
      <c r="C37" s="23" t="inlineStr">
        <is>
          <t>Thời gian ước tính: số giờ hoặc số ngày dự kiến từ lúc ghi nhận đến lúc xử lý xong. Nhập số ở cột Thời gian ước tính, chọn Giờ hoặc Ngày ở cột bên cạnh. Ô đơn vị tô vàng là đang thiếu đơn vị.</t>
        </is>
      </c>
    </row>
    <row r="38" ht="16" customHeight="1">
      <c r="B38" s="22" t="inlineStr">
        <is>
          <t>•</t>
        </is>
      </c>
      <c r="C38" s="23" t="inlineStr">
        <is>
          <t>Deadline: hạn phải xử lý xong, dạng dd/mm/yyyy hh:mm. Nhập ngày không kèm giờ được hiểu là 23:59 ngày đó.</t>
        </is>
      </c>
    </row>
    <row r="39" ht="30" customHeight="1">
      <c r="B39" s="22" t="inlineStr">
        <is>
          <t>•</t>
        </is>
      </c>
      <c r="C39" s="23" t="inlineStr">
        <is>
          <t>Để trống Deadline thì cột Deadline áp dụng tự tính bằng thời điểm ghi nhận cộng thời gian ước tính; chưa có ước tính thì cộng thời hạn chuẩn theo cấp độ khẩn: khẩn cấp 24 giờ, cao 72 giờ, trung bình 7 ngày, thấp 14 ngày. Sửa thời hạn chuẩn ở tab Danh mục, cột AC.</t>
        </is>
      </c>
    </row>
    <row r="40" ht="30" customHeight="1">
      <c r="B40" s="22" t="inlineStr">
        <is>
          <t>•</t>
        </is>
      </c>
      <c r="C40" s="23" t="inlineStr">
        <is>
          <t>Thời gian xử lý thực tế bằng thời điểm xử lý xong trừ thời điểm ghi nhận. Cột So với ước tính ghi Trong ước tính, Vượt bao lâu, hoặc với việc chưa xong là Đã dùng bao nhiêu phần trăm ước tính.</t>
        </is>
      </c>
    </row>
    <row r="41" ht="16" customHeight="1">
      <c r="B41" s="22" t="inlineStr">
        <is>
          <t>•</t>
        </is>
      </c>
      <c r="C41" s="23" t="inlineStr">
        <is>
          <t>Cột Còn lại hoặc quá hạn đếm ngược theo giờ đến deadline; cột Đúng deadline cho biết việc đã xong đúng hạn hay trễ hạn.</t>
        </is>
      </c>
    </row>
    <row r="43" ht="24" customHeight="1">
      <c r="B43" s="7" t="inlineStr">
        <is>
          <t>5</t>
        </is>
      </c>
      <c r="C43" s="8" t="inlineStr">
        <is>
          <t>Lập kế hoạch công việc</t>
        </is>
      </c>
      <c r="D43" s="9" t="n"/>
      <c r="E43" s="9" t="n"/>
    </row>
    <row r="44" ht="30" customHeight="1">
      <c r="B44" s="22" t="inlineStr">
        <is>
          <t>•</t>
        </is>
      </c>
      <c r="C44" s="23" t="inlineStr">
        <is>
          <t>Việc định kỳ: chọn Loại là Định kỳ, chọn Tần suất và nhập Ngày bắt đầu lịch, là ngày của một kỳ bất kỳ; các kỳ sau cách đều theo tần suất. Thời gian ước tính là thời gian làm mỗi kỳ.</t>
        </is>
      </c>
    </row>
    <row r="45" ht="30" customHeight="1">
      <c r="B45" s="22" t="inlineStr">
        <is>
          <t>•</t>
        </is>
      </c>
      <c r="C45" s="23" t="inlineStr">
        <is>
          <t>Việc đột xuất: chọn Loại là Đột xuất, nhập Thời điểm ghi nhận, Deadline (có thể để trống để tự tính) và Mức ưu tiên. Nếu việc phát sinh từ một phản ánh, chọn mã ở cột Liên quan phản ánh.</t>
        </is>
      </c>
    </row>
    <row r="46" ht="16" customHeight="1">
      <c r="B46" s="22" t="inlineStr">
        <is>
          <t>•</t>
        </is>
      </c>
      <c r="C46" s="23" t="inlineStr">
        <is>
          <t>Dự toán và Chi phí thực tế ghi bằng đồng; chi phí vượt dự toán tự tô đỏ. Tab Tổng quan cộng dồn dự toán các việc đang mở và chi phí đã chi.</t>
        </is>
      </c>
    </row>
    <row r="47" ht="16" customHeight="1">
      <c r="B47" s="22" t="inlineStr">
        <is>
          <t>•</t>
        </is>
      </c>
      <c r="C47" s="23" t="inlineStr">
        <is>
          <t>Ô không dùng cho loại việc đang chọn tự chuyển xám nhạt. Các cột có tiêu đề xám đều tự tính.</t>
        </is>
      </c>
    </row>
    <row r="49" ht="24" customHeight="1">
      <c r="B49" s="7" t="inlineStr">
        <is>
          <t>6</t>
        </is>
      </c>
      <c r="C49" s="8" t="inlineStr">
        <is>
          <t>Cập nhật tiến độ ở tab Nhật ký</t>
        </is>
      </c>
      <c r="D49" s="9" t="n"/>
      <c r="E49" s="9" t="n"/>
    </row>
    <row r="50" ht="16" customHeight="1">
      <c r="B50" s="22" t="inlineStr">
        <is>
          <t>•</t>
        </is>
      </c>
      <c r="C50" s="23" t="inlineStr">
        <is>
          <t>Mỗi lần cập nhật thêm một dòng mới ở cuối bảng. Không sửa hay xóa dòng cũ để giữ nguyên lịch sử xử lý.</t>
        </is>
      </c>
    </row>
    <row r="51" ht="30" customHeight="1">
      <c r="B51" s="22" t="inlineStr">
        <is>
          <t>•</t>
        </is>
      </c>
      <c r="C51" s="23" t="inlineStr">
        <is>
          <t>Thời điểm cập nhật nhập cả ngày và giờ (Ctrl+; dấu cách Ctrl+Shift+;). Với dòng Đã xử lý hoặc Hoàn thành, đây là thời điểm xử lý xong dùng để tính thời gian thực tế và đúng hạn.</t>
        </is>
      </c>
    </row>
    <row r="52" ht="16" customHeight="1">
      <c r="B52" s="22" t="inlineStr">
        <is>
          <t>•</t>
        </is>
      </c>
      <c r="C52" s="23" t="inlineStr">
        <is>
          <t>Chọn mã trong danh sách thả xuống. Cột Đối tượng, Tên và Người phụ trách tự hiện để đối chiếu; nếu hiện Mã chưa có là mã gõ sai.</t>
        </is>
      </c>
    </row>
    <row r="53" ht="16" customHeight="1">
      <c r="B53" s="22" t="inlineStr">
        <is>
          <t>•</t>
        </is>
      </c>
      <c r="C53" s="23" t="inlineStr">
        <is>
          <t>Tiến độ gõ 60 hoặc 60% đều được. Danh sách Trạng thái đổi theo đối tượng; việc định kỳ làm xong một kỳ chọn Hoàn thành kỳ.</t>
        </is>
      </c>
    </row>
    <row r="54" ht="16" customHeight="1">
      <c r="B54" s="22" t="inlineStr">
        <is>
          <t>•</t>
        </is>
      </c>
      <c r="C54" s="23" t="inlineStr">
        <is>
          <t>Thời gian thực hiện (giờ): với việc định kỳ, khi ghi Hoàn thành kỳ hãy nhập số giờ thực tế đã làm để so với thời gian ước tính mỗi kỳ.</t>
        </is>
      </c>
    </row>
    <row r="55" ht="16" customHeight="1">
      <c r="B55" s="22" t="inlineStr">
        <is>
          <t>•</t>
        </is>
      </c>
      <c r="C55" s="23" t="inlineStr">
        <is>
          <t>Dòng có thời điểm mới nhất quyết định trạng thái và tiến độ hiện tại. Nếu trùng thời điểm, dòng nằm dưới được tính.</t>
        </is>
      </c>
    </row>
    <row r="57" ht="24" customHeight="1">
      <c r="B57" s="7" t="inlineStr">
        <is>
          <t>7</t>
        </is>
      </c>
      <c r="C57" s="8" t="inlineStr">
        <is>
          <t>Tiến độ được đo thế nào</t>
        </is>
      </c>
      <c r="D57" s="9" t="n"/>
      <c r="E57" s="9" t="n"/>
    </row>
    <row r="58" ht="30" customHeight="1">
      <c r="B58" s="22" t="inlineStr">
        <is>
          <t>•</t>
        </is>
      </c>
      <c r="C58" s="23" t="inlineStr">
        <is>
          <t>Kế hoạch đến nay bằng thời gian đã trôi qua kể từ thời điểm ghi nhận, chia cho tổng thời gian từ thời điểm ghi nhận đến deadline, tính đến từng giờ.</t>
        </is>
      </c>
    </row>
    <row r="59" ht="30" customHeight="1">
      <c r="B59" s="22" t="inlineStr">
        <is>
          <t>•</t>
        </is>
      </c>
      <c r="C59" s="23" t="inlineStr">
        <is>
          <t>Ví dụ: phản ánh ghi nhận 10:30 ngày 14/09, deadline 17:00 ngày 30/09. Đến 15:00 ngày 24/09 đã qua khoảng 63% quãng thời gian nên kế hoạch cần đạt 63%. Thực tế 40% tức là chậm 23 điểm %.</t>
        </is>
      </c>
    </row>
    <row r="60" ht="30" customHeight="1">
      <c r="B60" s="22" t="inlineStr">
        <is>
          <t>•</t>
        </is>
      </c>
      <c r="C60" s="23" t="inlineStr">
        <is>
          <t>Chậm tiến độ: thực tế thấp hơn kế hoạch từ 20 điểm % trở lên. Quá hạn: đã qua deadline mà chưa xong. Sắp đến hạn: còn dưới 24 giờ. Các trường hợp còn lại là Đúng tiến độ.</t>
        </is>
      </c>
    </row>
    <row r="61" ht="16" customHeight="1">
      <c r="B61" s="22" t="inlineStr">
        <is>
          <t>•</t>
        </is>
      </c>
      <c r="C61" s="23" t="inlineStr">
        <is>
          <t>Việc định kỳ được đánh giá theo lịch: Quá hạn, Đến hạn hôm nay, Sắp đến hạn (trong 3 ngày) hoặc Theo lịch.</t>
        </is>
      </c>
    </row>
    <row r="63" ht="24" customHeight="1">
      <c r="B63" s="7" t="inlineStr">
        <is>
          <t>8</t>
        </is>
      </c>
      <c r="C63" s="8" t="inlineStr">
        <is>
          <t>Việc định kỳ tự chuyển kỳ</t>
        </is>
      </c>
      <c r="D63" s="9" t="n"/>
      <c r="E63" s="9" t="n"/>
    </row>
    <row r="64" ht="16" customHeight="1">
      <c r="B64" s="22" t="inlineStr">
        <is>
          <t>•</t>
        </is>
      </c>
      <c r="C64" s="23" t="inlineStr">
        <is>
          <t>Làm xong một kỳ, ghi Nhật ký với trạng thái Hoàn thành kỳ. Cột Deadline hoặc kỳ tới tự chuyển sang kỳ kế tiếp và tiến độ kỳ mới quay về 0%.</t>
        </is>
      </c>
    </row>
    <row r="65" ht="16" customHeight="1">
      <c r="B65" s="22" t="inlineStr">
        <is>
          <t>•</t>
        </is>
      </c>
      <c r="C65" s="23" t="inlineStr">
        <is>
          <t>Mỗi lần hoàn thành được gắn với kỳ gần nhất theo lịch. Làm xong trong ngày của kỳ hoặc sớm hơn là đúng hạn; làm sau ngày đó là trễ hạn.</t>
        </is>
      </c>
    </row>
    <row r="66" ht="16" customHeight="1">
      <c r="B66" s="22" t="inlineStr">
        <is>
          <t>•</t>
        </is>
      </c>
      <c r="C66" s="23" t="inlineStr">
        <is>
          <t>Kỳ chưa được ghi hoàn thành giữ nguyên ngày cũ và chuyển sang Quá hạn khi đã qua hết ngày đó.</t>
        </is>
      </c>
    </row>
    <row r="68" ht="24" customHeight="1">
      <c r="B68" s="7" t="inlineStr">
        <is>
          <t>9</t>
        </is>
      </c>
      <c r="C68" s="8" t="inlineStr">
        <is>
          <t>Đọc tab Tổng quan</t>
        </is>
      </c>
      <c r="D68" s="9" t="n"/>
      <c r="E68" s="9" t="n"/>
    </row>
    <row r="69" ht="30" customHeight="1">
      <c r="B69" s="22" t="inlineStr">
        <is>
          <t>•</t>
        </is>
      </c>
      <c r="C69" s="23" t="inlineStr">
        <is>
          <t>Ô Thời điểm báo cáo ở góc phải phía trên mặc định là lúc hiện tại (=NOW()) và tự cập nhật mỗi khi file tính lại. Gõ một ngày giờ khác để xem lại tình hình tại thời điểm đó; nhập lại =NOW() để quay về hiện tại.</t>
        </is>
      </c>
    </row>
    <row r="70" ht="16" customHeight="1">
      <c r="B70" s="22" t="inlineStr">
        <is>
          <t>•</t>
        </is>
      </c>
      <c r="C70" s="23" t="inlineStr">
        <is>
          <t>Tám thẻ chỉ số chia hai nhóm Phản ánh cư dân và Kế hoạch vận hành; hai câu tóm tắt bên dưới tự viết lại theo số liệu mới.</t>
        </is>
      </c>
    </row>
    <row r="71" ht="30" customHeight="1">
      <c r="B71" s="22" t="inlineStr">
        <is>
          <t>•</t>
        </is>
      </c>
      <c r="C71" s="23" t="inlineStr">
        <is>
          <t>Lịch 14 ngày tới, sáu biểu đồ, sơ đồ 6 block 23 tầng, bảng Theo khu vực và hai danh sách Cần chú ý giữ như trước; danh sách phản ánh hiện deadline đến giờ phút.</t>
        </is>
      </c>
    </row>
    <row r="72" ht="30" customHeight="1">
      <c r="B72" s="22" t="inlineStr">
        <is>
          <t>•</t>
        </is>
      </c>
      <c r="C72" s="23" t="inlineStr">
        <is>
          <t>Khu Thời gian xử lý và deadline: thời gian xử lý bình quân so với ước tính, tỷ lệ xong đúng deadline, số đầu việc vượt ước tính, số deadline trong 48 giờ tới, cùng khối chi phí việc đột xuất.</t>
        </is>
      </c>
    </row>
    <row r="73" ht="30" customHeight="1">
      <c r="B73" s="22" t="inlineStr">
        <is>
          <t>•</t>
        </is>
      </c>
      <c r="C73" s="23" t="inlineStr">
        <is>
          <t>Bảng Theo người phụ trách: mỗi người đang giữ bao nhiêu việc, bao nhiêu việc quá hạn, số việc xong trong 30 ngày, thời gian xử lý bình quân và tỷ lệ đúng hạn; dòng Chưa phân công gom các việc chưa có người phụ trách.</t>
        </is>
      </c>
    </row>
    <row r="75" ht="24" customHeight="1">
      <c r="B75" s="7" t="inlineStr">
        <is>
          <t>10</t>
        </is>
      </c>
      <c r="C75" s="8" t="inlineStr">
        <is>
          <t>Báo động quá hạn</t>
        </is>
      </c>
      <c r="D75" s="9" t="n"/>
      <c r="E75" s="9" t="n"/>
    </row>
    <row r="76" ht="30" customHeight="1">
      <c r="B76" s="22" t="inlineStr">
        <is>
          <t>•</t>
        </is>
      </c>
      <c r="C76" s="23" t="inlineStr">
        <is>
          <t>Việc quá deadline (với việc định kỳ là quá ngày của kỳ) tự bật báo động ở cột Mức báo động, mức tăng dần theo thời gian quá hạn: dưới 1 ngày là Nhắc nhở, 1 đến 3 ngày là Cảnh báo, 3 đến 7 ngày là Báo động, trên 7 ngày là Báo động đỏ.</t>
        </is>
      </c>
    </row>
    <row r="77" ht="30" customHeight="1">
      <c r="B77" s="22" t="inlineStr">
        <is>
          <t>•</t>
        </is>
      </c>
      <c r="C77" s="23" t="inlineStr">
        <is>
          <t>Việc càng quan trọng thì báo động càng nặng: cấp độ khẩn hoặc mức ưu tiên Khẩn cấp tăng 2 mức, Cao tăng 1 mức, Thấp giảm 1 mức; việc định kỳ nhóm PCCC và an ninh tăng 1 mức.</t>
        </is>
      </c>
    </row>
    <row r="78" ht="30" customHeight="1">
      <c r="B78" s="22" t="inlineStr">
        <is>
          <t>•</t>
        </is>
      </c>
      <c r="C78" s="23" t="inlineStr">
        <is>
          <t>Dòng quá hạn tô màu theo mức báo động. Băng ngay dưới tiêu đề tab Tổng quan luôn hiện số việc quá hạn theo từng mức và đổi màu từ vàng tới đỏ đậm; hai danh sách Cần chú ý xếp báo động đỏ lên đầu.</t>
        </is>
      </c>
    </row>
    <row r="79" ht="30" customHeight="1">
      <c r="B79" s="22" t="inlineStr">
        <is>
          <t>•</t>
        </is>
      </c>
      <c r="C79" s="23" t="inlineStr">
        <is>
          <t>Báo động chỉ tắt khi Nhật ký tiến độ ghi Đã xử lý hoặc Hoàn thành (việc định kỳ là Hoàn thành kỳ). Muốn đổi deadline thì ghi lý do vào cột Ghi chú của việc đó.</t>
        </is>
      </c>
    </row>
    <row r="80" ht="30" customHeight="1">
      <c r="B80" s="22" t="inlineStr">
        <is>
          <t>•</t>
        </is>
      </c>
      <c r="C80" s="23" t="inlineStr">
        <is>
          <t>Ô Chỉ số vận hành cạnh băng báo động chấm điểm trên 100, trừ theo số việc quá hạn, việc chậm tiến độ và tỷ lệ đúng hạn 30 ngày; cách tính giống bản dashboard HTML.</t>
        </is>
      </c>
    </row>
    <row r="82" ht="24" customHeight="1">
      <c r="B82" s="7" t="inlineStr">
        <is>
          <t>11</t>
        </is>
      </c>
      <c r="C82" s="8" t="inlineStr">
        <is>
          <t>Phân quyền và lưu vết chỉnh sửa</t>
        </is>
      </c>
      <c r="D82" s="9" t="n"/>
      <c r="E82" s="9" t="n"/>
    </row>
    <row r="83" ht="16" customHeight="1">
      <c r="B83" s="22" t="inlineStr">
        <is>
          <t>•</t>
        </is>
      </c>
      <c r="C83" s="23" t="inlineStr">
        <is>
          <t>Người xem: mở file để xem, lọc, đổi Thời điểm báo cáo ở tab Tổng quan; không gõ được vào ô dữ liệu nào.</t>
        </is>
      </c>
    </row>
    <row r="84" ht="30" customHeight="1">
      <c r="B84" s="22" t="inlineStr">
        <is>
          <t>•</t>
        </is>
      </c>
      <c r="C84" s="23" t="inlineStr">
        <is>
          <t>Người nhập liệu: khi gõ vào ô nhập ở tab Phản ánh, Kế hoạch, Nhật ký tiến độ hoặc Danh mục, Excel hỏi mật khẩu nhập liệu do Ban Quản lý cấp; nhập một lần cho mỗi lần mở file.</t>
        </is>
      </c>
    </row>
    <row r="85" ht="30" customHeight="1">
      <c r="B85" s="22" t="inlineStr">
        <is>
          <t>•</t>
        </is>
      </c>
      <c r="C85" s="23" t="inlineStr">
        <is>
          <t>Người quản trị giữ mật khẩu bảo vệ trang tính và cấu trúc file để mở khóa cột công thức, đổi mật khẩu nhập liệu (Review, Allow Edit Ranges, Modify) hoặc thêm bớt trang. Không ghi mật khẩu vào file hay gửi kèm file; nên đổi cả hai mật khẩu trước khi phát hành.</t>
        </is>
      </c>
    </row>
    <row r="86" ht="44" customHeight="1">
      <c r="B86" s="22" t="inlineStr">
        <is>
          <t>•</t>
        </is>
      </c>
      <c r="C86" s="23" t="inlineStr">
        <is>
          <t>Mật khẩu của Excel ngăn thao tác thông thường nhưng không phải mã hóa. Phân quyền và lưu vết chắc chắn nên làm trên OneDrive hoặc SharePoint: chia quyền Chỉ xem cho người xem và Có thể chỉnh sửa cho người nhập liệu; mục Review, Show Changes (Hiện thay đổi) cho biết ai sửa ô nào, giá trị cũ, giá trị mới, lúc nào; File, Info, Version History giữ các phiên bản cũ để đối chiếu và khôi phục.</t>
        </is>
      </c>
    </row>
    <row r="87" ht="44" customHeight="1">
      <c r="B87" s="22" t="inlineStr">
        <is>
          <t>•</t>
        </is>
      </c>
      <c r="C87" s="23" t="inlineStr">
        <is>
          <t>Khi dùng offline không qua OneDrive, Excel không tự ghi được từng lần sửa ô nếu không dùng macro. Tab Nhật ký tiến độ vẫn là sổ ghi tiến độ, không sửa dòng cũ. Cần lưu vết đầy đủ khi làm offline thì dùng bản dashboard HTML làm nơi nhập liệu (có đăng nhập, lịch sử chỉnh sửa và cảnh báo sửa ngoài ứng dụng), rồi tải dữ liệu theo mẫu Excel sang file này để báo cáo.</t>
        </is>
      </c>
    </row>
    <row r="89" ht="24" customHeight="1">
      <c r="B89" s="7" t="inlineStr">
        <is>
          <t>12</t>
        </is>
      </c>
      <c r="C89" s="8" t="inlineStr">
        <is>
          <t>Lời nhắn của người xem</t>
        </is>
      </c>
      <c r="D89" s="9" t="n"/>
      <c r="E89" s="9" t="n"/>
    </row>
    <row r="90" ht="30" customHeight="1">
      <c r="B90" s="22" t="inlineStr">
        <is>
          <t>•</t>
        </is>
      </c>
      <c r="C90" s="23" t="inlineStr">
        <is>
          <t>Người xem gõ lời nhắn vào tab Lời nhắn, từ cột B đến cột F, không cần mật khẩu: thời điểm gửi, họ tên, căn hộ nếu muốn, mã phản ánh hoặc công việc liên quan nếu có, và nội dung.</t>
        </is>
      </c>
    </row>
    <row r="91" ht="30" customHeight="1">
      <c r="B91" s="22" t="inlineStr">
        <is>
          <t>•</t>
        </is>
      </c>
      <c r="C91" s="23" t="inlineStr">
        <is>
          <t>Lời nhắn không tự trở thành phản ánh hay công việc và không ảnh hưởng số liệu ở tab Tổng quan. Nếu cần xử lý, Ban Quản lý tự nhập thành phản ánh mới ở tab Phản ánh.</t>
        </is>
      </c>
    </row>
    <row r="92" ht="30" customHeight="1">
      <c r="B92" s="22" t="inlineStr">
        <is>
          <t>•</t>
        </is>
      </c>
      <c r="C92" s="23" t="inlineStr">
        <is>
          <t>Ban Quản lý phản hồi ở cột G đến J bằng mật khẩu nhập liệu: trạng thái Mới, Đã xem hoặc Đã phản hồi, nội dung phản hồi, người và thời điểm phản hồi. Ô I3 đếm số lời nhắn chưa phản hồi.</t>
        </is>
      </c>
    </row>
    <row r="93" ht="30" customHeight="1">
      <c r="B93" s="22" t="inlineStr">
        <is>
          <t>•</t>
        </is>
      </c>
      <c r="C93" s="23" t="inlineStr">
        <is>
          <t>Để mọi người cùng thấy lời nhắn, file cần đặt ở nơi dùng chung như OneDrive hoặc SharePoint và cấp quyền chỉnh sửa; các ô dữ liệu khác vẫn khóa bằng mật khẩu. Nếu gửi file qua lại, lời nhắn chỉ đến Ban Quản lý khi file được gửi trả.</t>
        </is>
      </c>
    </row>
    <row r="94" ht="16" customHeight="1">
      <c r="B94" s="22" t="inlineStr">
        <is>
          <t>•</t>
        </is>
      </c>
      <c r="C94" s="23" t="inlineStr">
        <is>
          <t>Lời nhắn hiển thị cho mọi người mở file, vì vậy không ghi số điện thoại hay thông tin riêng tư.</t>
        </is>
      </c>
    </row>
    <row r="96" ht="24" customHeight="1">
      <c r="B96" s="7" t="inlineStr">
        <is>
          <t>13</t>
        </is>
      </c>
      <c r="C96" s="8" t="inlineStr">
        <is>
          <t>Dùng chung và chuyển dữ liệu từ bản dashboard HTML</t>
        </is>
      </c>
      <c r="D96" s="9" t="n"/>
      <c r="E96" s="9" t="n"/>
    </row>
    <row r="97" ht="30" customHeight="1">
      <c r="B97" s="22" t="inlineStr">
        <is>
          <t>•</t>
        </is>
      </c>
      <c r="C97" s="23" t="inlineStr">
        <is>
          <t>File Excel dùng offline sẵn: gửi file cho người khác là họ nhập tiếp được. Muốn nhiều người cùng nhập một bản duy nhất, để file trên OneDrive hoặc SharePoint và mở bằng Excel để cùng sửa.</t>
        </is>
      </c>
    </row>
    <row r="98" ht="30" customHeight="1">
      <c r="B98" s="22" t="inlineStr">
        <is>
          <t>•</t>
        </is>
      </c>
      <c r="C98" s="23" t="inlineStr">
        <is>
          <t>Bản dashboard HTML (SSR-dashboard-offline.html) là công cụ riêng, lưu dữ liệu trong trình duyệt; hai công cụ không tự đồng bộ với nhau. Nên chọn một công cụ làm sổ chính.</t>
        </is>
      </c>
    </row>
    <row r="99" ht="30" customHeight="1">
      <c r="B99" s="22" t="inlineStr">
        <is>
          <t>•</t>
        </is>
      </c>
      <c r="C99" s="23" t="inlineStr">
        <is>
          <t>Chuyển dữ liệu từ bản HTML sang file này: trong bản HTML vào Dữ liệu, chọn Tải dữ liệu theo mẫu file Excel. Tệp tải về có ba trang Phản ánh, Kế hoạch, Nhật ký với cột xếp đúng thứ tự cột nhập ở đây.</t>
        </is>
      </c>
    </row>
    <row r="100" ht="44" customHeight="1">
      <c r="B100" s="22" t="inlineStr">
        <is>
          <t>•</t>
        </is>
      </c>
      <c r="C100" s="23" t="inlineStr">
        <is>
          <t>Mở file trống này, chép từ dòng 3 trở xuống của từng trang rồi dán giá trị (Excel hỏi mật khẩu nhập liệu khi dán; chuột phải, Paste Special, Values) vào ô A6 tab Phản ánh, ô A6 tab Kế hoạch, ô B6 tab Nhật ký tiến độ và ô B6 tab Lời nhắn. Toàn bộ trạng thái, tiến độ, deadline và bảng Tổng quan tự tính lại.</t>
        </is>
      </c>
    </row>
    <row r="102" ht="24" customHeight="1">
      <c r="B102" s="7" t="inlineStr">
        <is>
          <t>14</t>
        </is>
      </c>
      <c r="C102" s="8" t="inlineStr">
        <is>
          <t>Lưu ý</t>
        </is>
      </c>
      <c r="D102" s="9" t="n"/>
      <c r="E102" s="9" t="n"/>
    </row>
    <row r="103" ht="16" customHeight="1">
      <c r="B103" s="22" t="inlineStr">
        <is>
          <t>•</t>
        </is>
      </c>
      <c r="C103" s="23" t="inlineStr">
        <is>
          <t>Cần Excel 2019, Excel 2021 hoặc Microsoft 365 vì file dùng hàm MAXIFS; Excel 2016 trở về trước sẽ báo lỗi không nhận ra tên hàm.</t>
        </is>
      </c>
    </row>
    <row r="104" ht="30" customHeight="1">
      <c r="B104" s="22" t="inlineStr">
        <is>
          <t>•</t>
        </is>
      </c>
      <c r="C104" s="23" t="inlineStr">
        <is>
          <t>Ngày giờ đọc theo định dạng dd/mm/yyyy. Nếu máy đặt vùng Hoa Kỳ (mm/dd/yyyy), ô ngày gõ tay có thể bị từ chối; dùng phím tắt Ctrl+; và Ctrl+Shift+; luôn đúng.</t>
        </is>
      </c>
    </row>
    <row r="105" ht="16" customHeight="1">
      <c r="B105" s="22" t="inlineStr">
        <is>
          <t>•</t>
        </is>
      </c>
      <c r="C105" s="23" t="inlineStr">
        <is>
          <t>Sức chứa: 500 phản ánh, 300 công việc và 3.000 dòng nhật ký.</t>
        </is>
      </c>
    </row>
    <row r="106" ht="30" customHeight="1">
      <c r="B106" s="22" t="inlineStr">
        <is>
          <t>•</t>
        </is>
      </c>
      <c r="C106" s="23" t="inlineStr">
        <is>
          <t>Cột tự tính và các tab Tổng quan, Số liệu, Hướng dẫn luôn khóa để tránh gõ đè công thức; ô nhập liệu mở bằng mật khẩu nhập liệu; lọc và đổi độ rộng cột vẫn làm được khi đang khóa.</t>
        </is>
      </c>
    </row>
    <row r="107" ht="30" customHeight="1">
      <c r="B107" s="22" t="inlineStr">
        <is>
          <t>•</t>
        </is>
      </c>
      <c r="C107" s="23" t="inlineStr">
        <is>
          <t>Cột kỹ thuật ở cuối mỗi tab nhập liệu được thu gọn; muốn xem thì bỏ bảo vệ trang tính (cần mật khẩu quản trị) rồi bấm dấu cộng phía trên tiêu đề cột.</t>
        </is>
      </c>
    </row>
    <row r="108" ht="16" customHeight="1">
      <c r="B108" s="22" t="inlineStr">
        <is>
          <t>•</t>
        </is>
      </c>
      <c r="C108" s="23" t="inlineStr">
        <is>
          <t>File này để trống, sẵn sàng nhập thật. Muốn xem thử cách hoạt động, mở file cùng tên có đuôi du-lieu-mau.</t>
        </is>
      </c>
    </row>
    <row r="109" ht="16" customHeight="1">
      <c r="B109" s="22" t="inlineStr">
        <is>
          <t>•</t>
        </is>
      </c>
      <c r="C109" s="23" t="inlineStr">
        <is>
          <t>Nên lưu một bản sao dự phòng mỗi tuần.</t>
        </is>
      </c>
    </row>
    <row r="111">
      <c r="B111" s="24" t="inlineStr">
        <is>
          <t>Ban Quản trị Saigon South Residences</t>
        </is>
      </c>
    </row>
  </sheetData>
  <sheetProtection selectLockedCells="0" selectUnlockedCells="0" sheet="1" objects="0" insertRows="1" insertHyperlinks="1" autoFilter="0" scenarios="0" formatColumns="0" deleteColumns="1" insertColumns="1" pivotTables="1" deleteRows="1" formatCells="1" formatRows="0" sort="1" password="88D8"/>
  <mergeCells count="85">
    <mergeCell ref="C44:E44"/>
    <mergeCell ref="C31:E31"/>
    <mergeCell ref="C80:E80"/>
    <mergeCell ref="C40:E40"/>
    <mergeCell ref="C21:E21"/>
    <mergeCell ref="C51:E51"/>
    <mergeCell ref="C60:E60"/>
    <mergeCell ref="C71:E71"/>
    <mergeCell ref="C23:E23"/>
    <mergeCell ref="C91:E91"/>
    <mergeCell ref="C57:E57"/>
    <mergeCell ref="C49:E49"/>
    <mergeCell ref="C77:E77"/>
    <mergeCell ref="C34:E34"/>
    <mergeCell ref="B1:E1"/>
    <mergeCell ref="C20:E20"/>
    <mergeCell ref="C25:E25"/>
    <mergeCell ref="C103:E103"/>
    <mergeCell ref="C85:E85"/>
    <mergeCell ref="C99:E99"/>
    <mergeCell ref="C94:E94"/>
    <mergeCell ref="C75:E75"/>
    <mergeCell ref="C84:E84"/>
    <mergeCell ref="C22:E22"/>
    <mergeCell ref="C59:E59"/>
    <mergeCell ref="C46:E46"/>
    <mergeCell ref="C52:E52"/>
    <mergeCell ref="C61:E61"/>
    <mergeCell ref="C39:E39"/>
    <mergeCell ref="C70:E70"/>
    <mergeCell ref="C106:E106"/>
    <mergeCell ref="C32:E32"/>
    <mergeCell ref="C38:E38"/>
    <mergeCell ref="C87:E87"/>
    <mergeCell ref="C33:E33"/>
    <mergeCell ref="C89:E89"/>
    <mergeCell ref="C104:E104"/>
    <mergeCell ref="C79:E79"/>
    <mergeCell ref="C73:E73"/>
    <mergeCell ref="C26:E26"/>
    <mergeCell ref="C63:E63"/>
    <mergeCell ref="C50:E50"/>
    <mergeCell ref="C55:E55"/>
    <mergeCell ref="C36:E36"/>
    <mergeCell ref="C72:E72"/>
    <mergeCell ref="C109:E109"/>
    <mergeCell ref="C28:E28"/>
    <mergeCell ref="C37:E37"/>
    <mergeCell ref="C69:E69"/>
    <mergeCell ref="C96:E96"/>
    <mergeCell ref="C78:E78"/>
    <mergeCell ref="B2:E2"/>
    <mergeCell ref="C92:E92"/>
    <mergeCell ref="C30:E30"/>
    <mergeCell ref="C6:E6"/>
    <mergeCell ref="C98:E98"/>
    <mergeCell ref="C107:E107"/>
    <mergeCell ref="C64:E64"/>
    <mergeCell ref="C54:E54"/>
    <mergeCell ref="C41:E41"/>
    <mergeCell ref="C93:E93"/>
    <mergeCell ref="C90:E90"/>
    <mergeCell ref="C105:E105"/>
    <mergeCell ref="C43:E43"/>
    <mergeCell ref="C27:E27"/>
    <mergeCell ref="B4:E4"/>
    <mergeCell ref="C76:E76"/>
    <mergeCell ref="C17:E17"/>
    <mergeCell ref="C82:E82"/>
    <mergeCell ref="C66:E66"/>
    <mergeCell ref="C19:E19"/>
    <mergeCell ref="C53:E53"/>
    <mergeCell ref="C102:E102"/>
    <mergeCell ref="C86:E86"/>
    <mergeCell ref="C68:E68"/>
    <mergeCell ref="C83:E83"/>
    <mergeCell ref="B111:E111"/>
    <mergeCell ref="C108:E108"/>
    <mergeCell ref="C58:E58"/>
    <mergeCell ref="C45:E45"/>
    <mergeCell ref="C97:E97"/>
    <mergeCell ref="C29:E29"/>
    <mergeCell ref="C100:E100"/>
    <mergeCell ref="C65:E65"/>
    <mergeCell ref="C47:E47"/>
  </mergeCells>
  <pageMargins left="0.75" right="0.75" top="1" bottom="1" header="0.5" footer="0.5"/>
  <pageSetup orientation="portrait" paperSize="9" fitToHeight="0" fitToWidth="1"/>
  <drawing xmlns:r="http://schemas.openxmlformats.org/officeDocument/2006/relationships" r:id="rId1"/>
</worksheet>
</file>

<file path=xl/worksheets/sheet2.xml><?xml version="1.0" encoding="utf-8"?>
<worksheet xmlns="http://schemas.openxmlformats.org/spreadsheetml/2006/main">
  <sheetPr>
    <tabColor rgb="000B5A3A"/>
    <outlinePr summaryBelow="1" summaryRight="1"/>
    <pageSetUpPr fitToPage="1"/>
  </sheetPr>
  <dimension ref="A1:AU125"/>
  <sheetViews>
    <sheetView showGridLines="0" tabSelected="1" zoomScale="90" workbookViewId="0">
      <selection activeCell="A1" sqref="A1"/>
    </sheetView>
  </sheetViews>
  <sheetFormatPr baseColWidth="8" defaultRowHeight="15"/>
  <cols>
    <col width="2"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3.8" customWidth="1" min="36" max="36"/>
    <col width="3.8" customWidth="1" min="37" max="37"/>
    <col width="3.8" customWidth="1" min="38" max="38"/>
    <col width="3.8" customWidth="1" min="39" max="39"/>
    <col width="3.8" customWidth="1" min="40" max="40"/>
    <col width="3.8" customWidth="1" min="41" max="41"/>
    <col width="2" customWidth="1" min="42" max="42"/>
    <col hidden="1" width="13" customWidth="1" min="43" max="43"/>
    <col hidden="1" width="13" customWidth="1" min="44" max="44"/>
    <col hidden="1" width="13" customWidth="1" min="45" max="45"/>
    <col hidden="1" width="13" customWidth="1" min="46" max="46"/>
    <col hidden="1" width="13" customWidth="1" min="47" max="47"/>
  </cols>
  <sheetData>
    <row r="1" ht="10"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row>
    <row r="2" ht="30" customHeight="1">
      <c r="A2" s="1" t="n"/>
      <c r="B2" s="1" t="n"/>
      <c r="C2" s="1" t="n"/>
      <c r="D2" s="1" t="n"/>
      <c r="E2" s="1" t="n"/>
      <c r="F2" s="25" t="inlineStr">
        <is>
          <t>SAIGON SOUTH RESIDENCES</t>
        </is>
      </c>
      <c r="AG2" s="1" t="n"/>
      <c r="AH2" s="26" t="inlineStr">
        <is>
          <t>THỜI ĐIỂM BÁO CÁO</t>
        </is>
      </c>
      <c r="AI2" s="27" t="n"/>
      <c r="AJ2" s="27" t="n"/>
      <c r="AK2" s="27" t="n"/>
      <c r="AL2" s="27" t="n"/>
      <c r="AM2" s="27" t="n"/>
      <c r="AN2" s="27" t="n"/>
      <c r="AO2" s="28" t="n"/>
      <c r="AP2" s="1" t="n"/>
    </row>
    <row r="3" ht="26" customHeight="1">
      <c r="A3" s="1" t="n"/>
      <c r="B3" s="1" t="n"/>
      <c r="C3" s="1" t="n"/>
      <c r="D3" s="1" t="n"/>
      <c r="E3" s="1" t="n"/>
      <c r="AG3" s="1" t="n"/>
      <c r="AH3" s="29">
        <f>NOW()</f>
      </c>
      <c r="AI3" s="30" t="n"/>
      <c r="AJ3" s="30" t="n"/>
      <c r="AK3" s="30" t="n"/>
      <c r="AL3" s="30" t="n"/>
      <c r="AM3" s="30" t="n"/>
      <c r="AN3" s="30" t="n"/>
      <c r="AO3" s="31" t="n"/>
      <c r="AP3" s="1" t="n"/>
    </row>
    <row r="4" ht="38" customHeight="1">
      <c r="A4" s="1" t="n"/>
      <c r="B4" s="1" t="n"/>
      <c r="C4" s="1" t="n"/>
      <c r="D4" s="1" t="n"/>
      <c r="E4" s="1" t="n"/>
      <c r="F4" s="263">
        <f>IF(SUM($AE$110:$AE$122)=0,IF($AR$8+$AS$8=0,"Chưa có việc nào quá hạn.","Không có việc nào quá hạn; "&amp;TEXT($AR$8/($AR$8+$AS$8),"0%")&amp;" việc xong trong 30 ngày qua là đúng hạn."),IF(MAX($AE$110:$AE$121)/SUM($AE$110:$AE$122)&gt;=0.35,"Một người phụ trách đang giữ "&amp;MAX($AE$110:$AE$121)&amp;" trên "&amp;SUM($AE$110:$AE$122)&amp;" việc quá hạn, tức "&amp;TEXT(MAX($AE$110:$AE$121)/SUM($AE$110:$AE$122),"0%")&amp;IF(MAX($AE$110:$AE$121)/SUM($AE$110:$AE$122)&gt;0.5,"; gỡ được chỗ nghẽn này là gỡ hơn một nửa số việc trễ.",IF(MAX($AE$110:$AE$121)/SUM($AE$110:$AE$122)&gt;=0.45,", gần một nửa số việc trễ.",".")),IF($AR$8+$AS$8&gt;0,"Trong 30 ngày qua, "&amp;TEXT($AR$8/($AR$8+$AS$8),"0%")&amp;" việc xong đúng hạn, nhưng "&amp;SUM($AE$110:$AE$122)&amp;" việc đang quá hạn.",SUM($AE$110:$AE$122)&amp;" việc đang quá hạn.")))</f>
      </c>
      <c r="AG4" s="1" t="n"/>
      <c r="AH4" s="33" t="n"/>
      <c r="AI4" s="30" t="n"/>
      <c r="AJ4" s="30" t="n"/>
      <c r="AK4" s="30" t="n"/>
      <c r="AL4" s="30" t="n"/>
      <c r="AM4" s="30" t="n"/>
      <c r="AN4" s="30" t="n"/>
      <c r="AO4" s="31" t="n"/>
      <c r="AP4" s="1" t="n"/>
    </row>
    <row r="5" ht="20" customHeight="1">
      <c r="A5" s="1" t="n"/>
      <c r="B5" s="1" t="n"/>
      <c r="C5" s="1" t="n"/>
      <c r="D5" s="1" t="n"/>
      <c r="E5" s="1" t="n"/>
      <c r="F5" s="34">
        <f>"Bảng điều hành phản ánh cư dân và kế hoạch vận hành; số liệu tự cập nhật, tính đến "&amp;TEXT(TDBC,"hh:mm")&amp;" ngày "&amp;TEXT(TDBC,"dd/mm/yyyy")&amp;"."&amp;IF('Lời nhắn'!$I$3&gt;0," Có "&amp;'Lời nhắn'!$I$3&amp;" lời nhắn chưa phản hồi.","")</f>
      </c>
      <c r="AG5" s="1" t="n"/>
      <c r="AH5" s="35">
        <f>CHOOSE(WEEKDAY(NgayBC),"Chủ nhật","Thứ Hai","Thứ Ba","Thứ Tư","Thứ Năm","Thứ Sáu","Thứ Bảy")</f>
      </c>
      <c r="AI5" s="36" t="n"/>
      <c r="AJ5" s="36" t="n"/>
      <c r="AK5" s="36" t="n"/>
      <c r="AL5" s="36" t="n"/>
      <c r="AM5" s="36" t="n"/>
      <c r="AN5" s="36" t="n"/>
      <c r="AO5" s="37" t="n"/>
      <c r="AP5" s="1" t="n"/>
    </row>
    <row r="6" ht="4" customHeight="1">
      <c r="A6" s="38" t="n"/>
      <c r="B6" s="38" t="n"/>
      <c r="C6" s="38" t="n"/>
      <c r="D6" s="38" t="n"/>
      <c r="E6" s="38" t="n"/>
      <c r="F6" s="38" t="n"/>
      <c r="G6" s="38" t="n"/>
      <c r="H6" s="38" t="n"/>
      <c r="I6" s="38" t="n"/>
      <c r="J6" s="38" t="n"/>
      <c r="K6" s="38" t="n"/>
      <c r="L6" s="38" t="n"/>
      <c r="M6" s="38" t="n"/>
      <c r="N6" s="38" t="n"/>
      <c r="O6" s="38" t="n"/>
      <c r="P6" s="38" t="n"/>
      <c r="Q6" s="38" t="n"/>
      <c r="R6" s="38" t="n"/>
      <c r="S6" s="38" t="n"/>
      <c r="T6" s="38" t="n"/>
      <c r="U6" s="38" t="n"/>
      <c r="V6" s="38" t="n"/>
      <c r="W6" s="38" t="n"/>
      <c r="X6" s="38" t="n"/>
      <c r="Y6" s="38" t="n"/>
      <c r="Z6" s="38" t="n"/>
      <c r="AA6" s="38" t="n"/>
      <c r="AB6" s="38" t="n"/>
      <c r="AC6" s="38" t="n"/>
      <c r="AD6" s="38" t="n"/>
      <c r="AE6" s="38" t="n"/>
      <c r="AF6" s="38" t="n"/>
      <c r="AG6" s="38" t="n"/>
      <c r="AH6" s="38" t="n"/>
      <c r="AI6" s="38" t="n"/>
      <c r="AJ6" s="38" t="n"/>
      <c r="AK6" s="38" t="n"/>
      <c r="AL6" s="38" t="n"/>
      <c r="AM6" s="38" t="n"/>
      <c r="AN6" s="38" t="n"/>
      <c r="AO6" s="38" t="n"/>
      <c r="AP6" s="38" t="n"/>
    </row>
    <row r="7" ht="30" customHeight="1">
      <c r="A7" s="39" t="n"/>
      <c r="B7" s="40">
        <f>IF(AQ7+AR7+AS7+AT7=0,"KHÔNG CÓ VIỆC QUÁ HẠN. Mọi phản ánh và công việc đang trong hạn.","BÁO ĐỘNG: "&amp;(AQ7+AR7+AS7+AT7)&amp;" việc quá hạn, gồm "&amp;LEFT(AU7,LEN(AU7)-2)&amp;". Xem danh sách Cần chú ý; báo động tự tắt khi Nhật ký ghi hoàn thành.")</f>
      </c>
      <c r="C7" s="41" t="n"/>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c r="AA7" s="41" t="n"/>
      <c r="AB7" s="41" t="n"/>
      <c r="AC7" s="41" t="n"/>
      <c r="AD7" s="41" t="n"/>
      <c r="AE7" s="41" t="n"/>
      <c r="AF7" s="41" t="n"/>
      <c r="AG7" s="39" t="n"/>
      <c r="AH7" s="42">
        <f>"CHỈ SỐ "&amp;AT8&amp;"/100: "&amp;IF(AT8&gt;=85,"Tốt",IF(AT8&gt;=70,"Ổn định",IF(AT8&gt;=50,"Cần chú ý","Báo động")))</f>
      </c>
      <c r="AI7" s="41" t="n"/>
      <c r="AJ7" s="41" t="n"/>
      <c r="AK7" s="41" t="n"/>
      <c r="AL7" s="41" t="n"/>
      <c r="AM7" s="41" t="n"/>
      <c r="AN7" s="41" t="n"/>
      <c r="AO7" s="41" t="n"/>
      <c r="AP7" s="39" t="n"/>
      <c r="AQ7" s="43">
        <f>COUNTIF('Phản ánh'!$AO$6:$AO$505,4)+COUNTIF('Kế hoạch'!$BB$6:$BB$305,4)</f>
      </c>
      <c r="AR7" s="43">
        <f>COUNTIF('Phản ánh'!$AO$6:$AO$505,3)+COUNTIF('Kế hoạch'!$BB$6:$BB$305,3)</f>
      </c>
      <c r="AS7" s="43">
        <f>COUNTIF('Phản ánh'!$AO$6:$AO$505,2)+COUNTIF('Kế hoạch'!$BB$6:$BB$305,2)</f>
      </c>
      <c r="AT7" s="43">
        <f>COUNTIF('Phản ánh'!$AO$6:$AO$505,1)+COUNTIF('Kế hoạch'!$BB$6:$BB$305,1)</f>
      </c>
      <c r="AU7" s="43">
        <f>IF(AQ7&gt;0,AQ7&amp;" báo động đỏ, ","")&amp;IF(AR7&gt;0,AR7&amp;" báo động, ","")&amp;IF(AS7&gt;0,AS7&amp;" cảnh báo, ","")&amp;IF(AT7&gt;0,AT7&amp;" nhắc nhở, ","")</f>
      </c>
    </row>
    <row r="8" ht="24" customHeight="1">
      <c r="A8" s="39" t="n"/>
      <c r="B8" s="44" t="inlineStr">
        <is>
          <t>PHẢN ÁNH CƯ DÂN</t>
        </is>
      </c>
      <c r="C8" s="9" t="n"/>
      <c r="D8" s="9" t="n"/>
      <c r="E8" s="9" t="n"/>
      <c r="F8" s="9" t="n"/>
      <c r="G8" s="9" t="n"/>
      <c r="H8" s="9" t="n"/>
      <c r="I8" s="9" t="n"/>
      <c r="J8" s="9" t="n"/>
      <c r="K8" s="9" t="n"/>
      <c r="L8" s="9" t="n"/>
      <c r="M8" s="9" t="n"/>
      <c r="N8" s="9" t="n"/>
      <c r="O8" s="9" t="n"/>
      <c r="P8" s="9" t="n"/>
      <c r="Q8" s="9" t="n"/>
      <c r="R8" s="9" t="n"/>
      <c r="S8" s="9" t="n"/>
      <c r="T8" s="9" t="n"/>
      <c r="U8" s="39" t="n"/>
      <c r="V8" s="44" t="inlineStr">
        <is>
          <t>KẾ HOẠCH VẬN HÀNH</t>
        </is>
      </c>
      <c r="W8" s="9" t="n"/>
      <c r="X8" s="9" t="n"/>
      <c r="Y8" s="9" t="n"/>
      <c r="Z8" s="9" t="n"/>
      <c r="AA8" s="9" t="n"/>
      <c r="AB8" s="9" t="n"/>
      <c r="AC8" s="9" t="n"/>
      <c r="AD8" s="9" t="n"/>
      <c r="AE8" s="9" t="n"/>
      <c r="AF8" s="9" t="n"/>
      <c r="AG8" s="9" t="n"/>
      <c r="AH8" s="9" t="n"/>
      <c r="AI8" s="9" t="n"/>
      <c r="AJ8" s="9" t="n"/>
      <c r="AK8" s="9" t="n"/>
      <c r="AL8" s="9" t="n"/>
      <c r="AM8" s="9" t="n"/>
      <c r="AN8" s="9" t="n"/>
      <c r="AO8" s="9" t="n"/>
      <c r="AP8" s="39" t="n"/>
      <c r="AQ8" s="43">
        <f>COUNTIF('Phản ánh'!$Y$6:$Y$505,"Chậm tiến độ")+COUNTIF('Kế hoạch'!$AD$6:$AD$305,"Chậm tiến độ")</f>
      </c>
      <c r="AR8" s="43">
        <f>COUNTIFS('Phản ánh'!$AE$6:$AE$505,"Đúng hạn",'Phản ánh'!$AA$6:$AA$505,"&gt;="&amp;(TDBC-30))+COUNTIFS('Kế hoạch'!$AH$6:$AH$305,"Đúng hạn",'Kế hoạch'!$X$6:$X$305,"&gt;="&amp;(TDBC-30))+COUNTIFS('Nhật ký tiến độ'!$E$6:$E$3005,"Hoàn thành kỳ",'Nhật ký tiến độ'!$M$6:$M$3005,"Đúng hạn",'Nhật ký tiến độ'!$B$6:$B$3005,"&gt;="&amp;(TDBC-30))</f>
      </c>
      <c r="AS8" s="43">
        <f>COUNTIFS('Phản ánh'!$AE$6:$AE$505,"Trễ hạn",'Phản ánh'!$AA$6:$AA$505,"&gt;="&amp;(TDBC-30))+COUNTIFS('Kế hoạch'!$AH$6:$AH$305,"Trễ hạn",'Kế hoạch'!$X$6:$X$305,"&gt;="&amp;(TDBC-30))+COUNTIFS('Nhật ký tiến độ'!$E$6:$E$3005,"Hoàn thành kỳ",'Nhật ký tiến độ'!$M$6:$M$3005,"Trễ hạn",'Nhật ký tiến độ'!$B$6:$B$3005,"&gt;="&amp;(TDBC-30))</f>
      </c>
      <c r="AT8" s="43">
        <f>MAX(0,ROUND(100-MIN(60,15*AQ7+10*AR7+5*AS7+2*AT7)-MIN(15,2*AQ8)-IF(AR8+AS8=0,0,MIN(25,(1-AR8/(AR8+AS8))*50)),0))</f>
      </c>
    </row>
    <row r="9" ht="8" customHeight="1">
      <c r="A9" s="39" t="n"/>
      <c r="B9" s="39" t="n"/>
      <c r="C9" s="39" t="n"/>
      <c r="D9" s="39" t="n"/>
      <c r="E9" s="39" t="n"/>
      <c r="F9" s="39" t="n"/>
      <c r="G9" s="39" t="n"/>
      <c r="H9" s="39" t="n"/>
      <c r="I9" s="39" t="n"/>
      <c r="J9" s="39" t="n"/>
      <c r="K9" s="39" t="n"/>
      <c r="L9" s="39" t="n"/>
      <c r="M9" s="39" t="n"/>
      <c r="N9" s="39" t="n"/>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c r="AJ9" s="39" t="n"/>
      <c r="AK9" s="39" t="n"/>
      <c r="AL9" s="39" t="n"/>
      <c r="AM9" s="39" t="n"/>
      <c r="AN9" s="39" t="n"/>
      <c r="AO9" s="39" t="n"/>
      <c r="AP9" s="39" t="n"/>
    </row>
    <row r="10" ht="22" customHeight="1">
      <c r="A10" s="39" t="n"/>
      <c r="B10" s="45" t="inlineStr">
        <is>
          <t>TỒN ĐỌNG</t>
        </is>
      </c>
      <c r="C10" s="46" t="n"/>
      <c r="D10" s="46" t="n"/>
      <c r="E10" s="47" t="n"/>
      <c r="F10" s="39" t="n"/>
      <c r="G10" s="48" t="inlineStr">
        <is>
          <t>QUÁ HẠN</t>
        </is>
      </c>
      <c r="H10" s="46" t="n"/>
      <c r="I10" s="46" t="n"/>
      <c r="J10" s="47" t="n"/>
      <c r="K10" s="39" t="n"/>
      <c r="L10" s="49" t="inlineStr">
        <is>
          <t>CHẬM TIẾN ĐỘ</t>
        </is>
      </c>
      <c r="M10" s="46" t="n"/>
      <c r="N10" s="46" t="n"/>
      <c r="O10" s="47" t="n"/>
      <c r="P10" s="39" t="n"/>
      <c r="Q10" s="50" t="inlineStr">
        <is>
          <t>TIẾN ĐỘ BÌNH QUÂN</t>
        </is>
      </c>
      <c r="R10" s="46" t="n"/>
      <c r="S10" s="46" t="n"/>
      <c r="T10" s="47" t="n"/>
      <c r="U10" s="39" t="n"/>
      <c r="V10" s="51" t="inlineStr">
        <is>
          <t>ĐẾN HẠN HÔM NAY</t>
        </is>
      </c>
      <c r="W10" s="46" t="n"/>
      <c r="X10" s="46" t="n"/>
      <c r="Y10" s="47" t="n"/>
      <c r="Z10" s="39" t="n"/>
      <c r="AA10" s="52" t="inlineStr">
        <is>
          <t>TRONG 7 NGÀY TỚI</t>
        </is>
      </c>
      <c r="AB10" s="46" t="n"/>
      <c r="AC10" s="46" t="n"/>
      <c r="AD10" s="47" t="n"/>
      <c r="AE10" s="39" t="n"/>
      <c r="AF10" s="48" t="inlineStr">
        <is>
          <t>QUÁ HẠN</t>
        </is>
      </c>
      <c r="AG10" s="46" t="n"/>
      <c r="AH10" s="46" t="n"/>
      <c r="AI10" s="47" t="n"/>
      <c r="AJ10" s="39" t="n"/>
      <c r="AK10" s="50" t="inlineStr">
        <is>
          <t>ĐÚNG HẠN 30 NGÀY</t>
        </is>
      </c>
      <c r="AL10" s="46" t="n"/>
      <c r="AM10" s="46" t="n"/>
      <c r="AN10" s="46" t="n"/>
      <c r="AO10" s="47" t="n"/>
      <c r="AP10" s="39" t="n"/>
    </row>
    <row r="11" ht="22" customHeight="1">
      <c r="A11" s="39" t="n"/>
      <c r="B11" s="53">
        <f>COUNTIFS('Phản ánh'!$A$6:$A$505,"?*",'Phản ánh'!$V$6:$V$505,"&lt;&gt;Đã xử lý")</f>
      </c>
      <c r="C11" s="54" t="n"/>
      <c r="D11" s="54" t="n"/>
      <c r="E11" s="55" t="n"/>
      <c r="F11" s="39" t="n"/>
      <c r="G11" s="56">
        <f>COUNTIF('Phản ánh'!$Y$6:$Y$505,"Quá hạn")</f>
      </c>
      <c r="H11" s="54" t="n"/>
      <c r="I11" s="54" t="n"/>
      <c r="J11" s="55" t="n"/>
      <c r="K11" s="39" t="n"/>
      <c r="L11" s="57">
        <f>COUNTIF('Phản ánh'!$Y$6:$Y$505,"Chậm tiến độ")</f>
      </c>
      <c r="M11" s="54" t="n"/>
      <c r="N11" s="54" t="n"/>
      <c r="O11" s="55" t="n"/>
      <c r="P11" s="39" t="n"/>
      <c r="Q11" s="58">
        <f>IFERROR(AVERAGEIFS('Phản ánh'!$W$6:$W$505,'Phản ánh'!$A$6:$A$505,"?*",'Phản ánh'!$V$6:$V$505,"&lt;&gt;Đã xử lý"),0)</f>
      </c>
      <c r="R11" s="54" t="n"/>
      <c r="S11" s="54" t="n"/>
      <c r="T11" s="55" t="n"/>
      <c r="U11" s="39" t="n"/>
      <c r="V11" s="59">
        <f>COUNTIFS('Kế hoạch'!$AO$6:$AO$305,1,'Kế hoạch'!$AP$6:$AP$305,NgayBC,'Kế hoạch'!$AR$6:$AR$305,0)</f>
      </c>
      <c r="W11" s="54" t="n"/>
      <c r="X11" s="54" t="n"/>
      <c r="Y11" s="55" t="n"/>
      <c r="Z11" s="39" t="n"/>
      <c r="AA11" s="60">
        <f>COUNTIFS('Kế hoạch'!$AO$6:$AO$305,1,'Kế hoạch'!$AR$6:$AR$305,0,'Kế hoạch'!$AP$6:$AP$305,"&gt;="&amp;NgayBC,'Kế hoạch'!$AP$6:$AP$305,"&lt;="&amp;(NgayBC+7))</f>
      </c>
      <c r="AB11" s="54" t="n"/>
      <c r="AC11" s="54" t="n"/>
      <c r="AD11" s="55" t="n"/>
      <c r="AE11" s="39" t="n"/>
      <c r="AF11" s="56">
        <f>COUNTIF('Kế hoạch'!$AD$6:$AD$305,"Quá hạn")</f>
      </c>
      <c r="AG11" s="54" t="n"/>
      <c r="AH11" s="54" t="n"/>
      <c r="AI11" s="55" t="n"/>
      <c r="AJ11" s="39" t="n"/>
      <c r="AK11" s="58">
        <f>IFERROR(COUNTIFS('Nhật ký tiến độ'!$I$6:$I$3005,"Công việc",'Nhật ký tiến độ'!$M$6:$M$3005,"Đúng hạn",'Nhật ký tiến độ'!$B$6:$B$3005,"&gt;="&amp;(NgayBC-30),'Nhật ký tiến độ'!$B$6:$B$3005,"&lt;="&amp;TDBC)/(COUNTIFS('Nhật ký tiến độ'!$I$6:$I$3005,"Công việc",'Nhật ký tiến độ'!$M$6:$M$3005,"Đúng hạn",'Nhật ký tiến độ'!$B$6:$B$3005,"&gt;="&amp;(NgayBC-30),'Nhật ký tiến độ'!$B$6:$B$3005,"&lt;="&amp;TDBC)+COUNTIFS('Nhật ký tiến độ'!$I$6:$I$3005,"Công việc",'Nhật ký tiến độ'!$M$6:$M$3005,"Trễ hạn",'Nhật ký tiến độ'!$B$6:$B$3005,"&gt;="&amp;(NgayBC-30),'Nhật ký tiến độ'!$B$6:$B$3005,"&lt;="&amp;TDBC)),0)</f>
      </c>
      <c r="AL11" s="54" t="n"/>
      <c r="AM11" s="54" t="n"/>
      <c r="AN11" s="54" t="n"/>
      <c r="AO11" s="55" t="n"/>
      <c r="AP11" s="39" t="n"/>
    </row>
    <row r="12" ht="22" customHeight="1">
      <c r="A12" s="39" t="n"/>
      <c r="B12" s="61" t="n"/>
      <c r="C12" s="54" t="n"/>
      <c r="D12" s="54" t="n"/>
      <c r="E12" s="55" t="n"/>
      <c r="F12" s="39" t="n"/>
      <c r="G12" s="62" t="n"/>
      <c r="H12" s="54" t="n"/>
      <c r="I12" s="54" t="n"/>
      <c r="J12" s="55" t="n"/>
      <c r="K12" s="39" t="n"/>
      <c r="L12" s="63" t="n"/>
      <c r="M12" s="54" t="n"/>
      <c r="N12" s="54" t="n"/>
      <c r="O12" s="55" t="n"/>
      <c r="P12" s="39" t="n"/>
      <c r="Q12" s="64" t="n"/>
      <c r="R12" s="54" t="n"/>
      <c r="S12" s="54" t="n"/>
      <c r="T12" s="55" t="n"/>
      <c r="U12" s="39" t="n"/>
      <c r="V12" s="65" t="n"/>
      <c r="W12" s="54" t="n"/>
      <c r="X12" s="54" t="n"/>
      <c r="Y12" s="55" t="n"/>
      <c r="Z12" s="39" t="n"/>
      <c r="AA12" s="66" t="n"/>
      <c r="AB12" s="54" t="n"/>
      <c r="AC12" s="54" t="n"/>
      <c r="AD12" s="55" t="n"/>
      <c r="AE12" s="39" t="n"/>
      <c r="AF12" s="62" t="n"/>
      <c r="AG12" s="54" t="n"/>
      <c r="AH12" s="54" t="n"/>
      <c r="AI12" s="55" t="n"/>
      <c r="AJ12" s="39" t="n"/>
      <c r="AK12" s="64" t="n"/>
      <c r="AL12" s="54" t="n"/>
      <c r="AM12" s="54" t="n"/>
      <c r="AN12" s="54" t="n"/>
      <c r="AO12" s="55" t="n"/>
      <c r="AP12" s="39" t="n"/>
    </row>
    <row r="13" ht="27" customHeight="1">
      <c r="A13" s="39" t="n"/>
      <c r="B13" s="67">
        <f>"trên tổng "&amp;COUNTIF('Phản ánh'!$A$6:$A$505,"?*")&amp;" phản ánh"</f>
      </c>
      <c r="C13" s="68" t="n"/>
      <c r="D13" s="68" t="n"/>
      <c r="E13" s="69" t="n"/>
      <c r="F13" s="39" t="n"/>
      <c r="G13" s="70">
        <f>"khẩn cấp chưa xong: "&amp;COUNTIFS('Phản ánh'!$J$6:$J$505,"Khẩn cấp",'Phản ánh'!$V$6:$V$505,"&lt;&gt;Đã xử lý",'Phản ánh'!$A$6:$A$505,"?*")</f>
      </c>
      <c r="H13" s="68" t="n"/>
      <c r="I13" s="68" t="n"/>
      <c r="J13" s="69" t="n"/>
      <c r="K13" s="39" t="n"/>
      <c r="L13" s="71" t="inlineStr">
        <is>
          <t>thấp hơn kế hoạch từ 20 điểm %</t>
        </is>
      </c>
      <c r="M13" s="68" t="n"/>
      <c r="N13" s="68" t="n"/>
      <c r="O13" s="69" t="n"/>
      <c r="P13" s="39" t="n"/>
      <c r="Q13" s="72">
        <f>"đã xử lý xong "&amp;TEXT(IFERROR(COUNTIF('Phản ánh'!$V$6:$V$505,"Đã xử lý")/COUNTIF('Phản ánh'!$A$6:$A$505,"?*"),0),"0%")&amp;" số phản ánh"</f>
      </c>
      <c r="R13" s="68" t="n"/>
      <c r="S13" s="68" t="n"/>
      <c r="T13" s="69" t="n"/>
      <c r="U13" s="39" t="n"/>
      <c r="V13" s="73">
        <f>"cộng "&amp;SUM('Kế hoạch'!$AR$6:$AR$305)&amp;" việc hằng ngày"</f>
      </c>
      <c r="W13" s="68" t="n"/>
      <c r="X13" s="68" t="n"/>
      <c r="Y13" s="69" t="n"/>
      <c r="Z13" s="39" t="n"/>
      <c r="AA13" s="74" t="inlineStr">
        <is>
          <t>việc định kỳ và đột xuất</t>
        </is>
      </c>
      <c r="AB13" s="68" t="n"/>
      <c r="AC13" s="68" t="n"/>
      <c r="AD13" s="69" t="n"/>
      <c r="AE13" s="39" t="n"/>
      <c r="AF13" s="70">
        <f>"đột xuất đang mở: "&amp;COUNTIFS('Kế hoạch'!$B$6:$B$305,"Đột xuất",'Kế hoạch'!$AO$6:$AO$305,1)</f>
      </c>
      <c r="AG13" s="68" t="n"/>
      <c r="AH13" s="68" t="n"/>
      <c r="AI13" s="69" t="n"/>
      <c r="AJ13" s="39" t="n"/>
      <c r="AK13" s="72">
        <f>COUNTIFS('Nhật ký tiến độ'!$I$6:$I$3005,"Công việc",'Nhật ký tiến độ'!$M$6:$M$3005,"Đúng hạn",'Nhật ký tiến độ'!$B$6:$B$3005,"&gt;="&amp;(NgayBC-30),'Nhật ký tiến độ'!$B$6:$B$3005,"&lt;="&amp;TDBC)&amp;" trên "&amp;(COUNTIFS('Nhật ký tiến độ'!$I$6:$I$3005,"Công việc",'Nhật ký tiến độ'!$M$6:$M$3005,"Đúng hạn",'Nhật ký tiến độ'!$B$6:$B$3005,"&gt;="&amp;(NgayBC-30),'Nhật ký tiến độ'!$B$6:$B$3005,"&lt;="&amp;TDBC)+COUNTIFS('Nhật ký tiến độ'!$I$6:$I$3005,"Công việc",'Nhật ký tiến độ'!$M$6:$M$3005,"Trễ hạn",'Nhật ký tiến độ'!$B$6:$B$3005,"&gt;="&amp;(NgayBC-30),'Nhật ký tiến độ'!$B$6:$B$3005,"&lt;="&amp;TDBC))&amp;" lần hoàn thành công việc"</f>
      </c>
      <c r="AL13" s="68" t="n"/>
      <c r="AM13" s="68" t="n"/>
      <c r="AN13" s="68" t="n"/>
      <c r="AO13" s="69" t="n"/>
      <c r="AP13" s="39" t="n"/>
    </row>
    <row r="14" ht="10" customHeight="1">
      <c r="A14" s="39" t="n"/>
      <c r="B14" s="39" t="n"/>
      <c r="C14" s="39" t="n"/>
      <c r="D14" s="39" t="n"/>
      <c r="E14" s="39" t="n"/>
      <c r="F14" s="39" t="n"/>
      <c r="G14" s="39" t="n"/>
      <c r="H14" s="39" t="n"/>
      <c r="I14" s="39" t="n"/>
      <c r="J14" s="39" t="n"/>
      <c r="K14" s="39" t="n"/>
      <c r="L14" s="39" t="n"/>
      <c r="M14" s="39" t="n"/>
      <c r="N14" s="39" t="n"/>
      <c r="O14" s="39" t="n"/>
      <c r="P14" s="39" t="n"/>
      <c r="Q14" s="39" t="n"/>
      <c r="R14" s="39" t="n"/>
      <c r="S14" s="39" t="n"/>
      <c r="T14" s="39" t="n"/>
      <c r="U14" s="39" t="n"/>
      <c r="V14" s="39" t="n"/>
      <c r="W14" s="39" t="n"/>
      <c r="X14" s="39" t="n"/>
      <c r="Y14" s="39" t="n"/>
      <c r="Z14" s="39" t="n"/>
      <c r="AA14" s="39" t="n"/>
      <c r="AB14" s="39" t="n"/>
      <c r="AC14" s="39" t="n"/>
      <c r="AD14" s="39" t="n"/>
      <c r="AE14" s="39" t="n"/>
      <c r="AF14" s="39" t="n"/>
      <c r="AG14" s="39" t="n"/>
      <c r="AH14" s="39" t="n"/>
      <c r="AI14" s="39" t="n"/>
      <c r="AJ14" s="39" t="n"/>
      <c r="AK14" s="39" t="n"/>
      <c r="AL14" s="39" t="n"/>
      <c r="AM14" s="39" t="n"/>
      <c r="AN14" s="39" t="n"/>
      <c r="AO14" s="39" t="n"/>
      <c r="AP14" s="39" t="n"/>
    </row>
    <row r="15" ht="22" customHeight="1">
      <c r="A15" s="39" t="n"/>
      <c r="B15" s="75">
        <f>"Phản ánh cư dân: đang tồn đọng "&amp;B11&amp;" trên "&amp;COUNTIF('Phản ánh'!$A$6:$A$505,"?*")&amp;" phản ánh, tiến độ bình quân "&amp;TEXT(Q11,"0%")&amp;"; "&amp;G11&amp;" phản ánh quá hạn và "&amp;L11&amp;" phản ánh chậm tiến độ cần đôn đốc."</f>
      </c>
      <c r="C15" s="76" t="n"/>
      <c r="D15" s="76" t="n"/>
      <c r="E15" s="76" t="n"/>
      <c r="F15" s="76" t="n"/>
      <c r="G15" s="76" t="n"/>
      <c r="H15" s="76" t="n"/>
      <c r="I15" s="76" t="n"/>
      <c r="J15" s="76" t="n"/>
      <c r="K15" s="76" t="n"/>
      <c r="L15" s="76" t="n"/>
      <c r="M15" s="76" t="n"/>
      <c r="N15" s="76" t="n"/>
      <c r="O15" s="76" t="n"/>
      <c r="P15" s="76" t="n"/>
      <c r="Q15" s="76" t="n"/>
      <c r="R15" s="76" t="n"/>
      <c r="S15" s="76" t="n"/>
      <c r="T15" s="76" t="n"/>
      <c r="U15" s="76" t="n"/>
      <c r="V15" s="76" t="n"/>
      <c r="W15" s="76" t="n"/>
      <c r="X15" s="76" t="n"/>
      <c r="Y15" s="76" t="n"/>
      <c r="Z15" s="76" t="n"/>
      <c r="AA15" s="76" t="n"/>
      <c r="AB15" s="76" t="n"/>
      <c r="AC15" s="76" t="n"/>
      <c r="AD15" s="76" t="n"/>
      <c r="AE15" s="76" t="n"/>
      <c r="AF15" s="76" t="n"/>
      <c r="AG15" s="76" t="n"/>
      <c r="AH15" s="76" t="n"/>
      <c r="AI15" s="76" t="n"/>
      <c r="AJ15" s="76" t="n"/>
      <c r="AK15" s="76" t="n"/>
      <c r="AL15" s="76" t="n"/>
      <c r="AM15" s="76" t="n"/>
      <c r="AN15" s="76" t="n"/>
      <c r="AO15" s="77" t="n"/>
      <c r="AP15" s="39" t="n"/>
    </row>
    <row r="16" ht="22" customHeight="1">
      <c r="A16" s="39" t="n"/>
      <c r="B16" s="78">
        <f>"Kế hoạch vận hành: "&amp;V11&amp;" việc đến hạn hôm nay, "&amp;AA11&amp;" việc trong 7 ngày tới, "&amp;AF11&amp;" việc quá hạn; tỷ lệ hoàn thành đúng hạn 30 ngày qua đạt "&amp;TEXT(AK11,"0%")&amp;"."</f>
      </c>
      <c r="C16" s="79" t="n"/>
      <c r="D16" s="79" t="n"/>
      <c r="E16" s="79" t="n"/>
      <c r="F16" s="79" t="n"/>
      <c r="G16" s="79" t="n"/>
      <c r="H16" s="79" t="n"/>
      <c r="I16" s="79" t="n"/>
      <c r="J16" s="79" t="n"/>
      <c r="K16" s="79" t="n"/>
      <c r="L16" s="79" t="n"/>
      <c r="M16" s="79" t="n"/>
      <c r="N16" s="79" t="n"/>
      <c r="O16" s="79" t="n"/>
      <c r="P16" s="79" t="n"/>
      <c r="Q16" s="79" t="n"/>
      <c r="R16" s="79" t="n"/>
      <c r="S16" s="79" t="n"/>
      <c r="T16" s="79" t="n"/>
      <c r="U16" s="79" t="n"/>
      <c r="V16" s="79" t="n"/>
      <c r="W16" s="79" t="n"/>
      <c r="X16" s="79" t="n"/>
      <c r="Y16" s="79" t="n"/>
      <c r="Z16" s="79" t="n"/>
      <c r="AA16" s="79" t="n"/>
      <c r="AB16" s="79" t="n"/>
      <c r="AC16" s="79" t="n"/>
      <c r="AD16" s="79" t="n"/>
      <c r="AE16" s="79" t="n"/>
      <c r="AF16" s="79" t="n"/>
      <c r="AG16" s="79" t="n"/>
      <c r="AH16" s="79" t="n"/>
      <c r="AI16" s="79" t="n"/>
      <c r="AJ16" s="79" t="n"/>
      <c r="AK16" s="79" t="n"/>
      <c r="AL16" s="79" t="n"/>
      <c r="AM16" s="79" t="n"/>
      <c r="AN16" s="79" t="n"/>
      <c r="AO16" s="80" t="n"/>
      <c r="AP16" s="39" t="n"/>
    </row>
    <row r="17" ht="12" customHeight="1">
      <c r="A17" s="39" t="n"/>
      <c r="B17" s="39" t="n"/>
      <c r="C17" s="39" t="n"/>
      <c r="D17" s="39" t="n"/>
      <c r="E17" s="39" t="n"/>
      <c r="F17" s="39" t="n"/>
      <c r="G17" s="39" t="n"/>
      <c r="H17" s="39" t="n"/>
      <c r="I17" s="39" t="n"/>
      <c r="J17" s="39" t="n"/>
      <c r="K17" s="39" t="n"/>
      <c r="L17" s="39" t="n"/>
      <c r="M17" s="39" t="n"/>
      <c r="N17" s="39" t="n"/>
      <c r="O17" s="39" t="n"/>
      <c r="P17" s="39" t="n"/>
      <c r="Q17" s="39" t="n"/>
      <c r="R17" s="39" t="n"/>
      <c r="S17" s="39" t="n"/>
      <c r="T17" s="39"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row>
    <row r="18" ht="24" customHeight="1">
      <c r="A18" s="39" t="n"/>
      <c r="B18" s="44" t="inlineStr">
        <is>
          <t>LỊCH 14 NGÀY TỚI</t>
        </is>
      </c>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c r="AC18" s="9" t="n"/>
      <c r="AD18" s="9" t="n"/>
      <c r="AE18" s="9" t="n"/>
      <c r="AF18" s="9" t="n"/>
      <c r="AG18" s="9" t="n"/>
      <c r="AH18" s="9" t="n"/>
      <c r="AI18" s="9" t="n"/>
      <c r="AJ18" s="9" t="n"/>
      <c r="AK18" s="9" t="n"/>
      <c r="AL18" s="9" t="n"/>
      <c r="AM18" s="9" t="n"/>
      <c r="AN18" s="9" t="n"/>
      <c r="AO18" s="9" t="n"/>
      <c r="AP18" s="39" t="n"/>
    </row>
    <row r="19" ht="16" customHeight="1">
      <c r="A19" s="39" t="n"/>
      <c r="B19" s="81" t="inlineStr">
        <is>
          <t>Chưa làm</t>
        </is>
      </c>
      <c r="C19" s="82" t="n"/>
      <c r="D19" s="83" t="n"/>
      <c r="E19" s="84" t="inlineStr">
        <is>
          <t>Hôm nay</t>
        </is>
      </c>
      <c r="F19" s="85" t="n"/>
      <c r="G19" s="86">
        <f>CHOOSE(WEEKDAY(G20),"CN","T2","T3","T4","T5","T6","T7")</f>
      </c>
      <c r="H19" s="87" t="n"/>
      <c r="I19" s="86">
        <f>CHOOSE(WEEKDAY(I20),"CN","T2","T3","T4","T5","T6","T7")</f>
      </c>
      <c r="J19" s="87" t="n"/>
      <c r="K19" s="86">
        <f>CHOOSE(WEEKDAY(K20),"CN","T2","T3","T4","T5","T6","T7")</f>
      </c>
      <c r="L19" s="87" t="n"/>
      <c r="M19" s="86">
        <f>CHOOSE(WEEKDAY(M20),"CN","T2","T3","T4","T5","T6","T7")</f>
      </c>
      <c r="N19" s="87" t="n"/>
      <c r="O19" s="86">
        <f>CHOOSE(WEEKDAY(O20),"CN","T2","T3","T4","T5","T6","T7")</f>
      </c>
      <c r="P19" s="87" t="n"/>
      <c r="Q19" s="86">
        <f>CHOOSE(WEEKDAY(Q20),"CN","T2","T3","T4","T5","T6","T7")</f>
      </c>
      <c r="R19" s="87" t="n"/>
      <c r="S19" s="86">
        <f>CHOOSE(WEEKDAY(S20),"CN","T2","T3","T4","T5","T6","T7")</f>
      </c>
      <c r="T19" s="87" t="n"/>
      <c r="U19" s="86">
        <f>CHOOSE(WEEKDAY(U20),"CN","T2","T3","T4","T5","T6","T7")</f>
      </c>
      <c r="V19" s="87" t="n"/>
      <c r="W19" s="86">
        <f>CHOOSE(WEEKDAY(W20),"CN","T2","T3","T4","T5","T6","T7")</f>
      </c>
      <c r="X19" s="87" t="n"/>
      <c r="Y19" s="86">
        <f>CHOOSE(WEEKDAY(Y20),"CN","T2","T3","T4","T5","T6","T7")</f>
      </c>
      <c r="Z19" s="87" t="n"/>
      <c r="AA19" s="86">
        <f>CHOOSE(WEEKDAY(AA20),"CN","T2","T3","T4","T5","T6","T7")</f>
      </c>
      <c r="AB19" s="87" t="n"/>
      <c r="AC19" s="86">
        <f>CHOOSE(WEEKDAY(AC20),"CN","T2","T3","T4","T5","T6","T7")</f>
      </c>
      <c r="AD19" s="87" t="n"/>
      <c r="AE19" s="86">
        <f>CHOOSE(WEEKDAY(AE20),"CN","T2","T3","T4","T5","T6","T7")</f>
      </c>
      <c r="AF19" s="87" t="n"/>
      <c r="AG19" s="39" t="n"/>
      <c r="AH19" s="88" t="inlineStr">
        <is>
          <t>VIỆC HẰNG NGÀY</t>
        </is>
      </c>
      <c r="AI19" s="89" t="n"/>
      <c r="AJ19" s="89" t="n"/>
      <c r="AK19" s="89" t="n"/>
      <c r="AL19" s="89" t="n"/>
      <c r="AM19" s="89" t="n"/>
      <c r="AN19" s="89" t="n"/>
      <c r="AO19" s="90" t="n"/>
      <c r="AP19" s="39" t="n"/>
    </row>
    <row r="20" ht="18" customHeight="1">
      <c r="A20" s="39" t="n"/>
      <c r="B20" s="91" t="inlineStr">
        <is>
          <t>Quá hạn</t>
        </is>
      </c>
      <c r="C20" s="92" t="n"/>
      <c r="D20" s="93" t="n"/>
      <c r="E20" s="94">
        <f>NgayBC+0</f>
      </c>
      <c r="F20" s="95" t="n"/>
      <c r="G20" s="96">
        <f>NgayBC+1</f>
      </c>
      <c r="H20" s="97" t="n"/>
      <c r="I20" s="96">
        <f>NgayBC+2</f>
      </c>
      <c r="J20" s="97" t="n"/>
      <c r="K20" s="96">
        <f>NgayBC+3</f>
      </c>
      <c r="L20" s="97" t="n"/>
      <c r="M20" s="96">
        <f>NgayBC+4</f>
      </c>
      <c r="N20" s="97" t="n"/>
      <c r="O20" s="96">
        <f>NgayBC+5</f>
      </c>
      <c r="P20" s="97" t="n"/>
      <c r="Q20" s="96">
        <f>NgayBC+6</f>
      </c>
      <c r="R20" s="97" t="n"/>
      <c r="S20" s="96">
        <f>NgayBC+7</f>
      </c>
      <c r="T20" s="97" t="n"/>
      <c r="U20" s="96">
        <f>NgayBC+8</f>
      </c>
      <c r="V20" s="97" t="n"/>
      <c r="W20" s="96">
        <f>NgayBC+9</f>
      </c>
      <c r="X20" s="97" t="n"/>
      <c r="Y20" s="96">
        <f>NgayBC+10</f>
      </c>
      <c r="Z20" s="97" t="n"/>
      <c r="AA20" s="96">
        <f>NgayBC+11</f>
      </c>
      <c r="AB20" s="97" t="n"/>
      <c r="AC20" s="96">
        <f>NgayBC+12</f>
      </c>
      <c r="AD20" s="97" t="n"/>
      <c r="AE20" s="96">
        <f>NgayBC+13</f>
      </c>
      <c r="AF20" s="97" t="n"/>
      <c r="AG20" s="39" t="n"/>
      <c r="AH20" s="98">
        <f>SUM('Kế hoạch'!$AR$6:$AR$305)&amp;" việc"</f>
      </c>
      <c r="AI20" s="99" t="n"/>
      <c r="AJ20" s="99" t="n"/>
      <c r="AK20" s="99" t="n"/>
      <c r="AL20" s="99" t="n"/>
      <c r="AM20" s="99" t="n"/>
      <c r="AN20" s="99" t="n"/>
      <c r="AO20" s="100" t="n"/>
      <c r="AP20" s="39" t="n"/>
    </row>
    <row r="21" ht="30" customHeight="1">
      <c r="A21" s="39" t="n"/>
      <c r="B21" s="101">
        <f>COUNTIF('Kế hoạch'!$AD$6:$AD$305,"Quá hạn")</f>
      </c>
      <c r="C21" s="102" t="n"/>
      <c r="D21" s="103" t="n"/>
      <c r="E21" s="104">
        <f>SUMPRODUCT(('Kế hoạch'!$AO$6:$AO$305=1)*('Kế hoạch'!$AQ$6:$AQ$305&gt;0)*('Kế hoạch'!$AP$6:$AP$305&gt;0)*(E$20&gt;='Kế hoạch'!$AP$6:$AP$305)*(MOD(E$20-'Kế hoạch'!$AP$6:$AP$305,'Kế hoạch'!$AQ$6:$AQ$305+('Kế hoạch'!$AQ$6:$AQ$305=0))=0))+SUMPRODUCT(('Kế hoạch'!$AO$6:$AO$305=1)*('Kế hoạch'!$AQ$6:$AQ$305=0)*('Kế hoạch'!$AR$6:$AR$305=0)*('Kế hoạch'!$AP$6:$AP$305=E$20))</f>
      </c>
      <c r="F21" s="105" t="n"/>
      <c r="G21" s="106">
        <f>SUMPRODUCT(('Kế hoạch'!$AO$6:$AO$305=1)*('Kế hoạch'!$AQ$6:$AQ$305&gt;0)*('Kế hoạch'!$AP$6:$AP$305&gt;0)*(G$20&gt;='Kế hoạch'!$AP$6:$AP$305)*(MOD(G$20-'Kế hoạch'!$AP$6:$AP$305,'Kế hoạch'!$AQ$6:$AQ$305+('Kế hoạch'!$AQ$6:$AQ$305=0))=0))+SUMPRODUCT(('Kế hoạch'!$AO$6:$AO$305=1)*('Kế hoạch'!$AQ$6:$AQ$305=0)*('Kế hoạch'!$AR$6:$AR$305=0)*('Kế hoạch'!$AP$6:$AP$305=G$20))</f>
      </c>
      <c r="H21" s="80" t="n"/>
      <c r="I21" s="106">
        <f>SUMPRODUCT(('Kế hoạch'!$AO$6:$AO$305=1)*('Kế hoạch'!$AQ$6:$AQ$305&gt;0)*('Kế hoạch'!$AP$6:$AP$305&gt;0)*(I$20&gt;='Kế hoạch'!$AP$6:$AP$305)*(MOD(I$20-'Kế hoạch'!$AP$6:$AP$305,'Kế hoạch'!$AQ$6:$AQ$305+('Kế hoạch'!$AQ$6:$AQ$305=0))=0))+SUMPRODUCT(('Kế hoạch'!$AO$6:$AO$305=1)*('Kế hoạch'!$AQ$6:$AQ$305=0)*('Kế hoạch'!$AR$6:$AR$305=0)*('Kế hoạch'!$AP$6:$AP$305=I$20))</f>
      </c>
      <c r="J21" s="80" t="n"/>
      <c r="K21" s="106">
        <f>SUMPRODUCT(('Kế hoạch'!$AO$6:$AO$305=1)*('Kế hoạch'!$AQ$6:$AQ$305&gt;0)*('Kế hoạch'!$AP$6:$AP$305&gt;0)*(K$20&gt;='Kế hoạch'!$AP$6:$AP$305)*(MOD(K$20-'Kế hoạch'!$AP$6:$AP$305,'Kế hoạch'!$AQ$6:$AQ$305+('Kế hoạch'!$AQ$6:$AQ$305=0))=0))+SUMPRODUCT(('Kế hoạch'!$AO$6:$AO$305=1)*('Kế hoạch'!$AQ$6:$AQ$305=0)*('Kế hoạch'!$AR$6:$AR$305=0)*('Kế hoạch'!$AP$6:$AP$305=K$20))</f>
      </c>
      <c r="L21" s="80" t="n"/>
      <c r="M21" s="106">
        <f>SUMPRODUCT(('Kế hoạch'!$AO$6:$AO$305=1)*('Kế hoạch'!$AQ$6:$AQ$305&gt;0)*('Kế hoạch'!$AP$6:$AP$305&gt;0)*(M$20&gt;='Kế hoạch'!$AP$6:$AP$305)*(MOD(M$20-'Kế hoạch'!$AP$6:$AP$305,'Kế hoạch'!$AQ$6:$AQ$305+('Kế hoạch'!$AQ$6:$AQ$305=0))=0))+SUMPRODUCT(('Kế hoạch'!$AO$6:$AO$305=1)*('Kế hoạch'!$AQ$6:$AQ$305=0)*('Kế hoạch'!$AR$6:$AR$305=0)*('Kế hoạch'!$AP$6:$AP$305=M$20))</f>
      </c>
      <c r="N21" s="80" t="n"/>
      <c r="O21" s="106">
        <f>SUMPRODUCT(('Kế hoạch'!$AO$6:$AO$305=1)*('Kế hoạch'!$AQ$6:$AQ$305&gt;0)*('Kế hoạch'!$AP$6:$AP$305&gt;0)*(O$20&gt;='Kế hoạch'!$AP$6:$AP$305)*(MOD(O$20-'Kế hoạch'!$AP$6:$AP$305,'Kế hoạch'!$AQ$6:$AQ$305+('Kế hoạch'!$AQ$6:$AQ$305=0))=0))+SUMPRODUCT(('Kế hoạch'!$AO$6:$AO$305=1)*('Kế hoạch'!$AQ$6:$AQ$305=0)*('Kế hoạch'!$AR$6:$AR$305=0)*('Kế hoạch'!$AP$6:$AP$305=O$20))</f>
      </c>
      <c r="P21" s="80" t="n"/>
      <c r="Q21" s="106">
        <f>SUMPRODUCT(('Kế hoạch'!$AO$6:$AO$305=1)*('Kế hoạch'!$AQ$6:$AQ$305&gt;0)*('Kế hoạch'!$AP$6:$AP$305&gt;0)*(Q$20&gt;='Kế hoạch'!$AP$6:$AP$305)*(MOD(Q$20-'Kế hoạch'!$AP$6:$AP$305,'Kế hoạch'!$AQ$6:$AQ$305+('Kế hoạch'!$AQ$6:$AQ$305=0))=0))+SUMPRODUCT(('Kế hoạch'!$AO$6:$AO$305=1)*('Kế hoạch'!$AQ$6:$AQ$305=0)*('Kế hoạch'!$AR$6:$AR$305=0)*('Kế hoạch'!$AP$6:$AP$305=Q$20))</f>
      </c>
      <c r="R21" s="80" t="n"/>
      <c r="S21" s="106">
        <f>SUMPRODUCT(('Kế hoạch'!$AO$6:$AO$305=1)*('Kế hoạch'!$AQ$6:$AQ$305&gt;0)*('Kế hoạch'!$AP$6:$AP$305&gt;0)*(S$20&gt;='Kế hoạch'!$AP$6:$AP$305)*(MOD(S$20-'Kế hoạch'!$AP$6:$AP$305,'Kế hoạch'!$AQ$6:$AQ$305+('Kế hoạch'!$AQ$6:$AQ$305=0))=0))+SUMPRODUCT(('Kế hoạch'!$AO$6:$AO$305=1)*('Kế hoạch'!$AQ$6:$AQ$305=0)*('Kế hoạch'!$AR$6:$AR$305=0)*('Kế hoạch'!$AP$6:$AP$305=S$20))</f>
      </c>
      <c r="T21" s="80" t="n"/>
      <c r="U21" s="106">
        <f>SUMPRODUCT(('Kế hoạch'!$AO$6:$AO$305=1)*('Kế hoạch'!$AQ$6:$AQ$305&gt;0)*('Kế hoạch'!$AP$6:$AP$305&gt;0)*(U$20&gt;='Kế hoạch'!$AP$6:$AP$305)*(MOD(U$20-'Kế hoạch'!$AP$6:$AP$305,'Kế hoạch'!$AQ$6:$AQ$305+('Kế hoạch'!$AQ$6:$AQ$305=0))=0))+SUMPRODUCT(('Kế hoạch'!$AO$6:$AO$305=1)*('Kế hoạch'!$AQ$6:$AQ$305=0)*('Kế hoạch'!$AR$6:$AR$305=0)*('Kế hoạch'!$AP$6:$AP$305=U$20))</f>
      </c>
      <c r="V21" s="80" t="n"/>
      <c r="W21" s="106">
        <f>SUMPRODUCT(('Kế hoạch'!$AO$6:$AO$305=1)*('Kế hoạch'!$AQ$6:$AQ$305&gt;0)*('Kế hoạch'!$AP$6:$AP$305&gt;0)*(W$20&gt;='Kế hoạch'!$AP$6:$AP$305)*(MOD(W$20-'Kế hoạch'!$AP$6:$AP$305,'Kế hoạch'!$AQ$6:$AQ$305+('Kế hoạch'!$AQ$6:$AQ$305=0))=0))+SUMPRODUCT(('Kế hoạch'!$AO$6:$AO$305=1)*('Kế hoạch'!$AQ$6:$AQ$305=0)*('Kế hoạch'!$AR$6:$AR$305=0)*('Kế hoạch'!$AP$6:$AP$305=W$20))</f>
      </c>
      <c r="X21" s="80" t="n"/>
      <c r="Y21" s="106">
        <f>SUMPRODUCT(('Kế hoạch'!$AO$6:$AO$305=1)*('Kế hoạch'!$AQ$6:$AQ$305&gt;0)*('Kế hoạch'!$AP$6:$AP$305&gt;0)*(Y$20&gt;='Kế hoạch'!$AP$6:$AP$305)*(MOD(Y$20-'Kế hoạch'!$AP$6:$AP$305,'Kế hoạch'!$AQ$6:$AQ$305+('Kế hoạch'!$AQ$6:$AQ$305=0))=0))+SUMPRODUCT(('Kế hoạch'!$AO$6:$AO$305=1)*('Kế hoạch'!$AQ$6:$AQ$305=0)*('Kế hoạch'!$AR$6:$AR$305=0)*('Kế hoạch'!$AP$6:$AP$305=Y$20))</f>
      </c>
      <c r="Z21" s="80" t="n"/>
      <c r="AA21" s="106">
        <f>SUMPRODUCT(('Kế hoạch'!$AO$6:$AO$305=1)*('Kế hoạch'!$AQ$6:$AQ$305&gt;0)*('Kế hoạch'!$AP$6:$AP$305&gt;0)*(AA$20&gt;='Kế hoạch'!$AP$6:$AP$305)*(MOD(AA$20-'Kế hoạch'!$AP$6:$AP$305,'Kế hoạch'!$AQ$6:$AQ$305+('Kế hoạch'!$AQ$6:$AQ$305=0))=0))+SUMPRODUCT(('Kế hoạch'!$AO$6:$AO$305=1)*('Kế hoạch'!$AQ$6:$AQ$305=0)*('Kế hoạch'!$AR$6:$AR$305=0)*('Kế hoạch'!$AP$6:$AP$305=AA$20))</f>
      </c>
      <c r="AB21" s="80" t="n"/>
      <c r="AC21" s="106">
        <f>SUMPRODUCT(('Kế hoạch'!$AO$6:$AO$305=1)*('Kế hoạch'!$AQ$6:$AQ$305&gt;0)*('Kế hoạch'!$AP$6:$AP$305&gt;0)*(AC$20&gt;='Kế hoạch'!$AP$6:$AP$305)*(MOD(AC$20-'Kế hoạch'!$AP$6:$AP$305,'Kế hoạch'!$AQ$6:$AQ$305+('Kế hoạch'!$AQ$6:$AQ$305=0))=0))+SUMPRODUCT(('Kế hoạch'!$AO$6:$AO$305=1)*('Kế hoạch'!$AQ$6:$AQ$305=0)*('Kế hoạch'!$AR$6:$AR$305=0)*('Kế hoạch'!$AP$6:$AP$305=AC$20))</f>
      </c>
      <c r="AD21" s="80" t="n"/>
      <c r="AE21" s="106">
        <f>SUMPRODUCT(('Kế hoạch'!$AO$6:$AO$305=1)*('Kế hoạch'!$AQ$6:$AQ$305&gt;0)*('Kế hoạch'!$AP$6:$AP$305&gt;0)*(AE$20&gt;='Kế hoạch'!$AP$6:$AP$305)*(MOD(AE$20-'Kế hoạch'!$AP$6:$AP$305,'Kế hoạch'!$AQ$6:$AQ$305+('Kế hoạch'!$AQ$6:$AQ$305=0))=0))+SUMPRODUCT(('Kế hoạch'!$AO$6:$AO$305=1)*('Kế hoạch'!$AQ$6:$AQ$305=0)*('Kế hoạch'!$AR$6:$AR$305=0)*('Kế hoạch'!$AP$6:$AP$305=AE$20))</f>
      </c>
      <c r="AF21" s="80" t="n"/>
      <c r="AG21" s="39" t="n"/>
      <c r="AH21" s="107" t="inlineStr">
        <is>
          <t>lặp lại mỗi ngày, không tính vào các ô ngày</t>
        </is>
      </c>
      <c r="AI21" s="108" t="n"/>
      <c r="AJ21" s="108" t="n"/>
      <c r="AK21" s="108" t="n"/>
      <c r="AL21" s="108" t="n"/>
      <c r="AM21" s="108" t="n"/>
      <c r="AN21" s="108" t="n"/>
      <c r="AO21" s="109" t="n"/>
      <c r="AP21" s="39" t="n"/>
    </row>
    <row r="22" ht="12" customHeight="1">
      <c r="A22" s="39" t="n"/>
      <c r="B22" s="39" t="n"/>
      <c r="C22" s="39" t="n"/>
      <c r="D22" s="39" t="n"/>
      <c r="E22" s="39" t="n"/>
      <c r="F22" s="39" t="n"/>
      <c r="G22" s="39" t="n"/>
      <c r="H22" s="39" t="n"/>
      <c r="I22" s="39" t="n"/>
      <c r="J22" s="39" t="n"/>
      <c r="K22" s="39" t="n"/>
      <c r="L22" s="39" t="n"/>
      <c r="M22" s="39" t="n"/>
      <c r="N22" s="39" t="n"/>
      <c r="O22" s="39" t="n"/>
      <c r="P22" s="39" t="n"/>
      <c r="Q22" s="39" t="n"/>
      <c r="R22" s="39" t="n"/>
      <c r="S22" s="39" t="n"/>
      <c r="T22" s="39" t="n"/>
      <c r="U22" s="39" t="n"/>
      <c r="V22" s="39" t="n"/>
      <c r="W22" s="39" t="n"/>
      <c r="X22" s="39" t="n"/>
      <c r="Y22" s="39" t="n"/>
      <c r="Z22" s="39" t="n"/>
      <c r="AA22" s="39" t="n"/>
      <c r="AB22" s="39" t="n"/>
      <c r="AC22" s="39" t="n"/>
      <c r="AD22" s="39" t="n"/>
      <c r="AE22" s="39" t="n"/>
      <c r="AF22" s="39" t="n"/>
      <c r="AG22" s="39" t="n"/>
      <c r="AH22" s="39" t="n"/>
      <c r="AI22" s="39" t="n"/>
      <c r="AJ22" s="39" t="n"/>
      <c r="AK22" s="39" t="n"/>
      <c r="AL22" s="39" t="n"/>
      <c r="AM22" s="39" t="n"/>
      <c r="AN22" s="39" t="n"/>
      <c r="AO22" s="39" t="n"/>
      <c r="AP22" s="39" t="n"/>
    </row>
    <row r="23" ht="24" customHeight="1">
      <c r="A23" s="39" t="n"/>
      <c r="B23" s="44" t="inlineStr">
        <is>
          <t>BIỂU ĐỒ PHÂN TÍCH</t>
        </is>
      </c>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c r="AC23" s="9" t="n"/>
      <c r="AD23" s="9" t="n"/>
      <c r="AE23" s="9" t="n"/>
      <c r="AF23" s="9" t="n"/>
      <c r="AG23" s="9" t="n"/>
      <c r="AH23" s="9" t="n"/>
      <c r="AI23" s="9" t="n"/>
      <c r="AJ23" s="9" t="n"/>
      <c r="AK23" s="9" t="n"/>
      <c r="AL23" s="9" t="n"/>
      <c r="AM23" s="9" t="n"/>
      <c r="AN23" s="9" t="n"/>
      <c r="AO23" s="9" t="n"/>
      <c r="AP23" s="39" t="n"/>
    </row>
    <row r="24" ht="15" customHeight="1">
      <c r="A24" s="39" t="n"/>
      <c r="B24" s="39" t="n"/>
      <c r="C24" s="39" t="n"/>
      <c r="D24" s="39" t="n"/>
      <c r="E24" s="39" t="n"/>
      <c r="F24" s="39" t="n"/>
      <c r="G24" s="39" t="n"/>
      <c r="H24" s="39" t="n"/>
      <c r="I24" s="39" t="n"/>
      <c r="J24" s="39" t="n"/>
      <c r="K24" s="39" t="n"/>
      <c r="L24" s="39" t="n"/>
      <c r="M24" s="39" t="n"/>
      <c r="N24" s="39" t="n"/>
      <c r="O24" s="39" t="n"/>
      <c r="P24" s="39" t="n"/>
      <c r="Q24" s="39" t="n"/>
      <c r="R24" s="39" t="n"/>
      <c r="S24" s="39" t="n"/>
      <c r="T24" s="39" t="n"/>
      <c r="U24" s="39" t="n"/>
      <c r="V24" s="39" t="n"/>
      <c r="W24" s="39" t="n"/>
      <c r="X24" s="39" t="n"/>
      <c r="Y24" s="39" t="n"/>
      <c r="Z24" s="39" t="n"/>
      <c r="AA24" s="39" t="n"/>
      <c r="AB24" s="39" t="n"/>
      <c r="AC24" s="39" t="n"/>
      <c r="AD24" s="39" t="n"/>
      <c r="AE24" s="39" t="n"/>
      <c r="AF24" s="39" t="n"/>
      <c r="AG24" s="39" t="n"/>
      <c r="AH24" s="39" t="n"/>
      <c r="AI24" s="39" t="n"/>
      <c r="AJ24" s="39" t="n"/>
      <c r="AK24" s="39" t="n"/>
      <c r="AL24" s="39" t="n"/>
      <c r="AM24" s="39" t="n"/>
      <c r="AN24" s="39" t="n"/>
      <c r="AO24" s="39" t="n"/>
      <c r="AP24" s="39" t="n"/>
    </row>
    <row r="25" ht="15" customHeight="1">
      <c r="A25" s="39" t="n"/>
      <c r="B25" s="39" t="n"/>
      <c r="C25" s="39" t="n"/>
      <c r="D25" s="39" t="n"/>
      <c r="E25" s="39" t="n"/>
      <c r="F25" s="39" t="n"/>
      <c r="G25" s="39" t="n"/>
      <c r="H25" s="39" t="n"/>
      <c r="I25" s="39" t="n"/>
      <c r="J25" s="39" t="n"/>
      <c r="K25" s="39" t="n"/>
      <c r="L25" s="39" t="n"/>
      <c r="M25" s="39" t="n"/>
      <c r="N25" s="39" t="n"/>
      <c r="O25" s="39" t="n"/>
      <c r="P25" s="39" t="n"/>
      <c r="Q25" s="39" t="n"/>
      <c r="R25" s="39" t="n"/>
      <c r="S25" s="39" t="n"/>
      <c r="T25" s="39" t="n"/>
      <c r="U25" s="39" t="n"/>
      <c r="V25" s="39" t="n"/>
      <c r="W25" s="39" t="n"/>
      <c r="X25" s="39" t="n"/>
      <c r="Y25" s="39" t="n"/>
      <c r="Z25" s="39" t="n"/>
      <c r="AA25" s="39" t="n"/>
      <c r="AB25" s="39" t="n"/>
      <c r="AC25" s="39" t="n"/>
      <c r="AD25" s="39" t="n"/>
      <c r="AE25" s="39" t="n"/>
      <c r="AF25" s="39" t="n"/>
      <c r="AG25" s="39" t="n"/>
      <c r="AH25" s="39" t="n"/>
      <c r="AI25" s="39" t="n"/>
      <c r="AJ25" s="39" t="n"/>
      <c r="AK25" s="39" t="n"/>
      <c r="AL25" s="39" t="n"/>
      <c r="AM25" s="39" t="n"/>
      <c r="AN25" s="39" t="n"/>
      <c r="AO25" s="39" t="n"/>
      <c r="AP25" s="39" t="n"/>
    </row>
    <row r="26" ht="15" customHeight="1">
      <c r="A26" s="39" t="n"/>
      <c r="B26" s="39" t="n"/>
      <c r="C26" s="39" t="n"/>
      <c r="D26" s="39" t="n"/>
      <c r="E26" s="39" t="n"/>
      <c r="F26" s="39" t="n"/>
      <c r="G26" s="39" t="n"/>
      <c r="H26" s="39" t="n"/>
      <c r="I26" s="39" t="n"/>
      <c r="J26" s="39" t="n"/>
      <c r="K26" s="39" t="n"/>
      <c r="L26" s="39" t="n"/>
      <c r="M26" s="39" t="n"/>
      <c r="N26" s="39" t="n"/>
      <c r="O26" s="39" t="n"/>
      <c r="P26" s="39" t="n"/>
      <c r="Q26" s="39" t="n"/>
      <c r="R26" s="39" t="n"/>
      <c r="S26" s="39" t="n"/>
      <c r="T26" s="39" t="n"/>
      <c r="U26" s="39" t="n"/>
      <c r="V26" s="39" t="n"/>
      <c r="W26" s="39" t="n"/>
      <c r="X26" s="39" t="n"/>
      <c r="Y26" s="39" t="n"/>
      <c r="Z26" s="39" t="n"/>
      <c r="AA26" s="39" t="n"/>
      <c r="AB26" s="39" t="n"/>
      <c r="AC26" s="39" t="n"/>
      <c r="AD26" s="39" t="n"/>
      <c r="AE26" s="39" t="n"/>
      <c r="AF26" s="39" t="n"/>
      <c r="AG26" s="39" t="n"/>
      <c r="AH26" s="39" t="n"/>
      <c r="AI26" s="39" t="n"/>
      <c r="AJ26" s="39" t="n"/>
      <c r="AK26" s="39" t="n"/>
      <c r="AL26" s="39" t="n"/>
      <c r="AM26" s="39" t="n"/>
      <c r="AN26" s="39" t="n"/>
      <c r="AO26" s="39" t="n"/>
      <c r="AP26" s="39" t="n"/>
    </row>
    <row r="27" ht="15" customHeight="1">
      <c r="A27" s="39" t="n"/>
      <c r="B27" s="39" t="n"/>
      <c r="C27" s="39" t="n"/>
      <c r="D27" s="39" t="n"/>
      <c r="E27" s="39" t="n"/>
      <c r="F27" s="39" t="n"/>
      <c r="G27" s="39" t="n"/>
      <c r="H27" s="39" t="n"/>
      <c r="I27" s="39" t="n"/>
      <c r="J27" s="39" t="n"/>
      <c r="K27" s="39" t="n"/>
      <c r="L27" s="39" t="n"/>
      <c r="M27" s="39" t="n"/>
      <c r="N27" s="39" t="n"/>
      <c r="O27" s="39" t="n"/>
      <c r="P27" s="39" t="n"/>
      <c r="Q27" s="39" t="n"/>
      <c r="R27" s="39" t="n"/>
      <c r="S27" s="39" t="n"/>
      <c r="T27" s="39" t="n"/>
      <c r="U27" s="39" t="n"/>
      <c r="V27" s="39" t="n"/>
      <c r="W27" s="39" t="n"/>
      <c r="X27" s="39" t="n"/>
      <c r="Y27" s="39" t="n"/>
      <c r="Z27" s="39" t="n"/>
      <c r="AA27" s="39" t="n"/>
      <c r="AB27" s="39" t="n"/>
      <c r="AC27" s="39" t="n"/>
      <c r="AD27" s="39" t="n"/>
      <c r="AE27" s="39" t="n"/>
      <c r="AF27" s="39" t="n"/>
      <c r="AG27" s="39" t="n"/>
      <c r="AH27" s="39" t="n"/>
      <c r="AI27" s="39" t="n"/>
      <c r="AJ27" s="39" t="n"/>
      <c r="AK27" s="39" t="n"/>
      <c r="AL27" s="39" t="n"/>
      <c r="AM27" s="39" t="n"/>
      <c r="AN27" s="39" t="n"/>
      <c r="AO27" s="39" t="n"/>
      <c r="AP27" s="39" t="n"/>
    </row>
    <row r="28" ht="15" customHeight="1">
      <c r="A28" s="39" t="n"/>
      <c r="B28" s="39" t="n"/>
      <c r="C28" s="39" t="n"/>
      <c r="D28" s="39" t="n"/>
      <c r="E28" s="39" t="n"/>
      <c r="F28" s="39" t="n"/>
      <c r="G28" s="39" t="n"/>
      <c r="H28" s="39" t="n"/>
      <c r="I28" s="39" t="n"/>
      <c r="J28" s="39" t="n"/>
      <c r="K28" s="39" t="n"/>
      <c r="L28" s="39" t="n"/>
      <c r="M28" s="39" t="n"/>
      <c r="N28" s="39" t="n"/>
      <c r="O28" s="39" t="n"/>
      <c r="P28" s="39" t="n"/>
      <c r="Q28" s="39" t="n"/>
      <c r="R28" s="39" t="n"/>
      <c r="S28" s="39" t="n"/>
      <c r="T28" s="39" t="n"/>
      <c r="U28" s="39" t="n"/>
      <c r="V28" s="39" t="n"/>
      <c r="W28" s="39" t="n"/>
      <c r="X28" s="39" t="n"/>
      <c r="Y28" s="39" t="n"/>
      <c r="Z28" s="39" t="n"/>
      <c r="AA28" s="39" t="n"/>
      <c r="AB28" s="39" t="n"/>
      <c r="AC28" s="39" t="n"/>
      <c r="AD28" s="39" t="n"/>
      <c r="AE28" s="39" t="n"/>
      <c r="AF28" s="39" t="n"/>
      <c r="AG28" s="39" t="n"/>
      <c r="AH28" s="39" t="n"/>
      <c r="AI28" s="39" t="n"/>
      <c r="AJ28" s="39" t="n"/>
      <c r="AK28" s="39" t="n"/>
      <c r="AL28" s="39" t="n"/>
      <c r="AM28" s="39" t="n"/>
      <c r="AN28" s="39" t="n"/>
      <c r="AO28" s="39" t="n"/>
      <c r="AP28" s="39" t="n"/>
    </row>
    <row r="29" ht="15" customHeight="1">
      <c r="A29" s="39" t="n"/>
      <c r="B29" s="39" t="n"/>
      <c r="C29" s="39" t="n"/>
      <c r="D29" s="39" t="n"/>
      <c r="E29" s="39" t="n"/>
      <c r="F29" s="39" t="n"/>
      <c r="G29" s="39" t="n"/>
      <c r="H29" s="39" t="n"/>
      <c r="I29" s="39" t="n"/>
      <c r="J29" s="39" t="n"/>
      <c r="K29" s="39" t="n"/>
      <c r="L29" s="39" t="n"/>
      <c r="M29" s="39" t="n"/>
      <c r="N29" s="39" t="n"/>
      <c r="O29" s="39" t="n"/>
      <c r="P29" s="39" t="n"/>
      <c r="Q29" s="39" t="n"/>
      <c r="R29" s="39" t="n"/>
      <c r="S29" s="39" t="n"/>
      <c r="T29" s="39" t="n"/>
      <c r="U29" s="39" t="n"/>
      <c r="V29" s="39" t="n"/>
      <c r="W29" s="39" t="n"/>
      <c r="X29" s="39" t="n"/>
      <c r="Y29" s="39" t="n"/>
      <c r="Z29" s="39" t="n"/>
      <c r="AA29" s="39" t="n"/>
      <c r="AB29" s="39" t="n"/>
      <c r="AC29" s="39" t="n"/>
      <c r="AD29" s="39" t="n"/>
      <c r="AE29" s="39" t="n"/>
      <c r="AF29" s="39" t="n"/>
      <c r="AG29" s="39" t="n"/>
      <c r="AH29" s="39" t="n"/>
      <c r="AI29" s="39" t="n"/>
      <c r="AJ29" s="39" t="n"/>
      <c r="AK29" s="39" t="n"/>
      <c r="AL29" s="39" t="n"/>
      <c r="AM29" s="39" t="n"/>
      <c r="AN29" s="39" t="n"/>
      <c r="AO29" s="39" t="n"/>
      <c r="AP29" s="39" t="n"/>
    </row>
    <row r="30" ht="15" customHeight="1">
      <c r="A30" s="39" t="n"/>
      <c r="B30" s="39" t="n"/>
      <c r="C30" s="39" t="n"/>
      <c r="D30" s="39" t="n"/>
      <c r="E30" s="39" t="n"/>
      <c r="F30" s="39" t="n"/>
      <c r="G30" s="39" t="n"/>
      <c r="H30" s="39" t="n"/>
      <c r="I30" s="39" t="n"/>
      <c r="J30" s="39" t="n"/>
      <c r="K30" s="39" t="n"/>
      <c r="L30" s="39" t="n"/>
      <c r="M30" s="39" t="n"/>
      <c r="N30" s="39" t="n"/>
      <c r="O30" s="39" t="n"/>
      <c r="P30" s="39" t="n"/>
      <c r="Q30" s="39" t="n"/>
      <c r="R30" s="39" t="n"/>
      <c r="S30" s="39" t="n"/>
      <c r="T30" s="39" t="n"/>
      <c r="U30" s="39" t="n"/>
      <c r="V30" s="39" t="n"/>
      <c r="W30" s="39" t="n"/>
      <c r="X30" s="39" t="n"/>
      <c r="Y30" s="39" t="n"/>
      <c r="Z30" s="39" t="n"/>
      <c r="AA30" s="39" t="n"/>
      <c r="AB30" s="39" t="n"/>
      <c r="AC30" s="39" t="n"/>
      <c r="AD30" s="39" t="n"/>
      <c r="AE30" s="39" t="n"/>
      <c r="AF30" s="39" t="n"/>
      <c r="AG30" s="39" t="n"/>
      <c r="AH30" s="39" t="n"/>
      <c r="AI30" s="39" t="n"/>
      <c r="AJ30" s="39" t="n"/>
      <c r="AK30" s="39" t="n"/>
      <c r="AL30" s="39" t="n"/>
      <c r="AM30" s="39" t="n"/>
      <c r="AN30" s="39" t="n"/>
      <c r="AO30" s="39" t="n"/>
      <c r="AP30" s="39" t="n"/>
    </row>
    <row r="31" ht="15" customHeight="1">
      <c r="A31" s="39" t="n"/>
      <c r="B31" s="39" t="n"/>
      <c r="C31" s="39" t="n"/>
      <c r="D31" s="39" t="n"/>
      <c r="E31" s="39" t="n"/>
      <c r="F31" s="39" t="n"/>
      <c r="G31" s="39" t="n"/>
      <c r="H31" s="39" t="n"/>
      <c r="I31" s="39" t="n"/>
      <c r="J31" s="39" t="n"/>
      <c r="K31" s="39" t="n"/>
      <c r="L31" s="39" t="n"/>
      <c r="M31" s="39" t="n"/>
      <c r="N31" s="39" t="n"/>
      <c r="O31" s="39" t="n"/>
      <c r="P31" s="39" t="n"/>
      <c r="Q31" s="39" t="n"/>
      <c r="R31" s="39" t="n"/>
      <c r="S31" s="39" t="n"/>
      <c r="T31" s="39" t="n"/>
      <c r="U31" s="39" t="n"/>
      <c r="V31" s="39" t="n"/>
      <c r="W31" s="39" t="n"/>
      <c r="X31" s="39" t="n"/>
      <c r="Y31" s="39" t="n"/>
      <c r="Z31" s="39" t="n"/>
      <c r="AA31" s="39" t="n"/>
      <c r="AB31" s="39" t="n"/>
      <c r="AC31" s="39" t="n"/>
      <c r="AD31" s="39" t="n"/>
      <c r="AE31" s="39" t="n"/>
      <c r="AF31" s="39" t="n"/>
      <c r="AG31" s="39" t="n"/>
      <c r="AH31" s="39" t="n"/>
      <c r="AI31" s="39" t="n"/>
      <c r="AJ31" s="39" t="n"/>
      <c r="AK31" s="39" t="n"/>
      <c r="AL31" s="39" t="n"/>
      <c r="AM31" s="39" t="n"/>
      <c r="AN31" s="39" t="n"/>
      <c r="AO31" s="39" t="n"/>
      <c r="AP31" s="39" t="n"/>
    </row>
    <row r="32" ht="15" customHeight="1">
      <c r="A32" s="39" t="n"/>
      <c r="B32" s="39" t="n"/>
      <c r="C32" s="39" t="n"/>
      <c r="D32" s="39" t="n"/>
      <c r="E32" s="39" t="n"/>
      <c r="F32" s="39" t="n"/>
      <c r="G32" s="39" t="n"/>
      <c r="H32" s="39" t="n"/>
      <c r="I32" s="39" t="n"/>
      <c r="J32" s="39" t="n"/>
      <c r="K32" s="39" t="n"/>
      <c r="L32" s="39" t="n"/>
      <c r="M32" s="39" t="n"/>
      <c r="N32" s="39" t="n"/>
      <c r="O32" s="39" t="n"/>
      <c r="P32" s="39" t="n"/>
      <c r="Q32" s="39" t="n"/>
      <c r="R32" s="39" t="n"/>
      <c r="S32" s="39" t="n"/>
      <c r="T32" s="39" t="n"/>
      <c r="U32" s="39" t="n"/>
      <c r="V32" s="39" t="n"/>
      <c r="W32" s="39" t="n"/>
      <c r="X32" s="39" t="n"/>
      <c r="Y32" s="39" t="n"/>
      <c r="Z32" s="39" t="n"/>
      <c r="AA32" s="39" t="n"/>
      <c r="AB32" s="39" t="n"/>
      <c r="AC32" s="39" t="n"/>
      <c r="AD32" s="39" t="n"/>
      <c r="AE32" s="39" t="n"/>
      <c r="AF32" s="39" t="n"/>
      <c r="AG32" s="39" t="n"/>
      <c r="AH32" s="39" t="n"/>
      <c r="AI32" s="39" t="n"/>
      <c r="AJ32" s="39" t="n"/>
      <c r="AK32" s="39" t="n"/>
      <c r="AL32" s="39" t="n"/>
      <c r="AM32" s="39" t="n"/>
      <c r="AN32" s="39" t="n"/>
      <c r="AO32" s="39" t="n"/>
      <c r="AP32" s="39" t="n"/>
    </row>
    <row r="33" ht="15" customHeight="1">
      <c r="A33" s="39" t="n"/>
      <c r="B33" s="39" t="n"/>
      <c r="C33" s="39" t="n"/>
      <c r="D33" s="39" t="n"/>
      <c r="E33" s="39" t="n"/>
      <c r="F33" s="39" t="n"/>
      <c r="G33" s="39" t="n"/>
      <c r="H33" s="39" t="n"/>
      <c r="I33" s="39" t="n"/>
      <c r="J33" s="39" t="n"/>
      <c r="K33" s="39" t="n"/>
      <c r="L33" s="39" t="n"/>
      <c r="M33" s="39" t="n"/>
      <c r="N33" s="39" t="n"/>
      <c r="O33" s="39" t="n"/>
      <c r="P33" s="39" t="n"/>
      <c r="Q33" s="39" t="n"/>
      <c r="R33" s="39" t="n"/>
      <c r="S33" s="39" t="n"/>
      <c r="T33" s="39" t="n"/>
      <c r="U33" s="39" t="n"/>
      <c r="V33" s="39" t="n"/>
      <c r="W33" s="39" t="n"/>
      <c r="X33" s="39" t="n"/>
      <c r="Y33" s="39" t="n"/>
      <c r="Z33" s="39" t="n"/>
      <c r="AA33" s="39" t="n"/>
      <c r="AB33" s="39" t="n"/>
      <c r="AC33" s="39" t="n"/>
      <c r="AD33" s="39" t="n"/>
      <c r="AE33" s="39" t="n"/>
      <c r="AF33" s="39" t="n"/>
      <c r="AG33" s="39" t="n"/>
      <c r="AH33" s="39" t="n"/>
      <c r="AI33" s="39" t="n"/>
      <c r="AJ33" s="39" t="n"/>
      <c r="AK33" s="39" t="n"/>
      <c r="AL33" s="39" t="n"/>
      <c r="AM33" s="39" t="n"/>
      <c r="AN33" s="39" t="n"/>
      <c r="AO33" s="39" t="n"/>
      <c r="AP33" s="39" t="n"/>
    </row>
    <row r="34" ht="15" customHeight="1">
      <c r="A34" s="39" t="n"/>
      <c r="B34" s="39" t="n"/>
      <c r="C34" s="39" t="n"/>
      <c r="D34" s="39" t="n"/>
      <c r="E34" s="39" t="n"/>
      <c r="F34" s="39" t="n"/>
      <c r="G34" s="39" t="n"/>
      <c r="H34" s="39" t="n"/>
      <c r="I34" s="39" t="n"/>
      <c r="J34" s="39" t="n"/>
      <c r="K34" s="39" t="n"/>
      <c r="L34" s="39" t="n"/>
      <c r="M34" s="39" t="n"/>
      <c r="N34" s="39" t="n"/>
      <c r="O34" s="39" t="n"/>
      <c r="P34" s="39" t="n"/>
      <c r="Q34" s="39" t="n"/>
      <c r="R34" s="39" t="n"/>
      <c r="S34" s="39" t="n"/>
      <c r="T34" s="39" t="n"/>
      <c r="U34" s="39" t="n"/>
      <c r="V34" s="39" t="n"/>
      <c r="W34" s="39" t="n"/>
      <c r="X34" s="39" t="n"/>
      <c r="Y34" s="39" t="n"/>
      <c r="Z34" s="39" t="n"/>
      <c r="AA34" s="39" t="n"/>
      <c r="AB34" s="39" t="n"/>
      <c r="AC34" s="39" t="n"/>
      <c r="AD34" s="39" t="n"/>
      <c r="AE34" s="39" t="n"/>
      <c r="AF34" s="39" t="n"/>
      <c r="AG34" s="39" t="n"/>
      <c r="AH34" s="39" t="n"/>
      <c r="AI34" s="39" t="n"/>
      <c r="AJ34" s="39" t="n"/>
      <c r="AK34" s="39" t="n"/>
      <c r="AL34" s="39" t="n"/>
      <c r="AM34" s="39" t="n"/>
      <c r="AN34" s="39" t="n"/>
      <c r="AO34" s="39" t="n"/>
      <c r="AP34" s="39" t="n"/>
    </row>
    <row r="35" ht="15" customHeight="1">
      <c r="A35" s="39" t="n"/>
      <c r="B35" s="39" t="n"/>
      <c r="C35" s="39" t="n"/>
      <c r="D35" s="39" t="n"/>
      <c r="E35" s="39" t="n"/>
      <c r="F35" s="39" t="n"/>
      <c r="G35" s="39" t="n"/>
      <c r="H35" s="39" t="n"/>
      <c r="I35" s="39" t="n"/>
      <c r="J35" s="39" t="n"/>
      <c r="K35" s="39" t="n"/>
      <c r="L35" s="39" t="n"/>
      <c r="M35" s="39" t="n"/>
      <c r="N35" s="39" t="n"/>
      <c r="O35" s="39" t="n"/>
      <c r="P35" s="39" t="n"/>
      <c r="Q35" s="39" t="n"/>
      <c r="R35" s="39" t="n"/>
      <c r="S35" s="39" t="n"/>
      <c r="T35" s="39" t="n"/>
      <c r="U35" s="39" t="n"/>
      <c r="V35" s="39" t="n"/>
      <c r="W35" s="39" t="n"/>
      <c r="X35" s="39" t="n"/>
      <c r="Y35" s="39" t="n"/>
      <c r="Z35" s="39" t="n"/>
      <c r="AA35" s="39" t="n"/>
      <c r="AB35" s="39" t="n"/>
      <c r="AC35" s="39" t="n"/>
      <c r="AD35" s="39" t="n"/>
      <c r="AE35" s="39" t="n"/>
      <c r="AF35" s="39" t="n"/>
      <c r="AG35" s="39" t="n"/>
      <c r="AH35" s="39" t="n"/>
      <c r="AI35" s="39" t="n"/>
      <c r="AJ35" s="39" t="n"/>
      <c r="AK35" s="39" t="n"/>
      <c r="AL35" s="39" t="n"/>
      <c r="AM35" s="39" t="n"/>
      <c r="AN35" s="39" t="n"/>
      <c r="AO35" s="39" t="n"/>
      <c r="AP35" s="39" t="n"/>
    </row>
    <row r="36" ht="15" customHeight="1">
      <c r="A36" s="39" t="n"/>
      <c r="B36" s="39" t="n"/>
      <c r="C36" s="39" t="n"/>
      <c r="D36" s="39" t="n"/>
      <c r="E36" s="39" t="n"/>
      <c r="F36" s="39" t="n"/>
      <c r="G36" s="39" t="n"/>
      <c r="H36" s="39" t="n"/>
      <c r="I36" s="39" t="n"/>
      <c r="J36" s="39" t="n"/>
      <c r="K36" s="39" t="n"/>
      <c r="L36" s="39" t="n"/>
      <c r="M36" s="39" t="n"/>
      <c r="N36" s="39" t="n"/>
      <c r="O36" s="39" t="n"/>
      <c r="P36" s="39" t="n"/>
      <c r="Q36" s="39" t="n"/>
      <c r="R36" s="39" t="n"/>
      <c r="S36" s="39" t="n"/>
      <c r="T36" s="39" t="n"/>
      <c r="U36" s="39" t="n"/>
      <c r="V36" s="39" t="n"/>
      <c r="W36" s="39" t="n"/>
      <c r="X36" s="39" t="n"/>
      <c r="Y36" s="39" t="n"/>
      <c r="Z36" s="39" t="n"/>
      <c r="AA36" s="39" t="n"/>
      <c r="AB36" s="39" t="n"/>
      <c r="AC36" s="39" t="n"/>
      <c r="AD36" s="39" t="n"/>
      <c r="AE36" s="39" t="n"/>
      <c r="AF36" s="39" t="n"/>
      <c r="AG36" s="39" t="n"/>
      <c r="AH36" s="39" t="n"/>
      <c r="AI36" s="39" t="n"/>
      <c r="AJ36" s="39" t="n"/>
      <c r="AK36" s="39" t="n"/>
      <c r="AL36" s="39" t="n"/>
      <c r="AM36" s="39" t="n"/>
      <c r="AN36" s="39" t="n"/>
      <c r="AO36" s="39" t="n"/>
      <c r="AP36" s="39" t="n"/>
    </row>
    <row r="37" ht="15" customHeight="1">
      <c r="A37" s="39" t="n"/>
      <c r="B37" s="39" t="n"/>
      <c r="C37" s="39" t="n"/>
      <c r="D37" s="39" t="n"/>
      <c r="E37" s="39" t="n"/>
      <c r="F37" s="39" t="n"/>
      <c r="G37" s="39" t="n"/>
      <c r="H37" s="39" t="n"/>
      <c r="I37" s="39" t="n"/>
      <c r="J37" s="39" t="n"/>
      <c r="K37" s="39" t="n"/>
      <c r="L37" s="39" t="n"/>
      <c r="M37" s="39" t="n"/>
      <c r="N37" s="39" t="n"/>
      <c r="O37" s="39" t="n"/>
      <c r="P37" s="39" t="n"/>
      <c r="Q37" s="39" t="n"/>
      <c r="R37" s="39" t="n"/>
      <c r="S37" s="39" t="n"/>
      <c r="T37" s="39"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row>
    <row r="38" ht="15" customHeight="1">
      <c r="A38" s="39" t="n"/>
      <c r="B38" s="39" t="n"/>
      <c r="C38" s="39" t="n"/>
      <c r="D38" s="39" t="n"/>
      <c r="E38" s="39" t="n"/>
      <c r="F38" s="39" t="n"/>
      <c r="G38" s="39" t="n"/>
      <c r="H38" s="39" t="n"/>
      <c r="I38" s="39" t="n"/>
      <c r="J38" s="39" t="n"/>
      <c r="K38" s="39" t="n"/>
      <c r="L38" s="39" t="n"/>
      <c r="M38" s="39" t="n"/>
      <c r="N38" s="39" t="n"/>
      <c r="O38" s="39" t="n"/>
      <c r="P38" s="39" t="n"/>
      <c r="Q38" s="39" t="n"/>
      <c r="R38" s="39" t="n"/>
      <c r="S38" s="39" t="n"/>
      <c r="T38" s="39" t="n"/>
      <c r="U38" s="39" t="n"/>
      <c r="V38" s="39" t="n"/>
      <c r="W38" s="39" t="n"/>
      <c r="X38" s="39" t="n"/>
      <c r="Y38" s="39" t="n"/>
      <c r="Z38" s="39" t="n"/>
      <c r="AA38" s="39" t="n"/>
      <c r="AB38" s="39" t="n"/>
      <c r="AC38" s="39" t="n"/>
      <c r="AD38" s="39" t="n"/>
      <c r="AE38" s="39" t="n"/>
      <c r="AF38" s="39" t="n"/>
      <c r="AG38" s="39" t="n"/>
      <c r="AH38" s="39" t="n"/>
      <c r="AI38" s="39" t="n"/>
      <c r="AJ38" s="39" t="n"/>
      <c r="AK38" s="39" t="n"/>
      <c r="AL38" s="39" t="n"/>
      <c r="AM38" s="39" t="n"/>
      <c r="AN38" s="39" t="n"/>
      <c r="AO38" s="39" t="n"/>
      <c r="AP38" s="39" t="n"/>
    </row>
    <row r="39" ht="15" customHeight="1">
      <c r="A39" s="39" t="n"/>
      <c r="B39" s="39" t="n"/>
      <c r="C39" s="39" t="n"/>
      <c r="D39" s="39" t="n"/>
      <c r="E39" s="39" t="n"/>
      <c r="F39" s="39" t="n"/>
      <c r="G39" s="39" t="n"/>
      <c r="H39" s="39" t="n"/>
      <c r="I39" s="39" t="n"/>
      <c r="J39" s="39" t="n"/>
      <c r="K39" s="39" t="n"/>
      <c r="L39" s="39" t="n"/>
      <c r="M39" s="39" t="n"/>
      <c r="N39" s="39" t="n"/>
      <c r="O39" s="39" t="n"/>
      <c r="P39" s="39" t="n"/>
      <c r="Q39" s="39" t="n"/>
      <c r="R39" s="39" t="n"/>
      <c r="S39" s="39" t="n"/>
      <c r="T39" s="39" t="n"/>
      <c r="U39" s="39" t="n"/>
      <c r="V39" s="39" t="n"/>
      <c r="W39" s="39" t="n"/>
      <c r="X39" s="39" t="n"/>
      <c r="Y39" s="39" t="n"/>
      <c r="Z39" s="39" t="n"/>
      <c r="AA39" s="39" t="n"/>
      <c r="AB39" s="39" t="n"/>
      <c r="AC39" s="39" t="n"/>
      <c r="AD39" s="39" t="n"/>
      <c r="AE39" s="39" t="n"/>
      <c r="AF39" s="39" t="n"/>
      <c r="AG39" s="39" t="n"/>
      <c r="AH39" s="39" t="n"/>
      <c r="AI39" s="39" t="n"/>
      <c r="AJ39" s="39" t="n"/>
      <c r="AK39" s="39" t="n"/>
      <c r="AL39" s="39" t="n"/>
      <c r="AM39" s="39" t="n"/>
      <c r="AN39" s="39" t="n"/>
      <c r="AO39" s="39" t="n"/>
      <c r="AP39" s="39" t="n"/>
    </row>
    <row r="40" ht="15" customHeight="1">
      <c r="A40" s="39" t="n"/>
      <c r="B40" s="39" t="n"/>
      <c r="C40" s="39" t="n"/>
      <c r="D40" s="39" t="n"/>
      <c r="E40" s="39" t="n"/>
      <c r="F40" s="39" t="n"/>
      <c r="G40" s="39" t="n"/>
      <c r="H40" s="39" t="n"/>
      <c r="I40" s="39" t="n"/>
      <c r="J40" s="39" t="n"/>
      <c r="K40" s="39" t="n"/>
      <c r="L40" s="39" t="n"/>
      <c r="M40" s="39" t="n"/>
      <c r="N40" s="39" t="n"/>
      <c r="O40" s="39" t="n"/>
      <c r="P40" s="39" t="n"/>
      <c r="Q40" s="39" t="n"/>
      <c r="R40" s="39" t="n"/>
      <c r="S40" s="39" t="n"/>
      <c r="T40" s="39" t="n"/>
      <c r="U40" s="39" t="n"/>
      <c r="V40" s="39" t="n"/>
      <c r="W40" s="39" t="n"/>
      <c r="X40" s="39" t="n"/>
      <c r="Y40" s="39" t="n"/>
      <c r="Z40" s="39" t="n"/>
      <c r="AA40" s="39" t="n"/>
      <c r="AB40" s="39" t="n"/>
      <c r="AC40" s="39" t="n"/>
      <c r="AD40" s="39" t="n"/>
      <c r="AE40" s="39" t="n"/>
      <c r="AF40" s="39" t="n"/>
      <c r="AG40" s="39" t="n"/>
      <c r="AH40" s="39" t="n"/>
      <c r="AI40" s="39" t="n"/>
      <c r="AJ40" s="39" t="n"/>
      <c r="AK40" s="39" t="n"/>
      <c r="AL40" s="39" t="n"/>
      <c r="AM40" s="39" t="n"/>
      <c r="AN40" s="39" t="n"/>
      <c r="AO40" s="39" t="n"/>
      <c r="AP40" s="39" t="n"/>
    </row>
    <row r="41" ht="15" customHeight="1">
      <c r="A41" s="39" t="n"/>
      <c r="B41" s="39" t="n"/>
      <c r="C41" s="39" t="n"/>
      <c r="D41" s="39" t="n"/>
      <c r="E41" s="39" t="n"/>
      <c r="F41" s="39" t="n"/>
      <c r="G41" s="39" t="n"/>
      <c r="H41" s="39" t="n"/>
      <c r="I41" s="39" t="n"/>
      <c r="J41" s="39" t="n"/>
      <c r="K41" s="39" t="n"/>
      <c r="L41" s="39" t="n"/>
      <c r="M41" s="39" t="n"/>
      <c r="N41" s="39" t="n"/>
      <c r="O41" s="39" t="n"/>
      <c r="P41" s="39" t="n"/>
      <c r="Q41" s="39" t="n"/>
      <c r="R41" s="39" t="n"/>
      <c r="S41" s="39" t="n"/>
      <c r="T41" s="39" t="n"/>
      <c r="U41" s="39" t="n"/>
      <c r="V41" s="39" t="n"/>
      <c r="W41" s="39" t="n"/>
      <c r="X41" s="39" t="n"/>
      <c r="Y41" s="39" t="n"/>
      <c r="Z41" s="39" t="n"/>
      <c r="AA41" s="39" t="n"/>
      <c r="AB41" s="39" t="n"/>
      <c r="AC41" s="39" t="n"/>
      <c r="AD41" s="39" t="n"/>
      <c r="AE41" s="39" t="n"/>
      <c r="AF41" s="39" t="n"/>
      <c r="AG41" s="39" t="n"/>
      <c r="AH41" s="39" t="n"/>
      <c r="AI41" s="39" t="n"/>
      <c r="AJ41" s="39" t="n"/>
      <c r="AK41" s="39" t="n"/>
      <c r="AL41" s="39" t="n"/>
      <c r="AM41" s="39" t="n"/>
      <c r="AN41" s="39" t="n"/>
      <c r="AO41" s="39" t="n"/>
      <c r="AP41" s="39" t="n"/>
    </row>
    <row r="42" ht="15" customHeight="1">
      <c r="A42" s="39" t="n"/>
      <c r="B42" s="39" t="n"/>
      <c r="C42" s="39" t="n"/>
      <c r="D42" s="39" t="n"/>
      <c r="E42" s="39" t="n"/>
      <c r="F42" s="39" t="n"/>
      <c r="G42" s="39" t="n"/>
      <c r="H42" s="39" t="n"/>
      <c r="I42" s="39" t="n"/>
      <c r="J42" s="39" t="n"/>
      <c r="K42" s="39" t="n"/>
      <c r="L42" s="39" t="n"/>
      <c r="M42" s="39" t="n"/>
      <c r="N42" s="39" t="n"/>
      <c r="O42" s="39" t="n"/>
      <c r="P42" s="39" t="n"/>
      <c r="Q42" s="39" t="n"/>
      <c r="R42" s="39" t="n"/>
      <c r="S42" s="39" t="n"/>
      <c r="T42" s="39" t="n"/>
      <c r="U42" s="39" t="n"/>
      <c r="V42" s="39" t="n"/>
      <c r="W42" s="39" t="n"/>
      <c r="X42" s="39" t="n"/>
      <c r="Y42" s="39" t="n"/>
      <c r="Z42" s="39" t="n"/>
      <c r="AA42" s="39" t="n"/>
      <c r="AB42" s="39" t="n"/>
      <c r="AC42" s="39" t="n"/>
      <c r="AD42" s="39" t="n"/>
      <c r="AE42" s="39" t="n"/>
      <c r="AF42" s="39" t="n"/>
      <c r="AG42" s="39" t="n"/>
      <c r="AH42" s="39" t="n"/>
      <c r="AI42" s="39" t="n"/>
      <c r="AJ42" s="39" t="n"/>
      <c r="AK42" s="39" t="n"/>
      <c r="AL42" s="39" t="n"/>
      <c r="AM42" s="39" t="n"/>
      <c r="AN42" s="39" t="n"/>
      <c r="AO42" s="39" t="n"/>
      <c r="AP42" s="39" t="n"/>
    </row>
    <row r="43" ht="15" customHeight="1">
      <c r="A43" s="39" t="n"/>
      <c r="B43" s="39" t="n"/>
      <c r="C43" s="39" t="n"/>
      <c r="D43" s="39" t="n"/>
      <c r="E43" s="39" t="n"/>
      <c r="F43" s="39" t="n"/>
      <c r="G43" s="39" t="n"/>
      <c r="H43" s="39" t="n"/>
      <c r="I43" s="39" t="n"/>
      <c r="J43" s="39" t="n"/>
      <c r="K43" s="39" t="n"/>
      <c r="L43" s="39" t="n"/>
      <c r="M43" s="39" t="n"/>
      <c r="N43" s="39" t="n"/>
      <c r="O43" s="39" t="n"/>
      <c r="P43" s="39" t="n"/>
      <c r="Q43" s="39" t="n"/>
      <c r="R43" s="39" t="n"/>
      <c r="S43" s="39" t="n"/>
      <c r="T43" s="39" t="n"/>
      <c r="U43" s="39" t="n"/>
      <c r="V43" s="39" t="n"/>
      <c r="W43" s="39" t="n"/>
      <c r="X43" s="39" t="n"/>
      <c r="Y43" s="39" t="n"/>
      <c r="Z43" s="39" t="n"/>
      <c r="AA43" s="39" t="n"/>
      <c r="AB43" s="39" t="n"/>
      <c r="AC43" s="39" t="n"/>
      <c r="AD43" s="39" t="n"/>
      <c r="AE43" s="39" t="n"/>
      <c r="AF43" s="39" t="n"/>
      <c r="AG43" s="39" t="n"/>
      <c r="AH43" s="39" t="n"/>
      <c r="AI43" s="39" t="n"/>
      <c r="AJ43" s="39" t="n"/>
      <c r="AK43" s="39" t="n"/>
      <c r="AL43" s="39" t="n"/>
      <c r="AM43" s="39" t="n"/>
      <c r="AN43" s="39" t="n"/>
      <c r="AO43" s="39" t="n"/>
      <c r="AP43" s="39" t="n"/>
    </row>
    <row r="44" ht="15" customHeight="1">
      <c r="A44" s="39" t="n"/>
      <c r="B44" s="39" t="n"/>
      <c r="C44" s="39" t="n"/>
      <c r="D44" s="39" t="n"/>
      <c r="E44" s="39" t="n"/>
      <c r="F44" s="39" t="n"/>
      <c r="G44" s="39" t="n"/>
      <c r="H44" s="39" t="n"/>
      <c r="I44" s="39" t="n"/>
      <c r="J44" s="39" t="n"/>
      <c r="K44" s="39" t="n"/>
      <c r="L44" s="39" t="n"/>
      <c r="M44" s="39" t="n"/>
      <c r="N44" s="39" t="n"/>
      <c r="O44" s="39" t="n"/>
      <c r="P44" s="39" t="n"/>
      <c r="Q44" s="39" t="n"/>
      <c r="R44" s="39" t="n"/>
      <c r="S44" s="39" t="n"/>
      <c r="T44" s="39" t="n"/>
      <c r="U44" s="39" t="n"/>
      <c r="V44" s="39" t="n"/>
      <c r="W44" s="39" t="n"/>
      <c r="X44" s="39" t="n"/>
      <c r="Y44" s="39" t="n"/>
      <c r="Z44" s="39" t="n"/>
      <c r="AA44" s="39" t="n"/>
      <c r="AB44" s="39" t="n"/>
      <c r="AC44" s="39" t="n"/>
      <c r="AD44" s="39" t="n"/>
      <c r="AE44" s="39" t="n"/>
      <c r="AF44" s="39" t="n"/>
      <c r="AG44" s="39" t="n"/>
      <c r="AH44" s="39" t="n"/>
      <c r="AI44" s="39" t="n"/>
      <c r="AJ44" s="39" t="n"/>
      <c r="AK44" s="39" t="n"/>
      <c r="AL44" s="39" t="n"/>
      <c r="AM44" s="39" t="n"/>
      <c r="AN44" s="39" t="n"/>
      <c r="AO44" s="39" t="n"/>
      <c r="AP44" s="39" t="n"/>
    </row>
    <row r="45" ht="15" customHeight="1">
      <c r="A45" s="39" t="n"/>
      <c r="B45" s="39" t="n"/>
      <c r="C45" s="39" t="n"/>
      <c r="D45" s="39" t="n"/>
      <c r="E45" s="39" t="n"/>
      <c r="F45" s="39" t="n"/>
      <c r="G45" s="39" t="n"/>
      <c r="H45" s="39" t="n"/>
      <c r="I45" s="39" t="n"/>
      <c r="J45" s="39" t="n"/>
      <c r="K45" s="39" t="n"/>
      <c r="L45" s="39" t="n"/>
      <c r="M45" s="39" t="n"/>
      <c r="N45" s="39" t="n"/>
      <c r="O45" s="39" t="n"/>
      <c r="P45" s="39" t="n"/>
      <c r="Q45" s="39" t="n"/>
      <c r="R45" s="39" t="n"/>
      <c r="S45" s="39" t="n"/>
      <c r="T45" s="39" t="n"/>
      <c r="U45" s="39" t="n"/>
      <c r="V45" s="39" t="n"/>
      <c r="W45" s="39" t="n"/>
      <c r="X45" s="39" t="n"/>
      <c r="Y45" s="39" t="n"/>
      <c r="Z45" s="39" t="n"/>
      <c r="AA45" s="39" t="n"/>
      <c r="AB45" s="39" t="n"/>
      <c r="AC45" s="39" t="n"/>
      <c r="AD45" s="39" t="n"/>
      <c r="AE45" s="39" t="n"/>
      <c r="AF45" s="39" t="n"/>
      <c r="AG45" s="39" t="n"/>
      <c r="AH45" s="39" t="n"/>
      <c r="AI45" s="39" t="n"/>
      <c r="AJ45" s="39" t="n"/>
      <c r="AK45" s="39" t="n"/>
      <c r="AL45" s="39" t="n"/>
      <c r="AM45" s="39" t="n"/>
      <c r="AN45" s="39" t="n"/>
      <c r="AO45" s="39" t="n"/>
      <c r="AP45" s="39" t="n"/>
    </row>
    <row r="46" ht="15" customHeight="1">
      <c r="A46" s="39" t="n"/>
      <c r="B46" s="39" t="n"/>
      <c r="C46" s="39" t="n"/>
      <c r="D46" s="39" t="n"/>
      <c r="E46" s="39" t="n"/>
      <c r="F46" s="39" t="n"/>
      <c r="G46" s="39" t="n"/>
      <c r="H46" s="39" t="n"/>
      <c r="I46" s="39" t="n"/>
      <c r="J46" s="39" t="n"/>
      <c r="K46" s="39" t="n"/>
      <c r="L46" s="39" t="n"/>
      <c r="M46" s="39" t="n"/>
      <c r="N46" s="39" t="n"/>
      <c r="O46" s="39" t="n"/>
      <c r="P46" s="39" t="n"/>
      <c r="Q46" s="39" t="n"/>
      <c r="R46" s="39" t="n"/>
      <c r="S46" s="39" t="n"/>
      <c r="T46" s="39" t="n"/>
      <c r="U46" s="39" t="n"/>
      <c r="V46" s="39" t="n"/>
      <c r="W46" s="39" t="n"/>
      <c r="X46" s="39" t="n"/>
      <c r="Y46" s="39" t="n"/>
      <c r="Z46" s="39" t="n"/>
      <c r="AA46" s="39" t="n"/>
      <c r="AB46" s="39" t="n"/>
      <c r="AC46" s="39" t="n"/>
      <c r="AD46" s="39" t="n"/>
      <c r="AE46" s="39" t="n"/>
      <c r="AF46" s="39" t="n"/>
      <c r="AG46" s="39" t="n"/>
      <c r="AH46" s="39" t="n"/>
      <c r="AI46" s="39" t="n"/>
      <c r="AJ46" s="39" t="n"/>
      <c r="AK46" s="39" t="n"/>
      <c r="AL46" s="39" t="n"/>
      <c r="AM46" s="39" t="n"/>
      <c r="AN46" s="39" t="n"/>
      <c r="AO46" s="39" t="n"/>
      <c r="AP46" s="39" t="n"/>
    </row>
    <row r="47" ht="15" customHeight="1">
      <c r="A47" s="39" t="n"/>
      <c r="B47" s="39" t="n"/>
      <c r="C47" s="39" t="n"/>
      <c r="D47" s="39" t="n"/>
      <c r="E47" s="39" t="n"/>
      <c r="F47" s="39" t="n"/>
      <c r="G47" s="39" t="n"/>
      <c r="H47" s="39" t="n"/>
      <c r="I47" s="39" t="n"/>
      <c r="J47" s="39" t="n"/>
      <c r="K47" s="39" t="n"/>
      <c r="L47" s="39" t="n"/>
      <c r="M47" s="39" t="n"/>
      <c r="N47" s="39" t="n"/>
      <c r="O47" s="39" t="n"/>
      <c r="P47" s="39" t="n"/>
      <c r="Q47" s="39" t="n"/>
      <c r="R47" s="39" t="n"/>
      <c r="S47" s="39" t="n"/>
      <c r="T47" s="39" t="n"/>
      <c r="U47" s="39" t="n"/>
      <c r="V47" s="39" t="n"/>
      <c r="W47" s="39" t="n"/>
      <c r="X47" s="39" t="n"/>
      <c r="Y47" s="39" t="n"/>
      <c r="Z47" s="39" t="n"/>
      <c r="AA47" s="39" t="n"/>
      <c r="AB47" s="39" t="n"/>
      <c r="AC47" s="39" t="n"/>
      <c r="AD47" s="39" t="n"/>
      <c r="AE47" s="39" t="n"/>
      <c r="AF47" s="39" t="n"/>
      <c r="AG47" s="39" t="n"/>
      <c r="AH47" s="39" t="n"/>
      <c r="AI47" s="39" t="n"/>
      <c r="AJ47" s="39" t="n"/>
      <c r="AK47" s="39" t="n"/>
      <c r="AL47" s="39" t="n"/>
      <c r="AM47" s="39" t="n"/>
      <c r="AN47" s="39" t="n"/>
      <c r="AO47" s="39" t="n"/>
      <c r="AP47" s="39" t="n"/>
    </row>
    <row r="48" ht="15" customHeight="1">
      <c r="A48" s="39" t="n"/>
      <c r="B48" s="39" t="n"/>
      <c r="C48" s="39" t="n"/>
      <c r="D48" s="39" t="n"/>
      <c r="E48" s="39" t="n"/>
      <c r="F48" s="39" t="n"/>
      <c r="G48" s="39" t="n"/>
      <c r="H48" s="39" t="n"/>
      <c r="I48" s="39" t="n"/>
      <c r="J48" s="39" t="n"/>
      <c r="K48" s="39" t="n"/>
      <c r="L48" s="39" t="n"/>
      <c r="M48" s="39" t="n"/>
      <c r="N48" s="39" t="n"/>
      <c r="O48" s="39" t="n"/>
      <c r="P48" s="39" t="n"/>
      <c r="Q48" s="39" t="n"/>
      <c r="R48" s="39" t="n"/>
      <c r="S48" s="39" t="n"/>
      <c r="T48" s="39" t="n"/>
      <c r="U48" s="39" t="n"/>
      <c r="V48" s="39" t="n"/>
      <c r="W48" s="39" t="n"/>
      <c r="X48" s="39" t="n"/>
      <c r="Y48" s="39" t="n"/>
      <c r="Z48" s="39" t="n"/>
      <c r="AA48" s="39" t="n"/>
      <c r="AB48" s="39" t="n"/>
      <c r="AC48" s="39" t="n"/>
      <c r="AD48" s="39" t="n"/>
      <c r="AE48" s="39" t="n"/>
      <c r="AF48" s="39" t="n"/>
      <c r="AG48" s="39" t="n"/>
      <c r="AH48" s="39" t="n"/>
      <c r="AI48" s="39" t="n"/>
      <c r="AJ48" s="39" t="n"/>
      <c r="AK48" s="39" t="n"/>
      <c r="AL48" s="39" t="n"/>
      <c r="AM48" s="39" t="n"/>
      <c r="AN48" s="39" t="n"/>
      <c r="AO48" s="39" t="n"/>
      <c r="AP48" s="39" t="n"/>
    </row>
    <row r="49" ht="15" customHeight="1">
      <c r="A49" s="39"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row>
    <row r="50" ht="15" customHeight="1">
      <c r="A50" s="39" t="n"/>
      <c r="B50" s="39" t="n"/>
      <c r="C50" s="39" t="n"/>
      <c r="D50" s="39" t="n"/>
      <c r="E50" s="39" t="n"/>
      <c r="F50" s="39" t="n"/>
      <c r="G50" s="39" t="n"/>
      <c r="H50" s="39" t="n"/>
      <c r="I50" s="39" t="n"/>
      <c r="J50" s="39" t="n"/>
      <c r="K50" s="39" t="n"/>
      <c r="L50" s="39" t="n"/>
      <c r="M50" s="39" t="n"/>
      <c r="N50" s="39" t="n"/>
      <c r="O50" s="39" t="n"/>
      <c r="P50" s="39" t="n"/>
      <c r="Q50" s="39" t="n"/>
      <c r="R50" s="39" t="n"/>
      <c r="S50" s="39" t="n"/>
      <c r="T50" s="39" t="n"/>
      <c r="U50" s="39" t="n"/>
      <c r="V50" s="39" t="n"/>
      <c r="W50" s="39" t="n"/>
      <c r="X50" s="39" t="n"/>
      <c r="Y50" s="39" t="n"/>
      <c r="Z50" s="39" t="n"/>
      <c r="AA50" s="39" t="n"/>
      <c r="AB50" s="39" t="n"/>
      <c r="AC50" s="39" t="n"/>
      <c r="AD50" s="39" t="n"/>
      <c r="AE50" s="39" t="n"/>
      <c r="AF50" s="39" t="n"/>
      <c r="AG50" s="39" t="n"/>
      <c r="AH50" s="39" t="n"/>
      <c r="AI50" s="39" t="n"/>
      <c r="AJ50" s="39" t="n"/>
      <c r="AK50" s="39" t="n"/>
      <c r="AL50" s="39" t="n"/>
      <c r="AM50" s="39" t="n"/>
      <c r="AN50" s="39" t="n"/>
      <c r="AO50" s="39" t="n"/>
      <c r="AP50" s="39" t="n"/>
    </row>
    <row r="51" ht="15" customHeight="1">
      <c r="A51" s="39" t="n"/>
      <c r="B51" s="39" t="n"/>
      <c r="C51" s="39" t="n"/>
      <c r="D51" s="39" t="n"/>
      <c r="E51" s="39" t="n"/>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39" t="n"/>
      <c r="AA51" s="39" t="n"/>
      <c r="AB51" s="39" t="n"/>
      <c r="AC51" s="39" t="n"/>
      <c r="AD51" s="39" t="n"/>
      <c r="AE51" s="39" t="n"/>
      <c r="AF51" s="39" t="n"/>
      <c r="AG51" s="39" t="n"/>
      <c r="AH51" s="39" t="n"/>
      <c r="AI51" s="39" t="n"/>
      <c r="AJ51" s="39" t="n"/>
      <c r="AK51" s="39" t="n"/>
      <c r="AL51" s="39" t="n"/>
      <c r="AM51" s="39" t="n"/>
      <c r="AN51" s="39" t="n"/>
      <c r="AO51" s="39" t="n"/>
      <c r="AP51" s="39" t="n"/>
    </row>
    <row r="52" ht="15" customHeight="1">
      <c r="A52" s="39" t="n"/>
      <c r="B52" s="39" t="n"/>
      <c r="C52" s="39" t="n"/>
      <c r="D52" s="39" t="n"/>
      <c r="E52" s="39" t="n"/>
      <c r="F52" s="39" t="n"/>
      <c r="G52" s="39" t="n"/>
      <c r="H52" s="39" t="n"/>
      <c r="I52" s="39" t="n"/>
      <c r="J52" s="39" t="n"/>
      <c r="K52" s="39" t="n"/>
      <c r="L52" s="39" t="n"/>
      <c r="M52" s="39" t="n"/>
      <c r="N52" s="39" t="n"/>
      <c r="O52" s="39" t="n"/>
      <c r="P52" s="39" t="n"/>
      <c r="Q52" s="39" t="n"/>
      <c r="R52" s="39" t="n"/>
      <c r="S52" s="39" t="n"/>
      <c r="T52" s="39" t="n"/>
      <c r="U52" s="39" t="n"/>
      <c r="V52" s="39" t="n"/>
      <c r="W52" s="39" t="n"/>
      <c r="X52" s="39" t="n"/>
      <c r="Y52" s="39" t="n"/>
      <c r="Z52" s="39" t="n"/>
      <c r="AA52" s="39" t="n"/>
      <c r="AB52" s="39" t="n"/>
      <c r="AC52" s="39" t="n"/>
      <c r="AD52" s="39" t="n"/>
      <c r="AE52" s="39" t="n"/>
      <c r="AF52" s="39" t="n"/>
      <c r="AG52" s="39" t="n"/>
      <c r="AH52" s="39" t="n"/>
      <c r="AI52" s="39" t="n"/>
      <c r="AJ52" s="39" t="n"/>
      <c r="AK52" s="39" t="n"/>
      <c r="AL52" s="39" t="n"/>
      <c r="AM52" s="39" t="n"/>
      <c r="AN52" s="39" t="n"/>
      <c r="AO52" s="39" t="n"/>
      <c r="AP52" s="39" t="n"/>
    </row>
    <row r="53" ht="15" customHeight="1">
      <c r="A53" s="39" t="n"/>
      <c r="B53" s="39" t="n"/>
      <c r="C53" s="39" t="n"/>
      <c r="D53" s="39" t="n"/>
      <c r="E53" s="39" t="n"/>
      <c r="F53" s="39" t="n"/>
      <c r="G53" s="39" t="n"/>
      <c r="H53" s="39" t="n"/>
      <c r="I53" s="39" t="n"/>
      <c r="J53" s="39" t="n"/>
      <c r="K53" s="39" t="n"/>
      <c r="L53" s="39" t="n"/>
      <c r="M53" s="39" t="n"/>
      <c r="N53" s="39" t="n"/>
      <c r="O53" s="39" t="n"/>
      <c r="P53" s="39" t="n"/>
      <c r="Q53" s="39" t="n"/>
      <c r="R53" s="39" t="n"/>
      <c r="S53" s="39" t="n"/>
      <c r="T53" s="39" t="n"/>
      <c r="U53" s="39" t="n"/>
      <c r="V53" s="39" t="n"/>
      <c r="W53" s="39" t="n"/>
      <c r="X53" s="39" t="n"/>
      <c r="Y53" s="39" t="n"/>
      <c r="Z53" s="39" t="n"/>
      <c r="AA53" s="39" t="n"/>
      <c r="AB53" s="39" t="n"/>
      <c r="AC53" s="39" t="n"/>
      <c r="AD53" s="39" t="n"/>
      <c r="AE53" s="39" t="n"/>
      <c r="AF53" s="39" t="n"/>
      <c r="AG53" s="39" t="n"/>
      <c r="AH53" s="39" t="n"/>
      <c r="AI53" s="39" t="n"/>
      <c r="AJ53" s="39" t="n"/>
      <c r="AK53" s="39" t="n"/>
      <c r="AL53" s="39" t="n"/>
      <c r="AM53" s="39" t="n"/>
      <c r="AN53" s="39" t="n"/>
      <c r="AO53" s="39" t="n"/>
      <c r="AP53" s="39" t="n"/>
    </row>
    <row r="54" ht="15" customHeight="1">
      <c r="A54" s="39" t="n"/>
      <c r="B54" s="39" t="n"/>
      <c r="C54" s="39" t="n"/>
      <c r="D54" s="39" t="n"/>
      <c r="E54" s="39" t="n"/>
      <c r="F54" s="39" t="n"/>
      <c r="G54" s="39" t="n"/>
      <c r="H54" s="39" t="n"/>
      <c r="I54" s="39" t="n"/>
      <c r="J54" s="39" t="n"/>
      <c r="K54" s="39" t="n"/>
      <c r="L54" s="39" t="n"/>
      <c r="M54" s="39" t="n"/>
      <c r="N54" s="39" t="n"/>
      <c r="O54" s="39" t="n"/>
      <c r="P54" s="39" t="n"/>
      <c r="Q54" s="39" t="n"/>
      <c r="R54" s="39" t="n"/>
      <c r="S54" s="39" t="n"/>
      <c r="T54" s="39" t="n"/>
      <c r="U54" s="39" t="n"/>
      <c r="V54" s="39" t="n"/>
      <c r="W54" s="39" t="n"/>
      <c r="X54" s="39" t="n"/>
      <c r="Y54" s="39" t="n"/>
      <c r="Z54" s="39" t="n"/>
      <c r="AA54" s="39" t="n"/>
      <c r="AB54" s="39" t="n"/>
      <c r="AC54" s="39" t="n"/>
      <c r="AD54" s="39" t="n"/>
      <c r="AE54" s="39" t="n"/>
      <c r="AF54" s="39" t="n"/>
      <c r="AG54" s="39" t="n"/>
      <c r="AH54" s="39" t="n"/>
      <c r="AI54" s="39" t="n"/>
      <c r="AJ54" s="39" t="n"/>
      <c r="AK54" s="39" t="n"/>
      <c r="AL54" s="39" t="n"/>
      <c r="AM54" s="39" t="n"/>
      <c r="AN54" s="39" t="n"/>
      <c r="AO54" s="39" t="n"/>
      <c r="AP54" s="39" t="n"/>
    </row>
    <row r="55" ht="15" customHeight="1">
      <c r="A55" s="39" t="n"/>
      <c r="B55" s="39" t="n"/>
      <c r="C55" s="39" t="n"/>
      <c r="D55" s="39" t="n"/>
      <c r="E55" s="39" t="n"/>
      <c r="F55" s="39" t="n"/>
      <c r="G55" s="39" t="n"/>
      <c r="H55" s="39" t="n"/>
      <c r="I55" s="39" t="n"/>
      <c r="J55" s="39" t="n"/>
      <c r="K55" s="39" t="n"/>
      <c r="L55" s="39" t="n"/>
      <c r="M55" s="39" t="n"/>
      <c r="N55" s="39" t="n"/>
      <c r="O55" s="39" t="n"/>
      <c r="P55" s="39" t="n"/>
      <c r="Q55" s="39" t="n"/>
      <c r="R55" s="39" t="n"/>
      <c r="S55" s="39" t="n"/>
      <c r="T55" s="39" t="n"/>
      <c r="U55" s="39" t="n"/>
      <c r="V55" s="39" t="n"/>
      <c r="W55" s="39" t="n"/>
      <c r="X55" s="39" t="n"/>
      <c r="Y55" s="39" t="n"/>
      <c r="Z55" s="39" t="n"/>
      <c r="AA55" s="39" t="n"/>
      <c r="AB55" s="39" t="n"/>
      <c r="AC55" s="39" t="n"/>
      <c r="AD55" s="39" t="n"/>
      <c r="AE55" s="39" t="n"/>
      <c r="AF55" s="39" t="n"/>
      <c r="AG55" s="39" t="n"/>
      <c r="AH55" s="39" t="n"/>
      <c r="AI55" s="39" t="n"/>
      <c r="AJ55" s="39" t="n"/>
      <c r="AK55" s="39" t="n"/>
      <c r="AL55" s="39" t="n"/>
      <c r="AM55" s="39" t="n"/>
      <c r="AN55" s="39" t="n"/>
      <c r="AO55" s="39" t="n"/>
      <c r="AP55" s="39" t="n"/>
    </row>
    <row r="56" ht="15" customHeight="1">
      <c r="A56" s="39" t="n"/>
      <c r="B56" s="39" t="n"/>
      <c r="C56" s="39" t="n"/>
      <c r="D56" s="39" t="n"/>
      <c r="E56" s="39" t="n"/>
      <c r="F56" s="39" t="n"/>
      <c r="G56" s="39" t="n"/>
      <c r="H56" s="39" t="n"/>
      <c r="I56" s="39" t="n"/>
      <c r="J56" s="39" t="n"/>
      <c r="K56" s="39" t="n"/>
      <c r="L56" s="39" t="n"/>
      <c r="M56" s="39" t="n"/>
      <c r="N56" s="39" t="n"/>
      <c r="O56" s="39" t="n"/>
      <c r="P56" s="39" t="n"/>
      <c r="Q56" s="39" t="n"/>
      <c r="R56" s="39" t="n"/>
      <c r="S56" s="39" t="n"/>
      <c r="T56" s="39" t="n"/>
      <c r="U56" s="39" t="n"/>
      <c r="V56" s="39" t="n"/>
      <c r="W56" s="39" t="n"/>
      <c r="X56" s="39" t="n"/>
      <c r="Y56" s="39" t="n"/>
      <c r="Z56" s="39" t="n"/>
      <c r="AA56" s="39" t="n"/>
      <c r="AB56" s="39" t="n"/>
      <c r="AC56" s="39" t="n"/>
      <c r="AD56" s="39" t="n"/>
      <c r="AE56" s="39" t="n"/>
      <c r="AF56" s="39" t="n"/>
      <c r="AG56" s="39" t="n"/>
      <c r="AH56" s="39" t="n"/>
      <c r="AI56" s="39" t="n"/>
      <c r="AJ56" s="39" t="n"/>
      <c r="AK56" s="39" t="n"/>
      <c r="AL56" s="39" t="n"/>
      <c r="AM56" s="39" t="n"/>
      <c r="AN56" s="39" t="n"/>
      <c r="AO56" s="39" t="n"/>
      <c r="AP56" s="39" t="n"/>
    </row>
    <row r="57" ht="15" customHeight="1">
      <c r="A57" s="39" t="n"/>
      <c r="B57" s="39" t="n"/>
      <c r="C57" s="39" t="n"/>
      <c r="D57" s="39" t="n"/>
      <c r="E57" s="39" t="n"/>
      <c r="F57" s="39" t="n"/>
      <c r="G57" s="39" t="n"/>
      <c r="H57" s="39" t="n"/>
      <c r="I57" s="39" t="n"/>
      <c r="J57" s="39" t="n"/>
      <c r="K57" s="39" t="n"/>
      <c r="L57" s="39" t="n"/>
      <c r="M57" s="39" t="n"/>
      <c r="N57" s="39" t="n"/>
      <c r="O57" s="39" t="n"/>
      <c r="P57" s="39" t="n"/>
      <c r="Q57" s="39" t="n"/>
      <c r="R57" s="39" t="n"/>
      <c r="S57" s="39" t="n"/>
      <c r="T57" s="39" t="n"/>
      <c r="U57" s="39" t="n"/>
      <c r="V57" s="39" t="n"/>
      <c r="W57" s="39" t="n"/>
      <c r="X57" s="39" t="n"/>
      <c r="Y57" s="39" t="n"/>
      <c r="Z57" s="39" t="n"/>
      <c r="AA57" s="39" t="n"/>
      <c r="AB57" s="39" t="n"/>
      <c r="AC57" s="39" t="n"/>
      <c r="AD57" s="39" t="n"/>
      <c r="AE57" s="39" t="n"/>
      <c r="AF57" s="39" t="n"/>
      <c r="AG57" s="39" t="n"/>
      <c r="AH57" s="39" t="n"/>
      <c r="AI57" s="39" t="n"/>
      <c r="AJ57" s="39" t="n"/>
      <c r="AK57" s="39" t="n"/>
      <c r="AL57" s="39" t="n"/>
      <c r="AM57" s="39" t="n"/>
      <c r="AN57" s="39" t="n"/>
      <c r="AO57" s="39" t="n"/>
      <c r="AP57" s="39" t="n"/>
    </row>
    <row r="58" ht="15" customHeight="1">
      <c r="A58" s="39" t="n"/>
      <c r="B58" s="39" t="n"/>
      <c r="C58" s="39" t="n"/>
      <c r="D58" s="39" t="n"/>
      <c r="E58" s="39" t="n"/>
      <c r="F58" s="39" t="n"/>
      <c r="G58" s="39" t="n"/>
      <c r="H58" s="39" t="n"/>
      <c r="I58" s="39" t="n"/>
      <c r="J58" s="39" t="n"/>
      <c r="K58" s="39" t="n"/>
      <c r="L58" s="39" t="n"/>
      <c r="M58" s="39" t="n"/>
      <c r="N58" s="39" t="n"/>
      <c r="O58" s="39" t="n"/>
      <c r="P58" s="39" t="n"/>
      <c r="Q58" s="39" t="n"/>
      <c r="R58" s="39" t="n"/>
      <c r="S58" s="39" t="n"/>
      <c r="T58" s="39" t="n"/>
      <c r="U58" s="39" t="n"/>
      <c r="V58" s="39" t="n"/>
      <c r="W58" s="39" t="n"/>
      <c r="X58" s="39" t="n"/>
      <c r="Y58" s="39" t="n"/>
      <c r="Z58" s="39" t="n"/>
      <c r="AA58" s="39" t="n"/>
      <c r="AB58" s="39" t="n"/>
      <c r="AC58" s="39" t="n"/>
      <c r="AD58" s="39" t="n"/>
      <c r="AE58" s="39" t="n"/>
      <c r="AF58" s="39" t="n"/>
      <c r="AG58" s="39" t="n"/>
      <c r="AH58" s="39" t="n"/>
      <c r="AI58" s="39" t="n"/>
      <c r="AJ58" s="39" t="n"/>
      <c r="AK58" s="39" t="n"/>
      <c r="AL58" s="39" t="n"/>
      <c r="AM58" s="39" t="n"/>
      <c r="AN58" s="39" t="n"/>
      <c r="AO58" s="39" t="n"/>
      <c r="AP58" s="39" t="n"/>
    </row>
    <row r="59" ht="12" customHeight="1">
      <c r="A59" s="39" t="n"/>
      <c r="B59" s="39" t="n"/>
      <c r="C59" s="39" t="n"/>
      <c r="D59" s="39" t="n"/>
      <c r="E59" s="39" t="n"/>
      <c r="F59" s="39" t="n"/>
      <c r="G59" s="39" t="n"/>
      <c r="H59" s="39" t="n"/>
      <c r="I59" s="39" t="n"/>
      <c r="J59" s="39" t="n"/>
      <c r="K59" s="39" t="n"/>
      <c r="L59" s="39" t="n"/>
      <c r="M59" s="39" t="n"/>
      <c r="N59" s="39" t="n"/>
      <c r="O59" s="39" t="n"/>
      <c r="P59" s="39" t="n"/>
      <c r="Q59" s="39" t="n"/>
      <c r="R59" s="39" t="n"/>
      <c r="S59" s="39" t="n"/>
      <c r="T59" s="39" t="n"/>
      <c r="U59" s="39" t="n"/>
      <c r="V59" s="39" t="n"/>
      <c r="W59" s="39" t="n"/>
      <c r="X59" s="39" t="n"/>
      <c r="Y59" s="39" t="n"/>
      <c r="Z59" s="39" t="n"/>
      <c r="AA59" s="39" t="n"/>
      <c r="AB59" s="39" t="n"/>
      <c r="AC59" s="39" t="n"/>
      <c r="AD59" s="39" t="n"/>
      <c r="AE59" s="39" t="n"/>
      <c r="AF59" s="39" t="n"/>
      <c r="AG59" s="39" t="n"/>
      <c r="AH59" s="39" t="n"/>
      <c r="AI59" s="39" t="n"/>
      <c r="AJ59" s="39" t="n"/>
      <c r="AK59" s="39" t="n"/>
      <c r="AL59" s="39" t="n"/>
      <c r="AM59" s="39" t="n"/>
      <c r="AN59" s="39" t="n"/>
      <c r="AO59" s="39" t="n"/>
      <c r="AP59" s="39" t="n"/>
    </row>
    <row r="60" ht="24" customHeight="1">
      <c r="A60" s="39" t="n"/>
      <c r="B60" s="44" t="inlineStr">
        <is>
          <t>SƠ ĐỒ KHU VỰC</t>
        </is>
      </c>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39" t="n"/>
      <c r="AB60" s="44" t="inlineStr">
        <is>
          <t>THEO KHU VỰC</t>
        </is>
      </c>
      <c r="AC60" s="9" t="n"/>
      <c r="AD60" s="9" t="n"/>
      <c r="AE60" s="9" t="n"/>
      <c r="AF60" s="9" t="n"/>
      <c r="AG60" s="9" t="n"/>
      <c r="AH60" s="9" t="n"/>
      <c r="AI60" s="9" t="n"/>
      <c r="AJ60" s="9" t="n"/>
      <c r="AK60" s="9" t="n"/>
      <c r="AL60" s="9" t="n"/>
      <c r="AM60" s="9" t="n"/>
      <c r="AN60" s="9" t="n"/>
      <c r="AO60" s="9" t="n"/>
      <c r="AP60" s="39" t="n"/>
    </row>
    <row r="61" ht="34" customHeight="1">
      <c r="A61" s="39" t="n"/>
      <c r="B61" s="110" t="inlineStr">
        <is>
          <t>Mỗi tháp là một block 23 tầng. Ô đỏ: phản ánh khẩn cấp hoặc mức cao; ô cam: mức trung bình hoặc thấp; con số là số phản ánh đang mở. Ô vàng ghi CV: tầng có công việc đang triển khai.</t>
        </is>
      </c>
      <c r="AA61" s="39" t="n"/>
      <c r="AB61" s="110" t="inlineStr">
        <is>
          <t>Phản ánh đang mở, công việc chưa xong (không tính việc hằng ngày) và số đầu việc quá hạn. Cần xử lý: có đầu việc quá hạn; Theo dõi: đang có việc mở.</t>
        </is>
      </c>
      <c r="AP61" s="39" t="n"/>
    </row>
    <row r="62" ht="13.5" customHeight="1">
      <c r="A62" s="39" t="n"/>
      <c r="B62" s="111" t="inlineStr">
        <is>
          <t>Mái</t>
        </is>
      </c>
      <c r="D62" s="112">
        <f>IF(COUNTIFS('Phản ánh'!$F$6:$F$505,"Block A",'Phản ánh'!$G$6:$G$505,$B62,'Phản ánh'!$V$6:$V$505,"&lt;&gt;Đã xử lý")&gt;0,IF((COUNTIFS('Phản ánh'!$F$6:$F$505,"Block A",'Phản ánh'!$G$6:$G$505,$B62,'Phản ánh'!$V$6:$V$505,"&lt;&gt;Đã xử lý",'Phản ánh'!$J$6:$J$505,"Khẩn cấp")+COUNTIFS('Phản ánh'!$F$6:$F$505,"Block A",'Phản ánh'!$G$6:$G$505,$B62,'Phản ánh'!$V$6:$V$505,"&lt;&gt;Đã xử lý",'Phản ánh'!$J$6:$J$505,"Cao"))&gt;0,-COUNTIFS('Phản ánh'!$F$6:$F$505,"Block A",'Phản ánh'!$G$6:$G$505,$B62,'Phản ánh'!$V$6:$V$505,"&lt;&gt;Đã xử lý"),COUNTIFS('Phản ánh'!$F$6:$F$505,"Block A",'Phản ánh'!$G$6:$G$505,$B62,'Phản ánh'!$V$6:$V$505,"&lt;&gt;Đã xử lý")),IF(COUNTIFS('Kế hoạch'!$E$6:$E$305,"Block A",'Kế hoạch'!$F$6:$F$305,$B62,'Kế hoạch'!$AO$6:$AO$305,1)&gt;0,"CV",""))</f>
      </c>
      <c r="E62" s="113" t="n"/>
      <c r="F62" s="114" t="n"/>
      <c r="G62" s="39" t="n"/>
      <c r="H62" s="112">
        <f>IF(COUNTIFS('Phản ánh'!$F$6:$F$505,"Block B",'Phản ánh'!$G$6:$G$505,$B62,'Phản ánh'!$V$6:$V$505,"&lt;&gt;Đã xử lý")&gt;0,IF((COUNTIFS('Phản ánh'!$F$6:$F$505,"Block B",'Phản ánh'!$G$6:$G$505,$B62,'Phản ánh'!$V$6:$V$505,"&lt;&gt;Đã xử lý",'Phản ánh'!$J$6:$J$505,"Khẩn cấp")+COUNTIFS('Phản ánh'!$F$6:$F$505,"Block B",'Phản ánh'!$G$6:$G$505,$B62,'Phản ánh'!$V$6:$V$505,"&lt;&gt;Đã xử lý",'Phản ánh'!$J$6:$J$505,"Cao"))&gt;0,-COUNTIFS('Phản ánh'!$F$6:$F$505,"Block B",'Phản ánh'!$G$6:$G$505,$B62,'Phản ánh'!$V$6:$V$505,"&lt;&gt;Đã xử lý"),COUNTIFS('Phản ánh'!$F$6:$F$505,"Block B",'Phản ánh'!$G$6:$G$505,$B62,'Phản ánh'!$V$6:$V$505,"&lt;&gt;Đã xử lý")),IF(COUNTIFS('Kế hoạch'!$E$6:$E$305,"Block B",'Kế hoạch'!$F$6:$F$305,$B62,'Kế hoạch'!$AO$6:$AO$305,1)&gt;0,"CV",""))</f>
      </c>
      <c r="I62" s="113" t="n"/>
      <c r="J62" s="114" t="n"/>
      <c r="K62" s="39" t="n"/>
      <c r="L62" s="112">
        <f>IF(COUNTIFS('Phản ánh'!$F$6:$F$505,"Block C",'Phản ánh'!$G$6:$G$505,$B62,'Phản ánh'!$V$6:$V$505,"&lt;&gt;Đã xử lý")&gt;0,IF((COUNTIFS('Phản ánh'!$F$6:$F$505,"Block C",'Phản ánh'!$G$6:$G$505,$B62,'Phản ánh'!$V$6:$V$505,"&lt;&gt;Đã xử lý",'Phản ánh'!$J$6:$J$505,"Khẩn cấp")+COUNTIFS('Phản ánh'!$F$6:$F$505,"Block C",'Phản ánh'!$G$6:$G$505,$B62,'Phản ánh'!$V$6:$V$505,"&lt;&gt;Đã xử lý",'Phản ánh'!$J$6:$J$505,"Cao"))&gt;0,-COUNTIFS('Phản ánh'!$F$6:$F$505,"Block C",'Phản ánh'!$G$6:$G$505,$B62,'Phản ánh'!$V$6:$V$505,"&lt;&gt;Đã xử lý"),COUNTIFS('Phản ánh'!$F$6:$F$505,"Block C",'Phản ánh'!$G$6:$G$505,$B62,'Phản ánh'!$V$6:$V$505,"&lt;&gt;Đã xử lý")),IF(COUNTIFS('Kế hoạch'!$E$6:$E$305,"Block C",'Kế hoạch'!$F$6:$F$305,$B62,'Kế hoạch'!$AO$6:$AO$305,1)&gt;0,"CV",""))</f>
      </c>
      <c r="M62" s="113" t="n"/>
      <c r="N62" s="114" t="n"/>
      <c r="O62" s="39" t="n"/>
      <c r="P62" s="112">
        <f>IF(COUNTIFS('Phản ánh'!$F$6:$F$505,"Block D",'Phản ánh'!$G$6:$G$505,$B62,'Phản ánh'!$V$6:$V$505,"&lt;&gt;Đã xử lý")&gt;0,IF((COUNTIFS('Phản ánh'!$F$6:$F$505,"Block D",'Phản ánh'!$G$6:$G$505,$B62,'Phản ánh'!$V$6:$V$505,"&lt;&gt;Đã xử lý",'Phản ánh'!$J$6:$J$505,"Khẩn cấp")+COUNTIFS('Phản ánh'!$F$6:$F$505,"Block D",'Phản ánh'!$G$6:$G$505,$B62,'Phản ánh'!$V$6:$V$505,"&lt;&gt;Đã xử lý",'Phản ánh'!$J$6:$J$505,"Cao"))&gt;0,-COUNTIFS('Phản ánh'!$F$6:$F$505,"Block D",'Phản ánh'!$G$6:$G$505,$B62,'Phản ánh'!$V$6:$V$505,"&lt;&gt;Đã xử lý"),COUNTIFS('Phản ánh'!$F$6:$F$505,"Block D",'Phản ánh'!$G$6:$G$505,$B62,'Phản ánh'!$V$6:$V$505,"&lt;&gt;Đã xử lý")),IF(COUNTIFS('Kế hoạch'!$E$6:$E$305,"Block D",'Kế hoạch'!$F$6:$F$305,$B62,'Kế hoạch'!$AO$6:$AO$305,1)&gt;0,"CV",""))</f>
      </c>
      <c r="Q62" s="113" t="n"/>
      <c r="R62" s="114" t="n"/>
      <c r="S62" s="39" t="n"/>
      <c r="T62" s="112">
        <f>IF(COUNTIFS('Phản ánh'!$F$6:$F$505,"Block E",'Phản ánh'!$G$6:$G$505,$B62,'Phản ánh'!$V$6:$V$505,"&lt;&gt;Đã xử lý")&gt;0,IF((COUNTIFS('Phản ánh'!$F$6:$F$505,"Block E",'Phản ánh'!$G$6:$G$505,$B62,'Phản ánh'!$V$6:$V$505,"&lt;&gt;Đã xử lý",'Phản ánh'!$J$6:$J$505,"Khẩn cấp")+COUNTIFS('Phản ánh'!$F$6:$F$505,"Block E",'Phản ánh'!$G$6:$G$505,$B62,'Phản ánh'!$V$6:$V$505,"&lt;&gt;Đã xử lý",'Phản ánh'!$J$6:$J$505,"Cao"))&gt;0,-COUNTIFS('Phản ánh'!$F$6:$F$505,"Block E",'Phản ánh'!$G$6:$G$505,$B62,'Phản ánh'!$V$6:$V$505,"&lt;&gt;Đã xử lý"),COUNTIFS('Phản ánh'!$F$6:$F$505,"Block E",'Phản ánh'!$G$6:$G$505,$B62,'Phản ánh'!$V$6:$V$505,"&lt;&gt;Đã xử lý")),IF(COUNTIFS('Kế hoạch'!$E$6:$E$305,"Block E",'Kế hoạch'!$F$6:$F$305,$B62,'Kế hoạch'!$AO$6:$AO$305,1)&gt;0,"CV",""))</f>
      </c>
      <c r="U62" s="113" t="n"/>
      <c r="V62" s="114" t="n"/>
      <c r="W62" s="39" t="n"/>
      <c r="X62" s="112">
        <f>IF(COUNTIFS('Phản ánh'!$F$6:$F$505,"Block G",'Phản ánh'!$G$6:$G$505,$B62,'Phản ánh'!$V$6:$V$505,"&lt;&gt;Đã xử lý")&gt;0,IF((COUNTIFS('Phản ánh'!$F$6:$F$505,"Block G",'Phản ánh'!$G$6:$G$505,$B62,'Phản ánh'!$V$6:$V$505,"&lt;&gt;Đã xử lý",'Phản ánh'!$J$6:$J$505,"Khẩn cấp")+COUNTIFS('Phản ánh'!$F$6:$F$505,"Block G",'Phản ánh'!$G$6:$G$505,$B62,'Phản ánh'!$V$6:$V$505,"&lt;&gt;Đã xử lý",'Phản ánh'!$J$6:$J$505,"Cao"))&gt;0,-COUNTIFS('Phản ánh'!$F$6:$F$505,"Block G",'Phản ánh'!$G$6:$G$505,$B62,'Phản ánh'!$V$6:$V$505,"&lt;&gt;Đã xử lý"),COUNTIFS('Phản ánh'!$F$6:$F$505,"Block G",'Phản ánh'!$G$6:$G$505,$B62,'Phản ánh'!$V$6:$V$505,"&lt;&gt;Đã xử lý")),IF(COUNTIFS('Kế hoạch'!$E$6:$E$305,"Block G",'Kế hoạch'!$F$6:$F$305,$B62,'Kế hoạch'!$AO$6:$AO$305,1)&gt;0,"CV",""))</f>
      </c>
      <c r="Y62" s="113" t="n"/>
      <c r="Z62" s="114" t="n"/>
      <c r="AA62" s="39" t="n"/>
      <c r="AB62" s="115" t="inlineStr">
        <is>
          <t>Khu vực</t>
        </is>
      </c>
      <c r="AC62" s="1" t="n"/>
      <c r="AD62" s="1" t="n"/>
      <c r="AE62" s="1" t="n"/>
      <c r="AF62" s="1" t="n"/>
      <c r="AG62" s="115" t="inlineStr">
        <is>
          <t>Phản ánh</t>
        </is>
      </c>
      <c r="AH62" s="1" t="n"/>
      <c r="AI62" s="115" t="inlineStr">
        <is>
          <t>Việc</t>
        </is>
      </c>
      <c r="AJ62" s="1" t="n"/>
      <c r="AK62" s="115" t="inlineStr">
        <is>
          <t>Quá hạn</t>
        </is>
      </c>
      <c r="AL62" s="1" t="n"/>
      <c r="AM62" s="115" t="inlineStr">
        <is>
          <t>Tình trạng</t>
        </is>
      </c>
      <c r="AN62" s="1" t="n"/>
      <c r="AO62" s="1" t="n"/>
      <c r="AP62" s="39" t="n"/>
    </row>
    <row r="63" ht="13.5" customHeight="1">
      <c r="A63" s="39" t="n"/>
      <c r="B63" s="116" t="n">
        <v>23</v>
      </c>
      <c r="D63" s="117">
        <f>IF(COUNTIFS('Phản ánh'!$F$6:$F$505,"Block A",'Phản ánh'!$G$6:$G$505,$B63,'Phản ánh'!$V$6:$V$505,"&lt;&gt;Đã xử lý")&gt;0,IF((COUNTIFS('Phản ánh'!$F$6:$F$505,"Block A",'Phản ánh'!$G$6:$G$505,$B63,'Phản ánh'!$V$6:$V$505,"&lt;&gt;Đã xử lý",'Phản ánh'!$J$6:$J$505,"Khẩn cấp")+COUNTIFS('Phản ánh'!$F$6:$F$505,"Block A",'Phản ánh'!$G$6:$G$505,$B63,'Phản ánh'!$V$6:$V$505,"&lt;&gt;Đã xử lý",'Phản ánh'!$J$6:$J$505,"Cao"))&gt;0,-COUNTIFS('Phản ánh'!$F$6:$F$505,"Block A",'Phản ánh'!$G$6:$G$505,$B63,'Phản ánh'!$V$6:$V$505,"&lt;&gt;Đã xử lý"),COUNTIFS('Phản ánh'!$F$6:$F$505,"Block A",'Phản ánh'!$G$6:$G$505,$B63,'Phản ánh'!$V$6:$V$505,"&lt;&gt;Đã xử lý")),IF(COUNTIFS('Kế hoạch'!$E$6:$E$305,"Block A",'Kế hoạch'!$F$6:$F$305,$B63,'Kế hoạch'!$AO$6:$AO$305,1)&gt;0,"CV",""))</f>
      </c>
      <c r="E63" s="118" t="n"/>
      <c r="F63" s="119" t="n"/>
      <c r="G63" s="39" t="n"/>
      <c r="H63" s="117">
        <f>IF(COUNTIFS('Phản ánh'!$F$6:$F$505,"Block B",'Phản ánh'!$G$6:$G$505,$B63,'Phản ánh'!$V$6:$V$505,"&lt;&gt;Đã xử lý")&gt;0,IF((COUNTIFS('Phản ánh'!$F$6:$F$505,"Block B",'Phản ánh'!$G$6:$G$505,$B63,'Phản ánh'!$V$6:$V$505,"&lt;&gt;Đã xử lý",'Phản ánh'!$J$6:$J$505,"Khẩn cấp")+COUNTIFS('Phản ánh'!$F$6:$F$505,"Block B",'Phản ánh'!$G$6:$G$505,$B63,'Phản ánh'!$V$6:$V$505,"&lt;&gt;Đã xử lý",'Phản ánh'!$J$6:$J$505,"Cao"))&gt;0,-COUNTIFS('Phản ánh'!$F$6:$F$505,"Block B",'Phản ánh'!$G$6:$G$505,$B63,'Phản ánh'!$V$6:$V$505,"&lt;&gt;Đã xử lý"),COUNTIFS('Phản ánh'!$F$6:$F$505,"Block B",'Phản ánh'!$G$6:$G$505,$B63,'Phản ánh'!$V$6:$V$505,"&lt;&gt;Đã xử lý")),IF(COUNTIFS('Kế hoạch'!$E$6:$E$305,"Block B",'Kế hoạch'!$F$6:$F$305,$B63,'Kế hoạch'!$AO$6:$AO$305,1)&gt;0,"CV",""))</f>
      </c>
      <c r="I63" s="118" t="n"/>
      <c r="J63" s="119" t="n"/>
      <c r="K63" s="39" t="n"/>
      <c r="L63" s="117">
        <f>IF(COUNTIFS('Phản ánh'!$F$6:$F$505,"Block C",'Phản ánh'!$G$6:$G$505,$B63,'Phản ánh'!$V$6:$V$505,"&lt;&gt;Đã xử lý")&gt;0,IF((COUNTIFS('Phản ánh'!$F$6:$F$505,"Block C",'Phản ánh'!$G$6:$G$505,$B63,'Phản ánh'!$V$6:$V$505,"&lt;&gt;Đã xử lý",'Phản ánh'!$J$6:$J$505,"Khẩn cấp")+COUNTIFS('Phản ánh'!$F$6:$F$505,"Block C",'Phản ánh'!$G$6:$G$505,$B63,'Phản ánh'!$V$6:$V$505,"&lt;&gt;Đã xử lý",'Phản ánh'!$J$6:$J$505,"Cao"))&gt;0,-COUNTIFS('Phản ánh'!$F$6:$F$505,"Block C",'Phản ánh'!$G$6:$G$505,$B63,'Phản ánh'!$V$6:$V$505,"&lt;&gt;Đã xử lý"),COUNTIFS('Phản ánh'!$F$6:$F$505,"Block C",'Phản ánh'!$G$6:$G$505,$B63,'Phản ánh'!$V$6:$V$505,"&lt;&gt;Đã xử lý")),IF(COUNTIFS('Kế hoạch'!$E$6:$E$305,"Block C",'Kế hoạch'!$F$6:$F$305,$B63,'Kế hoạch'!$AO$6:$AO$305,1)&gt;0,"CV",""))</f>
      </c>
      <c r="M63" s="118" t="n"/>
      <c r="N63" s="119" t="n"/>
      <c r="O63" s="39" t="n"/>
      <c r="P63" s="117">
        <f>IF(COUNTIFS('Phản ánh'!$F$6:$F$505,"Block D",'Phản ánh'!$G$6:$G$505,$B63,'Phản ánh'!$V$6:$V$505,"&lt;&gt;Đã xử lý")&gt;0,IF((COUNTIFS('Phản ánh'!$F$6:$F$505,"Block D",'Phản ánh'!$G$6:$G$505,$B63,'Phản ánh'!$V$6:$V$505,"&lt;&gt;Đã xử lý",'Phản ánh'!$J$6:$J$505,"Khẩn cấp")+COUNTIFS('Phản ánh'!$F$6:$F$505,"Block D",'Phản ánh'!$G$6:$G$505,$B63,'Phản ánh'!$V$6:$V$505,"&lt;&gt;Đã xử lý",'Phản ánh'!$J$6:$J$505,"Cao"))&gt;0,-COUNTIFS('Phản ánh'!$F$6:$F$505,"Block D",'Phản ánh'!$G$6:$G$505,$B63,'Phản ánh'!$V$6:$V$505,"&lt;&gt;Đã xử lý"),COUNTIFS('Phản ánh'!$F$6:$F$505,"Block D",'Phản ánh'!$G$6:$G$505,$B63,'Phản ánh'!$V$6:$V$505,"&lt;&gt;Đã xử lý")),IF(COUNTIFS('Kế hoạch'!$E$6:$E$305,"Block D",'Kế hoạch'!$F$6:$F$305,$B63,'Kế hoạch'!$AO$6:$AO$305,1)&gt;0,"CV",""))</f>
      </c>
      <c r="Q63" s="118" t="n"/>
      <c r="R63" s="119" t="n"/>
      <c r="S63" s="39" t="n"/>
      <c r="T63" s="117">
        <f>IF(COUNTIFS('Phản ánh'!$F$6:$F$505,"Block E",'Phản ánh'!$G$6:$G$505,$B63,'Phản ánh'!$V$6:$V$505,"&lt;&gt;Đã xử lý")&gt;0,IF((COUNTIFS('Phản ánh'!$F$6:$F$505,"Block E",'Phản ánh'!$G$6:$G$505,$B63,'Phản ánh'!$V$6:$V$505,"&lt;&gt;Đã xử lý",'Phản ánh'!$J$6:$J$505,"Khẩn cấp")+COUNTIFS('Phản ánh'!$F$6:$F$505,"Block E",'Phản ánh'!$G$6:$G$505,$B63,'Phản ánh'!$V$6:$V$505,"&lt;&gt;Đã xử lý",'Phản ánh'!$J$6:$J$505,"Cao"))&gt;0,-COUNTIFS('Phản ánh'!$F$6:$F$505,"Block E",'Phản ánh'!$G$6:$G$505,$B63,'Phản ánh'!$V$6:$V$505,"&lt;&gt;Đã xử lý"),COUNTIFS('Phản ánh'!$F$6:$F$505,"Block E",'Phản ánh'!$G$6:$G$505,$B63,'Phản ánh'!$V$6:$V$505,"&lt;&gt;Đã xử lý")),IF(COUNTIFS('Kế hoạch'!$E$6:$E$305,"Block E",'Kế hoạch'!$F$6:$F$305,$B63,'Kế hoạch'!$AO$6:$AO$305,1)&gt;0,"CV",""))</f>
      </c>
      <c r="U63" s="118" t="n"/>
      <c r="V63" s="119" t="n"/>
      <c r="W63" s="39" t="n"/>
      <c r="X63" s="117">
        <f>IF(COUNTIFS('Phản ánh'!$F$6:$F$505,"Block G",'Phản ánh'!$G$6:$G$505,$B63,'Phản ánh'!$V$6:$V$505,"&lt;&gt;Đã xử lý")&gt;0,IF((COUNTIFS('Phản ánh'!$F$6:$F$505,"Block G",'Phản ánh'!$G$6:$G$505,$B63,'Phản ánh'!$V$6:$V$505,"&lt;&gt;Đã xử lý",'Phản ánh'!$J$6:$J$505,"Khẩn cấp")+COUNTIFS('Phản ánh'!$F$6:$F$505,"Block G",'Phản ánh'!$G$6:$G$505,$B63,'Phản ánh'!$V$6:$V$505,"&lt;&gt;Đã xử lý",'Phản ánh'!$J$6:$J$505,"Cao"))&gt;0,-COUNTIFS('Phản ánh'!$F$6:$F$505,"Block G",'Phản ánh'!$G$6:$G$505,$B63,'Phản ánh'!$V$6:$V$505,"&lt;&gt;Đã xử lý"),COUNTIFS('Phản ánh'!$F$6:$F$505,"Block G",'Phản ánh'!$G$6:$G$505,$B63,'Phản ánh'!$V$6:$V$505,"&lt;&gt;Đã xử lý")),IF(COUNTIFS('Kế hoạch'!$E$6:$E$305,"Block G",'Kế hoạch'!$F$6:$F$305,$B63,'Kế hoạch'!$AO$6:$AO$305,1)&gt;0,"CV",""))</f>
      </c>
      <c r="Y63" s="118" t="n"/>
      <c r="Z63" s="119" t="n"/>
      <c r="AA63" s="39" t="n"/>
      <c r="AB63" s="120" t="inlineStr">
        <is>
          <t>Block A</t>
        </is>
      </c>
      <c r="AC63" s="121" t="n"/>
      <c r="AD63" s="121" t="n"/>
      <c r="AE63" s="121" t="n"/>
      <c r="AF63" s="121" t="n"/>
      <c r="AG63" s="122">
        <f>COUNTIFS('Phản ánh'!$F$6:$F$505,$AB63,'Phản ánh'!$V$6:$V$505,"&lt;&gt;Đã xử lý")</f>
      </c>
      <c r="AH63" s="121" t="n"/>
      <c r="AI63" s="122">
        <f>COUNTIFS('Kế hoạch'!$E$6:$E$305,$AB63,'Kế hoạch'!$AO$6:$AO$305,1,'Kế hoạch'!$AR$6:$AR$305,0)</f>
      </c>
      <c r="AJ63" s="121" t="n"/>
      <c r="AK63" s="122">
        <f>COUNTIFS('Phản ánh'!$F$6:$F$505,$AB63,'Phản ánh'!$Y$6:$Y$505,"Quá hạn")+COUNTIFS('Kế hoạch'!$E$6:$E$305,$AB63,'Kế hoạch'!$AD$6:$AD$305,"Quá hạn")</f>
      </c>
      <c r="AL63" s="121" t="n"/>
      <c r="AM63" s="123">
        <f>IF(AK63&gt;0,"Cần xử lý",IF(AG63+AI63&gt;0,"Theo dõi","Ổn định"))</f>
      </c>
      <c r="AN63" s="121" t="n"/>
      <c r="AO63" s="121" t="n"/>
      <c r="AP63" s="39" t="n"/>
    </row>
    <row r="64" ht="13.5" customHeight="1">
      <c r="A64" s="39" t="n"/>
      <c r="B64" s="116" t="n">
        <v>22</v>
      </c>
      <c r="D64" s="117">
        <f>IF(COUNTIFS('Phản ánh'!$F$6:$F$505,"Block A",'Phản ánh'!$G$6:$G$505,$B64,'Phản ánh'!$V$6:$V$505,"&lt;&gt;Đã xử lý")&gt;0,IF((COUNTIFS('Phản ánh'!$F$6:$F$505,"Block A",'Phản ánh'!$G$6:$G$505,$B64,'Phản ánh'!$V$6:$V$505,"&lt;&gt;Đã xử lý",'Phản ánh'!$J$6:$J$505,"Khẩn cấp")+COUNTIFS('Phản ánh'!$F$6:$F$505,"Block A",'Phản ánh'!$G$6:$G$505,$B64,'Phản ánh'!$V$6:$V$505,"&lt;&gt;Đã xử lý",'Phản ánh'!$J$6:$J$505,"Cao"))&gt;0,-COUNTIFS('Phản ánh'!$F$6:$F$505,"Block A",'Phản ánh'!$G$6:$G$505,$B64,'Phản ánh'!$V$6:$V$505,"&lt;&gt;Đã xử lý"),COUNTIFS('Phản ánh'!$F$6:$F$505,"Block A",'Phản ánh'!$G$6:$G$505,$B64,'Phản ánh'!$V$6:$V$505,"&lt;&gt;Đã xử lý")),IF(COUNTIFS('Kế hoạch'!$E$6:$E$305,"Block A",'Kế hoạch'!$F$6:$F$305,$B64,'Kế hoạch'!$AO$6:$AO$305,1)&gt;0,"CV",""))</f>
      </c>
      <c r="E64" s="118" t="n"/>
      <c r="F64" s="119" t="n"/>
      <c r="G64" s="39" t="n"/>
      <c r="H64" s="117">
        <f>IF(COUNTIFS('Phản ánh'!$F$6:$F$505,"Block B",'Phản ánh'!$G$6:$G$505,$B64,'Phản ánh'!$V$6:$V$505,"&lt;&gt;Đã xử lý")&gt;0,IF((COUNTIFS('Phản ánh'!$F$6:$F$505,"Block B",'Phản ánh'!$G$6:$G$505,$B64,'Phản ánh'!$V$6:$V$505,"&lt;&gt;Đã xử lý",'Phản ánh'!$J$6:$J$505,"Khẩn cấp")+COUNTIFS('Phản ánh'!$F$6:$F$505,"Block B",'Phản ánh'!$G$6:$G$505,$B64,'Phản ánh'!$V$6:$V$505,"&lt;&gt;Đã xử lý",'Phản ánh'!$J$6:$J$505,"Cao"))&gt;0,-COUNTIFS('Phản ánh'!$F$6:$F$505,"Block B",'Phản ánh'!$G$6:$G$505,$B64,'Phản ánh'!$V$6:$V$505,"&lt;&gt;Đã xử lý"),COUNTIFS('Phản ánh'!$F$6:$F$505,"Block B",'Phản ánh'!$G$6:$G$505,$B64,'Phản ánh'!$V$6:$V$505,"&lt;&gt;Đã xử lý")),IF(COUNTIFS('Kế hoạch'!$E$6:$E$305,"Block B",'Kế hoạch'!$F$6:$F$305,$B64,'Kế hoạch'!$AO$6:$AO$305,1)&gt;0,"CV",""))</f>
      </c>
      <c r="I64" s="118" t="n"/>
      <c r="J64" s="119" t="n"/>
      <c r="K64" s="39" t="n"/>
      <c r="L64" s="117">
        <f>IF(COUNTIFS('Phản ánh'!$F$6:$F$505,"Block C",'Phản ánh'!$G$6:$G$505,$B64,'Phản ánh'!$V$6:$V$505,"&lt;&gt;Đã xử lý")&gt;0,IF((COUNTIFS('Phản ánh'!$F$6:$F$505,"Block C",'Phản ánh'!$G$6:$G$505,$B64,'Phản ánh'!$V$6:$V$505,"&lt;&gt;Đã xử lý",'Phản ánh'!$J$6:$J$505,"Khẩn cấp")+COUNTIFS('Phản ánh'!$F$6:$F$505,"Block C",'Phản ánh'!$G$6:$G$505,$B64,'Phản ánh'!$V$6:$V$505,"&lt;&gt;Đã xử lý",'Phản ánh'!$J$6:$J$505,"Cao"))&gt;0,-COUNTIFS('Phản ánh'!$F$6:$F$505,"Block C",'Phản ánh'!$G$6:$G$505,$B64,'Phản ánh'!$V$6:$V$505,"&lt;&gt;Đã xử lý"),COUNTIFS('Phản ánh'!$F$6:$F$505,"Block C",'Phản ánh'!$G$6:$G$505,$B64,'Phản ánh'!$V$6:$V$505,"&lt;&gt;Đã xử lý")),IF(COUNTIFS('Kế hoạch'!$E$6:$E$305,"Block C",'Kế hoạch'!$F$6:$F$305,$B64,'Kế hoạch'!$AO$6:$AO$305,1)&gt;0,"CV",""))</f>
      </c>
      <c r="M64" s="118" t="n"/>
      <c r="N64" s="119" t="n"/>
      <c r="O64" s="39" t="n"/>
      <c r="P64" s="117">
        <f>IF(COUNTIFS('Phản ánh'!$F$6:$F$505,"Block D",'Phản ánh'!$G$6:$G$505,$B64,'Phản ánh'!$V$6:$V$505,"&lt;&gt;Đã xử lý")&gt;0,IF((COUNTIFS('Phản ánh'!$F$6:$F$505,"Block D",'Phản ánh'!$G$6:$G$505,$B64,'Phản ánh'!$V$6:$V$505,"&lt;&gt;Đã xử lý",'Phản ánh'!$J$6:$J$505,"Khẩn cấp")+COUNTIFS('Phản ánh'!$F$6:$F$505,"Block D",'Phản ánh'!$G$6:$G$505,$B64,'Phản ánh'!$V$6:$V$505,"&lt;&gt;Đã xử lý",'Phản ánh'!$J$6:$J$505,"Cao"))&gt;0,-COUNTIFS('Phản ánh'!$F$6:$F$505,"Block D",'Phản ánh'!$G$6:$G$505,$B64,'Phản ánh'!$V$6:$V$505,"&lt;&gt;Đã xử lý"),COUNTIFS('Phản ánh'!$F$6:$F$505,"Block D",'Phản ánh'!$G$6:$G$505,$B64,'Phản ánh'!$V$6:$V$505,"&lt;&gt;Đã xử lý")),IF(COUNTIFS('Kế hoạch'!$E$6:$E$305,"Block D",'Kế hoạch'!$F$6:$F$305,$B64,'Kế hoạch'!$AO$6:$AO$305,1)&gt;0,"CV",""))</f>
      </c>
      <c r="Q64" s="118" t="n"/>
      <c r="R64" s="119" t="n"/>
      <c r="S64" s="39" t="n"/>
      <c r="T64" s="117">
        <f>IF(COUNTIFS('Phản ánh'!$F$6:$F$505,"Block E",'Phản ánh'!$G$6:$G$505,$B64,'Phản ánh'!$V$6:$V$505,"&lt;&gt;Đã xử lý")&gt;0,IF((COUNTIFS('Phản ánh'!$F$6:$F$505,"Block E",'Phản ánh'!$G$6:$G$505,$B64,'Phản ánh'!$V$6:$V$505,"&lt;&gt;Đã xử lý",'Phản ánh'!$J$6:$J$505,"Khẩn cấp")+COUNTIFS('Phản ánh'!$F$6:$F$505,"Block E",'Phản ánh'!$G$6:$G$505,$B64,'Phản ánh'!$V$6:$V$505,"&lt;&gt;Đã xử lý",'Phản ánh'!$J$6:$J$505,"Cao"))&gt;0,-COUNTIFS('Phản ánh'!$F$6:$F$505,"Block E",'Phản ánh'!$G$6:$G$505,$B64,'Phản ánh'!$V$6:$V$505,"&lt;&gt;Đã xử lý"),COUNTIFS('Phản ánh'!$F$6:$F$505,"Block E",'Phản ánh'!$G$6:$G$505,$B64,'Phản ánh'!$V$6:$V$505,"&lt;&gt;Đã xử lý")),IF(COUNTIFS('Kế hoạch'!$E$6:$E$305,"Block E",'Kế hoạch'!$F$6:$F$305,$B64,'Kế hoạch'!$AO$6:$AO$305,1)&gt;0,"CV",""))</f>
      </c>
      <c r="U64" s="118" t="n"/>
      <c r="V64" s="119" t="n"/>
      <c r="W64" s="39" t="n"/>
      <c r="X64" s="117">
        <f>IF(COUNTIFS('Phản ánh'!$F$6:$F$505,"Block G",'Phản ánh'!$G$6:$G$505,$B64,'Phản ánh'!$V$6:$V$505,"&lt;&gt;Đã xử lý")&gt;0,IF((COUNTIFS('Phản ánh'!$F$6:$F$505,"Block G",'Phản ánh'!$G$6:$G$505,$B64,'Phản ánh'!$V$6:$V$505,"&lt;&gt;Đã xử lý",'Phản ánh'!$J$6:$J$505,"Khẩn cấp")+COUNTIFS('Phản ánh'!$F$6:$F$505,"Block G",'Phản ánh'!$G$6:$G$505,$B64,'Phản ánh'!$V$6:$V$505,"&lt;&gt;Đã xử lý",'Phản ánh'!$J$6:$J$505,"Cao"))&gt;0,-COUNTIFS('Phản ánh'!$F$6:$F$505,"Block G",'Phản ánh'!$G$6:$G$505,$B64,'Phản ánh'!$V$6:$V$505,"&lt;&gt;Đã xử lý"),COUNTIFS('Phản ánh'!$F$6:$F$505,"Block G",'Phản ánh'!$G$6:$G$505,$B64,'Phản ánh'!$V$6:$V$505,"&lt;&gt;Đã xử lý")),IF(COUNTIFS('Kế hoạch'!$E$6:$E$305,"Block G",'Kế hoạch'!$F$6:$F$305,$B64,'Kế hoạch'!$AO$6:$AO$305,1)&gt;0,"CV",""))</f>
      </c>
      <c r="Y64" s="118" t="n"/>
      <c r="Z64" s="119" t="n"/>
      <c r="AA64" s="39" t="n"/>
      <c r="AB64" s="124" t="inlineStr">
        <is>
          <t>Block B</t>
        </is>
      </c>
      <c r="AC64" s="125" t="n"/>
      <c r="AD64" s="125" t="n"/>
      <c r="AE64" s="125" t="n"/>
      <c r="AF64" s="125" t="n"/>
      <c r="AG64" s="126">
        <f>COUNTIFS('Phản ánh'!$F$6:$F$505,$AB64,'Phản ánh'!$V$6:$V$505,"&lt;&gt;Đã xử lý")</f>
      </c>
      <c r="AH64" s="125" t="n"/>
      <c r="AI64" s="126">
        <f>COUNTIFS('Kế hoạch'!$E$6:$E$305,$AB64,'Kế hoạch'!$AO$6:$AO$305,1,'Kế hoạch'!$AR$6:$AR$305,0)</f>
      </c>
      <c r="AJ64" s="125" t="n"/>
      <c r="AK64" s="126">
        <f>COUNTIFS('Phản ánh'!$F$6:$F$505,$AB64,'Phản ánh'!$Y$6:$Y$505,"Quá hạn")+COUNTIFS('Kế hoạch'!$E$6:$E$305,$AB64,'Kế hoạch'!$AD$6:$AD$305,"Quá hạn")</f>
      </c>
      <c r="AL64" s="125" t="n"/>
      <c r="AM64" s="127">
        <f>IF(AK64&gt;0,"Cần xử lý",IF(AG64+AI64&gt;0,"Theo dõi","Ổn định"))</f>
      </c>
      <c r="AN64" s="125" t="n"/>
      <c r="AO64" s="125" t="n"/>
      <c r="AP64" s="39" t="n"/>
    </row>
    <row r="65" ht="13.5" customHeight="1">
      <c r="A65" s="39" t="n"/>
      <c r="B65" s="116" t="n">
        <v>21</v>
      </c>
      <c r="D65" s="117">
        <f>IF(COUNTIFS('Phản ánh'!$F$6:$F$505,"Block A",'Phản ánh'!$G$6:$G$505,$B65,'Phản ánh'!$V$6:$V$505,"&lt;&gt;Đã xử lý")&gt;0,IF((COUNTIFS('Phản ánh'!$F$6:$F$505,"Block A",'Phản ánh'!$G$6:$G$505,$B65,'Phản ánh'!$V$6:$V$505,"&lt;&gt;Đã xử lý",'Phản ánh'!$J$6:$J$505,"Khẩn cấp")+COUNTIFS('Phản ánh'!$F$6:$F$505,"Block A",'Phản ánh'!$G$6:$G$505,$B65,'Phản ánh'!$V$6:$V$505,"&lt;&gt;Đã xử lý",'Phản ánh'!$J$6:$J$505,"Cao"))&gt;0,-COUNTIFS('Phản ánh'!$F$6:$F$505,"Block A",'Phản ánh'!$G$6:$G$505,$B65,'Phản ánh'!$V$6:$V$505,"&lt;&gt;Đã xử lý"),COUNTIFS('Phản ánh'!$F$6:$F$505,"Block A",'Phản ánh'!$G$6:$G$505,$B65,'Phản ánh'!$V$6:$V$505,"&lt;&gt;Đã xử lý")),IF(COUNTIFS('Kế hoạch'!$E$6:$E$305,"Block A",'Kế hoạch'!$F$6:$F$305,$B65,'Kế hoạch'!$AO$6:$AO$305,1)&gt;0,"CV",""))</f>
      </c>
      <c r="E65" s="118" t="n"/>
      <c r="F65" s="119" t="n"/>
      <c r="G65" s="39" t="n"/>
      <c r="H65" s="117">
        <f>IF(COUNTIFS('Phản ánh'!$F$6:$F$505,"Block B",'Phản ánh'!$G$6:$G$505,$B65,'Phản ánh'!$V$6:$V$505,"&lt;&gt;Đã xử lý")&gt;0,IF((COUNTIFS('Phản ánh'!$F$6:$F$505,"Block B",'Phản ánh'!$G$6:$G$505,$B65,'Phản ánh'!$V$6:$V$505,"&lt;&gt;Đã xử lý",'Phản ánh'!$J$6:$J$505,"Khẩn cấp")+COUNTIFS('Phản ánh'!$F$6:$F$505,"Block B",'Phản ánh'!$G$6:$G$505,$B65,'Phản ánh'!$V$6:$V$505,"&lt;&gt;Đã xử lý",'Phản ánh'!$J$6:$J$505,"Cao"))&gt;0,-COUNTIFS('Phản ánh'!$F$6:$F$505,"Block B",'Phản ánh'!$G$6:$G$505,$B65,'Phản ánh'!$V$6:$V$505,"&lt;&gt;Đã xử lý"),COUNTIFS('Phản ánh'!$F$6:$F$505,"Block B",'Phản ánh'!$G$6:$G$505,$B65,'Phản ánh'!$V$6:$V$505,"&lt;&gt;Đã xử lý")),IF(COUNTIFS('Kế hoạch'!$E$6:$E$305,"Block B",'Kế hoạch'!$F$6:$F$305,$B65,'Kế hoạch'!$AO$6:$AO$305,1)&gt;0,"CV",""))</f>
      </c>
      <c r="I65" s="118" t="n"/>
      <c r="J65" s="119" t="n"/>
      <c r="K65" s="39" t="n"/>
      <c r="L65" s="117">
        <f>IF(COUNTIFS('Phản ánh'!$F$6:$F$505,"Block C",'Phản ánh'!$G$6:$G$505,$B65,'Phản ánh'!$V$6:$V$505,"&lt;&gt;Đã xử lý")&gt;0,IF((COUNTIFS('Phản ánh'!$F$6:$F$505,"Block C",'Phản ánh'!$G$6:$G$505,$B65,'Phản ánh'!$V$6:$V$505,"&lt;&gt;Đã xử lý",'Phản ánh'!$J$6:$J$505,"Khẩn cấp")+COUNTIFS('Phản ánh'!$F$6:$F$505,"Block C",'Phản ánh'!$G$6:$G$505,$B65,'Phản ánh'!$V$6:$V$505,"&lt;&gt;Đã xử lý",'Phản ánh'!$J$6:$J$505,"Cao"))&gt;0,-COUNTIFS('Phản ánh'!$F$6:$F$505,"Block C",'Phản ánh'!$G$6:$G$505,$B65,'Phản ánh'!$V$6:$V$505,"&lt;&gt;Đã xử lý"),COUNTIFS('Phản ánh'!$F$6:$F$505,"Block C",'Phản ánh'!$G$6:$G$505,$B65,'Phản ánh'!$V$6:$V$505,"&lt;&gt;Đã xử lý")),IF(COUNTIFS('Kế hoạch'!$E$6:$E$305,"Block C",'Kế hoạch'!$F$6:$F$305,$B65,'Kế hoạch'!$AO$6:$AO$305,1)&gt;0,"CV",""))</f>
      </c>
      <c r="M65" s="118" t="n"/>
      <c r="N65" s="119" t="n"/>
      <c r="O65" s="39" t="n"/>
      <c r="P65" s="117">
        <f>IF(COUNTIFS('Phản ánh'!$F$6:$F$505,"Block D",'Phản ánh'!$G$6:$G$505,$B65,'Phản ánh'!$V$6:$V$505,"&lt;&gt;Đã xử lý")&gt;0,IF((COUNTIFS('Phản ánh'!$F$6:$F$505,"Block D",'Phản ánh'!$G$6:$G$505,$B65,'Phản ánh'!$V$6:$V$505,"&lt;&gt;Đã xử lý",'Phản ánh'!$J$6:$J$505,"Khẩn cấp")+COUNTIFS('Phản ánh'!$F$6:$F$505,"Block D",'Phản ánh'!$G$6:$G$505,$B65,'Phản ánh'!$V$6:$V$505,"&lt;&gt;Đã xử lý",'Phản ánh'!$J$6:$J$505,"Cao"))&gt;0,-COUNTIFS('Phản ánh'!$F$6:$F$505,"Block D",'Phản ánh'!$G$6:$G$505,$B65,'Phản ánh'!$V$6:$V$505,"&lt;&gt;Đã xử lý"),COUNTIFS('Phản ánh'!$F$6:$F$505,"Block D",'Phản ánh'!$G$6:$G$505,$B65,'Phản ánh'!$V$6:$V$505,"&lt;&gt;Đã xử lý")),IF(COUNTIFS('Kế hoạch'!$E$6:$E$305,"Block D",'Kế hoạch'!$F$6:$F$305,$B65,'Kế hoạch'!$AO$6:$AO$305,1)&gt;0,"CV",""))</f>
      </c>
      <c r="Q65" s="118" t="n"/>
      <c r="R65" s="119" t="n"/>
      <c r="S65" s="39" t="n"/>
      <c r="T65" s="117">
        <f>IF(COUNTIFS('Phản ánh'!$F$6:$F$505,"Block E",'Phản ánh'!$G$6:$G$505,$B65,'Phản ánh'!$V$6:$V$505,"&lt;&gt;Đã xử lý")&gt;0,IF((COUNTIFS('Phản ánh'!$F$6:$F$505,"Block E",'Phản ánh'!$G$6:$G$505,$B65,'Phản ánh'!$V$6:$V$505,"&lt;&gt;Đã xử lý",'Phản ánh'!$J$6:$J$505,"Khẩn cấp")+COUNTIFS('Phản ánh'!$F$6:$F$505,"Block E",'Phản ánh'!$G$6:$G$505,$B65,'Phản ánh'!$V$6:$V$505,"&lt;&gt;Đã xử lý",'Phản ánh'!$J$6:$J$505,"Cao"))&gt;0,-COUNTIFS('Phản ánh'!$F$6:$F$505,"Block E",'Phản ánh'!$G$6:$G$505,$B65,'Phản ánh'!$V$6:$V$505,"&lt;&gt;Đã xử lý"),COUNTIFS('Phản ánh'!$F$6:$F$505,"Block E",'Phản ánh'!$G$6:$G$505,$B65,'Phản ánh'!$V$6:$V$505,"&lt;&gt;Đã xử lý")),IF(COUNTIFS('Kế hoạch'!$E$6:$E$305,"Block E",'Kế hoạch'!$F$6:$F$305,$B65,'Kế hoạch'!$AO$6:$AO$305,1)&gt;0,"CV",""))</f>
      </c>
      <c r="U65" s="118" t="n"/>
      <c r="V65" s="119" t="n"/>
      <c r="W65" s="39" t="n"/>
      <c r="X65" s="117">
        <f>IF(COUNTIFS('Phản ánh'!$F$6:$F$505,"Block G",'Phản ánh'!$G$6:$G$505,$B65,'Phản ánh'!$V$6:$V$505,"&lt;&gt;Đã xử lý")&gt;0,IF((COUNTIFS('Phản ánh'!$F$6:$F$505,"Block G",'Phản ánh'!$G$6:$G$505,$B65,'Phản ánh'!$V$6:$V$505,"&lt;&gt;Đã xử lý",'Phản ánh'!$J$6:$J$505,"Khẩn cấp")+COUNTIFS('Phản ánh'!$F$6:$F$505,"Block G",'Phản ánh'!$G$6:$G$505,$B65,'Phản ánh'!$V$6:$V$505,"&lt;&gt;Đã xử lý",'Phản ánh'!$J$6:$J$505,"Cao"))&gt;0,-COUNTIFS('Phản ánh'!$F$6:$F$505,"Block G",'Phản ánh'!$G$6:$G$505,$B65,'Phản ánh'!$V$6:$V$505,"&lt;&gt;Đã xử lý"),COUNTIFS('Phản ánh'!$F$6:$F$505,"Block G",'Phản ánh'!$G$6:$G$505,$B65,'Phản ánh'!$V$6:$V$505,"&lt;&gt;Đã xử lý")),IF(COUNTIFS('Kế hoạch'!$E$6:$E$305,"Block G",'Kế hoạch'!$F$6:$F$305,$B65,'Kế hoạch'!$AO$6:$AO$305,1)&gt;0,"CV",""))</f>
      </c>
      <c r="Y65" s="118" t="n"/>
      <c r="Z65" s="119" t="n"/>
      <c r="AA65" s="39" t="n"/>
      <c r="AB65" s="120" t="inlineStr">
        <is>
          <t>Block C</t>
        </is>
      </c>
      <c r="AC65" s="121" t="n"/>
      <c r="AD65" s="121" t="n"/>
      <c r="AE65" s="121" t="n"/>
      <c r="AF65" s="121" t="n"/>
      <c r="AG65" s="122">
        <f>COUNTIFS('Phản ánh'!$F$6:$F$505,$AB65,'Phản ánh'!$V$6:$V$505,"&lt;&gt;Đã xử lý")</f>
      </c>
      <c r="AH65" s="121" t="n"/>
      <c r="AI65" s="122">
        <f>COUNTIFS('Kế hoạch'!$E$6:$E$305,$AB65,'Kế hoạch'!$AO$6:$AO$305,1,'Kế hoạch'!$AR$6:$AR$305,0)</f>
      </c>
      <c r="AJ65" s="121" t="n"/>
      <c r="AK65" s="122">
        <f>COUNTIFS('Phản ánh'!$F$6:$F$505,$AB65,'Phản ánh'!$Y$6:$Y$505,"Quá hạn")+COUNTIFS('Kế hoạch'!$E$6:$E$305,$AB65,'Kế hoạch'!$AD$6:$AD$305,"Quá hạn")</f>
      </c>
      <c r="AL65" s="121" t="n"/>
      <c r="AM65" s="123">
        <f>IF(AK65&gt;0,"Cần xử lý",IF(AG65+AI65&gt;0,"Theo dõi","Ổn định"))</f>
      </c>
      <c r="AN65" s="121" t="n"/>
      <c r="AO65" s="121" t="n"/>
      <c r="AP65" s="39" t="n"/>
    </row>
    <row r="66" ht="13.5" customHeight="1">
      <c r="A66" s="39" t="n"/>
      <c r="B66" s="116" t="n">
        <v>20</v>
      </c>
      <c r="D66" s="117">
        <f>IF(COUNTIFS('Phản ánh'!$F$6:$F$505,"Block A",'Phản ánh'!$G$6:$G$505,$B66,'Phản ánh'!$V$6:$V$505,"&lt;&gt;Đã xử lý")&gt;0,IF((COUNTIFS('Phản ánh'!$F$6:$F$505,"Block A",'Phản ánh'!$G$6:$G$505,$B66,'Phản ánh'!$V$6:$V$505,"&lt;&gt;Đã xử lý",'Phản ánh'!$J$6:$J$505,"Khẩn cấp")+COUNTIFS('Phản ánh'!$F$6:$F$505,"Block A",'Phản ánh'!$G$6:$G$505,$B66,'Phản ánh'!$V$6:$V$505,"&lt;&gt;Đã xử lý",'Phản ánh'!$J$6:$J$505,"Cao"))&gt;0,-COUNTIFS('Phản ánh'!$F$6:$F$505,"Block A",'Phản ánh'!$G$6:$G$505,$B66,'Phản ánh'!$V$6:$V$505,"&lt;&gt;Đã xử lý"),COUNTIFS('Phản ánh'!$F$6:$F$505,"Block A",'Phản ánh'!$G$6:$G$505,$B66,'Phản ánh'!$V$6:$V$505,"&lt;&gt;Đã xử lý")),IF(COUNTIFS('Kế hoạch'!$E$6:$E$305,"Block A",'Kế hoạch'!$F$6:$F$305,$B66,'Kế hoạch'!$AO$6:$AO$305,1)&gt;0,"CV",""))</f>
      </c>
      <c r="E66" s="118" t="n"/>
      <c r="F66" s="119" t="n"/>
      <c r="G66" s="39" t="n"/>
      <c r="H66" s="117">
        <f>IF(COUNTIFS('Phản ánh'!$F$6:$F$505,"Block B",'Phản ánh'!$G$6:$G$505,$B66,'Phản ánh'!$V$6:$V$505,"&lt;&gt;Đã xử lý")&gt;0,IF((COUNTIFS('Phản ánh'!$F$6:$F$505,"Block B",'Phản ánh'!$G$6:$G$505,$B66,'Phản ánh'!$V$6:$V$505,"&lt;&gt;Đã xử lý",'Phản ánh'!$J$6:$J$505,"Khẩn cấp")+COUNTIFS('Phản ánh'!$F$6:$F$505,"Block B",'Phản ánh'!$G$6:$G$505,$B66,'Phản ánh'!$V$6:$V$505,"&lt;&gt;Đã xử lý",'Phản ánh'!$J$6:$J$505,"Cao"))&gt;0,-COUNTIFS('Phản ánh'!$F$6:$F$505,"Block B",'Phản ánh'!$G$6:$G$505,$B66,'Phản ánh'!$V$6:$V$505,"&lt;&gt;Đã xử lý"),COUNTIFS('Phản ánh'!$F$6:$F$505,"Block B",'Phản ánh'!$G$6:$G$505,$B66,'Phản ánh'!$V$6:$V$505,"&lt;&gt;Đã xử lý")),IF(COUNTIFS('Kế hoạch'!$E$6:$E$305,"Block B",'Kế hoạch'!$F$6:$F$305,$B66,'Kế hoạch'!$AO$6:$AO$305,1)&gt;0,"CV",""))</f>
      </c>
      <c r="I66" s="118" t="n"/>
      <c r="J66" s="119" t="n"/>
      <c r="K66" s="39" t="n"/>
      <c r="L66" s="117">
        <f>IF(COUNTIFS('Phản ánh'!$F$6:$F$505,"Block C",'Phản ánh'!$G$6:$G$505,$B66,'Phản ánh'!$V$6:$V$505,"&lt;&gt;Đã xử lý")&gt;0,IF((COUNTIFS('Phản ánh'!$F$6:$F$505,"Block C",'Phản ánh'!$G$6:$G$505,$B66,'Phản ánh'!$V$6:$V$505,"&lt;&gt;Đã xử lý",'Phản ánh'!$J$6:$J$505,"Khẩn cấp")+COUNTIFS('Phản ánh'!$F$6:$F$505,"Block C",'Phản ánh'!$G$6:$G$505,$B66,'Phản ánh'!$V$6:$V$505,"&lt;&gt;Đã xử lý",'Phản ánh'!$J$6:$J$505,"Cao"))&gt;0,-COUNTIFS('Phản ánh'!$F$6:$F$505,"Block C",'Phản ánh'!$G$6:$G$505,$B66,'Phản ánh'!$V$6:$V$505,"&lt;&gt;Đã xử lý"),COUNTIFS('Phản ánh'!$F$6:$F$505,"Block C",'Phản ánh'!$G$6:$G$505,$B66,'Phản ánh'!$V$6:$V$505,"&lt;&gt;Đã xử lý")),IF(COUNTIFS('Kế hoạch'!$E$6:$E$305,"Block C",'Kế hoạch'!$F$6:$F$305,$B66,'Kế hoạch'!$AO$6:$AO$305,1)&gt;0,"CV",""))</f>
      </c>
      <c r="M66" s="118" t="n"/>
      <c r="N66" s="119" t="n"/>
      <c r="O66" s="39" t="n"/>
      <c r="P66" s="117">
        <f>IF(COUNTIFS('Phản ánh'!$F$6:$F$505,"Block D",'Phản ánh'!$G$6:$G$505,$B66,'Phản ánh'!$V$6:$V$505,"&lt;&gt;Đã xử lý")&gt;0,IF((COUNTIFS('Phản ánh'!$F$6:$F$505,"Block D",'Phản ánh'!$G$6:$G$505,$B66,'Phản ánh'!$V$6:$V$505,"&lt;&gt;Đã xử lý",'Phản ánh'!$J$6:$J$505,"Khẩn cấp")+COUNTIFS('Phản ánh'!$F$6:$F$505,"Block D",'Phản ánh'!$G$6:$G$505,$B66,'Phản ánh'!$V$6:$V$505,"&lt;&gt;Đã xử lý",'Phản ánh'!$J$6:$J$505,"Cao"))&gt;0,-COUNTIFS('Phản ánh'!$F$6:$F$505,"Block D",'Phản ánh'!$G$6:$G$505,$B66,'Phản ánh'!$V$6:$V$505,"&lt;&gt;Đã xử lý"),COUNTIFS('Phản ánh'!$F$6:$F$505,"Block D",'Phản ánh'!$G$6:$G$505,$B66,'Phản ánh'!$V$6:$V$505,"&lt;&gt;Đã xử lý")),IF(COUNTIFS('Kế hoạch'!$E$6:$E$305,"Block D",'Kế hoạch'!$F$6:$F$305,$B66,'Kế hoạch'!$AO$6:$AO$305,1)&gt;0,"CV",""))</f>
      </c>
      <c r="Q66" s="118" t="n"/>
      <c r="R66" s="119" t="n"/>
      <c r="S66" s="39" t="n"/>
      <c r="T66" s="117">
        <f>IF(COUNTIFS('Phản ánh'!$F$6:$F$505,"Block E",'Phản ánh'!$G$6:$G$505,$B66,'Phản ánh'!$V$6:$V$505,"&lt;&gt;Đã xử lý")&gt;0,IF((COUNTIFS('Phản ánh'!$F$6:$F$505,"Block E",'Phản ánh'!$G$6:$G$505,$B66,'Phản ánh'!$V$6:$V$505,"&lt;&gt;Đã xử lý",'Phản ánh'!$J$6:$J$505,"Khẩn cấp")+COUNTIFS('Phản ánh'!$F$6:$F$505,"Block E",'Phản ánh'!$G$6:$G$505,$B66,'Phản ánh'!$V$6:$V$505,"&lt;&gt;Đã xử lý",'Phản ánh'!$J$6:$J$505,"Cao"))&gt;0,-COUNTIFS('Phản ánh'!$F$6:$F$505,"Block E",'Phản ánh'!$G$6:$G$505,$B66,'Phản ánh'!$V$6:$V$505,"&lt;&gt;Đã xử lý"),COUNTIFS('Phản ánh'!$F$6:$F$505,"Block E",'Phản ánh'!$G$6:$G$505,$B66,'Phản ánh'!$V$6:$V$505,"&lt;&gt;Đã xử lý")),IF(COUNTIFS('Kế hoạch'!$E$6:$E$305,"Block E",'Kế hoạch'!$F$6:$F$305,$B66,'Kế hoạch'!$AO$6:$AO$305,1)&gt;0,"CV",""))</f>
      </c>
      <c r="U66" s="118" t="n"/>
      <c r="V66" s="119" t="n"/>
      <c r="W66" s="39" t="n"/>
      <c r="X66" s="117">
        <f>IF(COUNTIFS('Phản ánh'!$F$6:$F$505,"Block G",'Phản ánh'!$G$6:$G$505,$B66,'Phản ánh'!$V$6:$V$505,"&lt;&gt;Đã xử lý")&gt;0,IF((COUNTIFS('Phản ánh'!$F$6:$F$505,"Block G",'Phản ánh'!$G$6:$G$505,$B66,'Phản ánh'!$V$6:$V$505,"&lt;&gt;Đã xử lý",'Phản ánh'!$J$6:$J$505,"Khẩn cấp")+COUNTIFS('Phản ánh'!$F$6:$F$505,"Block G",'Phản ánh'!$G$6:$G$505,$B66,'Phản ánh'!$V$6:$V$505,"&lt;&gt;Đã xử lý",'Phản ánh'!$J$6:$J$505,"Cao"))&gt;0,-COUNTIFS('Phản ánh'!$F$6:$F$505,"Block G",'Phản ánh'!$G$6:$G$505,$B66,'Phản ánh'!$V$6:$V$505,"&lt;&gt;Đã xử lý"),COUNTIFS('Phản ánh'!$F$6:$F$505,"Block G",'Phản ánh'!$G$6:$G$505,$B66,'Phản ánh'!$V$6:$V$505,"&lt;&gt;Đã xử lý")),IF(COUNTIFS('Kế hoạch'!$E$6:$E$305,"Block G",'Kế hoạch'!$F$6:$F$305,$B66,'Kế hoạch'!$AO$6:$AO$305,1)&gt;0,"CV",""))</f>
      </c>
      <c r="Y66" s="118" t="n"/>
      <c r="Z66" s="119" t="n"/>
      <c r="AA66" s="39" t="n"/>
      <c r="AB66" s="124" t="inlineStr">
        <is>
          <t>Block D</t>
        </is>
      </c>
      <c r="AC66" s="125" t="n"/>
      <c r="AD66" s="125" t="n"/>
      <c r="AE66" s="125" t="n"/>
      <c r="AF66" s="125" t="n"/>
      <c r="AG66" s="126">
        <f>COUNTIFS('Phản ánh'!$F$6:$F$505,$AB66,'Phản ánh'!$V$6:$V$505,"&lt;&gt;Đã xử lý")</f>
      </c>
      <c r="AH66" s="125" t="n"/>
      <c r="AI66" s="126">
        <f>COUNTIFS('Kế hoạch'!$E$6:$E$305,$AB66,'Kế hoạch'!$AO$6:$AO$305,1,'Kế hoạch'!$AR$6:$AR$305,0)</f>
      </c>
      <c r="AJ66" s="125" t="n"/>
      <c r="AK66" s="126">
        <f>COUNTIFS('Phản ánh'!$F$6:$F$505,$AB66,'Phản ánh'!$Y$6:$Y$505,"Quá hạn")+COUNTIFS('Kế hoạch'!$E$6:$E$305,$AB66,'Kế hoạch'!$AD$6:$AD$305,"Quá hạn")</f>
      </c>
      <c r="AL66" s="125" t="n"/>
      <c r="AM66" s="127">
        <f>IF(AK66&gt;0,"Cần xử lý",IF(AG66+AI66&gt;0,"Theo dõi","Ổn định"))</f>
      </c>
      <c r="AN66" s="125" t="n"/>
      <c r="AO66" s="125" t="n"/>
      <c r="AP66" s="39" t="n"/>
    </row>
    <row r="67" ht="13.5" customHeight="1">
      <c r="A67" s="39" t="n"/>
      <c r="B67" s="116" t="n">
        <v>19</v>
      </c>
      <c r="D67" s="117">
        <f>IF(COUNTIFS('Phản ánh'!$F$6:$F$505,"Block A",'Phản ánh'!$G$6:$G$505,$B67,'Phản ánh'!$V$6:$V$505,"&lt;&gt;Đã xử lý")&gt;0,IF((COUNTIFS('Phản ánh'!$F$6:$F$505,"Block A",'Phản ánh'!$G$6:$G$505,$B67,'Phản ánh'!$V$6:$V$505,"&lt;&gt;Đã xử lý",'Phản ánh'!$J$6:$J$505,"Khẩn cấp")+COUNTIFS('Phản ánh'!$F$6:$F$505,"Block A",'Phản ánh'!$G$6:$G$505,$B67,'Phản ánh'!$V$6:$V$505,"&lt;&gt;Đã xử lý",'Phản ánh'!$J$6:$J$505,"Cao"))&gt;0,-COUNTIFS('Phản ánh'!$F$6:$F$505,"Block A",'Phản ánh'!$G$6:$G$505,$B67,'Phản ánh'!$V$6:$V$505,"&lt;&gt;Đã xử lý"),COUNTIFS('Phản ánh'!$F$6:$F$505,"Block A",'Phản ánh'!$G$6:$G$505,$B67,'Phản ánh'!$V$6:$V$505,"&lt;&gt;Đã xử lý")),IF(COUNTIFS('Kế hoạch'!$E$6:$E$305,"Block A",'Kế hoạch'!$F$6:$F$305,$B67,'Kế hoạch'!$AO$6:$AO$305,1)&gt;0,"CV",""))</f>
      </c>
      <c r="E67" s="118" t="n"/>
      <c r="F67" s="119" t="n"/>
      <c r="G67" s="39" t="n"/>
      <c r="H67" s="117">
        <f>IF(COUNTIFS('Phản ánh'!$F$6:$F$505,"Block B",'Phản ánh'!$G$6:$G$505,$B67,'Phản ánh'!$V$6:$V$505,"&lt;&gt;Đã xử lý")&gt;0,IF((COUNTIFS('Phản ánh'!$F$6:$F$505,"Block B",'Phản ánh'!$G$6:$G$505,$B67,'Phản ánh'!$V$6:$V$505,"&lt;&gt;Đã xử lý",'Phản ánh'!$J$6:$J$505,"Khẩn cấp")+COUNTIFS('Phản ánh'!$F$6:$F$505,"Block B",'Phản ánh'!$G$6:$G$505,$B67,'Phản ánh'!$V$6:$V$505,"&lt;&gt;Đã xử lý",'Phản ánh'!$J$6:$J$505,"Cao"))&gt;0,-COUNTIFS('Phản ánh'!$F$6:$F$505,"Block B",'Phản ánh'!$G$6:$G$505,$B67,'Phản ánh'!$V$6:$V$505,"&lt;&gt;Đã xử lý"),COUNTIFS('Phản ánh'!$F$6:$F$505,"Block B",'Phản ánh'!$G$6:$G$505,$B67,'Phản ánh'!$V$6:$V$505,"&lt;&gt;Đã xử lý")),IF(COUNTIFS('Kế hoạch'!$E$6:$E$305,"Block B",'Kế hoạch'!$F$6:$F$305,$B67,'Kế hoạch'!$AO$6:$AO$305,1)&gt;0,"CV",""))</f>
      </c>
      <c r="I67" s="118" t="n"/>
      <c r="J67" s="119" t="n"/>
      <c r="K67" s="39" t="n"/>
      <c r="L67" s="117">
        <f>IF(COUNTIFS('Phản ánh'!$F$6:$F$505,"Block C",'Phản ánh'!$G$6:$G$505,$B67,'Phản ánh'!$V$6:$V$505,"&lt;&gt;Đã xử lý")&gt;0,IF((COUNTIFS('Phản ánh'!$F$6:$F$505,"Block C",'Phản ánh'!$G$6:$G$505,$B67,'Phản ánh'!$V$6:$V$505,"&lt;&gt;Đã xử lý",'Phản ánh'!$J$6:$J$505,"Khẩn cấp")+COUNTIFS('Phản ánh'!$F$6:$F$505,"Block C",'Phản ánh'!$G$6:$G$505,$B67,'Phản ánh'!$V$6:$V$505,"&lt;&gt;Đã xử lý",'Phản ánh'!$J$6:$J$505,"Cao"))&gt;0,-COUNTIFS('Phản ánh'!$F$6:$F$505,"Block C",'Phản ánh'!$G$6:$G$505,$B67,'Phản ánh'!$V$6:$V$505,"&lt;&gt;Đã xử lý"),COUNTIFS('Phản ánh'!$F$6:$F$505,"Block C",'Phản ánh'!$G$6:$G$505,$B67,'Phản ánh'!$V$6:$V$505,"&lt;&gt;Đã xử lý")),IF(COUNTIFS('Kế hoạch'!$E$6:$E$305,"Block C",'Kế hoạch'!$F$6:$F$305,$B67,'Kế hoạch'!$AO$6:$AO$305,1)&gt;0,"CV",""))</f>
      </c>
      <c r="M67" s="118" t="n"/>
      <c r="N67" s="119" t="n"/>
      <c r="O67" s="39" t="n"/>
      <c r="P67" s="117">
        <f>IF(COUNTIFS('Phản ánh'!$F$6:$F$505,"Block D",'Phản ánh'!$G$6:$G$505,$B67,'Phản ánh'!$V$6:$V$505,"&lt;&gt;Đã xử lý")&gt;0,IF((COUNTIFS('Phản ánh'!$F$6:$F$505,"Block D",'Phản ánh'!$G$6:$G$505,$B67,'Phản ánh'!$V$6:$V$505,"&lt;&gt;Đã xử lý",'Phản ánh'!$J$6:$J$505,"Khẩn cấp")+COUNTIFS('Phản ánh'!$F$6:$F$505,"Block D",'Phản ánh'!$G$6:$G$505,$B67,'Phản ánh'!$V$6:$V$505,"&lt;&gt;Đã xử lý",'Phản ánh'!$J$6:$J$505,"Cao"))&gt;0,-COUNTIFS('Phản ánh'!$F$6:$F$505,"Block D",'Phản ánh'!$G$6:$G$505,$B67,'Phản ánh'!$V$6:$V$505,"&lt;&gt;Đã xử lý"),COUNTIFS('Phản ánh'!$F$6:$F$505,"Block D",'Phản ánh'!$G$6:$G$505,$B67,'Phản ánh'!$V$6:$V$505,"&lt;&gt;Đã xử lý")),IF(COUNTIFS('Kế hoạch'!$E$6:$E$305,"Block D",'Kế hoạch'!$F$6:$F$305,$B67,'Kế hoạch'!$AO$6:$AO$305,1)&gt;0,"CV",""))</f>
      </c>
      <c r="Q67" s="118" t="n"/>
      <c r="R67" s="119" t="n"/>
      <c r="S67" s="39" t="n"/>
      <c r="T67" s="117">
        <f>IF(COUNTIFS('Phản ánh'!$F$6:$F$505,"Block E",'Phản ánh'!$G$6:$G$505,$B67,'Phản ánh'!$V$6:$V$505,"&lt;&gt;Đã xử lý")&gt;0,IF((COUNTIFS('Phản ánh'!$F$6:$F$505,"Block E",'Phản ánh'!$G$6:$G$505,$B67,'Phản ánh'!$V$6:$V$505,"&lt;&gt;Đã xử lý",'Phản ánh'!$J$6:$J$505,"Khẩn cấp")+COUNTIFS('Phản ánh'!$F$6:$F$505,"Block E",'Phản ánh'!$G$6:$G$505,$B67,'Phản ánh'!$V$6:$V$505,"&lt;&gt;Đã xử lý",'Phản ánh'!$J$6:$J$505,"Cao"))&gt;0,-COUNTIFS('Phản ánh'!$F$6:$F$505,"Block E",'Phản ánh'!$G$6:$G$505,$B67,'Phản ánh'!$V$6:$V$505,"&lt;&gt;Đã xử lý"),COUNTIFS('Phản ánh'!$F$6:$F$505,"Block E",'Phản ánh'!$G$6:$G$505,$B67,'Phản ánh'!$V$6:$V$505,"&lt;&gt;Đã xử lý")),IF(COUNTIFS('Kế hoạch'!$E$6:$E$305,"Block E",'Kế hoạch'!$F$6:$F$305,$B67,'Kế hoạch'!$AO$6:$AO$305,1)&gt;0,"CV",""))</f>
      </c>
      <c r="U67" s="118" t="n"/>
      <c r="V67" s="119" t="n"/>
      <c r="W67" s="39" t="n"/>
      <c r="X67" s="117">
        <f>IF(COUNTIFS('Phản ánh'!$F$6:$F$505,"Block G",'Phản ánh'!$G$6:$G$505,$B67,'Phản ánh'!$V$6:$V$505,"&lt;&gt;Đã xử lý")&gt;0,IF((COUNTIFS('Phản ánh'!$F$6:$F$505,"Block G",'Phản ánh'!$G$6:$G$505,$B67,'Phản ánh'!$V$6:$V$505,"&lt;&gt;Đã xử lý",'Phản ánh'!$J$6:$J$505,"Khẩn cấp")+COUNTIFS('Phản ánh'!$F$6:$F$505,"Block G",'Phản ánh'!$G$6:$G$505,$B67,'Phản ánh'!$V$6:$V$505,"&lt;&gt;Đã xử lý",'Phản ánh'!$J$6:$J$505,"Cao"))&gt;0,-COUNTIFS('Phản ánh'!$F$6:$F$505,"Block G",'Phản ánh'!$G$6:$G$505,$B67,'Phản ánh'!$V$6:$V$505,"&lt;&gt;Đã xử lý"),COUNTIFS('Phản ánh'!$F$6:$F$505,"Block G",'Phản ánh'!$G$6:$G$505,$B67,'Phản ánh'!$V$6:$V$505,"&lt;&gt;Đã xử lý")),IF(COUNTIFS('Kế hoạch'!$E$6:$E$305,"Block G",'Kế hoạch'!$F$6:$F$305,$B67,'Kế hoạch'!$AO$6:$AO$305,1)&gt;0,"CV",""))</f>
      </c>
      <c r="Y67" s="118" t="n"/>
      <c r="Z67" s="119" t="n"/>
      <c r="AA67" s="39" t="n"/>
      <c r="AB67" s="120" t="inlineStr">
        <is>
          <t>Block E</t>
        </is>
      </c>
      <c r="AC67" s="121" t="n"/>
      <c r="AD67" s="121" t="n"/>
      <c r="AE67" s="121" t="n"/>
      <c r="AF67" s="121" t="n"/>
      <c r="AG67" s="122">
        <f>COUNTIFS('Phản ánh'!$F$6:$F$505,$AB67,'Phản ánh'!$V$6:$V$505,"&lt;&gt;Đã xử lý")</f>
      </c>
      <c r="AH67" s="121" t="n"/>
      <c r="AI67" s="122">
        <f>COUNTIFS('Kế hoạch'!$E$6:$E$305,$AB67,'Kế hoạch'!$AO$6:$AO$305,1,'Kế hoạch'!$AR$6:$AR$305,0)</f>
      </c>
      <c r="AJ67" s="121" t="n"/>
      <c r="AK67" s="122">
        <f>COUNTIFS('Phản ánh'!$F$6:$F$505,$AB67,'Phản ánh'!$Y$6:$Y$505,"Quá hạn")+COUNTIFS('Kế hoạch'!$E$6:$E$305,$AB67,'Kế hoạch'!$AD$6:$AD$305,"Quá hạn")</f>
      </c>
      <c r="AL67" s="121" t="n"/>
      <c r="AM67" s="123">
        <f>IF(AK67&gt;0,"Cần xử lý",IF(AG67+AI67&gt;0,"Theo dõi","Ổn định"))</f>
      </c>
      <c r="AN67" s="121" t="n"/>
      <c r="AO67" s="121" t="n"/>
      <c r="AP67" s="39" t="n"/>
    </row>
    <row r="68" ht="13.5" customHeight="1">
      <c r="A68" s="39" t="n"/>
      <c r="B68" s="116" t="n">
        <v>18</v>
      </c>
      <c r="D68" s="117">
        <f>IF(COUNTIFS('Phản ánh'!$F$6:$F$505,"Block A",'Phản ánh'!$G$6:$G$505,$B68,'Phản ánh'!$V$6:$V$505,"&lt;&gt;Đã xử lý")&gt;0,IF((COUNTIFS('Phản ánh'!$F$6:$F$505,"Block A",'Phản ánh'!$G$6:$G$505,$B68,'Phản ánh'!$V$6:$V$505,"&lt;&gt;Đã xử lý",'Phản ánh'!$J$6:$J$505,"Khẩn cấp")+COUNTIFS('Phản ánh'!$F$6:$F$505,"Block A",'Phản ánh'!$G$6:$G$505,$B68,'Phản ánh'!$V$6:$V$505,"&lt;&gt;Đã xử lý",'Phản ánh'!$J$6:$J$505,"Cao"))&gt;0,-COUNTIFS('Phản ánh'!$F$6:$F$505,"Block A",'Phản ánh'!$G$6:$G$505,$B68,'Phản ánh'!$V$6:$V$505,"&lt;&gt;Đã xử lý"),COUNTIFS('Phản ánh'!$F$6:$F$505,"Block A",'Phản ánh'!$G$6:$G$505,$B68,'Phản ánh'!$V$6:$V$505,"&lt;&gt;Đã xử lý")),IF(COUNTIFS('Kế hoạch'!$E$6:$E$305,"Block A",'Kế hoạch'!$F$6:$F$305,$B68,'Kế hoạch'!$AO$6:$AO$305,1)&gt;0,"CV",""))</f>
      </c>
      <c r="E68" s="118" t="n"/>
      <c r="F68" s="119" t="n"/>
      <c r="G68" s="39" t="n"/>
      <c r="H68" s="117">
        <f>IF(COUNTIFS('Phản ánh'!$F$6:$F$505,"Block B",'Phản ánh'!$G$6:$G$505,$B68,'Phản ánh'!$V$6:$V$505,"&lt;&gt;Đã xử lý")&gt;0,IF((COUNTIFS('Phản ánh'!$F$6:$F$505,"Block B",'Phản ánh'!$G$6:$G$505,$B68,'Phản ánh'!$V$6:$V$505,"&lt;&gt;Đã xử lý",'Phản ánh'!$J$6:$J$505,"Khẩn cấp")+COUNTIFS('Phản ánh'!$F$6:$F$505,"Block B",'Phản ánh'!$G$6:$G$505,$B68,'Phản ánh'!$V$6:$V$505,"&lt;&gt;Đã xử lý",'Phản ánh'!$J$6:$J$505,"Cao"))&gt;0,-COUNTIFS('Phản ánh'!$F$6:$F$505,"Block B",'Phản ánh'!$G$6:$G$505,$B68,'Phản ánh'!$V$6:$V$505,"&lt;&gt;Đã xử lý"),COUNTIFS('Phản ánh'!$F$6:$F$505,"Block B",'Phản ánh'!$G$6:$G$505,$B68,'Phản ánh'!$V$6:$V$505,"&lt;&gt;Đã xử lý")),IF(COUNTIFS('Kế hoạch'!$E$6:$E$305,"Block B",'Kế hoạch'!$F$6:$F$305,$B68,'Kế hoạch'!$AO$6:$AO$305,1)&gt;0,"CV",""))</f>
      </c>
      <c r="I68" s="118" t="n"/>
      <c r="J68" s="119" t="n"/>
      <c r="K68" s="39" t="n"/>
      <c r="L68" s="117">
        <f>IF(COUNTIFS('Phản ánh'!$F$6:$F$505,"Block C",'Phản ánh'!$G$6:$G$505,$B68,'Phản ánh'!$V$6:$V$505,"&lt;&gt;Đã xử lý")&gt;0,IF((COUNTIFS('Phản ánh'!$F$6:$F$505,"Block C",'Phản ánh'!$G$6:$G$505,$B68,'Phản ánh'!$V$6:$V$505,"&lt;&gt;Đã xử lý",'Phản ánh'!$J$6:$J$505,"Khẩn cấp")+COUNTIFS('Phản ánh'!$F$6:$F$505,"Block C",'Phản ánh'!$G$6:$G$505,$B68,'Phản ánh'!$V$6:$V$505,"&lt;&gt;Đã xử lý",'Phản ánh'!$J$6:$J$505,"Cao"))&gt;0,-COUNTIFS('Phản ánh'!$F$6:$F$505,"Block C",'Phản ánh'!$G$6:$G$505,$B68,'Phản ánh'!$V$6:$V$505,"&lt;&gt;Đã xử lý"),COUNTIFS('Phản ánh'!$F$6:$F$505,"Block C",'Phản ánh'!$G$6:$G$505,$B68,'Phản ánh'!$V$6:$V$505,"&lt;&gt;Đã xử lý")),IF(COUNTIFS('Kế hoạch'!$E$6:$E$305,"Block C",'Kế hoạch'!$F$6:$F$305,$B68,'Kế hoạch'!$AO$6:$AO$305,1)&gt;0,"CV",""))</f>
      </c>
      <c r="M68" s="118" t="n"/>
      <c r="N68" s="119" t="n"/>
      <c r="O68" s="39" t="n"/>
      <c r="P68" s="117">
        <f>IF(COUNTIFS('Phản ánh'!$F$6:$F$505,"Block D",'Phản ánh'!$G$6:$G$505,$B68,'Phản ánh'!$V$6:$V$505,"&lt;&gt;Đã xử lý")&gt;0,IF((COUNTIFS('Phản ánh'!$F$6:$F$505,"Block D",'Phản ánh'!$G$6:$G$505,$B68,'Phản ánh'!$V$6:$V$505,"&lt;&gt;Đã xử lý",'Phản ánh'!$J$6:$J$505,"Khẩn cấp")+COUNTIFS('Phản ánh'!$F$6:$F$505,"Block D",'Phản ánh'!$G$6:$G$505,$B68,'Phản ánh'!$V$6:$V$505,"&lt;&gt;Đã xử lý",'Phản ánh'!$J$6:$J$505,"Cao"))&gt;0,-COUNTIFS('Phản ánh'!$F$6:$F$505,"Block D",'Phản ánh'!$G$6:$G$505,$B68,'Phản ánh'!$V$6:$V$505,"&lt;&gt;Đã xử lý"),COUNTIFS('Phản ánh'!$F$6:$F$505,"Block D",'Phản ánh'!$G$6:$G$505,$B68,'Phản ánh'!$V$6:$V$505,"&lt;&gt;Đã xử lý")),IF(COUNTIFS('Kế hoạch'!$E$6:$E$305,"Block D",'Kế hoạch'!$F$6:$F$305,$B68,'Kế hoạch'!$AO$6:$AO$305,1)&gt;0,"CV",""))</f>
      </c>
      <c r="Q68" s="118" t="n"/>
      <c r="R68" s="119" t="n"/>
      <c r="S68" s="39" t="n"/>
      <c r="T68" s="117">
        <f>IF(COUNTIFS('Phản ánh'!$F$6:$F$505,"Block E",'Phản ánh'!$G$6:$G$505,$B68,'Phản ánh'!$V$6:$V$505,"&lt;&gt;Đã xử lý")&gt;0,IF((COUNTIFS('Phản ánh'!$F$6:$F$505,"Block E",'Phản ánh'!$G$6:$G$505,$B68,'Phản ánh'!$V$6:$V$505,"&lt;&gt;Đã xử lý",'Phản ánh'!$J$6:$J$505,"Khẩn cấp")+COUNTIFS('Phản ánh'!$F$6:$F$505,"Block E",'Phản ánh'!$G$6:$G$505,$B68,'Phản ánh'!$V$6:$V$505,"&lt;&gt;Đã xử lý",'Phản ánh'!$J$6:$J$505,"Cao"))&gt;0,-COUNTIFS('Phản ánh'!$F$6:$F$505,"Block E",'Phản ánh'!$G$6:$G$505,$B68,'Phản ánh'!$V$6:$V$505,"&lt;&gt;Đã xử lý"),COUNTIFS('Phản ánh'!$F$6:$F$505,"Block E",'Phản ánh'!$G$6:$G$505,$B68,'Phản ánh'!$V$6:$V$505,"&lt;&gt;Đã xử lý")),IF(COUNTIFS('Kế hoạch'!$E$6:$E$305,"Block E",'Kế hoạch'!$F$6:$F$305,$B68,'Kế hoạch'!$AO$6:$AO$305,1)&gt;0,"CV",""))</f>
      </c>
      <c r="U68" s="118" t="n"/>
      <c r="V68" s="119" t="n"/>
      <c r="W68" s="39" t="n"/>
      <c r="X68" s="117">
        <f>IF(COUNTIFS('Phản ánh'!$F$6:$F$505,"Block G",'Phản ánh'!$G$6:$G$505,$B68,'Phản ánh'!$V$6:$V$505,"&lt;&gt;Đã xử lý")&gt;0,IF((COUNTIFS('Phản ánh'!$F$6:$F$505,"Block G",'Phản ánh'!$G$6:$G$505,$B68,'Phản ánh'!$V$6:$V$505,"&lt;&gt;Đã xử lý",'Phản ánh'!$J$6:$J$505,"Khẩn cấp")+COUNTIFS('Phản ánh'!$F$6:$F$505,"Block G",'Phản ánh'!$G$6:$G$505,$B68,'Phản ánh'!$V$6:$V$505,"&lt;&gt;Đã xử lý",'Phản ánh'!$J$6:$J$505,"Cao"))&gt;0,-COUNTIFS('Phản ánh'!$F$6:$F$505,"Block G",'Phản ánh'!$G$6:$G$505,$B68,'Phản ánh'!$V$6:$V$505,"&lt;&gt;Đã xử lý"),COUNTIFS('Phản ánh'!$F$6:$F$505,"Block G",'Phản ánh'!$G$6:$G$505,$B68,'Phản ánh'!$V$6:$V$505,"&lt;&gt;Đã xử lý")),IF(COUNTIFS('Kế hoạch'!$E$6:$E$305,"Block G",'Kế hoạch'!$F$6:$F$305,$B68,'Kế hoạch'!$AO$6:$AO$305,1)&gt;0,"CV",""))</f>
      </c>
      <c r="Y68" s="118" t="n"/>
      <c r="Z68" s="119" t="n"/>
      <c r="AA68" s="39" t="n"/>
      <c r="AB68" s="124" t="inlineStr">
        <is>
          <t>Block G</t>
        </is>
      </c>
      <c r="AC68" s="125" t="n"/>
      <c r="AD68" s="125" t="n"/>
      <c r="AE68" s="125" t="n"/>
      <c r="AF68" s="125" t="n"/>
      <c r="AG68" s="126">
        <f>COUNTIFS('Phản ánh'!$F$6:$F$505,$AB68,'Phản ánh'!$V$6:$V$505,"&lt;&gt;Đã xử lý")</f>
      </c>
      <c r="AH68" s="125" t="n"/>
      <c r="AI68" s="126">
        <f>COUNTIFS('Kế hoạch'!$E$6:$E$305,$AB68,'Kế hoạch'!$AO$6:$AO$305,1,'Kế hoạch'!$AR$6:$AR$305,0)</f>
      </c>
      <c r="AJ68" s="125" t="n"/>
      <c r="AK68" s="126">
        <f>COUNTIFS('Phản ánh'!$F$6:$F$505,$AB68,'Phản ánh'!$Y$6:$Y$505,"Quá hạn")+COUNTIFS('Kế hoạch'!$E$6:$E$305,$AB68,'Kế hoạch'!$AD$6:$AD$305,"Quá hạn")</f>
      </c>
      <c r="AL68" s="125" t="n"/>
      <c r="AM68" s="127">
        <f>IF(AK68&gt;0,"Cần xử lý",IF(AG68+AI68&gt;0,"Theo dõi","Ổn định"))</f>
      </c>
      <c r="AN68" s="125" t="n"/>
      <c r="AO68" s="125" t="n"/>
      <c r="AP68" s="39" t="n"/>
    </row>
    <row r="69" ht="13.5" customHeight="1">
      <c r="A69" s="39" t="n"/>
      <c r="B69" s="116" t="n">
        <v>17</v>
      </c>
      <c r="D69" s="117">
        <f>IF(COUNTIFS('Phản ánh'!$F$6:$F$505,"Block A",'Phản ánh'!$G$6:$G$505,$B69,'Phản ánh'!$V$6:$V$505,"&lt;&gt;Đã xử lý")&gt;0,IF((COUNTIFS('Phản ánh'!$F$6:$F$505,"Block A",'Phản ánh'!$G$6:$G$505,$B69,'Phản ánh'!$V$6:$V$505,"&lt;&gt;Đã xử lý",'Phản ánh'!$J$6:$J$505,"Khẩn cấp")+COUNTIFS('Phản ánh'!$F$6:$F$505,"Block A",'Phản ánh'!$G$6:$G$505,$B69,'Phản ánh'!$V$6:$V$505,"&lt;&gt;Đã xử lý",'Phản ánh'!$J$6:$J$505,"Cao"))&gt;0,-COUNTIFS('Phản ánh'!$F$6:$F$505,"Block A",'Phản ánh'!$G$6:$G$505,$B69,'Phản ánh'!$V$6:$V$505,"&lt;&gt;Đã xử lý"),COUNTIFS('Phản ánh'!$F$6:$F$505,"Block A",'Phản ánh'!$G$6:$G$505,$B69,'Phản ánh'!$V$6:$V$505,"&lt;&gt;Đã xử lý")),IF(COUNTIFS('Kế hoạch'!$E$6:$E$305,"Block A",'Kế hoạch'!$F$6:$F$305,$B69,'Kế hoạch'!$AO$6:$AO$305,1)&gt;0,"CV",""))</f>
      </c>
      <c r="E69" s="118" t="n"/>
      <c r="F69" s="119" t="n"/>
      <c r="G69" s="39" t="n"/>
      <c r="H69" s="117">
        <f>IF(COUNTIFS('Phản ánh'!$F$6:$F$505,"Block B",'Phản ánh'!$G$6:$G$505,$B69,'Phản ánh'!$V$6:$V$505,"&lt;&gt;Đã xử lý")&gt;0,IF((COUNTIFS('Phản ánh'!$F$6:$F$505,"Block B",'Phản ánh'!$G$6:$G$505,$B69,'Phản ánh'!$V$6:$V$505,"&lt;&gt;Đã xử lý",'Phản ánh'!$J$6:$J$505,"Khẩn cấp")+COUNTIFS('Phản ánh'!$F$6:$F$505,"Block B",'Phản ánh'!$G$6:$G$505,$B69,'Phản ánh'!$V$6:$V$505,"&lt;&gt;Đã xử lý",'Phản ánh'!$J$6:$J$505,"Cao"))&gt;0,-COUNTIFS('Phản ánh'!$F$6:$F$505,"Block B",'Phản ánh'!$G$6:$G$505,$B69,'Phản ánh'!$V$6:$V$505,"&lt;&gt;Đã xử lý"),COUNTIFS('Phản ánh'!$F$6:$F$505,"Block B",'Phản ánh'!$G$6:$G$505,$B69,'Phản ánh'!$V$6:$V$505,"&lt;&gt;Đã xử lý")),IF(COUNTIFS('Kế hoạch'!$E$6:$E$305,"Block B",'Kế hoạch'!$F$6:$F$305,$B69,'Kế hoạch'!$AO$6:$AO$305,1)&gt;0,"CV",""))</f>
      </c>
      <c r="I69" s="118" t="n"/>
      <c r="J69" s="119" t="n"/>
      <c r="K69" s="39" t="n"/>
      <c r="L69" s="117">
        <f>IF(COUNTIFS('Phản ánh'!$F$6:$F$505,"Block C",'Phản ánh'!$G$6:$G$505,$B69,'Phản ánh'!$V$6:$V$505,"&lt;&gt;Đã xử lý")&gt;0,IF((COUNTIFS('Phản ánh'!$F$6:$F$505,"Block C",'Phản ánh'!$G$6:$G$505,$B69,'Phản ánh'!$V$6:$V$505,"&lt;&gt;Đã xử lý",'Phản ánh'!$J$6:$J$505,"Khẩn cấp")+COUNTIFS('Phản ánh'!$F$6:$F$505,"Block C",'Phản ánh'!$G$6:$G$505,$B69,'Phản ánh'!$V$6:$V$505,"&lt;&gt;Đã xử lý",'Phản ánh'!$J$6:$J$505,"Cao"))&gt;0,-COUNTIFS('Phản ánh'!$F$6:$F$505,"Block C",'Phản ánh'!$G$6:$G$505,$B69,'Phản ánh'!$V$6:$V$505,"&lt;&gt;Đã xử lý"),COUNTIFS('Phản ánh'!$F$6:$F$505,"Block C",'Phản ánh'!$G$6:$G$505,$B69,'Phản ánh'!$V$6:$V$505,"&lt;&gt;Đã xử lý")),IF(COUNTIFS('Kế hoạch'!$E$6:$E$305,"Block C",'Kế hoạch'!$F$6:$F$305,$B69,'Kế hoạch'!$AO$6:$AO$305,1)&gt;0,"CV",""))</f>
      </c>
      <c r="M69" s="118" t="n"/>
      <c r="N69" s="119" t="n"/>
      <c r="O69" s="39" t="n"/>
      <c r="P69" s="117">
        <f>IF(COUNTIFS('Phản ánh'!$F$6:$F$505,"Block D",'Phản ánh'!$G$6:$G$505,$B69,'Phản ánh'!$V$6:$V$505,"&lt;&gt;Đã xử lý")&gt;0,IF((COUNTIFS('Phản ánh'!$F$6:$F$505,"Block D",'Phản ánh'!$G$6:$G$505,$B69,'Phản ánh'!$V$6:$V$505,"&lt;&gt;Đã xử lý",'Phản ánh'!$J$6:$J$505,"Khẩn cấp")+COUNTIFS('Phản ánh'!$F$6:$F$505,"Block D",'Phản ánh'!$G$6:$G$505,$B69,'Phản ánh'!$V$6:$V$505,"&lt;&gt;Đã xử lý",'Phản ánh'!$J$6:$J$505,"Cao"))&gt;0,-COUNTIFS('Phản ánh'!$F$6:$F$505,"Block D",'Phản ánh'!$G$6:$G$505,$B69,'Phản ánh'!$V$6:$V$505,"&lt;&gt;Đã xử lý"),COUNTIFS('Phản ánh'!$F$6:$F$505,"Block D",'Phản ánh'!$G$6:$G$505,$B69,'Phản ánh'!$V$6:$V$505,"&lt;&gt;Đã xử lý")),IF(COUNTIFS('Kế hoạch'!$E$6:$E$305,"Block D",'Kế hoạch'!$F$6:$F$305,$B69,'Kế hoạch'!$AO$6:$AO$305,1)&gt;0,"CV",""))</f>
      </c>
      <c r="Q69" s="118" t="n"/>
      <c r="R69" s="119" t="n"/>
      <c r="S69" s="39" t="n"/>
      <c r="T69" s="117">
        <f>IF(COUNTIFS('Phản ánh'!$F$6:$F$505,"Block E",'Phản ánh'!$G$6:$G$505,$B69,'Phản ánh'!$V$6:$V$505,"&lt;&gt;Đã xử lý")&gt;0,IF((COUNTIFS('Phản ánh'!$F$6:$F$505,"Block E",'Phản ánh'!$G$6:$G$505,$B69,'Phản ánh'!$V$6:$V$505,"&lt;&gt;Đã xử lý",'Phản ánh'!$J$6:$J$505,"Khẩn cấp")+COUNTIFS('Phản ánh'!$F$6:$F$505,"Block E",'Phản ánh'!$G$6:$G$505,$B69,'Phản ánh'!$V$6:$V$505,"&lt;&gt;Đã xử lý",'Phản ánh'!$J$6:$J$505,"Cao"))&gt;0,-COUNTIFS('Phản ánh'!$F$6:$F$505,"Block E",'Phản ánh'!$G$6:$G$505,$B69,'Phản ánh'!$V$6:$V$505,"&lt;&gt;Đã xử lý"),COUNTIFS('Phản ánh'!$F$6:$F$505,"Block E",'Phản ánh'!$G$6:$G$505,$B69,'Phản ánh'!$V$6:$V$505,"&lt;&gt;Đã xử lý")),IF(COUNTIFS('Kế hoạch'!$E$6:$E$305,"Block E",'Kế hoạch'!$F$6:$F$305,$B69,'Kế hoạch'!$AO$6:$AO$305,1)&gt;0,"CV",""))</f>
      </c>
      <c r="U69" s="118" t="n"/>
      <c r="V69" s="119" t="n"/>
      <c r="W69" s="39" t="n"/>
      <c r="X69" s="117">
        <f>IF(COUNTIFS('Phản ánh'!$F$6:$F$505,"Block G",'Phản ánh'!$G$6:$G$505,$B69,'Phản ánh'!$V$6:$V$505,"&lt;&gt;Đã xử lý")&gt;0,IF((COUNTIFS('Phản ánh'!$F$6:$F$505,"Block G",'Phản ánh'!$G$6:$G$505,$B69,'Phản ánh'!$V$6:$V$505,"&lt;&gt;Đã xử lý",'Phản ánh'!$J$6:$J$505,"Khẩn cấp")+COUNTIFS('Phản ánh'!$F$6:$F$505,"Block G",'Phản ánh'!$G$6:$G$505,$B69,'Phản ánh'!$V$6:$V$505,"&lt;&gt;Đã xử lý",'Phản ánh'!$J$6:$J$505,"Cao"))&gt;0,-COUNTIFS('Phản ánh'!$F$6:$F$505,"Block G",'Phản ánh'!$G$6:$G$505,$B69,'Phản ánh'!$V$6:$V$505,"&lt;&gt;Đã xử lý"),COUNTIFS('Phản ánh'!$F$6:$F$505,"Block G",'Phản ánh'!$G$6:$G$505,$B69,'Phản ánh'!$V$6:$V$505,"&lt;&gt;Đã xử lý")),IF(COUNTIFS('Kế hoạch'!$E$6:$E$305,"Block G",'Kế hoạch'!$F$6:$F$305,$B69,'Kế hoạch'!$AO$6:$AO$305,1)&gt;0,"CV",""))</f>
      </c>
      <c r="Y69" s="118" t="n"/>
      <c r="Z69" s="119" t="n"/>
      <c r="AA69" s="39" t="n"/>
      <c r="AB69" s="128" t="inlineStr">
        <is>
          <t>Cổng 1</t>
        </is>
      </c>
      <c r="AC69" s="121" t="n"/>
      <c r="AD69" s="121" t="n"/>
      <c r="AE69" s="121" t="n"/>
      <c r="AF69" s="121" t="n"/>
      <c r="AG69" s="122">
        <f>COUNTIFS('Phản ánh'!$F$6:$F$505,$AB69,'Phản ánh'!$V$6:$V$505,"&lt;&gt;Đã xử lý")</f>
      </c>
      <c r="AH69" s="121" t="n"/>
      <c r="AI69" s="122">
        <f>COUNTIFS('Kế hoạch'!$E$6:$E$305,$AB69,'Kế hoạch'!$AO$6:$AO$305,1,'Kế hoạch'!$AR$6:$AR$305,0)</f>
      </c>
      <c r="AJ69" s="121" t="n"/>
      <c r="AK69" s="122">
        <f>COUNTIFS('Phản ánh'!$F$6:$F$505,$AB69,'Phản ánh'!$Y$6:$Y$505,"Quá hạn")+COUNTIFS('Kế hoạch'!$E$6:$E$305,$AB69,'Kế hoạch'!$AD$6:$AD$305,"Quá hạn")</f>
      </c>
      <c r="AL69" s="121" t="n"/>
      <c r="AM69" s="123">
        <f>IF(AK69&gt;0,"Cần xử lý",IF(AG69+AI69&gt;0,"Theo dõi","Ổn định"))</f>
      </c>
      <c r="AN69" s="121" t="n"/>
      <c r="AO69" s="121" t="n"/>
      <c r="AP69" s="39" t="n"/>
    </row>
    <row r="70" ht="13.5" customHeight="1">
      <c r="A70" s="39" t="n"/>
      <c r="B70" s="116" t="n">
        <v>16</v>
      </c>
      <c r="D70" s="117">
        <f>IF(COUNTIFS('Phản ánh'!$F$6:$F$505,"Block A",'Phản ánh'!$G$6:$G$505,$B70,'Phản ánh'!$V$6:$V$505,"&lt;&gt;Đã xử lý")&gt;0,IF((COUNTIFS('Phản ánh'!$F$6:$F$505,"Block A",'Phản ánh'!$G$6:$G$505,$B70,'Phản ánh'!$V$6:$V$505,"&lt;&gt;Đã xử lý",'Phản ánh'!$J$6:$J$505,"Khẩn cấp")+COUNTIFS('Phản ánh'!$F$6:$F$505,"Block A",'Phản ánh'!$G$6:$G$505,$B70,'Phản ánh'!$V$6:$V$505,"&lt;&gt;Đã xử lý",'Phản ánh'!$J$6:$J$505,"Cao"))&gt;0,-COUNTIFS('Phản ánh'!$F$6:$F$505,"Block A",'Phản ánh'!$G$6:$G$505,$B70,'Phản ánh'!$V$6:$V$505,"&lt;&gt;Đã xử lý"),COUNTIFS('Phản ánh'!$F$6:$F$505,"Block A",'Phản ánh'!$G$6:$G$505,$B70,'Phản ánh'!$V$6:$V$505,"&lt;&gt;Đã xử lý")),IF(COUNTIFS('Kế hoạch'!$E$6:$E$305,"Block A",'Kế hoạch'!$F$6:$F$305,$B70,'Kế hoạch'!$AO$6:$AO$305,1)&gt;0,"CV",""))</f>
      </c>
      <c r="E70" s="118" t="n"/>
      <c r="F70" s="119" t="n"/>
      <c r="G70" s="39" t="n"/>
      <c r="H70" s="117">
        <f>IF(COUNTIFS('Phản ánh'!$F$6:$F$505,"Block B",'Phản ánh'!$G$6:$G$505,$B70,'Phản ánh'!$V$6:$V$505,"&lt;&gt;Đã xử lý")&gt;0,IF((COUNTIFS('Phản ánh'!$F$6:$F$505,"Block B",'Phản ánh'!$G$6:$G$505,$B70,'Phản ánh'!$V$6:$V$505,"&lt;&gt;Đã xử lý",'Phản ánh'!$J$6:$J$505,"Khẩn cấp")+COUNTIFS('Phản ánh'!$F$6:$F$505,"Block B",'Phản ánh'!$G$6:$G$505,$B70,'Phản ánh'!$V$6:$V$505,"&lt;&gt;Đã xử lý",'Phản ánh'!$J$6:$J$505,"Cao"))&gt;0,-COUNTIFS('Phản ánh'!$F$6:$F$505,"Block B",'Phản ánh'!$G$6:$G$505,$B70,'Phản ánh'!$V$6:$V$505,"&lt;&gt;Đã xử lý"),COUNTIFS('Phản ánh'!$F$6:$F$505,"Block B",'Phản ánh'!$G$6:$G$505,$B70,'Phản ánh'!$V$6:$V$505,"&lt;&gt;Đã xử lý")),IF(COUNTIFS('Kế hoạch'!$E$6:$E$305,"Block B",'Kế hoạch'!$F$6:$F$305,$B70,'Kế hoạch'!$AO$6:$AO$305,1)&gt;0,"CV",""))</f>
      </c>
      <c r="I70" s="118" t="n"/>
      <c r="J70" s="119" t="n"/>
      <c r="K70" s="39" t="n"/>
      <c r="L70" s="117">
        <f>IF(COUNTIFS('Phản ánh'!$F$6:$F$505,"Block C",'Phản ánh'!$G$6:$G$505,$B70,'Phản ánh'!$V$6:$V$505,"&lt;&gt;Đã xử lý")&gt;0,IF((COUNTIFS('Phản ánh'!$F$6:$F$505,"Block C",'Phản ánh'!$G$6:$G$505,$B70,'Phản ánh'!$V$6:$V$505,"&lt;&gt;Đã xử lý",'Phản ánh'!$J$6:$J$505,"Khẩn cấp")+COUNTIFS('Phản ánh'!$F$6:$F$505,"Block C",'Phản ánh'!$G$6:$G$505,$B70,'Phản ánh'!$V$6:$V$505,"&lt;&gt;Đã xử lý",'Phản ánh'!$J$6:$J$505,"Cao"))&gt;0,-COUNTIFS('Phản ánh'!$F$6:$F$505,"Block C",'Phản ánh'!$G$6:$G$505,$B70,'Phản ánh'!$V$6:$V$505,"&lt;&gt;Đã xử lý"),COUNTIFS('Phản ánh'!$F$6:$F$505,"Block C",'Phản ánh'!$G$6:$G$505,$B70,'Phản ánh'!$V$6:$V$505,"&lt;&gt;Đã xử lý")),IF(COUNTIFS('Kế hoạch'!$E$6:$E$305,"Block C",'Kế hoạch'!$F$6:$F$305,$B70,'Kế hoạch'!$AO$6:$AO$305,1)&gt;0,"CV",""))</f>
      </c>
      <c r="M70" s="118" t="n"/>
      <c r="N70" s="119" t="n"/>
      <c r="O70" s="39" t="n"/>
      <c r="P70" s="117">
        <f>IF(COUNTIFS('Phản ánh'!$F$6:$F$505,"Block D",'Phản ánh'!$G$6:$G$505,$B70,'Phản ánh'!$V$6:$V$505,"&lt;&gt;Đã xử lý")&gt;0,IF((COUNTIFS('Phản ánh'!$F$6:$F$505,"Block D",'Phản ánh'!$G$6:$G$505,$B70,'Phản ánh'!$V$6:$V$505,"&lt;&gt;Đã xử lý",'Phản ánh'!$J$6:$J$505,"Khẩn cấp")+COUNTIFS('Phản ánh'!$F$6:$F$505,"Block D",'Phản ánh'!$G$6:$G$505,$B70,'Phản ánh'!$V$6:$V$505,"&lt;&gt;Đã xử lý",'Phản ánh'!$J$6:$J$505,"Cao"))&gt;0,-COUNTIFS('Phản ánh'!$F$6:$F$505,"Block D",'Phản ánh'!$G$6:$G$505,$B70,'Phản ánh'!$V$6:$V$505,"&lt;&gt;Đã xử lý"),COUNTIFS('Phản ánh'!$F$6:$F$505,"Block D",'Phản ánh'!$G$6:$G$505,$B70,'Phản ánh'!$V$6:$V$505,"&lt;&gt;Đã xử lý")),IF(COUNTIFS('Kế hoạch'!$E$6:$E$305,"Block D",'Kế hoạch'!$F$6:$F$305,$B70,'Kế hoạch'!$AO$6:$AO$305,1)&gt;0,"CV",""))</f>
      </c>
      <c r="Q70" s="118" t="n"/>
      <c r="R70" s="119" t="n"/>
      <c r="S70" s="39" t="n"/>
      <c r="T70" s="117">
        <f>IF(COUNTIFS('Phản ánh'!$F$6:$F$505,"Block E",'Phản ánh'!$G$6:$G$505,$B70,'Phản ánh'!$V$6:$V$505,"&lt;&gt;Đã xử lý")&gt;0,IF((COUNTIFS('Phản ánh'!$F$6:$F$505,"Block E",'Phản ánh'!$G$6:$G$505,$B70,'Phản ánh'!$V$6:$V$505,"&lt;&gt;Đã xử lý",'Phản ánh'!$J$6:$J$505,"Khẩn cấp")+COUNTIFS('Phản ánh'!$F$6:$F$505,"Block E",'Phản ánh'!$G$6:$G$505,$B70,'Phản ánh'!$V$6:$V$505,"&lt;&gt;Đã xử lý",'Phản ánh'!$J$6:$J$505,"Cao"))&gt;0,-COUNTIFS('Phản ánh'!$F$6:$F$505,"Block E",'Phản ánh'!$G$6:$G$505,$B70,'Phản ánh'!$V$6:$V$505,"&lt;&gt;Đã xử lý"),COUNTIFS('Phản ánh'!$F$6:$F$505,"Block E",'Phản ánh'!$G$6:$G$505,$B70,'Phản ánh'!$V$6:$V$505,"&lt;&gt;Đã xử lý")),IF(COUNTIFS('Kế hoạch'!$E$6:$E$305,"Block E",'Kế hoạch'!$F$6:$F$305,$B70,'Kế hoạch'!$AO$6:$AO$305,1)&gt;0,"CV",""))</f>
      </c>
      <c r="U70" s="118" t="n"/>
      <c r="V70" s="119" t="n"/>
      <c r="W70" s="39" t="n"/>
      <c r="X70" s="117">
        <f>IF(COUNTIFS('Phản ánh'!$F$6:$F$505,"Block G",'Phản ánh'!$G$6:$G$505,$B70,'Phản ánh'!$V$6:$V$505,"&lt;&gt;Đã xử lý")&gt;0,IF((COUNTIFS('Phản ánh'!$F$6:$F$505,"Block G",'Phản ánh'!$G$6:$G$505,$B70,'Phản ánh'!$V$6:$V$505,"&lt;&gt;Đã xử lý",'Phản ánh'!$J$6:$J$505,"Khẩn cấp")+COUNTIFS('Phản ánh'!$F$6:$F$505,"Block G",'Phản ánh'!$G$6:$G$505,$B70,'Phản ánh'!$V$6:$V$505,"&lt;&gt;Đã xử lý",'Phản ánh'!$J$6:$J$505,"Cao"))&gt;0,-COUNTIFS('Phản ánh'!$F$6:$F$505,"Block G",'Phản ánh'!$G$6:$G$505,$B70,'Phản ánh'!$V$6:$V$505,"&lt;&gt;Đã xử lý"),COUNTIFS('Phản ánh'!$F$6:$F$505,"Block G",'Phản ánh'!$G$6:$G$505,$B70,'Phản ánh'!$V$6:$V$505,"&lt;&gt;Đã xử lý")),IF(COUNTIFS('Kế hoạch'!$E$6:$E$305,"Block G",'Kế hoạch'!$F$6:$F$305,$B70,'Kế hoạch'!$AO$6:$AO$305,1)&gt;0,"CV",""))</f>
      </c>
      <c r="Y70" s="118" t="n"/>
      <c r="Z70" s="119" t="n"/>
      <c r="AA70" s="39" t="n"/>
      <c r="AB70" s="129" t="inlineStr">
        <is>
          <t>Cổng 2</t>
        </is>
      </c>
      <c r="AC70" s="125" t="n"/>
      <c r="AD70" s="125" t="n"/>
      <c r="AE70" s="125" t="n"/>
      <c r="AF70" s="125" t="n"/>
      <c r="AG70" s="126">
        <f>COUNTIFS('Phản ánh'!$F$6:$F$505,$AB70,'Phản ánh'!$V$6:$V$505,"&lt;&gt;Đã xử lý")</f>
      </c>
      <c r="AH70" s="125" t="n"/>
      <c r="AI70" s="126">
        <f>COUNTIFS('Kế hoạch'!$E$6:$E$305,$AB70,'Kế hoạch'!$AO$6:$AO$305,1,'Kế hoạch'!$AR$6:$AR$305,0)</f>
      </c>
      <c r="AJ70" s="125" t="n"/>
      <c r="AK70" s="126">
        <f>COUNTIFS('Phản ánh'!$F$6:$F$505,$AB70,'Phản ánh'!$Y$6:$Y$505,"Quá hạn")+COUNTIFS('Kế hoạch'!$E$6:$E$305,$AB70,'Kế hoạch'!$AD$6:$AD$305,"Quá hạn")</f>
      </c>
      <c r="AL70" s="125" t="n"/>
      <c r="AM70" s="127">
        <f>IF(AK70&gt;0,"Cần xử lý",IF(AG70+AI70&gt;0,"Theo dõi","Ổn định"))</f>
      </c>
      <c r="AN70" s="125" t="n"/>
      <c r="AO70" s="125" t="n"/>
      <c r="AP70" s="39" t="n"/>
    </row>
    <row r="71" ht="13.5" customHeight="1">
      <c r="A71" s="39" t="n"/>
      <c r="B71" s="116" t="n">
        <v>15</v>
      </c>
      <c r="D71" s="117">
        <f>IF(COUNTIFS('Phản ánh'!$F$6:$F$505,"Block A",'Phản ánh'!$G$6:$G$505,$B71,'Phản ánh'!$V$6:$V$505,"&lt;&gt;Đã xử lý")&gt;0,IF((COUNTIFS('Phản ánh'!$F$6:$F$505,"Block A",'Phản ánh'!$G$6:$G$505,$B71,'Phản ánh'!$V$6:$V$505,"&lt;&gt;Đã xử lý",'Phản ánh'!$J$6:$J$505,"Khẩn cấp")+COUNTIFS('Phản ánh'!$F$6:$F$505,"Block A",'Phản ánh'!$G$6:$G$505,$B71,'Phản ánh'!$V$6:$V$505,"&lt;&gt;Đã xử lý",'Phản ánh'!$J$6:$J$505,"Cao"))&gt;0,-COUNTIFS('Phản ánh'!$F$6:$F$505,"Block A",'Phản ánh'!$G$6:$G$505,$B71,'Phản ánh'!$V$6:$V$505,"&lt;&gt;Đã xử lý"),COUNTIFS('Phản ánh'!$F$6:$F$505,"Block A",'Phản ánh'!$G$6:$G$505,$B71,'Phản ánh'!$V$6:$V$505,"&lt;&gt;Đã xử lý")),IF(COUNTIFS('Kế hoạch'!$E$6:$E$305,"Block A",'Kế hoạch'!$F$6:$F$305,$B71,'Kế hoạch'!$AO$6:$AO$305,1)&gt;0,"CV",""))</f>
      </c>
      <c r="E71" s="118" t="n"/>
      <c r="F71" s="119" t="n"/>
      <c r="G71" s="39" t="n"/>
      <c r="H71" s="117">
        <f>IF(COUNTIFS('Phản ánh'!$F$6:$F$505,"Block B",'Phản ánh'!$G$6:$G$505,$B71,'Phản ánh'!$V$6:$V$505,"&lt;&gt;Đã xử lý")&gt;0,IF((COUNTIFS('Phản ánh'!$F$6:$F$505,"Block B",'Phản ánh'!$G$6:$G$505,$B71,'Phản ánh'!$V$6:$V$505,"&lt;&gt;Đã xử lý",'Phản ánh'!$J$6:$J$505,"Khẩn cấp")+COUNTIFS('Phản ánh'!$F$6:$F$505,"Block B",'Phản ánh'!$G$6:$G$505,$B71,'Phản ánh'!$V$6:$V$505,"&lt;&gt;Đã xử lý",'Phản ánh'!$J$6:$J$505,"Cao"))&gt;0,-COUNTIFS('Phản ánh'!$F$6:$F$505,"Block B",'Phản ánh'!$G$6:$G$505,$B71,'Phản ánh'!$V$6:$V$505,"&lt;&gt;Đã xử lý"),COUNTIFS('Phản ánh'!$F$6:$F$505,"Block B",'Phản ánh'!$G$6:$G$505,$B71,'Phản ánh'!$V$6:$V$505,"&lt;&gt;Đã xử lý")),IF(COUNTIFS('Kế hoạch'!$E$6:$E$305,"Block B",'Kế hoạch'!$F$6:$F$305,$B71,'Kế hoạch'!$AO$6:$AO$305,1)&gt;0,"CV",""))</f>
      </c>
      <c r="I71" s="118" t="n"/>
      <c r="J71" s="119" t="n"/>
      <c r="K71" s="39" t="n"/>
      <c r="L71" s="117">
        <f>IF(COUNTIFS('Phản ánh'!$F$6:$F$505,"Block C",'Phản ánh'!$G$6:$G$505,$B71,'Phản ánh'!$V$6:$V$505,"&lt;&gt;Đã xử lý")&gt;0,IF((COUNTIFS('Phản ánh'!$F$6:$F$505,"Block C",'Phản ánh'!$G$6:$G$505,$B71,'Phản ánh'!$V$6:$V$505,"&lt;&gt;Đã xử lý",'Phản ánh'!$J$6:$J$505,"Khẩn cấp")+COUNTIFS('Phản ánh'!$F$6:$F$505,"Block C",'Phản ánh'!$G$6:$G$505,$B71,'Phản ánh'!$V$6:$V$505,"&lt;&gt;Đã xử lý",'Phản ánh'!$J$6:$J$505,"Cao"))&gt;0,-COUNTIFS('Phản ánh'!$F$6:$F$505,"Block C",'Phản ánh'!$G$6:$G$505,$B71,'Phản ánh'!$V$6:$V$505,"&lt;&gt;Đã xử lý"),COUNTIFS('Phản ánh'!$F$6:$F$505,"Block C",'Phản ánh'!$G$6:$G$505,$B71,'Phản ánh'!$V$6:$V$505,"&lt;&gt;Đã xử lý")),IF(COUNTIFS('Kế hoạch'!$E$6:$E$305,"Block C",'Kế hoạch'!$F$6:$F$305,$B71,'Kế hoạch'!$AO$6:$AO$305,1)&gt;0,"CV",""))</f>
      </c>
      <c r="M71" s="118" t="n"/>
      <c r="N71" s="119" t="n"/>
      <c r="O71" s="39" t="n"/>
      <c r="P71" s="117">
        <f>IF(COUNTIFS('Phản ánh'!$F$6:$F$505,"Block D",'Phản ánh'!$G$6:$G$505,$B71,'Phản ánh'!$V$6:$V$505,"&lt;&gt;Đã xử lý")&gt;0,IF((COUNTIFS('Phản ánh'!$F$6:$F$505,"Block D",'Phản ánh'!$G$6:$G$505,$B71,'Phản ánh'!$V$6:$V$505,"&lt;&gt;Đã xử lý",'Phản ánh'!$J$6:$J$505,"Khẩn cấp")+COUNTIFS('Phản ánh'!$F$6:$F$505,"Block D",'Phản ánh'!$G$6:$G$505,$B71,'Phản ánh'!$V$6:$V$505,"&lt;&gt;Đã xử lý",'Phản ánh'!$J$6:$J$505,"Cao"))&gt;0,-COUNTIFS('Phản ánh'!$F$6:$F$505,"Block D",'Phản ánh'!$G$6:$G$505,$B71,'Phản ánh'!$V$6:$V$505,"&lt;&gt;Đã xử lý"),COUNTIFS('Phản ánh'!$F$6:$F$505,"Block D",'Phản ánh'!$G$6:$G$505,$B71,'Phản ánh'!$V$6:$V$505,"&lt;&gt;Đã xử lý")),IF(COUNTIFS('Kế hoạch'!$E$6:$E$305,"Block D",'Kế hoạch'!$F$6:$F$305,$B71,'Kế hoạch'!$AO$6:$AO$305,1)&gt;0,"CV",""))</f>
      </c>
      <c r="Q71" s="118" t="n"/>
      <c r="R71" s="119" t="n"/>
      <c r="S71" s="39" t="n"/>
      <c r="T71" s="117">
        <f>IF(COUNTIFS('Phản ánh'!$F$6:$F$505,"Block E",'Phản ánh'!$G$6:$G$505,$B71,'Phản ánh'!$V$6:$V$505,"&lt;&gt;Đã xử lý")&gt;0,IF((COUNTIFS('Phản ánh'!$F$6:$F$505,"Block E",'Phản ánh'!$G$6:$G$505,$B71,'Phản ánh'!$V$6:$V$505,"&lt;&gt;Đã xử lý",'Phản ánh'!$J$6:$J$505,"Khẩn cấp")+COUNTIFS('Phản ánh'!$F$6:$F$505,"Block E",'Phản ánh'!$G$6:$G$505,$B71,'Phản ánh'!$V$6:$V$505,"&lt;&gt;Đã xử lý",'Phản ánh'!$J$6:$J$505,"Cao"))&gt;0,-COUNTIFS('Phản ánh'!$F$6:$F$505,"Block E",'Phản ánh'!$G$6:$G$505,$B71,'Phản ánh'!$V$6:$V$505,"&lt;&gt;Đã xử lý"),COUNTIFS('Phản ánh'!$F$6:$F$505,"Block E",'Phản ánh'!$G$6:$G$505,$B71,'Phản ánh'!$V$6:$V$505,"&lt;&gt;Đã xử lý")),IF(COUNTIFS('Kế hoạch'!$E$6:$E$305,"Block E",'Kế hoạch'!$F$6:$F$305,$B71,'Kế hoạch'!$AO$6:$AO$305,1)&gt;0,"CV",""))</f>
      </c>
      <c r="U71" s="118" t="n"/>
      <c r="V71" s="119" t="n"/>
      <c r="W71" s="39" t="n"/>
      <c r="X71" s="117">
        <f>IF(COUNTIFS('Phản ánh'!$F$6:$F$505,"Block G",'Phản ánh'!$G$6:$G$505,$B71,'Phản ánh'!$V$6:$V$505,"&lt;&gt;Đã xử lý")&gt;0,IF((COUNTIFS('Phản ánh'!$F$6:$F$505,"Block G",'Phản ánh'!$G$6:$G$505,$B71,'Phản ánh'!$V$6:$V$505,"&lt;&gt;Đã xử lý",'Phản ánh'!$J$6:$J$505,"Khẩn cấp")+COUNTIFS('Phản ánh'!$F$6:$F$505,"Block G",'Phản ánh'!$G$6:$G$505,$B71,'Phản ánh'!$V$6:$V$505,"&lt;&gt;Đã xử lý",'Phản ánh'!$J$6:$J$505,"Cao"))&gt;0,-COUNTIFS('Phản ánh'!$F$6:$F$505,"Block G",'Phản ánh'!$G$6:$G$505,$B71,'Phản ánh'!$V$6:$V$505,"&lt;&gt;Đã xử lý"),COUNTIFS('Phản ánh'!$F$6:$F$505,"Block G",'Phản ánh'!$G$6:$G$505,$B71,'Phản ánh'!$V$6:$V$505,"&lt;&gt;Đã xử lý")),IF(COUNTIFS('Kế hoạch'!$E$6:$E$305,"Block G",'Kế hoạch'!$F$6:$F$305,$B71,'Kế hoạch'!$AO$6:$AO$305,1)&gt;0,"CV",""))</f>
      </c>
      <c r="Y71" s="118" t="n"/>
      <c r="Z71" s="119" t="n"/>
      <c r="AA71" s="39" t="n"/>
      <c r="AB71" s="128" t="inlineStr">
        <is>
          <t>Hầm xe</t>
        </is>
      </c>
      <c r="AC71" s="121" t="n"/>
      <c r="AD71" s="121" t="n"/>
      <c r="AE71" s="121" t="n"/>
      <c r="AF71" s="121" t="n"/>
      <c r="AG71" s="122">
        <f>COUNTIFS('Phản ánh'!$F$6:$F$505,$AB71,'Phản ánh'!$V$6:$V$505,"&lt;&gt;Đã xử lý")</f>
      </c>
      <c r="AH71" s="121" t="n"/>
      <c r="AI71" s="122">
        <f>COUNTIFS('Kế hoạch'!$E$6:$E$305,$AB71,'Kế hoạch'!$AO$6:$AO$305,1,'Kế hoạch'!$AR$6:$AR$305,0)</f>
      </c>
      <c r="AJ71" s="121" t="n"/>
      <c r="AK71" s="122">
        <f>COUNTIFS('Phản ánh'!$F$6:$F$505,$AB71,'Phản ánh'!$Y$6:$Y$505,"Quá hạn")+COUNTIFS('Kế hoạch'!$E$6:$E$305,$AB71,'Kế hoạch'!$AD$6:$AD$305,"Quá hạn")</f>
      </c>
      <c r="AL71" s="121" t="n"/>
      <c r="AM71" s="123">
        <f>IF(AK71&gt;0,"Cần xử lý",IF(AG71+AI71&gt;0,"Theo dõi","Ổn định"))</f>
      </c>
      <c r="AN71" s="121" t="n"/>
      <c r="AO71" s="121" t="n"/>
      <c r="AP71" s="39" t="n"/>
    </row>
    <row r="72" ht="13.5" customHeight="1">
      <c r="A72" s="39" t="n"/>
      <c r="B72" s="116" t="n">
        <v>14</v>
      </c>
      <c r="D72" s="117">
        <f>IF(COUNTIFS('Phản ánh'!$F$6:$F$505,"Block A",'Phản ánh'!$G$6:$G$505,$B72,'Phản ánh'!$V$6:$V$505,"&lt;&gt;Đã xử lý")&gt;0,IF((COUNTIFS('Phản ánh'!$F$6:$F$505,"Block A",'Phản ánh'!$G$6:$G$505,$B72,'Phản ánh'!$V$6:$V$505,"&lt;&gt;Đã xử lý",'Phản ánh'!$J$6:$J$505,"Khẩn cấp")+COUNTIFS('Phản ánh'!$F$6:$F$505,"Block A",'Phản ánh'!$G$6:$G$505,$B72,'Phản ánh'!$V$6:$V$505,"&lt;&gt;Đã xử lý",'Phản ánh'!$J$6:$J$505,"Cao"))&gt;0,-COUNTIFS('Phản ánh'!$F$6:$F$505,"Block A",'Phản ánh'!$G$6:$G$505,$B72,'Phản ánh'!$V$6:$V$505,"&lt;&gt;Đã xử lý"),COUNTIFS('Phản ánh'!$F$6:$F$505,"Block A",'Phản ánh'!$G$6:$G$505,$B72,'Phản ánh'!$V$6:$V$505,"&lt;&gt;Đã xử lý")),IF(COUNTIFS('Kế hoạch'!$E$6:$E$305,"Block A",'Kế hoạch'!$F$6:$F$305,$B72,'Kế hoạch'!$AO$6:$AO$305,1)&gt;0,"CV",""))</f>
      </c>
      <c r="E72" s="118" t="n"/>
      <c r="F72" s="119" t="n"/>
      <c r="G72" s="39" t="n"/>
      <c r="H72" s="117">
        <f>IF(COUNTIFS('Phản ánh'!$F$6:$F$505,"Block B",'Phản ánh'!$G$6:$G$505,$B72,'Phản ánh'!$V$6:$V$505,"&lt;&gt;Đã xử lý")&gt;0,IF((COUNTIFS('Phản ánh'!$F$6:$F$505,"Block B",'Phản ánh'!$G$6:$G$505,$B72,'Phản ánh'!$V$6:$V$505,"&lt;&gt;Đã xử lý",'Phản ánh'!$J$6:$J$505,"Khẩn cấp")+COUNTIFS('Phản ánh'!$F$6:$F$505,"Block B",'Phản ánh'!$G$6:$G$505,$B72,'Phản ánh'!$V$6:$V$505,"&lt;&gt;Đã xử lý",'Phản ánh'!$J$6:$J$505,"Cao"))&gt;0,-COUNTIFS('Phản ánh'!$F$6:$F$505,"Block B",'Phản ánh'!$G$6:$G$505,$B72,'Phản ánh'!$V$6:$V$505,"&lt;&gt;Đã xử lý"),COUNTIFS('Phản ánh'!$F$6:$F$505,"Block B",'Phản ánh'!$G$6:$G$505,$B72,'Phản ánh'!$V$6:$V$505,"&lt;&gt;Đã xử lý")),IF(COUNTIFS('Kế hoạch'!$E$6:$E$305,"Block B",'Kế hoạch'!$F$6:$F$305,$B72,'Kế hoạch'!$AO$6:$AO$305,1)&gt;0,"CV",""))</f>
      </c>
      <c r="I72" s="118" t="n"/>
      <c r="J72" s="119" t="n"/>
      <c r="K72" s="39" t="n"/>
      <c r="L72" s="117">
        <f>IF(COUNTIFS('Phản ánh'!$F$6:$F$505,"Block C",'Phản ánh'!$G$6:$G$505,$B72,'Phản ánh'!$V$6:$V$505,"&lt;&gt;Đã xử lý")&gt;0,IF((COUNTIFS('Phản ánh'!$F$6:$F$505,"Block C",'Phản ánh'!$G$6:$G$505,$B72,'Phản ánh'!$V$6:$V$505,"&lt;&gt;Đã xử lý",'Phản ánh'!$J$6:$J$505,"Khẩn cấp")+COUNTIFS('Phản ánh'!$F$6:$F$505,"Block C",'Phản ánh'!$G$6:$G$505,$B72,'Phản ánh'!$V$6:$V$505,"&lt;&gt;Đã xử lý",'Phản ánh'!$J$6:$J$505,"Cao"))&gt;0,-COUNTIFS('Phản ánh'!$F$6:$F$505,"Block C",'Phản ánh'!$G$6:$G$505,$B72,'Phản ánh'!$V$6:$V$505,"&lt;&gt;Đã xử lý"),COUNTIFS('Phản ánh'!$F$6:$F$505,"Block C",'Phản ánh'!$G$6:$G$505,$B72,'Phản ánh'!$V$6:$V$505,"&lt;&gt;Đã xử lý")),IF(COUNTIFS('Kế hoạch'!$E$6:$E$305,"Block C",'Kế hoạch'!$F$6:$F$305,$B72,'Kế hoạch'!$AO$6:$AO$305,1)&gt;0,"CV",""))</f>
      </c>
      <c r="M72" s="118" t="n"/>
      <c r="N72" s="119" t="n"/>
      <c r="O72" s="39" t="n"/>
      <c r="P72" s="117">
        <f>IF(COUNTIFS('Phản ánh'!$F$6:$F$505,"Block D",'Phản ánh'!$G$6:$G$505,$B72,'Phản ánh'!$V$6:$V$505,"&lt;&gt;Đã xử lý")&gt;0,IF((COUNTIFS('Phản ánh'!$F$6:$F$505,"Block D",'Phản ánh'!$G$6:$G$505,$B72,'Phản ánh'!$V$6:$V$505,"&lt;&gt;Đã xử lý",'Phản ánh'!$J$6:$J$505,"Khẩn cấp")+COUNTIFS('Phản ánh'!$F$6:$F$505,"Block D",'Phản ánh'!$G$6:$G$505,$B72,'Phản ánh'!$V$6:$V$505,"&lt;&gt;Đã xử lý",'Phản ánh'!$J$6:$J$505,"Cao"))&gt;0,-COUNTIFS('Phản ánh'!$F$6:$F$505,"Block D",'Phản ánh'!$G$6:$G$505,$B72,'Phản ánh'!$V$6:$V$505,"&lt;&gt;Đã xử lý"),COUNTIFS('Phản ánh'!$F$6:$F$505,"Block D",'Phản ánh'!$G$6:$G$505,$B72,'Phản ánh'!$V$6:$V$505,"&lt;&gt;Đã xử lý")),IF(COUNTIFS('Kế hoạch'!$E$6:$E$305,"Block D",'Kế hoạch'!$F$6:$F$305,$B72,'Kế hoạch'!$AO$6:$AO$305,1)&gt;0,"CV",""))</f>
      </c>
      <c r="Q72" s="118" t="n"/>
      <c r="R72" s="119" t="n"/>
      <c r="S72" s="39" t="n"/>
      <c r="T72" s="117">
        <f>IF(COUNTIFS('Phản ánh'!$F$6:$F$505,"Block E",'Phản ánh'!$G$6:$G$505,$B72,'Phản ánh'!$V$6:$V$505,"&lt;&gt;Đã xử lý")&gt;0,IF((COUNTIFS('Phản ánh'!$F$6:$F$505,"Block E",'Phản ánh'!$G$6:$G$505,$B72,'Phản ánh'!$V$6:$V$505,"&lt;&gt;Đã xử lý",'Phản ánh'!$J$6:$J$505,"Khẩn cấp")+COUNTIFS('Phản ánh'!$F$6:$F$505,"Block E",'Phản ánh'!$G$6:$G$505,$B72,'Phản ánh'!$V$6:$V$505,"&lt;&gt;Đã xử lý",'Phản ánh'!$J$6:$J$505,"Cao"))&gt;0,-COUNTIFS('Phản ánh'!$F$6:$F$505,"Block E",'Phản ánh'!$G$6:$G$505,$B72,'Phản ánh'!$V$6:$V$505,"&lt;&gt;Đã xử lý"),COUNTIFS('Phản ánh'!$F$6:$F$505,"Block E",'Phản ánh'!$G$6:$G$505,$B72,'Phản ánh'!$V$6:$V$505,"&lt;&gt;Đã xử lý")),IF(COUNTIFS('Kế hoạch'!$E$6:$E$305,"Block E",'Kế hoạch'!$F$6:$F$305,$B72,'Kế hoạch'!$AO$6:$AO$305,1)&gt;0,"CV",""))</f>
      </c>
      <c r="U72" s="118" t="n"/>
      <c r="V72" s="119" t="n"/>
      <c r="W72" s="39" t="n"/>
      <c r="X72" s="117">
        <f>IF(COUNTIFS('Phản ánh'!$F$6:$F$505,"Block G",'Phản ánh'!$G$6:$G$505,$B72,'Phản ánh'!$V$6:$V$505,"&lt;&gt;Đã xử lý")&gt;0,IF((COUNTIFS('Phản ánh'!$F$6:$F$505,"Block G",'Phản ánh'!$G$6:$G$505,$B72,'Phản ánh'!$V$6:$V$505,"&lt;&gt;Đã xử lý",'Phản ánh'!$J$6:$J$505,"Khẩn cấp")+COUNTIFS('Phản ánh'!$F$6:$F$505,"Block G",'Phản ánh'!$G$6:$G$505,$B72,'Phản ánh'!$V$6:$V$505,"&lt;&gt;Đã xử lý",'Phản ánh'!$J$6:$J$505,"Cao"))&gt;0,-COUNTIFS('Phản ánh'!$F$6:$F$505,"Block G",'Phản ánh'!$G$6:$G$505,$B72,'Phản ánh'!$V$6:$V$505,"&lt;&gt;Đã xử lý"),COUNTIFS('Phản ánh'!$F$6:$F$505,"Block G",'Phản ánh'!$G$6:$G$505,$B72,'Phản ánh'!$V$6:$V$505,"&lt;&gt;Đã xử lý")),IF(COUNTIFS('Kế hoạch'!$E$6:$E$305,"Block G",'Kế hoạch'!$F$6:$F$305,$B72,'Kế hoạch'!$AO$6:$AO$305,1)&gt;0,"CV",""))</f>
      </c>
      <c r="Y72" s="118" t="n"/>
      <c r="Z72" s="119" t="n"/>
      <c r="AA72" s="39" t="n"/>
      <c r="AB72" s="129" t="inlineStr">
        <is>
          <t>Khu hồ bơi</t>
        </is>
      </c>
      <c r="AC72" s="125" t="n"/>
      <c r="AD72" s="125" t="n"/>
      <c r="AE72" s="125" t="n"/>
      <c r="AF72" s="125" t="n"/>
      <c r="AG72" s="126">
        <f>COUNTIFS('Phản ánh'!$F$6:$F$505,$AB72,'Phản ánh'!$V$6:$V$505,"&lt;&gt;Đã xử lý")</f>
      </c>
      <c r="AH72" s="125" t="n"/>
      <c r="AI72" s="126">
        <f>COUNTIFS('Kế hoạch'!$E$6:$E$305,$AB72,'Kế hoạch'!$AO$6:$AO$305,1,'Kế hoạch'!$AR$6:$AR$305,0)</f>
      </c>
      <c r="AJ72" s="125" t="n"/>
      <c r="AK72" s="126">
        <f>COUNTIFS('Phản ánh'!$F$6:$F$505,$AB72,'Phản ánh'!$Y$6:$Y$505,"Quá hạn")+COUNTIFS('Kế hoạch'!$E$6:$E$305,$AB72,'Kế hoạch'!$AD$6:$AD$305,"Quá hạn")</f>
      </c>
      <c r="AL72" s="125" t="n"/>
      <c r="AM72" s="127">
        <f>IF(AK72&gt;0,"Cần xử lý",IF(AG72+AI72&gt;0,"Theo dõi","Ổn định"))</f>
      </c>
      <c r="AN72" s="125" t="n"/>
      <c r="AO72" s="125" t="n"/>
      <c r="AP72" s="39" t="n"/>
    </row>
    <row r="73" ht="13.5" customHeight="1">
      <c r="A73" s="39" t="n"/>
      <c r="B73" s="116" t="n">
        <v>13</v>
      </c>
      <c r="D73" s="117">
        <f>IF(COUNTIFS('Phản ánh'!$F$6:$F$505,"Block A",'Phản ánh'!$G$6:$G$505,$B73,'Phản ánh'!$V$6:$V$505,"&lt;&gt;Đã xử lý")&gt;0,IF((COUNTIFS('Phản ánh'!$F$6:$F$505,"Block A",'Phản ánh'!$G$6:$G$505,$B73,'Phản ánh'!$V$6:$V$505,"&lt;&gt;Đã xử lý",'Phản ánh'!$J$6:$J$505,"Khẩn cấp")+COUNTIFS('Phản ánh'!$F$6:$F$505,"Block A",'Phản ánh'!$G$6:$G$505,$B73,'Phản ánh'!$V$6:$V$505,"&lt;&gt;Đã xử lý",'Phản ánh'!$J$6:$J$505,"Cao"))&gt;0,-COUNTIFS('Phản ánh'!$F$6:$F$505,"Block A",'Phản ánh'!$G$6:$G$505,$B73,'Phản ánh'!$V$6:$V$505,"&lt;&gt;Đã xử lý"),COUNTIFS('Phản ánh'!$F$6:$F$505,"Block A",'Phản ánh'!$G$6:$G$505,$B73,'Phản ánh'!$V$6:$V$505,"&lt;&gt;Đã xử lý")),IF(COUNTIFS('Kế hoạch'!$E$6:$E$305,"Block A",'Kế hoạch'!$F$6:$F$305,$B73,'Kế hoạch'!$AO$6:$AO$305,1)&gt;0,"CV",""))</f>
      </c>
      <c r="E73" s="118" t="n"/>
      <c r="F73" s="119" t="n"/>
      <c r="G73" s="39" t="n"/>
      <c r="H73" s="117">
        <f>IF(COUNTIFS('Phản ánh'!$F$6:$F$505,"Block B",'Phản ánh'!$G$6:$G$505,$B73,'Phản ánh'!$V$6:$V$505,"&lt;&gt;Đã xử lý")&gt;0,IF((COUNTIFS('Phản ánh'!$F$6:$F$505,"Block B",'Phản ánh'!$G$6:$G$505,$B73,'Phản ánh'!$V$6:$V$505,"&lt;&gt;Đã xử lý",'Phản ánh'!$J$6:$J$505,"Khẩn cấp")+COUNTIFS('Phản ánh'!$F$6:$F$505,"Block B",'Phản ánh'!$G$6:$G$505,$B73,'Phản ánh'!$V$6:$V$505,"&lt;&gt;Đã xử lý",'Phản ánh'!$J$6:$J$505,"Cao"))&gt;0,-COUNTIFS('Phản ánh'!$F$6:$F$505,"Block B",'Phản ánh'!$G$6:$G$505,$B73,'Phản ánh'!$V$6:$V$505,"&lt;&gt;Đã xử lý"),COUNTIFS('Phản ánh'!$F$6:$F$505,"Block B",'Phản ánh'!$G$6:$G$505,$B73,'Phản ánh'!$V$6:$V$505,"&lt;&gt;Đã xử lý")),IF(COUNTIFS('Kế hoạch'!$E$6:$E$305,"Block B",'Kế hoạch'!$F$6:$F$305,$B73,'Kế hoạch'!$AO$6:$AO$305,1)&gt;0,"CV",""))</f>
      </c>
      <c r="I73" s="118" t="n"/>
      <c r="J73" s="119" t="n"/>
      <c r="K73" s="39" t="n"/>
      <c r="L73" s="117">
        <f>IF(COUNTIFS('Phản ánh'!$F$6:$F$505,"Block C",'Phản ánh'!$G$6:$G$505,$B73,'Phản ánh'!$V$6:$V$505,"&lt;&gt;Đã xử lý")&gt;0,IF((COUNTIFS('Phản ánh'!$F$6:$F$505,"Block C",'Phản ánh'!$G$6:$G$505,$B73,'Phản ánh'!$V$6:$V$505,"&lt;&gt;Đã xử lý",'Phản ánh'!$J$6:$J$505,"Khẩn cấp")+COUNTIFS('Phản ánh'!$F$6:$F$505,"Block C",'Phản ánh'!$G$6:$G$505,$B73,'Phản ánh'!$V$6:$V$505,"&lt;&gt;Đã xử lý",'Phản ánh'!$J$6:$J$505,"Cao"))&gt;0,-COUNTIFS('Phản ánh'!$F$6:$F$505,"Block C",'Phản ánh'!$G$6:$G$505,$B73,'Phản ánh'!$V$6:$V$505,"&lt;&gt;Đã xử lý"),COUNTIFS('Phản ánh'!$F$6:$F$505,"Block C",'Phản ánh'!$G$6:$G$505,$B73,'Phản ánh'!$V$6:$V$505,"&lt;&gt;Đã xử lý")),IF(COUNTIFS('Kế hoạch'!$E$6:$E$305,"Block C",'Kế hoạch'!$F$6:$F$305,$B73,'Kế hoạch'!$AO$6:$AO$305,1)&gt;0,"CV",""))</f>
      </c>
      <c r="M73" s="118" t="n"/>
      <c r="N73" s="119" t="n"/>
      <c r="O73" s="39" t="n"/>
      <c r="P73" s="117">
        <f>IF(COUNTIFS('Phản ánh'!$F$6:$F$505,"Block D",'Phản ánh'!$G$6:$G$505,$B73,'Phản ánh'!$V$6:$V$505,"&lt;&gt;Đã xử lý")&gt;0,IF((COUNTIFS('Phản ánh'!$F$6:$F$505,"Block D",'Phản ánh'!$G$6:$G$505,$B73,'Phản ánh'!$V$6:$V$505,"&lt;&gt;Đã xử lý",'Phản ánh'!$J$6:$J$505,"Khẩn cấp")+COUNTIFS('Phản ánh'!$F$6:$F$505,"Block D",'Phản ánh'!$G$6:$G$505,$B73,'Phản ánh'!$V$6:$V$505,"&lt;&gt;Đã xử lý",'Phản ánh'!$J$6:$J$505,"Cao"))&gt;0,-COUNTIFS('Phản ánh'!$F$6:$F$505,"Block D",'Phản ánh'!$G$6:$G$505,$B73,'Phản ánh'!$V$6:$V$505,"&lt;&gt;Đã xử lý"),COUNTIFS('Phản ánh'!$F$6:$F$505,"Block D",'Phản ánh'!$G$6:$G$505,$B73,'Phản ánh'!$V$6:$V$505,"&lt;&gt;Đã xử lý")),IF(COUNTIFS('Kế hoạch'!$E$6:$E$305,"Block D",'Kế hoạch'!$F$6:$F$305,$B73,'Kế hoạch'!$AO$6:$AO$305,1)&gt;0,"CV",""))</f>
      </c>
      <c r="Q73" s="118" t="n"/>
      <c r="R73" s="119" t="n"/>
      <c r="S73" s="39" t="n"/>
      <c r="T73" s="117">
        <f>IF(COUNTIFS('Phản ánh'!$F$6:$F$505,"Block E",'Phản ánh'!$G$6:$G$505,$B73,'Phản ánh'!$V$6:$V$505,"&lt;&gt;Đã xử lý")&gt;0,IF((COUNTIFS('Phản ánh'!$F$6:$F$505,"Block E",'Phản ánh'!$G$6:$G$505,$B73,'Phản ánh'!$V$6:$V$505,"&lt;&gt;Đã xử lý",'Phản ánh'!$J$6:$J$505,"Khẩn cấp")+COUNTIFS('Phản ánh'!$F$6:$F$505,"Block E",'Phản ánh'!$G$6:$G$505,$B73,'Phản ánh'!$V$6:$V$505,"&lt;&gt;Đã xử lý",'Phản ánh'!$J$6:$J$505,"Cao"))&gt;0,-COUNTIFS('Phản ánh'!$F$6:$F$505,"Block E",'Phản ánh'!$G$6:$G$505,$B73,'Phản ánh'!$V$6:$V$505,"&lt;&gt;Đã xử lý"),COUNTIFS('Phản ánh'!$F$6:$F$505,"Block E",'Phản ánh'!$G$6:$G$505,$B73,'Phản ánh'!$V$6:$V$505,"&lt;&gt;Đã xử lý")),IF(COUNTIFS('Kế hoạch'!$E$6:$E$305,"Block E",'Kế hoạch'!$F$6:$F$305,$B73,'Kế hoạch'!$AO$6:$AO$305,1)&gt;0,"CV",""))</f>
      </c>
      <c r="U73" s="118" t="n"/>
      <c r="V73" s="119" t="n"/>
      <c r="W73" s="39" t="n"/>
      <c r="X73" s="117">
        <f>IF(COUNTIFS('Phản ánh'!$F$6:$F$505,"Block G",'Phản ánh'!$G$6:$G$505,$B73,'Phản ánh'!$V$6:$V$505,"&lt;&gt;Đã xử lý")&gt;0,IF((COUNTIFS('Phản ánh'!$F$6:$F$505,"Block G",'Phản ánh'!$G$6:$G$505,$B73,'Phản ánh'!$V$6:$V$505,"&lt;&gt;Đã xử lý",'Phản ánh'!$J$6:$J$505,"Khẩn cấp")+COUNTIFS('Phản ánh'!$F$6:$F$505,"Block G",'Phản ánh'!$G$6:$G$505,$B73,'Phản ánh'!$V$6:$V$505,"&lt;&gt;Đã xử lý",'Phản ánh'!$J$6:$J$505,"Cao"))&gt;0,-COUNTIFS('Phản ánh'!$F$6:$F$505,"Block G",'Phản ánh'!$G$6:$G$505,$B73,'Phản ánh'!$V$6:$V$505,"&lt;&gt;Đã xử lý"),COUNTIFS('Phản ánh'!$F$6:$F$505,"Block G",'Phản ánh'!$G$6:$G$505,$B73,'Phản ánh'!$V$6:$V$505,"&lt;&gt;Đã xử lý")),IF(COUNTIFS('Kế hoạch'!$E$6:$E$305,"Block G",'Kế hoạch'!$F$6:$F$305,$B73,'Kế hoạch'!$AO$6:$AO$305,1)&gt;0,"CV",""))</f>
      </c>
      <c r="Y73" s="118" t="n"/>
      <c r="Z73" s="119" t="n"/>
      <c r="AA73" s="39" t="n"/>
      <c r="AB73" s="128" t="inlineStr">
        <is>
          <t>Hồ bơi lớn</t>
        </is>
      </c>
      <c r="AC73" s="121" t="n"/>
      <c r="AD73" s="121" t="n"/>
      <c r="AE73" s="121" t="n"/>
      <c r="AF73" s="121" t="n"/>
      <c r="AG73" s="122">
        <f>COUNTIFS('Phản ánh'!$F$6:$F$505,$AB73,'Phản ánh'!$V$6:$V$505,"&lt;&gt;Đã xử lý")</f>
      </c>
      <c r="AH73" s="121" t="n"/>
      <c r="AI73" s="122">
        <f>COUNTIFS('Kế hoạch'!$E$6:$E$305,$AB73,'Kế hoạch'!$AO$6:$AO$305,1,'Kế hoạch'!$AR$6:$AR$305,0)</f>
      </c>
      <c r="AJ73" s="121" t="n"/>
      <c r="AK73" s="122">
        <f>COUNTIFS('Phản ánh'!$F$6:$F$505,$AB73,'Phản ánh'!$Y$6:$Y$505,"Quá hạn")+COUNTIFS('Kế hoạch'!$E$6:$E$305,$AB73,'Kế hoạch'!$AD$6:$AD$305,"Quá hạn")</f>
      </c>
      <c r="AL73" s="121" t="n"/>
      <c r="AM73" s="123">
        <f>IF(AK73&gt;0,"Cần xử lý",IF(AG73+AI73&gt;0,"Theo dõi","Ổn định"))</f>
      </c>
      <c r="AN73" s="121" t="n"/>
      <c r="AO73" s="121" t="n"/>
      <c r="AP73" s="39" t="n"/>
    </row>
    <row r="74" ht="13.5" customHeight="1">
      <c r="A74" s="39" t="n"/>
      <c r="B74" s="116" t="n">
        <v>12</v>
      </c>
      <c r="D74" s="117">
        <f>IF(COUNTIFS('Phản ánh'!$F$6:$F$505,"Block A",'Phản ánh'!$G$6:$G$505,$B74,'Phản ánh'!$V$6:$V$505,"&lt;&gt;Đã xử lý")&gt;0,IF((COUNTIFS('Phản ánh'!$F$6:$F$505,"Block A",'Phản ánh'!$G$6:$G$505,$B74,'Phản ánh'!$V$6:$V$505,"&lt;&gt;Đã xử lý",'Phản ánh'!$J$6:$J$505,"Khẩn cấp")+COUNTIFS('Phản ánh'!$F$6:$F$505,"Block A",'Phản ánh'!$G$6:$G$505,$B74,'Phản ánh'!$V$6:$V$505,"&lt;&gt;Đã xử lý",'Phản ánh'!$J$6:$J$505,"Cao"))&gt;0,-COUNTIFS('Phản ánh'!$F$6:$F$505,"Block A",'Phản ánh'!$G$6:$G$505,$B74,'Phản ánh'!$V$6:$V$505,"&lt;&gt;Đã xử lý"),COUNTIFS('Phản ánh'!$F$6:$F$505,"Block A",'Phản ánh'!$G$6:$G$505,$B74,'Phản ánh'!$V$6:$V$505,"&lt;&gt;Đã xử lý")),IF(COUNTIFS('Kế hoạch'!$E$6:$E$305,"Block A",'Kế hoạch'!$F$6:$F$305,$B74,'Kế hoạch'!$AO$6:$AO$305,1)&gt;0,"CV",""))</f>
      </c>
      <c r="E74" s="118" t="n"/>
      <c r="F74" s="119" t="n"/>
      <c r="G74" s="39" t="n"/>
      <c r="H74" s="117">
        <f>IF(COUNTIFS('Phản ánh'!$F$6:$F$505,"Block B",'Phản ánh'!$G$6:$G$505,$B74,'Phản ánh'!$V$6:$V$505,"&lt;&gt;Đã xử lý")&gt;0,IF((COUNTIFS('Phản ánh'!$F$6:$F$505,"Block B",'Phản ánh'!$G$6:$G$505,$B74,'Phản ánh'!$V$6:$V$505,"&lt;&gt;Đã xử lý",'Phản ánh'!$J$6:$J$505,"Khẩn cấp")+COUNTIFS('Phản ánh'!$F$6:$F$505,"Block B",'Phản ánh'!$G$6:$G$505,$B74,'Phản ánh'!$V$6:$V$505,"&lt;&gt;Đã xử lý",'Phản ánh'!$J$6:$J$505,"Cao"))&gt;0,-COUNTIFS('Phản ánh'!$F$6:$F$505,"Block B",'Phản ánh'!$G$6:$G$505,$B74,'Phản ánh'!$V$6:$V$505,"&lt;&gt;Đã xử lý"),COUNTIFS('Phản ánh'!$F$6:$F$505,"Block B",'Phản ánh'!$G$6:$G$505,$B74,'Phản ánh'!$V$6:$V$505,"&lt;&gt;Đã xử lý")),IF(COUNTIFS('Kế hoạch'!$E$6:$E$305,"Block B",'Kế hoạch'!$F$6:$F$305,$B74,'Kế hoạch'!$AO$6:$AO$305,1)&gt;0,"CV",""))</f>
      </c>
      <c r="I74" s="118" t="n"/>
      <c r="J74" s="119" t="n"/>
      <c r="K74" s="39" t="n"/>
      <c r="L74" s="117">
        <f>IF(COUNTIFS('Phản ánh'!$F$6:$F$505,"Block C",'Phản ánh'!$G$6:$G$505,$B74,'Phản ánh'!$V$6:$V$505,"&lt;&gt;Đã xử lý")&gt;0,IF((COUNTIFS('Phản ánh'!$F$6:$F$505,"Block C",'Phản ánh'!$G$6:$G$505,$B74,'Phản ánh'!$V$6:$V$505,"&lt;&gt;Đã xử lý",'Phản ánh'!$J$6:$J$505,"Khẩn cấp")+COUNTIFS('Phản ánh'!$F$6:$F$505,"Block C",'Phản ánh'!$G$6:$G$505,$B74,'Phản ánh'!$V$6:$V$505,"&lt;&gt;Đã xử lý",'Phản ánh'!$J$6:$J$505,"Cao"))&gt;0,-COUNTIFS('Phản ánh'!$F$6:$F$505,"Block C",'Phản ánh'!$G$6:$G$505,$B74,'Phản ánh'!$V$6:$V$505,"&lt;&gt;Đã xử lý"),COUNTIFS('Phản ánh'!$F$6:$F$505,"Block C",'Phản ánh'!$G$6:$G$505,$B74,'Phản ánh'!$V$6:$V$505,"&lt;&gt;Đã xử lý")),IF(COUNTIFS('Kế hoạch'!$E$6:$E$305,"Block C",'Kế hoạch'!$F$6:$F$305,$B74,'Kế hoạch'!$AO$6:$AO$305,1)&gt;0,"CV",""))</f>
      </c>
      <c r="M74" s="118" t="n"/>
      <c r="N74" s="119" t="n"/>
      <c r="O74" s="39" t="n"/>
      <c r="P74" s="117">
        <f>IF(COUNTIFS('Phản ánh'!$F$6:$F$505,"Block D",'Phản ánh'!$G$6:$G$505,$B74,'Phản ánh'!$V$6:$V$505,"&lt;&gt;Đã xử lý")&gt;0,IF((COUNTIFS('Phản ánh'!$F$6:$F$505,"Block D",'Phản ánh'!$G$6:$G$505,$B74,'Phản ánh'!$V$6:$V$505,"&lt;&gt;Đã xử lý",'Phản ánh'!$J$6:$J$505,"Khẩn cấp")+COUNTIFS('Phản ánh'!$F$6:$F$505,"Block D",'Phản ánh'!$G$6:$G$505,$B74,'Phản ánh'!$V$6:$V$505,"&lt;&gt;Đã xử lý",'Phản ánh'!$J$6:$J$505,"Cao"))&gt;0,-COUNTIFS('Phản ánh'!$F$6:$F$505,"Block D",'Phản ánh'!$G$6:$G$505,$B74,'Phản ánh'!$V$6:$V$505,"&lt;&gt;Đã xử lý"),COUNTIFS('Phản ánh'!$F$6:$F$505,"Block D",'Phản ánh'!$G$6:$G$505,$B74,'Phản ánh'!$V$6:$V$505,"&lt;&gt;Đã xử lý")),IF(COUNTIFS('Kế hoạch'!$E$6:$E$305,"Block D",'Kế hoạch'!$F$6:$F$305,$B74,'Kế hoạch'!$AO$6:$AO$305,1)&gt;0,"CV",""))</f>
      </c>
      <c r="Q74" s="118" t="n"/>
      <c r="R74" s="119" t="n"/>
      <c r="S74" s="39" t="n"/>
      <c r="T74" s="117">
        <f>IF(COUNTIFS('Phản ánh'!$F$6:$F$505,"Block E",'Phản ánh'!$G$6:$G$505,$B74,'Phản ánh'!$V$6:$V$505,"&lt;&gt;Đã xử lý")&gt;0,IF((COUNTIFS('Phản ánh'!$F$6:$F$505,"Block E",'Phản ánh'!$G$6:$G$505,$B74,'Phản ánh'!$V$6:$V$505,"&lt;&gt;Đã xử lý",'Phản ánh'!$J$6:$J$505,"Khẩn cấp")+COUNTIFS('Phản ánh'!$F$6:$F$505,"Block E",'Phản ánh'!$G$6:$G$505,$B74,'Phản ánh'!$V$6:$V$505,"&lt;&gt;Đã xử lý",'Phản ánh'!$J$6:$J$505,"Cao"))&gt;0,-COUNTIFS('Phản ánh'!$F$6:$F$505,"Block E",'Phản ánh'!$G$6:$G$505,$B74,'Phản ánh'!$V$6:$V$505,"&lt;&gt;Đã xử lý"),COUNTIFS('Phản ánh'!$F$6:$F$505,"Block E",'Phản ánh'!$G$6:$G$505,$B74,'Phản ánh'!$V$6:$V$505,"&lt;&gt;Đã xử lý")),IF(COUNTIFS('Kế hoạch'!$E$6:$E$305,"Block E",'Kế hoạch'!$F$6:$F$305,$B74,'Kế hoạch'!$AO$6:$AO$305,1)&gt;0,"CV",""))</f>
      </c>
      <c r="U74" s="118" t="n"/>
      <c r="V74" s="119" t="n"/>
      <c r="W74" s="39" t="n"/>
      <c r="X74" s="117">
        <f>IF(COUNTIFS('Phản ánh'!$F$6:$F$505,"Block G",'Phản ánh'!$G$6:$G$505,$B74,'Phản ánh'!$V$6:$V$505,"&lt;&gt;Đã xử lý")&gt;0,IF((COUNTIFS('Phản ánh'!$F$6:$F$505,"Block G",'Phản ánh'!$G$6:$G$505,$B74,'Phản ánh'!$V$6:$V$505,"&lt;&gt;Đã xử lý",'Phản ánh'!$J$6:$J$505,"Khẩn cấp")+COUNTIFS('Phản ánh'!$F$6:$F$505,"Block G",'Phản ánh'!$G$6:$G$505,$B74,'Phản ánh'!$V$6:$V$505,"&lt;&gt;Đã xử lý",'Phản ánh'!$J$6:$J$505,"Cao"))&gt;0,-COUNTIFS('Phản ánh'!$F$6:$F$505,"Block G",'Phản ánh'!$G$6:$G$505,$B74,'Phản ánh'!$V$6:$V$505,"&lt;&gt;Đã xử lý"),COUNTIFS('Phản ánh'!$F$6:$F$505,"Block G",'Phản ánh'!$G$6:$G$505,$B74,'Phản ánh'!$V$6:$V$505,"&lt;&gt;Đã xử lý")),IF(COUNTIFS('Kế hoạch'!$E$6:$E$305,"Block G",'Kế hoạch'!$F$6:$F$305,$B74,'Kế hoạch'!$AO$6:$AO$305,1)&gt;0,"CV",""))</f>
      </c>
      <c r="Y74" s="118" t="n"/>
      <c r="Z74" s="119" t="n"/>
      <c r="AA74" s="39" t="n"/>
      <c r="AB74" s="129" t="inlineStr">
        <is>
          <t>Hồ bơi nhỏ</t>
        </is>
      </c>
      <c r="AC74" s="125" t="n"/>
      <c r="AD74" s="125" t="n"/>
      <c r="AE74" s="125" t="n"/>
      <c r="AF74" s="125" t="n"/>
      <c r="AG74" s="126">
        <f>COUNTIFS('Phản ánh'!$F$6:$F$505,$AB74,'Phản ánh'!$V$6:$V$505,"&lt;&gt;Đã xử lý")</f>
      </c>
      <c r="AH74" s="125" t="n"/>
      <c r="AI74" s="126">
        <f>COUNTIFS('Kế hoạch'!$E$6:$E$305,$AB74,'Kế hoạch'!$AO$6:$AO$305,1,'Kế hoạch'!$AR$6:$AR$305,0)</f>
      </c>
      <c r="AJ74" s="125" t="n"/>
      <c r="AK74" s="126">
        <f>COUNTIFS('Phản ánh'!$F$6:$F$505,$AB74,'Phản ánh'!$Y$6:$Y$505,"Quá hạn")+COUNTIFS('Kế hoạch'!$E$6:$E$305,$AB74,'Kế hoạch'!$AD$6:$AD$305,"Quá hạn")</f>
      </c>
      <c r="AL74" s="125" t="n"/>
      <c r="AM74" s="127">
        <f>IF(AK74&gt;0,"Cần xử lý",IF(AG74+AI74&gt;0,"Theo dõi","Ổn định"))</f>
      </c>
      <c r="AN74" s="125" t="n"/>
      <c r="AO74" s="125" t="n"/>
      <c r="AP74" s="39" t="n"/>
    </row>
    <row r="75" ht="13.5" customHeight="1">
      <c r="A75" s="39" t="n"/>
      <c r="B75" s="116" t="n">
        <v>11</v>
      </c>
      <c r="D75" s="117">
        <f>IF(COUNTIFS('Phản ánh'!$F$6:$F$505,"Block A",'Phản ánh'!$G$6:$G$505,$B75,'Phản ánh'!$V$6:$V$505,"&lt;&gt;Đã xử lý")&gt;0,IF((COUNTIFS('Phản ánh'!$F$6:$F$505,"Block A",'Phản ánh'!$G$6:$G$505,$B75,'Phản ánh'!$V$6:$V$505,"&lt;&gt;Đã xử lý",'Phản ánh'!$J$6:$J$505,"Khẩn cấp")+COUNTIFS('Phản ánh'!$F$6:$F$505,"Block A",'Phản ánh'!$G$6:$G$505,$B75,'Phản ánh'!$V$6:$V$505,"&lt;&gt;Đã xử lý",'Phản ánh'!$J$6:$J$505,"Cao"))&gt;0,-COUNTIFS('Phản ánh'!$F$6:$F$505,"Block A",'Phản ánh'!$G$6:$G$505,$B75,'Phản ánh'!$V$6:$V$505,"&lt;&gt;Đã xử lý"),COUNTIFS('Phản ánh'!$F$6:$F$505,"Block A",'Phản ánh'!$G$6:$G$505,$B75,'Phản ánh'!$V$6:$V$505,"&lt;&gt;Đã xử lý")),IF(COUNTIFS('Kế hoạch'!$E$6:$E$305,"Block A",'Kế hoạch'!$F$6:$F$305,$B75,'Kế hoạch'!$AO$6:$AO$305,1)&gt;0,"CV",""))</f>
      </c>
      <c r="E75" s="118" t="n"/>
      <c r="F75" s="119" t="n"/>
      <c r="G75" s="39" t="n"/>
      <c r="H75" s="117">
        <f>IF(COUNTIFS('Phản ánh'!$F$6:$F$505,"Block B",'Phản ánh'!$G$6:$G$505,$B75,'Phản ánh'!$V$6:$V$505,"&lt;&gt;Đã xử lý")&gt;0,IF((COUNTIFS('Phản ánh'!$F$6:$F$505,"Block B",'Phản ánh'!$G$6:$G$505,$B75,'Phản ánh'!$V$6:$V$505,"&lt;&gt;Đã xử lý",'Phản ánh'!$J$6:$J$505,"Khẩn cấp")+COUNTIFS('Phản ánh'!$F$6:$F$505,"Block B",'Phản ánh'!$G$6:$G$505,$B75,'Phản ánh'!$V$6:$V$505,"&lt;&gt;Đã xử lý",'Phản ánh'!$J$6:$J$505,"Cao"))&gt;0,-COUNTIFS('Phản ánh'!$F$6:$F$505,"Block B",'Phản ánh'!$G$6:$G$505,$B75,'Phản ánh'!$V$6:$V$505,"&lt;&gt;Đã xử lý"),COUNTIFS('Phản ánh'!$F$6:$F$505,"Block B",'Phản ánh'!$G$6:$G$505,$B75,'Phản ánh'!$V$6:$V$505,"&lt;&gt;Đã xử lý")),IF(COUNTIFS('Kế hoạch'!$E$6:$E$305,"Block B",'Kế hoạch'!$F$6:$F$305,$B75,'Kế hoạch'!$AO$6:$AO$305,1)&gt;0,"CV",""))</f>
      </c>
      <c r="I75" s="118" t="n"/>
      <c r="J75" s="119" t="n"/>
      <c r="K75" s="39" t="n"/>
      <c r="L75" s="117">
        <f>IF(COUNTIFS('Phản ánh'!$F$6:$F$505,"Block C",'Phản ánh'!$G$6:$G$505,$B75,'Phản ánh'!$V$6:$V$505,"&lt;&gt;Đã xử lý")&gt;0,IF((COUNTIFS('Phản ánh'!$F$6:$F$505,"Block C",'Phản ánh'!$G$6:$G$505,$B75,'Phản ánh'!$V$6:$V$505,"&lt;&gt;Đã xử lý",'Phản ánh'!$J$6:$J$505,"Khẩn cấp")+COUNTIFS('Phản ánh'!$F$6:$F$505,"Block C",'Phản ánh'!$G$6:$G$505,$B75,'Phản ánh'!$V$6:$V$505,"&lt;&gt;Đã xử lý",'Phản ánh'!$J$6:$J$505,"Cao"))&gt;0,-COUNTIFS('Phản ánh'!$F$6:$F$505,"Block C",'Phản ánh'!$G$6:$G$505,$B75,'Phản ánh'!$V$6:$V$505,"&lt;&gt;Đã xử lý"),COUNTIFS('Phản ánh'!$F$6:$F$505,"Block C",'Phản ánh'!$G$6:$G$505,$B75,'Phản ánh'!$V$6:$V$505,"&lt;&gt;Đã xử lý")),IF(COUNTIFS('Kế hoạch'!$E$6:$E$305,"Block C",'Kế hoạch'!$F$6:$F$305,$B75,'Kế hoạch'!$AO$6:$AO$305,1)&gt;0,"CV",""))</f>
      </c>
      <c r="M75" s="118" t="n"/>
      <c r="N75" s="119" t="n"/>
      <c r="O75" s="39" t="n"/>
      <c r="P75" s="117">
        <f>IF(COUNTIFS('Phản ánh'!$F$6:$F$505,"Block D",'Phản ánh'!$G$6:$G$505,$B75,'Phản ánh'!$V$6:$V$505,"&lt;&gt;Đã xử lý")&gt;0,IF((COUNTIFS('Phản ánh'!$F$6:$F$505,"Block D",'Phản ánh'!$G$6:$G$505,$B75,'Phản ánh'!$V$6:$V$505,"&lt;&gt;Đã xử lý",'Phản ánh'!$J$6:$J$505,"Khẩn cấp")+COUNTIFS('Phản ánh'!$F$6:$F$505,"Block D",'Phản ánh'!$G$6:$G$505,$B75,'Phản ánh'!$V$6:$V$505,"&lt;&gt;Đã xử lý",'Phản ánh'!$J$6:$J$505,"Cao"))&gt;0,-COUNTIFS('Phản ánh'!$F$6:$F$505,"Block D",'Phản ánh'!$G$6:$G$505,$B75,'Phản ánh'!$V$6:$V$505,"&lt;&gt;Đã xử lý"),COUNTIFS('Phản ánh'!$F$6:$F$505,"Block D",'Phản ánh'!$G$6:$G$505,$B75,'Phản ánh'!$V$6:$V$505,"&lt;&gt;Đã xử lý")),IF(COUNTIFS('Kế hoạch'!$E$6:$E$305,"Block D",'Kế hoạch'!$F$6:$F$305,$B75,'Kế hoạch'!$AO$6:$AO$305,1)&gt;0,"CV",""))</f>
      </c>
      <c r="Q75" s="118" t="n"/>
      <c r="R75" s="119" t="n"/>
      <c r="S75" s="39" t="n"/>
      <c r="T75" s="117">
        <f>IF(COUNTIFS('Phản ánh'!$F$6:$F$505,"Block E",'Phản ánh'!$G$6:$G$505,$B75,'Phản ánh'!$V$6:$V$505,"&lt;&gt;Đã xử lý")&gt;0,IF((COUNTIFS('Phản ánh'!$F$6:$F$505,"Block E",'Phản ánh'!$G$6:$G$505,$B75,'Phản ánh'!$V$6:$V$505,"&lt;&gt;Đã xử lý",'Phản ánh'!$J$6:$J$505,"Khẩn cấp")+COUNTIFS('Phản ánh'!$F$6:$F$505,"Block E",'Phản ánh'!$G$6:$G$505,$B75,'Phản ánh'!$V$6:$V$505,"&lt;&gt;Đã xử lý",'Phản ánh'!$J$6:$J$505,"Cao"))&gt;0,-COUNTIFS('Phản ánh'!$F$6:$F$505,"Block E",'Phản ánh'!$G$6:$G$505,$B75,'Phản ánh'!$V$6:$V$505,"&lt;&gt;Đã xử lý"),COUNTIFS('Phản ánh'!$F$6:$F$505,"Block E",'Phản ánh'!$G$6:$G$505,$B75,'Phản ánh'!$V$6:$V$505,"&lt;&gt;Đã xử lý")),IF(COUNTIFS('Kế hoạch'!$E$6:$E$305,"Block E",'Kế hoạch'!$F$6:$F$305,$B75,'Kế hoạch'!$AO$6:$AO$305,1)&gt;0,"CV",""))</f>
      </c>
      <c r="U75" s="118" t="n"/>
      <c r="V75" s="119" t="n"/>
      <c r="W75" s="39" t="n"/>
      <c r="X75" s="117">
        <f>IF(COUNTIFS('Phản ánh'!$F$6:$F$505,"Block G",'Phản ánh'!$G$6:$G$505,$B75,'Phản ánh'!$V$6:$V$505,"&lt;&gt;Đã xử lý")&gt;0,IF((COUNTIFS('Phản ánh'!$F$6:$F$505,"Block G",'Phản ánh'!$G$6:$G$505,$B75,'Phản ánh'!$V$6:$V$505,"&lt;&gt;Đã xử lý",'Phản ánh'!$J$6:$J$505,"Khẩn cấp")+COUNTIFS('Phản ánh'!$F$6:$F$505,"Block G",'Phản ánh'!$G$6:$G$505,$B75,'Phản ánh'!$V$6:$V$505,"&lt;&gt;Đã xử lý",'Phản ánh'!$J$6:$J$505,"Cao"))&gt;0,-COUNTIFS('Phản ánh'!$F$6:$F$505,"Block G",'Phản ánh'!$G$6:$G$505,$B75,'Phản ánh'!$V$6:$V$505,"&lt;&gt;Đã xử lý"),COUNTIFS('Phản ánh'!$F$6:$F$505,"Block G",'Phản ánh'!$G$6:$G$505,$B75,'Phản ánh'!$V$6:$V$505,"&lt;&gt;Đã xử lý")),IF(COUNTIFS('Kế hoạch'!$E$6:$E$305,"Block G",'Kế hoạch'!$F$6:$F$305,$B75,'Kế hoạch'!$AO$6:$AO$305,1)&gt;0,"CV",""))</f>
      </c>
      <c r="Y75" s="118" t="n"/>
      <c r="Z75" s="119" t="n"/>
      <c r="AA75" s="39" t="n"/>
      <c r="AB75" s="128" t="inlineStr">
        <is>
          <t>Phòng gym</t>
        </is>
      </c>
      <c r="AC75" s="121" t="n"/>
      <c r="AD75" s="121" t="n"/>
      <c r="AE75" s="121" t="n"/>
      <c r="AF75" s="121" t="n"/>
      <c r="AG75" s="122">
        <f>COUNTIFS('Phản ánh'!$F$6:$F$505,$AB75,'Phản ánh'!$V$6:$V$505,"&lt;&gt;Đã xử lý")</f>
      </c>
      <c r="AH75" s="121" t="n"/>
      <c r="AI75" s="122">
        <f>COUNTIFS('Kế hoạch'!$E$6:$E$305,$AB75,'Kế hoạch'!$AO$6:$AO$305,1,'Kế hoạch'!$AR$6:$AR$305,0)</f>
      </c>
      <c r="AJ75" s="121" t="n"/>
      <c r="AK75" s="122">
        <f>COUNTIFS('Phản ánh'!$F$6:$F$505,$AB75,'Phản ánh'!$Y$6:$Y$505,"Quá hạn")+COUNTIFS('Kế hoạch'!$E$6:$E$305,$AB75,'Kế hoạch'!$AD$6:$AD$305,"Quá hạn")</f>
      </c>
      <c r="AL75" s="121" t="n"/>
      <c r="AM75" s="123">
        <f>IF(AK75&gt;0,"Cần xử lý",IF(AG75+AI75&gt;0,"Theo dõi","Ổn định"))</f>
      </c>
      <c r="AN75" s="121" t="n"/>
      <c r="AO75" s="121" t="n"/>
      <c r="AP75" s="39" t="n"/>
    </row>
    <row r="76" ht="13.5" customHeight="1">
      <c r="A76" s="39" t="n"/>
      <c r="B76" s="116" t="n">
        <v>10</v>
      </c>
      <c r="D76" s="117">
        <f>IF(COUNTIFS('Phản ánh'!$F$6:$F$505,"Block A",'Phản ánh'!$G$6:$G$505,$B76,'Phản ánh'!$V$6:$V$505,"&lt;&gt;Đã xử lý")&gt;0,IF((COUNTIFS('Phản ánh'!$F$6:$F$505,"Block A",'Phản ánh'!$G$6:$G$505,$B76,'Phản ánh'!$V$6:$V$505,"&lt;&gt;Đã xử lý",'Phản ánh'!$J$6:$J$505,"Khẩn cấp")+COUNTIFS('Phản ánh'!$F$6:$F$505,"Block A",'Phản ánh'!$G$6:$G$505,$B76,'Phản ánh'!$V$6:$V$505,"&lt;&gt;Đã xử lý",'Phản ánh'!$J$6:$J$505,"Cao"))&gt;0,-COUNTIFS('Phản ánh'!$F$6:$F$505,"Block A",'Phản ánh'!$G$6:$G$505,$B76,'Phản ánh'!$V$6:$V$505,"&lt;&gt;Đã xử lý"),COUNTIFS('Phản ánh'!$F$6:$F$505,"Block A",'Phản ánh'!$G$6:$G$505,$B76,'Phản ánh'!$V$6:$V$505,"&lt;&gt;Đã xử lý")),IF(COUNTIFS('Kế hoạch'!$E$6:$E$305,"Block A",'Kế hoạch'!$F$6:$F$305,$B76,'Kế hoạch'!$AO$6:$AO$305,1)&gt;0,"CV",""))</f>
      </c>
      <c r="E76" s="118" t="n"/>
      <c r="F76" s="119" t="n"/>
      <c r="G76" s="39" t="n"/>
      <c r="H76" s="117">
        <f>IF(COUNTIFS('Phản ánh'!$F$6:$F$505,"Block B",'Phản ánh'!$G$6:$G$505,$B76,'Phản ánh'!$V$6:$V$505,"&lt;&gt;Đã xử lý")&gt;0,IF((COUNTIFS('Phản ánh'!$F$6:$F$505,"Block B",'Phản ánh'!$G$6:$G$505,$B76,'Phản ánh'!$V$6:$V$505,"&lt;&gt;Đã xử lý",'Phản ánh'!$J$6:$J$505,"Khẩn cấp")+COUNTIFS('Phản ánh'!$F$6:$F$505,"Block B",'Phản ánh'!$G$6:$G$505,$B76,'Phản ánh'!$V$6:$V$505,"&lt;&gt;Đã xử lý",'Phản ánh'!$J$6:$J$505,"Cao"))&gt;0,-COUNTIFS('Phản ánh'!$F$6:$F$505,"Block B",'Phản ánh'!$G$6:$G$505,$B76,'Phản ánh'!$V$6:$V$505,"&lt;&gt;Đã xử lý"),COUNTIFS('Phản ánh'!$F$6:$F$505,"Block B",'Phản ánh'!$G$6:$G$505,$B76,'Phản ánh'!$V$6:$V$505,"&lt;&gt;Đã xử lý")),IF(COUNTIFS('Kế hoạch'!$E$6:$E$305,"Block B",'Kế hoạch'!$F$6:$F$305,$B76,'Kế hoạch'!$AO$6:$AO$305,1)&gt;0,"CV",""))</f>
      </c>
      <c r="I76" s="118" t="n"/>
      <c r="J76" s="119" t="n"/>
      <c r="K76" s="39" t="n"/>
      <c r="L76" s="117">
        <f>IF(COUNTIFS('Phản ánh'!$F$6:$F$505,"Block C",'Phản ánh'!$G$6:$G$505,$B76,'Phản ánh'!$V$6:$V$505,"&lt;&gt;Đã xử lý")&gt;0,IF((COUNTIFS('Phản ánh'!$F$6:$F$505,"Block C",'Phản ánh'!$G$6:$G$505,$B76,'Phản ánh'!$V$6:$V$505,"&lt;&gt;Đã xử lý",'Phản ánh'!$J$6:$J$505,"Khẩn cấp")+COUNTIFS('Phản ánh'!$F$6:$F$505,"Block C",'Phản ánh'!$G$6:$G$505,$B76,'Phản ánh'!$V$6:$V$505,"&lt;&gt;Đã xử lý",'Phản ánh'!$J$6:$J$505,"Cao"))&gt;0,-COUNTIFS('Phản ánh'!$F$6:$F$505,"Block C",'Phản ánh'!$G$6:$G$505,$B76,'Phản ánh'!$V$6:$V$505,"&lt;&gt;Đã xử lý"),COUNTIFS('Phản ánh'!$F$6:$F$505,"Block C",'Phản ánh'!$G$6:$G$505,$B76,'Phản ánh'!$V$6:$V$505,"&lt;&gt;Đã xử lý")),IF(COUNTIFS('Kế hoạch'!$E$6:$E$305,"Block C",'Kế hoạch'!$F$6:$F$305,$B76,'Kế hoạch'!$AO$6:$AO$305,1)&gt;0,"CV",""))</f>
      </c>
      <c r="M76" s="118" t="n"/>
      <c r="N76" s="119" t="n"/>
      <c r="O76" s="39" t="n"/>
      <c r="P76" s="117">
        <f>IF(COUNTIFS('Phản ánh'!$F$6:$F$505,"Block D",'Phản ánh'!$G$6:$G$505,$B76,'Phản ánh'!$V$6:$V$505,"&lt;&gt;Đã xử lý")&gt;0,IF((COUNTIFS('Phản ánh'!$F$6:$F$505,"Block D",'Phản ánh'!$G$6:$G$505,$B76,'Phản ánh'!$V$6:$V$505,"&lt;&gt;Đã xử lý",'Phản ánh'!$J$6:$J$505,"Khẩn cấp")+COUNTIFS('Phản ánh'!$F$6:$F$505,"Block D",'Phản ánh'!$G$6:$G$505,$B76,'Phản ánh'!$V$6:$V$505,"&lt;&gt;Đã xử lý",'Phản ánh'!$J$6:$J$505,"Cao"))&gt;0,-COUNTIFS('Phản ánh'!$F$6:$F$505,"Block D",'Phản ánh'!$G$6:$G$505,$B76,'Phản ánh'!$V$6:$V$505,"&lt;&gt;Đã xử lý"),COUNTIFS('Phản ánh'!$F$6:$F$505,"Block D",'Phản ánh'!$G$6:$G$505,$B76,'Phản ánh'!$V$6:$V$505,"&lt;&gt;Đã xử lý")),IF(COUNTIFS('Kế hoạch'!$E$6:$E$305,"Block D",'Kế hoạch'!$F$6:$F$305,$B76,'Kế hoạch'!$AO$6:$AO$305,1)&gt;0,"CV",""))</f>
      </c>
      <c r="Q76" s="118" t="n"/>
      <c r="R76" s="119" t="n"/>
      <c r="S76" s="39" t="n"/>
      <c r="T76" s="117">
        <f>IF(COUNTIFS('Phản ánh'!$F$6:$F$505,"Block E",'Phản ánh'!$G$6:$G$505,$B76,'Phản ánh'!$V$6:$V$505,"&lt;&gt;Đã xử lý")&gt;0,IF((COUNTIFS('Phản ánh'!$F$6:$F$505,"Block E",'Phản ánh'!$G$6:$G$505,$B76,'Phản ánh'!$V$6:$V$505,"&lt;&gt;Đã xử lý",'Phản ánh'!$J$6:$J$505,"Khẩn cấp")+COUNTIFS('Phản ánh'!$F$6:$F$505,"Block E",'Phản ánh'!$G$6:$G$505,$B76,'Phản ánh'!$V$6:$V$505,"&lt;&gt;Đã xử lý",'Phản ánh'!$J$6:$J$505,"Cao"))&gt;0,-COUNTIFS('Phản ánh'!$F$6:$F$505,"Block E",'Phản ánh'!$G$6:$G$505,$B76,'Phản ánh'!$V$6:$V$505,"&lt;&gt;Đã xử lý"),COUNTIFS('Phản ánh'!$F$6:$F$505,"Block E",'Phản ánh'!$G$6:$G$505,$B76,'Phản ánh'!$V$6:$V$505,"&lt;&gt;Đã xử lý")),IF(COUNTIFS('Kế hoạch'!$E$6:$E$305,"Block E",'Kế hoạch'!$F$6:$F$305,$B76,'Kế hoạch'!$AO$6:$AO$305,1)&gt;0,"CV",""))</f>
      </c>
      <c r="U76" s="118" t="n"/>
      <c r="V76" s="119" t="n"/>
      <c r="W76" s="39" t="n"/>
      <c r="X76" s="117">
        <f>IF(COUNTIFS('Phản ánh'!$F$6:$F$505,"Block G",'Phản ánh'!$G$6:$G$505,$B76,'Phản ánh'!$V$6:$V$505,"&lt;&gt;Đã xử lý")&gt;0,IF((COUNTIFS('Phản ánh'!$F$6:$F$505,"Block G",'Phản ánh'!$G$6:$G$505,$B76,'Phản ánh'!$V$6:$V$505,"&lt;&gt;Đã xử lý",'Phản ánh'!$J$6:$J$505,"Khẩn cấp")+COUNTIFS('Phản ánh'!$F$6:$F$505,"Block G",'Phản ánh'!$G$6:$G$505,$B76,'Phản ánh'!$V$6:$V$505,"&lt;&gt;Đã xử lý",'Phản ánh'!$J$6:$J$505,"Cao"))&gt;0,-COUNTIFS('Phản ánh'!$F$6:$F$505,"Block G",'Phản ánh'!$G$6:$G$505,$B76,'Phản ánh'!$V$6:$V$505,"&lt;&gt;Đã xử lý"),COUNTIFS('Phản ánh'!$F$6:$F$505,"Block G",'Phản ánh'!$G$6:$G$505,$B76,'Phản ánh'!$V$6:$V$505,"&lt;&gt;Đã xử lý")),IF(COUNTIFS('Kế hoạch'!$E$6:$E$305,"Block G",'Kế hoạch'!$F$6:$F$305,$B76,'Kế hoạch'!$AO$6:$AO$305,1)&gt;0,"CV",""))</f>
      </c>
      <c r="Y76" s="118" t="n"/>
      <c r="Z76" s="119" t="n"/>
      <c r="AA76" s="39" t="n"/>
      <c r="AB76" s="129" t="inlineStr">
        <is>
          <t>Phòng bida</t>
        </is>
      </c>
      <c r="AC76" s="125" t="n"/>
      <c r="AD76" s="125" t="n"/>
      <c r="AE76" s="125" t="n"/>
      <c r="AF76" s="125" t="n"/>
      <c r="AG76" s="126">
        <f>COUNTIFS('Phản ánh'!$F$6:$F$505,$AB76,'Phản ánh'!$V$6:$V$505,"&lt;&gt;Đã xử lý")</f>
      </c>
      <c r="AH76" s="125" t="n"/>
      <c r="AI76" s="126">
        <f>COUNTIFS('Kế hoạch'!$E$6:$E$305,$AB76,'Kế hoạch'!$AO$6:$AO$305,1,'Kế hoạch'!$AR$6:$AR$305,0)</f>
      </c>
      <c r="AJ76" s="125" t="n"/>
      <c r="AK76" s="126">
        <f>COUNTIFS('Phản ánh'!$F$6:$F$505,$AB76,'Phản ánh'!$Y$6:$Y$505,"Quá hạn")+COUNTIFS('Kế hoạch'!$E$6:$E$305,$AB76,'Kế hoạch'!$AD$6:$AD$305,"Quá hạn")</f>
      </c>
      <c r="AL76" s="125" t="n"/>
      <c r="AM76" s="127">
        <f>IF(AK76&gt;0,"Cần xử lý",IF(AG76+AI76&gt;0,"Theo dõi","Ổn định"))</f>
      </c>
      <c r="AN76" s="125" t="n"/>
      <c r="AO76" s="125" t="n"/>
      <c r="AP76" s="39" t="n"/>
    </row>
    <row r="77" ht="13.5" customHeight="1">
      <c r="A77" s="39" t="n"/>
      <c r="B77" s="116" t="n">
        <v>9</v>
      </c>
      <c r="D77" s="117">
        <f>IF(COUNTIFS('Phản ánh'!$F$6:$F$505,"Block A",'Phản ánh'!$G$6:$G$505,$B77,'Phản ánh'!$V$6:$V$505,"&lt;&gt;Đã xử lý")&gt;0,IF((COUNTIFS('Phản ánh'!$F$6:$F$505,"Block A",'Phản ánh'!$G$6:$G$505,$B77,'Phản ánh'!$V$6:$V$505,"&lt;&gt;Đã xử lý",'Phản ánh'!$J$6:$J$505,"Khẩn cấp")+COUNTIFS('Phản ánh'!$F$6:$F$505,"Block A",'Phản ánh'!$G$6:$G$505,$B77,'Phản ánh'!$V$6:$V$505,"&lt;&gt;Đã xử lý",'Phản ánh'!$J$6:$J$505,"Cao"))&gt;0,-COUNTIFS('Phản ánh'!$F$6:$F$505,"Block A",'Phản ánh'!$G$6:$G$505,$B77,'Phản ánh'!$V$6:$V$505,"&lt;&gt;Đã xử lý"),COUNTIFS('Phản ánh'!$F$6:$F$505,"Block A",'Phản ánh'!$G$6:$G$505,$B77,'Phản ánh'!$V$6:$V$505,"&lt;&gt;Đã xử lý")),IF(COUNTIFS('Kế hoạch'!$E$6:$E$305,"Block A",'Kế hoạch'!$F$6:$F$305,$B77,'Kế hoạch'!$AO$6:$AO$305,1)&gt;0,"CV",""))</f>
      </c>
      <c r="E77" s="118" t="n"/>
      <c r="F77" s="119" t="n"/>
      <c r="G77" s="39" t="n"/>
      <c r="H77" s="117">
        <f>IF(COUNTIFS('Phản ánh'!$F$6:$F$505,"Block B",'Phản ánh'!$G$6:$G$505,$B77,'Phản ánh'!$V$6:$V$505,"&lt;&gt;Đã xử lý")&gt;0,IF((COUNTIFS('Phản ánh'!$F$6:$F$505,"Block B",'Phản ánh'!$G$6:$G$505,$B77,'Phản ánh'!$V$6:$V$505,"&lt;&gt;Đã xử lý",'Phản ánh'!$J$6:$J$505,"Khẩn cấp")+COUNTIFS('Phản ánh'!$F$6:$F$505,"Block B",'Phản ánh'!$G$6:$G$505,$B77,'Phản ánh'!$V$6:$V$505,"&lt;&gt;Đã xử lý",'Phản ánh'!$J$6:$J$505,"Cao"))&gt;0,-COUNTIFS('Phản ánh'!$F$6:$F$505,"Block B",'Phản ánh'!$G$6:$G$505,$B77,'Phản ánh'!$V$6:$V$505,"&lt;&gt;Đã xử lý"),COUNTIFS('Phản ánh'!$F$6:$F$505,"Block B",'Phản ánh'!$G$6:$G$505,$B77,'Phản ánh'!$V$6:$V$505,"&lt;&gt;Đã xử lý")),IF(COUNTIFS('Kế hoạch'!$E$6:$E$305,"Block B",'Kế hoạch'!$F$6:$F$305,$B77,'Kế hoạch'!$AO$6:$AO$305,1)&gt;0,"CV",""))</f>
      </c>
      <c r="I77" s="118" t="n"/>
      <c r="J77" s="119" t="n"/>
      <c r="K77" s="39" t="n"/>
      <c r="L77" s="117">
        <f>IF(COUNTIFS('Phản ánh'!$F$6:$F$505,"Block C",'Phản ánh'!$G$6:$G$505,$B77,'Phản ánh'!$V$6:$V$505,"&lt;&gt;Đã xử lý")&gt;0,IF((COUNTIFS('Phản ánh'!$F$6:$F$505,"Block C",'Phản ánh'!$G$6:$G$505,$B77,'Phản ánh'!$V$6:$V$505,"&lt;&gt;Đã xử lý",'Phản ánh'!$J$6:$J$505,"Khẩn cấp")+COUNTIFS('Phản ánh'!$F$6:$F$505,"Block C",'Phản ánh'!$G$6:$G$505,$B77,'Phản ánh'!$V$6:$V$505,"&lt;&gt;Đã xử lý",'Phản ánh'!$J$6:$J$505,"Cao"))&gt;0,-COUNTIFS('Phản ánh'!$F$6:$F$505,"Block C",'Phản ánh'!$G$6:$G$505,$B77,'Phản ánh'!$V$6:$V$505,"&lt;&gt;Đã xử lý"),COUNTIFS('Phản ánh'!$F$6:$F$505,"Block C",'Phản ánh'!$G$6:$G$505,$B77,'Phản ánh'!$V$6:$V$505,"&lt;&gt;Đã xử lý")),IF(COUNTIFS('Kế hoạch'!$E$6:$E$305,"Block C",'Kế hoạch'!$F$6:$F$305,$B77,'Kế hoạch'!$AO$6:$AO$305,1)&gt;0,"CV",""))</f>
      </c>
      <c r="M77" s="118" t="n"/>
      <c r="N77" s="119" t="n"/>
      <c r="O77" s="39" t="n"/>
      <c r="P77" s="117">
        <f>IF(COUNTIFS('Phản ánh'!$F$6:$F$505,"Block D",'Phản ánh'!$G$6:$G$505,$B77,'Phản ánh'!$V$6:$V$505,"&lt;&gt;Đã xử lý")&gt;0,IF((COUNTIFS('Phản ánh'!$F$6:$F$505,"Block D",'Phản ánh'!$G$6:$G$505,$B77,'Phản ánh'!$V$6:$V$505,"&lt;&gt;Đã xử lý",'Phản ánh'!$J$6:$J$505,"Khẩn cấp")+COUNTIFS('Phản ánh'!$F$6:$F$505,"Block D",'Phản ánh'!$G$6:$G$505,$B77,'Phản ánh'!$V$6:$V$505,"&lt;&gt;Đã xử lý",'Phản ánh'!$J$6:$J$505,"Cao"))&gt;0,-COUNTIFS('Phản ánh'!$F$6:$F$505,"Block D",'Phản ánh'!$G$6:$G$505,$B77,'Phản ánh'!$V$6:$V$505,"&lt;&gt;Đã xử lý"),COUNTIFS('Phản ánh'!$F$6:$F$505,"Block D",'Phản ánh'!$G$6:$G$505,$B77,'Phản ánh'!$V$6:$V$505,"&lt;&gt;Đã xử lý")),IF(COUNTIFS('Kế hoạch'!$E$6:$E$305,"Block D",'Kế hoạch'!$F$6:$F$305,$B77,'Kế hoạch'!$AO$6:$AO$305,1)&gt;0,"CV",""))</f>
      </c>
      <c r="Q77" s="118" t="n"/>
      <c r="R77" s="119" t="n"/>
      <c r="S77" s="39" t="n"/>
      <c r="T77" s="117">
        <f>IF(COUNTIFS('Phản ánh'!$F$6:$F$505,"Block E",'Phản ánh'!$G$6:$G$505,$B77,'Phản ánh'!$V$6:$V$505,"&lt;&gt;Đã xử lý")&gt;0,IF((COUNTIFS('Phản ánh'!$F$6:$F$505,"Block E",'Phản ánh'!$G$6:$G$505,$B77,'Phản ánh'!$V$6:$V$505,"&lt;&gt;Đã xử lý",'Phản ánh'!$J$6:$J$505,"Khẩn cấp")+COUNTIFS('Phản ánh'!$F$6:$F$505,"Block E",'Phản ánh'!$G$6:$G$505,$B77,'Phản ánh'!$V$6:$V$505,"&lt;&gt;Đã xử lý",'Phản ánh'!$J$6:$J$505,"Cao"))&gt;0,-COUNTIFS('Phản ánh'!$F$6:$F$505,"Block E",'Phản ánh'!$G$6:$G$505,$B77,'Phản ánh'!$V$6:$V$505,"&lt;&gt;Đã xử lý"),COUNTIFS('Phản ánh'!$F$6:$F$505,"Block E",'Phản ánh'!$G$6:$G$505,$B77,'Phản ánh'!$V$6:$V$505,"&lt;&gt;Đã xử lý")),IF(COUNTIFS('Kế hoạch'!$E$6:$E$305,"Block E",'Kế hoạch'!$F$6:$F$305,$B77,'Kế hoạch'!$AO$6:$AO$305,1)&gt;0,"CV",""))</f>
      </c>
      <c r="U77" s="118" t="n"/>
      <c r="V77" s="119" t="n"/>
      <c r="W77" s="39" t="n"/>
      <c r="X77" s="117">
        <f>IF(COUNTIFS('Phản ánh'!$F$6:$F$505,"Block G",'Phản ánh'!$G$6:$G$505,$B77,'Phản ánh'!$V$6:$V$505,"&lt;&gt;Đã xử lý")&gt;0,IF((COUNTIFS('Phản ánh'!$F$6:$F$505,"Block G",'Phản ánh'!$G$6:$G$505,$B77,'Phản ánh'!$V$6:$V$505,"&lt;&gt;Đã xử lý",'Phản ánh'!$J$6:$J$505,"Khẩn cấp")+COUNTIFS('Phản ánh'!$F$6:$F$505,"Block G",'Phản ánh'!$G$6:$G$505,$B77,'Phản ánh'!$V$6:$V$505,"&lt;&gt;Đã xử lý",'Phản ánh'!$J$6:$J$505,"Cao"))&gt;0,-COUNTIFS('Phản ánh'!$F$6:$F$505,"Block G",'Phản ánh'!$G$6:$G$505,$B77,'Phản ánh'!$V$6:$V$505,"&lt;&gt;Đã xử lý"),COUNTIFS('Phản ánh'!$F$6:$F$505,"Block G",'Phản ánh'!$G$6:$G$505,$B77,'Phản ánh'!$V$6:$V$505,"&lt;&gt;Đã xử lý")),IF(COUNTIFS('Kế hoạch'!$E$6:$E$305,"Block G",'Kế hoạch'!$F$6:$F$305,$B77,'Kế hoạch'!$AO$6:$AO$305,1)&gt;0,"CV",""))</f>
      </c>
      <c r="Y77" s="118" t="n"/>
      <c r="Z77" s="119" t="n"/>
      <c r="AA77" s="39" t="n"/>
      <c r="AB77" s="128" t="inlineStr">
        <is>
          <t>Sân tennis</t>
        </is>
      </c>
      <c r="AC77" s="121" t="n"/>
      <c r="AD77" s="121" t="n"/>
      <c r="AE77" s="121" t="n"/>
      <c r="AF77" s="121" t="n"/>
      <c r="AG77" s="122">
        <f>COUNTIFS('Phản ánh'!$F$6:$F$505,$AB77,'Phản ánh'!$V$6:$V$505,"&lt;&gt;Đã xử lý")</f>
      </c>
      <c r="AH77" s="121" t="n"/>
      <c r="AI77" s="122">
        <f>COUNTIFS('Kế hoạch'!$E$6:$E$305,$AB77,'Kế hoạch'!$AO$6:$AO$305,1,'Kế hoạch'!$AR$6:$AR$305,0)</f>
      </c>
      <c r="AJ77" s="121" t="n"/>
      <c r="AK77" s="122">
        <f>COUNTIFS('Phản ánh'!$F$6:$F$505,$AB77,'Phản ánh'!$Y$6:$Y$505,"Quá hạn")+COUNTIFS('Kế hoạch'!$E$6:$E$305,$AB77,'Kế hoạch'!$AD$6:$AD$305,"Quá hạn")</f>
      </c>
      <c r="AL77" s="121" t="n"/>
      <c r="AM77" s="123">
        <f>IF(AK77&gt;0,"Cần xử lý",IF(AG77+AI77&gt;0,"Theo dõi","Ổn định"))</f>
      </c>
      <c r="AN77" s="121" t="n"/>
      <c r="AO77" s="121" t="n"/>
      <c r="AP77" s="39" t="n"/>
    </row>
    <row r="78" ht="13.5" customHeight="1">
      <c r="A78" s="39" t="n"/>
      <c r="B78" s="116" t="n">
        <v>8</v>
      </c>
      <c r="D78" s="117">
        <f>IF(COUNTIFS('Phản ánh'!$F$6:$F$505,"Block A",'Phản ánh'!$G$6:$G$505,$B78,'Phản ánh'!$V$6:$V$505,"&lt;&gt;Đã xử lý")&gt;0,IF((COUNTIFS('Phản ánh'!$F$6:$F$505,"Block A",'Phản ánh'!$G$6:$G$505,$B78,'Phản ánh'!$V$6:$V$505,"&lt;&gt;Đã xử lý",'Phản ánh'!$J$6:$J$505,"Khẩn cấp")+COUNTIFS('Phản ánh'!$F$6:$F$505,"Block A",'Phản ánh'!$G$6:$G$505,$B78,'Phản ánh'!$V$6:$V$505,"&lt;&gt;Đã xử lý",'Phản ánh'!$J$6:$J$505,"Cao"))&gt;0,-COUNTIFS('Phản ánh'!$F$6:$F$505,"Block A",'Phản ánh'!$G$6:$G$505,$B78,'Phản ánh'!$V$6:$V$505,"&lt;&gt;Đã xử lý"),COUNTIFS('Phản ánh'!$F$6:$F$505,"Block A",'Phản ánh'!$G$6:$G$505,$B78,'Phản ánh'!$V$6:$V$505,"&lt;&gt;Đã xử lý")),IF(COUNTIFS('Kế hoạch'!$E$6:$E$305,"Block A",'Kế hoạch'!$F$6:$F$305,$B78,'Kế hoạch'!$AO$6:$AO$305,1)&gt;0,"CV",""))</f>
      </c>
      <c r="E78" s="118" t="n"/>
      <c r="F78" s="119" t="n"/>
      <c r="G78" s="39" t="n"/>
      <c r="H78" s="117">
        <f>IF(COUNTIFS('Phản ánh'!$F$6:$F$505,"Block B",'Phản ánh'!$G$6:$G$505,$B78,'Phản ánh'!$V$6:$V$505,"&lt;&gt;Đã xử lý")&gt;0,IF((COUNTIFS('Phản ánh'!$F$6:$F$505,"Block B",'Phản ánh'!$G$6:$G$505,$B78,'Phản ánh'!$V$6:$V$505,"&lt;&gt;Đã xử lý",'Phản ánh'!$J$6:$J$505,"Khẩn cấp")+COUNTIFS('Phản ánh'!$F$6:$F$505,"Block B",'Phản ánh'!$G$6:$G$505,$B78,'Phản ánh'!$V$6:$V$505,"&lt;&gt;Đã xử lý",'Phản ánh'!$J$6:$J$505,"Cao"))&gt;0,-COUNTIFS('Phản ánh'!$F$6:$F$505,"Block B",'Phản ánh'!$G$6:$G$505,$B78,'Phản ánh'!$V$6:$V$505,"&lt;&gt;Đã xử lý"),COUNTIFS('Phản ánh'!$F$6:$F$505,"Block B",'Phản ánh'!$G$6:$G$505,$B78,'Phản ánh'!$V$6:$V$505,"&lt;&gt;Đã xử lý")),IF(COUNTIFS('Kế hoạch'!$E$6:$E$305,"Block B",'Kế hoạch'!$F$6:$F$305,$B78,'Kế hoạch'!$AO$6:$AO$305,1)&gt;0,"CV",""))</f>
      </c>
      <c r="I78" s="118" t="n"/>
      <c r="J78" s="119" t="n"/>
      <c r="K78" s="39" t="n"/>
      <c r="L78" s="117">
        <f>IF(COUNTIFS('Phản ánh'!$F$6:$F$505,"Block C",'Phản ánh'!$G$6:$G$505,$B78,'Phản ánh'!$V$6:$V$505,"&lt;&gt;Đã xử lý")&gt;0,IF((COUNTIFS('Phản ánh'!$F$6:$F$505,"Block C",'Phản ánh'!$G$6:$G$505,$B78,'Phản ánh'!$V$6:$V$505,"&lt;&gt;Đã xử lý",'Phản ánh'!$J$6:$J$505,"Khẩn cấp")+COUNTIFS('Phản ánh'!$F$6:$F$505,"Block C",'Phản ánh'!$G$6:$G$505,$B78,'Phản ánh'!$V$6:$V$505,"&lt;&gt;Đã xử lý",'Phản ánh'!$J$6:$J$505,"Cao"))&gt;0,-COUNTIFS('Phản ánh'!$F$6:$F$505,"Block C",'Phản ánh'!$G$6:$G$505,$B78,'Phản ánh'!$V$6:$V$505,"&lt;&gt;Đã xử lý"),COUNTIFS('Phản ánh'!$F$6:$F$505,"Block C",'Phản ánh'!$G$6:$G$505,$B78,'Phản ánh'!$V$6:$V$505,"&lt;&gt;Đã xử lý")),IF(COUNTIFS('Kế hoạch'!$E$6:$E$305,"Block C",'Kế hoạch'!$F$6:$F$305,$B78,'Kế hoạch'!$AO$6:$AO$305,1)&gt;0,"CV",""))</f>
      </c>
      <c r="M78" s="118" t="n"/>
      <c r="N78" s="119" t="n"/>
      <c r="O78" s="39" t="n"/>
      <c r="P78" s="117">
        <f>IF(COUNTIFS('Phản ánh'!$F$6:$F$505,"Block D",'Phản ánh'!$G$6:$G$505,$B78,'Phản ánh'!$V$6:$V$505,"&lt;&gt;Đã xử lý")&gt;0,IF((COUNTIFS('Phản ánh'!$F$6:$F$505,"Block D",'Phản ánh'!$G$6:$G$505,$B78,'Phản ánh'!$V$6:$V$505,"&lt;&gt;Đã xử lý",'Phản ánh'!$J$6:$J$505,"Khẩn cấp")+COUNTIFS('Phản ánh'!$F$6:$F$505,"Block D",'Phản ánh'!$G$6:$G$505,$B78,'Phản ánh'!$V$6:$V$505,"&lt;&gt;Đã xử lý",'Phản ánh'!$J$6:$J$505,"Cao"))&gt;0,-COUNTIFS('Phản ánh'!$F$6:$F$505,"Block D",'Phản ánh'!$G$6:$G$505,$B78,'Phản ánh'!$V$6:$V$505,"&lt;&gt;Đã xử lý"),COUNTIFS('Phản ánh'!$F$6:$F$505,"Block D",'Phản ánh'!$G$6:$G$505,$B78,'Phản ánh'!$V$6:$V$505,"&lt;&gt;Đã xử lý")),IF(COUNTIFS('Kế hoạch'!$E$6:$E$305,"Block D",'Kế hoạch'!$F$6:$F$305,$B78,'Kế hoạch'!$AO$6:$AO$305,1)&gt;0,"CV",""))</f>
      </c>
      <c r="Q78" s="118" t="n"/>
      <c r="R78" s="119" t="n"/>
      <c r="S78" s="39" t="n"/>
      <c r="T78" s="117">
        <f>IF(COUNTIFS('Phản ánh'!$F$6:$F$505,"Block E",'Phản ánh'!$G$6:$G$505,$B78,'Phản ánh'!$V$6:$V$505,"&lt;&gt;Đã xử lý")&gt;0,IF((COUNTIFS('Phản ánh'!$F$6:$F$505,"Block E",'Phản ánh'!$G$6:$G$505,$B78,'Phản ánh'!$V$6:$V$505,"&lt;&gt;Đã xử lý",'Phản ánh'!$J$6:$J$505,"Khẩn cấp")+COUNTIFS('Phản ánh'!$F$6:$F$505,"Block E",'Phản ánh'!$G$6:$G$505,$B78,'Phản ánh'!$V$6:$V$505,"&lt;&gt;Đã xử lý",'Phản ánh'!$J$6:$J$505,"Cao"))&gt;0,-COUNTIFS('Phản ánh'!$F$6:$F$505,"Block E",'Phản ánh'!$G$6:$G$505,$B78,'Phản ánh'!$V$6:$V$505,"&lt;&gt;Đã xử lý"),COUNTIFS('Phản ánh'!$F$6:$F$505,"Block E",'Phản ánh'!$G$6:$G$505,$B78,'Phản ánh'!$V$6:$V$505,"&lt;&gt;Đã xử lý")),IF(COUNTIFS('Kế hoạch'!$E$6:$E$305,"Block E",'Kế hoạch'!$F$6:$F$305,$B78,'Kế hoạch'!$AO$6:$AO$305,1)&gt;0,"CV",""))</f>
      </c>
      <c r="U78" s="118" t="n"/>
      <c r="V78" s="119" t="n"/>
      <c r="W78" s="39" t="n"/>
      <c r="X78" s="117">
        <f>IF(COUNTIFS('Phản ánh'!$F$6:$F$505,"Block G",'Phản ánh'!$G$6:$G$505,$B78,'Phản ánh'!$V$6:$V$505,"&lt;&gt;Đã xử lý")&gt;0,IF((COUNTIFS('Phản ánh'!$F$6:$F$505,"Block G",'Phản ánh'!$G$6:$G$505,$B78,'Phản ánh'!$V$6:$V$505,"&lt;&gt;Đã xử lý",'Phản ánh'!$J$6:$J$505,"Khẩn cấp")+COUNTIFS('Phản ánh'!$F$6:$F$505,"Block G",'Phản ánh'!$G$6:$G$505,$B78,'Phản ánh'!$V$6:$V$505,"&lt;&gt;Đã xử lý",'Phản ánh'!$J$6:$J$505,"Cao"))&gt;0,-COUNTIFS('Phản ánh'!$F$6:$F$505,"Block G",'Phản ánh'!$G$6:$G$505,$B78,'Phản ánh'!$V$6:$V$505,"&lt;&gt;Đã xử lý"),COUNTIFS('Phản ánh'!$F$6:$F$505,"Block G",'Phản ánh'!$G$6:$G$505,$B78,'Phản ánh'!$V$6:$V$505,"&lt;&gt;Đã xử lý")),IF(COUNTIFS('Kế hoạch'!$E$6:$E$305,"Block G",'Kế hoạch'!$F$6:$F$305,$B78,'Kế hoạch'!$AO$6:$AO$305,1)&gt;0,"CV",""))</f>
      </c>
      <c r="Y78" s="118" t="n"/>
      <c r="Z78" s="119" t="n"/>
      <c r="AA78" s="39" t="n"/>
      <c r="AB78" s="129" t="inlineStr">
        <is>
          <t>Sân bóng rổ</t>
        </is>
      </c>
      <c r="AC78" s="125" t="n"/>
      <c r="AD78" s="125" t="n"/>
      <c r="AE78" s="125" t="n"/>
      <c r="AF78" s="125" t="n"/>
      <c r="AG78" s="126">
        <f>COUNTIFS('Phản ánh'!$F$6:$F$505,$AB78,'Phản ánh'!$V$6:$V$505,"&lt;&gt;Đã xử lý")</f>
      </c>
      <c r="AH78" s="125" t="n"/>
      <c r="AI78" s="126">
        <f>COUNTIFS('Kế hoạch'!$E$6:$E$305,$AB78,'Kế hoạch'!$AO$6:$AO$305,1,'Kế hoạch'!$AR$6:$AR$305,0)</f>
      </c>
      <c r="AJ78" s="125" t="n"/>
      <c r="AK78" s="126">
        <f>COUNTIFS('Phản ánh'!$F$6:$F$505,$AB78,'Phản ánh'!$Y$6:$Y$505,"Quá hạn")+COUNTIFS('Kế hoạch'!$E$6:$E$305,$AB78,'Kế hoạch'!$AD$6:$AD$305,"Quá hạn")</f>
      </c>
      <c r="AL78" s="125" t="n"/>
      <c r="AM78" s="127">
        <f>IF(AK78&gt;0,"Cần xử lý",IF(AG78+AI78&gt;0,"Theo dõi","Ổn định"))</f>
      </c>
      <c r="AN78" s="125" t="n"/>
      <c r="AO78" s="125" t="n"/>
      <c r="AP78" s="39" t="n"/>
    </row>
    <row r="79" ht="13.5" customHeight="1">
      <c r="A79" s="39" t="n"/>
      <c r="B79" s="116" t="n">
        <v>7</v>
      </c>
      <c r="D79" s="117">
        <f>IF(COUNTIFS('Phản ánh'!$F$6:$F$505,"Block A",'Phản ánh'!$G$6:$G$505,$B79,'Phản ánh'!$V$6:$V$505,"&lt;&gt;Đã xử lý")&gt;0,IF((COUNTIFS('Phản ánh'!$F$6:$F$505,"Block A",'Phản ánh'!$G$6:$G$505,$B79,'Phản ánh'!$V$6:$V$505,"&lt;&gt;Đã xử lý",'Phản ánh'!$J$6:$J$505,"Khẩn cấp")+COUNTIFS('Phản ánh'!$F$6:$F$505,"Block A",'Phản ánh'!$G$6:$G$505,$B79,'Phản ánh'!$V$6:$V$505,"&lt;&gt;Đã xử lý",'Phản ánh'!$J$6:$J$505,"Cao"))&gt;0,-COUNTIFS('Phản ánh'!$F$6:$F$505,"Block A",'Phản ánh'!$G$6:$G$505,$B79,'Phản ánh'!$V$6:$V$505,"&lt;&gt;Đã xử lý"),COUNTIFS('Phản ánh'!$F$6:$F$505,"Block A",'Phản ánh'!$G$6:$G$505,$B79,'Phản ánh'!$V$6:$V$505,"&lt;&gt;Đã xử lý")),IF(COUNTIFS('Kế hoạch'!$E$6:$E$305,"Block A",'Kế hoạch'!$F$6:$F$305,$B79,'Kế hoạch'!$AO$6:$AO$305,1)&gt;0,"CV",""))</f>
      </c>
      <c r="E79" s="118" t="n"/>
      <c r="F79" s="119" t="n"/>
      <c r="G79" s="39" t="n"/>
      <c r="H79" s="117">
        <f>IF(COUNTIFS('Phản ánh'!$F$6:$F$505,"Block B",'Phản ánh'!$G$6:$G$505,$B79,'Phản ánh'!$V$6:$V$505,"&lt;&gt;Đã xử lý")&gt;0,IF((COUNTIFS('Phản ánh'!$F$6:$F$505,"Block B",'Phản ánh'!$G$6:$G$505,$B79,'Phản ánh'!$V$6:$V$505,"&lt;&gt;Đã xử lý",'Phản ánh'!$J$6:$J$505,"Khẩn cấp")+COUNTIFS('Phản ánh'!$F$6:$F$505,"Block B",'Phản ánh'!$G$6:$G$505,$B79,'Phản ánh'!$V$6:$V$505,"&lt;&gt;Đã xử lý",'Phản ánh'!$J$6:$J$505,"Cao"))&gt;0,-COUNTIFS('Phản ánh'!$F$6:$F$505,"Block B",'Phản ánh'!$G$6:$G$505,$B79,'Phản ánh'!$V$6:$V$505,"&lt;&gt;Đã xử lý"),COUNTIFS('Phản ánh'!$F$6:$F$505,"Block B",'Phản ánh'!$G$6:$G$505,$B79,'Phản ánh'!$V$6:$V$505,"&lt;&gt;Đã xử lý")),IF(COUNTIFS('Kế hoạch'!$E$6:$E$305,"Block B",'Kế hoạch'!$F$6:$F$305,$B79,'Kế hoạch'!$AO$6:$AO$305,1)&gt;0,"CV",""))</f>
      </c>
      <c r="I79" s="118" t="n"/>
      <c r="J79" s="119" t="n"/>
      <c r="K79" s="39" t="n"/>
      <c r="L79" s="117">
        <f>IF(COUNTIFS('Phản ánh'!$F$6:$F$505,"Block C",'Phản ánh'!$G$6:$G$505,$B79,'Phản ánh'!$V$6:$V$505,"&lt;&gt;Đã xử lý")&gt;0,IF((COUNTIFS('Phản ánh'!$F$6:$F$505,"Block C",'Phản ánh'!$G$6:$G$505,$B79,'Phản ánh'!$V$6:$V$505,"&lt;&gt;Đã xử lý",'Phản ánh'!$J$6:$J$505,"Khẩn cấp")+COUNTIFS('Phản ánh'!$F$6:$F$505,"Block C",'Phản ánh'!$G$6:$G$505,$B79,'Phản ánh'!$V$6:$V$505,"&lt;&gt;Đã xử lý",'Phản ánh'!$J$6:$J$505,"Cao"))&gt;0,-COUNTIFS('Phản ánh'!$F$6:$F$505,"Block C",'Phản ánh'!$G$6:$G$505,$B79,'Phản ánh'!$V$6:$V$505,"&lt;&gt;Đã xử lý"),COUNTIFS('Phản ánh'!$F$6:$F$505,"Block C",'Phản ánh'!$G$6:$G$505,$B79,'Phản ánh'!$V$6:$V$505,"&lt;&gt;Đã xử lý")),IF(COUNTIFS('Kế hoạch'!$E$6:$E$305,"Block C",'Kế hoạch'!$F$6:$F$305,$B79,'Kế hoạch'!$AO$6:$AO$305,1)&gt;0,"CV",""))</f>
      </c>
      <c r="M79" s="118" t="n"/>
      <c r="N79" s="119" t="n"/>
      <c r="O79" s="39" t="n"/>
      <c r="P79" s="117">
        <f>IF(COUNTIFS('Phản ánh'!$F$6:$F$505,"Block D",'Phản ánh'!$G$6:$G$505,$B79,'Phản ánh'!$V$6:$V$505,"&lt;&gt;Đã xử lý")&gt;0,IF((COUNTIFS('Phản ánh'!$F$6:$F$505,"Block D",'Phản ánh'!$G$6:$G$505,$B79,'Phản ánh'!$V$6:$V$505,"&lt;&gt;Đã xử lý",'Phản ánh'!$J$6:$J$505,"Khẩn cấp")+COUNTIFS('Phản ánh'!$F$6:$F$505,"Block D",'Phản ánh'!$G$6:$G$505,$B79,'Phản ánh'!$V$6:$V$505,"&lt;&gt;Đã xử lý",'Phản ánh'!$J$6:$J$505,"Cao"))&gt;0,-COUNTIFS('Phản ánh'!$F$6:$F$505,"Block D",'Phản ánh'!$G$6:$G$505,$B79,'Phản ánh'!$V$6:$V$505,"&lt;&gt;Đã xử lý"),COUNTIFS('Phản ánh'!$F$6:$F$505,"Block D",'Phản ánh'!$G$6:$G$505,$B79,'Phản ánh'!$V$6:$V$505,"&lt;&gt;Đã xử lý")),IF(COUNTIFS('Kế hoạch'!$E$6:$E$305,"Block D",'Kế hoạch'!$F$6:$F$305,$B79,'Kế hoạch'!$AO$6:$AO$305,1)&gt;0,"CV",""))</f>
      </c>
      <c r="Q79" s="118" t="n"/>
      <c r="R79" s="119" t="n"/>
      <c r="S79" s="39" t="n"/>
      <c r="T79" s="117">
        <f>IF(COUNTIFS('Phản ánh'!$F$6:$F$505,"Block E",'Phản ánh'!$G$6:$G$505,$B79,'Phản ánh'!$V$6:$V$505,"&lt;&gt;Đã xử lý")&gt;0,IF((COUNTIFS('Phản ánh'!$F$6:$F$505,"Block E",'Phản ánh'!$G$6:$G$505,$B79,'Phản ánh'!$V$6:$V$505,"&lt;&gt;Đã xử lý",'Phản ánh'!$J$6:$J$505,"Khẩn cấp")+COUNTIFS('Phản ánh'!$F$6:$F$505,"Block E",'Phản ánh'!$G$6:$G$505,$B79,'Phản ánh'!$V$6:$V$505,"&lt;&gt;Đã xử lý",'Phản ánh'!$J$6:$J$505,"Cao"))&gt;0,-COUNTIFS('Phản ánh'!$F$6:$F$505,"Block E",'Phản ánh'!$G$6:$G$505,$B79,'Phản ánh'!$V$6:$V$505,"&lt;&gt;Đã xử lý"),COUNTIFS('Phản ánh'!$F$6:$F$505,"Block E",'Phản ánh'!$G$6:$G$505,$B79,'Phản ánh'!$V$6:$V$505,"&lt;&gt;Đã xử lý")),IF(COUNTIFS('Kế hoạch'!$E$6:$E$305,"Block E",'Kế hoạch'!$F$6:$F$305,$B79,'Kế hoạch'!$AO$6:$AO$305,1)&gt;0,"CV",""))</f>
      </c>
      <c r="U79" s="118" t="n"/>
      <c r="V79" s="119" t="n"/>
      <c r="W79" s="39" t="n"/>
      <c r="X79" s="117">
        <f>IF(COUNTIFS('Phản ánh'!$F$6:$F$505,"Block G",'Phản ánh'!$G$6:$G$505,$B79,'Phản ánh'!$V$6:$V$505,"&lt;&gt;Đã xử lý")&gt;0,IF((COUNTIFS('Phản ánh'!$F$6:$F$505,"Block G",'Phản ánh'!$G$6:$G$505,$B79,'Phản ánh'!$V$6:$V$505,"&lt;&gt;Đã xử lý",'Phản ánh'!$J$6:$J$505,"Khẩn cấp")+COUNTIFS('Phản ánh'!$F$6:$F$505,"Block G",'Phản ánh'!$G$6:$G$505,$B79,'Phản ánh'!$V$6:$V$505,"&lt;&gt;Đã xử lý",'Phản ánh'!$J$6:$J$505,"Cao"))&gt;0,-COUNTIFS('Phản ánh'!$F$6:$F$505,"Block G",'Phản ánh'!$G$6:$G$505,$B79,'Phản ánh'!$V$6:$V$505,"&lt;&gt;Đã xử lý"),COUNTIFS('Phản ánh'!$F$6:$F$505,"Block G",'Phản ánh'!$G$6:$G$505,$B79,'Phản ánh'!$V$6:$V$505,"&lt;&gt;Đã xử lý")),IF(COUNTIFS('Kế hoạch'!$E$6:$E$305,"Block G",'Kế hoạch'!$F$6:$F$305,$B79,'Kế hoạch'!$AO$6:$AO$305,1)&gt;0,"CV",""))</f>
      </c>
      <c r="Y79" s="118" t="n"/>
      <c r="Z79" s="119" t="n"/>
      <c r="AA79" s="39" t="n"/>
      <c r="AB79" s="128" t="inlineStr">
        <is>
          <t>Nhà chơi trẻ em Block A</t>
        </is>
      </c>
      <c r="AC79" s="121" t="n"/>
      <c r="AD79" s="121" t="n"/>
      <c r="AE79" s="121" t="n"/>
      <c r="AF79" s="121" t="n"/>
      <c r="AG79" s="122">
        <f>COUNTIFS('Phản ánh'!$F$6:$F$505,$AB79,'Phản ánh'!$V$6:$V$505,"&lt;&gt;Đã xử lý")</f>
      </c>
      <c r="AH79" s="121" t="n"/>
      <c r="AI79" s="122">
        <f>COUNTIFS('Kế hoạch'!$E$6:$E$305,$AB79,'Kế hoạch'!$AO$6:$AO$305,1,'Kế hoạch'!$AR$6:$AR$305,0)</f>
      </c>
      <c r="AJ79" s="121" t="n"/>
      <c r="AK79" s="122">
        <f>COUNTIFS('Phản ánh'!$F$6:$F$505,$AB79,'Phản ánh'!$Y$6:$Y$505,"Quá hạn")+COUNTIFS('Kế hoạch'!$E$6:$E$305,$AB79,'Kế hoạch'!$AD$6:$AD$305,"Quá hạn")</f>
      </c>
      <c r="AL79" s="121" t="n"/>
      <c r="AM79" s="123">
        <f>IF(AK79&gt;0,"Cần xử lý",IF(AG79+AI79&gt;0,"Theo dõi","Ổn định"))</f>
      </c>
      <c r="AN79" s="121" t="n"/>
      <c r="AO79" s="121" t="n"/>
      <c r="AP79" s="39" t="n"/>
    </row>
    <row r="80" ht="13.5" customHeight="1">
      <c r="A80" s="39" t="n"/>
      <c r="B80" s="116" t="n">
        <v>6</v>
      </c>
      <c r="D80" s="117">
        <f>IF(COUNTIFS('Phản ánh'!$F$6:$F$505,"Block A",'Phản ánh'!$G$6:$G$505,$B80,'Phản ánh'!$V$6:$V$505,"&lt;&gt;Đã xử lý")&gt;0,IF((COUNTIFS('Phản ánh'!$F$6:$F$505,"Block A",'Phản ánh'!$G$6:$G$505,$B80,'Phản ánh'!$V$6:$V$505,"&lt;&gt;Đã xử lý",'Phản ánh'!$J$6:$J$505,"Khẩn cấp")+COUNTIFS('Phản ánh'!$F$6:$F$505,"Block A",'Phản ánh'!$G$6:$G$505,$B80,'Phản ánh'!$V$6:$V$505,"&lt;&gt;Đã xử lý",'Phản ánh'!$J$6:$J$505,"Cao"))&gt;0,-COUNTIFS('Phản ánh'!$F$6:$F$505,"Block A",'Phản ánh'!$G$6:$G$505,$B80,'Phản ánh'!$V$6:$V$505,"&lt;&gt;Đã xử lý"),COUNTIFS('Phản ánh'!$F$6:$F$505,"Block A",'Phản ánh'!$G$6:$G$505,$B80,'Phản ánh'!$V$6:$V$505,"&lt;&gt;Đã xử lý")),IF(COUNTIFS('Kế hoạch'!$E$6:$E$305,"Block A",'Kế hoạch'!$F$6:$F$305,$B80,'Kế hoạch'!$AO$6:$AO$305,1)&gt;0,"CV",""))</f>
      </c>
      <c r="E80" s="118" t="n"/>
      <c r="F80" s="119" t="n"/>
      <c r="G80" s="39" t="n"/>
      <c r="H80" s="117">
        <f>IF(COUNTIFS('Phản ánh'!$F$6:$F$505,"Block B",'Phản ánh'!$G$6:$G$505,$B80,'Phản ánh'!$V$6:$V$505,"&lt;&gt;Đã xử lý")&gt;0,IF((COUNTIFS('Phản ánh'!$F$6:$F$505,"Block B",'Phản ánh'!$G$6:$G$505,$B80,'Phản ánh'!$V$6:$V$505,"&lt;&gt;Đã xử lý",'Phản ánh'!$J$6:$J$505,"Khẩn cấp")+COUNTIFS('Phản ánh'!$F$6:$F$505,"Block B",'Phản ánh'!$G$6:$G$505,$B80,'Phản ánh'!$V$6:$V$505,"&lt;&gt;Đã xử lý",'Phản ánh'!$J$6:$J$505,"Cao"))&gt;0,-COUNTIFS('Phản ánh'!$F$6:$F$505,"Block B",'Phản ánh'!$G$6:$G$505,$B80,'Phản ánh'!$V$6:$V$505,"&lt;&gt;Đã xử lý"),COUNTIFS('Phản ánh'!$F$6:$F$505,"Block B",'Phản ánh'!$G$6:$G$505,$B80,'Phản ánh'!$V$6:$V$505,"&lt;&gt;Đã xử lý")),IF(COUNTIFS('Kế hoạch'!$E$6:$E$305,"Block B",'Kế hoạch'!$F$6:$F$305,$B80,'Kế hoạch'!$AO$6:$AO$305,1)&gt;0,"CV",""))</f>
      </c>
      <c r="I80" s="118" t="n"/>
      <c r="J80" s="119" t="n"/>
      <c r="K80" s="39" t="n"/>
      <c r="L80" s="117">
        <f>IF(COUNTIFS('Phản ánh'!$F$6:$F$505,"Block C",'Phản ánh'!$G$6:$G$505,$B80,'Phản ánh'!$V$6:$V$505,"&lt;&gt;Đã xử lý")&gt;0,IF((COUNTIFS('Phản ánh'!$F$6:$F$505,"Block C",'Phản ánh'!$G$6:$G$505,$B80,'Phản ánh'!$V$6:$V$505,"&lt;&gt;Đã xử lý",'Phản ánh'!$J$6:$J$505,"Khẩn cấp")+COUNTIFS('Phản ánh'!$F$6:$F$505,"Block C",'Phản ánh'!$G$6:$G$505,$B80,'Phản ánh'!$V$6:$V$505,"&lt;&gt;Đã xử lý",'Phản ánh'!$J$6:$J$505,"Cao"))&gt;0,-COUNTIFS('Phản ánh'!$F$6:$F$505,"Block C",'Phản ánh'!$G$6:$G$505,$B80,'Phản ánh'!$V$6:$V$505,"&lt;&gt;Đã xử lý"),COUNTIFS('Phản ánh'!$F$6:$F$505,"Block C",'Phản ánh'!$G$6:$G$505,$B80,'Phản ánh'!$V$6:$V$505,"&lt;&gt;Đã xử lý")),IF(COUNTIFS('Kế hoạch'!$E$6:$E$305,"Block C",'Kế hoạch'!$F$6:$F$305,$B80,'Kế hoạch'!$AO$6:$AO$305,1)&gt;0,"CV",""))</f>
      </c>
      <c r="M80" s="118" t="n"/>
      <c r="N80" s="119" t="n"/>
      <c r="O80" s="39" t="n"/>
      <c r="P80" s="117">
        <f>IF(COUNTIFS('Phản ánh'!$F$6:$F$505,"Block D",'Phản ánh'!$G$6:$G$505,$B80,'Phản ánh'!$V$6:$V$505,"&lt;&gt;Đã xử lý")&gt;0,IF((COUNTIFS('Phản ánh'!$F$6:$F$505,"Block D",'Phản ánh'!$G$6:$G$505,$B80,'Phản ánh'!$V$6:$V$505,"&lt;&gt;Đã xử lý",'Phản ánh'!$J$6:$J$505,"Khẩn cấp")+COUNTIFS('Phản ánh'!$F$6:$F$505,"Block D",'Phản ánh'!$G$6:$G$505,$B80,'Phản ánh'!$V$6:$V$505,"&lt;&gt;Đã xử lý",'Phản ánh'!$J$6:$J$505,"Cao"))&gt;0,-COUNTIFS('Phản ánh'!$F$6:$F$505,"Block D",'Phản ánh'!$G$6:$G$505,$B80,'Phản ánh'!$V$6:$V$505,"&lt;&gt;Đã xử lý"),COUNTIFS('Phản ánh'!$F$6:$F$505,"Block D",'Phản ánh'!$G$6:$G$505,$B80,'Phản ánh'!$V$6:$V$505,"&lt;&gt;Đã xử lý")),IF(COUNTIFS('Kế hoạch'!$E$6:$E$305,"Block D",'Kế hoạch'!$F$6:$F$305,$B80,'Kế hoạch'!$AO$6:$AO$305,1)&gt;0,"CV",""))</f>
      </c>
      <c r="Q80" s="118" t="n"/>
      <c r="R80" s="119" t="n"/>
      <c r="S80" s="39" t="n"/>
      <c r="T80" s="117">
        <f>IF(COUNTIFS('Phản ánh'!$F$6:$F$505,"Block E",'Phản ánh'!$G$6:$G$505,$B80,'Phản ánh'!$V$6:$V$505,"&lt;&gt;Đã xử lý")&gt;0,IF((COUNTIFS('Phản ánh'!$F$6:$F$505,"Block E",'Phản ánh'!$G$6:$G$505,$B80,'Phản ánh'!$V$6:$V$505,"&lt;&gt;Đã xử lý",'Phản ánh'!$J$6:$J$505,"Khẩn cấp")+COUNTIFS('Phản ánh'!$F$6:$F$505,"Block E",'Phản ánh'!$G$6:$G$505,$B80,'Phản ánh'!$V$6:$V$505,"&lt;&gt;Đã xử lý",'Phản ánh'!$J$6:$J$505,"Cao"))&gt;0,-COUNTIFS('Phản ánh'!$F$6:$F$505,"Block E",'Phản ánh'!$G$6:$G$505,$B80,'Phản ánh'!$V$6:$V$505,"&lt;&gt;Đã xử lý"),COUNTIFS('Phản ánh'!$F$6:$F$505,"Block E",'Phản ánh'!$G$6:$G$505,$B80,'Phản ánh'!$V$6:$V$505,"&lt;&gt;Đã xử lý")),IF(COUNTIFS('Kế hoạch'!$E$6:$E$305,"Block E",'Kế hoạch'!$F$6:$F$305,$B80,'Kế hoạch'!$AO$6:$AO$305,1)&gt;0,"CV",""))</f>
      </c>
      <c r="U80" s="118" t="n"/>
      <c r="V80" s="119" t="n"/>
      <c r="W80" s="39" t="n"/>
      <c r="X80" s="117">
        <f>IF(COUNTIFS('Phản ánh'!$F$6:$F$505,"Block G",'Phản ánh'!$G$6:$G$505,$B80,'Phản ánh'!$V$6:$V$505,"&lt;&gt;Đã xử lý")&gt;0,IF((COUNTIFS('Phản ánh'!$F$6:$F$505,"Block G",'Phản ánh'!$G$6:$G$505,$B80,'Phản ánh'!$V$6:$V$505,"&lt;&gt;Đã xử lý",'Phản ánh'!$J$6:$J$505,"Khẩn cấp")+COUNTIFS('Phản ánh'!$F$6:$F$505,"Block G",'Phản ánh'!$G$6:$G$505,$B80,'Phản ánh'!$V$6:$V$505,"&lt;&gt;Đã xử lý",'Phản ánh'!$J$6:$J$505,"Cao"))&gt;0,-COUNTIFS('Phản ánh'!$F$6:$F$505,"Block G",'Phản ánh'!$G$6:$G$505,$B80,'Phản ánh'!$V$6:$V$505,"&lt;&gt;Đã xử lý"),COUNTIFS('Phản ánh'!$F$6:$F$505,"Block G",'Phản ánh'!$G$6:$G$505,$B80,'Phản ánh'!$V$6:$V$505,"&lt;&gt;Đã xử lý")),IF(COUNTIFS('Kế hoạch'!$E$6:$E$305,"Block G",'Kế hoạch'!$F$6:$F$305,$B80,'Kế hoạch'!$AO$6:$AO$305,1)&gt;0,"CV",""))</f>
      </c>
      <c r="Y80" s="118" t="n"/>
      <c r="Z80" s="119" t="n"/>
      <c r="AA80" s="39" t="n"/>
      <c r="AB80" s="129" t="inlineStr">
        <is>
          <t>Nhà chơi trẻ em Block D</t>
        </is>
      </c>
      <c r="AC80" s="125" t="n"/>
      <c r="AD80" s="125" t="n"/>
      <c r="AE80" s="125" t="n"/>
      <c r="AF80" s="125" t="n"/>
      <c r="AG80" s="126">
        <f>COUNTIFS('Phản ánh'!$F$6:$F$505,$AB80,'Phản ánh'!$V$6:$V$505,"&lt;&gt;Đã xử lý")</f>
      </c>
      <c r="AH80" s="125" t="n"/>
      <c r="AI80" s="126">
        <f>COUNTIFS('Kế hoạch'!$E$6:$E$305,$AB80,'Kế hoạch'!$AO$6:$AO$305,1,'Kế hoạch'!$AR$6:$AR$305,0)</f>
      </c>
      <c r="AJ80" s="125" t="n"/>
      <c r="AK80" s="126">
        <f>COUNTIFS('Phản ánh'!$F$6:$F$505,$AB80,'Phản ánh'!$Y$6:$Y$505,"Quá hạn")+COUNTIFS('Kế hoạch'!$E$6:$E$305,$AB80,'Kế hoạch'!$AD$6:$AD$305,"Quá hạn")</f>
      </c>
      <c r="AL80" s="125" t="n"/>
      <c r="AM80" s="127">
        <f>IF(AK80&gt;0,"Cần xử lý",IF(AG80+AI80&gt;0,"Theo dõi","Ổn định"))</f>
      </c>
      <c r="AN80" s="125" t="n"/>
      <c r="AO80" s="125" t="n"/>
      <c r="AP80" s="39" t="n"/>
    </row>
    <row r="81" ht="13.5" customHeight="1">
      <c r="A81" s="39" t="n"/>
      <c r="B81" s="116" t="n">
        <v>5</v>
      </c>
      <c r="D81" s="117">
        <f>IF(COUNTIFS('Phản ánh'!$F$6:$F$505,"Block A",'Phản ánh'!$G$6:$G$505,$B81,'Phản ánh'!$V$6:$V$505,"&lt;&gt;Đã xử lý")&gt;0,IF((COUNTIFS('Phản ánh'!$F$6:$F$505,"Block A",'Phản ánh'!$G$6:$G$505,$B81,'Phản ánh'!$V$6:$V$505,"&lt;&gt;Đã xử lý",'Phản ánh'!$J$6:$J$505,"Khẩn cấp")+COUNTIFS('Phản ánh'!$F$6:$F$505,"Block A",'Phản ánh'!$G$6:$G$505,$B81,'Phản ánh'!$V$6:$V$505,"&lt;&gt;Đã xử lý",'Phản ánh'!$J$6:$J$505,"Cao"))&gt;0,-COUNTIFS('Phản ánh'!$F$6:$F$505,"Block A",'Phản ánh'!$G$6:$G$505,$B81,'Phản ánh'!$V$6:$V$505,"&lt;&gt;Đã xử lý"),COUNTIFS('Phản ánh'!$F$6:$F$505,"Block A",'Phản ánh'!$G$6:$G$505,$B81,'Phản ánh'!$V$6:$V$505,"&lt;&gt;Đã xử lý")),IF(COUNTIFS('Kế hoạch'!$E$6:$E$305,"Block A",'Kế hoạch'!$F$6:$F$305,$B81,'Kế hoạch'!$AO$6:$AO$305,1)&gt;0,"CV",""))</f>
      </c>
      <c r="E81" s="118" t="n"/>
      <c r="F81" s="119" t="n"/>
      <c r="G81" s="39" t="n"/>
      <c r="H81" s="117">
        <f>IF(COUNTIFS('Phản ánh'!$F$6:$F$505,"Block B",'Phản ánh'!$G$6:$G$505,$B81,'Phản ánh'!$V$6:$V$505,"&lt;&gt;Đã xử lý")&gt;0,IF((COUNTIFS('Phản ánh'!$F$6:$F$505,"Block B",'Phản ánh'!$G$6:$G$505,$B81,'Phản ánh'!$V$6:$V$505,"&lt;&gt;Đã xử lý",'Phản ánh'!$J$6:$J$505,"Khẩn cấp")+COUNTIFS('Phản ánh'!$F$6:$F$505,"Block B",'Phản ánh'!$G$6:$G$505,$B81,'Phản ánh'!$V$6:$V$505,"&lt;&gt;Đã xử lý",'Phản ánh'!$J$6:$J$505,"Cao"))&gt;0,-COUNTIFS('Phản ánh'!$F$6:$F$505,"Block B",'Phản ánh'!$G$6:$G$505,$B81,'Phản ánh'!$V$6:$V$505,"&lt;&gt;Đã xử lý"),COUNTIFS('Phản ánh'!$F$6:$F$505,"Block B",'Phản ánh'!$G$6:$G$505,$B81,'Phản ánh'!$V$6:$V$505,"&lt;&gt;Đã xử lý")),IF(COUNTIFS('Kế hoạch'!$E$6:$E$305,"Block B",'Kế hoạch'!$F$6:$F$305,$B81,'Kế hoạch'!$AO$6:$AO$305,1)&gt;0,"CV",""))</f>
      </c>
      <c r="I81" s="118" t="n"/>
      <c r="J81" s="119" t="n"/>
      <c r="K81" s="39" t="n"/>
      <c r="L81" s="117">
        <f>IF(COUNTIFS('Phản ánh'!$F$6:$F$505,"Block C",'Phản ánh'!$G$6:$G$505,$B81,'Phản ánh'!$V$6:$V$505,"&lt;&gt;Đã xử lý")&gt;0,IF((COUNTIFS('Phản ánh'!$F$6:$F$505,"Block C",'Phản ánh'!$G$6:$G$505,$B81,'Phản ánh'!$V$6:$V$505,"&lt;&gt;Đã xử lý",'Phản ánh'!$J$6:$J$505,"Khẩn cấp")+COUNTIFS('Phản ánh'!$F$6:$F$505,"Block C",'Phản ánh'!$G$6:$G$505,$B81,'Phản ánh'!$V$6:$V$505,"&lt;&gt;Đã xử lý",'Phản ánh'!$J$6:$J$505,"Cao"))&gt;0,-COUNTIFS('Phản ánh'!$F$6:$F$505,"Block C",'Phản ánh'!$G$6:$G$505,$B81,'Phản ánh'!$V$6:$V$505,"&lt;&gt;Đã xử lý"),COUNTIFS('Phản ánh'!$F$6:$F$505,"Block C",'Phản ánh'!$G$6:$G$505,$B81,'Phản ánh'!$V$6:$V$505,"&lt;&gt;Đã xử lý")),IF(COUNTIFS('Kế hoạch'!$E$6:$E$305,"Block C",'Kế hoạch'!$F$6:$F$305,$B81,'Kế hoạch'!$AO$6:$AO$305,1)&gt;0,"CV",""))</f>
      </c>
      <c r="M81" s="118" t="n"/>
      <c r="N81" s="119" t="n"/>
      <c r="O81" s="39" t="n"/>
      <c r="P81" s="117">
        <f>IF(COUNTIFS('Phản ánh'!$F$6:$F$505,"Block D",'Phản ánh'!$G$6:$G$505,$B81,'Phản ánh'!$V$6:$V$505,"&lt;&gt;Đã xử lý")&gt;0,IF((COUNTIFS('Phản ánh'!$F$6:$F$505,"Block D",'Phản ánh'!$G$6:$G$505,$B81,'Phản ánh'!$V$6:$V$505,"&lt;&gt;Đã xử lý",'Phản ánh'!$J$6:$J$505,"Khẩn cấp")+COUNTIFS('Phản ánh'!$F$6:$F$505,"Block D",'Phản ánh'!$G$6:$G$505,$B81,'Phản ánh'!$V$6:$V$505,"&lt;&gt;Đã xử lý",'Phản ánh'!$J$6:$J$505,"Cao"))&gt;0,-COUNTIFS('Phản ánh'!$F$6:$F$505,"Block D",'Phản ánh'!$G$6:$G$505,$B81,'Phản ánh'!$V$6:$V$505,"&lt;&gt;Đã xử lý"),COUNTIFS('Phản ánh'!$F$6:$F$505,"Block D",'Phản ánh'!$G$6:$G$505,$B81,'Phản ánh'!$V$6:$V$505,"&lt;&gt;Đã xử lý")),IF(COUNTIFS('Kế hoạch'!$E$6:$E$305,"Block D",'Kế hoạch'!$F$6:$F$305,$B81,'Kế hoạch'!$AO$6:$AO$305,1)&gt;0,"CV",""))</f>
      </c>
      <c r="Q81" s="118" t="n"/>
      <c r="R81" s="119" t="n"/>
      <c r="S81" s="39" t="n"/>
      <c r="T81" s="117">
        <f>IF(COUNTIFS('Phản ánh'!$F$6:$F$505,"Block E",'Phản ánh'!$G$6:$G$505,$B81,'Phản ánh'!$V$6:$V$505,"&lt;&gt;Đã xử lý")&gt;0,IF((COUNTIFS('Phản ánh'!$F$6:$F$505,"Block E",'Phản ánh'!$G$6:$G$505,$B81,'Phản ánh'!$V$6:$V$505,"&lt;&gt;Đã xử lý",'Phản ánh'!$J$6:$J$505,"Khẩn cấp")+COUNTIFS('Phản ánh'!$F$6:$F$505,"Block E",'Phản ánh'!$G$6:$G$505,$B81,'Phản ánh'!$V$6:$V$505,"&lt;&gt;Đã xử lý",'Phản ánh'!$J$6:$J$505,"Cao"))&gt;0,-COUNTIFS('Phản ánh'!$F$6:$F$505,"Block E",'Phản ánh'!$G$6:$G$505,$B81,'Phản ánh'!$V$6:$V$505,"&lt;&gt;Đã xử lý"),COUNTIFS('Phản ánh'!$F$6:$F$505,"Block E",'Phản ánh'!$G$6:$G$505,$B81,'Phản ánh'!$V$6:$V$505,"&lt;&gt;Đã xử lý")),IF(COUNTIFS('Kế hoạch'!$E$6:$E$305,"Block E",'Kế hoạch'!$F$6:$F$305,$B81,'Kế hoạch'!$AO$6:$AO$305,1)&gt;0,"CV",""))</f>
      </c>
      <c r="U81" s="118" t="n"/>
      <c r="V81" s="119" t="n"/>
      <c r="W81" s="39" t="n"/>
      <c r="X81" s="117">
        <f>IF(COUNTIFS('Phản ánh'!$F$6:$F$505,"Block G",'Phản ánh'!$G$6:$G$505,$B81,'Phản ánh'!$V$6:$V$505,"&lt;&gt;Đã xử lý")&gt;0,IF((COUNTIFS('Phản ánh'!$F$6:$F$505,"Block G",'Phản ánh'!$G$6:$G$505,$B81,'Phản ánh'!$V$6:$V$505,"&lt;&gt;Đã xử lý",'Phản ánh'!$J$6:$J$505,"Khẩn cấp")+COUNTIFS('Phản ánh'!$F$6:$F$505,"Block G",'Phản ánh'!$G$6:$G$505,$B81,'Phản ánh'!$V$6:$V$505,"&lt;&gt;Đã xử lý",'Phản ánh'!$J$6:$J$505,"Cao"))&gt;0,-COUNTIFS('Phản ánh'!$F$6:$F$505,"Block G",'Phản ánh'!$G$6:$G$505,$B81,'Phản ánh'!$V$6:$V$505,"&lt;&gt;Đã xử lý"),COUNTIFS('Phản ánh'!$F$6:$F$505,"Block G",'Phản ánh'!$G$6:$G$505,$B81,'Phản ánh'!$V$6:$V$505,"&lt;&gt;Đã xử lý")),IF(COUNTIFS('Kế hoạch'!$E$6:$E$305,"Block G",'Kế hoạch'!$F$6:$F$305,$B81,'Kế hoạch'!$AO$6:$AO$305,1)&gt;0,"CV",""))</f>
      </c>
      <c r="Y81" s="118" t="n"/>
      <c r="Z81" s="119" t="n"/>
      <c r="AA81" s="39" t="n"/>
      <c r="AB81" s="128" t="inlineStr">
        <is>
          <t>Phòng yoga Block D</t>
        </is>
      </c>
      <c r="AC81" s="121" t="n"/>
      <c r="AD81" s="121" t="n"/>
      <c r="AE81" s="121" t="n"/>
      <c r="AF81" s="121" t="n"/>
      <c r="AG81" s="122">
        <f>COUNTIFS('Phản ánh'!$F$6:$F$505,$AB81,'Phản ánh'!$V$6:$V$505,"&lt;&gt;Đã xử lý")</f>
      </c>
      <c r="AH81" s="121" t="n"/>
      <c r="AI81" s="122">
        <f>COUNTIFS('Kế hoạch'!$E$6:$E$305,$AB81,'Kế hoạch'!$AO$6:$AO$305,1,'Kế hoạch'!$AR$6:$AR$305,0)</f>
      </c>
      <c r="AJ81" s="121" t="n"/>
      <c r="AK81" s="122">
        <f>COUNTIFS('Phản ánh'!$F$6:$F$505,$AB81,'Phản ánh'!$Y$6:$Y$505,"Quá hạn")+COUNTIFS('Kế hoạch'!$E$6:$E$305,$AB81,'Kế hoạch'!$AD$6:$AD$305,"Quá hạn")</f>
      </c>
      <c r="AL81" s="121" t="n"/>
      <c r="AM81" s="123">
        <f>IF(AK81&gt;0,"Cần xử lý",IF(AG81+AI81&gt;0,"Theo dõi","Ổn định"))</f>
      </c>
      <c r="AN81" s="121" t="n"/>
      <c r="AO81" s="121" t="n"/>
      <c r="AP81" s="39" t="n"/>
    </row>
    <row r="82" ht="13.5" customHeight="1">
      <c r="A82" s="39" t="n"/>
      <c r="B82" s="116" t="n">
        <v>4</v>
      </c>
      <c r="D82" s="117">
        <f>IF(COUNTIFS('Phản ánh'!$F$6:$F$505,"Block A",'Phản ánh'!$G$6:$G$505,$B82,'Phản ánh'!$V$6:$V$505,"&lt;&gt;Đã xử lý")&gt;0,IF((COUNTIFS('Phản ánh'!$F$6:$F$505,"Block A",'Phản ánh'!$G$6:$G$505,$B82,'Phản ánh'!$V$6:$V$505,"&lt;&gt;Đã xử lý",'Phản ánh'!$J$6:$J$505,"Khẩn cấp")+COUNTIFS('Phản ánh'!$F$6:$F$505,"Block A",'Phản ánh'!$G$6:$G$505,$B82,'Phản ánh'!$V$6:$V$505,"&lt;&gt;Đã xử lý",'Phản ánh'!$J$6:$J$505,"Cao"))&gt;0,-COUNTIFS('Phản ánh'!$F$6:$F$505,"Block A",'Phản ánh'!$G$6:$G$505,$B82,'Phản ánh'!$V$6:$V$505,"&lt;&gt;Đã xử lý"),COUNTIFS('Phản ánh'!$F$6:$F$505,"Block A",'Phản ánh'!$G$6:$G$505,$B82,'Phản ánh'!$V$6:$V$505,"&lt;&gt;Đã xử lý")),IF(COUNTIFS('Kế hoạch'!$E$6:$E$305,"Block A",'Kế hoạch'!$F$6:$F$305,$B82,'Kế hoạch'!$AO$6:$AO$305,1)&gt;0,"CV",""))</f>
      </c>
      <c r="E82" s="118" t="n"/>
      <c r="F82" s="119" t="n"/>
      <c r="G82" s="39" t="n"/>
      <c r="H82" s="117">
        <f>IF(COUNTIFS('Phản ánh'!$F$6:$F$505,"Block B",'Phản ánh'!$G$6:$G$505,$B82,'Phản ánh'!$V$6:$V$505,"&lt;&gt;Đã xử lý")&gt;0,IF((COUNTIFS('Phản ánh'!$F$6:$F$505,"Block B",'Phản ánh'!$G$6:$G$505,$B82,'Phản ánh'!$V$6:$V$505,"&lt;&gt;Đã xử lý",'Phản ánh'!$J$6:$J$505,"Khẩn cấp")+COUNTIFS('Phản ánh'!$F$6:$F$505,"Block B",'Phản ánh'!$G$6:$G$505,$B82,'Phản ánh'!$V$6:$V$505,"&lt;&gt;Đã xử lý",'Phản ánh'!$J$6:$J$505,"Cao"))&gt;0,-COUNTIFS('Phản ánh'!$F$6:$F$505,"Block B",'Phản ánh'!$G$6:$G$505,$B82,'Phản ánh'!$V$6:$V$505,"&lt;&gt;Đã xử lý"),COUNTIFS('Phản ánh'!$F$6:$F$505,"Block B",'Phản ánh'!$G$6:$G$505,$B82,'Phản ánh'!$V$6:$V$505,"&lt;&gt;Đã xử lý")),IF(COUNTIFS('Kế hoạch'!$E$6:$E$305,"Block B",'Kế hoạch'!$F$6:$F$305,$B82,'Kế hoạch'!$AO$6:$AO$305,1)&gt;0,"CV",""))</f>
      </c>
      <c r="I82" s="118" t="n"/>
      <c r="J82" s="119" t="n"/>
      <c r="K82" s="39" t="n"/>
      <c r="L82" s="117">
        <f>IF(COUNTIFS('Phản ánh'!$F$6:$F$505,"Block C",'Phản ánh'!$G$6:$G$505,$B82,'Phản ánh'!$V$6:$V$505,"&lt;&gt;Đã xử lý")&gt;0,IF((COUNTIFS('Phản ánh'!$F$6:$F$505,"Block C",'Phản ánh'!$G$6:$G$505,$B82,'Phản ánh'!$V$6:$V$505,"&lt;&gt;Đã xử lý",'Phản ánh'!$J$6:$J$505,"Khẩn cấp")+COUNTIFS('Phản ánh'!$F$6:$F$505,"Block C",'Phản ánh'!$G$6:$G$505,$B82,'Phản ánh'!$V$6:$V$505,"&lt;&gt;Đã xử lý",'Phản ánh'!$J$6:$J$505,"Cao"))&gt;0,-COUNTIFS('Phản ánh'!$F$6:$F$505,"Block C",'Phản ánh'!$G$6:$G$505,$B82,'Phản ánh'!$V$6:$V$505,"&lt;&gt;Đã xử lý"),COUNTIFS('Phản ánh'!$F$6:$F$505,"Block C",'Phản ánh'!$G$6:$G$505,$B82,'Phản ánh'!$V$6:$V$505,"&lt;&gt;Đã xử lý")),IF(COUNTIFS('Kế hoạch'!$E$6:$E$305,"Block C",'Kế hoạch'!$F$6:$F$305,$B82,'Kế hoạch'!$AO$6:$AO$305,1)&gt;0,"CV",""))</f>
      </c>
      <c r="M82" s="118" t="n"/>
      <c r="N82" s="119" t="n"/>
      <c r="O82" s="39" t="n"/>
      <c r="P82" s="117">
        <f>IF(COUNTIFS('Phản ánh'!$F$6:$F$505,"Block D",'Phản ánh'!$G$6:$G$505,$B82,'Phản ánh'!$V$6:$V$505,"&lt;&gt;Đã xử lý")&gt;0,IF((COUNTIFS('Phản ánh'!$F$6:$F$505,"Block D",'Phản ánh'!$G$6:$G$505,$B82,'Phản ánh'!$V$6:$V$505,"&lt;&gt;Đã xử lý",'Phản ánh'!$J$6:$J$505,"Khẩn cấp")+COUNTIFS('Phản ánh'!$F$6:$F$505,"Block D",'Phản ánh'!$G$6:$G$505,$B82,'Phản ánh'!$V$6:$V$505,"&lt;&gt;Đã xử lý",'Phản ánh'!$J$6:$J$505,"Cao"))&gt;0,-COUNTIFS('Phản ánh'!$F$6:$F$505,"Block D",'Phản ánh'!$G$6:$G$505,$B82,'Phản ánh'!$V$6:$V$505,"&lt;&gt;Đã xử lý"),COUNTIFS('Phản ánh'!$F$6:$F$505,"Block D",'Phản ánh'!$G$6:$G$505,$B82,'Phản ánh'!$V$6:$V$505,"&lt;&gt;Đã xử lý")),IF(COUNTIFS('Kế hoạch'!$E$6:$E$305,"Block D",'Kế hoạch'!$F$6:$F$305,$B82,'Kế hoạch'!$AO$6:$AO$305,1)&gt;0,"CV",""))</f>
      </c>
      <c r="Q82" s="118" t="n"/>
      <c r="R82" s="119" t="n"/>
      <c r="S82" s="39" t="n"/>
      <c r="T82" s="117">
        <f>IF(COUNTIFS('Phản ánh'!$F$6:$F$505,"Block E",'Phản ánh'!$G$6:$G$505,$B82,'Phản ánh'!$V$6:$V$505,"&lt;&gt;Đã xử lý")&gt;0,IF((COUNTIFS('Phản ánh'!$F$6:$F$505,"Block E",'Phản ánh'!$G$6:$G$505,$B82,'Phản ánh'!$V$6:$V$505,"&lt;&gt;Đã xử lý",'Phản ánh'!$J$6:$J$505,"Khẩn cấp")+COUNTIFS('Phản ánh'!$F$6:$F$505,"Block E",'Phản ánh'!$G$6:$G$505,$B82,'Phản ánh'!$V$6:$V$505,"&lt;&gt;Đã xử lý",'Phản ánh'!$J$6:$J$505,"Cao"))&gt;0,-COUNTIFS('Phản ánh'!$F$6:$F$505,"Block E",'Phản ánh'!$G$6:$G$505,$B82,'Phản ánh'!$V$6:$V$505,"&lt;&gt;Đã xử lý"),COUNTIFS('Phản ánh'!$F$6:$F$505,"Block E",'Phản ánh'!$G$6:$G$505,$B82,'Phản ánh'!$V$6:$V$505,"&lt;&gt;Đã xử lý")),IF(COUNTIFS('Kế hoạch'!$E$6:$E$305,"Block E",'Kế hoạch'!$F$6:$F$305,$B82,'Kế hoạch'!$AO$6:$AO$305,1)&gt;0,"CV",""))</f>
      </c>
      <c r="U82" s="118" t="n"/>
      <c r="V82" s="119" t="n"/>
      <c r="W82" s="39" t="n"/>
      <c r="X82" s="117">
        <f>IF(COUNTIFS('Phản ánh'!$F$6:$F$505,"Block G",'Phản ánh'!$G$6:$G$505,$B82,'Phản ánh'!$V$6:$V$505,"&lt;&gt;Đã xử lý")&gt;0,IF((COUNTIFS('Phản ánh'!$F$6:$F$505,"Block G",'Phản ánh'!$G$6:$G$505,$B82,'Phản ánh'!$V$6:$V$505,"&lt;&gt;Đã xử lý",'Phản ánh'!$J$6:$J$505,"Khẩn cấp")+COUNTIFS('Phản ánh'!$F$6:$F$505,"Block G",'Phản ánh'!$G$6:$G$505,$B82,'Phản ánh'!$V$6:$V$505,"&lt;&gt;Đã xử lý",'Phản ánh'!$J$6:$J$505,"Cao"))&gt;0,-COUNTIFS('Phản ánh'!$F$6:$F$505,"Block G",'Phản ánh'!$G$6:$G$505,$B82,'Phản ánh'!$V$6:$V$505,"&lt;&gt;Đã xử lý"),COUNTIFS('Phản ánh'!$F$6:$F$505,"Block G",'Phản ánh'!$G$6:$G$505,$B82,'Phản ánh'!$V$6:$V$505,"&lt;&gt;Đã xử lý")),IF(COUNTIFS('Kế hoạch'!$E$6:$E$305,"Block G",'Kế hoạch'!$F$6:$F$305,$B82,'Kế hoạch'!$AO$6:$AO$305,1)&gt;0,"CV",""))</f>
      </c>
      <c r="Y82" s="118" t="n"/>
      <c r="Z82" s="119" t="n"/>
      <c r="AA82" s="39" t="n"/>
      <c r="AB82" s="129" t="inlineStr">
        <is>
          <t>Nhà chung Block C</t>
        </is>
      </c>
      <c r="AC82" s="125" t="n"/>
      <c r="AD82" s="125" t="n"/>
      <c r="AE82" s="125" t="n"/>
      <c r="AF82" s="125" t="n"/>
      <c r="AG82" s="126">
        <f>COUNTIFS('Phản ánh'!$F$6:$F$505,$AB82,'Phản ánh'!$V$6:$V$505,"&lt;&gt;Đã xử lý")</f>
      </c>
      <c r="AH82" s="125" t="n"/>
      <c r="AI82" s="126">
        <f>COUNTIFS('Kế hoạch'!$E$6:$E$305,$AB82,'Kế hoạch'!$AO$6:$AO$305,1,'Kế hoạch'!$AR$6:$AR$305,0)</f>
      </c>
      <c r="AJ82" s="125" t="n"/>
      <c r="AK82" s="126">
        <f>COUNTIFS('Phản ánh'!$F$6:$F$505,$AB82,'Phản ánh'!$Y$6:$Y$505,"Quá hạn")+COUNTIFS('Kế hoạch'!$E$6:$E$305,$AB82,'Kế hoạch'!$AD$6:$AD$305,"Quá hạn")</f>
      </c>
      <c r="AL82" s="125" t="n"/>
      <c r="AM82" s="127">
        <f>IF(AK82&gt;0,"Cần xử lý",IF(AG82+AI82&gt;0,"Theo dõi","Ổn định"))</f>
      </c>
      <c r="AN82" s="125" t="n"/>
      <c r="AO82" s="125" t="n"/>
      <c r="AP82" s="39" t="n"/>
    </row>
    <row r="83" ht="13.5" customHeight="1">
      <c r="A83" s="39" t="n"/>
      <c r="B83" s="116" t="n">
        <v>3</v>
      </c>
      <c r="D83" s="117">
        <f>IF(COUNTIFS('Phản ánh'!$F$6:$F$505,"Block A",'Phản ánh'!$G$6:$G$505,$B83,'Phản ánh'!$V$6:$V$505,"&lt;&gt;Đã xử lý")&gt;0,IF((COUNTIFS('Phản ánh'!$F$6:$F$505,"Block A",'Phản ánh'!$G$6:$G$505,$B83,'Phản ánh'!$V$6:$V$505,"&lt;&gt;Đã xử lý",'Phản ánh'!$J$6:$J$505,"Khẩn cấp")+COUNTIFS('Phản ánh'!$F$6:$F$505,"Block A",'Phản ánh'!$G$6:$G$505,$B83,'Phản ánh'!$V$6:$V$505,"&lt;&gt;Đã xử lý",'Phản ánh'!$J$6:$J$505,"Cao"))&gt;0,-COUNTIFS('Phản ánh'!$F$6:$F$505,"Block A",'Phản ánh'!$G$6:$G$505,$B83,'Phản ánh'!$V$6:$V$505,"&lt;&gt;Đã xử lý"),COUNTIFS('Phản ánh'!$F$6:$F$505,"Block A",'Phản ánh'!$G$6:$G$505,$B83,'Phản ánh'!$V$6:$V$505,"&lt;&gt;Đã xử lý")),IF(COUNTIFS('Kế hoạch'!$E$6:$E$305,"Block A",'Kế hoạch'!$F$6:$F$305,$B83,'Kế hoạch'!$AO$6:$AO$305,1)&gt;0,"CV",""))</f>
      </c>
      <c r="E83" s="118" t="n"/>
      <c r="F83" s="119" t="n"/>
      <c r="G83" s="39" t="n"/>
      <c r="H83" s="117">
        <f>IF(COUNTIFS('Phản ánh'!$F$6:$F$505,"Block B",'Phản ánh'!$G$6:$G$505,$B83,'Phản ánh'!$V$6:$V$505,"&lt;&gt;Đã xử lý")&gt;0,IF((COUNTIFS('Phản ánh'!$F$6:$F$505,"Block B",'Phản ánh'!$G$6:$G$505,$B83,'Phản ánh'!$V$6:$V$505,"&lt;&gt;Đã xử lý",'Phản ánh'!$J$6:$J$505,"Khẩn cấp")+COUNTIFS('Phản ánh'!$F$6:$F$505,"Block B",'Phản ánh'!$G$6:$G$505,$B83,'Phản ánh'!$V$6:$V$505,"&lt;&gt;Đã xử lý",'Phản ánh'!$J$6:$J$505,"Cao"))&gt;0,-COUNTIFS('Phản ánh'!$F$6:$F$505,"Block B",'Phản ánh'!$G$6:$G$505,$B83,'Phản ánh'!$V$6:$V$505,"&lt;&gt;Đã xử lý"),COUNTIFS('Phản ánh'!$F$6:$F$505,"Block B",'Phản ánh'!$G$6:$G$505,$B83,'Phản ánh'!$V$6:$V$505,"&lt;&gt;Đã xử lý")),IF(COUNTIFS('Kế hoạch'!$E$6:$E$305,"Block B",'Kế hoạch'!$F$6:$F$305,$B83,'Kế hoạch'!$AO$6:$AO$305,1)&gt;0,"CV",""))</f>
      </c>
      <c r="I83" s="118" t="n"/>
      <c r="J83" s="119" t="n"/>
      <c r="K83" s="39" t="n"/>
      <c r="L83" s="117">
        <f>IF(COUNTIFS('Phản ánh'!$F$6:$F$505,"Block C",'Phản ánh'!$G$6:$G$505,$B83,'Phản ánh'!$V$6:$V$505,"&lt;&gt;Đã xử lý")&gt;0,IF((COUNTIFS('Phản ánh'!$F$6:$F$505,"Block C",'Phản ánh'!$G$6:$G$505,$B83,'Phản ánh'!$V$6:$V$505,"&lt;&gt;Đã xử lý",'Phản ánh'!$J$6:$J$505,"Khẩn cấp")+COUNTIFS('Phản ánh'!$F$6:$F$505,"Block C",'Phản ánh'!$G$6:$G$505,$B83,'Phản ánh'!$V$6:$V$505,"&lt;&gt;Đã xử lý",'Phản ánh'!$J$6:$J$505,"Cao"))&gt;0,-COUNTIFS('Phản ánh'!$F$6:$F$505,"Block C",'Phản ánh'!$G$6:$G$505,$B83,'Phản ánh'!$V$6:$V$505,"&lt;&gt;Đã xử lý"),COUNTIFS('Phản ánh'!$F$6:$F$505,"Block C",'Phản ánh'!$G$6:$G$505,$B83,'Phản ánh'!$V$6:$V$505,"&lt;&gt;Đã xử lý")),IF(COUNTIFS('Kế hoạch'!$E$6:$E$305,"Block C",'Kế hoạch'!$F$6:$F$305,$B83,'Kế hoạch'!$AO$6:$AO$305,1)&gt;0,"CV",""))</f>
      </c>
      <c r="M83" s="118" t="n"/>
      <c r="N83" s="119" t="n"/>
      <c r="O83" s="39" t="n"/>
      <c r="P83" s="117">
        <f>IF(COUNTIFS('Phản ánh'!$F$6:$F$505,"Block D",'Phản ánh'!$G$6:$G$505,$B83,'Phản ánh'!$V$6:$V$505,"&lt;&gt;Đã xử lý")&gt;0,IF((COUNTIFS('Phản ánh'!$F$6:$F$505,"Block D",'Phản ánh'!$G$6:$G$505,$B83,'Phản ánh'!$V$6:$V$505,"&lt;&gt;Đã xử lý",'Phản ánh'!$J$6:$J$505,"Khẩn cấp")+COUNTIFS('Phản ánh'!$F$6:$F$505,"Block D",'Phản ánh'!$G$6:$G$505,$B83,'Phản ánh'!$V$6:$V$505,"&lt;&gt;Đã xử lý",'Phản ánh'!$J$6:$J$505,"Cao"))&gt;0,-COUNTIFS('Phản ánh'!$F$6:$F$505,"Block D",'Phản ánh'!$G$6:$G$505,$B83,'Phản ánh'!$V$6:$V$505,"&lt;&gt;Đã xử lý"),COUNTIFS('Phản ánh'!$F$6:$F$505,"Block D",'Phản ánh'!$G$6:$G$505,$B83,'Phản ánh'!$V$6:$V$505,"&lt;&gt;Đã xử lý")),IF(COUNTIFS('Kế hoạch'!$E$6:$E$305,"Block D",'Kế hoạch'!$F$6:$F$305,$B83,'Kế hoạch'!$AO$6:$AO$305,1)&gt;0,"CV",""))</f>
      </c>
      <c r="Q83" s="118" t="n"/>
      <c r="R83" s="119" t="n"/>
      <c r="S83" s="39" t="n"/>
      <c r="T83" s="117">
        <f>IF(COUNTIFS('Phản ánh'!$F$6:$F$505,"Block E",'Phản ánh'!$G$6:$G$505,$B83,'Phản ánh'!$V$6:$V$505,"&lt;&gt;Đã xử lý")&gt;0,IF((COUNTIFS('Phản ánh'!$F$6:$F$505,"Block E",'Phản ánh'!$G$6:$G$505,$B83,'Phản ánh'!$V$6:$V$505,"&lt;&gt;Đã xử lý",'Phản ánh'!$J$6:$J$505,"Khẩn cấp")+COUNTIFS('Phản ánh'!$F$6:$F$505,"Block E",'Phản ánh'!$G$6:$G$505,$B83,'Phản ánh'!$V$6:$V$505,"&lt;&gt;Đã xử lý",'Phản ánh'!$J$6:$J$505,"Cao"))&gt;0,-COUNTIFS('Phản ánh'!$F$6:$F$505,"Block E",'Phản ánh'!$G$6:$G$505,$B83,'Phản ánh'!$V$6:$V$505,"&lt;&gt;Đã xử lý"),COUNTIFS('Phản ánh'!$F$6:$F$505,"Block E",'Phản ánh'!$G$6:$G$505,$B83,'Phản ánh'!$V$6:$V$505,"&lt;&gt;Đã xử lý")),IF(COUNTIFS('Kế hoạch'!$E$6:$E$305,"Block E",'Kế hoạch'!$F$6:$F$305,$B83,'Kế hoạch'!$AO$6:$AO$305,1)&gt;0,"CV",""))</f>
      </c>
      <c r="U83" s="118" t="n"/>
      <c r="V83" s="119" t="n"/>
      <c r="W83" s="39" t="n"/>
      <c r="X83" s="117">
        <f>IF(COUNTIFS('Phản ánh'!$F$6:$F$505,"Block G",'Phản ánh'!$G$6:$G$505,$B83,'Phản ánh'!$V$6:$V$505,"&lt;&gt;Đã xử lý")&gt;0,IF((COUNTIFS('Phản ánh'!$F$6:$F$505,"Block G",'Phản ánh'!$G$6:$G$505,$B83,'Phản ánh'!$V$6:$V$505,"&lt;&gt;Đã xử lý",'Phản ánh'!$J$6:$J$505,"Khẩn cấp")+COUNTIFS('Phản ánh'!$F$6:$F$505,"Block G",'Phản ánh'!$G$6:$G$505,$B83,'Phản ánh'!$V$6:$V$505,"&lt;&gt;Đã xử lý",'Phản ánh'!$J$6:$J$505,"Cao"))&gt;0,-COUNTIFS('Phản ánh'!$F$6:$F$505,"Block G",'Phản ánh'!$G$6:$G$505,$B83,'Phản ánh'!$V$6:$V$505,"&lt;&gt;Đã xử lý"),COUNTIFS('Phản ánh'!$F$6:$F$505,"Block G",'Phản ánh'!$G$6:$G$505,$B83,'Phản ánh'!$V$6:$V$505,"&lt;&gt;Đã xử lý")),IF(COUNTIFS('Kế hoạch'!$E$6:$E$305,"Block G",'Kế hoạch'!$F$6:$F$305,$B83,'Kế hoạch'!$AO$6:$AO$305,1)&gt;0,"CV",""))</f>
      </c>
      <c r="Y83" s="118" t="n"/>
      <c r="Z83" s="119" t="n"/>
      <c r="AA83" s="39" t="n"/>
      <c r="AB83" s="128" t="inlineStr">
        <is>
          <t>Phòng bóng bàn Block C</t>
        </is>
      </c>
      <c r="AC83" s="121" t="n"/>
      <c r="AD83" s="121" t="n"/>
      <c r="AE83" s="121" t="n"/>
      <c r="AF83" s="121" t="n"/>
      <c r="AG83" s="122">
        <f>COUNTIFS('Phản ánh'!$F$6:$F$505,$AB83,'Phản ánh'!$V$6:$V$505,"&lt;&gt;Đã xử lý")</f>
      </c>
      <c r="AH83" s="121" t="n"/>
      <c r="AI83" s="122">
        <f>COUNTIFS('Kế hoạch'!$E$6:$E$305,$AB83,'Kế hoạch'!$AO$6:$AO$305,1,'Kế hoạch'!$AR$6:$AR$305,0)</f>
      </c>
      <c r="AJ83" s="121" t="n"/>
      <c r="AK83" s="122">
        <f>COUNTIFS('Phản ánh'!$F$6:$F$505,$AB83,'Phản ánh'!$Y$6:$Y$505,"Quá hạn")+COUNTIFS('Kế hoạch'!$E$6:$E$305,$AB83,'Kế hoạch'!$AD$6:$AD$305,"Quá hạn")</f>
      </c>
      <c r="AL83" s="121" t="n"/>
      <c r="AM83" s="123">
        <f>IF(AK83&gt;0,"Cần xử lý",IF(AG83+AI83&gt;0,"Theo dõi","Ổn định"))</f>
      </c>
      <c r="AN83" s="121" t="n"/>
      <c r="AO83" s="121" t="n"/>
      <c r="AP83" s="39" t="n"/>
    </row>
    <row r="84" ht="13.5" customHeight="1">
      <c r="A84" s="39" t="n"/>
      <c r="B84" s="116" t="n">
        <v>2</v>
      </c>
      <c r="D84" s="117">
        <f>IF(COUNTIFS('Phản ánh'!$F$6:$F$505,"Block A",'Phản ánh'!$G$6:$G$505,$B84,'Phản ánh'!$V$6:$V$505,"&lt;&gt;Đã xử lý")&gt;0,IF((COUNTIFS('Phản ánh'!$F$6:$F$505,"Block A",'Phản ánh'!$G$6:$G$505,$B84,'Phản ánh'!$V$6:$V$505,"&lt;&gt;Đã xử lý",'Phản ánh'!$J$6:$J$505,"Khẩn cấp")+COUNTIFS('Phản ánh'!$F$6:$F$505,"Block A",'Phản ánh'!$G$6:$G$505,$B84,'Phản ánh'!$V$6:$V$505,"&lt;&gt;Đã xử lý",'Phản ánh'!$J$6:$J$505,"Cao"))&gt;0,-COUNTIFS('Phản ánh'!$F$6:$F$505,"Block A",'Phản ánh'!$G$6:$G$505,$B84,'Phản ánh'!$V$6:$V$505,"&lt;&gt;Đã xử lý"),COUNTIFS('Phản ánh'!$F$6:$F$505,"Block A",'Phản ánh'!$G$6:$G$505,$B84,'Phản ánh'!$V$6:$V$505,"&lt;&gt;Đã xử lý")),IF(COUNTIFS('Kế hoạch'!$E$6:$E$305,"Block A",'Kế hoạch'!$F$6:$F$305,$B84,'Kế hoạch'!$AO$6:$AO$305,1)&gt;0,"CV",""))</f>
      </c>
      <c r="E84" s="118" t="n"/>
      <c r="F84" s="119" t="n"/>
      <c r="G84" s="39" t="n"/>
      <c r="H84" s="117">
        <f>IF(COUNTIFS('Phản ánh'!$F$6:$F$505,"Block B",'Phản ánh'!$G$6:$G$505,$B84,'Phản ánh'!$V$6:$V$505,"&lt;&gt;Đã xử lý")&gt;0,IF((COUNTIFS('Phản ánh'!$F$6:$F$505,"Block B",'Phản ánh'!$G$6:$G$505,$B84,'Phản ánh'!$V$6:$V$505,"&lt;&gt;Đã xử lý",'Phản ánh'!$J$6:$J$505,"Khẩn cấp")+COUNTIFS('Phản ánh'!$F$6:$F$505,"Block B",'Phản ánh'!$G$6:$G$505,$B84,'Phản ánh'!$V$6:$V$505,"&lt;&gt;Đã xử lý",'Phản ánh'!$J$6:$J$505,"Cao"))&gt;0,-COUNTIFS('Phản ánh'!$F$6:$F$505,"Block B",'Phản ánh'!$G$6:$G$505,$B84,'Phản ánh'!$V$6:$V$505,"&lt;&gt;Đã xử lý"),COUNTIFS('Phản ánh'!$F$6:$F$505,"Block B",'Phản ánh'!$G$6:$G$505,$B84,'Phản ánh'!$V$6:$V$505,"&lt;&gt;Đã xử lý")),IF(COUNTIFS('Kế hoạch'!$E$6:$E$305,"Block B",'Kế hoạch'!$F$6:$F$305,$B84,'Kế hoạch'!$AO$6:$AO$305,1)&gt;0,"CV",""))</f>
      </c>
      <c r="I84" s="118" t="n"/>
      <c r="J84" s="119" t="n"/>
      <c r="K84" s="39" t="n"/>
      <c r="L84" s="117">
        <f>IF(COUNTIFS('Phản ánh'!$F$6:$F$505,"Block C",'Phản ánh'!$G$6:$G$505,$B84,'Phản ánh'!$V$6:$V$505,"&lt;&gt;Đã xử lý")&gt;0,IF((COUNTIFS('Phản ánh'!$F$6:$F$505,"Block C",'Phản ánh'!$G$6:$G$505,$B84,'Phản ánh'!$V$6:$V$505,"&lt;&gt;Đã xử lý",'Phản ánh'!$J$6:$J$505,"Khẩn cấp")+COUNTIFS('Phản ánh'!$F$6:$F$505,"Block C",'Phản ánh'!$G$6:$G$505,$B84,'Phản ánh'!$V$6:$V$505,"&lt;&gt;Đã xử lý",'Phản ánh'!$J$6:$J$505,"Cao"))&gt;0,-COUNTIFS('Phản ánh'!$F$6:$F$505,"Block C",'Phản ánh'!$G$6:$G$505,$B84,'Phản ánh'!$V$6:$V$505,"&lt;&gt;Đã xử lý"),COUNTIFS('Phản ánh'!$F$6:$F$505,"Block C",'Phản ánh'!$G$6:$G$505,$B84,'Phản ánh'!$V$6:$V$505,"&lt;&gt;Đã xử lý")),IF(COUNTIFS('Kế hoạch'!$E$6:$E$305,"Block C",'Kế hoạch'!$F$6:$F$305,$B84,'Kế hoạch'!$AO$6:$AO$305,1)&gt;0,"CV",""))</f>
      </c>
      <c r="M84" s="118" t="n"/>
      <c r="N84" s="119" t="n"/>
      <c r="O84" s="39" t="n"/>
      <c r="P84" s="117">
        <f>IF(COUNTIFS('Phản ánh'!$F$6:$F$505,"Block D",'Phản ánh'!$G$6:$G$505,$B84,'Phản ánh'!$V$6:$V$505,"&lt;&gt;Đã xử lý")&gt;0,IF((COUNTIFS('Phản ánh'!$F$6:$F$505,"Block D",'Phản ánh'!$G$6:$G$505,$B84,'Phản ánh'!$V$6:$V$505,"&lt;&gt;Đã xử lý",'Phản ánh'!$J$6:$J$505,"Khẩn cấp")+COUNTIFS('Phản ánh'!$F$6:$F$505,"Block D",'Phản ánh'!$G$6:$G$505,$B84,'Phản ánh'!$V$6:$V$505,"&lt;&gt;Đã xử lý",'Phản ánh'!$J$6:$J$505,"Cao"))&gt;0,-COUNTIFS('Phản ánh'!$F$6:$F$505,"Block D",'Phản ánh'!$G$6:$G$505,$B84,'Phản ánh'!$V$6:$V$505,"&lt;&gt;Đã xử lý"),COUNTIFS('Phản ánh'!$F$6:$F$505,"Block D",'Phản ánh'!$G$6:$G$505,$B84,'Phản ánh'!$V$6:$V$505,"&lt;&gt;Đã xử lý")),IF(COUNTIFS('Kế hoạch'!$E$6:$E$305,"Block D",'Kế hoạch'!$F$6:$F$305,$B84,'Kế hoạch'!$AO$6:$AO$305,1)&gt;0,"CV",""))</f>
      </c>
      <c r="Q84" s="118" t="n"/>
      <c r="R84" s="119" t="n"/>
      <c r="S84" s="39" t="n"/>
      <c r="T84" s="117">
        <f>IF(COUNTIFS('Phản ánh'!$F$6:$F$505,"Block E",'Phản ánh'!$G$6:$G$505,$B84,'Phản ánh'!$V$6:$V$505,"&lt;&gt;Đã xử lý")&gt;0,IF((COUNTIFS('Phản ánh'!$F$6:$F$505,"Block E",'Phản ánh'!$G$6:$G$505,$B84,'Phản ánh'!$V$6:$V$505,"&lt;&gt;Đã xử lý",'Phản ánh'!$J$6:$J$505,"Khẩn cấp")+COUNTIFS('Phản ánh'!$F$6:$F$505,"Block E",'Phản ánh'!$G$6:$G$505,$B84,'Phản ánh'!$V$6:$V$505,"&lt;&gt;Đã xử lý",'Phản ánh'!$J$6:$J$505,"Cao"))&gt;0,-COUNTIFS('Phản ánh'!$F$6:$F$505,"Block E",'Phản ánh'!$G$6:$G$505,$B84,'Phản ánh'!$V$6:$V$505,"&lt;&gt;Đã xử lý"),COUNTIFS('Phản ánh'!$F$6:$F$505,"Block E",'Phản ánh'!$G$6:$G$505,$B84,'Phản ánh'!$V$6:$V$505,"&lt;&gt;Đã xử lý")),IF(COUNTIFS('Kế hoạch'!$E$6:$E$305,"Block E",'Kế hoạch'!$F$6:$F$305,$B84,'Kế hoạch'!$AO$6:$AO$305,1)&gt;0,"CV",""))</f>
      </c>
      <c r="U84" s="118" t="n"/>
      <c r="V84" s="119" t="n"/>
      <c r="W84" s="39" t="n"/>
      <c r="X84" s="117">
        <f>IF(COUNTIFS('Phản ánh'!$F$6:$F$505,"Block G",'Phản ánh'!$G$6:$G$505,$B84,'Phản ánh'!$V$6:$V$505,"&lt;&gt;Đã xử lý")&gt;0,IF((COUNTIFS('Phản ánh'!$F$6:$F$505,"Block G",'Phản ánh'!$G$6:$G$505,$B84,'Phản ánh'!$V$6:$V$505,"&lt;&gt;Đã xử lý",'Phản ánh'!$J$6:$J$505,"Khẩn cấp")+COUNTIFS('Phản ánh'!$F$6:$F$505,"Block G",'Phản ánh'!$G$6:$G$505,$B84,'Phản ánh'!$V$6:$V$505,"&lt;&gt;Đã xử lý",'Phản ánh'!$J$6:$J$505,"Cao"))&gt;0,-COUNTIFS('Phản ánh'!$F$6:$F$505,"Block G",'Phản ánh'!$G$6:$G$505,$B84,'Phản ánh'!$V$6:$V$505,"&lt;&gt;Đã xử lý"),COUNTIFS('Phản ánh'!$F$6:$F$505,"Block G",'Phản ánh'!$G$6:$G$505,$B84,'Phản ánh'!$V$6:$V$505,"&lt;&gt;Đã xử lý")),IF(COUNTIFS('Kế hoạch'!$E$6:$E$305,"Block G",'Kế hoạch'!$F$6:$F$305,$B84,'Kế hoạch'!$AO$6:$AO$305,1)&gt;0,"CV",""))</f>
      </c>
      <c r="Y84" s="118" t="n"/>
      <c r="Z84" s="119" t="n"/>
      <c r="AA84" s="39" t="n"/>
      <c r="AB84" s="129" t="inlineStr">
        <is>
          <t>Nhà sinh hoạt Block G</t>
        </is>
      </c>
      <c r="AC84" s="125" t="n"/>
      <c r="AD84" s="125" t="n"/>
      <c r="AE84" s="125" t="n"/>
      <c r="AF84" s="125" t="n"/>
      <c r="AG84" s="126">
        <f>COUNTIFS('Phản ánh'!$F$6:$F$505,$AB84,'Phản ánh'!$V$6:$V$505,"&lt;&gt;Đã xử lý")</f>
      </c>
      <c r="AH84" s="125" t="n"/>
      <c r="AI84" s="126">
        <f>COUNTIFS('Kế hoạch'!$E$6:$E$305,$AB84,'Kế hoạch'!$AO$6:$AO$305,1,'Kế hoạch'!$AR$6:$AR$305,0)</f>
      </c>
      <c r="AJ84" s="125" t="n"/>
      <c r="AK84" s="126">
        <f>COUNTIFS('Phản ánh'!$F$6:$F$505,$AB84,'Phản ánh'!$Y$6:$Y$505,"Quá hạn")+COUNTIFS('Kế hoạch'!$E$6:$E$305,$AB84,'Kế hoạch'!$AD$6:$AD$305,"Quá hạn")</f>
      </c>
      <c r="AL84" s="125" t="n"/>
      <c r="AM84" s="127">
        <f>IF(AK84&gt;0,"Cần xử lý",IF(AG84+AI84&gt;0,"Theo dõi","Ổn định"))</f>
      </c>
      <c r="AN84" s="125" t="n"/>
      <c r="AO84" s="125" t="n"/>
      <c r="AP84" s="39" t="n"/>
    </row>
    <row r="85" ht="13.5" customHeight="1">
      <c r="A85" s="39" t="n"/>
      <c r="B85" s="116" t="n">
        <v>1</v>
      </c>
      <c r="D85" s="117">
        <f>IF(COUNTIFS('Phản ánh'!$F$6:$F$505,"Block A",'Phản ánh'!$G$6:$G$505,$B85,'Phản ánh'!$V$6:$V$505,"&lt;&gt;Đã xử lý")&gt;0,IF((COUNTIFS('Phản ánh'!$F$6:$F$505,"Block A",'Phản ánh'!$G$6:$G$505,$B85,'Phản ánh'!$V$6:$V$505,"&lt;&gt;Đã xử lý",'Phản ánh'!$J$6:$J$505,"Khẩn cấp")+COUNTIFS('Phản ánh'!$F$6:$F$505,"Block A",'Phản ánh'!$G$6:$G$505,$B85,'Phản ánh'!$V$6:$V$505,"&lt;&gt;Đã xử lý",'Phản ánh'!$J$6:$J$505,"Cao"))&gt;0,-COUNTIFS('Phản ánh'!$F$6:$F$505,"Block A",'Phản ánh'!$G$6:$G$505,$B85,'Phản ánh'!$V$6:$V$505,"&lt;&gt;Đã xử lý"),COUNTIFS('Phản ánh'!$F$6:$F$505,"Block A",'Phản ánh'!$G$6:$G$505,$B85,'Phản ánh'!$V$6:$V$505,"&lt;&gt;Đã xử lý")),IF(COUNTIFS('Kế hoạch'!$E$6:$E$305,"Block A",'Kế hoạch'!$F$6:$F$305,$B85,'Kế hoạch'!$AO$6:$AO$305,1)&gt;0,"CV",""))</f>
      </c>
      <c r="E85" s="118" t="n"/>
      <c r="F85" s="119" t="n"/>
      <c r="G85" s="39" t="n"/>
      <c r="H85" s="117">
        <f>IF(COUNTIFS('Phản ánh'!$F$6:$F$505,"Block B",'Phản ánh'!$G$6:$G$505,$B85,'Phản ánh'!$V$6:$V$505,"&lt;&gt;Đã xử lý")&gt;0,IF((COUNTIFS('Phản ánh'!$F$6:$F$505,"Block B",'Phản ánh'!$G$6:$G$505,$B85,'Phản ánh'!$V$6:$V$505,"&lt;&gt;Đã xử lý",'Phản ánh'!$J$6:$J$505,"Khẩn cấp")+COUNTIFS('Phản ánh'!$F$6:$F$505,"Block B",'Phản ánh'!$G$6:$G$505,$B85,'Phản ánh'!$V$6:$V$505,"&lt;&gt;Đã xử lý",'Phản ánh'!$J$6:$J$505,"Cao"))&gt;0,-COUNTIFS('Phản ánh'!$F$6:$F$505,"Block B",'Phản ánh'!$G$6:$G$505,$B85,'Phản ánh'!$V$6:$V$505,"&lt;&gt;Đã xử lý"),COUNTIFS('Phản ánh'!$F$6:$F$505,"Block B",'Phản ánh'!$G$6:$G$505,$B85,'Phản ánh'!$V$6:$V$505,"&lt;&gt;Đã xử lý")),IF(COUNTIFS('Kế hoạch'!$E$6:$E$305,"Block B",'Kế hoạch'!$F$6:$F$305,$B85,'Kế hoạch'!$AO$6:$AO$305,1)&gt;0,"CV",""))</f>
      </c>
      <c r="I85" s="118" t="n"/>
      <c r="J85" s="119" t="n"/>
      <c r="K85" s="39" t="n"/>
      <c r="L85" s="117">
        <f>IF(COUNTIFS('Phản ánh'!$F$6:$F$505,"Block C",'Phản ánh'!$G$6:$G$505,$B85,'Phản ánh'!$V$6:$V$505,"&lt;&gt;Đã xử lý")&gt;0,IF((COUNTIFS('Phản ánh'!$F$6:$F$505,"Block C",'Phản ánh'!$G$6:$G$505,$B85,'Phản ánh'!$V$6:$V$505,"&lt;&gt;Đã xử lý",'Phản ánh'!$J$6:$J$505,"Khẩn cấp")+COUNTIFS('Phản ánh'!$F$6:$F$505,"Block C",'Phản ánh'!$G$6:$G$505,$B85,'Phản ánh'!$V$6:$V$505,"&lt;&gt;Đã xử lý",'Phản ánh'!$J$6:$J$505,"Cao"))&gt;0,-COUNTIFS('Phản ánh'!$F$6:$F$505,"Block C",'Phản ánh'!$G$6:$G$505,$B85,'Phản ánh'!$V$6:$V$505,"&lt;&gt;Đã xử lý"),COUNTIFS('Phản ánh'!$F$6:$F$505,"Block C",'Phản ánh'!$G$6:$G$505,$B85,'Phản ánh'!$V$6:$V$505,"&lt;&gt;Đã xử lý")),IF(COUNTIFS('Kế hoạch'!$E$6:$E$305,"Block C",'Kế hoạch'!$F$6:$F$305,$B85,'Kế hoạch'!$AO$6:$AO$305,1)&gt;0,"CV",""))</f>
      </c>
      <c r="M85" s="118" t="n"/>
      <c r="N85" s="119" t="n"/>
      <c r="O85" s="39" t="n"/>
      <c r="P85" s="117">
        <f>IF(COUNTIFS('Phản ánh'!$F$6:$F$505,"Block D",'Phản ánh'!$G$6:$G$505,$B85,'Phản ánh'!$V$6:$V$505,"&lt;&gt;Đã xử lý")&gt;0,IF((COUNTIFS('Phản ánh'!$F$6:$F$505,"Block D",'Phản ánh'!$G$6:$G$505,$B85,'Phản ánh'!$V$6:$V$505,"&lt;&gt;Đã xử lý",'Phản ánh'!$J$6:$J$505,"Khẩn cấp")+COUNTIFS('Phản ánh'!$F$6:$F$505,"Block D",'Phản ánh'!$G$6:$G$505,$B85,'Phản ánh'!$V$6:$V$505,"&lt;&gt;Đã xử lý",'Phản ánh'!$J$6:$J$505,"Cao"))&gt;0,-COUNTIFS('Phản ánh'!$F$6:$F$505,"Block D",'Phản ánh'!$G$6:$G$505,$B85,'Phản ánh'!$V$6:$V$505,"&lt;&gt;Đã xử lý"),COUNTIFS('Phản ánh'!$F$6:$F$505,"Block D",'Phản ánh'!$G$6:$G$505,$B85,'Phản ánh'!$V$6:$V$505,"&lt;&gt;Đã xử lý")),IF(COUNTIFS('Kế hoạch'!$E$6:$E$305,"Block D",'Kế hoạch'!$F$6:$F$305,$B85,'Kế hoạch'!$AO$6:$AO$305,1)&gt;0,"CV",""))</f>
      </c>
      <c r="Q85" s="118" t="n"/>
      <c r="R85" s="119" t="n"/>
      <c r="S85" s="39" t="n"/>
      <c r="T85" s="117">
        <f>IF(COUNTIFS('Phản ánh'!$F$6:$F$505,"Block E",'Phản ánh'!$G$6:$G$505,$B85,'Phản ánh'!$V$6:$V$505,"&lt;&gt;Đã xử lý")&gt;0,IF((COUNTIFS('Phản ánh'!$F$6:$F$505,"Block E",'Phản ánh'!$G$6:$G$505,$B85,'Phản ánh'!$V$6:$V$505,"&lt;&gt;Đã xử lý",'Phản ánh'!$J$6:$J$505,"Khẩn cấp")+COUNTIFS('Phản ánh'!$F$6:$F$505,"Block E",'Phản ánh'!$G$6:$G$505,$B85,'Phản ánh'!$V$6:$V$505,"&lt;&gt;Đã xử lý",'Phản ánh'!$J$6:$J$505,"Cao"))&gt;0,-COUNTIFS('Phản ánh'!$F$6:$F$505,"Block E",'Phản ánh'!$G$6:$G$505,$B85,'Phản ánh'!$V$6:$V$505,"&lt;&gt;Đã xử lý"),COUNTIFS('Phản ánh'!$F$6:$F$505,"Block E",'Phản ánh'!$G$6:$G$505,$B85,'Phản ánh'!$V$6:$V$505,"&lt;&gt;Đã xử lý")),IF(COUNTIFS('Kế hoạch'!$E$6:$E$305,"Block E",'Kế hoạch'!$F$6:$F$305,$B85,'Kế hoạch'!$AO$6:$AO$305,1)&gt;0,"CV",""))</f>
      </c>
      <c r="U85" s="118" t="n"/>
      <c r="V85" s="119" t="n"/>
      <c r="W85" s="39" t="n"/>
      <c r="X85" s="117">
        <f>IF(COUNTIFS('Phản ánh'!$F$6:$F$505,"Block G",'Phản ánh'!$G$6:$G$505,$B85,'Phản ánh'!$V$6:$V$505,"&lt;&gt;Đã xử lý")&gt;0,IF((COUNTIFS('Phản ánh'!$F$6:$F$505,"Block G",'Phản ánh'!$G$6:$G$505,$B85,'Phản ánh'!$V$6:$V$505,"&lt;&gt;Đã xử lý",'Phản ánh'!$J$6:$J$505,"Khẩn cấp")+COUNTIFS('Phản ánh'!$F$6:$F$505,"Block G",'Phản ánh'!$G$6:$G$505,$B85,'Phản ánh'!$V$6:$V$505,"&lt;&gt;Đã xử lý",'Phản ánh'!$J$6:$J$505,"Cao"))&gt;0,-COUNTIFS('Phản ánh'!$F$6:$F$505,"Block G",'Phản ánh'!$G$6:$G$505,$B85,'Phản ánh'!$V$6:$V$505,"&lt;&gt;Đã xử lý"),COUNTIFS('Phản ánh'!$F$6:$F$505,"Block G",'Phản ánh'!$G$6:$G$505,$B85,'Phản ánh'!$V$6:$V$505,"&lt;&gt;Đã xử lý")),IF(COUNTIFS('Kế hoạch'!$E$6:$E$305,"Block G",'Kế hoạch'!$F$6:$F$305,$B85,'Kế hoạch'!$AO$6:$AO$305,1)&gt;0,"CV",""))</f>
      </c>
      <c r="Y85" s="118" t="n"/>
      <c r="Z85" s="119" t="n"/>
      <c r="AA85" s="39" t="n"/>
      <c r="AB85" s="128" t="inlineStr">
        <is>
          <t>Khuôn viên</t>
        </is>
      </c>
      <c r="AC85" s="121" t="n"/>
      <c r="AD85" s="121" t="n"/>
      <c r="AE85" s="121" t="n"/>
      <c r="AF85" s="121" t="n"/>
      <c r="AG85" s="122">
        <f>COUNTIFS('Phản ánh'!$F$6:$F$505,$AB85,'Phản ánh'!$V$6:$V$505,"&lt;&gt;Đã xử lý")</f>
      </c>
      <c r="AH85" s="121" t="n"/>
      <c r="AI85" s="122">
        <f>COUNTIFS('Kế hoạch'!$E$6:$E$305,$AB85,'Kế hoạch'!$AO$6:$AO$305,1,'Kế hoạch'!$AR$6:$AR$305,0)</f>
      </c>
      <c r="AJ85" s="121" t="n"/>
      <c r="AK85" s="122">
        <f>COUNTIFS('Phản ánh'!$F$6:$F$505,$AB85,'Phản ánh'!$Y$6:$Y$505,"Quá hạn")+COUNTIFS('Kế hoạch'!$E$6:$E$305,$AB85,'Kế hoạch'!$AD$6:$AD$305,"Quá hạn")</f>
      </c>
      <c r="AL85" s="121" t="n"/>
      <c r="AM85" s="123">
        <f>IF(AK85&gt;0,"Cần xử lý",IF(AG85+AI85&gt;0,"Theo dõi","Ổn định"))</f>
      </c>
      <c r="AN85" s="121" t="n"/>
      <c r="AO85" s="121" t="n"/>
      <c r="AP85" s="39" t="n"/>
    </row>
    <row r="86" ht="13.5" customHeight="1">
      <c r="A86" s="39" t="n"/>
      <c r="B86" s="111" t="inlineStr">
        <is>
          <t>Sảnh</t>
        </is>
      </c>
      <c r="D86" s="130">
        <f>IF(COUNTIFS('Phản ánh'!$F$6:$F$505,"Block A",'Phản ánh'!$G$6:$G$505,$B86,'Phản ánh'!$V$6:$V$505,"&lt;&gt;Đã xử lý")&gt;0,IF((COUNTIFS('Phản ánh'!$F$6:$F$505,"Block A",'Phản ánh'!$G$6:$G$505,$B86,'Phản ánh'!$V$6:$V$505,"&lt;&gt;Đã xử lý",'Phản ánh'!$J$6:$J$505,"Khẩn cấp")+COUNTIFS('Phản ánh'!$F$6:$F$505,"Block A",'Phản ánh'!$G$6:$G$505,$B86,'Phản ánh'!$V$6:$V$505,"&lt;&gt;Đã xử lý",'Phản ánh'!$J$6:$J$505,"Cao"))&gt;0,-COUNTIFS('Phản ánh'!$F$6:$F$505,"Block A",'Phản ánh'!$G$6:$G$505,$B86,'Phản ánh'!$V$6:$V$505,"&lt;&gt;Đã xử lý"),COUNTIFS('Phản ánh'!$F$6:$F$505,"Block A",'Phản ánh'!$G$6:$G$505,$B86,'Phản ánh'!$V$6:$V$505,"&lt;&gt;Đã xử lý")),IF(COUNTIFS('Kế hoạch'!$E$6:$E$305,"Block A",'Kế hoạch'!$F$6:$F$305,$B86,'Kế hoạch'!$AO$6:$AO$305,1)&gt;0,"CV",""))</f>
      </c>
      <c r="E86" s="131" t="n"/>
      <c r="F86" s="132" t="n"/>
      <c r="G86" s="39" t="n"/>
      <c r="H86" s="130">
        <f>IF(COUNTIFS('Phản ánh'!$F$6:$F$505,"Block B",'Phản ánh'!$G$6:$G$505,$B86,'Phản ánh'!$V$6:$V$505,"&lt;&gt;Đã xử lý")&gt;0,IF((COUNTIFS('Phản ánh'!$F$6:$F$505,"Block B",'Phản ánh'!$G$6:$G$505,$B86,'Phản ánh'!$V$6:$V$505,"&lt;&gt;Đã xử lý",'Phản ánh'!$J$6:$J$505,"Khẩn cấp")+COUNTIFS('Phản ánh'!$F$6:$F$505,"Block B",'Phản ánh'!$G$6:$G$505,$B86,'Phản ánh'!$V$6:$V$505,"&lt;&gt;Đã xử lý",'Phản ánh'!$J$6:$J$505,"Cao"))&gt;0,-COUNTIFS('Phản ánh'!$F$6:$F$505,"Block B",'Phản ánh'!$G$6:$G$505,$B86,'Phản ánh'!$V$6:$V$505,"&lt;&gt;Đã xử lý"),COUNTIFS('Phản ánh'!$F$6:$F$505,"Block B",'Phản ánh'!$G$6:$G$505,$B86,'Phản ánh'!$V$6:$V$505,"&lt;&gt;Đã xử lý")),IF(COUNTIFS('Kế hoạch'!$E$6:$E$305,"Block B",'Kế hoạch'!$F$6:$F$305,$B86,'Kế hoạch'!$AO$6:$AO$305,1)&gt;0,"CV",""))</f>
      </c>
      <c r="I86" s="131" t="n"/>
      <c r="J86" s="132" t="n"/>
      <c r="K86" s="39" t="n"/>
      <c r="L86" s="130">
        <f>IF(COUNTIFS('Phản ánh'!$F$6:$F$505,"Block C",'Phản ánh'!$G$6:$G$505,$B86,'Phản ánh'!$V$6:$V$505,"&lt;&gt;Đã xử lý")&gt;0,IF((COUNTIFS('Phản ánh'!$F$6:$F$505,"Block C",'Phản ánh'!$G$6:$G$505,$B86,'Phản ánh'!$V$6:$V$505,"&lt;&gt;Đã xử lý",'Phản ánh'!$J$6:$J$505,"Khẩn cấp")+COUNTIFS('Phản ánh'!$F$6:$F$505,"Block C",'Phản ánh'!$G$6:$G$505,$B86,'Phản ánh'!$V$6:$V$505,"&lt;&gt;Đã xử lý",'Phản ánh'!$J$6:$J$505,"Cao"))&gt;0,-COUNTIFS('Phản ánh'!$F$6:$F$505,"Block C",'Phản ánh'!$G$6:$G$505,$B86,'Phản ánh'!$V$6:$V$505,"&lt;&gt;Đã xử lý"),COUNTIFS('Phản ánh'!$F$6:$F$505,"Block C",'Phản ánh'!$G$6:$G$505,$B86,'Phản ánh'!$V$6:$V$505,"&lt;&gt;Đã xử lý")),IF(COUNTIFS('Kế hoạch'!$E$6:$E$305,"Block C",'Kế hoạch'!$F$6:$F$305,$B86,'Kế hoạch'!$AO$6:$AO$305,1)&gt;0,"CV",""))</f>
      </c>
      <c r="M86" s="131" t="n"/>
      <c r="N86" s="132" t="n"/>
      <c r="O86" s="39" t="n"/>
      <c r="P86" s="130">
        <f>IF(COUNTIFS('Phản ánh'!$F$6:$F$505,"Block D",'Phản ánh'!$G$6:$G$505,$B86,'Phản ánh'!$V$6:$V$505,"&lt;&gt;Đã xử lý")&gt;0,IF((COUNTIFS('Phản ánh'!$F$6:$F$505,"Block D",'Phản ánh'!$G$6:$G$505,$B86,'Phản ánh'!$V$6:$V$505,"&lt;&gt;Đã xử lý",'Phản ánh'!$J$6:$J$505,"Khẩn cấp")+COUNTIFS('Phản ánh'!$F$6:$F$505,"Block D",'Phản ánh'!$G$6:$G$505,$B86,'Phản ánh'!$V$6:$V$505,"&lt;&gt;Đã xử lý",'Phản ánh'!$J$6:$J$505,"Cao"))&gt;0,-COUNTIFS('Phản ánh'!$F$6:$F$505,"Block D",'Phản ánh'!$G$6:$G$505,$B86,'Phản ánh'!$V$6:$V$505,"&lt;&gt;Đã xử lý"),COUNTIFS('Phản ánh'!$F$6:$F$505,"Block D",'Phản ánh'!$G$6:$G$505,$B86,'Phản ánh'!$V$6:$V$505,"&lt;&gt;Đã xử lý")),IF(COUNTIFS('Kế hoạch'!$E$6:$E$305,"Block D",'Kế hoạch'!$F$6:$F$305,$B86,'Kế hoạch'!$AO$6:$AO$305,1)&gt;0,"CV",""))</f>
      </c>
      <c r="Q86" s="131" t="n"/>
      <c r="R86" s="132" t="n"/>
      <c r="S86" s="39" t="n"/>
      <c r="T86" s="130">
        <f>IF(COUNTIFS('Phản ánh'!$F$6:$F$505,"Block E",'Phản ánh'!$G$6:$G$505,$B86,'Phản ánh'!$V$6:$V$505,"&lt;&gt;Đã xử lý")&gt;0,IF((COUNTIFS('Phản ánh'!$F$6:$F$505,"Block E",'Phản ánh'!$G$6:$G$505,$B86,'Phản ánh'!$V$6:$V$505,"&lt;&gt;Đã xử lý",'Phản ánh'!$J$6:$J$505,"Khẩn cấp")+COUNTIFS('Phản ánh'!$F$6:$F$505,"Block E",'Phản ánh'!$G$6:$G$505,$B86,'Phản ánh'!$V$6:$V$505,"&lt;&gt;Đã xử lý",'Phản ánh'!$J$6:$J$505,"Cao"))&gt;0,-COUNTIFS('Phản ánh'!$F$6:$F$505,"Block E",'Phản ánh'!$G$6:$G$505,$B86,'Phản ánh'!$V$6:$V$505,"&lt;&gt;Đã xử lý"),COUNTIFS('Phản ánh'!$F$6:$F$505,"Block E",'Phản ánh'!$G$6:$G$505,$B86,'Phản ánh'!$V$6:$V$505,"&lt;&gt;Đã xử lý")),IF(COUNTIFS('Kế hoạch'!$E$6:$E$305,"Block E",'Kế hoạch'!$F$6:$F$305,$B86,'Kế hoạch'!$AO$6:$AO$305,1)&gt;0,"CV",""))</f>
      </c>
      <c r="U86" s="131" t="n"/>
      <c r="V86" s="132" t="n"/>
      <c r="W86" s="39" t="n"/>
      <c r="X86" s="130">
        <f>IF(COUNTIFS('Phản ánh'!$F$6:$F$505,"Block G",'Phản ánh'!$G$6:$G$505,$B86,'Phản ánh'!$V$6:$V$505,"&lt;&gt;Đã xử lý")&gt;0,IF((COUNTIFS('Phản ánh'!$F$6:$F$505,"Block G",'Phản ánh'!$G$6:$G$505,$B86,'Phản ánh'!$V$6:$V$505,"&lt;&gt;Đã xử lý",'Phản ánh'!$J$6:$J$505,"Khẩn cấp")+COUNTIFS('Phản ánh'!$F$6:$F$505,"Block G",'Phản ánh'!$G$6:$G$505,$B86,'Phản ánh'!$V$6:$V$505,"&lt;&gt;Đã xử lý",'Phản ánh'!$J$6:$J$505,"Cao"))&gt;0,-COUNTIFS('Phản ánh'!$F$6:$F$505,"Block G",'Phản ánh'!$G$6:$G$505,$B86,'Phản ánh'!$V$6:$V$505,"&lt;&gt;Đã xử lý"),COUNTIFS('Phản ánh'!$F$6:$F$505,"Block G",'Phản ánh'!$G$6:$G$505,$B86,'Phản ánh'!$V$6:$V$505,"&lt;&gt;Đã xử lý")),IF(COUNTIFS('Kế hoạch'!$E$6:$E$305,"Block G",'Kế hoạch'!$F$6:$F$305,$B86,'Kế hoạch'!$AO$6:$AO$305,1)&gt;0,"CV",""))</f>
      </c>
      <c r="Y86" s="131" t="n"/>
      <c r="Z86" s="132" t="n"/>
      <c r="AA86" s="39" t="n"/>
      <c r="AB86" s="129" t="inlineStr">
        <is>
          <t>Toàn khu</t>
        </is>
      </c>
      <c r="AC86" s="125" t="n"/>
      <c r="AD86" s="125" t="n"/>
      <c r="AE86" s="125" t="n"/>
      <c r="AF86" s="125" t="n"/>
      <c r="AG86" s="126">
        <f>COUNTIFS('Phản ánh'!$F$6:$F$505,$AB86,'Phản ánh'!$V$6:$V$505,"&lt;&gt;Đã xử lý")</f>
      </c>
      <c r="AH86" s="125" t="n"/>
      <c r="AI86" s="126">
        <f>COUNTIFS('Kế hoạch'!$E$6:$E$305,$AB86,'Kế hoạch'!$AO$6:$AO$305,1,'Kế hoạch'!$AR$6:$AR$305,0)</f>
      </c>
      <c r="AJ86" s="125" t="n"/>
      <c r="AK86" s="126">
        <f>COUNTIFS('Phản ánh'!$F$6:$F$505,$AB86,'Phản ánh'!$Y$6:$Y$505,"Quá hạn")+COUNTIFS('Kế hoạch'!$E$6:$E$305,$AB86,'Kế hoạch'!$AD$6:$AD$305,"Quá hạn")</f>
      </c>
      <c r="AL86" s="125" t="n"/>
      <c r="AM86" s="127">
        <f>IF(AK86&gt;0,"Cần xử lý",IF(AG86+AI86&gt;0,"Theo dõi","Ổn định"))</f>
      </c>
      <c r="AN86" s="125" t="n"/>
      <c r="AO86" s="125" t="n"/>
      <c r="AP86" s="39" t="n"/>
    </row>
    <row r="87" ht="4" customHeight="1">
      <c r="A87" s="39" t="n"/>
      <c r="B87" s="38" t="n"/>
      <c r="C87" s="38" t="n"/>
      <c r="D87" s="38" t="n"/>
      <c r="E87" s="38" t="n"/>
      <c r="F87" s="38" t="n"/>
      <c r="G87" s="38" t="n"/>
      <c r="H87" s="38" t="n"/>
      <c r="I87" s="38" t="n"/>
      <c r="J87" s="38" t="n"/>
      <c r="K87" s="38" t="n"/>
      <c r="L87" s="38" t="n"/>
      <c r="M87" s="38" t="n"/>
      <c r="N87" s="38" t="n"/>
      <c r="O87" s="38" t="n"/>
      <c r="P87" s="38" t="n"/>
      <c r="Q87" s="38" t="n"/>
      <c r="R87" s="38" t="n"/>
      <c r="S87" s="38" t="n"/>
      <c r="T87" s="38" t="n"/>
      <c r="U87" s="38" t="n"/>
      <c r="V87" s="38" t="n"/>
      <c r="W87" s="38" t="n"/>
      <c r="X87" s="38" t="n"/>
      <c r="Y87" s="38" t="n"/>
      <c r="Z87" s="38" t="n"/>
      <c r="AA87" s="39" t="n"/>
      <c r="AB87" s="39" t="n"/>
      <c r="AC87" s="39" t="n"/>
      <c r="AD87" s="39" t="n"/>
      <c r="AE87" s="39" t="n"/>
      <c r="AF87" s="39" t="n"/>
      <c r="AG87" s="39" t="n"/>
      <c r="AH87" s="39" t="n"/>
      <c r="AI87" s="39" t="n"/>
      <c r="AJ87" s="39" t="n"/>
      <c r="AK87" s="39" t="n"/>
      <c r="AL87" s="39" t="n"/>
      <c r="AM87" s="39" t="n"/>
      <c r="AN87" s="39" t="n"/>
      <c r="AO87" s="39" t="n"/>
      <c r="AP87" s="39" t="n"/>
    </row>
    <row r="88" ht="30" customHeight="1">
      <c r="A88" s="39" t="n"/>
      <c r="B88" s="39" t="n"/>
      <c r="C88" s="39" t="n"/>
      <c r="D88" s="133" t="inlineStr">
        <is>
          <t>A</t>
        </is>
      </c>
      <c r="G88" s="39" t="n"/>
      <c r="H88" s="133" t="inlineStr">
        <is>
          <t>B</t>
        </is>
      </c>
      <c r="K88" s="39" t="n"/>
      <c r="L88" s="133" t="inlineStr">
        <is>
          <t>C</t>
        </is>
      </c>
      <c r="O88" s="39" t="n"/>
      <c r="P88" s="133" t="inlineStr">
        <is>
          <t>D</t>
        </is>
      </c>
      <c r="S88" s="39" t="n"/>
      <c r="T88" s="133" t="inlineStr">
        <is>
          <t>E</t>
        </is>
      </c>
      <c r="W88" s="39" t="n"/>
      <c r="X88" s="133" t="inlineStr">
        <is>
          <t>G</t>
        </is>
      </c>
      <c r="AA88" s="39" t="n"/>
      <c r="AB88" s="39" t="n"/>
      <c r="AC88" s="39" t="n"/>
      <c r="AD88" s="39" t="n"/>
      <c r="AE88" s="39" t="n"/>
      <c r="AF88" s="39" t="n"/>
      <c r="AG88" s="39" t="n"/>
      <c r="AH88" s="39" t="n"/>
      <c r="AI88" s="39" t="n"/>
      <c r="AJ88" s="39" t="n"/>
      <c r="AK88" s="39" t="n"/>
      <c r="AL88" s="39" t="n"/>
      <c r="AM88" s="39" t="n"/>
      <c r="AN88" s="39" t="n"/>
      <c r="AO88" s="39" t="n"/>
      <c r="AP88" s="39" t="n"/>
    </row>
    <row r="89" ht="14" customHeight="1">
      <c r="A89" s="39" t="n"/>
      <c r="B89" s="39" t="n"/>
      <c r="C89" s="39" t="n"/>
      <c r="D89" s="134">
        <f>COUNTIFS('Phản ánh'!$F$6:$F$505,"Block A",'Phản ánh'!$V$6:$V$505,"&lt;&gt;Đã xử lý")&amp;" phản ánh"</f>
      </c>
      <c r="G89" s="39" t="n"/>
      <c r="H89" s="134">
        <f>COUNTIFS('Phản ánh'!$F$6:$F$505,"Block B",'Phản ánh'!$V$6:$V$505,"&lt;&gt;Đã xử lý")&amp;" phản ánh"</f>
      </c>
      <c r="K89" s="39" t="n"/>
      <c r="L89" s="134">
        <f>COUNTIFS('Phản ánh'!$F$6:$F$505,"Block C",'Phản ánh'!$V$6:$V$505,"&lt;&gt;Đã xử lý")&amp;" phản ánh"</f>
      </c>
      <c r="O89" s="39" t="n"/>
      <c r="P89" s="134">
        <f>COUNTIFS('Phản ánh'!$F$6:$F$505,"Block D",'Phản ánh'!$V$6:$V$505,"&lt;&gt;Đã xử lý")&amp;" phản ánh"</f>
      </c>
      <c r="S89" s="39" t="n"/>
      <c r="T89" s="134">
        <f>COUNTIFS('Phản ánh'!$F$6:$F$505,"Block E",'Phản ánh'!$V$6:$V$505,"&lt;&gt;Đã xử lý")&amp;" phản ánh"</f>
      </c>
      <c r="W89" s="39" t="n"/>
      <c r="X89" s="134">
        <f>COUNTIFS('Phản ánh'!$F$6:$F$505,"Block G",'Phản ánh'!$V$6:$V$505,"&lt;&gt;Đã xử lý")&amp;" phản ánh"</f>
      </c>
      <c r="AA89" s="39" t="n"/>
      <c r="AB89" s="39" t="n"/>
      <c r="AC89" s="39" t="n"/>
      <c r="AD89" s="39" t="n"/>
      <c r="AE89" s="39" t="n"/>
      <c r="AF89" s="39" t="n"/>
      <c r="AG89" s="39" t="n"/>
      <c r="AH89" s="39" t="n"/>
      <c r="AI89" s="39" t="n"/>
      <c r="AJ89" s="39" t="n"/>
      <c r="AK89" s="39" t="n"/>
      <c r="AL89" s="39" t="n"/>
      <c r="AM89" s="39" t="n"/>
      <c r="AN89" s="39" t="n"/>
      <c r="AO89" s="39" t="n"/>
      <c r="AP89" s="39" t="n"/>
    </row>
    <row r="90" ht="14" customHeight="1">
      <c r="A90" s="39" t="n"/>
      <c r="B90" s="39" t="n"/>
      <c r="C90" s="39" t="n"/>
      <c r="D90" s="135">
        <f>COUNTIFS('Kế hoạch'!$E$6:$E$305,"Block A",'Kế hoạch'!$AO$6:$AO$305,1,'Kế hoạch'!$AR$6:$AR$305,0)&amp;" công việc"</f>
      </c>
      <c r="G90" s="39" t="n"/>
      <c r="H90" s="135">
        <f>COUNTIFS('Kế hoạch'!$E$6:$E$305,"Block B",'Kế hoạch'!$AO$6:$AO$305,1,'Kế hoạch'!$AR$6:$AR$305,0)&amp;" công việc"</f>
      </c>
      <c r="K90" s="39" t="n"/>
      <c r="L90" s="135">
        <f>COUNTIFS('Kế hoạch'!$E$6:$E$305,"Block C",'Kế hoạch'!$AO$6:$AO$305,1,'Kế hoạch'!$AR$6:$AR$305,0)&amp;" công việc"</f>
      </c>
      <c r="O90" s="39" t="n"/>
      <c r="P90" s="135">
        <f>COUNTIFS('Kế hoạch'!$E$6:$E$305,"Block D",'Kế hoạch'!$AO$6:$AO$305,1,'Kế hoạch'!$AR$6:$AR$305,0)&amp;" công việc"</f>
      </c>
      <c r="S90" s="39" t="n"/>
      <c r="T90" s="135">
        <f>COUNTIFS('Kế hoạch'!$E$6:$E$305,"Block E",'Kế hoạch'!$AO$6:$AO$305,1,'Kế hoạch'!$AR$6:$AR$305,0)&amp;" công việc"</f>
      </c>
      <c r="W90" s="39" t="n"/>
      <c r="X90" s="135">
        <f>COUNTIFS('Kế hoạch'!$E$6:$E$305,"Block G",'Kế hoạch'!$AO$6:$AO$305,1,'Kế hoạch'!$AR$6:$AR$305,0)&amp;" công việc"</f>
      </c>
      <c r="AA90" s="39" t="n"/>
      <c r="AB90" s="39" t="n"/>
      <c r="AC90" s="39" t="n"/>
      <c r="AD90" s="39" t="n"/>
      <c r="AE90" s="39" t="n"/>
      <c r="AF90" s="39" t="n"/>
      <c r="AG90" s="39" t="n"/>
      <c r="AH90" s="39" t="n"/>
      <c r="AI90" s="39" t="n"/>
      <c r="AJ90" s="39" t="n"/>
      <c r="AK90" s="39" t="n"/>
      <c r="AL90" s="39" t="n"/>
      <c r="AM90" s="39" t="n"/>
      <c r="AN90" s="39" t="n"/>
      <c r="AO90" s="39" t="n"/>
      <c r="AP90" s="39" t="n"/>
    </row>
    <row r="91" ht="8" customHeight="1">
      <c r="A91" s="39" t="n"/>
      <c r="B91" s="3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39" t="n"/>
      <c r="AE91" s="39" t="n"/>
      <c r="AF91" s="39" t="n"/>
      <c r="AG91" s="39" t="n"/>
      <c r="AH91" s="39" t="n"/>
      <c r="AI91" s="39" t="n"/>
      <c r="AJ91" s="39" t="n"/>
      <c r="AK91" s="39" t="n"/>
      <c r="AL91" s="39" t="n"/>
      <c r="AM91" s="39" t="n"/>
      <c r="AN91" s="39" t="n"/>
      <c r="AO91" s="39" t="n"/>
      <c r="AP91" s="39" t="n"/>
    </row>
    <row r="92" ht="16" customHeight="1">
      <c r="A92" s="39" t="n"/>
      <c r="B92" s="39" t="n"/>
      <c r="C92" s="39" t="n"/>
      <c r="D92" s="136" t="n"/>
      <c r="E92" s="137" t="inlineStr">
        <is>
          <t>Khẩn cấp, cao</t>
        </is>
      </c>
      <c r="J92" s="39" t="n"/>
      <c r="K92" s="138" t="n"/>
      <c r="L92" s="137" t="inlineStr">
        <is>
          <t>Trung bình, thấp</t>
        </is>
      </c>
      <c r="Q92" s="39" t="n"/>
      <c r="R92" s="139" t="n"/>
      <c r="S92" s="137" t="inlineStr">
        <is>
          <t>Công việc (CV)</t>
        </is>
      </c>
      <c r="X92" s="39" t="n"/>
      <c r="Y92" s="39" t="n"/>
      <c r="Z92" s="39" t="n"/>
      <c r="AA92" s="39" t="n"/>
      <c r="AB92" s="39" t="n"/>
      <c r="AC92" s="39" t="n"/>
      <c r="AD92" s="39" t="n"/>
      <c r="AE92" s="39" t="n"/>
      <c r="AF92" s="39" t="n"/>
      <c r="AG92" s="39" t="n"/>
      <c r="AH92" s="39" t="n"/>
      <c r="AI92" s="39" t="n"/>
      <c r="AJ92" s="39" t="n"/>
      <c r="AK92" s="39" t="n"/>
      <c r="AL92" s="39" t="n"/>
      <c r="AM92" s="39" t="n"/>
      <c r="AN92" s="39" t="n"/>
      <c r="AO92" s="39" t="n"/>
      <c r="AP92" s="39" t="n"/>
    </row>
    <row r="93" ht="12" customHeight="1">
      <c r="A93" s="39" t="n"/>
      <c r="B93" s="3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c r="Y93" s="39" t="n"/>
      <c r="Z93" s="39" t="n"/>
      <c r="AA93" s="39" t="n"/>
      <c r="AB93" s="39" t="n"/>
      <c r="AC93" s="39" t="n"/>
      <c r="AD93" s="39" t="n"/>
      <c r="AE93" s="39" t="n"/>
      <c r="AF93" s="39" t="n"/>
      <c r="AG93" s="39" t="n"/>
      <c r="AH93" s="39" t="n"/>
      <c r="AI93" s="39" t="n"/>
      <c r="AJ93" s="39" t="n"/>
      <c r="AK93" s="39" t="n"/>
      <c r="AL93" s="39" t="n"/>
      <c r="AM93" s="39" t="n"/>
      <c r="AN93" s="39" t="n"/>
      <c r="AO93" s="39" t="n"/>
      <c r="AP93" s="39" t="n"/>
    </row>
    <row r="94" ht="24" customHeight="1">
      <c r="A94" s="39" t="n"/>
      <c r="B94" s="44" t="inlineStr">
        <is>
          <t>PHẢN ÁNH CẦN CHÚ Ý</t>
        </is>
      </c>
      <c r="C94" s="9" t="n"/>
      <c r="D94" s="9" t="n"/>
      <c r="E94" s="9" t="n"/>
      <c r="F94" s="9" t="n"/>
      <c r="G94" s="9" t="n"/>
      <c r="H94" s="9" t="n"/>
      <c r="I94" s="9" t="n"/>
      <c r="J94" s="9" t="n"/>
      <c r="K94" s="9" t="n"/>
      <c r="L94" s="9" t="n"/>
      <c r="M94" s="9" t="n"/>
      <c r="N94" s="9" t="n"/>
      <c r="O94" s="9" t="n"/>
      <c r="P94" s="9" t="n"/>
      <c r="Q94" s="9" t="n"/>
      <c r="R94" s="9" t="n"/>
      <c r="S94" s="9" t="n"/>
      <c r="T94" s="9" t="n"/>
      <c r="U94" s="39" t="n"/>
      <c r="V94" s="44" t="inlineStr">
        <is>
          <t>CÔNG VIỆC CẦN CHÚ Ý</t>
        </is>
      </c>
      <c r="W94" s="9" t="n"/>
      <c r="X94" s="9" t="n"/>
      <c r="Y94" s="9" t="n"/>
      <c r="Z94" s="9" t="n"/>
      <c r="AA94" s="9" t="n"/>
      <c r="AB94" s="9" t="n"/>
      <c r="AC94" s="9" t="n"/>
      <c r="AD94" s="9" t="n"/>
      <c r="AE94" s="9" t="n"/>
      <c r="AF94" s="9" t="n"/>
      <c r="AG94" s="9" t="n"/>
      <c r="AH94" s="9" t="n"/>
      <c r="AI94" s="9" t="n"/>
      <c r="AJ94" s="9" t="n"/>
      <c r="AK94" s="9" t="n"/>
      <c r="AL94" s="9" t="n"/>
      <c r="AM94" s="9" t="n"/>
      <c r="AN94" s="9" t="n"/>
      <c r="AO94" s="9" t="n"/>
      <c r="AP94" s="39" t="n"/>
    </row>
    <row r="95" ht="20" customHeight="1">
      <c r="A95" s="39" t="n"/>
      <c r="B95" s="140" t="inlineStr">
        <is>
          <t>#</t>
        </is>
      </c>
      <c r="C95" s="140" t="inlineStr">
        <is>
          <t>Mã</t>
        </is>
      </c>
      <c r="D95" s="1" t="n"/>
      <c r="E95" s="140" t="inlineStr">
        <is>
          <t>Vấn đề</t>
        </is>
      </c>
      <c r="F95" s="1" t="n"/>
      <c r="G95" s="1" t="n"/>
      <c r="H95" s="1" t="n"/>
      <c r="I95" s="1" t="n"/>
      <c r="J95" s="140" t="inlineStr">
        <is>
          <t>Vị trí</t>
        </is>
      </c>
      <c r="K95" s="1" t="n"/>
      <c r="L95" s="1" t="n"/>
      <c r="M95" s="140" t="inlineStr">
        <is>
          <t>Deadline</t>
        </is>
      </c>
      <c r="N95" s="1" t="n"/>
      <c r="O95" s="1" t="n"/>
      <c r="P95" s="140" t="inlineStr">
        <is>
          <t>Tiến độ</t>
        </is>
      </c>
      <c r="Q95" s="1" t="n"/>
      <c r="R95" s="140" t="inlineStr">
        <is>
          <t>Báo động, tiến độ</t>
        </is>
      </c>
      <c r="S95" s="1" t="n"/>
      <c r="T95" s="1" t="n"/>
      <c r="U95" s="39" t="n"/>
      <c r="V95" s="140" t="inlineStr">
        <is>
          <t>#</t>
        </is>
      </c>
      <c r="W95" s="140" t="inlineStr">
        <is>
          <t>Mã</t>
        </is>
      </c>
      <c r="X95" s="1" t="n"/>
      <c r="Y95" s="140" t="inlineStr">
        <is>
          <t>Công việc</t>
        </is>
      </c>
      <c r="Z95" s="1" t="n"/>
      <c r="AA95" s="1" t="n"/>
      <c r="AB95" s="1" t="n"/>
      <c r="AC95" s="1" t="n"/>
      <c r="AD95" s="1" t="n"/>
      <c r="AE95" s="1" t="n"/>
      <c r="AF95" s="140" t="inlineStr">
        <is>
          <t>Vị trí</t>
        </is>
      </c>
      <c r="AG95" s="1" t="n"/>
      <c r="AH95" s="1" t="n"/>
      <c r="AI95" s="140" t="inlineStr">
        <is>
          <t>Hạn, kỳ</t>
        </is>
      </c>
      <c r="AJ95" s="1" t="n"/>
      <c r="AK95" s="140" t="inlineStr">
        <is>
          <t>Tiến độ</t>
        </is>
      </c>
      <c r="AL95" s="1" t="n"/>
      <c r="AM95" s="140" t="inlineStr">
        <is>
          <t>Báo động, tiến độ</t>
        </is>
      </c>
      <c r="AN95" s="1" t="n"/>
      <c r="AO95" s="1" t="n"/>
      <c r="AP95" s="39" t="n"/>
    </row>
    <row r="96" ht="42" customHeight="1">
      <c r="A96" s="39" t="n"/>
      <c r="B96" s="141">
        <f>IF($AR96="","",1)</f>
      </c>
      <c r="C96" s="142">
        <f>IF($AR96="","",INDEX('Phản ánh'!$A$6:$A$505,$AR96))</f>
      </c>
      <c r="D96" s="121" t="n"/>
      <c r="E96" s="143">
        <f>IF($AR96="",IF(1=1,"Không có phản ánh nào cần chú ý.",""),INDEX('Phản ánh'!$C$6:$C$505,$AR96))</f>
      </c>
      <c r="F96" s="121" t="n"/>
      <c r="G96" s="121" t="n"/>
      <c r="H96" s="121" t="n"/>
      <c r="I96" s="121" t="n"/>
      <c r="J96" s="144">
        <f>IF($AR96="","",INDEX('Phản ánh'!$F$6:$F$505,$AR96)&amp;IF(INDEX('Phản ánh'!$G$6:$G$505,$AR96)="","",", "&amp;IF(ISNUMBER(INDEX('Phản ánh'!$G$6:$G$505,$AR96)),"tầng "&amp;INDEX('Phản ánh'!$G$6:$G$505,$AR96),LOWER(INDEX('Phản ánh'!$G$6:$G$505,$AR96)))))</f>
      </c>
      <c r="K96" s="121" t="n"/>
      <c r="L96" s="121" t="n"/>
      <c r="M96" s="145">
        <f>IF($AR96="","",INDEX('Phản ánh'!$U$6:$U$505,$AR96))</f>
      </c>
      <c r="N96" s="121" t="n"/>
      <c r="O96" s="121" t="n"/>
      <c r="P96" s="146">
        <f>IF($AR96="","",INDEX('Phản ánh'!$W$6:$W$505,$AR96))</f>
      </c>
      <c r="Q96" s="121" t="n"/>
      <c r="R96" s="123">
        <f>IF($AR96="","",IF(N(INDEX('Phản ánh'!$AO$6:$AO$505,$AR96))&gt;0,INDEX('Phản ánh'!$AD$6:$AD$505,$AR96),INDEX('Phản ánh'!$Y$6:$Y$505,$AR96)))</f>
      </c>
      <c r="S96" s="121" t="n"/>
      <c r="T96" s="121" t="n"/>
      <c r="U96" s="39" t="n"/>
      <c r="V96" s="141">
        <f>IF($AT96="","",1)</f>
      </c>
      <c r="W96" s="147">
        <f>IF($AT96="","",INDEX('Kế hoạch'!$A$6:$A$305,$AT96))</f>
      </c>
      <c r="X96" s="121" t="n"/>
      <c r="Y96" s="143">
        <f>IF($AT96="",IF(1=1,"Không có công việc nào cần chú ý.",""),INDEX('Kế hoạch'!$C$6:$C$305,$AT96))</f>
      </c>
      <c r="Z96" s="121" t="n"/>
      <c r="AA96" s="121" t="n"/>
      <c r="AB96" s="121" t="n"/>
      <c r="AC96" s="121" t="n"/>
      <c r="AD96" s="121" t="n"/>
      <c r="AE96" s="121" t="n"/>
      <c r="AF96" s="144">
        <f>IF($AT96="","",INDEX('Kế hoạch'!$E$6:$E$305,$AT96)&amp;IF(INDEX('Kế hoạch'!$F$6:$F$305,$AT96)="","",", "&amp;IF(ISNUMBER(INDEX('Kế hoạch'!$F$6:$F$305,$AT96)),"tầng "&amp;INDEX('Kế hoạch'!$F$6:$F$305,$AT96),LOWER(INDEX('Kế hoạch'!$F$6:$F$305,$AT96)))))</f>
      </c>
      <c r="AG96" s="121" t="n"/>
      <c r="AH96" s="121" t="n"/>
      <c r="AI96" s="148">
        <f>IF($AT96="","",INDEX('Kế hoạch'!$Y$6:$Y$305,$AT96))</f>
      </c>
      <c r="AJ96" s="121" t="n"/>
      <c r="AK96" s="146">
        <f>IF($AT96="","",INDEX('Kế hoạch'!$AB$6:$AB$305,$AT96))</f>
      </c>
      <c r="AL96" s="121" t="n"/>
      <c r="AM96" s="123">
        <f>IF($AT96="","",IF(N(INDEX('Kế hoạch'!$BB$6:$BB$305,$AT96))&gt;0,INDEX('Kế hoạch'!$AG$6:$AG$305,$AT96),INDEX('Kế hoạch'!$AD$6:$AD$305,$AT96)))</f>
      </c>
      <c r="AN96" s="121" t="n"/>
      <c r="AO96" s="121" t="n"/>
      <c r="AP96" s="39" t="n"/>
      <c r="AQ96">
        <f>IFERROR(SMALL('Phản ánh'!$AL$6:$AL$505,1),"")</f>
      </c>
      <c r="AR96">
        <f>IF(AQ96="","",MATCH(AQ96,'Phản ánh'!$AL$6:$AL$505,0))</f>
      </c>
      <c r="AS96">
        <f>IFERROR(SMALL('Kế hoạch'!$AT$6:$AT$305,1),"")</f>
      </c>
      <c r="AT96">
        <f>IF(AS96="","",MATCH(AS96,'Kế hoạch'!$AT$6:$AT$305,0))</f>
      </c>
    </row>
    <row r="97" ht="42" customHeight="1">
      <c r="A97" s="39" t="n"/>
      <c r="B97" s="149">
        <f>IF($AR97="","",2)</f>
      </c>
      <c r="C97" s="150">
        <f>IF($AR97="","",INDEX('Phản ánh'!$A$6:$A$505,$AR97))</f>
      </c>
      <c r="D97" s="125" t="n"/>
      <c r="E97" s="151">
        <f>IF($AR97="",IF(2=1,"Không có phản ánh nào cần chú ý.",""),INDEX('Phản ánh'!$C$6:$C$505,$AR97))</f>
      </c>
      <c r="F97" s="125" t="n"/>
      <c r="G97" s="125" t="n"/>
      <c r="H97" s="125" t="n"/>
      <c r="I97" s="125" t="n"/>
      <c r="J97" s="152">
        <f>IF($AR97="","",INDEX('Phản ánh'!$F$6:$F$505,$AR97)&amp;IF(INDEX('Phản ánh'!$G$6:$G$505,$AR97)="","",", "&amp;IF(ISNUMBER(INDEX('Phản ánh'!$G$6:$G$505,$AR97)),"tầng "&amp;INDEX('Phản ánh'!$G$6:$G$505,$AR97),LOWER(INDEX('Phản ánh'!$G$6:$G$505,$AR97)))))</f>
      </c>
      <c r="K97" s="125" t="n"/>
      <c r="L97" s="125" t="n"/>
      <c r="M97" s="153">
        <f>IF($AR97="","",INDEX('Phản ánh'!$U$6:$U$505,$AR97))</f>
      </c>
      <c r="N97" s="125" t="n"/>
      <c r="O97" s="125" t="n"/>
      <c r="P97" s="154">
        <f>IF($AR97="","",INDEX('Phản ánh'!$W$6:$W$505,$AR97))</f>
      </c>
      <c r="Q97" s="125" t="n"/>
      <c r="R97" s="127">
        <f>IF($AR97="","",IF(N(INDEX('Phản ánh'!$AO$6:$AO$505,$AR97))&gt;0,INDEX('Phản ánh'!$AD$6:$AD$505,$AR97),INDEX('Phản ánh'!$Y$6:$Y$505,$AR97)))</f>
      </c>
      <c r="S97" s="125" t="n"/>
      <c r="T97" s="125" t="n"/>
      <c r="U97" s="39" t="n"/>
      <c r="V97" s="149">
        <f>IF($AT97="","",2)</f>
      </c>
      <c r="W97" s="155">
        <f>IF($AT97="","",INDEX('Kế hoạch'!$A$6:$A$305,$AT97))</f>
      </c>
      <c r="X97" s="125" t="n"/>
      <c r="Y97" s="151">
        <f>IF($AT97="",IF(2=1,"Không có công việc nào cần chú ý.",""),INDEX('Kế hoạch'!$C$6:$C$305,$AT97))</f>
      </c>
      <c r="Z97" s="125" t="n"/>
      <c r="AA97" s="125" t="n"/>
      <c r="AB97" s="125" t="n"/>
      <c r="AC97" s="125" t="n"/>
      <c r="AD97" s="125" t="n"/>
      <c r="AE97" s="125" t="n"/>
      <c r="AF97" s="152">
        <f>IF($AT97="","",INDEX('Kế hoạch'!$E$6:$E$305,$AT97)&amp;IF(INDEX('Kế hoạch'!$F$6:$F$305,$AT97)="","",", "&amp;IF(ISNUMBER(INDEX('Kế hoạch'!$F$6:$F$305,$AT97)),"tầng "&amp;INDEX('Kế hoạch'!$F$6:$F$305,$AT97),LOWER(INDEX('Kế hoạch'!$F$6:$F$305,$AT97)))))</f>
      </c>
      <c r="AG97" s="125" t="n"/>
      <c r="AH97" s="125" t="n"/>
      <c r="AI97" s="156">
        <f>IF($AT97="","",INDEX('Kế hoạch'!$Y$6:$Y$305,$AT97))</f>
      </c>
      <c r="AJ97" s="125" t="n"/>
      <c r="AK97" s="154">
        <f>IF($AT97="","",INDEX('Kế hoạch'!$AB$6:$AB$305,$AT97))</f>
      </c>
      <c r="AL97" s="125" t="n"/>
      <c r="AM97" s="127">
        <f>IF($AT97="","",IF(N(INDEX('Kế hoạch'!$BB$6:$BB$305,$AT97))&gt;0,INDEX('Kế hoạch'!$AG$6:$AG$305,$AT97),INDEX('Kế hoạch'!$AD$6:$AD$305,$AT97)))</f>
      </c>
      <c r="AN97" s="125" t="n"/>
      <c r="AO97" s="125" t="n"/>
      <c r="AP97" s="39" t="n"/>
      <c r="AQ97">
        <f>IFERROR(SMALL('Phản ánh'!$AL$6:$AL$505,2),"")</f>
      </c>
      <c r="AR97">
        <f>IF(AQ97="","",MATCH(AQ97,'Phản ánh'!$AL$6:$AL$505,0))</f>
      </c>
      <c r="AS97">
        <f>IFERROR(SMALL('Kế hoạch'!$AT$6:$AT$305,2),"")</f>
      </c>
      <c r="AT97">
        <f>IF(AS97="","",MATCH(AS97,'Kế hoạch'!$AT$6:$AT$305,0))</f>
      </c>
    </row>
    <row r="98" ht="42" customHeight="1">
      <c r="A98" s="39" t="n"/>
      <c r="B98" s="141">
        <f>IF($AR98="","",3)</f>
      </c>
      <c r="C98" s="142">
        <f>IF($AR98="","",INDEX('Phản ánh'!$A$6:$A$505,$AR98))</f>
      </c>
      <c r="D98" s="121" t="n"/>
      <c r="E98" s="143">
        <f>IF($AR98="",IF(3=1,"Không có phản ánh nào cần chú ý.",""),INDEX('Phản ánh'!$C$6:$C$505,$AR98))</f>
      </c>
      <c r="F98" s="121" t="n"/>
      <c r="G98" s="121" t="n"/>
      <c r="H98" s="121" t="n"/>
      <c r="I98" s="121" t="n"/>
      <c r="J98" s="144">
        <f>IF($AR98="","",INDEX('Phản ánh'!$F$6:$F$505,$AR98)&amp;IF(INDEX('Phản ánh'!$G$6:$G$505,$AR98)="","",", "&amp;IF(ISNUMBER(INDEX('Phản ánh'!$G$6:$G$505,$AR98)),"tầng "&amp;INDEX('Phản ánh'!$G$6:$G$505,$AR98),LOWER(INDEX('Phản ánh'!$G$6:$G$505,$AR98)))))</f>
      </c>
      <c r="K98" s="121" t="n"/>
      <c r="L98" s="121" t="n"/>
      <c r="M98" s="145">
        <f>IF($AR98="","",INDEX('Phản ánh'!$U$6:$U$505,$AR98))</f>
      </c>
      <c r="N98" s="121" t="n"/>
      <c r="O98" s="121" t="n"/>
      <c r="P98" s="146">
        <f>IF($AR98="","",INDEX('Phản ánh'!$W$6:$W$505,$AR98))</f>
      </c>
      <c r="Q98" s="121" t="n"/>
      <c r="R98" s="123">
        <f>IF($AR98="","",IF(N(INDEX('Phản ánh'!$AO$6:$AO$505,$AR98))&gt;0,INDEX('Phản ánh'!$AD$6:$AD$505,$AR98),INDEX('Phản ánh'!$Y$6:$Y$505,$AR98)))</f>
      </c>
      <c r="S98" s="121" t="n"/>
      <c r="T98" s="121" t="n"/>
      <c r="U98" s="39" t="n"/>
      <c r="V98" s="141">
        <f>IF($AT98="","",3)</f>
      </c>
      <c r="W98" s="147">
        <f>IF($AT98="","",INDEX('Kế hoạch'!$A$6:$A$305,$AT98))</f>
      </c>
      <c r="X98" s="121" t="n"/>
      <c r="Y98" s="143">
        <f>IF($AT98="",IF(3=1,"Không có công việc nào cần chú ý.",""),INDEX('Kế hoạch'!$C$6:$C$305,$AT98))</f>
      </c>
      <c r="Z98" s="121" t="n"/>
      <c r="AA98" s="121" t="n"/>
      <c r="AB98" s="121" t="n"/>
      <c r="AC98" s="121" t="n"/>
      <c r="AD98" s="121" t="n"/>
      <c r="AE98" s="121" t="n"/>
      <c r="AF98" s="144">
        <f>IF($AT98="","",INDEX('Kế hoạch'!$E$6:$E$305,$AT98)&amp;IF(INDEX('Kế hoạch'!$F$6:$F$305,$AT98)="","",", "&amp;IF(ISNUMBER(INDEX('Kế hoạch'!$F$6:$F$305,$AT98)),"tầng "&amp;INDEX('Kế hoạch'!$F$6:$F$305,$AT98),LOWER(INDEX('Kế hoạch'!$F$6:$F$305,$AT98)))))</f>
      </c>
      <c r="AG98" s="121" t="n"/>
      <c r="AH98" s="121" t="n"/>
      <c r="AI98" s="148">
        <f>IF($AT98="","",INDEX('Kế hoạch'!$Y$6:$Y$305,$AT98))</f>
      </c>
      <c r="AJ98" s="121" t="n"/>
      <c r="AK98" s="146">
        <f>IF($AT98="","",INDEX('Kế hoạch'!$AB$6:$AB$305,$AT98))</f>
      </c>
      <c r="AL98" s="121" t="n"/>
      <c r="AM98" s="123">
        <f>IF($AT98="","",IF(N(INDEX('Kế hoạch'!$BB$6:$BB$305,$AT98))&gt;0,INDEX('Kế hoạch'!$AG$6:$AG$305,$AT98),INDEX('Kế hoạch'!$AD$6:$AD$305,$AT98)))</f>
      </c>
      <c r="AN98" s="121" t="n"/>
      <c r="AO98" s="121" t="n"/>
      <c r="AP98" s="39" t="n"/>
      <c r="AQ98">
        <f>IFERROR(SMALL('Phản ánh'!$AL$6:$AL$505,3),"")</f>
      </c>
      <c r="AR98">
        <f>IF(AQ98="","",MATCH(AQ98,'Phản ánh'!$AL$6:$AL$505,0))</f>
      </c>
      <c r="AS98">
        <f>IFERROR(SMALL('Kế hoạch'!$AT$6:$AT$305,3),"")</f>
      </c>
      <c r="AT98">
        <f>IF(AS98="","",MATCH(AS98,'Kế hoạch'!$AT$6:$AT$305,0))</f>
      </c>
    </row>
    <row r="99" ht="42" customHeight="1">
      <c r="A99" s="39" t="n"/>
      <c r="B99" s="149">
        <f>IF($AR99="","",4)</f>
      </c>
      <c r="C99" s="150">
        <f>IF($AR99="","",INDEX('Phản ánh'!$A$6:$A$505,$AR99))</f>
      </c>
      <c r="D99" s="125" t="n"/>
      <c r="E99" s="151">
        <f>IF($AR99="",IF(4=1,"Không có phản ánh nào cần chú ý.",""),INDEX('Phản ánh'!$C$6:$C$505,$AR99))</f>
      </c>
      <c r="F99" s="125" t="n"/>
      <c r="G99" s="125" t="n"/>
      <c r="H99" s="125" t="n"/>
      <c r="I99" s="125" t="n"/>
      <c r="J99" s="152">
        <f>IF($AR99="","",INDEX('Phản ánh'!$F$6:$F$505,$AR99)&amp;IF(INDEX('Phản ánh'!$G$6:$G$505,$AR99)="","",", "&amp;IF(ISNUMBER(INDEX('Phản ánh'!$G$6:$G$505,$AR99)),"tầng "&amp;INDEX('Phản ánh'!$G$6:$G$505,$AR99),LOWER(INDEX('Phản ánh'!$G$6:$G$505,$AR99)))))</f>
      </c>
      <c r="K99" s="125" t="n"/>
      <c r="L99" s="125" t="n"/>
      <c r="M99" s="153">
        <f>IF($AR99="","",INDEX('Phản ánh'!$U$6:$U$505,$AR99))</f>
      </c>
      <c r="N99" s="125" t="n"/>
      <c r="O99" s="125" t="n"/>
      <c r="P99" s="154">
        <f>IF($AR99="","",INDEX('Phản ánh'!$W$6:$W$505,$AR99))</f>
      </c>
      <c r="Q99" s="125" t="n"/>
      <c r="R99" s="127">
        <f>IF($AR99="","",IF(N(INDEX('Phản ánh'!$AO$6:$AO$505,$AR99))&gt;0,INDEX('Phản ánh'!$AD$6:$AD$505,$AR99),INDEX('Phản ánh'!$Y$6:$Y$505,$AR99)))</f>
      </c>
      <c r="S99" s="125" t="n"/>
      <c r="T99" s="125" t="n"/>
      <c r="U99" s="39" t="n"/>
      <c r="V99" s="149">
        <f>IF($AT99="","",4)</f>
      </c>
      <c r="W99" s="155">
        <f>IF($AT99="","",INDEX('Kế hoạch'!$A$6:$A$305,$AT99))</f>
      </c>
      <c r="X99" s="125" t="n"/>
      <c r="Y99" s="151">
        <f>IF($AT99="",IF(4=1,"Không có công việc nào cần chú ý.",""),INDEX('Kế hoạch'!$C$6:$C$305,$AT99))</f>
      </c>
      <c r="Z99" s="125" t="n"/>
      <c r="AA99" s="125" t="n"/>
      <c r="AB99" s="125" t="n"/>
      <c r="AC99" s="125" t="n"/>
      <c r="AD99" s="125" t="n"/>
      <c r="AE99" s="125" t="n"/>
      <c r="AF99" s="152">
        <f>IF($AT99="","",INDEX('Kế hoạch'!$E$6:$E$305,$AT99)&amp;IF(INDEX('Kế hoạch'!$F$6:$F$305,$AT99)="","",", "&amp;IF(ISNUMBER(INDEX('Kế hoạch'!$F$6:$F$305,$AT99)),"tầng "&amp;INDEX('Kế hoạch'!$F$6:$F$305,$AT99),LOWER(INDEX('Kế hoạch'!$F$6:$F$305,$AT99)))))</f>
      </c>
      <c r="AG99" s="125" t="n"/>
      <c r="AH99" s="125" t="n"/>
      <c r="AI99" s="156">
        <f>IF($AT99="","",INDEX('Kế hoạch'!$Y$6:$Y$305,$AT99))</f>
      </c>
      <c r="AJ99" s="125" t="n"/>
      <c r="AK99" s="154">
        <f>IF($AT99="","",INDEX('Kế hoạch'!$AB$6:$AB$305,$AT99))</f>
      </c>
      <c r="AL99" s="125" t="n"/>
      <c r="AM99" s="127">
        <f>IF($AT99="","",IF(N(INDEX('Kế hoạch'!$BB$6:$BB$305,$AT99))&gt;0,INDEX('Kế hoạch'!$AG$6:$AG$305,$AT99),INDEX('Kế hoạch'!$AD$6:$AD$305,$AT99)))</f>
      </c>
      <c r="AN99" s="125" t="n"/>
      <c r="AO99" s="125" t="n"/>
      <c r="AP99" s="39" t="n"/>
      <c r="AQ99">
        <f>IFERROR(SMALL('Phản ánh'!$AL$6:$AL$505,4),"")</f>
      </c>
      <c r="AR99">
        <f>IF(AQ99="","",MATCH(AQ99,'Phản ánh'!$AL$6:$AL$505,0))</f>
      </c>
      <c r="AS99">
        <f>IFERROR(SMALL('Kế hoạch'!$AT$6:$AT$305,4),"")</f>
      </c>
      <c r="AT99">
        <f>IF(AS99="","",MATCH(AS99,'Kế hoạch'!$AT$6:$AT$305,0))</f>
      </c>
    </row>
    <row r="100" ht="42" customHeight="1">
      <c r="A100" s="39" t="n"/>
      <c r="B100" s="141">
        <f>IF($AR100="","",5)</f>
      </c>
      <c r="C100" s="142">
        <f>IF($AR100="","",INDEX('Phản ánh'!$A$6:$A$505,$AR100))</f>
      </c>
      <c r="D100" s="121" t="n"/>
      <c r="E100" s="143">
        <f>IF($AR100="",IF(5=1,"Không có phản ánh nào cần chú ý.",""),INDEX('Phản ánh'!$C$6:$C$505,$AR100))</f>
      </c>
      <c r="F100" s="121" t="n"/>
      <c r="G100" s="121" t="n"/>
      <c r="H100" s="121" t="n"/>
      <c r="I100" s="121" t="n"/>
      <c r="J100" s="144">
        <f>IF($AR100="","",INDEX('Phản ánh'!$F$6:$F$505,$AR100)&amp;IF(INDEX('Phản ánh'!$G$6:$G$505,$AR100)="","",", "&amp;IF(ISNUMBER(INDEX('Phản ánh'!$G$6:$G$505,$AR100)),"tầng "&amp;INDEX('Phản ánh'!$G$6:$G$505,$AR100),LOWER(INDEX('Phản ánh'!$G$6:$G$505,$AR100)))))</f>
      </c>
      <c r="K100" s="121" t="n"/>
      <c r="L100" s="121" t="n"/>
      <c r="M100" s="145">
        <f>IF($AR100="","",INDEX('Phản ánh'!$U$6:$U$505,$AR100))</f>
      </c>
      <c r="N100" s="121" t="n"/>
      <c r="O100" s="121" t="n"/>
      <c r="P100" s="146">
        <f>IF($AR100="","",INDEX('Phản ánh'!$W$6:$W$505,$AR100))</f>
      </c>
      <c r="Q100" s="121" t="n"/>
      <c r="R100" s="123">
        <f>IF($AR100="","",IF(N(INDEX('Phản ánh'!$AO$6:$AO$505,$AR100))&gt;0,INDEX('Phản ánh'!$AD$6:$AD$505,$AR100),INDEX('Phản ánh'!$Y$6:$Y$505,$AR100)))</f>
      </c>
      <c r="S100" s="121" t="n"/>
      <c r="T100" s="121" t="n"/>
      <c r="U100" s="39" t="n"/>
      <c r="V100" s="141">
        <f>IF($AT100="","",5)</f>
      </c>
      <c r="W100" s="147">
        <f>IF($AT100="","",INDEX('Kế hoạch'!$A$6:$A$305,$AT100))</f>
      </c>
      <c r="X100" s="121" t="n"/>
      <c r="Y100" s="143">
        <f>IF($AT100="",IF(5=1,"Không có công việc nào cần chú ý.",""),INDEX('Kế hoạch'!$C$6:$C$305,$AT100))</f>
      </c>
      <c r="Z100" s="121" t="n"/>
      <c r="AA100" s="121" t="n"/>
      <c r="AB100" s="121" t="n"/>
      <c r="AC100" s="121" t="n"/>
      <c r="AD100" s="121" t="n"/>
      <c r="AE100" s="121" t="n"/>
      <c r="AF100" s="144">
        <f>IF($AT100="","",INDEX('Kế hoạch'!$E$6:$E$305,$AT100)&amp;IF(INDEX('Kế hoạch'!$F$6:$F$305,$AT100)="","",", "&amp;IF(ISNUMBER(INDEX('Kế hoạch'!$F$6:$F$305,$AT100)),"tầng "&amp;INDEX('Kế hoạch'!$F$6:$F$305,$AT100),LOWER(INDEX('Kế hoạch'!$F$6:$F$305,$AT100)))))</f>
      </c>
      <c r="AG100" s="121" t="n"/>
      <c r="AH100" s="121" t="n"/>
      <c r="AI100" s="148">
        <f>IF($AT100="","",INDEX('Kế hoạch'!$Y$6:$Y$305,$AT100))</f>
      </c>
      <c r="AJ100" s="121" t="n"/>
      <c r="AK100" s="146">
        <f>IF($AT100="","",INDEX('Kế hoạch'!$AB$6:$AB$305,$AT100))</f>
      </c>
      <c r="AL100" s="121" t="n"/>
      <c r="AM100" s="123">
        <f>IF($AT100="","",IF(N(INDEX('Kế hoạch'!$BB$6:$BB$305,$AT100))&gt;0,INDEX('Kế hoạch'!$AG$6:$AG$305,$AT100),INDEX('Kế hoạch'!$AD$6:$AD$305,$AT100)))</f>
      </c>
      <c r="AN100" s="121" t="n"/>
      <c r="AO100" s="121" t="n"/>
      <c r="AP100" s="39" t="n"/>
      <c r="AQ100">
        <f>IFERROR(SMALL('Phản ánh'!$AL$6:$AL$505,5),"")</f>
      </c>
      <c r="AR100">
        <f>IF(AQ100="","",MATCH(AQ100,'Phản ánh'!$AL$6:$AL$505,0))</f>
      </c>
      <c r="AS100">
        <f>IFERROR(SMALL('Kế hoạch'!$AT$6:$AT$305,5),"")</f>
      </c>
      <c r="AT100">
        <f>IF(AS100="","",MATCH(AS100,'Kế hoạch'!$AT$6:$AT$305,0))</f>
      </c>
    </row>
    <row r="101" ht="42" customHeight="1">
      <c r="A101" s="39" t="n"/>
      <c r="B101" s="149">
        <f>IF($AR101="","",6)</f>
      </c>
      <c r="C101" s="150">
        <f>IF($AR101="","",INDEX('Phản ánh'!$A$6:$A$505,$AR101))</f>
      </c>
      <c r="D101" s="125" t="n"/>
      <c r="E101" s="151">
        <f>IF($AR101="",IF(6=1,"Không có phản ánh nào cần chú ý.",""),INDEX('Phản ánh'!$C$6:$C$505,$AR101))</f>
      </c>
      <c r="F101" s="125" t="n"/>
      <c r="G101" s="125" t="n"/>
      <c r="H101" s="125" t="n"/>
      <c r="I101" s="125" t="n"/>
      <c r="J101" s="152">
        <f>IF($AR101="","",INDEX('Phản ánh'!$F$6:$F$505,$AR101)&amp;IF(INDEX('Phản ánh'!$G$6:$G$505,$AR101)="","",", "&amp;IF(ISNUMBER(INDEX('Phản ánh'!$G$6:$G$505,$AR101)),"tầng "&amp;INDEX('Phản ánh'!$G$6:$G$505,$AR101),LOWER(INDEX('Phản ánh'!$G$6:$G$505,$AR101)))))</f>
      </c>
      <c r="K101" s="125" t="n"/>
      <c r="L101" s="125" t="n"/>
      <c r="M101" s="153">
        <f>IF($AR101="","",INDEX('Phản ánh'!$U$6:$U$505,$AR101))</f>
      </c>
      <c r="N101" s="125" t="n"/>
      <c r="O101" s="125" t="n"/>
      <c r="P101" s="154">
        <f>IF($AR101="","",INDEX('Phản ánh'!$W$6:$W$505,$AR101))</f>
      </c>
      <c r="Q101" s="125" t="n"/>
      <c r="R101" s="127">
        <f>IF($AR101="","",IF(N(INDEX('Phản ánh'!$AO$6:$AO$505,$AR101))&gt;0,INDEX('Phản ánh'!$AD$6:$AD$505,$AR101),INDEX('Phản ánh'!$Y$6:$Y$505,$AR101)))</f>
      </c>
      <c r="S101" s="125" t="n"/>
      <c r="T101" s="125" t="n"/>
      <c r="U101" s="39" t="n"/>
      <c r="V101" s="149">
        <f>IF($AT101="","",6)</f>
      </c>
      <c r="W101" s="155">
        <f>IF($AT101="","",INDEX('Kế hoạch'!$A$6:$A$305,$AT101))</f>
      </c>
      <c r="X101" s="125" t="n"/>
      <c r="Y101" s="151">
        <f>IF($AT101="",IF(6=1,"Không có công việc nào cần chú ý.",""),INDEX('Kế hoạch'!$C$6:$C$305,$AT101))</f>
      </c>
      <c r="Z101" s="125" t="n"/>
      <c r="AA101" s="125" t="n"/>
      <c r="AB101" s="125" t="n"/>
      <c r="AC101" s="125" t="n"/>
      <c r="AD101" s="125" t="n"/>
      <c r="AE101" s="125" t="n"/>
      <c r="AF101" s="152">
        <f>IF($AT101="","",INDEX('Kế hoạch'!$E$6:$E$305,$AT101)&amp;IF(INDEX('Kế hoạch'!$F$6:$F$305,$AT101)="","",", "&amp;IF(ISNUMBER(INDEX('Kế hoạch'!$F$6:$F$305,$AT101)),"tầng "&amp;INDEX('Kế hoạch'!$F$6:$F$305,$AT101),LOWER(INDEX('Kế hoạch'!$F$6:$F$305,$AT101)))))</f>
      </c>
      <c r="AG101" s="125" t="n"/>
      <c r="AH101" s="125" t="n"/>
      <c r="AI101" s="156">
        <f>IF($AT101="","",INDEX('Kế hoạch'!$Y$6:$Y$305,$AT101))</f>
      </c>
      <c r="AJ101" s="125" t="n"/>
      <c r="AK101" s="154">
        <f>IF($AT101="","",INDEX('Kế hoạch'!$AB$6:$AB$305,$AT101))</f>
      </c>
      <c r="AL101" s="125" t="n"/>
      <c r="AM101" s="127">
        <f>IF($AT101="","",IF(N(INDEX('Kế hoạch'!$BB$6:$BB$305,$AT101))&gt;0,INDEX('Kế hoạch'!$AG$6:$AG$305,$AT101),INDEX('Kế hoạch'!$AD$6:$AD$305,$AT101)))</f>
      </c>
      <c r="AN101" s="125" t="n"/>
      <c r="AO101" s="125" t="n"/>
      <c r="AP101" s="39" t="n"/>
      <c r="AQ101">
        <f>IFERROR(SMALL('Phản ánh'!$AL$6:$AL$505,6),"")</f>
      </c>
      <c r="AR101">
        <f>IF(AQ101="","",MATCH(AQ101,'Phản ánh'!$AL$6:$AL$505,0))</f>
      </c>
      <c r="AS101">
        <f>IFERROR(SMALL('Kế hoạch'!$AT$6:$AT$305,6),"")</f>
      </c>
      <c r="AT101">
        <f>IF(AS101="","",MATCH(AS101,'Kế hoạch'!$AT$6:$AT$305,0))</f>
      </c>
    </row>
    <row r="102" ht="42" customHeight="1">
      <c r="A102" s="39" t="n"/>
      <c r="B102" s="141">
        <f>IF($AR102="","",7)</f>
      </c>
      <c r="C102" s="142">
        <f>IF($AR102="","",INDEX('Phản ánh'!$A$6:$A$505,$AR102))</f>
      </c>
      <c r="D102" s="121" t="n"/>
      <c r="E102" s="143">
        <f>IF($AR102="",IF(7=1,"Không có phản ánh nào cần chú ý.",""),INDEX('Phản ánh'!$C$6:$C$505,$AR102))</f>
      </c>
      <c r="F102" s="121" t="n"/>
      <c r="G102" s="121" t="n"/>
      <c r="H102" s="121" t="n"/>
      <c r="I102" s="121" t="n"/>
      <c r="J102" s="144">
        <f>IF($AR102="","",INDEX('Phản ánh'!$F$6:$F$505,$AR102)&amp;IF(INDEX('Phản ánh'!$G$6:$G$505,$AR102)="","",", "&amp;IF(ISNUMBER(INDEX('Phản ánh'!$G$6:$G$505,$AR102)),"tầng "&amp;INDEX('Phản ánh'!$G$6:$G$505,$AR102),LOWER(INDEX('Phản ánh'!$G$6:$G$505,$AR102)))))</f>
      </c>
      <c r="K102" s="121" t="n"/>
      <c r="L102" s="121" t="n"/>
      <c r="M102" s="145">
        <f>IF($AR102="","",INDEX('Phản ánh'!$U$6:$U$505,$AR102))</f>
      </c>
      <c r="N102" s="121" t="n"/>
      <c r="O102" s="121" t="n"/>
      <c r="P102" s="146">
        <f>IF($AR102="","",INDEX('Phản ánh'!$W$6:$W$505,$AR102))</f>
      </c>
      <c r="Q102" s="121" t="n"/>
      <c r="R102" s="123">
        <f>IF($AR102="","",IF(N(INDEX('Phản ánh'!$AO$6:$AO$505,$AR102))&gt;0,INDEX('Phản ánh'!$AD$6:$AD$505,$AR102),INDEX('Phản ánh'!$Y$6:$Y$505,$AR102)))</f>
      </c>
      <c r="S102" s="121" t="n"/>
      <c r="T102" s="121" t="n"/>
      <c r="U102" s="39" t="n"/>
      <c r="V102" s="141">
        <f>IF($AT102="","",7)</f>
      </c>
      <c r="W102" s="147">
        <f>IF($AT102="","",INDEX('Kế hoạch'!$A$6:$A$305,$AT102))</f>
      </c>
      <c r="X102" s="121" t="n"/>
      <c r="Y102" s="143">
        <f>IF($AT102="",IF(7=1,"Không có công việc nào cần chú ý.",""),INDEX('Kế hoạch'!$C$6:$C$305,$AT102))</f>
      </c>
      <c r="Z102" s="121" t="n"/>
      <c r="AA102" s="121" t="n"/>
      <c r="AB102" s="121" t="n"/>
      <c r="AC102" s="121" t="n"/>
      <c r="AD102" s="121" t="n"/>
      <c r="AE102" s="121" t="n"/>
      <c r="AF102" s="144">
        <f>IF($AT102="","",INDEX('Kế hoạch'!$E$6:$E$305,$AT102)&amp;IF(INDEX('Kế hoạch'!$F$6:$F$305,$AT102)="","",", "&amp;IF(ISNUMBER(INDEX('Kế hoạch'!$F$6:$F$305,$AT102)),"tầng "&amp;INDEX('Kế hoạch'!$F$6:$F$305,$AT102),LOWER(INDEX('Kế hoạch'!$F$6:$F$305,$AT102)))))</f>
      </c>
      <c r="AG102" s="121" t="n"/>
      <c r="AH102" s="121" t="n"/>
      <c r="AI102" s="148">
        <f>IF($AT102="","",INDEX('Kế hoạch'!$Y$6:$Y$305,$AT102))</f>
      </c>
      <c r="AJ102" s="121" t="n"/>
      <c r="AK102" s="146">
        <f>IF($AT102="","",INDEX('Kế hoạch'!$AB$6:$AB$305,$AT102))</f>
      </c>
      <c r="AL102" s="121" t="n"/>
      <c r="AM102" s="123">
        <f>IF($AT102="","",IF(N(INDEX('Kế hoạch'!$BB$6:$BB$305,$AT102))&gt;0,INDEX('Kế hoạch'!$AG$6:$AG$305,$AT102),INDEX('Kế hoạch'!$AD$6:$AD$305,$AT102)))</f>
      </c>
      <c r="AN102" s="121" t="n"/>
      <c r="AO102" s="121" t="n"/>
      <c r="AP102" s="39" t="n"/>
      <c r="AQ102">
        <f>IFERROR(SMALL('Phản ánh'!$AL$6:$AL$505,7),"")</f>
      </c>
      <c r="AR102">
        <f>IF(AQ102="","",MATCH(AQ102,'Phản ánh'!$AL$6:$AL$505,0))</f>
      </c>
      <c r="AS102">
        <f>IFERROR(SMALL('Kế hoạch'!$AT$6:$AT$305,7),"")</f>
      </c>
      <c r="AT102">
        <f>IF(AS102="","",MATCH(AS102,'Kế hoạch'!$AT$6:$AT$305,0))</f>
      </c>
    </row>
    <row r="103" ht="42" customHeight="1">
      <c r="A103" s="39" t="n"/>
      <c r="B103" s="149">
        <f>IF($AR103="","",8)</f>
      </c>
      <c r="C103" s="150">
        <f>IF($AR103="","",INDEX('Phản ánh'!$A$6:$A$505,$AR103))</f>
      </c>
      <c r="D103" s="125" t="n"/>
      <c r="E103" s="151">
        <f>IF($AR103="",IF(8=1,"Không có phản ánh nào cần chú ý.",""),INDEX('Phản ánh'!$C$6:$C$505,$AR103))</f>
      </c>
      <c r="F103" s="125" t="n"/>
      <c r="G103" s="125" t="n"/>
      <c r="H103" s="125" t="n"/>
      <c r="I103" s="125" t="n"/>
      <c r="J103" s="152">
        <f>IF($AR103="","",INDEX('Phản ánh'!$F$6:$F$505,$AR103)&amp;IF(INDEX('Phản ánh'!$G$6:$G$505,$AR103)="","",", "&amp;IF(ISNUMBER(INDEX('Phản ánh'!$G$6:$G$505,$AR103)),"tầng "&amp;INDEX('Phản ánh'!$G$6:$G$505,$AR103),LOWER(INDEX('Phản ánh'!$G$6:$G$505,$AR103)))))</f>
      </c>
      <c r="K103" s="125" t="n"/>
      <c r="L103" s="125" t="n"/>
      <c r="M103" s="153">
        <f>IF($AR103="","",INDEX('Phản ánh'!$U$6:$U$505,$AR103))</f>
      </c>
      <c r="N103" s="125" t="n"/>
      <c r="O103" s="125" t="n"/>
      <c r="P103" s="154">
        <f>IF($AR103="","",INDEX('Phản ánh'!$W$6:$W$505,$AR103))</f>
      </c>
      <c r="Q103" s="125" t="n"/>
      <c r="R103" s="127">
        <f>IF($AR103="","",IF(N(INDEX('Phản ánh'!$AO$6:$AO$505,$AR103))&gt;0,INDEX('Phản ánh'!$AD$6:$AD$505,$AR103),INDEX('Phản ánh'!$Y$6:$Y$505,$AR103)))</f>
      </c>
      <c r="S103" s="125" t="n"/>
      <c r="T103" s="125" t="n"/>
      <c r="U103" s="39" t="n"/>
      <c r="V103" s="149">
        <f>IF($AT103="","",8)</f>
      </c>
      <c r="W103" s="155">
        <f>IF($AT103="","",INDEX('Kế hoạch'!$A$6:$A$305,$AT103))</f>
      </c>
      <c r="X103" s="125" t="n"/>
      <c r="Y103" s="151">
        <f>IF($AT103="",IF(8=1,"Không có công việc nào cần chú ý.",""),INDEX('Kế hoạch'!$C$6:$C$305,$AT103))</f>
      </c>
      <c r="Z103" s="125" t="n"/>
      <c r="AA103" s="125" t="n"/>
      <c r="AB103" s="125" t="n"/>
      <c r="AC103" s="125" t="n"/>
      <c r="AD103" s="125" t="n"/>
      <c r="AE103" s="125" t="n"/>
      <c r="AF103" s="152">
        <f>IF($AT103="","",INDEX('Kế hoạch'!$E$6:$E$305,$AT103)&amp;IF(INDEX('Kế hoạch'!$F$6:$F$305,$AT103)="","",", "&amp;IF(ISNUMBER(INDEX('Kế hoạch'!$F$6:$F$305,$AT103)),"tầng "&amp;INDEX('Kế hoạch'!$F$6:$F$305,$AT103),LOWER(INDEX('Kế hoạch'!$F$6:$F$305,$AT103)))))</f>
      </c>
      <c r="AG103" s="125" t="n"/>
      <c r="AH103" s="125" t="n"/>
      <c r="AI103" s="156">
        <f>IF($AT103="","",INDEX('Kế hoạch'!$Y$6:$Y$305,$AT103))</f>
      </c>
      <c r="AJ103" s="125" t="n"/>
      <c r="AK103" s="154">
        <f>IF($AT103="","",INDEX('Kế hoạch'!$AB$6:$AB$305,$AT103))</f>
      </c>
      <c r="AL103" s="125" t="n"/>
      <c r="AM103" s="127">
        <f>IF($AT103="","",IF(N(INDEX('Kế hoạch'!$BB$6:$BB$305,$AT103))&gt;0,INDEX('Kế hoạch'!$AG$6:$AG$305,$AT103),INDEX('Kế hoạch'!$AD$6:$AD$305,$AT103)))</f>
      </c>
      <c r="AN103" s="125" t="n"/>
      <c r="AO103" s="125" t="n"/>
      <c r="AP103" s="39" t="n"/>
      <c r="AQ103">
        <f>IFERROR(SMALL('Phản ánh'!$AL$6:$AL$505,8),"")</f>
      </c>
      <c r="AR103">
        <f>IF(AQ103="","",MATCH(AQ103,'Phản ánh'!$AL$6:$AL$505,0))</f>
      </c>
      <c r="AS103">
        <f>IFERROR(SMALL('Kế hoạch'!$AT$6:$AT$305,8),"")</f>
      </c>
      <c r="AT103">
        <f>IF(AS103="","",MATCH(AS103,'Kế hoạch'!$AT$6:$AT$305,0))</f>
      </c>
    </row>
    <row r="104" ht="42" customHeight="1">
      <c r="A104" s="39" t="n"/>
      <c r="B104" s="141">
        <f>IF($AR104="","",9)</f>
      </c>
      <c r="C104" s="142">
        <f>IF($AR104="","",INDEX('Phản ánh'!$A$6:$A$505,$AR104))</f>
      </c>
      <c r="D104" s="121" t="n"/>
      <c r="E104" s="143">
        <f>IF($AR104="",IF(9=1,"Không có phản ánh nào cần chú ý.",""),INDEX('Phản ánh'!$C$6:$C$505,$AR104))</f>
      </c>
      <c r="F104" s="121" t="n"/>
      <c r="G104" s="121" t="n"/>
      <c r="H104" s="121" t="n"/>
      <c r="I104" s="121" t="n"/>
      <c r="J104" s="144">
        <f>IF($AR104="","",INDEX('Phản ánh'!$F$6:$F$505,$AR104)&amp;IF(INDEX('Phản ánh'!$G$6:$G$505,$AR104)="","",", "&amp;IF(ISNUMBER(INDEX('Phản ánh'!$G$6:$G$505,$AR104)),"tầng "&amp;INDEX('Phản ánh'!$G$6:$G$505,$AR104),LOWER(INDEX('Phản ánh'!$G$6:$G$505,$AR104)))))</f>
      </c>
      <c r="K104" s="121" t="n"/>
      <c r="L104" s="121" t="n"/>
      <c r="M104" s="145">
        <f>IF($AR104="","",INDEX('Phản ánh'!$U$6:$U$505,$AR104))</f>
      </c>
      <c r="N104" s="121" t="n"/>
      <c r="O104" s="121" t="n"/>
      <c r="P104" s="146">
        <f>IF($AR104="","",INDEX('Phản ánh'!$W$6:$W$505,$AR104))</f>
      </c>
      <c r="Q104" s="121" t="n"/>
      <c r="R104" s="123">
        <f>IF($AR104="","",IF(N(INDEX('Phản ánh'!$AO$6:$AO$505,$AR104))&gt;0,INDEX('Phản ánh'!$AD$6:$AD$505,$AR104),INDEX('Phản ánh'!$Y$6:$Y$505,$AR104)))</f>
      </c>
      <c r="S104" s="121" t="n"/>
      <c r="T104" s="121" t="n"/>
      <c r="U104" s="39" t="n"/>
      <c r="V104" s="141">
        <f>IF($AT104="","",9)</f>
      </c>
      <c r="W104" s="147">
        <f>IF($AT104="","",INDEX('Kế hoạch'!$A$6:$A$305,$AT104))</f>
      </c>
      <c r="X104" s="121" t="n"/>
      <c r="Y104" s="143">
        <f>IF($AT104="",IF(9=1,"Không có công việc nào cần chú ý.",""),INDEX('Kế hoạch'!$C$6:$C$305,$AT104))</f>
      </c>
      <c r="Z104" s="121" t="n"/>
      <c r="AA104" s="121" t="n"/>
      <c r="AB104" s="121" t="n"/>
      <c r="AC104" s="121" t="n"/>
      <c r="AD104" s="121" t="n"/>
      <c r="AE104" s="121" t="n"/>
      <c r="AF104" s="144">
        <f>IF($AT104="","",INDEX('Kế hoạch'!$E$6:$E$305,$AT104)&amp;IF(INDEX('Kế hoạch'!$F$6:$F$305,$AT104)="","",", "&amp;IF(ISNUMBER(INDEX('Kế hoạch'!$F$6:$F$305,$AT104)),"tầng "&amp;INDEX('Kế hoạch'!$F$6:$F$305,$AT104),LOWER(INDEX('Kế hoạch'!$F$6:$F$305,$AT104)))))</f>
      </c>
      <c r="AG104" s="121" t="n"/>
      <c r="AH104" s="121" t="n"/>
      <c r="AI104" s="148">
        <f>IF($AT104="","",INDEX('Kế hoạch'!$Y$6:$Y$305,$AT104))</f>
      </c>
      <c r="AJ104" s="121" t="n"/>
      <c r="AK104" s="146">
        <f>IF($AT104="","",INDEX('Kế hoạch'!$AB$6:$AB$305,$AT104))</f>
      </c>
      <c r="AL104" s="121" t="n"/>
      <c r="AM104" s="123">
        <f>IF($AT104="","",IF(N(INDEX('Kế hoạch'!$BB$6:$BB$305,$AT104))&gt;0,INDEX('Kế hoạch'!$AG$6:$AG$305,$AT104),INDEX('Kế hoạch'!$AD$6:$AD$305,$AT104)))</f>
      </c>
      <c r="AN104" s="121" t="n"/>
      <c r="AO104" s="121" t="n"/>
      <c r="AP104" s="39" t="n"/>
      <c r="AQ104">
        <f>IFERROR(SMALL('Phản ánh'!$AL$6:$AL$505,9),"")</f>
      </c>
      <c r="AR104">
        <f>IF(AQ104="","",MATCH(AQ104,'Phản ánh'!$AL$6:$AL$505,0))</f>
      </c>
      <c r="AS104">
        <f>IFERROR(SMALL('Kế hoạch'!$AT$6:$AT$305,9),"")</f>
      </c>
      <c r="AT104">
        <f>IF(AS104="","",MATCH(AS104,'Kế hoạch'!$AT$6:$AT$305,0))</f>
      </c>
    </row>
    <row r="105" ht="42" customHeight="1">
      <c r="A105" s="39" t="n"/>
      <c r="B105" s="149">
        <f>IF($AR105="","",10)</f>
      </c>
      <c r="C105" s="150">
        <f>IF($AR105="","",INDEX('Phản ánh'!$A$6:$A$505,$AR105))</f>
      </c>
      <c r="D105" s="125" t="n"/>
      <c r="E105" s="151">
        <f>IF($AR105="",IF(10=1,"Không có phản ánh nào cần chú ý.",""),INDEX('Phản ánh'!$C$6:$C$505,$AR105))</f>
      </c>
      <c r="F105" s="125" t="n"/>
      <c r="G105" s="125" t="n"/>
      <c r="H105" s="125" t="n"/>
      <c r="I105" s="125" t="n"/>
      <c r="J105" s="152">
        <f>IF($AR105="","",INDEX('Phản ánh'!$F$6:$F$505,$AR105)&amp;IF(INDEX('Phản ánh'!$G$6:$G$505,$AR105)="","",", "&amp;IF(ISNUMBER(INDEX('Phản ánh'!$G$6:$G$505,$AR105)),"tầng "&amp;INDEX('Phản ánh'!$G$6:$G$505,$AR105),LOWER(INDEX('Phản ánh'!$G$6:$G$505,$AR105)))))</f>
      </c>
      <c r="K105" s="125" t="n"/>
      <c r="L105" s="125" t="n"/>
      <c r="M105" s="153">
        <f>IF($AR105="","",INDEX('Phản ánh'!$U$6:$U$505,$AR105))</f>
      </c>
      <c r="N105" s="125" t="n"/>
      <c r="O105" s="125" t="n"/>
      <c r="P105" s="154">
        <f>IF($AR105="","",INDEX('Phản ánh'!$W$6:$W$505,$AR105))</f>
      </c>
      <c r="Q105" s="125" t="n"/>
      <c r="R105" s="127">
        <f>IF($AR105="","",IF(N(INDEX('Phản ánh'!$AO$6:$AO$505,$AR105))&gt;0,INDEX('Phản ánh'!$AD$6:$AD$505,$AR105),INDEX('Phản ánh'!$Y$6:$Y$505,$AR105)))</f>
      </c>
      <c r="S105" s="125" t="n"/>
      <c r="T105" s="125" t="n"/>
      <c r="U105" s="39" t="n"/>
      <c r="V105" s="149">
        <f>IF($AT105="","",10)</f>
      </c>
      <c r="W105" s="155">
        <f>IF($AT105="","",INDEX('Kế hoạch'!$A$6:$A$305,$AT105))</f>
      </c>
      <c r="X105" s="125" t="n"/>
      <c r="Y105" s="151">
        <f>IF($AT105="",IF(10=1,"Không có công việc nào cần chú ý.",""),INDEX('Kế hoạch'!$C$6:$C$305,$AT105))</f>
      </c>
      <c r="Z105" s="125" t="n"/>
      <c r="AA105" s="125" t="n"/>
      <c r="AB105" s="125" t="n"/>
      <c r="AC105" s="125" t="n"/>
      <c r="AD105" s="125" t="n"/>
      <c r="AE105" s="125" t="n"/>
      <c r="AF105" s="152">
        <f>IF($AT105="","",INDEX('Kế hoạch'!$E$6:$E$305,$AT105)&amp;IF(INDEX('Kế hoạch'!$F$6:$F$305,$AT105)="","",", "&amp;IF(ISNUMBER(INDEX('Kế hoạch'!$F$6:$F$305,$AT105)),"tầng "&amp;INDEX('Kế hoạch'!$F$6:$F$305,$AT105),LOWER(INDEX('Kế hoạch'!$F$6:$F$305,$AT105)))))</f>
      </c>
      <c r="AG105" s="125" t="n"/>
      <c r="AH105" s="125" t="n"/>
      <c r="AI105" s="156">
        <f>IF($AT105="","",INDEX('Kế hoạch'!$Y$6:$Y$305,$AT105))</f>
      </c>
      <c r="AJ105" s="125" t="n"/>
      <c r="AK105" s="154">
        <f>IF($AT105="","",INDEX('Kế hoạch'!$AB$6:$AB$305,$AT105))</f>
      </c>
      <c r="AL105" s="125" t="n"/>
      <c r="AM105" s="127">
        <f>IF($AT105="","",IF(N(INDEX('Kế hoạch'!$BB$6:$BB$305,$AT105))&gt;0,INDEX('Kế hoạch'!$AG$6:$AG$305,$AT105),INDEX('Kế hoạch'!$AD$6:$AD$305,$AT105)))</f>
      </c>
      <c r="AN105" s="125" t="n"/>
      <c r="AO105" s="125" t="n"/>
      <c r="AP105" s="39" t="n"/>
      <c r="AQ105">
        <f>IFERROR(SMALL('Phản ánh'!$AL$6:$AL$505,10),"")</f>
      </c>
      <c r="AR105">
        <f>IF(AQ105="","",MATCH(AQ105,'Phản ánh'!$AL$6:$AL$505,0))</f>
      </c>
      <c r="AS105">
        <f>IFERROR(SMALL('Kế hoạch'!$AT$6:$AT$305,10),"")</f>
      </c>
      <c r="AT105">
        <f>IF(AS105="","",MATCH(AS105,'Kế hoạch'!$AT$6:$AT$305,0))</f>
      </c>
    </row>
    <row r="106" ht="12" customHeight="1">
      <c r="A106" s="39" t="n"/>
      <c r="B106" s="39" t="n"/>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c r="Y106" s="39" t="n"/>
      <c r="Z106" s="39" t="n"/>
      <c r="AA106" s="39" t="n"/>
      <c r="AB106" s="39" t="n"/>
      <c r="AC106" s="39" t="n"/>
      <c r="AD106" s="39" t="n"/>
      <c r="AE106" s="39" t="n"/>
      <c r="AF106" s="39" t="n"/>
      <c r="AG106" s="39" t="n"/>
      <c r="AH106" s="39" t="n"/>
      <c r="AI106" s="39" t="n"/>
      <c r="AJ106" s="39" t="n"/>
      <c r="AK106" s="39" t="n"/>
      <c r="AL106" s="39" t="n"/>
      <c r="AM106" s="39" t="n"/>
      <c r="AN106" s="39" t="n"/>
      <c r="AO106" s="39" t="n"/>
      <c r="AP106" s="39" t="n"/>
    </row>
    <row r="107" ht="24" customHeight="1">
      <c r="A107" s="39" t="n"/>
      <c r="B107" s="44" t="inlineStr">
        <is>
          <t>THỜI GIAN XỬ LÝ VÀ DEADLINE</t>
        </is>
      </c>
      <c r="C107" s="9" t="n"/>
      <c r="D107" s="9" t="n"/>
      <c r="E107" s="9" t="n"/>
      <c r="F107" s="9" t="n"/>
      <c r="G107" s="9" t="n"/>
      <c r="H107" s="9" t="n"/>
      <c r="I107" s="9" t="n"/>
      <c r="J107" s="9" t="n"/>
      <c r="K107" s="9" t="n"/>
      <c r="L107" s="9" t="n"/>
      <c r="M107" s="9" t="n"/>
      <c r="N107" s="9" t="n"/>
      <c r="O107" s="9" t="n"/>
      <c r="P107" s="9" t="n"/>
      <c r="Q107" s="9" t="n"/>
      <c r="R107" s="9" t="n"/>
      <c r="S107" s="9" t="n"/>
      <c r="T107" s="9" t="n"/>
      <c r="U107" s="39" t="n"/>
      <c r="V107" s="44" t="inlineStr">
        <is>
          <t>THEO NGƯỜI PHỤ TRÁCH</t>
        </is>
      </c>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39" t="n"/>
      <c r="AQ107" s="43">
        <f>MAX(0,MAX('Phản ánh'!$AN$6:$AN$505))</f>
      </c>
      <c r="AR107" s="43" t="n"/>
      <c r="AS107" s="43" t="n"/>
      <c r="AT107" s="43" t="n"/>
    </row>
    <row r="108" ht="32" customHeight="1">
      <c r="A108" s="39" t="n"/>
      <c r="B108" s="157">
        <f>"Trong 30 ngày qua xử lý xong "&amp;($AQ$108+$AR$108)&amp;" phản ánh và việc đột xuất, bình quân "&amp;B110&amp;" mỗi đầu việc, "&amp;IF(ISNUMBER(L110),TEXT(L110,"0%"),"–")&amp;" đúng deadline; "&amp;B115&amp;" đầu việc vượt ước tính, "&amp;L115&amp;" đầu việc có deadline trong 48 giờ tới."</f>
      </c>
      <c r="C108" s="158" t="n"/>
      <c r="D108" s="158" t="n"/>
      <c r="E108" s="158" t="n"/>
      <c r="F108" s="158" t="n"/>
      <c r="G108" s="158" t="n"/>
      <c r="H108" s="158" t="n"/>
      <c r="I108" s="158" t="n"/>
      <c r="J108" s="158" t="n"/>
      <c r="K108" s="158" t="n"/>
      <c r="L108" s="158" t="n"/>
      <c r="M108" s="158" t="n"/>
      <c r="N108" s="158" t="n"/>
      <c r="O108" s="158" t="n"/>
      <c r="P108" s="158" t="n"/>
      <c r="Q108" s="158" t="n"/>
      <c r="R108" s="158" t="n"/>
      <c r="S108" s="158" t="n"/>
      <c r="T108" s="159" t="n"/>
      <c r="U108" s="39" t="n"/>
      <c r="V108" s="160" t="inlineStr">
        <is>
          <t>Tên tự lấy từ cột Người phụ trách ở tab Phản ánh và Kế hoạch theo thứ tự xuất hiện, tối đa 12 người. Đang mở gồm phản ánh, việc đột xuất chưa xong và việc định kỳ đến kỳ trong 7 ngày; thời gian xử lý bình quân tính trên phản ánh và việc đột xuất đã xong.</t>
        </is>
      </c>
      <c r="AP108" s="39" t="n"/>
      <c r="AQ108" s="43">
        <f>COUNTIFS('Phản ánh'!$AE$6:$AE$505,"Đúng hạn",'Phản ánh'!$AA$6:$AA$505,"&gt;="&amp;(TDBC-30))+COUNTIFS('Kế hoạch'!$AH$6:$AH$305,"Đúng hạn",'Kế hoạch'!$X$6:$X$305,"&gt;="&amp;(TDBC-30))</f>
      </c>
      <c r="AR108" s="43">
        <f>COUNTIFS('Phản ánh'!$AE$6:$AE$505,"Trễ hạn",'Phản ánh'!$AA$6:$AA$505,"&gt;="&amp;(TDBC-30))+COUNTIFS('Kế hoạch'!$AH$6:$AH$305,"Trễ hạn",'Kế hoạch'!$X$6:$X$305,"&gt;="&amp;(TDBC-30))</f>
      </c>
      <c r="AS108" s="43" t="n"/>
      <c r="AT108" s="43" t="n"/>
    </row>
    <row r="109" ht="20" customHeight="1">
      <c r="A109" s="39" t="n"/>
      <c r="B109" s="50" t="inlineStr">
        <is>
          <t>THỜI GIAN XỬ LÝ BÌNH QUÂN</t>
        </is>
      </c>
      <c r="C109" s="46" t="n"/>
      <c r="D109" s="46" t="n"/>
      <c r="E109" s="46" t="n"/>
      <c r="F109" s="46" t="n"/>
      <c r="G109" s="46" t="n"/>
      <c r="H109" s="46" t="n"/>
      <c r="I109" s="46" t="n"/>
      <c r="J109" s="47" t="n"/>
      <c r="K109" s="39" t="n"/>
      <c r="L109" s="50" t="inlineStr">
        <is>
          <t>XONG ĐÚNG DEADLINE</t>
        </is>
      </c>
      <c r="M109" s="46" t="n"/>
      <c r="N109" s="46" t="n"/>
      <c r="O109" s="46" t="n"/>
      <c r="P109" s="46" t="n"/>
      <c r="Q109" s="46" t="n"/>
      <c r="R109" s="46" t="n"/>
      <c r="S109" s="46" t="n"/>
      <c r="T109" s="47" t="n"/>
      <c r="U109" s="39" t="n"/>
      <c r="V109" s="115" t="inlineStr">
        <is>
          <t>Người phụ trách</t>
        </is>
      </c>
      <c r="W109" s="1" t="n"/>
      <c r="X109" s="1" t="n"/>
      <c r="Y109" s="1" t="n"/>
      <c r="Z109" s="1" t="n"/>
      <c r="AA109" s="1" t="n"/>
      <c r="AB109" s="1" t="n"/>
      <c r="AC109" s="115" t="inlineStr">
        <is>
          <t>Đang mở</t>
        </is>
      </c>
      <c r="AD109" s="1" t="n"/>
      <c r="AE109" s="115" t="inlineStr">
        <is>
          <t>Quá hạn</t>
        </is>
      </c>
      <c r="AF109" s="1" t="n"/>
      <c r="AG109" s="115" t="inlineStr">
        <is>
          <t>Xong 30 ngày</t>
        </is>
      </c>
      <c r="AH109" s="1" t="n"/>
      <c r="AI109" s="115" t="inlineStr">
        <is>
          <t>TG xử lý bình quân</t>
        </is>
      </c>
      <c r="AJ109" s="1" t="n"/>
      <c r="AK109" s="1" t="n"/>
      <c r="AL109" s="1" t="n"/>
      <c r="AM109" s="115" t="inlineStr">
        <is>
          <t>Đúng hạn 30 ngày</t>
        </is>
      </c>
      <c r="AN109" s="1" t="n"/>
      <c r="AO109" s="1" t="n"/>
      <c r="AP109" s="39" t="n"/>
      <c r="AQ109" s="43">
        <f>SUMIFS('Phản ánh'!$AI$6:$AI$505,'Phản ánh'!$AA$6:$AA$505,"&gt;="&amp;(TDBC-30))+SUMIFS('Kế hoạch'!$AV$6:$AV$305,'Kế hoạch'!$B$6:$B$305,"Đột xuất",'Kế hoạch'!$X$6:$X$305,"&gt;="&amp;(TDBC-30))</f>
      </c>
      <c r="AR109" s="43">
        <f>COUNTIFS('Phản ánh'!$AA$6:$AA$505,"&gt;="&amp;(TDBC-30),'Phản ánh'!$AI$6:$AI$505,"&gt;=0")+COUNTIFS('Kế hoạch'!$B$6:$B$305,"Đột xuất",'Kế hoạch'!$X$6:$X$305,"&gt;="&amp;(TDBC-30),'Kế hoạch'!$AV$6:$AV$305,"&gt;=0")</f>
      </c>
      <c r="AS109" s="43">
        <f>SUMIFS('Phản ánh'!$AH$6:$AH$505,'Phản ánh'!$AA$6:$AA$505,"&gt;="&amp;(TDBC-30),'Phản ánh'!$AI$6:$AI$505,"&gt;=0")+SUMIFS('Kế hoạch'!$AU$6:$AU$305,'Kế hoạch'!$B$6:$B$305,"Đột xuất",'Kế hoạch'!$X$6:$X$305,"&gt;="&amp;(TDBC-30),'Kế hoạch'!$AV$6:$AV$305,"&gt;=0")</f>
      </c>
      <c r="AT109" s="43">
        <f>COUNTIFS('Phản ánh'!$AA$6:$AA$505,"&gt;="&amp;(TDBC-30),'Phản ánh'!$AI$6:$AI$505,"&gt;=0",'Phản ánh'!$AH$6:$AH$505,"&gt;0")+COUNTIFS('Kế hoạch'!$B$6:$B$305,"Đột xuất",'Kế hoạch'!$X$6:$X$305,"&gt;="&amp;(TDBC-30),'Kế hoạch'!$AV$6:$AV$305,"&gt;=0",'Kế hoạch'!$AU$6:$AU$305,"&gt;0")</f>
      </c>
    </row>
    <row r="110" ht="20" customHeight="1">
      <c r="A110" s="39" t="n"/>
      <c r="B110" s="161">
        <f>IF($AR$109=0,"–",IF(($AQ$109/$AR$109)&lt;1,MAX(1,ROUND(($AQ$109/$AR$109)*60,0))&amp;" phút",IF(ROUND(($AQ$109/$AR$109),0)&lt;24,ROUND(($AQ$109/$AR$109),0)&amp;" giờ",INT(ROUND(($AQ$109/$AR$109),0)/24)&amp;" ngày"&amp;IF(MOD(ROUND(($AQ$109/$AR$109),0),24)&gt;0," "&amp;MOD(ROUND(($AQ$109/$AR$109),0),24)&amp;" giờ",""))))</f>
      </c>
      <c r="C110" s="54" t="n"/>
      <c r="D110" s="54" t="n"/>
      <c r="E110" s="54" t="n"/>
      <c r="F110" s="54" t="n"/>
      <c r="G110" s="54" t="n"/>
      <c r="H110" s="54" t="n"/>
      <c r="I110" s="54" t="n"/>
      <c r="J110" s="55" t="n"/>
      <c r="K110" s="39" t="n"/>
      <c r="L110" s="58">
        <f>IF($AQ$108+$AR$108=0,"–",$AQ$108/($AQ$108+$AR$108))</f>
      </c>
      <c r="M110" s="54" t="n"/>
      <c r="N110" s="54" t="n"/>
      <c r="O110" s="54" t="n"/>
      <c r="P110" s="54" t="n"/>
      <c r="Q110" s="54" t="n"/>
      <c r="R110" s="54" t="n"/>
      <c r="S110" s="54" t="n"/>
      <c r="T110" s="55" t="n"/>
      <c r="U110" s="39" t="n"/>
      <c r="V110" s="120">
        <f>IFERROR(IF(1&lt;=$AQ$107,INDEX('Phản ánh'!$K$6:$K$505,MATCH(1,'Phản ánh'!$AN$6:$AN$505,0)),INDEX('Kế hoạch'!$N$6:$N$305,MATCH(1-$AQ$107,'Kế hoạch'!$BA$6:$BA$305,0))),"")</f>
      </c>
      <c r="W110" s="121" t="n"/>
      <c r="X110" s="121" t="n"/>
      <c r="Y110" s="121" t="n"/>
      <c r="Z110" s="121" t="n"/>
      <c r="AA110" s="121" t="n"/>
      <c r="AB110" s="121" t="n"/>
      <c r="AC110" s="162">
        <f>IF($V110="","",COUNTIFS('Phản ánh'!$K$6:$K$505,$V110,'Phản ánh'!$V$6:$V$505,"&lt;&gt;Đã xử lý",'Phản ánh'!$A$6:$A$505,"?*")+COUNTIFS('Kế hoạch'!$N$6:$N$305,$V110,'Kế hoạch'!$A$6:$A$305,"?*",'Kế hoạch'!$B$6:$B$305,"Đột xuất",'Kế hoạch'!$AO$6:$AO$305,1)+COUNTIFS('Kế hoạch'!$N$6:$N$305,$V110,'Kế hoạch'!$A$6:$A$305,"?*",'Kế hoạch'!$B$6:$B$305,"Định kỳ",'Kế hoạch'!$AR$6:$AR$305,0,'Kế hoạch'!$AP$6:$AP$305,"&gt;0",'Kế hoạch'!$AP$6:$AP$305,"&lt;="&amp;(NgayBC+7)))</f>
      </c>
      <c r="AD110" s="121" t="n"/>
      <c r="AE110" s="122">
        <f>IF($V110="","",COUNTIFS('Phản ánh'!$K$6:$K$505,$V110,'Phản ánh'!$A$6:$A$505,"?*",'Phản ánh'!$Y$6:$Y$505,"Quá hạn")+COUNTIFS('Kế hoạch'!$N$6:$N$305,$V110,'Kế hoạch'!$A$6:$A$305,"?*",'Kế hoạch'!$AD$6:$AD$305,"Quá hạn"))</f>
      </c>
      <c r="AF110" s="121" t="n"/>
      <c r="AG110" s="122">
        <f>IF($V110="","",COUNTIFS('Phản ánh'!$K$6:$K$505,$V110,'Phản ánh'!$A$6:$A$505,"?*",'Phản ánh'!$AA$6:$AA$505,"&gt;="&amp;(TDBC-30))+COUNTIFS('Kế hoạch'!$N$6:$N$305,$V110,'Kế hoạch'!$A$6:$A$305,"?*",'Kế hoạch'!$B$6:$B$305,"Đột xuất",'Kế hoạch'!$AA$6:$AA$305,"Hoàn thành",'Kế hoạch'!$X$6:$X$305,"&gt;="&amp;(TDBC-30))+COUNTIFS('Nhật ký tiến độ'!$K$6:$K$3005,$V110,'Nhật ký tiến độ'!$E$6:$E$3005,"Hoàn thành kỳ",'Nhật ký tiến độ'!$B$6:$B$3005,"&gt;="&amp;(TDBC-30)))</f>
      </c>
      <c r="AH110" s="121" t="n"/>
      <c r="AI110" s="163">
        <f>IF(OR($V110="",$AR110=0),IF($V110="","","–"),IF(($AQ110/$AR110)&lt;1,MAX(1,ROUND(($AQ110/$AR110)*60,0))&amp;" phút",IF(ROUND(($AQ110/$AR110),0)&lt;24,ROUND(($AQ110/$AR110),0)&amp;" giờ",INT(ROUND(($AQ110/$AR110),0)/24)&amp;" ngày"&amp;IF(MOD(ROUND(($AQ110/$AR110),0),24)&gt;0," "&amp;MOD(ROUND(($AQ110/$AR110),0),24)&amp;" giờ",""))))</f>
      </c>
      <c r="AJ110" s="121" t="n"/>
      <c r="AK110" s="121" t="n"/>
      <c r="AL110" s="121" t="n"/>
      <c r="AM110" s="164">
        <f>IF($V110="","",IF($AS110+$AT110=0,"–",$AS110/($AS110+$AT110)))</f>
      </c>
      <c r="AN110" s="121" t="n"/>
      <c r="AO110" s="121" t="n"/>
      <c r="AP110" s="39" t="n"/>
      <c r="AQ110" s="43">
        <f>SUMIFS('Phản ánh'!$AI$6:$AI$505,'Phản ánh'!$K$6:$K$505,$V110,'Phản ánh'!$A$6:$A$505,"?*")+SUMIFS('Kế hoạch'!$AV$6:$AV$305,'Kế hoạch'!$N$6:$N$305,$V110,'Kế hoạch'!$A$6:$A$305,"?*",'Kế hoạch'!$B$6:$B$305,"Đột xuất")</f>
      </c>
      <c r="AR110" s="43">
        <f>COUNTIFS('Phản ánh'!$K$6:$K$505,$V110,'Phản ánh'!$A$6:$A$505,"?*",'Phản ánh'!$AI$6:$AI$505,"&gt;=0")+COUNTIFS('Kế hoạch'!$N$6:$N$305,$V110,'Kế hoạch'!$A$6:$A$305,"?*",'Kế hoạch'!$B$6:$B$305,"Đột xuất",'Kế hoạch'!$AV$6:$AV$305,"&gt;=0")</f>
      </c>
      <c r="AS110" s="43">
        <f>COUNTIFS('Phản ánh'!$K$6:$K$505,$V110,'Phản ánh'!$A$6:$A$505,"?*",'Phản ánh'!$AE$6:$AE$505,"Đúng hạn",'Phản ánh'!$AA$6:$AA$505,"&gt;="&amp;(TDBC-30))+COUNTIFS('Kế hoạch'!$N$6:$N$305,$V110,'Kế hoạch'!$A$6:$A$305,"?*",'Kế hoạch'!$AH$6:$AH$305,"Đúng hạn",'Kế hoạch'!$X$6:$X$305,"&gt;="&amp;(TDBC-30))+COUNTIFS('Nhật ký tiến độ'!$K$6:$K$3005,$V110,'Nhật ký tiến độ'!$E$6:$E$3005,"Hoàn thành kỳ",'Nhật ký tiến độ'!$M$6:$M$3005,"Đúng hạn",'Nhật ký tiến độ'!$B$6:$B$3005,"&gt;="&amp;(TDBC-30))</f>
      </c>
      <c r="AT110" s="43">
        <f>COUNTIFS('Phản ánh'!$K$6:$K$505,$V110,'Phản ánh'!$A$6:$A$505,"?*",'Phản ánh'!$AE$6:$AE$505,"Trễ hạn",'Phản ánh'!$AA$6:$AA$505,"&gt;="&amp;(TDBC-30))+COUNTIFS('Kế hoạch'!$N$6:$N$305,$V110,'Kế hoạch'!$A$6:$A$305,"?*",'Kế hoạch'!$AH$6:$AH$305,"Trễ hạn",'Kế hoạch'!$X$6:$X$305,"&gt;="&amp;(TDBC-30))+COUNTIFS('Nhật ký tiến độ'!$K$6:$K$3005,$V110,'Nhật ký tiến độ'!$E$6:$E$3005,"Hoàn thành kỳ",'Nhật ký tiến độ'!$M$6:$M$3005,"Trễ hạn",'Nhật ký tiến độ'!$B$6:$B$3005,"&gt;="&amp;(TDBC-30))</f>
      </c>
    </row>
    <row r="111" ht="20" customHeight="1">
      <c r="A111" s="39" t="n"/>
      <c r="B111" s="64" t="n"/>
      <c r="C111" s="54" t="n"/>
      <c r="D111" s="54" t="n"/>
      <c r="E111" s="54" t="n"/>
      <c r="F111" s="54" t="n"/>
      <c r="G111" s="54" t="n"/>
      <c r="H111" s="54" t="n"/>
      <c r="I111" s="54" t="n"/>
      <c r="J111" s="55" t="n"/>
      <c r="K111" s="39" t="n"/>
      <c r="L111" s="64" t="n"/>
      <c r="M111" s="54" t="n"/>
      <c r="N111" s="54" t="n"/>
      <c r="O111" s="54" t="n"/>
      <c r="P111" s="54" t="n"/>
      <c r="Q111" s="54" t="n"/>
      <c r="R111" s="54" t="n"/>
      <c r="S111" s="54" t="n"/>
      <c r="T111" s="55" t="n"/>
      <c r="U111" s="39" t="n"/>
      <c r="V111" s="124">
        <f>IFERROR(IF(2&lt;=$AQ$107,INDEX('Phản ánh'!$K$6:$K$505,MATCH(2,'Phản ánh'!$AN$6:$AN$505,0)),INDEX('Kế hoạch'!$N$6:$N$305,MATCH(2-$AQ$107,'Kế hoạch'!$BA$6:$BA$305,0))),"")</f>
      </c>
      <c r="W111" s="125" t="n"/>
      <c r="X111" s="125" t="n"/>
      <c r="Y111" s="125" t="n"/>
      <c r="Z111" s="125" t="n"/>
      <c r="AA111" s="125" t="n"/>
      <c r="AB111" s="125" t="n"/>
      <c r="AC111" s="165">
        <f>IF($V111="","",COUNTIFS('Phản ánh'!$K$6:$K$505,$V111,'Phản ánh'!$V$6:$V$505,"&lt;&gt;Đã xử lý",'Phản ánh'!$A$6:$A$505,"?*")+COUNTIFS('Kế hoạch'!$N$6:$N$305,$V111,'Kế hoạch'!$A$6:$A$305,"?*",'Kế hoạch'!$B$6:$B$305,"Đột xuất",'Kế hoạch'!$AO$6:$AO$305,1)+COUNTIFS('Kế hoạch'!$N$6:$N$305,$V111,'Kế hoạch'!$A$6:$A$305,"?*",'Kế hoạch'!$B$6:$B$305,"Định kỳ",'Kế hoạch'!$AR$6:$AR$305,0,'Kế hoạch'!$AP$6:$AP$305,"&gt;0",'Kế hoạch'!$AP$6:$AP$305,"&lt;="&amp;(NgayBC+7)))</f>
      </c>
      <c r="AD111" s="125" t="n"/>
      <c r="AE111" s="126">
        <f>IF($V111="","",COUNTIFS('Phản ánh'!$K$6:$K$505,$V111,'Phản ánh'!$A$6:$A$505,"?*",'Phản ánh'!$Y$6:$Y$505,"Quá hạn")+COUNTIFS('Kế hoạch'!$N$6:$N$305,$V111,'Kế hoạch'!$A$6:$A$305,"?*",'Kế hoạch'!$AD$6:$AD$305,"Quá hạn"))</f>
      </c>
      <c r="AF111" s="125" t="n"/>
      <c r="AG111" s="126">
        <f>IF($V111="","",COUNTIFS('Phản ánh'!$K$6:$K$505,$V111,'Phản ánh'!$A$6:$A$505,"?*",'Phản ánh'!$AA$6:$AA$505,"&gt;="&amp;(TDBC-30))+COUNTIFS('Kế hoạch'!$N$6:$N$305,$V111,'Kế hoạch'!$A$6:$A$305,"?*",'Kế hoạch'!$B$6:$B$305,"Đột xuất",'Kế hoạch'!$AA$6:$AA$305,"Hoàn thành",'Kế hoạch'!$X$6:$X$305,"&gt;="&amp;(TDBC-30))+COUNTIFS('Nhật ký tiến độ'!$K$6:$K$3005,$V111,'Nhật ký tiến độ'!$E$6:$E$3005,"Hoàn thành kỳ",'Nhật ký tiến độ'!$B$6:$B$3005,"&gt;="&amp;(TDBC-30)))</f>
      </c>
      <c r="AH111" s="125" t="n"/>
      <c r="AI111" s="166">
        <f>IF(OR($V111="",$AR111=0),IF($V111="","","–"),IF(($AQ111/$AR111)&lt;1,MAX(1,ROUND(($AQ111/$AR111)*60,0))&amp;" phút",IF(ROUND(($AQ111/$AR111),0)&lt;24,ROUND(($AQ111/$AR111),0)&amp;" giờ",INT(ROUND(($AQ111/$AR111),0)/24)&amp;" ngày"&amp;IF(MOD(ROUND(($AQ111/$AR111),0),24)&gt;0," "&amp;MOD(ROUND(($AQ111/$AR111),0),24)&amp;" giờ",""))))</f>
      </c>
      <c r="AJ111" s="125" t="n"/>
      <c r="AK111" s="125" t="n"/>
      <c r="AL111" s="125" t="n"/>
      <c r="AM111" s="167">
        <f>IF($V111="","",IF($AS111+$AT111=0,"–",$AS111/($AS111+$AT111)))</f>
      </c>
      <c r="AN111" s="125" t="n"/>
      <c r="AO111" s="125" t="n"/>
      <c r="AP111" s="39" t="n"/>
      <c r="AQ111" s="43">
        <f>SUMIFS('Phản ánh'!$AI$6:$AI$505,'Phản ánh'!$K$6:$K$505,$V111,'Phản ánh'!$A$6:$A$505,"?*")+SUMIFS('Kế hoạch'!$AV$6:$AV$305,'Kế hoạch'!$N$6:$N$305,$V111,'Kế hoạch'!$A$6:$A$305,"?*",'Kế hoạch'!$B$6:$B$305,"Đột xuất")</f>
      </c>
      <c r="AR111" s="43">
        <f>COUNTIFS('Phản ánh'!$K$6:$K$505,$V111,'Phản ánh'!$A$6:$A$505,"?*",'Phản ánh'!$AI$6:$AI$505,"&gt;=0")+COUNTIFS('Kế hoạch'!$N$6:$N$305,$V111,'Kế hoạch'!$A$6:$A$305,"?*",'Kế hoạch'!$B$6:$B$305,"Đột xuất",'Kế hoạch'!$AV$6:$AV$305,"&gt;=0")</f>
      </c>
      <c r="AS111" s="43">
        <f>COUNTIFS('Phản ánh'!$K$6:$K$505,$V111,'Phản ánh'!$A$6:$A$505,"?*",'Phản ánh'!$AE$6:$AE$505,"Đúng hạn",'Phản ánh'!$AA$6:$AA$505,"&gt;="&amp;(TDBC-30))+COUNTIFS('Kế hoạch'!$N$6:$N$305,$V111,'Kế hoạch'!$A$6:$A$305,"?*",'Kế hoạch'!$AH$6:$AH$305,"Đúng hạn",'Kế hoạch'!$X$6:$X$305,"&gt;="&amp;(TDBC-30))+COUNTIFS('Nhật ký tiến độ'!$K$6:$K$3005,$V111,'Nhật ký tiến độ'!$E$6:$E$3005,"Hoàn thành kỳ",'Nhật ký tiến độ'!$M$6:$M$3005,"Đúng hạn",'Nhật ký tiến độ'!$B$6:$B$3005,"&gt;="&amp;(TDBC-30))</f>
      </c>
      <c r="AT111" s="43">
        <f>COUNTIFS('Phản ánh'!$K$6:$K$505,$V111,'Phản ánh'!$A$6:$A$505,"?*",'Phản ánh'!$AE$6:$AE$505,"Trễ hạn",'Phản ánh'!$AA$6:$AA$505,"&gt;="&amp;(TDBC-30))+COUNTIFS('Kế hoạch'!$N$6:$N$305,$V111,'Kế hoạch'!$A$6:$A$305,"?*",'Kế hoạch'!$AH$6:$AH$305,"Trễ hạn",'Kế hoạch'!$X$6:$X$305,"&gt;="&amp;(TDBC-30))+COUNTIFS('Nhật ký tiến độ'!$K$6:$K$3005,$V111,'Nhật ký tiến độ'!$E$6:$E$3005,"Hoàn thành kỳ",'Nhật ký tiến độ'!$M$6:$M$3005,"Trễ hạn",'Nhật ký tiến độ'!$B$6:$B$3005,"&gt;="&amp;(TDBC-30))</f>
      </c>
    </row>
    <row r="112" ht="26" customHeight="1">
      <c r="A112" s="39" t="n"/>
      <c r="B112" s="72">
        <f>IF($AT$109=0,"chưa có đầu việc xong kèm ước tính","ước tính bình quân "&amp;IF(($AS$109/$AT$109)&lt;1,MAX(1,ROUND(($AS$109/$AT$109)*60,0))&amp;" phút",IF(ROUND(($AS$109/$AT$109),0)&lt;24,ROUND(($AS$109/$AT$109),0)&amp;" giờ",INT(ROUND(($AS$109/$AT$109),0)/24)&amp;" ngày"&amp;IF(MOD(ROUND(($AS$109/$AT$109),0),24)&gt;0," "&amp;MOD(ROUND(($AS$109/$AT$109),0),24)&amp;" giờ",""))))</f>
      </c>
      <c r="C112" s="68" t="n"/>
      <c r="D112" s="68" t="n"/>
      <c r="E112" s="68" t="n"/>
      <c r="F112" s="68" t="n"/>
      <c r="G112" s="68" t="n"/>
      <c r="H112" s="68" t="n"/>
      <c r="I112" s="68" t="n"/>
      <c r="J112" s="69" t="n"/>
      <c r="K112" s="39" t="n"/>
      <c r="L112" s="72">
        <f>$AQ$108&amp;" trên "&amp;($AQ$108+$AR$108)&amp;" đầu việc xong trong 30 ngày"</f>
      </c>
      <c r="M112" s="68" t="n"/>
      <c r="N112" s="68" t="n"/>
      <c r="O112" s="68" t="n"/>
      <c r="P112" s="68" t="n"/>
      <c r="Q112" s="68" t="n"/>
      <c r="R112" s="68" t="n"/>
      <c r="S112" s="68" t="n"/>
      <c r="T112" s="69" t="n"/>
      <c r="U112" s="39" t="n"/>
      <c r="V112" s="120">
        <f>IFERROR(IF(3&lt;=$AQ$107,INDEX('Phản ánh'!$K$6:$K$505,MATCH(3,'Phản ánh'!$AN$6:$AN$505,0)),INDEX('Kế hoạch'!$N$6:$N$305,MATCH(3-$AQ$107,'Kế hoạch'!$BA$6:$BA$305,0))),"")</f>
      </c>
      <c r="W112" s="121" t="n"/>
      <c r="X112" s="121" t="n"/>
      <c r="Y112" s="121" t="n"/>
      <c r="Z112" s="121" t="n"/>
      <c r="AA112" s="121" t="n"/>
      <c r="AB112" s="121" t="n"/>
      <c r="AC112" s="162">
        <f>IF($V112="","",COUNTIFS('Phản ánh'!$K$6:$K$505,$V112,'Phản ánh'!$V$6:$V$505,"&lt;&gt;Đã xử lý",'Phản ánh'!$A$6:$A$505,"?*")+COUNTIFS('Kế hoạch'!$N$6:$N$305,$V112,'Kế hoạch'!$A$6:$A$305,"?*",'Kế hoạch'!$B$6:$B$305,"Đột xuất",'Kế hoạch'!$AO$6:$AO$305,1)+COUNTIFS('Kế hoạch'!$N$6:$N$305,$V112,'Kế hoạch'!$A$6:$A$305,"?*",'Kế hoạch'!$B$6:$B$305,"Định kỳ",'Kế hoạch'!$AR$6:$AR$305,0,'Kế hoạch'!$AP$6:$AP$305,"&gt;0",'Kế hoạch'!$AP$6:$AP$305,"&lt;="&amp;(NgayBC+7)))</f>
      </c>
      <c r="AD112" s="121" t="n"/>
      <c r="AE112" s="122">
        <f>IF($V112="","",COUNTIFS('Phản ánh'!$K$6:$K$505,$V112,'Phản ánh'!$A$6:$A$505,"?*",'Phản ánh'!$Y$6:$Y$505,"Quá hạn")+COUNTIFS('Kế hoạch'!$N$6:$N$305,$V112,'Kế hoạch'!$A$6:$A$305,"?*",'Kế hoạch'!$AD$6:$AD$305,"Quá hạn"))</f>
      </c>
      <c r="AF112" s="121" t="n"/>
      <c r="AG112" s="122">
        <f>IF($V112="","",COUNTIFS('Phản ánh'!$K$6:$K$505,$V112,'Phản ánh'!$A$6:$A$505,"?*",'Phản ánh'!$AA$6:$AA$505,"&gt;="&amp;(TDBC-30))+COUNTIFS('Kế hoạch'!$N$6:$N$305,$V112,'Kế hoạch'!$A$6:$A$305,"?*",'Kế hoạch'!$B$6:$B$305,"Đột xuất",'Kế hoạch'!$AA$6:$AA$305,"Hoàn thành",'Kế hoạch'!$X$6:$X$305,"&gt;="&amp;(TDBC-30))+COUNTIFS('Nhật ký tiến độ'!$K$6:$K$3005,$V112,'Nhật ký tiến độ'!$E$6:$E$3005,"Hoàn thành kỳ",'Nhật ký tiến độ'!$B$6:$B$3005,"&gt;="&amp;(TDBC-30)))</f>
      </c>
      <c r="AH112" s="121" t="n"/>
      <c r="AI112" s="163">
        <f>IF(OR($V112="",$AR112=0),IF($V112="","","–"),IF(($AQ112/$AR112)&lt;1,MAX(1,ROUND(($AQ112/$AR112)*60,0))&amp;" phút",IF(ROUND(($AQ112/$AR112),0)&lt;24,ROUND(($AQ112/$AR112),0)&amp;" giờ",INT(ROUND(($AQ112/$AR112),0)/24)&amp;" ngày"&amp;IF(MOD(ROUND(($AQ112/$AR112),0),24)&gt;0," "&amp;MOD(ROUND(($AQ112/$AR112),0),24)&amp;" giờ",""))))</f>
      </c>
      <c r="AJ112" s="121" t="n"/>
      <c r="AK112" s="121" t="n"/>
      <c r="AL112" s="121" t="n"/>
      <c r="AM112" s="164">
        <f>IF($V112="","",IF($AS112+$AT112=0,"–",$AS112/($AS112+$AT112)))</f>
      </c>
      <c r="AN112" s="121" t="n"/>
      <c r="AO112" s="121" t="n"/>
      <c r="AP112" s="39" t="n"/>
      <c r="AQ112" s="43">
        <f>SUMIFS('Phản ánh'!$AI$6:$AI$505,'Phản ánh'!$K$6:$K$505,$V112,'Phản ánh'!$A$6:$A$505,"?*")+SUMIFS('Kế hoạch'!$AV$6:$AV$305,'Kế hoạch'!$N$6:$N$305,$V112,'Kế hoạch'!$A$6:$A$305,"?*",'Kế hoạch'!$B$6:$B$305,"Đột xuất")</f>
      </c>
      <c r="AR112" s="43">
        <f>COUNTIFS('Phản ánh'!$K$6:$K$505,$V112,'Phản ánh'!$A$6:$A$505,"?*",'Phản ánh'!$AI$6:$AI$505,"&gt;=0")+COUNTIFS('Kế hoạch'!$N$6:$N$305,$V112,'Kế hoạch'!$A$6:$A$305,"?*",'Kế hoạch'!$B$6:$B$305,"Đột xuất",'Kế hoạch'!$AV$6:$AV$305,"&gt;=0")</f>
      </c>
      <c r="AS112" s="43">
        <f>COUNTIFS('Phản ánh'!$K$6:$K$505,$V112,'Phản ánh'!$A$6:$A$505,"?*",'Phản ánh'!$AE$6:$AE$505,"Đúng hạn",'Phản ánh'!$AA$6:$AA$505,"&gt;="&amp;(TDBC-30))+COUNTIFS('Kế hoạch'!$N$6:$N$305,$V112,'Kế hoạch'!$A$6:$A$305,"?*",'Kế hoạch'!$AH$6:$AH$305,"Đúng hạn",'Kế hoạch'!$X$6:$X$305,"&gt;="&amp;(TDBC-30))+COUNTIFS('Nhật ký tiến độ'!$K$6:$K$3005,$V112,'Nhật ký tiến độ'!$E$6:$E$3005,"Hoàn thành kỳ",'Nhật ký tiến độ'!$M$6:$M$3005,"Đúng hạn",'Nhật ký tiến độ'!$B$6:$B$3005,"&gt;="&amp;(TDBC-30))</f>
      </c>
      <c r="AT112" s="43">
        <f>COUNTIFS('Phản ánh'!$K$6:$K$505,$V112,'Phản ánh'!$A$6:$A$505,"?*",'Phản ánh'!$AE$6:$AE$505,"Trễ hạn",'Phản ánh'!$AA$6:$AA$505,"&gt;="&amp;(TDBC-30))+COUNTIFS('Kế hoạch'!$N$6:$N$305,$V112,'Kế hoạch'!$A$6:$A$305,"?*",'Kế hoạch'!$AH$6:$AH$305,"Trễ hạn",'Kế hoạch'!$X$6:$X$305,"&gt;="&amp;(TDBC-30))+COUNTIFS('Nhật ký tiến độ'!$K$6:$K$3005,$V112,'Nhật ký tiến độ'!$E$6:$E$3005,"Hoàn thành kỳ",'Nhật ký tiến độ'!$M$6:$M$3005,"Trễ hạn",'Nhật ký tiến độ'!$B$6:$B$3005,"&gt;="&amp;(TDBC-30))</f>
      </c>
    </row>
    <row r="113" ht="18" customHeight="1">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124">
        <f>IFERROR(IF(4&lt;=$AQ$107,INDEX('Phản ánh'!$K$6:$K$505,MATCH(4,'Phản ánh'!$AN$6:$AN$505,0)),INDEX('Kế hoạch'!$N$6:$N$305,MATCH(4-$AQ$107,'Kế hoạch'!$BA$6:$BA$305,0))),"")</f>
      </c>
      <c r="W113" s="125" t="n"/>
      <c r="X113" s="125" t="n"/>
      <c r="Y113" s="125" t="n"/>
      <c r="Z113" s="125" t="n"/>
      <c r="AA113" s="125" t="n"/>
      <c r="AB113" s="125" t="n"/>
      <c r="AC113" s="165">
        <f>IF($V113="","",COUNTIFS('Phản ánh'!$K$6:$K$505,$V113,'Phản ánh'!$V$6:$V$505,"&lt;&gt;Đã xử lý",'Phản ánh'!$A$6:$A$505,"?*")+COUNTIFS('Kế hoạch'!$N$6:$N$305,$V113,'Kế hoạch'!$A$6:$A$305,"?*",'Kế hoạch'!$B$6:$B$305,"Đột xuất",'Kế hoạch'!$AO$6:$AO$305,1)+COUNTIFS('Kế hoạch'!$N$6:$N$305,$V113,'Kế hoạch'!$A$6:$A$305,"?*",'Kế hoạch'!$B$6:$B$305,"Định kỳ",'Kế hoạch'!$AR$6:$AR$305,0,'Kế hoạch'!$AP$6:$AP$305,"&gt;0",'Kế hoạch'!$AP$6:$AP$305,"&lt;="&amp;(NgayBC+7)))</f>
      </c>
      <c r="AD113" s="125" t="n"/>
      <c r="AE113" s="126">
        <f>IF($V113="","",COUNTIFS('Phản ánh'!$K$6:$K$505,$V113,'Phản ánh'!$A$6:$A$505,"?*",'Phản ánh'!$Y$6:$Y$505,"Quá hạn")+COUNTIFS('Kế hoạch'!$N$6:$N$305,$V113,'Kế hoạch'!$A$6:$A$305,"?*",'Kế hoạch'!$AD$6:$AD$305,"Quá hạn"))</f>
      </c>
      <c r="AF113" s="125" t="n"/>
      <c r="AG113" s="126">
        <f>IF($V113="","",COUNTIFS('Phản ánh'!$K$6:$K$505,$V113,'Phản ánh'!$A$6:$A$505,"?*",'Phản ánh'!$AA$6:$AA$505,"&gt;="&amp;(TDBC-30))+COUNTIFS('Kế hoạch'!$N$6:$N$305,$V113,'Kế hoạch'!$A$6:$A$305,"?*",'Kế hoạch'!$B$6:$B$305,"Đột xuất",'Kế hoạch'!$AA$6:$AA$305,"Hoàn thành",'Kế hoạch'!$X$6:$X$305,"&gt;="&amp;(TDBC-30))+COUNTIFS('Nhật ký tiến độ'!$K$6:$K$3005,$V113,'Nhật ký tiến độ'!$E$6:$E$3005,"Hoàn thành kỳ",'Nhật ký tiến độ'!$B$6:$B$3005,"&gt;="&amp;(TDBC-30)))</f>
      </c>
      <c r="AH113" s="125" t="n"/>
      <c r="AI113" s="166">
        <f>IF(OR($V113="",$AR113=0),IF($V113="","","–"),IF(($AQ113/$AR113)&lt;1,MAX(1,ROUND(($AQ113/$AR113)*60,0))&amp;" phút",IF(ROUND(($AQ113/$AR113),0)&lt;24,ROUND(($AQ113/$AR113),0)&amp;" giờ",INT(ROUND(($AQ113/$AR113),0)/24)&amp;" ngày"&amp;IF(MOD(ROUND(($AQ113/$AR113),0),24)&gt;0," "&amp;MOD(ROUND(($AQ113/$AR113),0),24)&amp;" giờ",""))))</f>
      </c>
      <c r="AJ113" s="125" t="n"/>
      <c r="AK113" s="125" t="n"/>
      <c r="AL113" s="125" t="n"/>
      <c r="AM113" s="167">
        <f>IF($V113="","",IF($AS113+$AT113=0,"–",$AS113/($AS113+$AT113)))</f>
      </c>
      <c r="AN113" s="125" t="n"/>
      <c r="AO113" s="125" t="n"/>
      <c r="AP113" s="39" t="n"/>
      <c r="AQ113" s="43">
        <f>SUMIFS('Phản ánh'!$AI$6:$AI$505,'Phản ánh'!$K$6:$K$505,$V113,'Phản ánh'!$A$6:$A$505,"?*")+SUMIFS('Kế hoạch'!$AV$6:$AV$305,'Kế hoạch'!$N$6:$N$305,$V113,'Kế hoạch'!$A$6:$A$305,"?*",'Kế hoạch'!$B$6:$B$305,"Đột xuất")</f>
      </c>
      <c r="AR113" s="43">
        <f>COUNTIFS('Phản ánh'!$K$6:$K$505,$V113,'Phản ánh'!$A$6:$A$505,"?*",'Phản ánh'!$AI$6:$AI$505,"&gt;=0")+COUNTIFS('Kế hoạch'!$N$6:$N$305,$V113,'Kế hoạch'!$A$6:$A$305,"?*",'Kế hoạch'!$B$6:$B$305,"Đột xuất",'Kế hoạch'!$AV$6:$AV$305,"&gt;=0")</f>
      </c>
      <c r="AS113" s="43">
        <f>COUNTIFS('Phản ánh'!$K$6:$K$505,$V113,'Phản ánh'!$A$6:$A$505,"?*",'Phản ánh'!$AE$6:$AE$505,"Đúng hạn",'Phản ánh'!$AA$6:$AA$505,"&gt;="&amp;(TDBC-30))+COUNTIFS('Kế hoạch'!$N$6:$N$305,$V113,'Kế hoạch'!$A$6:$A$305,"?*",'Kế hoạch'!$AH$6:$AH$305,"Đúng hạn",'Kế hoạch'!$X$6:$X$305,"&gt;="&amp;(TDBC-30))+COUNTIFS('Nhật ký tiến độ'!$K$6:$K$3005,$V113,'Nhật ký tiến độ'!$E$6:$E$3005,"Hoàn thành kỳ",'Nhật ký tiến độ'!$M$6:$M$3005,"Đúng hạn",'Nhật ký tiến độ'!$B$6:$B$3005,"&gt;="&amp;(TDBC-30))</f>
      </c>
      <c r="AT113" s="43">
        <f>COUNTIFS('Phản ánh'!$K$6:$K$505,$V113,'Phản ánh'!$A$6:$A$505,"?*",'Phản ánh'!$AE$6:$AE$505,"Trễ hạn",'Phản ánh'!$AA$6:$AA$505,"&gt;="&amp;(TDBC-30))+COUNTIFS('Kế hoạch'!$N$6:$N$305,$V113,'Kế hoạch'!$A$6:$A$305,"?*",'Kế hoạch'!$AH$6:$AH$305,"Trễ hạn",'Kế hoạch'!$X$6:$X$305,"&gt;="&amp;(TDBC-30))+COUNTIFS('Nhật ký tiến độ'!$K$6:$K$3005,$V113,'Nhật ký tiến độ'!$E$6:$E$3005,"Hoàn thành kỳ",'Nhật ký tiến độ'!$M$6:$M$3005,"Trễ hạn",'Nhật ký tiến độ'!$B$6:$B$3005,"&gt;="&amp;(TDBC-30))</f>
      </c>
    </row>
    <row r="114" ht="20" customHeight="1">
      <c r="A114" s="39" t="n"/>
      <c r="B114" s="49" t="inlineStr">
        <is>
          <t>VƯỢT THỜI GIAN ƯỚC TÍNH</t>
        </is>
      </c>
      <c r="C114" s="46" t="n"/>
      <c r="D114" s="46" t="n"/>
      <c r="E114" s="46" t="n"/>
      <c r="F114" s="46" t="n"/>
      <c r="G114" s="46" t="n"/>
      <c r="H114" s="46" t="n"/>
      <c r="I114" s="46" t="n"/>
      <c r="J114" s="47" t="n"/>
      <c r="K114" s="39" t="n"/>
      <c r="L114" s="48" t="inlineStr">
        <is>
          <t>DEADLINE TRONG 48 GIỜ TỚI</t>
        </is>
      </c>
      <c r="M114" s="46" t="n"/>
      <c r="N114" s="46" t="n"/>
      <c r="O114" s="46" t="n"/>
      <c r="P114" s="46" t="n"/>
      <c r="Q114" s="46" t="n"/>
      <c r="R114" s="46" t="n"/>
      <c r="S114" s="46" t="n"/>
      <c r="T114" s="47" t="n"/>
      <c r="U114" s="39" t="n"/>
      <c r="V114" s="120">
        <f>IFERROR(IF(5&lt;=$AQ$107,INDEX('Phản ánh'!$K$6:$K$505,MATCH(5,'Phản ánh'!$AN$6:$AN$505,0)),INDEX('Kế hoạch'!$N$6:$N$305,MATCH(5-$AQ$107,'Kế hoạch'!$BA$6:$BA$305,0))),"")</f>
      </c>
      <c r="W114" s="121" t="n"/>
      <c r="X114" s="121" t="n"/>
      <c r="Y114" s="121" t="n"/>
      <c r="Z114" s="121" t="n"/>
      <c r="AA114" s="121" t="n"/>
      <c r="AB114" s="121" t="n"/>
      <c r="AC114" s="162">
        <f>IF($V114="","",COUNTIFS('Phản ánh'!$K$6:$K$505,$V114,'Phản ánh'!$V$6:$V$505,"&lt;&gt;Đã xử lý",'Phản ánh'!$A$6:$A$505,"?*")+COUNTIFS('Kế hoạch'!$N$6:$N$305,$V114,'Kế hoạch'!$A$6:$A$305,"?*",'Kế hoạch'!$B$6:$B$305,"Đột xuất",'Kế hoạch'!$AO$6:$AO$305,1)+COUNTIFS('Kế hoạch'!$N$6:$N$305,$V114,'Kế hoạch'!$A$6:$A$305,"?*",'Kế hoạch'!$B$6:$B$305,"Định kỳ",'Kế hoạch'!$AR$6:$AR$305,0,'Kế hoạch'!$AP$6:$AP$305,"&gt;0",'Kế hoạch'!$AP$6:$AP$305,"&lt;="&amp;(NgayBC+7)))</f>
      </c>
      <c r="AD114" s="121" t="n"/>
      <c r="AE114" s="122">
        <f>IF($V114="","",COUNTIFS('Phản ánh'!$K$6:$K$505,$V114,'Phản ánh'!$A$6:$A$505,"?*",'Phản ánh'!$Y$6:$Y$505,"Quá hạn")+COUNTIFS('Kế hoạch'!$N$6:$N$305,$V114,'Kế hoạch'!$A$6:$A$305,"?*",'Kế hoạch'!$AD$6:$AD$305,"Quá hạn"))</f>
      </c>
      <c r="AF114" s="121" t="n"/>
      <c r="AG114" s="122">
        <f>IF($V114="","",COUNTIFS('Phản ánh'!$K$6:$K$505,$V114,'Phản ánh'!$A$6:$A$505,"?*",'Phản ánh'!$AA$6:$AA$505,"&gt;="&amp;(TDBC-30))+COUNTIFS('Kế hoạch'!$N$6:$N$305,$V114,'Kế hoạch'!$A$6:$A$305,"?*",'Kế hoạch'!$B$6:$B$305,"Đột xuất",'Kế hoạch'!$AA$6:$AA$305,"Hoàn thành",'Kế hoạch'!$X$6:$X$305,"&gt;="&amp;(TDBC-30))+COUNTIFS('Nhật ký tiến độ'!$K$6:$K$3005,$V114,'Nhật ký tiến độ'!$E$6:$E$3005,"Hoàn thành kỳ",'Nhật ký tiến độ'!$B$6:$B$3005,"&gt;="&amp;(TDBC-30)))</f>
      </c>
      <c r="AH114" s="121" t="n"/>
      <c r="AI114" s="163">
        <f>IF(OR($V114="",$AR114=0),IF($V114="","","–"),IF(($AQ114/$AR114)&lt;1,MAX(1,ROUND(($AQ114/$AR114)*60,0))&amp;" phút",IF(ROUND(($AQ114/$AR114),0)&lt;24,ROUND(($AQ114/$AR114),0)&amp;" giờ",INT(ROUND(($AQ114/$AR114),0)/24)&amp;" ngày"&amp;IF(MOD(ROUND(($AQ114/$AR114),0),24)&gt;0," "&amp;MOD(ROUND(($AQ114/$AR114),0),24)&amp;" giờ",""))))</f>
      </c>
      <c r="AJ114" s="121" t="n"/>
      <c r="AK114" s="121" t="n"/>
      <c r="AL114" s="121" t="n"/>
      <c r="AM114" s="164">
        <f>IF($V114="","",IF($AS114+$AT114=0,"–",$AS114/($AS114+$AT114)))</f>
      </c>
      <c r="AN114" s="121" t="n"/>
      <c r="AO114" s="121" t="n"/>
      <c r="AP114" s="39" t="n"/>
      <c r="AQ114" s="43">
        <f>SUMIFS('Phản ánh'!$AI$6:$AI$505,'Phản ánh'!$K$6:$K$505,$V114,'Phản ánh'!$A$6:$A$505,"?*")+SUMIFS('Kế hoạch'!$AV$6:$AV$305,'Kế hoạch'!$N$6:$N$305,$V114,'Kế hoạch'!$A$6:$A$305,"?*",'Kế hoạch'!$B$6:$B$305,"Đột xuất")</f>
      </c>
      <c r="AR114" s="43">
        <f>COUNTIFS('Phản ánh'!$K$6:$K$505,$V114,'Phản ánh'!$A$6:$A$505,"?*",'Phản ánh'!$AI$6:$AI$505,"&gt;=0")+COUNTIFS('Kế hoạch'!$N$6:$N$305,$V114,'Kế hoạch'!$A$6:$A$305,"?*",'Kế hoạch'!$B$6:$B$305,"Đột xuất",'Kế hoạch'!$AV$6:$AV$305,"&gt;=0")</f>
      </c>
      <c r="AS114" s="43">
        <f>COUNTIFS('Phản ánh'!$K$6:$K$505,$V114,'Phản ánh'!$A$6:$A$505,"?*",'Phản ánh'!$AE$6:$AE$505,"Đúng hạn",'Phản ánh'!$AA$6:$AA$505,"&gt;="&amp;(TDBC-30))+COUNTIFS('Kế hoạch'!$N$6:$N$305,$V114,'Kế hoạch'!$A$6:$A$305,"?*",'Kế hoạch'!$AH$6:$AH$305,"Đúng hạn",'Kế hoạch'!$X$6:$X$305,"&gt;="&amp;(TDBC-30))+COUNTIFS('Nhật ký tiến độ'!$K$6:$K$3005,$V114,'Nhật ký tiến độ'!$E$6:$E$3005,"Hoàn thành kỳ",'Nhật ký tiến độ'!$M$6:$M$3005,"Đúng hạn",'Nhật ký tiến độ'!$B$6:$B$3005,"&gt;="&amp;(TDBC-30))</f>
      </c>
      <c r="AT114" s="43">
        <f>COUNTIFS('Phản ánh'!$K$6:$K$505,$V114,'Phản ánh'!$A$6:$A$505,"?*",'Phản ánh'!$AE$6:$AE$505,"Trễ hạn",'Phản ánh'!$AA$6:$AA$505,"&gt;="&amp;(TDBC-30))+COUNTIFS('Kế hoạch'!$N$6:$N$305,$V114,'Kế hoạch'!$A$6:$A$305,"?*",'Kế hoạch'!$AH$6:$AH$305,"Trễ hạn",'Kế hoạch'!$X$6:$X$305,"&gt;="&amp;(TDBC-30))+COUNTIFS('Nhật ký tiến độ'!$K$6:$K$3005,$V114,'Nhật ký tiến độ'!$E$6:$E$3005,"Hoàn thành kỳ",'Nhật ký tiến độ'!$M$6:$M$3005,"Trễ hạn",'Nhật ký tiến độ'!$B$6:$B$3005,"&gt;="&amp;(TDBC-30))</f>
      </c>
    </row>
    <row r="115" ht="20" customHeight="1">
      <c r="A115" s="39" t="n"/>
      <c r="B115" s="57">
        <f>COUNTIFS('Phản ánh'!$AC$6:$AC$505,"Vượt*",'Phản ánh'!$AA$6:$AA$505,"&gt;="&amp;(TDBC-30))+COUNTIFS('Kế hoạch'!$B$6:$B$305,"Đột xuất",'Kế hoạch'!$AF$6:$AF$305,"Vượt*",'Kế hoạch'!$X$6:$X$305,"&gt;="&amp;(TDBC-30))</f>
      </c>
      <c r="C115" s="54" t="n"/>
      <c r="D115" s="54" t="n"/>
      <c r="E115" s="54" t="n"/>
      <c r="F115" s="54" t="n"/>
      <c r="G115" s="54" t="n"/>
      <c r="H115" s="54" t="n"/>
      <c r="I115" s="54" t="n"/>
      <c r="J115" s="55" t="n"/>
      <c r="K115" s="39" t="n"/>
      <c r="L115" s="56">
        <f>COUNTIFS('Phản ánh'!$V$6:$V$505,"&lt;&gt;Đã xử lý",'Phản ánh'!$A$6:$A$505,"?*",'Phản ánh'!$U$6:$U$505,"&gt;="&amp;TDBC,'Phản ánh'!$U$6:$U$505,"&lt;="&amp;(TDBC+2))+COUNTIFS('Kế hoạch'!$B$6:$B$305,"Đột xuất",'Kế hoạch'!$AO$6:$AO$305,1,'Kế hoạch'!$AY$6:$AY$305,"&gt;="&amp;TDBC,'Kế hoạch'!$AY$6:$AY$305,"&lt;="&amp;(TDBC+2))</f>
      </c>
      <c r="M115" s="54" t="n"/>
      <c r="N115" s="54" t="n"/>
      <c r="O115" s="54" t="n"/>
      <c r="P115" s="54" t="n"/>
      <c r="Q115" s="54" t="n"/>
      <c r="R115" s="54" t="n"/>
      <c r="S115" s="54" t="n"/>
      <c r="T115" s="55" t="n"/>
      <c r="U115" s="39" t="n"/>
      <c r="V115" s="124">
        <f>IFERROR(IF(6&lt;=$AQ$107,INDEX('Phản ánh'!$K$6:$K$505,MATCH(6,'Phản ánh'!$AN$6:$AN$505,0)),INDEX('Kế hoạch'!$N$6:$N$305,MATCH(6-$AQ$107,'Kế hoạch'!$BA$6:$BA$305,0))),"")</f>
      </c>
      <c r="W115" s="125" t="n"/>
      <c r="X115" s="125" t="n"/>
      <c r="Y115" s="125" t="n"/>
      <c r="Z115" s="125" t="n"/>
      <c r="AA115" s="125" t="n"/>
      <c r="AB115" s="125" t="n"/>
      <c r="AC115" s="165">
        <f>IF($V115="","",COUNTIFS('Phản ánh'!$K$6:$K$505,$V115,'Phản ánh'!$V$6:$V$505,"&lt;&gt;Đã xử lý",'Phản ánh'!$A$6:$A$505,"?*")+COUNTIFS('Kế hoạch'!$N$6:$N$305,$V115,'Kế hoạch'!$A$6:$A$305,"?*",'Kế hoạch'!$B$6:$B$305,"Đột xuất",'Kế hoạch'!$AO$6:$AO$305,1)+COUNTIFS('Kế hoạch'!$N$6:$N$305,$V115,'Kế hoạch'!$A$6:$A$305,"?*",'Kế hoạch'!$B$6:$B$305,"Định kỳ",'Kế hoạch'!$AR$6:$AR$305,0,'Kế hoạch'!$AP$6:$AP$305,"&gt;0",'Kế hoạch'!$AP$6:$AP$305,"&lt;="&amp;(NgayBC+7)))</f>
      </c>
      <c r="AD115" s="125" t="n"/>
      <c r="AE115" s="126">
        <f>IF($V115="","",COUNTIFS('Phản ánh'!$K$6:$K$505,$V115,'Phản ánh'!$A$6:$A$505,"?*",'Phản ánh'!$Y$6:$Y$505,"Quá hạn")+COUNTIFS('Kế hoạch'!$N$6:$N$305,$V115,'Kế hoạch'!$A$6:$A$305,"?*",'Kế hoạch'!$AD$6:$AD$305,"Quá hạn"))</f>
      </c>
      <c r="AF115" s="125" t="n"/>
      <c r="AG115" s="126">
        <f>IF($V115="","",COUNTIFS('Phản ánh'!$K$6:$K$505,$V115,'Phản ánh'!$A$6:$A$505,"?*",'Phản ánh'!$AA$6:$AA$505,"&gt;="&amp;(TDBC-30))+COUNTIFS('Kế hoạch'!$N$6:$N$305,$V115,'Kế hoạch'!$A$6:$A$305,"?*",'Kế hoạch'!$B$6:$B$305,"Đột xuất",'Kế hoạch'!$AA$6:$AA$305,"Hoàn thành",'Kế hoạch'!$X$6:$X$305,"&gt;="&amp;(TDBC-30))+COUNTIFS('Nhật ký tiến độ'!$K$6:$K$3005,$V115,'Nhật ký tiến độ'!$E$6:$E$3005,"Hoàn thành kỳ",'Nhật ký tiến độ'!$B$6:$B$3005,"&gt;="&amp;(TDBC-30)))</f>
      </c>
      <c r="AH115" s="125" t="n"/>
      <c r="AI115" s="166">
        <f>IF(OR($V115="",$AR115=0),IF($V115="","","–"),IF(($AQ115/$AR115)&lt;1,MAX(1,ROUND(($AQ115/$AR115)*60,0))&amp;" phút",IF(ROUND(($AQ115/$AR115),0)&lt;24,ROUND(($AQ115/$AR115),0)&amp;" giờ",INT(ROUND(($AQ115/$AR115),0)/24)&amp;" ngày"&amp;IF(MOD(ROUND(($AQ115/$AR115),0),24)&gt;0," "&amp;MOD(ROUND(($AQ115/$AR115),0),24)&amp;" giờ",""))))</f>
      </c>
      <c r="AJ115" s="125" t="n"/>
      <c r="AK115" s="125" t="n"/>
      <c r="AL115" s="125" t="n"/>
      <c r="AM115" s="167">
        <f>IF($V115="","",IF($AS115+$AT115=0,"–",$AS115/($AS115+$AT115)))</f>
      </c>
      <c r="AN115" s="125" t="n"/>
      <c r="AO115" s="125" t="n"/>
      <c r="AP115" s="39" t="n"/>
      <c r="AQ115" s="43">
        <f>SUMIFS('Phản ánh'!$AI$6:$AI$505,'Phản ánh'!$K$6:$K$505,$V115,'Phản ánh'!$A$6:$A$505,"?*")+SUMIFS('Kế hoạch'!$AV$6:$AV$305,'Kế hoạch'!$N$6:$N$305,$V115,'Kế hoạch'!$A$6:$A$305,"?*",'Kế hoạch'!$B$6:$B$305,"Đột xuất")</f>
      </c>
      <c r="AR115" s="43">
        <f>COUNTIFS('Phản ánh'!$K$6:$K$505,$V115,'Phản ánh'!$A$6:$A$505,"?*",'Phản ánh'!$AI$6:$AI$505,"&gt;=0")+COUNTIFS('Kế hoạch'!$N$6:$N$305,$V115,'Kế hoạch'!$A$6:$A$305,"?*",'Kế hoạch'!$B$6:$B$305,"Đột xuất",'Kế hoạch'!$AV$6:$AV$305,"&gt;=0")</f>
      </c>
      <c r="AS115" s="43">
        <f>COUNTIFS('Phản ánh'!$K$6:$K$505,$V115,'Phản ánh'!$A$6:$A$505,"?*",'Phản ánh'!$AE$6:$AE$505,"Đúng hạn",'Phản ánh'!$AA$6:$AA$505,"&gt;="&amp;(TDBC-30))+COUNTIFS('Kế hoạch'!$N$6:$N$305,$V115,'Kế hoạch'!$A$6:$A$305,"?*",'Kế hoạch'!$AH$6:$AH$305,"Đúng hạn",'Kế hoạch'!$X$6:$X$305,"&gt;="&amp;(TDBC-30))+COUNTIFS('Nhật ký tiến độ'!$K$6:$K$3005,$V115,'Nhật ký tiến độ'!$E$6:$E$3005,"Hoàn thành kỳ",'Nhật ký tiến độ'!$M$6:$M$3005,"Đúng hạn",'Nhật ký tiến độ'!$B$6:$B$3005,"&gt;="&amp;(TDBC-30))</f>
      </c>
      <c r="AT115" s="43">
        <f>COUNTIFS('Phản ánh'!$K$6:$K$505,$V115,'Phản ánh'!$A$6:$A$505,"?*",'Phản ánh'!$AE$6:$AE$505,"Trễ hạn",'Phản ánh'!$AA$6:$AA$505,"&gt;="&amp;(TDBC-30))+COUNTIFS('Kế hoạch'!$N$6:$N$305,$V115,'Kế hoạch'!$A$6:$A$305,"?*",'Kế hoạch'!$AH$6:$AH$305,"Trễ hạn",'Kế hoạch'!$X$6:$X$305,"&gt;="&amp;(TDBC-30))+COUNTIFS('Nhật ký tiến độ'!$K$6:$K$3005,$V115,'Nhật ký tiến độ'!$E$6:$E$3005,"Hoàn thành kỳ",'Nhật ký tiến độ'!$M$6:$M$3005,"Trễ hạn",'Nhật ký tiến độ'!$B$6:$B$3005,"&gt;="&amp;(TDBC-30))</f>
      </c>
    </row>
    <row r="116" ht="20" customHeight="1">
      <c r="A116" s="39" t="n"/>
      <c r="B116" s="63" t="n"/>
      <c r="C116" s="54" t="n"/>
      <c r="D116" s="54" t="n"/>
      <c r="E116" s="54" t="n"/>
      <c r="F116" s="54" t="n"/>
      <c r="G116" s="54" t="n"/>
      <c r="H116" s="54" t="n"/>
      <c r="I116" s="54" t="n"/>
      <c r="J116" s="55" t="n"/>
      <c r="K116" s="39" t="n"/>
      <c r="L116" s="62" t="n"/>
      <c r="M116" s="54" t="n"/>
      <c r="N116" s="54" t="n"/>
      <c r="O116" s="54" t="n"/>
      <c r="P116" s="54" t="n"/>
      <c r="Q116" s="54" t="n"/>
      <c r="R116" s="54" t="n"/>
      <c r="S116" s="54" t="n"/>
      <c r="T116" s="55" t="n"/>
      <c r="U116" s="39" t="n"/>
      <c r="V116" s="120">
        <f>IFERROR(IF(7&lt;=$AQ$107,INDEX('Phản ánh'!$K$6:$K$505,MATCH(7,'Phản ánh'!$AN$6:$AN$505,0)),INDEX('Kế hoạch'!$N$6:$N$305,MATCH(7-$AQ$107,'Kế hoạch'!$BA$6:$BA$305,0))),"")</f>
      </c>
      <c r="W116" s="121" t="n"/>
      <c r="X116" s="121" t="n"/>
      <c r="Y116" s="121" t="n"/>
      <c r="Z116" s="121" t="n"/>
      <c r="AA116" s="121" t="n"/>
      <c r="AB116" s="121" t="n"/>
      <c r="AC116" s="162">
        <f>IF($V116="","",COUNTIFS('Phản ánh'!$K$6:$K$505,$V116,'Phản ánh'!$V$6:$V$505,"&lt;&gt;Đã xử lý",'Phản ánh'!$A$6:$A$505,"?*")+COUNTIFS('Kế hoạch'!$N$6:$N$305,$V116,'Kế hoạch'!$A$6:$A$305,"?*",'Kế hoạch'!$B$6:$B$305,"Đột xuất",'Kế hoạch'!$AO$6:$AO$305,1)+COUNTIFS('Kế hoạch'!$N$6:$N$305,$V116,'Kế hoạch'!$A$6:$A$305,"?*",'Kế hoạch'!$B$6:$B$305,"Định kỳ",'Kế hoạch'!$AR$6:$AR$305,0,'Kế hoạch'!$AP$6:$AP$305,"&gt;0",'Kế hoạch'!$AP$6:$AP$305,"&lt;="&amp;(NgayBC+7)))</f>
      </c>
      <c r="AD116" s="121" t="n"/>
      <c r="AE116" s="122">
        <f>IF($V116="","",COUNTIFS('Phản ánh'!$K$6:$K$505,$V116,'Phản ánh'!$A$6:$A$505,"?*",'Phản ánh'!$Y$6:$Y$505,"Quá hạn")+COUNTIFS('Kế hoạch'!$N$6:$N$305,$V116,'Kế hoạch'!$A$6:$A$305,"?*",'Kế hoạch'!$AD$6:$AD$305,"Quá hạn"))</f>
      </c>
      <c r="AF116" s="121" t="n"/>
      <c r="AG116" s="122">
        <f>IF($V116="","",COUNTIFS('Phản ánh'!$K$6:$K$505,$V116,'Phản ánh'!$A$6:$A$505,"?*",'Phản ánh'!$AA$6:$AA$505,"&gt;="&amp;(TDBC-30))+COUNTIFS('Kế hoạch'!$N$6:$N$305,$V116,'Kế hoạch'!$A$6:$A$305,"?*",'Kế hoạch'!$B$6:$B$305,"Đột xuất",'Kế hoạch'!$AA$6:$AA$305,"Hoàn thành",'Kế hoạch'!$X$6:$X$305,"&gt;="&amp;(TDBC-30))+COUNTIFS('Nhật ký tiến độ'!$K$6:$K$3005,$V116,'Nhật ký tiến độ'!$E$6:$E$3005,"Hoàn thành kỳ",'Nhật ký tiến độ'!$B$6:$B$3005,"&gt;="&amp;(TDBC-30)))</f>
      </c>
      <c r="AH116" s="121" t="n"/>
      <c r="AI116" s="163">
        <f>IF(OR($V116="",$AR116=0),IF($V116="","","–"),IF(($AQ116/$AR116)&lt;1,MAX(1,ROUND(($AQ116/$AR116)*60,0))&amp;" phút",IF(ROUND(($AQ116/$AR116),0)&lt;24,ROUND(($AQ116/$AR116),0)&amp;" giờ",INT(ROUND(($AQ116/$AR116),0)/24)&amp;" ngày"&amp;IF(MOD(ROUND(($AQ116/$AR116),0),24)&gt;0," "&amp;MOD(ROUND(($AQ116/$AR116),0),24)&amp;" giờ",""))))</f>
      </c>
      <c r="AJ116" s="121" t="n"/>
      <c r="AK116" s="121" t="n"/>
      <c r="AL116" s="121" t="n"/>
      <c r="AM116" s="164">
        <f>IF($V116="","",IF($AS116+$AT116=0,"–",$AS116/($AS116+$AT116)))</f>
      </c>
      <c r="AN116" s="121" t="n"/>
      <c r="AO116" s="121" t="n"/>
      <c r="AP116" s="39" t="n"/>
      <c r="AQ116" s="43">
        <f>SUMIFS('Phản ánh'!$AI$6:$AI$505,'Phản ánh'!$K$6:$K$505,$V116,'Phản ánh'!$A$6:$A$505,"?*")+SUMIFS('Kế hoạch'!$AV$6:$AV$305,'Kế hoạch'!$N$6:$N$305,$V116,'Kế hoạch'!$A$6:$A$305,"?*",'Kế hoạch'!$B$6:$B$305,"Đột xuất")</f>
      </c>
      <c r="AR116" s="43">
        <f>COUNTIFS('Phản ánh'!$K$6:$K$505,$V116,'Phản ánh'!$A$6:$A$505,"?*",'Phản ánh'!$AI$6:$AI$505,"&gt;=0")+COUNTIFS('Kế hoạch'!$N$6:$N$305,$V116,'Kế hoạch'!$A$6:$A$305,"?*",'Kế hoạch'!$B$6:$B$305,"Đột xuất",'Kế hoạch'!$AV$6:$AV$305,"&gt;=0")</f>
      </c>
      <c r="AS116" s="43">
        <f>COUNTIFS('Phản ánh'!$K$6:$K$505,$V116,'Phản ánh'!$A$6:$A$505,"?*",'Phản ánh'!$AE$6:$AE$505,"Đúng hạn",'Phản ánh'!$AA$6:$AA$505,"&gt;="&amp;(TDBC-30))+COUNTIFS('Kế hoạch'!$N$6:$N$305,$V116,'Kế hoạch'!$A$6:$A$305,"?*",'Kế hoạch'!$AH$6:$AH$305,"Đúng hạn",'Kế hoạch'!$X$6:$X$305,"&gt;="&amp;(TDBC-30))+COUNTIFS('Nhật ký tiến độ'!$K$6:$K$3005,$V116,'Nhật ký tiến độ'!$E$6:$E$3005,"Hoàn thành kỳ",'Nhật ký tiến độ'!$M$6:$M$3005,"Đúng hạn",'Nhật ký tiến độ'!$B$6:$B$3005,"&gt;="&amp;(TDBC-30))</f>
      </c>
      <c r="AT116" s="43">
        <f>COUNTIFS('Phản ánh'!$K$6:$K$505,$V116,'Phản ánh'!$A$6:$A$505,"?*",'Phản ánh'!$AE$6:$AE$505,"Trễ hạn",'Phản ánh'!$AA$6:$AA$505,"&gt;="&amp;(TDBC-30))+COUNTIFS('Kế hoạch'!$N$6:$N$305,$V116,'Kế hoạch'!$A$6:$A$305,"?*",'Kế hoạch'!$AH$6:$AH$305,"Trễ hạn",'Kế hoạch'!$X$6:$X$305,"&gt;="&amp;(TDBC-30))+COUNTIFS('Nhật ký tiến độ'!$K$6:$K$3005,$V116,'Nhật ký tiến độ'!$E$6:$E$3005,"Hoàn thành kỳ",'Nhật ký tiến độ'!$M$6:$M$3005,"Trễ hạn",'Nhật ký tiến độ'!$B$6:$B$3005,"&gt;="&amp;(TDBC-30))</f>
      </c>
    </row>
    <row r="117" ht="26" customHeight="1">
      <c r="A117" s="39" t="n"/>
      <c r="B117" s="71">
        <f>"trên "&amp;$AT$109&amp;" đầu việc xong có ước tính"</f>
      </c>
      <c r="C117" s="68" t="n"/>
      <c r="D117" s="68" t="n"/>
      <c r="E117" s="68" t="n"/>
      <c r="F117" s="68" t="n"/>
      <c r="G117" s="68" t="n"/>
      <c r="H117" s="68" t="n"/>
      <c r="I117" s="68" t="n"/>
      <c r="J117" s="69" t="n"/>
      <c r="K117" s="39" t="n"/>
      <c r="L117" s="70" t="inlineStr">
        <is>
          <t>phản ánh và việc đột xuất chưa xong</t>
        </is>
      </c>
      <c r="M117" s="68" t="n"/>
      <c r="N117" s="68" t="n"/>
      <c r="O117" s="68" t="n"/>
      <c r="P117" s="68" t="n"/>
      <c r="Q117" s="68" t="n"/>
      <c r="R117" s="68" t="n"/>
      <c r="S117" s="68" t="n"/>
      <c r="T117" s="69" t="n"/>
      <c r="U117" s="39" t="n"/>
      <c r="V117" s="124">
        <f>IFERROR(IF(8&lt;=$AQ$107,INDEX('Phản ánh'!$K$6:$K$505,MATCH(8,'Phản ánh'!$AN$6:$AN$505,0)),INDEX('Kế hoạch'!$N$6:$N$305,MATCH(8-$AQ$107,'Kế hoạch'!$BA$6:$BA$305,0))),"")</f>
      </c>
      <c r="W117" s="125" t="n"/>
      <c r="X117" s="125" t="n"/>
      <c r="Y117" s="125" t="n"/>
      <c r="Z117" s="125" t="n"/>
      <c r="AA117" s="125" t="n"/>
      <c r="AB117" s="125" t="n"/>
      <c r="AC117" s="165">
        <f>IF($V117="","",COUNTIFS('Phản ánh'!$K$6:$K$505,$V117,'Phản ánh'!$V$6:$V$505,"&lt;&gt;Đã xử lý",'Phản ánh'!$A$6:$A$505,"?*")+COUNTIFS('Kế hoạch'!$N$6:$N$305,$V117,'Kế hoạch'!$A$6:$A$305,"?*",'Kế hoạch'!$B$6:$B$305,"Đột xuất",'Kế hoạch'!$AO$6:$AO$305,1)+COUNTIFS('Kế hoạch'!$N$6:$N$305,$V117,'Kế hoạch'!$A$6:$A$305,"?*",'Kế hoạch'!$B$6:$B$305,"Định kỳ",'Kế hoạch'!$AR$6:$AR$305,0,'Kế hoạch'!$AP$6:$AP$305,"&gt;0",'Kế hoạch'!$AP$6:$AP$305,"&lt;="&amp;(NgayBC+7)))</f>
      </c>
      <c r="AD117" s="125" t="n"/>
      <c r="AE117" s="126">
        <f>IF($V117="","",COUNTIFS('Phản ánh'!$K$6:$K$505,$V117,'Phản ánh'!$A$6:$A$505,"?*",'Phản ánh'!$Y$6:$Y$505,"Quá hạn")+COUNTIFS('Kế hoạch'!$N$6:$N$305,$V117,'Kế hoạch'!$A$6:$A$305,"?*",'Kế hoạch'!$AD$6:$AD$305,"Quá hạn"))</f>
      </c>
      <c r="AF117" s="125" t="n"/>
      <c r="AG117" s="126">
        <f>IF($V117="","",COUNTIFS('Phản ánh'!$K$6:$K$505,$V117,'Phản ánh'!$A$6:$A$505,"?*",'Phản ánh'!$AA$6:$AA$505,"&gt;="&amp;(TDBC-30))+COUNTIFS('Kế hoạch'!$N$6:$N$305,$V117,'Kế hoạch'!$A$6:$A$305,"?*",'Kế hoạch'!$B$6:$B$305,"Đột xuất",'Kế hoạch'!$AA$6:$AA$305,"Hoàn thành",'Kế hoạch'!$X$6:$X$305,"&gt;="&amp;(TDBC-30))+COUNTIFS('Nhật ký tiến độ'!$K$6:$K$3005,$V117,'Nhật ký tiến độ'!$E$6:$E$3005,"Hoàn thành kỳ",'Nhật ký tiến độ'!$B$6:$B$3005,"&gt;="&amp;(TDBC-30)))</f>
      </c>
      <c r="AH117" s="125" t="n"/>
      <c r="AI117" s="166">
        <f>IF(OR($V117="",$AR117=0),IF($V117="","","–"),IF(($AQ117/$AR117)&lt;1,MAX(1,ROUND(($AQ117/$AR117)*60,0))&amp;" phút",IF(ROUND(($AQ117/$AR117),0)&lt;24,ROUND(($AQ117/$AR117),0)&amp;" giờ",INT(ROUND(($AQ117/$AR117),0)/24)&amp;" ngày"&amp;IF(MOD(ROUND(($AQ117/$AR117),0),24)&gt;0," "&amp;MOD(ROUND(($AQ117/$AR117),0),24)&amp;" giờ",""))))</f>
      </c>
      <c r="AJ117" s="125" t="n"/>
      <c r="AK117" s="125" t="n"/>
      <c r="AL117" s="125" t="n"/>
      <c r="AM117" s="167">
        <f>IF($V117="","",IF($AS117+$AT117=0,"–",$AS117/($AS117+$AT117)))</f>
      </c>
      <c r="AN117" s="125" t="n"/>
      <c r="AO117" s="125" t="n"/>
      <c r="AP117" s="39" t="n"/>
      <c r="AQ117" s="43">
        <f>SUMIFS('Phản ánh'!$AI$6:$AI$505,'Phản ánh'!$K$6:$K$505,$V117,'Phản ánh'!$A$6:$A$505,"?*")+SUMIFS('Kế hoạch'!$AV$6:$AV$305,'Kế hoạch'!$N$6:$N$305,$V117,'Kế hoạch'!$A$6:$A$305,"?*",'Kế hoạch'!$B$6:$B$305,"Đột xuất")</f>
      </c>
      <c r="AR117" s="43">
        <f>COUNTIFS('Phản ánh'!$K$6:$K$505,$V117,'Phản ánh'!$A$6:$A$505,"?*",'Phản ánh'!$AI$6:$AI$505,"&gt;=0")+COUNTIFS('Kế hoạch'!$N$6:$N$305,$V117,'Kế hoạch'!$A$6:$A$305,"?*",'Kế hoạch'!$B$6:$B$305,"Đột xuất",'Kế hoạch'!$AV$6:$AV$305,"&gt;=0")</f>
      </c>
      <c r="AS117" s="43">
        <f>COUNTIFS('Phản ánh'!$K$6:$K$505,$V117,'Phản ánh'!$A$6:$A$505,"?*",'Phản ánh'!$AE$6:$AE$505,"Đúng hạn",'Phản ánh'!$AA$6:$AA$505,"&gt;="&amp;(TDBC-30))+COUNTIFS('Kế hoạch'!$N$6:$N$305,$V117,'Kế hoạch'!$A$6:$A$305,"?*",'Kế hoạch'!$AH$6:$AH$305,"Đúng hạn",'Kế hoạch'!$X$6:$X$305,"&gt;="&amp;(TDBC-30))+COUNTIFS('Nhật ký tiến độ'!$K$6:$K$3005,$V117,'Nhật ký tiến độ'!$E$6:$E$3005,"Hoàn thành kỳ",'Nhật ký tiến độ'!$M$6:$M$3005,"Đúng hạn",'Nhật ký tiến độ'!$B$6:$B$3005,"&gt;="&amp;(TDBC-30))</f>
      </c>
      <c r="AT117" s="43">
        <f>COUNTIFS('Phản ánh'!$K$6:$K$505,$V117,'Phản ánh'!$A$6:$A$505,"?*",'Phản ánh'!$AE$6:$AE$505,"Trễ hạn",'Phản ánh'!$AA$6:$AA$505,"&gt;="&amp;(TDBC-30))+COUNTIFS('Kế hoạch'!$N$6:$N$305,$V117,'Kế hoạch'!$A$6:$A$305,"?*",'Kế hoạch'!$AH$6:$AH$305,"Trễ hạn",'Kế hoạch'!$X$6:$X$305,"&gt;="&amp;(TDBC-30))+COUNTIFS('Nhật ký tiến độ'!$K$6:$K$3005,$V117,'Nhật ký tiến độ'!$E$6:$E$3005,"Hoàn thành kỳ",'Nhật ký tiến độ'!$M$6:$M$3005,"Trễ hạn",'Nhật ký tiến độ'!$B$6:$B$3005,"&gt;="&amp;(TDBC-30))</f>
      </c>
    </row>
    <row r="118" ht="18" customHeight="1">
      <c r="A118" s="39" t="n"/>
      <c r="B118" s="39" t="n"/>
      <c r="C118" s="39" t="n"/>
      <c r="D118" s="39" t="n"/>
      <c r="E118" s="39" t="n"/>
      <c r="F118" s="39" t="n"/>
      <c r="G118" s="39" t="n"/>
      <c r="H118" s="39" t="n"/>
      <c r="I118" s="39" t="n"/>
      <c r="J118" s="39" t="n"/>
      <c r="K118" s="39" t="n"/>
      <c r="L118" s="39" t="n"/>
      <c r="M118" s="39" t="n"/>
      <c r="N118" s="39" t="n"/>
      <c r="O118" s="39" t="n"/>
      <c r="P118" s="39" t="n"/>
      <c r="Q118" s="39" t="n"/>
      <c r="R118" s="39" t="n"/>
      <c r="S118" s="39" t="n"/>
      <c r="T118" s="39" t="n"/>
      <c r="U118" s="39" t="n"/>
      <c r="V118" s="120">
        <f>IFERROR(IF(9&lt;=$AQ$107,INDEX('Phản ánh'!$K$6:$K$505,MATCH(9,'Phản ánh'!$AN$6:$AN$505,0)),INDEX('Kế hoạch'!$N$6:$N$305,MATCH(9-$AQ$107,'Kế hoạch'!$BA$6:$BA$305,0))),"")</f>
      </c>
      <c r="W118" s="121" t="n"/>
      <c r="X118" s="121" t="n"/>
      <c r="Y118" s="121" t="n"/>
      <c r="Z118" s="121" t="n"/>
      <c r="AA118" s="121" t="n"/>
      <c r="AB118" s="121" t="n"/>
      <c r="AC118" s="162">
        <f>IF($V118="","",COUNTIFS('Phản ánh'!$K$6:$K$505,$V118,'Phản ánh'!$V$6:$V$505,"&lt;&gt;Đã xử lý",'Phản ánh'!$A$6:$A$505,"?*")+COUNTIFS('Kế hoạch'!$N$6:$N$305,$V118,'Kế hoạch'!$A$6:$A$305,"?*",'Kế hoạch'!$B$6:$B$305,"Đột xuất",'Kế hoạch'!$AO$6:$AO$305,1)+COUNTIFS('Kế hoạch'!$N$6:$N$305,$V118,'Kế hoạch'!$A$6:$A$305,"?*",'Kế hoạch'!$B$6:$B$305,"Định kỳ",'Kế hoạch'!$AR$6:$AR$305,0,'Kế hoạch'!$AP$6:$AP$305,"&gt;0",'Kế hoạch'!$AP$6:$AP$305,"&lt;="&amp;(NgayBC+7)))</f>
      </c>
      <c r="AD118" s="121" t="n"/>
      <c r="AE118" s="122">
        <f>IF($V118="","",COUNTIFS('Phản ánh'!$K$6:$K$505,$V118,'Phản ánh'!$A$6:$A$505,"?*",'Phản ánh'!$Y$6:$Y$505,"Quá hạn")+COUNTIFS('Kế hoạch'!$N$6:$N$305,$V118,'Kế hoạch'!$A$6:$A$305,"?*",'Kế hoạch'!$AD$6:$AD$305,"Quá hạn"))</f>
      </c>
      <c r="AF118" s="121" t="n"/>
      <c r="AG118" s="122">
        <f>IF($V118="","",COUNTIFS('Phản ánh'!$K$6:$K$505,$V118,'Phản ánh'!$A$6:$A$505,"?*",'Phản ánh'!$AA$6:$AA$505,"&gt;="&amp;(TDBC-30))+COUNTIFS('Kế hoạch'!$N$6:$N$305,$V118,'Kế hoạch'!$A$6:$A$305,"?*",'Kế hoạch'!$B$6:$B$305,"Đột xuất",'Kế hoạch'!$AA$6:$AA$305,"Hoàn thành",'Kế hoạch'!$X$6:$X$305,"&gt;="&amp;(TDBC-30))+COUNTIFS('Nhật ký tiến độ'!$K$6:$K$3005,$V118,'Nhật ký tiến độ'!$E$6:$E$3005,"Hoàn thành kỳ",'Nhật ký tiến độ'!$B$6:$B$3005,"&gt;="&amp;(TDBC-30)))</f>
      </c>
      <c r="AH118" s="121" t="n"/>
      <c r="AI118" s="163">
        <f>IF(OR($V118="",$AR118=0),IF($V118="","","–"),IF(($AQ118/$AR118)&lt;1,MAX(1,ROUND(($AQ118/$AR118)*60,0))&amp;" phút",IF(ROUND(($AQ118/$AR118),0)&lt;24,ROUND(($AQ118/$AR118),0)&amp;" giờ",INT(ROUND(($AQ118/$AR118),0)/24)&amp;" ngày"&amp;IF(MOD(ROUND(($AQ118/$AR118),0),24)&gt;0," "&amp;MOD(ROUND(($AQ118/$AR118),0),24)&amp;" giờ",""))))</f>
      </c>
      <c r="AJ118" s="121" t="n"/>
      <c r="AK118" s="121" t="n"/>
      <c r="AL118" s="121" t="n"/>
      <c r="AM118" s="164">
        <f>IF($V118="","",IF($AS118+$AT118=0,"–",$AS118/($AS118+$AT118)))</f>
      </c>
      <c r="AN118" s="121" t="n"/>
      <c r="AO118" s="121" t="n"/>
      <c r="AP118" s="39" t="n"/>
      <c r="AQ118" s="43">
        <f>SUMIFS('Phản ánh'!$AI$6:$AI$505,'Phản ánh'!$K$6:$K$505,$V118,'Phản ánh'!$A$6:$A$505,"?*")+SUMIFS('Kế hoạch'!$AV$6:$AV$305,'Kế hoạch'!$N$6:$N$305,$V118,'Kế hoạch'!$A$6:$A$305,"?*",'Kế hoạch'!$B$6:$B$305,"Đột xuất")</f>
      </c>
      <c r="AR118" s="43">
        <f>COUNTIFS('Phản ánh'!$K$6:$K$505,$V118,'Phản ánh'!$A$6:$A$505,"?*",'Phản ánh'!$AI$6:$AI$505,"&gt;=0")+COUNTIFS('Kế hoạch'!$N$6:$N$305,$V118,'Kế hoạch'!$A$6:$A$305,"?*",'Kế hoạch'!$B$6:$B$305,"Đột xuất",'Kế hoạch'!$AV$6:$AV$305,"&gt;=0")</f>
      </c>
      <c r="AS118" s="43">
        <f>COUNTIFS('Phản ánh'!$K$6:$K$505,$V118,'Phản ánh'!$A$6:$A$505,"?*",'Phản ánh'!$AE$6:$AE$505,"Đúng hạn",'Phản ánh'!$AA$6:$AA$505,"&gt;="&amp;(TDBC-30))+COUNTIFS('Kế hoạch'!$N$6:$N$305,$V118,'Kế hoạch'!$A$6:$A$305,"?*",'Kế hoạch'!$AH$6:$AH$305,"Đúng hạn",'Kế hoạch'!$X$6:$X$305,"&gt;="&amp;(TDBC-30))+COUNTIFS('Nhật ký tiến độ'!$K$6:$K$3005,$V118,'Nhật ký tiến độ'!$E$6:$E$3005,"Hoàn thành kỳ",'Nhật ký tiến độ'!$M$6:$M$3005,"Đúng hạn",'Nhật ký tiến độ'!$B$6:$B$3005,"&gt;="&amp;(TDBC-30))</f>
      </c>
      <c r="AT118" s="43">
        <f>COUNTIFS('Phản ánh'!$K$6:$K$505,$V118,'Phản ánh'!$A$6:$A$505,"?*",'Phản ánh'!$AE$6:$AE$505,"Trễ hạn",'Phản ánh'!$AA$6:$AA$505,"&gt;="&amp;(TDBC-30))+COUNTIFS('Kế hoạch'!$N$6:$N$305,$V118,'Kế hoạch'!$A$6:$A$305,"?*",'Kế hoạch'!$AH$6:$AH$305,"Trễ hạn",'Kế hoạch'!$X$6:$X$305,"&gt;="&amp;(TDBC-30))+COUNTIFS('Nhật ký tiến độ'!$K$6:$K$3005,$V118,'Nhật ký tiến độ'!$E$6:$E$3005,"Hoàn thành kỳ",'Nhật ký tiến độ'!$M$6:$M$3005,"Trễ hạn",'Nhật ký tiến độ'!$B$6:$B$3005,"&gt;="&amp;(TDBC-30))</f>
      </c>
    </row>
    <row r="119" ht="18" customHeight="1">
      <c r="A119" s="39" t="n"/>
      <c r="B119" s="168" t="inlineStr">
        <is>
          <t>CHI PHÍ VIỆC ĐỘT XUẤT (ĐỒNG)</t>
        </is>
      </c>
      <c r="C119" s="169" t="n"/>
      <c r="D119" s="169" t="n"/>
      <c r="E119" s="169" t="n"/>
      <c r="F119" s="169" t="n"/>
      <c r="G119" s="169" t="n"/>
      <c r="H119" s="169" t="n"/>
      <c r="I119" s="169" t="n"/>
      <c r="J119" s="169" t="n"/>
      <c r="K119" s="169" t="n"/>
      <c r="L119" s="169" t="n"/>
      <c r="M119" s="169" t="n"/>
      <c r="N119" s="169" t="n"/>
      <c r="O119" s="169" t="n"/>
      <c r="P119" s="169" t="n"/>
      <c r="Q119" s="169" t="n"/>
      <c r="R119" s="169" t="n"/>
      <c r="S119" s="169" t="n"/>
      <c r="T119" s="170" t="n"/>
      <c r="U119" s="39" t="n"/>
      <c r="V119" s="124">
        <f>IFERROR(IF(10&lt;=$AQ$107,INDEX('Phản ánh'!$K$6:$K$505,MATCH(10,'Phản ánh'!$AN$6:$AN$505,0)),INDEX('Kế hoạch'!$N$6:$N$305,MATCH(10-$AQ$107,'Kế hoạch'!$BA$6:$BA$305,0))),"")</f>
      </c>
      <c r="W119" s="125" t="n"/>
      <c r="X119" s="125" t="n"/>
      <c r="Y119" s="125" t="n"/>
      <c r="Z119" s="125" t="n"/>
      <c r="AA119" s="125" t="n"/>
      <c r="AB119" s="125" t="n"/>
      <c r="AC119" s="165">
        <f>IF($V119="","",COUNTIFS('Phản ánh'!$K$6:$K$505,$V119,'Phản ánh'!$V$6:$V$505,"&lt;&gt;Đã xử lý",'Phản ánh'!$A$6:$A$505,"?*")+COUNTIFS('Kế hoạch'!$N$6:$N$305,$V119,'Kế hoạch'!$A$6:$A$305,"?*",'Kế hoạch'!$B$6:$B$305,"Đột xuất",'Kế hoạch'!$AO$6:$AO$305,1)+COUNTIFS('Kế hoạch'!$N$6:$N$305,$V119,'Kế hoạch'!$A$6:$A$305,"?*",'Kế hoạch'!$B$6:$B$305,"Định kỳ",'Kế hoạch'!$AR$6:$AR$305,0,'Kế hoạch'!$AP$6:$AP$305,"&gt;0",'Kế hoạch'!$AP$6:$AP$305,"&lt;="&amp;(NgayBC+7)))</f>
      </c>
      <c r="AD119" s="125" t="n"/>
      <c r="AE119" s="126">
        <f>IF($V119="","",COUNTIFS('Phản ánh'!$K$6:$K$505,$V119,'Phản ánh'!$A$6:$A$505,"?*",'Phản ánh'!$Y$6:$Y$505,"Quá hạn")+COUNTIFS('Kế hoạch'!$N$6:$N$305,$V119,'Kế hoạch'!$A$6:$A$305,"?*",'Kế hoạch'!$AD$6:$AD$305,"Quá hạn"))</f>
      </c>
      <c r="AF119" s="125" t="n"/>
      <c r="AG119" s="126">
        <f>IF($V119="","",COUNTIFS('Phản ánh'!$K$6:$K$505,$V119,'Phản ánh'!$A$6:$A$505,"?*",'Phản ánh'!$AA$6:$AA$505,"&gt;="&amp;(TDBC-30))+COUNTIFS('Kế hoạch'!$N$6:$N$305,$V119,'Kế hoạch'!$A$6:$A$305,"?*",'Kế hoạch'!$B$6:$B$305,"Đột xuất",'Kế hoạch'!$AA$6:$AA$305,"Hoàn thành",'Kế hoạch'!$X$6:$X$305,"&gt;="&amp;(TDBC-30))+COUNTIFS('Nhật ký tiến độ'!$K$6:$K$3005,$V119,'Nhật ký tiến độ'!$E$6:$E$3005,"Hoàn thành kỳ",'Nhật ký tiến độ'!$B$6:$B$3005,"&gt;="&amp;(TDBC-30)))</f>
      </c>
      <c r="AH119" s="125" t="n"/>
      <c r="AI119" s="166">
        <f>IF(OR($V119="",$AR119=0),IF($V119="","","–"),IF(($AQ119/$AR119)&lt;1,MAX(1,ROUND(($AQ119/$AR119)*60,0))&amp;" phút",IF(ROUND(($AQ119/$AR119),0)&lt;24,ROUND(($AQ119/$AR119),0)&amp;" giờ",INT(ROUND(($AQ119/$AR119),0)/24)&amp;" ngày"&amp;IF(MOD(ROUND(($AQ119/$AR119),0),24)&gt;0," "&amp;MOD(ROUND(($AQ119/$AR119),0),24)&amp;" giờ",""))))</f>
      </c>
      <c r="AJ119" s="125" t="n"/>
      <c r="AK119" s="125" t="n"/>
      <c r="AL119" s="125" t="n"/>
      <c r="AM119" s="167">
        <f>IF($V119="","",IF($AS119+$AT119=0,"–",$AS119/($AS119+$AT119)))</f>
      </c>
      <c r="AN119" s="125" t="n"/>
      <c r="AO119" s="125" t="n"/>
      <c r="AP119" s="39" t="n"/>
      <c r="AQ119" s="43">
        <f>SUMIFS('Phản ánh'!$AI$6:$AI$505,'Phản ánh'!$K$6:$K$505,$V119,'Phản ánh'!$A$6:$A$505,"?*")+SUMIFS('Kế hoạch'!$AV$6:$AV$305,'Kế hoạch'!$N$6:$N$305,$V119,'Kế hoạch'!$A$6:$A$305,"?*",'Kế hoạch'!$B$6:$B$305,"Đột xuất")</f>
      </c>
      <c r="AR119" s="43">
        <f>COUNTIFS('Phản ánh'!$K$6:$K$505,$V119,'Phản ánh'!$A$6:$A$505,"?*",'Phản ánh'!$AI$6:$AI$505,"&gt;=0")+COUNTIFS('Kế hoạch'!$N$6:$N$305,$V119,'Kế hoạch'!$A$6:$A$305,"?*",'Kế hoạch'!$B$6:$B$305,"Đột xuất",'Kế hoạch'!$AV$6:$AV$305,"&gt;=0")</f>
      </c>
      <c r="AS119" s="43">
        <f>COUNTIFS('Phản ánh'!$K$6:$K$505,$V119,'Phản ánh'!$A$6:$A$505,"?*",'Phản ánh'!$AE$6:$AE$505,"Đúng hạn",'Phản ánh'!$AA$6:$AA$505,"&gt;="&amp;(TDBC-30))+COUNTIFS('Kế hoạch'!$N$6:$N$305,$V119,'Kế hoạch'!$A$6:$A$305,"?*",'Kế hoạch'!$AH$6:$AH$305,"Đúng hạn",'Kế hoạch'!$X$6:$X$305,"&gt;="&amp;(TDBC-30))+COUNTIFS('Nhật ký tiến độ'!$K$6:$K$3005,$V119,'Nhật ký tiến độ'!$E$6:$E$3005,"Hoàn thành kỳ",'Nhật ký tiến độ'!$M$6:$M$3005,"Đúng hạn",'Nhật ký tiến độ'!$B$6:$B$3005,"&gt;="&amp;(TDBC-30))</f>
      </c>
      <c r="AT119" s="43">
        <f>COUNTIFS('Phản ánh'!$K$6:$K$505,$V119,'Phản ánh'!$A$6:$A$505,"?*",'Phản ánh'!$AE$6:$AE$505,"Trễ hạn",'Phản ánh'!$AA$6:$AA$505,"&gt;="&amp;(TDBC-30))+COUNTIFS('Kế hoạch'!$N$6:$N$305,$V119,'Kế hoạch'!$A$6:$A$305,"?*",'Kế hoạch'!$AH$6:$AH$305,"Trễ hạn",'Kế hoạch'!$X$6:$X$305,"&gt;="&amp;(TDBC-30))+COUNTIFS('Nhật ký tiến độ'!$K$6:$K$3005,$V119,'Nhật ký tiến độ'!$E$6:$E$3005,"Hoàn thành kỳ",'Nhật ký tiến độ'!$M$6:$M$3005,"Trễ hạn",'Nhật ký tiến độ'!$B$6:$B$3005,"&gt;="&amp;(TDBC-30))</f>
      </c>
    </row>
    <row r="120" ht="18" customHeight="1">
      <c r="A120" s="39" t="n"/>
      <c r="B120" s="171" t="inlineStr">
        <is>
          <t>Dự toán các việc đang mở</t>
        </is>
      </c>
      <c r="C120" s="172" t="n"/>
      <c r="D120" s="172" t="n"/>
      <c r="E120" s="172" t="n"/>
      <c r="F120" s="172" t="n"/>
      <c r="G120" s="172" t="n"/>
      <c r="H120" s="173" t="inlineStr">
        <is>
          <t>Chi phí thực tế 30 ngày</t>
        </is>
      </c>
      <c r="I120" s="172" t="n"/>
      <c r="J120" s="172" t="n"/>
      <c r="K120" s="172" t="n"/>
      <c r="L120" s="172" t="n"/>
      <c r="M120" s="172" t="n"/>
      <c r="N120" s="172" t="n"/>
      <c r="O120" s="173" t="inlineStr">
        <is>
          <t>Chi phí thực tế từ đầu năm</t>
        </is>
      </c>
      <c r="P120" s="172" t="n"/>
      <c r="Q120" s="172" t="n"/>
      <c r="R120" s="172" t="n"/>
      <c r="S120" s="172" t="n"/>
      <c r="T120" s="174" t="n"/>
      <c r="U120" s="39" t="n"/>
      <c r="V120" s="120">
        <f>IFERROR(IF(11&lt;=$AQ$107,INDEX('Phản ánh'!$K$6:$K$505,MATCH(11,'Phản ánh'!$AN$6:$AN$505,0)),INDEX('Kế hoạch'!$N$6:$N$305,MATCH(11-$AQ$107,'Kế hoạch'!$BA$6:$BA$305,0))),"")</f>
      </c>
      <c r="W120" s="121" t="n"/>
      <c r="X120" s="121" t="n"/>
      <c r="Y120" s="121" t="n"/>
      <c r="Z120" s="121" t="n"/>
      <c r="AA120" s="121" t="n"/>
      <c r="AB120" s="121" t="n"/>
      <c r="AC120" s="162">
        <f>IF($V120="","",COUNTIFS('Phản ánh'!$K$6:$K$505,$V120,'Phản ánh'!$V$6:$V$505,"&lt;&gt;Đã xử lý",'Phản ánh'!$A$6:$A$505,"?*")+COUNTIFS('Kế hoạch'!$N$6:$N$305,$V120,'Kế hoạch'!$A$6:$A$305,"?*",'Kế hoạch'!$B$6:$B$305,"Đột xuất",'Kế hoạch'!$AO$6:$AO$305,1)+COUNTIFS('Kế hoạch'!$N$6:$N$305,$V120,'Kế hoạch'!$A$6:$A$305,"?*",'Kế hoạch'!$B$6:$B$305,"Định kỳ",'Kế hoạch'!$AR$6:$AR$305,0,'Kế hoạch'!$AP$6:$AP$305,"&gt;0",'Kế hoạch'!$AP$6:$AP$305,"&lt;="&amp;(NgayBC+7)))</f>
      </c>
      <c r="AD120" s="121" t="n"/>
      <c r="AE120" s="122">
        <f>IF($V120="","",COUNTIFS('Phản ánh'!$K$6:$K$505,$V120,'Phản ánh'!$A$6:$A$505,"?*",'Phản ánh'!$Y$6:$Y$505,"Quá hạn")+COUNTIFS('Kế hoạch'!$N$6:$N$305,$V120,'Kế hoạch'!$A$6:$A$305,"?*",'Kế hoạch'!$AD$6:$AD$305,"Quá hạn"))</f>
      </c>
      <c r="AF120" s="121" t="n"/>
      <c r="AG120" s="122">
        <f>IF($V120="","",COUNTIFS('Phản ánh'!$K$6:$K$505,$V120,'Phản ánh'!$A$6:$A$505,"?*",'Phản ánh'!$AA$6:$AA$505,"&gt;="&amp;(TDBC-30))+COUNTIFS('Kế hoạch'!$N$6:$N$305,$V120,'Kế hoạch'!$A$6:$A$305,"?*",'Kế hoạch'!$B$6:$B$305,"Đột xuất",'Kế hoạch'!$AA$6:$AA$305,"Hoàn thành",'Kế hoạch'!$X$6:$X$305,"&gt;="&amp;(TDBC-30))+COUNTIFS('Nhật ký tiến độ'!$K$6:$K$3005,$V120,'Nhật ký tiến độ'!$E$6:$E$3005,"Hoàn thành kỳ",'Nhật ký tiến độ'!$B$6:$B$3005,"&gt;="&amp;(TDBC-30)))</f>
      </c>
      <c r="AH120" s="121" t="n"/>
      <c r="AI120" s="163">
        <f>IF(OR($V120="",$AR120=0),IF($V120="","","–"),IF(($AQ120/$AR120)&lt;1,MAX(1,ROUND(($AQ120/$AR120)*60,0))&amp;" phút",IF(ROUND(($AQ120/$AR120),0)&lt;24,ROUND(($AQ120/$AR120),0)&amp;" giờ",INT(ROUND(($AQ120/$AR120),0)/24)&amp;" ngày"&amp;IF(MOD(ROUND(($AQ120/$AR120),0),24)&gt;0," "&amp;MOD(ROUND(($AQ120/$AR120),0),24)&amp;" giờ",""))))</f>
      </c>
      <c r="AJ120" s="121" t="n"/>
      <c r="AK120" s="121" t="n"/>
      <c r="AL120" s="121" t="n"/>
      <c r="AM120" s="164">
        <f>IF($V120="","",IF($AS120+$AT120=0,"–",$AS120/($AS120+$AT120)))</f>
      </c>
      <c r="AN120" s="121" t="n"/>
      <c r="AO120" s="121" t="n"/>
      <c r="AP120" s="39" t="n"/>
      <c r="AQ120" s="43">
        <f>SUMIFS('Phản ánh'!$AI$6:$AI$505,'Phản ánh'!$K$6:$K$505,$V120,'Phản ánh'!$A$6:$A$505,"?*")+SUMIFS('Kế hoạch'!$AV$6:$AV$305,'Kế hoạch'!$N$6:$N$305,$V120,'Kế hoạch'!$A$6:$A$305,"?*",'Kế hoạch'!$B$6:$B$305,"Đột xuất")</f>
      </c>
      <c r="AR120" s="43">
        <f>COUNTIFS('Phản ánh'!$K$6:$K$505,$V120,'Phản ánh'!$A$6:$A$505,"?*",'Phản ánh'!$AI$6:$AI$505,"&gt;=0")+COUNTIFS('Kế hoạch'!$N$6:$N$305,$V120,'Kế hoạch'!$A$6:$A$305,"?*",'Kế hoạch'!$B$6:$B$305,"Đột xuất",'Kế hoạch'!$AV$6:$AV$305,"&gt;=0")</f>
      </c>
      <c r="AS120" s="43">
        <f>COUNTIFS('Phản ánh'!$K$6:$K$505,$V120,'Phản ánh'!$A$6:$A$505,"?*",'Phản ánh'!$AE$6:$AE$505,"Đúng hạn",'Phản ánh'!$AA$6:$AA$505,"&gt;="&amp;(TDBC-30))+COUNTIFS('Kế hoạch'!$N$6:$N$305,$V120,'Kế hoạch'!$A$6:$A$305,"?*",'Kế hoạch'!$AH$6:$AH$305,"Đúng hạn",'Kế hoạch'!$X$6:$X$305,"&gt;="&amp;(TDBC-30))+COUNTIFS('Nhật ký tiến độ'!$K$6:$K$3005,$V120,'Nhật ký tiến độ'!$E$6:$E$3005,"Hoàn thành kỳ",'Nhật ký tiến độ'!$M$6:$M$3005,"Đúng hạn",'Nhật ký tiến độ'!$B$6:$B$3005,"&gt;="&amp;(TDBC-30))</f>
      </c>
      <c r="AT120" s="43">
        <f>COUNTIFS('Phản ánh'!$K$6:$K$505,$V120,'Phản ánh'!$A$6:$A$505,"?*",'Phản ánh'!$AE$6:$AE$505,"Trễ hạn",'Phản ánh'!$AA$6:$AA$505,"&gt;="&amp;(TDBC-30))+COUNTIFS('Kế hoạch'!$N$6:$N$305,$V120,'Kế hoạch'!$A$6:$A$305,"?*",'Kế hoạch'!$AH$6:$AH$305,"Trễ hạn",'Kế hoạch'!$X$6:$X$305,"&gt;="&amp;(TDBC-30))+COUNTIFS('Nhật ký tiến độ'!$K$6:$K$3005,$V120,'Nhật ký tiến độ'!$E$6:$E$3005,"Hoàn thành kỳ",'Nhật ký tiến độ'!$M$6:$M$3005,"Trễ hạn",'Nhật ký tiến độ'!$B$6:$B$3005,"&gt;="&amp;(TDBC-30))</f>
      </c>
    </row>
    <row r="121" ht="26" customHeight="1">
      <c r="A121" s="39" t="n"/>
      <c r="B121" s="175">
        <f>SUMIFS('Kế hoạch'!$T$6:$T$305,'Kế hoạch'!$B$6:$B$305,"Đột xuất",'Kế hoạch'!$AO$6:$AO$305,1)</f>
      </c>
      <c r="C121" s="172" t="n"/>
      <c r="D121" s="172" t="n"/>
      <c r="E121" s="172" t="n"/>
      <c r="F121" s="172" t="n"/>
      <c r="G121" s="172" t="n"/>
      <c r="H121" s="176">
        <f>SUMIFS('Kế hoạch'!$U$6:$U$305,'Kế hoạch'!$B$6:$B$305,"Đột xuất",'Kế hoạch'!$X$6:$X$305,"&gt;="&amp;(TDBC-30))</f>
      </c>
      <c r="I121" s="172" t="n"/>
      <c r="J121" s="172" t="n"/>
      <c r="K121" s="172" t="n"/>
      <c r="L121" s="172" t="n"/>
      <c r="M121" s="172" t="n"/>
      <c r="N121" s="172" t="n"/>
      <c r="O121" s="176">
        <f>SUMIFS('Kế hoạch'!$U$6:$U$305,'Kế hoạch'!$B$6:$B$305,"Đột xuất",'Kế hoạch'!$X$6:$X$305,"&gt;="&amp;DATE(YEAR(NgayBC),1,1))</f>
      </c>
      <c r="P121" s="172" t="n"/>
      <c r="Q121" s="172" t="n"/>
      <c r="R121" s="172" t="n"/>
      <c r="S121" s="172" t="n"/>
      <c r="T121" s="174" t="n"/>
      <c r="U121" s="39" t="n"/>
      <c r="V121" s="124">
        <f>IFERROR(IF(12&lt;=$AQ$107,INDEX('Phản ánh'!$K$6:$K$505,MATCH(12,'Phản ánh'!$AN$6:$AN$505,0)),INDEX('Kế hoạch'!$N$6:$N$305,MATCH(12-$AQ$107,'Kế hoạch'!$BA$6:$BA$305,0))),"")</f>
      </c>
      <c r="W121" s="125" t="n"/>
      <c r="X121" s="125" t="n"/>
      <c r="Y121" s="125" t="n"/>
      <c r="Z121" s="125" t="n"/>
      <c r="AA121" s="125" t="n"/>
      <c r="AB121" s="125" t="n"/>
      <c r="AC121" s="165">
        <f>IF($V121="","",COUNTIFS('Phản ánh'!$K$6:$K$505,$V121,'Phản ánh'!$V$6:$V$505,"&lt;&gt;Đã xử lý",'Phản ánh'!$A$6:$A$505,"?*")+COUNTIFS('Kế hoạch'!$N$6:$N$305,$V121,'Kế hoạch'!$A$6:$A$305,"?*",'Kế hoạch'!$B$6:$B$305,"Đột xuất",'Kế hoạch'!$AO$6:$AO$305,1)+COUNTIFS('Kế hoạch'!$N$6:$N$305,$V121,'Kế hoạch'!$A$6:$A$305,"?*",'Kế hoạch'!$B$6:$B$305,"Định kỳ",'Kế hoạch'!$AR$6:$AR$305,0,'Kế hoạch'!$AP$6:$AP$305,"&gt;0",'Kế hoạch'!$AP$6:$AP$305,"&lt;="&amp;(NgayBC+7)))</f>
      </c>
      <c r="AD121" s="125" t="n"/>
      <c r="AE121" s="126">
        <f>IF($V121="","",COUNTIFS('Phản ánh'!$K$6:$K$505,$V121,'Phản ánh'!$A$6:$A$505,"?*",'Phản ánh'!$Y$6:$Y$505,"Quá hạn")+COUNTIFS('Kế hoạch'!$N$6:$N$305,$V121,'Kế hoạch'!$A$6:$A$305,"?*",'Kế hoạch'!$AD$6:$AD$305,"Quá hạn"))</f>
      </c>
      <c r="AF121" s="125" t="n"/>
      <c r="AG121" s="126">
        <f>IF($V121="","",COUNTIFS('Phản ánh'!$K$6:$K$505,$V121,'Phản ánh'!$A$6:$A$505,"?*",'Phản ánh'!$AA$6:$AA$505,"&gt;="&amp;(TDBC-30))+COUNTIFS('Kế hoạch'!$N$6:$N$305,$V121,'Kế hoạch'!$A$6:$A$305,"?*",'Kế hoạch'!$B$6:$B$305,"Đột xuất",'Kế hoạch'!$AA$6:$AA$305,"Hoàn thành",'Kế hoạch'!$X$6:$X$305,"&gt;="&amp;(TDBC-30))+COUNTIFS('Nhật ký tiến độ'!$K$6:$K$3005,$V121,'Nhật ký tiến độ'!$E$6:$E$3005,"Hoàn thành kỳ",'Nhật ký tiến độ'!$B$6:$B$3005,"&gt;="&amp;(TDBC-30)))</f>
      </c>
      <c r="AH121" s="125" t="n"/>
      <c r="AI121" s="166">
        <f>IF(OR($V121="",$AR121=0),IF($V121="","","–"),IF(($AQ121/$AR121)&lt;1,MAX(1,ROUND(($AQ121/$AR121)*60,0))&amp;" phút",IF(ROUND(($AQ121/$AR121),0)&lt;24,ROUND(($AQ121/$AR121),0)&amp;" giờ",INT(ROUND(($AQ121/$AR121),0)/24)&amp;" ngày"&amp;IF(MOD(ROUND(($AQ121/$AR121),0),24)&gt;0," "&amp;MOD(ROUND(($AQ121/$AR121),0),24)&amp;" giờ",""))))</f>
      </c>
      <c r="AJ121" s="125" t="n"/>
      <c r="AK121" s="125" t="n"/>
      <c r="AL121" s="125" t="n"/>
      <c r="AM121" s="167">
        <f>IF($V121="","",IF($AS121+$AT121=0,"–",$AS121/($AS121+$AT121)))</f>
      </c>
      <c r="AN121" s="125" t="n"/>
      <c r="AO121" s="125" t="n"/>
      <c r="AP121" s="39" t="n"/>
      <c r="AQ121" s="43">
        <f>SUMIFS('Phản ánh'!$AI$6:$AI$505,'Phản ánh'!$K$6:$K$505,$V121,'Phản ánh'!$A$6:$A$505,"?*")+SUMIFS('Kế hoạch'!$AV$6:$AV$305,'Kế hoạch'!$N$6:$N$305,$V121,'Kế hoạch'!$A$6:$A$305,"?*",'Kế hoạch'!$B$6:$B$305,"Đột xuất")</f>
      </c>
      <c r="AR121" s="43">
        <f>COUNTIFS('Phản ánh'!$K$6:$K$505,$V121,'Phản ánh'!$A$6:$A$505,"?*",'Phản ánh'!$AI$6:$AI$505,"&gt;=0")+COUNTIFS('Kế hoạch'!$N$6:$N$305,$V121,'Kế hoạch'!$A$6:$A$305,"?*",'Kế hoạch'!$B$6:$B$305,"Đột xuất",'Kế hoạch'!$AV$6:$AV$305,"&gt;=0")</f>
      </c>
      <c r="AS121" s="43">
        <f>COUNTIFS('Phản ánh'!$K$6:$K$505,$V121,'Phản ánh'!$A$6:$A$505,"?*",'Phản ánh'!$AE$6:$AE$505,"Đúng hạn",'Phản ánh'!$AA$6:$AA$505,"&gt;="&amp;(TDBC-30))+COUNTIFS('Kế hoạch'!$N$6:$N$305,$V121,'Kế hoạch'!$A$6:$A$305,"?*",'Kế hoạch'!$AH$6:$AH$305,"Đúng hạn",'Kế hoạch'!$X$6:$X$305,"&gt;="&amp;(TDBC-30))+COUNTIFS('Nhật ký tiến độ'!$K$6:$K$3005,$V121,'Nhật ký tiến độ'!$E$6:$E$3005,"Hoàn thành kỳ",'Nhật ký tiến độ'!$M$6:$M$3005,"Đúng hạn",'Nhật ký tiến độ'!$B$6:$B$3005,"&gt;="&amp;(TDBC-30))</f>
      </c>
      <c r="AT121" s="43">
        <f>COUNTIFS('Phản ánh'!$K$6:$K$505,$V121,'Phản ánh'!$A$6:$A$505,"?*",'Phản ánh'!$AE$6:$AE$505,"Trễ hạn",'Phản ánh'!$AA$6:$AA$505,"&gt;="&amp;(TDBC-30))+COUNTIFS('Kế hoạch'!$N$6:$N$305,$V121,'Kế hoạch'!$A$6:$A$305,"?*",'Kế hoạch'!$AH$6:$AH$305,"Trễ hạn",'Kế hoạch'!$X$6:$X$305,"&gt;="&amp;(TDBC-30))+COUNTIFS('Nhật ký tiến độ'!$K$6:$K$3005,$V121,'Nhật ký tiến độ'!$E$6:$E$3005,"Hoàn thành kỳ",'Nhật ký tiến độ'!$M$6:$M$3005,"Trễ hạn",'Nhật ký tiến độ'!$B$6:$B$3005,"&gt;="&amp;(TDBC-30))</f>
      </c>
    </row>
    <row r="122" ht="18" customHeight="1">
      <c r="A122" s="39" t="n"/>
      <c r="B122" s="177">
        <f>"Số việc có chi phí thực tế vượt dự toán: "&amp;SUMPRODUCT(ISNUMBER('Kế hoạch'!$U$6:$U$305)*ISNUMBER('Kế hoạch'!$T$6:$T$305)*(IFERROR('Kế hoạch'!$U$6:$U$305-'Kế hoạch'!$T$6:$T$305,0)&gt;0))</f>
      </c>
      <c r="C122" s="79" t="n"/>
      <c r="D122" s="79" t="n"/>
      <c r="E122" s="79" t="n"/>
      <c r="F122" s="79" t="n"/>
      <c r="G122" s="79" t="n"/>
      <c r="H122" s="79" t="n"/>
      <c r="I122" s="79" t="n"/>
      <c r="J122" s="79" t="n"/>
      <c r="K122" s="79" t="n"/>
      <c r="L122" s="79" t="n"/>
      <c r="M122" s="79" t="n"/>
      <c r="N122" s="79" t="n"/>
      <c r="O122" s="79" t="n"/>
      <c r="P122" s="79" t="n"/>
      <c r="Q122" s="79" t="n"/>
      <c r="R122" s="79" t="n"/>
      <c r="S122" s="79" t="n"/>
      <c r="T122" s="80" t="n"/>
      <c r="U122" s="39" t="n"/>
      <c r="V122" s="178" t="inlineStr">
        <is>
          <t>Chưa phân công</t>
        </is>
      </c>
      <c r="W122" s="121" t="n"/>
      <c r="X122" s="121" t="n"/>
      <c r="Y122" s="121" t="n"/>
      <c r="Z122" s="121" t="n"/>
      <c r="AA122" s="121" t="n"/>
      <c r="AB122" s="121" t="n"/>
      <c r="AC122" s="162">
        <f>IF(FALSE,"",COUNTIFS('Phản ánh'!$K$6:$K$505,"",'Phản ánh'!$V$6:$V$505,"&lt;&gt;Đã xử lý",'Phản ánh'!$A$6:$A$505,"?*")+COUNTIFS('Kế hoạch'!$N$6:$N$305,"",'Kế hoạch'!$A$6:$A$305,"?*",'Kế hoạch'!$B$6:$B$305,"Đột xuất",'Kế hoạch'!$AO$6:$AO$305,1)+COUNTIFS('Kế hoạch'!$N$6:$N$305,"",'Kế hoạch'!$A$6:$A$305,"?*",'Kế hoạch'!$B$6:$B$305,"Định kỳ",'Kế hoạch'!$AR$6:$AR$305,0,'Kế hoạch'!$AP$6:$AP$305,"&gt;0",'Kế hoạch'!$AP$6:$AP$305,"&lt;="&amp;(NgayBC+7)))</f>
      </c>
      <c r="AD122" s="121" t="n"/>
      <c r="AE122" s="122">
        <f>IF(FALSE,"",COUNTIFS('Phản ánh'!$K$6:$K$505,"",'Phản ánh'!$A$6:$A$505,"?*",'Phản ánh'!$Y$6:$Y$505,"Quá hạn")+COUNTIFS('Kế hoạch'!$N$6:$N$305,"",'Kế hoạch'!$A$6:$A$305,"?*",'Kế hoạch'!$AD$6:$AD$305,"Quá hạn"))</f>
      </c>
      <c r="AF122" s="121" t="n"/>
      <c r="AG122" s="122">
        <f>IF(FALSE,"",COUNTIFS('Phản ánh'!$K$6:$K$505,"",'Phản ánh'!$A$6:$A$505,"?*",'Phản ánh'!$AA$6:$AA$505,"&gt;="&amp;(TDBC-30))+COUNTIFS('Kế hoạch'!$N$6:$N$305,"",'Kế hoạch'!$A$6:$A$305,"?*",'Kế hoạch'!$B$6:$B$305,"Đột xuất",'Kế hoạch'!$AA$6:$AA$305,"Hoàn thành",'Kế hoạch'!$X$6:$X$305,"&gt;="&amp;(TDBC-30))+COUNTIFS('Nhật ký tiến độ'!$K$6:$K$3005,"",'Nhật ký tiến độ'!$E$6:$E$3005,"Hoàn thành kỳ",'Nhật ký tiến độ'!$B$6:$B$3005,"&gt;="&amp;(TDBC-30)))</f>
      </c>
      <c r="AH122" s="121" t="n"/>
      <c r="AI122" s="163">
        <f>IF(OR(FALSE,$AR122=0),IF(FALSE,"","–"),IF(($AQ122/$AR122)&lt;1,MAX(1,ROUND(($AQ122/$AR122)*60,0))&amp;" phút",IF(ROUND(($AQ122/$AR122),0)&lt;24,ROUND(($AQ122/$AR122),0)&amp;" giờ",INT(ROUND(($AQ122/$AR122),0)/24)&amp;" ngày"&amp;IF(MOD(ROUND(($AQ122/$AR122),0),24)&gt;0," "&amp;MOD(ROUND(($AQ122/$AR122),0),24)&amp;" giờ",""))))</f>
      </c>
      <c r="AJ122" s="121" t="n"/>
      <c r="AK122" s="121" t="n"/>
      <c r="AL122" s="121" t="n"/>
      <c r="AM122" s="164">
        <f>IF(FALSE,"",IF($AS122+$AT122=0,"–",$AS122/($AS122+$AT122)))</f>
      </c>
      <c r="AN122" s="121" t="n"/>
      <c r="AO122" s="121" t="n"/>
      <c r="AP122" s="39" t="n"/>
      <c r="AQ122" s="43">
        <f>SUMIFS('Phản ánh'!$AI$6:$AI$505,'Phản ánh'!$K$6:$K$505,"",'Phản ánh'!$A$6:$A$505,"?*")+SUMIFS('Kế hoạch'!$AV$6:$AV$305,'Kế hoạch'!$N$6:$N$305,"",'Kế hoạch'!$A$6:$A$305,"?*",'Kế hoạch'!$B$6:$B$305,"Đột xuất")</f>
      </c>
      <c r="AR122" s="43">
        <f>COUNTIFS('Phản ánh'!$K$6:$K$505,"",'Phản ánh'!$A$6:$A$505,"?*",'Phản ánh'!$AI$6:$AI$505,"&gt;=0")+COUNTIFS('Kế hoạch'!$N$6:$N$305,"",'Kế hoạch'!$A$6:$A$305,"?*",'Kế hoạch'!$B$6:$B$305,"Đột xuất",'Kế hoạch'!$AV$6:$AV$305,"&gt;=0")</f>
      </c>
      <c r="AS122" s="43">
        <f>COUNTIFS('Phản ánh'!$K$6:$K$505,"",'Phản ánh'!$A$6:$A$505,"?*",'Phản ánh'!$AE$6:$AE$505,"Đúng hạn",'Phản ánh'!$AA$6:$AA$505,"&gt;="&amp;(TDBC-30))+COUNTIFS('Kế hoạch'!$N$6:$N$305,"",'Kế hoạch'!$A$6:$A$305,"?*",'Kế hoạch'!$AH$6:$AH$305,"Đúng hạn",'Kế hoạch'!$X$6:$X$305,"&gt;="&amp;(TDBC-30))+COUNTIFS('Nhật ký tiến độ'!$K$6:$K$3005,"",'Nhật ký tiến độ'!$E$6:$E$3005,"Hoàn thành kỳ",'Nhật ký tiến độ'!$M$6:$M$3005,"Đúng hạn",'Nhật ký tiến độ'!$B$6:$B$3005,"&gt;="&amp;(TDBC-30))</f>
      </c>
      <c r="AT122" s="43">
        <f>COUNTIFS('Phản ánh'!$K$6:$K$505,"",'Phản ánh'!$A$6:$A$505,"?*",'Phản ánh'!$AE$6:$AE$505,"Trễ hạn",'Phản ánh'!$AA$6:$AA$505,"&gt;="&amp;(TDBC-30))+COUNTIFS('Kế hoạch'!$N$6:$N$305,"",'Kế hoạch'!$A$6:$A$305,"?*",'Kế hoạch'!$AH$6:$AH$305,"Trễ hạn",'Kế hoạch'!$X$6:$X$305,"&gt;="&amp;(TDBC-30))+COUNTIFS('Nhật ký tiến độ'!$K$6:$K$3005,"",'Nhật ký tiến độ'!$E$6:$E$3005,"Hoàn thành kỳ",'Nhật ký tiến độ'!$M$6:$M$3005,"Trễ hạn",'Nhật ký tiến độ'!$B$6:$B$3005,"&gt;="&amp;(TDBC-30))</f>
      </c>
    </row>
    <row r="123" ht="14" customHeight="1">
      <c r="A123" s="39" t="n"/>
      <c r="B123" s="39" t="n"/>
      <c r="C123" s="39" t="n"/>
      <c r="D123" s="39" t="n"/>
      <c r="E123" s="39" t="n"/>
      <c r="F123" s="39" t="n"/>
      <c r="G123" s="39" t="n"/>
      <c r="H123" s="39" t="n"/>
      <c r="I123" s="39" t="n"/>
      <c r="J123" s="39" t="n"/>
      <c r="K123" s="39" t="n"/>
      <c r="L123" s="39" t="n"/>
      <c r="M123" s="39" t="n"/>
      <c r="N123" s="39" t="n"/>
      <c r="O123" s="39" t="n"/>
      <c r="P123" s="39" t="n"/>
      <c r="Q123" s="39" t="n"/>
      <c r="R123" s="39" t="n"/>
      <c r="S123" s="39" t="n"/>
      <c r="T123" s="39" t="n"/>
      <c r="U123" s="39" t="n"/>
      <c r="V123" s="39" t="n"/>
      <c r="W123" s="39" t="n"/>
      <c r="X123" s="39" t="n"/>
      <c r="Y123" s="39" t="n"/>
      <c r="Z123" s="39" t="n"/>
      <c r="AA123" s="39" t="n"/>
      <c r="AB123" s="39" t="n"/>
      <c r="AC123" s="39" t="n"/>
      <c r="AD123" s="39" t="n"/>
      <c r="AE123" s="39" t="n"/>
      <c r="AF123" s="39" t="n"/>
      <c r="AG123" s="39" t="n"/>
      <c r="AH123" s="39" t="n"/>
      <c r="AI123" s="39" t="n"/>
      <c r="AJ123" s="39" t="n"/>
      <c r="AK123" s="39" t="n"/>
      <c r="AL123" s="39" t="n"/>
      <c r="AM123" s="39" t="n"/>
      <c r="AN123" s="39" t="n"/>
      <c r="AO123" s="39" t="n"/>
      <c r="AP123" s="39" t="n"/>
    </row>
    <row r="124" ht="30" customHeight="1">
      <c r="A124" s="179" t="n"/>
      <c r="B124" s="180" t="inlineStr">
        <is>
          <t>Saigon South Residences, Ban Quản trị</t>
        </is>
      </c>
      <c r="C124" s="181" t="n"/>
      <c r="D124" s="181" t="n"/>
      <c r="E124" s="181" t="n"/>
      <c r="F124" s="181" t="n"/>
      <c r="G124" s="181" t="n"/>
      <c r="H124" s="181" t="n"/>
      <c r="I124" s="181" t="n"/>
      <c r="J124" s="181" t="n"/>
      <c r="K124" s="181" t="n"/>
      <c r="L124" s="181" t="n"/>
      <c r="M124" s="181" t="n"/>
      <c r="N124" s="181" t="n"/>
      <c r="O124" s="181" t="n"/>
      <c r="P124" s="181" t="n"/>
      <c r="Q124" s="181" t="n"/>
      <c r="R124" s="181" t="n"/>
      <c r="S124" s="181" t="n"/>
      <c r="T124" s="181" t="n"/>
      <c r="U124" s="182" t="inlineStr">
        <is>
          <t>Số liệu tự cập nhật khi nhập dữ liệu mới ở các tab Phản ánh, Kế hoạch và Nhật ký tiến độ.</t>
        </is>
      </c>
      <c r="V124" s="181" t="n"/>
      <c r="W124" s="181" t="n"/>
      <c r="X124" s="181" t="n"/>
      <c r="Y124" s="181" t="n"/>
      <c r="Z124" s="181" t="n"/>
      <c r="AA124" s="181" t="n"/>
      <c r="AB124" s="181" t="n"/>
      <c r="AC124" s="181" t="n"/>
      <c r="AD124" s="181" t="n"/>
      <c r="AE124" s="181" t="n"/>
      <c r="AF124" s="181" t="n"/>
      <c r="AG124" s="181" t="n"/>
      <c r="AH124" s="181" t="n"/>
      <c r="AI124" s="181" t="n"/>
      <c r="AJ124" s="181" t="n"/>
      <c r="AK124" s="181" t="n"/>
      <c r="AL124" s="181" t="n"/>
      <c r="AM124" s="181" t="n"/>
      <c r="AN124" s="181" t="n"/>
      <c r="AO124" s="181" t="n"/>
      <c r="AP124" s="179" t="n"/>
    </row>
    <row r="125" ht="6"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row>
  </sheetData>
  <sheetProtection selectLockedCells="0" selectUnlockedCells="0" sheet="1" objects="0" insertRows="1" insertHyperlinks="1" autoFilter="0" scenarios="0" formatColumns="0" deleteColumns="1" insertColumns="1" pivotTables="1" deleteRows="1" formatCells="1" formatRows="0" sort="1" password="88D8"/>
  <mergeCells count="655">
    <mergeCell ref="D66:F66"/>
    <mergeCell ref="X74:Z74"/>
    <mergeCell ref="P77:R77"/>
    <mergeCell ref="AK62:AL62"/>
    <mergeCell ref="X68:Z68"/>
    <mergeCell ref="AB63:AF63"/>
    <mergeCell ref="AM64:AO64"/>
    <mergeCell ref="AK13:AO13"/>
    <mergeCell ref="L117:T117"/>
    <mergeCell ref="B112:J112"/>
    <mergeCell ref="Y21:Z21"/>
    <mergeCell ref="L109:T109"/>
    <mergeCell ref="H84:J84"/>
    <mergeCell ref="P75:R75"/>
    <mergeCell ref="X76:Z76"/>
    <mergeCell ref="E103:I103"/>
    <mergeCell ref="H75:J75"/>
    <mergeCell ref="AE120:AF120"/>
    <mergeCell ref="AG120:AH120"/>
    <mergeCell ref="Y103:AE103"/>
    <mergeCell ref="X69:Z69"/>
    <mergeCell ref="H86:J86"/>
    <mergeCell ref="AM65:AO65"/>
    <mergeCell ref="AI101:AJ101"/>
    <mergeCell ref="B78:C78"/>
    <mergeCell ref="AI76:AJ76"/>
    <mergeCell ref="S19:T19"/>
    <mergeCell ref="AK76:AL76"/>
    <mergeCell ref="AK10:AO10"/>
    <mergeCell ref="Y98:AE98"/>
    <mergeCell ref="AI77:AJ77"/>
    <mergeCell ref="S20:T20"/>
    <mergeCell ref="AH2:AO2"/>
    <mergeCell ref="AK77:AL77"/>
    <mergeCell ref="U20:V20"/>
    <mergeCell ref="V110:AB110"/>
    <mergeCell ref="B23:AO23"/>
    <mergeCell ref="G11:J12"/>
    <mergeCell ref="P90:R90"/>
    <mergeCell ref="AK75:AL75"/>
    <mergeCell ref="AG113:AH113"/>
    <mergeCell ref="X62:Z62"/>
    <mergeCell ref="P65:R65"/>
    <mergeCell ref="V118:AB118"/>
    <mergeCell ref="AE115:AF115"/>
    <mergeCell ref="C97:D97"/>
    <mergeCell ref="X64:Z64"/>
    <mergeCell ref="AM103:AO103"/>
    <mergeCell ref="L63:N63"/>
    <mergeCell ref="AM78:AO78"/>
    <mergeCell ref="M95:O95"/>
    <mergeCell ref="AI95:AJ95"/>
    <mergeCell ref="D74:F74"/>
    <mergeCell ref="D68:F68"/>
    <mergeCell ref="M97:O97"/>
    <mergeCell ref="AB71:AF71"/>
    <mergeCell ref="AF100:AH100"/>
    <mergeCell ref="AA13:AD13"/>
    <mergeCell ref="D67:F67"/>
    <mergeCell ref="AI97:AJ97"/>
    <mergeCell ref="V121:AB121"/>
    <mergeCell ref="AF102:AH102"/>
    <mergeCell ref="B84:C84"/>
    <mergeCell ref="D69:F69"/>
    <mergeCell ref="X77:Z77"/>
    <mergeCell ref="AK65:AL65"/>
    <mergeCell ref="AB66:AF66"/>
    <mergeCell ref="AG121:AH121"/>
    <mergeCell ref="B80:C80"/>
    <mergeCell ref="L112:T112"/>
    <mergeCell ref="P84:R84"/>
    <mergeCell ref="B21:D21"/>
    <mergeCell ref="AB68:AF68"/>
    <mergeCell ref="T78:V78"/>
    <mergeCell ref="B79:C79"/>
    <mergeCell ref="AF97:AH97"/>
    <mergeCell ref="L78:N78"/>
    <mergeCell ref="T65:V65"/>
    <mergeCell ref="V120:AB120"/>
    <mergeCell ref="P80:R80"/>
    <mergeCell ref="T80:V80"/>
    <mergeCell ref="B81:C81"/>
    <mergeCell ref="V113:AB113"/>
    <mergeCell ref="AA19:AB19"/>
    <mergeCell ref="T79:V79"/>
    <mergeCell ref="T73:V73"/>
    <mergeCell ref="AC111:AD111"/>
    <mergeCell ref="AI83:AJ83"/>
    <mergeCell ref="AK83:AL83"/>
    <mergeCell ref="P96:Q96"/>
    <mergeCell ref="X89:Z89"/>
    <mergeCell ref="C100:D100"/>
    <mergeCell ref="L110:T111"/>
    <mergeCell ref="B115:J116"/>
    <mergeCell ref="X88:Z88"/>
    <mergeCell ref="AM84:AO84"/>
    <mergeCell ref="AI85:AJ85"/>
    <mergeCell ref="AA10:AD10"/>
    <mergeCell ref="AC112:AD112"/>
    <mergeCell ref="X72:Z72"/>
    <mergeCell ref="H71:J71"/>
    <mergeCell ref="D82:F82"/>
    <mergeCell ref="V13:Y13"/>
    <mergeCell ref="X90:Z90"/>
    <mergeCell ref="AM86:AO86"/>
    <mergeCell ref="U21:V21"/>
    <mergeCell ref="AH3:AO4"/>
    <mergeCell ref="AM80:AO80"/>
    <mergeCell ref="W21:X21"/>
    <mergeCell ref="C95:D95"/>
    <mergeCell ref="M103:O103"/>
    <mergeCell ref="AE116:AF116"/>
    <mergeCell ref="AG116:AH116"/>
    <mergeCell ref="AM79:AO79"/>
    <mergeCell ref="M96:O96"/>
    <mergeCell ref="AE118:AF118"/>
    <mergeCell ref="AG118:AH118"/>
    <mergeCell ref="G13:J13"/>
    <mergeCell ref="AI96:AJ96"/>
    <mergeCell ref="AK96:AL96"/>
    <mergeCell ref="L66:N66"/>
    <mergeCell ref="AM81:AO81"/>
    <mergeCell ref="B76:C76"/>
    <mergeCell ref="M98:O98"/>
    <mergeCell ref="J102:L102"/>
    <mergeCell ref="AI98:AJ98"/>
    <mergeCell ref="AK98:AL98"/>
    <mergeCell ref="D77:F77"/>
    <mergeCell ref="L68:N68"/>
    <mergeCell ref="AI112:AL112"/>
    <mergeCell ref="AB74:AF74"/>
    <mergeCell ref="AF103:AH103"/>
    <mergeCell ref="AG63:AH63"/>
    <mergeCell ref="W99:X99"/>
    <mergeCell ref="X83:Z83"/>
    <mergeCell ref="P86:R86"/>
    <mergeCell ref="AB76:AF76"/>
    <mergeCell ref="AM70:AO70"/>
    <mergeCell ref="D72:F72"/>
    <mergeCell ref="AI120:AL120"/>
    <mergeCell ref="H72:J72"/>
    <mergeCell ref="X85:Z85"/>
    <mergeCell ref="AM63:AO63"/>
    <mergeCell ref="E19:F19"/>
    <mergeCell ref="G19:H19"/>
    <mergeCell ref="AM99:AO99"/>
    <mergeCell ref="AM74:AO74"/>
    <mergeCell ref="T81:V81"/>
    <mergeCell ref="D89:F89"/>
    <mergeCell ref="AA20:AB20"/>
    <mergeCell ref="E105:I105"/>
    <mergeCell ref="AC20:AD20"/>
    <mergeCell ref="E99:I99"/>
    <mergeCell ref="P98:Q98"/>
    <mergeCell ref="AM76:AO76"/>
    <mergeCell ref="D88:F88"/>
    <mergeCell ref="Q11:T12"/>
    <mergeCell ref="AK84:AL84"/>
    <mergeCell ref="E101:I101"/>
    <mergeCell ref="AG78:AH78"/>
    <mergeCell ref="AC114:AD114"/>
    <mergeCell ref="D90:F90"/>
    <mergeCell ref="AF98:AH98"/>
    <mergeCell ref="AK86:AL86"/>
    <mergeCell ref="D65:F65"/>
    <mergeCell ref="AK80:AL80"/>
    <mergeCell ref="AB62:AF62"/>
    <mergeCell ref="AK101:AL101"/>
    <mergeCell ref="H83:J83"/>
    <mergeCell ref="T63:V63"/>
    <mergeCell ref="AI110:AL110"/>
    <mergeCell ref="AG117:AH117"/>
    <mergeCell ref="R99:T99"/>
    <mergeCell ref="AI115:AL115"/>
    <mergeCell ref="J99:L99"/>
    <mergeCell ref="AB64:AF64"/>
    <mergeCell ref="T71:V71"/>
    <mergeCell ref="L74:N74"/>
    <mergeCell ref="AG119:AH119"/>
    <mergeCell ref="R101:T101"/>
    <mergeCell ref="J101:L101"/>
    <mergeCell ref="B77:C77"/>
    <mergeCell ref="R100:T100"/>
    <mergeCell ref="L76:N76"/>
    <mergeCell ref="J103:L103"/>
    <mergeCell ref="M104:O104"/>
    <mergeCell ref="V109:AB109"/>
    <mergeCell ref="B94:T94"/>
    <mergeCell ref="Q13:T13"/>
    <mergeCell ref="T66:V66"/>
    <mergeCell ref="L69:N69"/>
    <mergeCell ref="B20:D20"/>
    <mergeCell ref="W100:X100"/>
    <mergeCell ref="X84:Z84"/>
    <mergeCell ref="P62:R62"/>
    <mergeCell ref="AB77:AF77"/>
    <mergeCell ref="E95:I95"/>
    <mergeCell ref="O121:T121"/>
    <mergeCell ref="AG66:AH66"/>
    <mergeCell ref="AK99:AL99"/>
    <mergeCell ref="AM101:AO101"/>
    <mergeCell ref="AI66:AJ66"/>
    <mergeCell ref="X86:Z86"/>
    <mergeCell ref="H78:J78"/>
    <mergeCell ref="AM113:AO113"/>
    <mergeCell ref="G20:H20"/>
    <mergeCell ref="AM100:AO100"/>
    <mergeCell ref="AG74:AH74"/>
    <mergeCell ref="I20:J20"/>
    <mergeCell ref="AG68:AH68"/>
    <mergeCell ref="B107:T107"/>
    <mergeCell ref="D80:F80"/>
    <mergeCell ref="AI68:AJ68"/>
    <mergeCell ref="AM115:AO115"/>
    <mergeCell ref="M19:N19"/>
    <mergeCell ref="AG67:AH67"/>
    <mergeCell ref="B63:C63"/>
    <mergeCell ref="AM102:AO102"/>
    <mergeCell ref="AI67:AJ67"/>
    <mergeCell ref="AK67:AL67"/>
    <mergeCell ref="AM77:AO77"/>
    <mergeCell ref="H73:J73"/>
    <mergeCell ref="B117:J117"/>
    <mergeCell ref="AG69:AH69"/>
    <mergeCell ref="L89:N89"/>
    <mergeCell ref="AI69:AJ69"/>
    <mergeCell ref="L115:T116"/>
    <mergeCell ref="P67:R67"/>
    <mergeCell ref="T88:V88"/>
    <mergeCell ref="L88:N88"/>
    <mergeCell ref="P82:R82"/>
    <mergeCell ref="AE21:AF21"/>
    <mergeCell ref="W95:X95"/>
    <mergeCell ref="AB72:AF72"/>
    <mergeCell ref="AH20:AO20"/>
    <mergeCell ref="AI116:AL116"/>
    <mergeCell ref="W97:X97"/>
    <mergeCell ref="AM95:AO95"/>
    <mergeCell ref="R102:T102"/>
    <mergeCell ref="W96:X96"/>
    <mergeCell ref="AI118:AL118"/>
    <mergeCell ref="L77:N77"/>
    <mergeCell ref="AM97:AO97"/>
    <mergeCell ref="P102:Q102"/>
    <mergeCell ref="AG122:AH122"/>
    <mergeCell ref="AI105:AJ105"/>
    <mergeCell ref="V115:AB115"/>
    <mergeCell ref="AK105:AL105"/>
    <mergeCell ref="R103:T103"/>
    <mergeCell ref="X67:Z67"/>
    <mergeCell ref="B60:Z60"/>
    <mergeCell ref="E97:I97"/>
    <mergeCell ref="AC120:AD120"/>
    <mergeCell ref="AC110:AD110"/>
    <mergeCell ref="C102:D102"/>
    <mergeCell ref="D86:F86"/>
    <mergeCell ref="E96:I96"/>
    <mergeCell ref="P72:R72"/>
    <mergeCell ref="AM121:AO121"/>
    <mergeCell ref="AB83:AF83"/>
    <mergeCell ref="AE113:AF113"/>
    <mergeCell ref="O19:P19"/>
    <mergeCell ref="Y96:AE96"/>
    <mergeCell ref="H79:J79"/>
    <mergeCell ref="P70:R70"/>
    <mergeCell ref="E98:I98"/>
    <mergeCell ref="H70:J70"/>
    <mergeCell ref="AB85:AF85"/>
    <mergeCell ref="J95:L95"/>
    <mergeCell ref="B71:C71"/>
    <mergeCell ref="AK102:AL102"/>
    <mergeCell ref="H81:J81"/>
    <mergeCell ref="AM116:AO116"/>
    <mergeCell ref="V8:AO8"/>
    <mergeCell ref="W20:X20"/>
    <mergeCell ref="O20:P20"/>
    <mergeCell ref="Y20:Z20"/>
    <mergeCell ref="AG77:AH77"/>
    <mergeCell ref="Q20:R20"/>
    <mergeCell ref="J96:L96"/>
    <mergeCell ref="AM118:AO118"/>
    <mergeCell ref="L90:N90"/>
    <mergeCell ref="AG75:AH75"/>
    <mergeCell ref="I21:J21"/>
    <mergeCell ref="AK64:AL64"/>
    <mergeCell ref="L65:N65"/>
    <mergeCell ref="H76:J76"/>
    <mergeCell ref="B16:AO16"/>
    <mergeCell ref="AI72:AJ72"/>
    <mergeCell ref="P83:R83"/>
    <mergeCell ref="AK72:AL72"/>
    <mergeCell ref="B18:AO18"/>
    <mergeCell ref="H63:J63"/>
    <mergeCell ref="B121:G121"/>
    <mergeCell ref="P85:R85"/>
    <mergeCell ref="W98:X98"/>
    <mergeCell ref="AM96:AO96"/>
    <mergeCell ref="L10:O10"/>
    <mergeCell ref="AM71:AO71"/>
    <mergeCell ref="AG82:AH82"/>
    <mergeCell ref="AM111:AO111"/>
    <mergeCell ref="AI82:AJ82"/>
    <mergeCell ref="AH21:AO21"/>
    <mergeCell ref="AK82:AL82"/>
    <mergeCell ref="AM98:AO98"/>
    <mergeCell ref="Y104:AE104"/>
    <mergeCell ref="AG65:AH65"/>
    <mergeCell ref="AI65:AJ65"/>
    <mergeCell ref="V94:AO94"/>
    <mergeCell ref="AF95:AH95"/>
    <mergeCell ref="AC121:AD121"/>
    <mergeCell ref="L114:T114"/>
    <mergeCell ref="C103:D103"/>
    <mergeCell ref="L84:N84"/>
    <mergeCell ref="D62:F62"/>
    <mergeCell ref="V116:AB116"/>
    <mergeCell ref="T75:V75"/>
    <mergeCell ref="AG115:AH115"/>
    <mergeCell ref="AE121:AF121"/>
    <mergeCell ref="AB84:AF84"/>
    <mergeCell ref="X75:Z75"/>
    <mergeCell ref="P78:R78"/>
    <mergeCell ref="L92:P92"/>
    <mergeCell ref="B73:C73"/>
    <mergeCell ref="D64:F64"/>
    <mergeCell ref="L80:N80"/>
    <mergeCell ref="P71:R71"/>
    <mergeCell ref="AB86:AF86"/>
    <mergeCell ref="AB61:AO61"/>
    <mergeCell ref="V111:AB111"/>
    <mergeCell ref="AF11:AI12"/>
    <mergeCell ref="P79:R79"/>
    <mergeCell ref="X70:Z70"/>
    <mergeCell ref="P73:R73"/>
    <mergeCell ref="B74:C74"/>
    <mergeCell ref="AM109:AO109"/>
    <mergeCell ref="B68:C68"/>
    <mergeCell ref="Y105:AE105"/>
    <mergeCell ref="C96:D96"/>
    <mergeCell ref="X82:Z82"/>
    <mergeCell ref="AK70:AL70"/>
    <mergeCell ref="Y99:AE99"/>
    <mergeCell ref="T68:V68"/>
    <mergeCell ref="Q21:R21"/>
    <mergeCell ref="AI78:AJ78"/>
    <mergeCell ref="S21:T21"/>
    <mergeCell ref="C98:D98"/>
    <mergeCell ref="Y101:AE101"/>
    <mergeCell ref="X65:Z65"/>
    <mergeCell ref="B11:E12"/>
    <mergeCell ref="D75:F75"/>
    <mergeCell ref="Y100:AE100"/>
    <mergeCell ref="AK71:AL71"/>
    <mergeCell ref="AE109:AF109"/>
    <mergeCell ref="AM73:AO73"/>
    <mergeCell ref="H120:N120"/>
    <mergeCell ref="H66:J66"/>
    <mergeCell ref="V114:AB114"/>
    <mergeCell ref="B67:C67"/>
    <mergeCell ref="AE111:AF111"/>
    <mergeCell ref="AK73:AL73"/>
    <mergeCell ref="AG111:AH111"/>
    <mergeCell ref="B69:C69"/>
    <mergeCell ref="AM114:AO114"/>
    <mergeCell ref="AK85:AL85"/>
    <mergeCell ref="V108:AO108"/>
    <mergeCell ref="J97:L97"/>
    <mergeCell ref="AB67:AF67"/>
    <mergeCell ref="AF96:AH96"/>
    <mergeCell ref="G10:J10"/>
    <mergeCell ref="V117:AB117"/>
    <mergeCell ref="B64:C64"/>
    <mergeCell ref="B8:T8"/>
    <mergeCell ref="B13:E13"/>
    <mergeCell ref="AB69:AF69"/>
    <mergeCell ref="AI113:AL113"/>
    <mergeCell ref="V119:AB119"/>
    <mergeCell ref="X78:Z78"/>
    <mergeCell ref="P81:R81"/>
    <mergeCell ref="AM117:AO117"/>
    <mergeCell ref="AM67:AO67"/>
    <mergeCell ref="AG109:AH109"/>
    <mergeCell ref="T74:V74"/>
    <mergeCell ref="AG84:AH84"/>
    <mergeCell ref="AI84:AJ84"/>
    <mergeCell ref="E92:I92"/>
    <mergeCell ref="K21:L21"/>
    <mergeCell ref="X73:Z73"/>
    <mergeCell ref="AM69:AO69"/>
    <mergeCell ref="B19:D19"/>
    <mergeCell ref="T76:V76"/>
    <mergeCell ref="AG86:AH86"/>
    <mergeCell ref="AI86:AJ86"/>
    <mergeCell ref="AI80:AJ80"/>
    <mergeCell ref="AI104:AJ104"/>
    <mergeCell ref="J105:L105"/>
    <mergeCell ref="T69:V69"/>
    <mergeCell ref="AK104:AL104"/>
    <mergeCell ref="D83:F83"/>
    <mergeCell ref="AI79:AJ79"/>
    <mergeCell ref="AK79:AL79"/>
    <mergeCell ref="Y102:AE102"/>
    <mergeCell ref="D85:F85"/>
    <mergeCell ref="AI81:AJ81"/>
    <mergeCell ref="H121:N121"/>
    <mergeCell ref="AE119:AF119"/>
    <mergeCell ref="AK81:AL81"/>
    <mergeCell ref="V10:Y10"/>
    <mergeCell ref="AB82:AF82"/>
    <mergeCell ref="H67:J67"/>
    <mergeCell ref="L11:O12"/>
    <mergeCell ref="L67:N67"/>
    <mergeCell ref="AE112:AF112"/>
    <mergeCell ref="AF101:AH101"/>
    <mergeCell ref="AM122:AO122"/>
    <mergeCell ref="AH7:AO7"/>
    <mergeCell ref="AE114:AF114"/>
    <mergeCell ref="U19:V19"/>
    <mergeCell ref="AG114:AH114"/>
    <mergeCell ref="W19:X19"/>
    <mergeCell ref="T62:V62"/>
    <mergeCell ref="L62:N62"/>
    <mergeCell ref="P104:Q104"/>
    <mergeCell ref="B72:C72"/>
    <mergeCell ref="J98:L98"/>
    <mergeCell ref="AK11:AO12"/>
    <mergeCell ref="M99:O99"/>
    <mergeCell ref="T89:V89"/>
    <mergeCell ref="AI99:AJ99"/>
    <mergeCell ref="T64:V64"/>
    <mergeCell ref="F5:AF5"/>
    <mergeCell ref="AI121:AL121"/>
    <mergeCell ref="L64:N64"/>
    <mergeCell ref="D78:F78"/>
    <mergeCell ref="X80:Z80"/>
    <mergeCell ref="AB75:AF75"/>
    <mergeCell ref="E20:F20"/>
    <mergeCell ref="AF104:AH104"/>
    <mergeCell ref="P105:Q105"/>
    <mergeCell ref="AF13:AI13"/>
    <mergeCell ref="D71:F71"/>
    <mergeCell ref="P99:Q99"/>
    <mergeCell ref="AE117:AF117"/>
    <mergeCell ref="X79:Z79"/>
    <mergeCell ref="V122:AB122"/>
    <mergeCell ref="B82:C82"/>
    <mergeCell ref="D73:F73"/>
    <mergeCell ref="P101:Q101"/>
    <mergeCell ref="X81:Z81"/>
    <mergeCell ref="AB70:AF70"/>
    <mergeCell ref="AF99:AH99"/>
    <mergeCell ref="T67:V67"/>
    <mergeCell ref="AG112:AH112"/>
    <mergeCell ref="T77:V77"/>
    <mergeCell ref="H82:J82"/>
    <mergeCell ref="B83:C83"/>
    <mergeCell ref="S92:W92"/>
    <mergeCell ref="L82:N82"/>
    <mergeCell ref="AG62:AH62"/>
    <mergeCell ref="AI62:AJ62"/>
    <mergeCell ref="AA21:AB21"/>
    <mergeCell ref="AC21:AD21"/>
    <mergeCell ref="AM72:AO72"/>
    <mergeCell ref="D84:F84"/>
    <mergeCell ref="L75:N75"/>
    <mergeCell ref="B85:C85"/>
    <mergeCell ref="AB65:AF65"/>
    <mergeCell ref="AI109:AL109"/>
    <mergeCell ref="P100:Q100"/>
    <mergeCell ref="C104:D104"/>
    <mergeCell ref="M105:O105"/>
    <mergeCell ref="AM82:AO82"/>
    <mergeCell ref="R95:T95"/>
    <mergeCell ref="AI111:AL111"/>
    <mergeCell ref="AB60:AO60"/>
    <mergeCell ref="P95:Q95"/>
    <mergeCell ref="R97:T97"/>
    <mergeCell ref="C99:D99"/>
    <mergeCell ref="M101:O101"/>
    <mergeCell ref="T72:V72"/>
    <mergeCell ref="AM83:AO83"/>
    <mergeCell ref="L72:N72"/>
    <mergeCell ref="R96:T96"/>
    <mergeCell ref="M100:O100"/>
    <mergeCell ref="T90:V90"/>
    <mergeCell ref="L13:O13"/>
    <mergeCell ref="AI100:AJ100"/>
    <mergeCell ref="AC113:AD113"/>
    <mergeCell ref="AK100:AL100"/>
    <mergeCell ref="D79:F79"/>
    <mergeCell ref="L70:N70"/>
    <mergeCell ref="AM85:AO85"/>
    <mergeCell ref="R98:T98"/>
    <mergeCell ref="M102:O102"/>
    <mergeCell ref="F2:AF3"/>
    <mergeCell ref="AF105:AH105"/>
    <mergeCell ref="AC118:AD118"/>
    <mergeCell ref="AI102:AJ102"/>
    <mergeCell ref="D81:F81"/>
    <mergeCell ref="P63:R63"/>
    <mergeCell ref="AB78:AF78"/>
    <mergeCell ref="AK95:AL95"/>
    <mergeCell ref="H74:J74"/>
    <mergeCell ref="H68:J68"/>
    <mergeCell ref="AC119:AD119"/>
    <mergeCell ref="E21:F21"/>
    <mergeCell ref="G21:H21"/>
    <mergeCell ref="AG64:AH64"/>
    <mergeCell ref="AK97:AL97"/>
    <mergeCell ref="D76:F76"/>
    <mergeCell ref="AI64:AJ64"/>
    <mergeCell ref="B108:T108"/>
    <mergeCell ref="AB73:AF73"/>
    <mergeCell ref="T83:V83"/>
    <mergeCell ref="L83:N83"/>
    <mergeCell ref="AH5:AO5"/>
    <mergeCell ref="H69:J69"/>
    <mergeCell ref="T85:V85"/>
    <mergeCell ref="B86:C86"/>
    <mergeCell ref="L85:N85"/>
    <mergeCell ref="T84:V84"/>
    <mergeCell ref="AC116:AD116"/>
    <mergeCell ref="V11:Y12"/>
    <mergeCell ref="C105:D105"/>
    <mergeCell ref="AI119:AL119"/>
    <mergeCell ref="T86:V86"/>
    <mergeCell ref="E104:I104"/>
    <mergeCell ref="P103:Q103"/>
    <mergeCell ref="AC19:AD19"/>
    <mergeCell ref="P97:Q97"/>
    <mergeCell ref="AE19:AF19"/>
    <mergeCell ref="AC117:AD117"/>
    <mergeCell ref="AI75:AJ75"/>
    <mergeCell ref="AI114:AL114"/>
    <mergeCell ref="AG83:AH83"/>
    <mergeCell ref="O120:T120"/>
    <mergeCell ref="AC115:AD115"/>
    <mergeCell ref="B61:Z61"/>
    <mergeCell ref="W101:X101"/>
    <mergeCell ref="H64:J64"/>
    <mergeCell ref="AG110:AH110"/>
    <mergeCell ref="L71:N71"/>
    <mergeCell ref="R104:T104"/>
    <mergeCell ref="AB80:AF80"/>
    <mergeCell ref="AI103:AJ103"/>
    <mergeCell ref="AK103:AL103"/>
    <mergeCell ref="B66:C66"/>
    <mergeCell ref="L73:N73"/>
    <mergeCell ref="AI117:AL117"/>
    <mergeCell ref="AB79:AF79"/>
    <mergeCell ref="B124:T124"/>
    <mergeCell ref="B110:J111"/>
    <mergeCell ref="AG72:AH72"/>
    <mergeCell ref="W104:X104"/>
    <mergeCell ref="X63:Z63"/>
    <mergeCell ref="P66:R66"/>
    <mergeCell ref="AM119:AO119"/>
    <mergeCell ref="AB81:AF81"/>
    <mergeCell ref="AM75:AO75"/>
    <mergeCell ref="AG70:AH70"/>
    <mergeCell ref="AI70:AJ70"/>
    <mergeCell ref="H77:J77"/>
    <mergeCell ref="P68:R68"/>
    <mergeCell ref="AC122:AD122"/>
    <mergeCell ref="M21:N21"/>
    <mergeCell ref="O21:P21"/>
    <mergeCell ref="AM104:AO104"/>
    <mergeCell ref="AI63:AJ63"/>
    <mergeCell ref="W105:X105"/>
    <mergeCell ref="AK63:AL63"/>
    <mergeCell ref="L86:N86"/>
    <mergeCell ref="AG71:AH71"/>
    <mergeCell ref="AI71:AJ71"/>
    <mergeCell ref="F4:AF4"/>
    <mergeCell ref="I19:J19"/>
    <mergeCell ref="K19:L19"/>
    <mergeCell ref="AM66:AO66"/>
    <mergeCell ref="AK66:AL66"/>
    <mergeCell ref="H89:J89"/>
    <mergeCell ref="AE20:AF20"/>
    <mergeCell ref="AM68:AO68"/>
    <mergeCell ref="AI122:AL122"/>
    <mergeCell ref="AG85:AH85"/>
    <mergeCell ref="H88:J88"/>
    <mergeCell ref="J104:L104"/>
    <mergeCell ref="AK78:AL78"/>
    <mergeCell ref="L79:N79"/>
    <mergeCell ref="H90:J90"/>
    <mergeCell ref="T70:V70"/>
    <mergeCell ref="H65:J65"/>
    <mergeCell ref="AG80:AH80"/>
    <mergeCell ref="AE122:AF122"/>
    <mergeCell ref="AH19:AO19"/>
    <mergeCell ref="R105:T105"/>
    <mergeCell ref="L81:N81"/>
    <mergeCell ref="B7:AF7"/>
    <mergeCell ref="V112:AB112"/>
    <mergeCell ref="AC109:AD109"/>
    <mergeCell ref="X71:Z71"/>
    <mergeCell ref="P74:R74"/>
    <mergeCell ref="AF10:AI10"/>
    <mergeCell ref="B109:J109"/>
    <mergeCell ref="E100:I100"/>
    <mergeCell ref="P76:R76"/>
    <mergeCell ref="AM112:AO112"/>
    <mergeCell ref="AA11:AD12"/>
    <mergeCell ref="B119:T119"/>
    <mergeCell ref="X66:Z66"/>
    <mergeCell ref="P69:R69"/>
    <mergeCell ref="AM62:AO62"/>
    <mergeCell ref="E102:I102"/>
    <mergeCell ref="AM105:AO105"/>
    <mergeCell ref="AG79:AH79"/>
    <mergeCell ref="B75:C75"/>
    <mergeCell ref="AG73:AH73"/>
    <mergeCell ref="C101:D101"/>
    <mergeCell ref="B120:G120"/>
    <mergeCell ref="AI73:AJ73"/>
    <mergeCell ref="B62:C62"/>
    <mergeCell ref="H85:J85"/>
    <mergeCell ref="AM120:AO120"/>
    <mergeCell ref="D70:F70"/>
    <mergeCell ref="AG81:AH81"/>
    <mergeCell ref="Y95:AE95"/>
    <mergeCell ref="J100:L100"/>
    <mergeCell ref="B70:C70"/>
    <mergeCell ref="AI74:AJ74"/>
    <mergeCell ref="K20:L20"/>
    <mergeCell ref="AE110:AF110"/>
    <mergeCell ref="AK74:AL74"/>
    <mergeCell ref="M20:N20"/>
    <mergeCell ref="Y97:AE97"/>
    <mergeCell ref="AK68:AL68"/>
    <mergeCell ref="B15:AO15"/>
    <mergeCell ref="H80:J80"/>
    <mergeCell ref="Y19:Z19"/>
    <mergeCell ref="AG76:AH76"/>
    <mergeCell ref="Q19:R19"/>
    <mergeCell ref="H62:J62"/>
    <mergeCell ref="V107:AO107"/>
    <mergeCell ref="B114:J114"/>
    <mergeCell ref="B122:T122"/>
    <mergeCell ref="AK69:AL69"/>
    <mergeCell ref="P89:R89"/>
    <mergeCell ref="W102:X102"/>
    <mergeCell ref="P64:R64"/>
    <mergeCell ref="P88:R88"/>
    <mergeCell ref="B65:C65"/>
    <mergeCell ref="Q10:T10"/>
    <mergeCell ref="D63:F63"/>
    <mergeCell ref="T82:V82"/>
    <mergeCell ref="AM110:AO110"/>
    <mergeCell ref="U124:AO124"/>
    <mergeCell ref="W103:X103"/>
    <mergeCell ref="B10:E10"/>
  </mergeCells>
  <conditionalFormatting sqref="B7:AF7">
    <cfRule type="expression" priority="1" dxfId="0" stopIfTrue="1">
      <formula>$AQ$7&gt;0</formula>
    </cfRule>
    <cfRule type="expression" priority="2" dxfId="1" stopIfTrue="1">
      <formula>$AR$7&gt;0</formula>
    </cfRule>
    <cfRule type="expression" priority="3" dxfId="2" stopIfTrue="1">
      <formula>$AS$7&gt;0</formula>
    </cfRule>
    <cfRule type="expression" priority="4" dxfId="3" stopIfTrue="1">
      <formula>$AT$7&gt;0</formula>
    </cfRule>
  </conditionalFormatting>
  <conditionalFormatting sqref="AH7:AO7">
    <cfRule type="expression" priority="5" dxfId="1" stopIfTrue="1">
      <formula>$AT$8&lt;50</formula>
    </cfRule>
    <cfRule type="expression" priority="6" dxfId="3" stopIfTrue="1">
      <formula>$AT$8&lt;70</formula>
    </cfRule>
    <cfRule type="expression" priority="7" dxfId="4" stopIfTrue="1">
      <formula>$AT$8&lt;85</formula>
    </cfRule>
    <cfRule type="expression" priority="8" dxfId="5" stopIfTrue="1">
      <formula>$AT$8&gt;=85</formula>
    </cfRule>
  </conditionalFormatting>
  <conditionalFormatting sqref="G11">
    <cfRule type="cellIs" priority="9" operator="greaterThan" dxfId="6">
      <formula>0</formula>
    </cfRule>
  </conditionalFormatting>
  <conditionalFormatting sqref="L11">
    <cfRule type="cellIs" priority="10" operator="greaterThan" dxfId="7">
      <formula>0</formula>
    </cfRule>
  </conditionalFormatting>
  <conditionalFormatting sqref="AF11">
    <cfRule type="cellIs" priority="11" operator="greaterThan" dxfId="6">
      <formula>0</formula>
    </cfRule>
  </conditionalFormatting>
  <conditionalFormatting sqref="E21:AF21">
    <cfRule type="cellIs" priority="12" operator="greaterThanOrEqual" dxfId="8">
      <formula>3</formula>
    </cfRule>
    <cfRule type="cellIs" priority="13" operator="equal" dxfId="9">
      <formula>2</formula>
    </cfRule>
    <cfRule type="cellIs" priority="14" operator="equal" dxfId="10">
      <formula>1</formula>
    </cfRule>
  </conditionalFormatting>
  <conditionalFormatting sqref="D62:F62">
    <cfRule type="expression" priority="15" dxfId="1" stopIfTrue="0">
      <formula>AND(ISNUMBER(D62),D62&lt;0)</formula>
    </cfRule>
    <cfRule type="expression" priority="16" dxfId="2" stopIfTrue="0">
      <formula>AND(ISNUMBER(D62),D62&gt;0)</formula>
    </cfRule>
    <cfRule type="expression" priority="17" dxfId="11" stopIfTrue="0">
      <formula>D62="CV"</formula>
    </cfRule>
  </conditionalFormatting>
  <conditionalFormatting sqref="H62:J62">
    <cfRule type="expression" priority="18" dxfId="1" stopIfTrue="0">
      <formula>AND(ISNUMBER(H62),H62&lt;0)</formula>
    </cfRule>
    <cfRule type="expression" priority="19" dxfId="2" stopIfTrue="0">
      <formula>AND(ISNUMBER(H62),H62&gt;0)</formula>
    </cfRule>
    <cfRule type="expression" priority="20" dxfId="11" stopIfTrue="0">
      <formula>H62="CV"</formula>
    </cfRule>
  </conditionalFormatting>
  <conditionalFormatting sqref="L62:N62">
    <cfRule type="expression" priority="21" dxfId="1" stopIfTrue="0">
      <formula>AND(ISNUMBER(L62),L62&lt;0)</formula>
    </cfRule>
    <cfRule type="expression" priority="22" dxfId="2" stopIfTrue="0">
      <formula>AND(ISNUMBER(L62),L62&gt;0)</formula>
    </cfRule>
    <cfRule type="expression" priority="23" dxfId="11" stopIfTrue="0">
      <formula>L62="CV"</formula>
    </cfRule>
  </conditionalFormatting>
  <conditionalFormatting sqref="P62:R62">
    <cfRule type="expression" priority="24" dxfId="1" stopIfTrue="0">
      <formula>AND(ISNUMBER(P62),P62&lt;0)</formula>
    </cfRule>
    <cfRule type="expression" priority="25" dxfId="2" stopIfTrue="0">
      <formula>AND(ISNUMBER(P62),P62&gt;0)</formula>
    </cfRule>
    <cfRule type="expression" priority="26" dxfId="11" stopIfTrue="0">
      <formula>P62="CV"</formula>
    </cfRule>
  </conditionalFormatting>
  <conditionalFormatting sqref="T62:V62">
    <cfRule type="expression" priority="27" dxfId="1" stopIfTrue="0">
      <formula>AND(ISNUMBER(T62),T62&lt;0)</formula>
    </cfRule>
    <cfRule type="expression" priority="28" dxfId="2" stopIfTrue="0">
      <formula>AND(ISNUMBER(T62),T62&gt;0)</formula>
    </cfRule>
    <cfRule type="expression" priority="29" dxfId="11" stopIfTrue="0">
      <formula>T62="CV"</formula>
    </cfRule>
  </conditionalFormatting>
  <conditionalFormatting sqref="X62:Z62">
    <cfRule type="expression" priority="30" dxfId="1" stopIfTrue="0">
      <formula>AND(ISNUMBER(X62),X62&lt;0)</formula>
    </cfRule>
    <cfRule type="expression" priority="31" dxfId="2" stopIfTrue="0">
      <formula>AND(ISNUMBER(X62),X62&gt;0)</formula>
    </cfRule>
    <cfRule type="expression" priority="32" dxfId="11" stopIfTrue="0">
      <formula>X62="CV"</formula>
    </cfRule>
  </conditionalFormatting>
  <conditionalFormatting sqref="D63:F63">
    <cfRule type="expression" priority="33" dxfId="1" stopIfTrue="0">
      <formula>AND(ISNUMBER(D63),D63&lt;0)</formula>
    </cfRule>
    <cfRule type="expression" priority="34" dxfId="2" stopIfTrue="0">
      <formula>AND(ISNUMBER(D63),D63&gt;0)</formula>
    </cfRule>
    <cfRule type="expression" priority="35" dxfId="11" stopIfTrue="0">
      <formula>D63="CV"</formula>
    </cfRule>
  </conditionalFormatting>
  <conditionalFormatting sqref="H63:J63">
    <cfRule type="expression" priority="36" dxfId="1" stopIfTrue="0">
      <formula>AND(ISNUMBER(H63),H63&lt;0)</formula>
    </cfRule>
    <cfRule type="expression" priority="37" dxfId="2" stopIfTrue="0">
      <formula>AND(ISNUMBER(H63),H63&gt;0)</formula>
    </cfRule>
    <cfRule type="expression" priority="38" dxfId="11" stopIfTrue="0">
      <formula>H63="CV"</formula>
    </cfRule>
  </conditionalFormatting>
  <conditionalFormatting sqref="L63:N63">
    <cfRule type="expression" priority="39" dxfId="1" stopIfTrue="0">
      <formula>AND(ISNUMBER(L63),L63&lt;0)</formula>
    </cfRule>
    <cfRule type="expression" priority="40" dxfId="2" stopIfTrue="0">
      <formula>AND(ISNUMBER(L63),L63&gt;0)</formula>
    </cfRule>
    <cfRule type="expression" priority="41" dxfId="11" stopIfTrue="0">
      <formula>L63="CV"</formula>
    </cfRule>
  </conditionalFormatting>
  <conditionalFormatting sqref="P63:R63">
    <cfRule type="expression" priority="42" dxfId="1" stopIfTrue="0">
      <formula>AND(ISNUMBER(P63),P63&lt;0)</formula>
    </cfRule>
    <cfRule type="expression" priority="43" dxfId="2" stopIfTrue="0">
      <formula>AND(ISNUMBER(P63),P63&gt;0)</formula>
    </cfRule>
    <cfRule type="expression" priority="44" dxfId="11" stopIfTrue="0">
      <formula>P63="CV"</formula>
    </cfRule>
  </conditionalFormatting>
  <conditionalFormatting sqref="T63:V63">
    <cfRule type="expression" priority="45" dxfId="1" stopIfTrue="0">
      <formula>AND(ISNUMBER(T63),T63&lt;0)</formula>
    </cfRule>
    <cfRule type="expression" priority="46" dxfId="2" stopIfTrue="0">
      <formula>AND(ISNUMBER(T63),T63&gt;0)</formula>
    </cfRule>
    <cfRule type="expression" priority="47" dxfId="11" stopIfTrue="0">
      <formula>T63="CV"</formula>
    </cfRule>
  </conditionalFormatting>
  <conditionalFormatting sqref="X63:Z63">
    <cfRule type="expression" priority="48" dxfId="1" stopIfTrue="0">
      <formula>AND(ISNUMBER(X63),X63&lt;0)</formula>
    </cfRule>
    <cfRule type="expression" priority="49" dxfId="2" stopIfTrue="0">
      <formula>AND(ISNUMBER(X63),X63&gt;0)</formula>
    </cfRule>
    <cfRule type="expression" priority="50" dxfId="11" stopIfTrue="0">
      <formula>X63="CV"</formula>
    </cfRule>
  </conditionalFormatting>
  <conditionalFormatting sqref="D64:F64">
    <cfRule type="expression" priority="51" dxfId="1" stopIfTrue="0">
      <formula>AND(ISNUMBER(D64),D64&lt;0)</formula>
    </cfRule>
    <cfRule type="expression" priority="52" dxfId="2" stopIfTrue="0">
      <formula>AND(ISNUMBER(D64),D64&gt;0)</formula>
    </cfRule>
    <cfRule type="expression" priority="53" dxfId="11" stopIfTrue="0">
      <formula>D64="CV"</formula>
    </cfRule>
  </conditionalFormatting>
  <conditionalFormatting sqref="H64:J64">
    <cfRule type="expression" priority="54" dxfId="1" stopIfTrue="0">
      <formula>AND(ISNUMBER(H64),H64&lt;0)</formula>
    </cfRule>
    <cfRule type="expression" priority="55" dxfId="2" stopIfTrue="0">
      <formula>AND(ISNUMBER(H64),H64&gt;0)</formula>
    </cfRule>
    <cfRule type="expression" priority="56" dxfId="11" stopIfTrue="0">
      <formula>H64="CV"</formula>
    </cfRule>
  </conditionalFormatting>
  <conditionalFormatting sqref="L64:N64">
    <cfRule type="expression" priority="57" dxfId="1" stopIfTrue="0">
      <formula>AND(ISNUMBER(L64),L64&lt;0)</formula>
    </cfRule>
    <cfRule type="expression" priority="58" dxfId="2" stopIfTrue="0">
      <formula>AND(ISNUMBER(L64),L64&gt;0)</formula>
    </cfRule>
    <cfRule type="expression" priority="59" dxfId="11" stopIfTrue="0">
      <formula>L64="CV"</formula>
    </cfRule>
  </conditionalFormatting>
  <conditionalFormatting sqref="P64:R64">
    <cfRule type="expression" priority="60" dxfId="1" stopIfTrue="0">
      <formula>AND(ISNUMBER(P64),P64&lt;0)</formula>
    </cfRule>
    <cfRule type="expression" priority="61" dxfId="2" stopIfTrue="0">
      <formula>AND(ISNUMBER(P64),P64&gt;0)</formula>
    </cfRule>
    <cfRule type="expression" priority="62" dxfId="11" stopIfTrue="0">
      <formula>P64="CV"</formula>
    </cfRule>
  </conditionalFormatting>
  <conditionalFormatting sqref="T64:V64">
    <cfRule type="expression" priority="63" dxfId="1" stopIfTrue="0">
      <formula>AND(ISNUMBER(T64),T64&lt;0)</formula>
    </cfRule>
    <cfRule type="expression" priority="64" dxfId="2" stopIfTrue="0">
      <formula>AND(ISNUMBER(T64),T64&gt;0)</formula>
    </cfRule>
    <cfRule type="expression" priority="65" dxfId="11" stopIfTrue="0">
      <formula>T64="CV"</formula>
    </cfRule>
  </conditionalFormatting>
  <conditionalFormatting sqref="X64:Z64">
    <cfRule type="expression" priority="66" dxfId="1" stopIfTrue="0">
      <formula>AND(ISNUMBER(X64),X64&lt;0)</formula>
    </cfRule>
    <cfRule type="expression" priority="67" dxfId="2" stopIfTrue="0">
      <formula>AND(ISNUMBER(X64),X64&gt;0)</formula>
    </cfRule>
    <cfRule type="expression" priority="68" dxfId="11" stopIfTrue="0">
      <formula>X64="CV"</formula>
    </cfRule>
  </conditionalFormatting>
  <conditionalFormatting sqref="D65:F65">
    <cfRule type="expression" priority="69" dxfId="1" stopIfTrue="0">
      <formula>AND(ISNUMBER(D65),D65&lt;0)</formula>
    </cfRule>
    <cfRule type="expression" priority="70" dxfId="2" stopIfTrue="0">
      <formula>AND(ISNUMBER(D65),D65&gt;0)</formula>
    </cfRule>
    <cfRule type="expression" priority="71" dxfId="11" stopIfTrue="0">
      <formula>D65="CV"</formula>
    </cfRule>
  </conditionalFormatting>
  <conditionalFormatting sqref="H65:J65">
    <cfRule type="expression" priority="72" dxfId="1" stopIfTrue="0">
      <formula>AND(ISNUMBER(H65),H65&lt;0)</formula>
    </cfRule>
    <cfRule type="expression" priority="73" dxfId="2" stopIfTrue="0">
      <formula>AND(ISNUMBER(H65),H65&gt;0)</formula>
    </cfRule>
    <cfRule type="expression" priority="74" dxfId="11" stopIfTrue="0">
      <formula>H65="CV"</formula>
    </cfRule>
  </conditionalFormatting>
  <conditionalFormatting sqref="L65:N65">
    <cfRule type="expression" priority="75" dxfId="1" stopIfTrue="0">
      <formula>AND(ISNUMBER(L65),L65&lt;0)</formula>
    </cfRule>
    <cfRule type="expression" priority="76" dxfId="2" stopIfTrue="0">
      <formula>AND(ISNUMBER(L65),L65&gt;0)</formula>
    </cfRule>
    <cfRule type="expression" priority="77" dxfId="11" stopIfTrue="0">
      <formula>L65="CV"</formula>
    </cfRule>
  </conditionalFormatting>
  <conditionalFormatting sqref="P65:R65">
    <cfRule type="expression" priority="78" dxfId="1" stopIfTrue="0">
      <formula>AND(ISNUMBER(P65),P65&lt;0)</formula>
    </cfRule>
    <cfRule type="expression" priority="79" dxfId="2" stopIfTrue="0">
      <formula>AND(ISNUMBER(P65),P65&gt;0)</formula>
    </cfRule>
    <cfRule type="expression" priority="80" dxfId="11" stopIfTrue="0">
      <formula>P65="CV"</formula>
    </cfRule>
  </conditionalFormatting>
  <conditionalFormatting sqref="T65:V65">
    <cfRule type="expression" priority="81" dxfId="1" stopIfTrue="0">
      <formula>AND(ISNUMBER(T65),T65&lt;0)</formula>
    </cfRule>
    <cfRule type="expression" priority="82" dxfId="2" stopIfTrue="0">
      <formula>AND(ISNUMBER(T65),T65&gt;0)</formula>
    </cfRule>
    <cfRule type="expression" priority="83" dxfId="11" stopIfTrue="0">
      <formula>T65="CV"</formula>
    </cfRule>
  </conditionalFormatting>
  <conditionalFormatting sqref="X65:Z65">
    <cfRule type="expression" priority="84" dxfId="1" stopIfTrue="0">
      <formula>AND(ISNUMBER(X65),X65&lt;0)</formula>
    </cfRule>
    <cfRule type="expression" priority="85" dxfId="2" stopIfTrue="0">
      <formula>AND(ISNUMBER(X65),X65&gt;0)</formula>
    </cfRule>
    <cfRule type="expression" priority="86" dxfId="11" stopIfTrue="0">
      <formula>X65="CV"</formula>
    </cfRule>
  </conditionalFormatting>
  <conditionalFormatting sqref="D66:F66">
    <cfRule type="expression" priority="87" dxfId="1" stopIfTrue="0">
      <formula>AND(ISNUMBER(D66),D66&lt;0)</formula>
    </cfRule>
    <cfRule type="expression" priority="88" dxfId="2" stopIfTrue="0">
      <formula>AND(ISNUMBER(D66),D66&gt;0)</formula>
    </cfRule>
    <cfRule type="expression" priority="89" dxfId="11" stopIfTrue="0">
      <formula>D66="CV"</formula>
    </cfRule>
  </conditionalFormatting>
  <conditionalFormatting sqref="H66:J66">
    <cfRule type="expression" priority="90" dxfId="1" stopIfTrue="0">
      <formula>AND(ISNUMBER(H66),H66&lt;0)</formula>
    </cfRule>
    <cfRule type="expression" priority="91" dxfId="2" stopIfTrue="0">
      <formula>AND(ISNUMBER(H66),H66&gt;0)</formula>
    </cfRule>
    <cfRule type="expression" priority="92" dxfId="11" stopIfTrue="0">
      <formula>H66="CV"</formula>
    </cfRule>
  </conditionalFormatting>
  <conditionalFormatting sqref="L66:N66">
    <cfRule type="expression" priority="93" dxfId="1" stopIfTrue="0">
      <formula>AND(ISNUMBER(L66),L66&lt;0)</formula>
    </cfRule>
    <cfRule type="expression" priority="94" dxfId="2" stopIfTrue="0">
      <formula>AND(ISNUMBER(L66),L66&gt;0)</formula>
    </cfRule>
    <cfRule type="expression" priority="95" dxfId="11" stopIfTrue="0">
      <formula>L66="CV"</formula>
    </cfRule>
  </conditionalFormatting>
  <conditionalFormatting sqref="P66:R66">
    <cfRule type="expression" priority="96" dxfId="1" stopIfTrue="0">
      <formula>AND(ISNUMBER(P66),P66&lt;0)</formula>
    </cfRule>
    <cfRule type="expression" priority="97" dxfId="2" stopIfTrue="0">
      <formula>AND(ISNUMBER(P66),P66&gt;0)</formula>
    </cfRule>
    <cfRule type="expression" priority="98" dxfId="11" stopIfTrue="0">
      <formula>P66="CV"</formula>
    </cfRule>
  </conditionalFormatting>
  <conditionalFormatting sqref="T66:V66">
    <cfRule type="expression" priority="99" dxfId="1" stopIfTrue="0">
      <formula>AND(ISNUMBER(T66),T66&lt;0)</formula>
    </cfRule>
    <cfRule type="expression" priority="100" dxfId="2" stopIfTrue="0">
      <formula>AND(ISNUMBER(T66),T66&gt;0)</formula>
    </cfRule>
    <cfRule type="expression" priority="101" dxfId="11" stopIfTrue="0">
      <formula>T66="CV"</formula>
    </cfRule>
  </conditionalFormatting>
  <conditionalFormatting sqref="X66:Z66">
    <cfRule type="expression" priority="102" dxfId="1" stopIfTrue="0">
      <formula>AND(ISNUMBER(X66),X66&lt;0)</formula>
    </cfRule>
    <cfRule type="expression" priority="103" dxfId="2" stopIfTrue="0">
      <formula>AND(ISNUMBER(X66),X66&gt;0)</formula>
    </cfRule>
    <cfRule type="expression" priority="104" dxfId="11" stopIfTrue="0">
      <formula>X66="CV"</formula>
    </cfRule>
  </conditionalFormatting>
  <conditionalFormatting sqref="D67:F67">
    <cfRule type="expression" priority="105" dxfId="1" stopIfTrue="0">
      <formula>AND(ISNUMBER(D67),D67&lt;0)</formula>
    </cfRule>
    <cfRule type="expression" priority="106" dxfId="2" stopIfTrue="0">
      <formula>AND(ISNUMBER(D67),D67&gt;0)</formula>
    </cfRule>
    <cfRule type="expression" priority="107" dxfId="11" stopIfTrue="0">
      <formula>D67="CV"</formula>
    </cfRule>
  </conditionalFormatting>
  <conditionalFormatting sqref="H67:J67">
    <cfRule type="expression" priority="108" dxfId="1" stopIfTrue="0">
      <formula>AND(ISNUMBER(H67),H67&lt;0)</formula>
    </cfRule>
    <cfRule type="expression" priority="109" dxfId="2" stopIfTrue="0">
      <formula>AND(ISNUMBER(H67),H67&gt;0)</formula>
    </cfRule>
    <cfRule type="expression" priority="110" dxfId="11" stopIfTrue="0">
      <formula>H67="CV"</formula>
    </cfRule>
  </conditionalFormatting>
  <conditionalFormatting sqref="L67:N67">
    <cfRule type="expression" priority="111" dxfId="1" stopIfTrue="0">
      <formula>AND(ISNUMBER(L67),L67&lt;0)</formula>
    </cfRule>
    <cfRule type="expression" priority="112" dxfId="2" stopIfTrue="0">
      <formula>AND(ISNUMBER(L67),L67&gt;0)</formula>
    </cfRule>
    <cfRule type="expression" priority="113" dxfId="11" stopIfTrue="0">
      <formula>L67="CV"</formula>
    </cfRule>
  </conditionalFormatting>
  <conditionalFormatting sqref="P67:R67">
    <cfRule type="expression" priority="114" dxfId="1" stopIfTrue="0">
      <formula>AND(ISNUMBER(P67),P67&lt;0)</formula>
    </cfRule>
    <cfRule type="expression" priority="115" dxfId="2" stopIfTrue="0">
      <formula>AND(ISNUMBER(P67),P67&gt;0)</formula>
    </cfRule>
    <cfRule type="expression" priority="116" dxfId="11" stopIfTrue="0">
      <formula>P67="CV"</formula>
    </cfRule>
  </conditionalFormatting>
  <conditionalFormatting sqref="T67:V67">
    <cfRule type="expression" priority="117" dxfId="1" stopIfTrue="0">
      <formula>AND(ISNUMBER(T67),T67&lt;0)</formula>
    </cfRule>
    <cfRule type="expression" priority="118" dxfId="2" stopIfTrue="0">
      <formula>AND(ISNUMBER(T67),T67&gt;0)</formula>
    </cfRule>
    <cfRule type="expression" priority="119" dxfId="11" stopIfTrue="0">
      <formula>T67="CV"</formula>
    </cfRule>
  </conditionalFormatting>
  <conditionalFormatting sqref="X67:Z67">
    <cfRule type="expression" priority="120" dxfId="1" stopIfTrue="0">
      <formula>AND(ISNUMBER(X67),X67&lt;0)</formula>
    </cfRule>
    <cfRule type="expression" priority="121" dxfId="2" stopIfTrue="0">
      <formula>AND(ISNUMBER(X67),X67&gt;0)</formula>
    </cfRule>
    <cfRule type="expression" priority="122" dxfId="11" stopIfTrue="0">
      <formula>X67="CV"</formula>
    </cfRule>
  </conditionalFormatting>
  <conditionalFormatting sqref="D68:F68">
    <cfRule type="expression" priority="123" dxfId="1" stopIfTrue="0">
      <formula>AND(ISNUMBER(D68),D68&lt;0)</formula>
    </cfRule>
    <cfRule type="expression" priority="124" dxfId="2" stopIfTrue="0">
      <formula>AND(ISNUMBER(D68),D68&gt;0)</formula>
    </cfRule>
    <cfRule type="expression" priority="125" dxfId="11" stopIfTrue="0">
      <formula>D68="CV"</formula>
    </cfRule>
  </conditionalFormatting>
  <conditionalFormatting sqref="H68:J68">
    <cfRule type="expression" priority="126" dxfId="1" stopIfTrue="0">
      <formula>AND(ISNUMBER(H68),H68&lt;0)</formula>
    </cfRule>
    <cfRule type="expression" priority="127" dxfId="2" stopIfTrue="0">
      <formula>AND(ISNUMBER(H68),H68&gt;0)</formula>
    </cfRule>
    <cfRule type="expression" priority="128" dxfId="11" stopIfTrue="0">
      <formula>H68="CV"</formula>
    </cfRule>
  </conditionalFormatting>
  <conditionalFormatting sqref="L68:N68">
    <cfRule type="expression" priority="129" dxfId="1" stopIfTrue="0">
      <formula>AND(ISNUMBER(L68),L68&lt;0)</formula>
    </cfRule>
    <cfRule type="expression" priority="130" dxfId="2" stopIfTrue="0">
      <formula>AND(ISNUMBER(L68),L68&gt;0)</formula>
    </cfRule>
    <cfRule type="expression" priority="131" dxfId="11" stopIfTrue="0">
      <formula>L68="CV"</formula>
    </cfRule>
  </conditionalFormatting>
  <conditionalFormatting sqref="P68:R68">
    <cfRule type="expression" priority="132" dxfId="1" stopIfTrue="0">
      <formula>AND(ISNUMBER(P68),P68&lt;0)</formula>
    </cfRule>
    <cfRule type="expression" priority="133" dxfId="2" stopIfTrue="0">
      <formula>AND(ISNUMBER(P68),P68&gt;0)</formula>
    </cfRule>
    <cfRule type="expression" priority="134" dxfId="11" stopIfTrue="0">
      <formula>P68="CV"</formula>
    </cfRule>
  </conditionalFormatting>
  <conditionalFormatting sqref="T68:V68">
    <cfRule type="expression" priority="135" dxfId="1" stopIfTrue="0">
      <formula>AND(ISNUMBER(T68),T68&lt;0)</formula>
    </cfRule>
    <cfRule type="expression" priority="136" dxfId="2" stopIfTrue="0">
      <formula>AND(ISNUMBER(T68),T68&gt;0)</formula>
    </cfRule>
    <cfRule type="expression" priority="137" dxfId="11" stopIfTrue="0">
      <formula>T68="CV"</formula>
    </cfRule>
  </conditionalFormatting>
  <conditionalFormatting sqref="X68:Z68">
    <cfRule type="expression" priority="138" dxfId="1" stopIfTrue="0">
      <formula>AND(ISNUMBER(X68),X68&lt;0)</formula>
    </cfRule>
    <cfRule type="expression" priority="139" dxfId="2" stopIfTrue="0">
      <formula>AND(ISNUMBER(X68),X68&gt;0)</formula>
    </cfRule>
    <cfRule type="expression" priority="140" dxfId="11" stopIfTrue="0">
      <formula>X68="CV"</formula>
    </cfRule>
  </conditionalFormatting>
  <conditionalFormatting sqref="D69:F69">
    <cfRule type="expression" priority="141" dxfId="1" stopIfTrue="0">
      <formula>AND(ISNUMBER(D69),D69&lt;0)</formula>
    </cfRule>
    <cfRule type="expression" priority="142" dxfId="2" stopIfTrue="0">
      <formula>AND(ISNUMBER(D69),D69&gt;0)</formula>
    </cfRule>
    <cfRule type="expression" priority="143" dxfId="11" stopIfTrue="0">
      <formula>D69="CV"</formula>
    </cfRule>
  </conditionalFormatting>
  <conditionalFormatting sqref="H69:J69">
    <cfRule type="expression" priority="144" dxfId="1" stopIfTrue="0">
      <formula>AND(ISNUMBER(H69),H69&lt;0)</formula>
    </cfRule>
    <cfRule type="expression" priority="145" dxfId="2" stopIfTrue="0">
      <formula>AND(ISNUMBER(H69),H69&gt;0)</formula>
    </cfRule>
    <cfRule type="expression" priority="146" dxfId="11" stopIfTrue="0">
      <formula>H69="CV"</formula>
    </cfRule>
  </conditionalFormatting>
  <conditionalFormatting sqref="L69:N69">
    <cfRule type="expression" priority="147" dxfId="1" stopIfTrue="0">
      <formula>AND(ISNUMBER(L69),L69&lt;0)</formula>
    </cfRule>
    <cfRule type="expression" priority="148" dxfId="2" stopIfTrue="0">
      <formula>AND(ISNUMBER(L69),L69&gt;0)</formula>
    </cfRule>
    <cfRule type="expression" priority="149" dxfId="11" stopIfTrue="0">
      <formula>L69="CV"</formula>
    </cfRule>
  </conditionalFormatting>
  <conditionalFormatting sqref="P69:R69">
    <cfRule type="expression" priority="150" dxfId="1" stopIfTrue="0">
      <formula>AND(ISNUMBER(P69),P69&lt;0)</formula>
    </cfRule>
    <cfRule type="expression" priority="151" dxfId="2" stopIfTrue="0">
      <formula>AND(ISNUMBER(P69),P69&gt;0)</formula>
    </cfRule>
    <cfRule type="expression" priority="152" dxfId="11" stopIfTrue="0">
      <formula>P69="CV"</formula>
    </cfRule>
  </conditionalFormatting>
  <conditionalFormatting sqref="T69:V69">
    <cfRule type="expression" priority="153" dxfId="1" stopIfTrue="0">
      <formula>AND(ISNUMBER(T69),T69&lt;0)</formula>
    </cfRule>
    <cfRule type="expression" priority="154" dxfId="2" stopIfTrue="0">
      <formula>AND(ISNUMBER(T69),T69&gt;0)</formula>
    </cfRule>
    <cfRule type="expression" priority="155" dxfId="11" stopIfTrue="0">
      <formula>T69="CV"</formula>
    </cfRule>
  </conditionalFormatting>
  <conditionalFormatting sqref="X69:Z69">
    <cfRule type="expression" priority="156" dxfId="1" stopIfTrue="0">
      <formula>AND(ISNUMBER(X69),X69&lt;0)</formula>
    </cfRule>
    <cfRule type="expression" priority="157" dxfId="2" stopIfTrue="0">
      <formula>AND(ISNUMBER(X69),X69&gt;0)</formula>
    </cfRule>
    <cfRule type="expression" priority="158" dxfId="11" stopIfTrue="0">
      <formula>X69="CV"</formula>
    </cfRule>
  </conditionalFormatting>
  <conditionalFormatting sqref="D70:F70">
    <cfRule type="expression" priority="159" dxfId="1" stopIfTrue="0">
      <formula>AND(ISNUMBER(D70),D70&lt;0)</formula>
    </cfRule>
    <cfRule type="expression" priority="160" dxfId="2" stopIfTrue="0">
      <formula>AND(ISNUMBER(D70),D70&gt;0)</formula>
    </cfRule>
    <cfRule type="expression" priority="161" dxfId="11" stopIfTrue="0">
      <formula>D70="CV"</formula>
    </cfRule>
  </conditionalFormatting>
  <conditionalFormatting sqref="H70:J70">
    <cfRule type="expression" priority="162" dxfId="1" stopIfTrue="0">
      <formula>AND(ISNUMBER(H70),H70&lt;0)</formula>
    </cfRule>
    <cfRule type="expression" priority="163" dxfId="2" stopIfTrue="0">
      <formula>AND(ISNUMBER(H70),H70&gt;0)</formula>
    </cfRule>
    <cfRule type="expression" priority="164" dxfId="11" stopIfTrue="0">
      <formula>H70="CV"</formula>
    </cfRule>
  </conditionalFormatting>
  <conditionalFormatting sqref="L70:N70">
    <cfRule type="expression" priority="165" dxfId="1" stopIfTrue="0">
      <formula>AND(ISNUMBER(L70),L70&lt;0)</formula>
    </cfRule>
    <cfRule type="expression" priority="166" dxfId="2" stopIfTrue="0">
      <formula>AND(ISNUMBER(L70),L70&gt;0)</formula>
    </cfRule>
    <cfRule type="expression" priority="167" dxfId="11" stopIfTrue="0">
      <formula>L70="CV"</formula>
    </cfRule>
  </conditionalFormatting>
  <conditionalFormatting sqref="P70:R70">
    <cfRule type="expression" priority="168" dxfId="1" stopIfTrue="0">
      <formula>AND(ISNUMBER(P70),P70&lt;0)</formula>
    </cfRule>
    <cfRule type="expression" priority="169" dxfId="2" stopIfTrue="0">
      <formula>AND(ISNUMBER(P70),P70&gt;0)</formula>
    </cfRule>
    <cfRule type="expression" priority="170" dxfId="11" stopIfTrue="0">
      <formula>P70="CV"</formula>
    </cfRule>
  </conditionalFormatting>
  <conditionalFormatting sqref="T70:V70">
    <cfRule type="expression" priority="171" dxfId="1" stopIfTrue="0">
      <formula>AND(ISNUMBER(T70),T70&lt;0)</formula>
    </cfRule>
    <cfRule type="expression" priority="172" dxfId="2" stopIfTrue="0">
      <formula>AND(ISNUMBER(T70),T70&gt;0)</formula>
    </cfRule>
    <cfRule type="expression" priority="173" dxfId="11" stopIfTrue="0">
      <formula>T70="CV"</formula>
    </cfRule>
  </conditionalFormatting>
  <conditionalFormatting sqref="X70:Z70">
    <cfRule type="expression" priority="174" dxfId="1" stopIfTrue="0">
      <formula>AND(ISNUMBER(X70),X70&lt;0)</formula>
    </cfRule>
    <cfRule type="expression" priority="175" dxfId="2" stopIfTrue="0">
      <formula>AND(ISNUMBER(X70),X70&gt;0)</formula>
    </cfRule>
    <cfRule type="expression" priority="176" dxfId="11" stopIfTrue="0">
      <formula>X70="CV"</formula>
    </cfRule>
  </conditionalFormatting>
  <conditionalFormatting sqref="D71:F71">
    <cfRule type="expression" priority="177" dxfId="1" stopIfTrue="0">
      <formula>AND(ISNUMBER(D71),D71&lt;0)</formula>
    </cfRule>
    <cfRule type="expression" priority="178" dxfId="2" stopIfTrue="0">
      <formula>AND(ISNUMBER(D71),D71&gt;0)</formula>
    </cfRule>
    <cfRule type="expression" priority="179" dxfId="11" stopIfTrue="0">
      <formula>D71="CV"</formula>
    </cfRule>
  </conditionalFormatting>
  <conditionalFormatting sqref="H71:J71">
    <cfRule type="expression" priority="180" dxfId="1" stopIfTrue="0">
      <formula>AND(ISNUMBER(H71),H71&lt;0)</formula>
    </cfRule>
    <cfRule type="expression" priority="181" dxfId="2" stopIfTrue="0">
      <formula>AND(ISNUMBER(H71),H71&gt;0)</formula>
    </cfRule>
    <cfRule type="expression" priority="182" dxfId="11" stopIfTrue="0">
      <formula>H71="CV"</formula>
    </cfRule>
  </conditionalFormatting>
  <conditionalFormatting sqref="L71:N71">
    <cfRule type="expression" priority="183" dxfId="1" stopIfTrue="0">
      <formula>AND(ISNUMBER(L71),L71&lt;0)</formula>
    </cfRule>
    <cfRule type="expression" priority="184" dxfId="2" stopIfTrue="0">
      <formula>AND(ISNUMBER(L71),L71&gt;0)</formula>
    </cfRule>
    <cfRule type="expression" priority="185" dxfId="11" stopIfTrue="0">
      <formula>L71="CV"</formula>
    </cfRule>
  </conditionalFormatting>
  <conditionalFormatting sqref="P71:R71">
    <cfRule type="expression" priority="186" dxfId="1" stopIfTrue="0">
      <formula>AND(ISNUMBER(P71),P71&lt;0)</formula>
    </cfRule>
    <cfRule type="expression" priority="187" dxfId="2" stopIfTrue="0">
      <formula>AND(ISNUMBER(P71),P71&gt;0)</formula>
    </cfRule>
    <cfRule type="expression" priority="188" dxfId="11" stopIfTrue="0">
      <formula>P71="CV"</formula>
    </cfRule>
  </conditionalFormatting>
  <conditionalFormatting sqref="T71:V71">
    <cfRule type="expression" priority="189" dxfId="1" stopIfTrue="0">
      <formula>AND(ISNUMBER(T71),T71&lt;0)</formula>
    </cfRule>
    <cfRule type="expression" priority="190" dxfId="2" stopIfTrue="0">
      <formula>AND(ISNUMBER(T71),T71&gt;0)</formula>
    </cfRule>
    <cfRule type="expression" priority="191" dxfId="11" stopIfTrue="0">
      <formula>T71="CV"</formula>
    </cfRule>
  </conditionalFormatting>
  <conditionalFormatting sqref="X71:Z71">
    <cfRule type="expression" priority="192" dxfId="1" stopIfTrue="0">
      <formula>AND(ISNUMBER(X71),X71&lt;0)</formula>
    </cfRule>
    <cfRule type="expression" priority="193" dxfId="2" stopIfTrue="0">
      <formula>AND(ISNUMBER(X71),X71&gt;0)</formula>
    </cfRule>
    <cfRule type="expression" priority="194" dxfId="11" stopIfTrue="0">
      <formula>X71="CV"</formula>
    </cfRule>
  </conditionalFormatting>
  <conditionalFormatting sqref="D72:F72">
    <cfRule type="expression" priority="195" dxfId="1" stopIfTrue="0">
      <formula>AND(ISNUMBER(D72),D72&lt;0)</formula>
    </cfRule>
    <cfRule type="expression" priority="196" dxfId="2" stopIfTrue="0">
      <formula>AND(ISNUMBER(D72),D72&gt;0)</formula>
    </cfRule>
    <cfRule type="expression" priority="197" dxfId="11" stopIfTrue="0">
      <formula>D72="CV"</formula>
    </cfRule>
  </conditionalFormatting>
  <conditionalFormatting sqref="H72:J72">
    <cfRule type="expression" priority="198" dxfId="1" stopIfTrue="0">
      <formula>AND(ISNUMBER(H72),H72&lt;0)</formula>
    </cfRule>
    <cfRule type="expression" priority="199" dxfId="2" stopIfTrue="0">
      <formula>AND(ISNUMBER(H72),H72&gt;0)</formula>
    </cfRule>
    <cfRule type="expression" priority="200" dxfId="11" stopIfTrue="0">
      <formula>H72="CV"</formula>
    </cfRule>
  </conditionalFormatting>
  <conditionalFormatting sqref="L72:N72">
    <cfRule type="expression" priority="201" dxfId="1" stopIfTrue="0">
      <formula>AND(ISNUMBER(L72),L72&lt;0)</formula>
    </cfRule>
    <cfRule type="expression" priority="202" dxfId="2" stopIfTrue="0">
      <formula>AND(ISNUMBER(L72),L72&gt;0)</formula>
    </cfRule>
    <cfRule type="expression" priority="203" dxfId="11" stopIfTrue="0">
      <formula>L72="CV"</formula>
    </cfRule>
  </conditionalFormatting>
  <conditionalFormatting sqref="P72:R72">
    <cfRule type="expression" priority="204" dxfId="1" stopIfTrue="0">
      <formula>AND(ISNUMBER(P72),P72&lt;0)</formula>
    </cfRule>
    <cfRule type="expression" priority="205" dxfId="2" stopIfTrue="0">
      <formula>AND(ISNUMBER(P72),P72&gt;0)</formula>
    </cfRule>
    <cfRule type="expression" priority="206" dxfId="11" stopIfTrue="0">
      <formula>P72="CV"</formula>
    </cfRule>
  </conditionalFormatting>
  <conditionalFormatting sqref="T72:V72">
    <cfRule type="expression" priority="207" dxfId="1" stopIfTrue="0">
      <formula>AND(ISNUMBER(T72),T72&lt;0)</formula>
    </cfRule>
    <cfRule type="expression" priority="208" dxfId="2" stopIfTrue="0">
      <formula>AND(ISNUMBER(T72),T72&gt;0)</formula>
    </cfRule>
    <cfRule type="expression" priority="209" dxfId="11" stopIfTrue="0">
      <formula>T72="CV"</formula>
    </cfRule>
  </conditionalFormatting>
  <conditionalFormatting sqref="X72:Z72">
    <cfRule type="expression" priority="210" dxfId="1" stopIfTrue="0">
      <formula>AND(ISNUMBER(X72),X72&lt;0)</formula>
    </cfRule>
    <cfRule type="expression" priority="211" dxfId="2" stopIfTrue="0">
      <formula>AND(ISNUMBER(X72),X72&gt;0)</formula>
    </cfRule>
    <cfRule type="expression" priority="212" dxfId="11" stopIfTrue="0">
      <formula>X72="CV"</formula>
    </cfRule>
  </conditionalFormatting>
  <conditionalFormatting sqref="D73:F73">
    <cfRule type="expression" priority="213" dxfId="1" stopIfTrue="0">
      <formula>AND(ISNUMBER(D73),D73&lt;0)</formula>
    </cfRule>
    <cfRule type="expression" priority="214" dxfId="2" stopIfTrue="0">
      <formula>AND(ISNUMBER(D73),D73&gt;0)</formula>
    </cfRule>
    <cfRule type="expression" priority="215" dxfId="11" stopIfTrue="0">
      <formula>D73="CV"</formula>
    </cfRule>
  </conditionalFormatting>
  <conditionalFormatting sqref="H73:J73">
    <cfRule type="expression" priority="216" dxfId="1" stopIfTrue="0">
      <formula>AND(ISNUMBER(H73),H73&lt;0)</formula>
    </cfRule>
    <cfRule type="expression" priority="217" dxfId="2" stopIfTrue="0">
      <formula>AND(ISNUMBER(H73),H73&gt;0)</formula>
    </cfRule>
    <cfRule type="expression" priority="218" dxfId="11" stopIfTrue="0">
      <formula>H73="CV"</formula>
    </cfRule>
  </conditionalFormatting>
  <conditionalFormatting sqref="L73:N73">
    <cfRule type="expression" priority="219" dxfId="1" stopIfTrue="0">
      <formula>AND(ISNUMBER(L73),L73&lt;0)</formula>
    </cfRule>
    <cfRule type="expression" priority="220" dxfId="2" stopIfTrue="0">
      <formula>AND(ISNUMBER(L73),L73&gt;0)</formula>
    </cfRule>
    <cfRule type="expression" priority="221" dxfId="11" stopIfTrue="0">
      <formula>L73="CV"</formula>
    </cfRule>
  </conditionalFormatting>
  <conditionalFormatting sqref="P73:R73">
    <cfRule type="expression" priority="222" dxfId="1" stopIfTrue="0">
      <formula>AND(ISNUMBER(P73),P73&lt;0)</formula>
    </cfRule>
    <cfRule type="expression" priority="223" dxfId="2" stopIfTrue="0">
      <formula>AND(ISNUMBER(P73),P73&gt;0)</formula>
    </cfRule>
    <cfRule type="expression" priority="224" dxfId="11" stopIfTrue="0">
      <formula>P73="CV"</formula>
    </cfRule>
  </conditionalFormatting>
  <conditionalFormatting sqref="T73:V73">
    <cfRule type="expression" priority="225" dxfId="1" stopIfTrue="0">
      <formula>AND(ISNUMBER(T73),T73&lt;0)</formula>
    </cfRule>
    <cfRule type="expression" priority="226" dxfId="2" stopIfTrue="0">
      <formula>AND(ISNUMBER(T73),T73&gt;0)</formula>
    </cfRule>
    <cfRule type="expression" priority="227" dxfId="11" stopIfTrue="0">
      <formula>T73="CV"</formula>
    </cfRule>
  </conditionalFormatting>
  <conditionalFormatting sqref="X73:Z73">
    <cfRule type="expression" priority="228" dxfId="1" stopIfTrue="0">
      <formula>AND(ISNUMBER(X73),X73&lt;0)</formula>
    </cfRule>
    <cfRule type="expression" priority="229" dxfId="2" stopIfTrue="0">
      <formula>AND(ISNUMBER(X73),X73&gt;0)</formula>
    </cfRule>
    <cfRule type="expression" priority="230" dxfId="11" stopIfTrue="0">
      <formula>X73="CV"</formula>
    </cfRule>
  </conditionalFormatting>
  <conditionalFormatting sqref="D74:F74">
    <cfRule type="expression" priority="231" dxfId="1" stopIfTrue="0">
      <formula>AND(ISNUMBER(D74),D74&lt;0)</formula>
    </cfRule>
    <cfRule type="expression" priority="232" dxfId="2" stopIfTrue="0">
      <formula>AND(ISNUMBER(D74),D74&gt;0)</formula>
    </cfRule>
    <cfRule type="expression" priority="233" dxfId="11" stopIfTrue="0">
      <formula>D74="CV"</formula>
    </cfRule>
  </conditionalFormatting>
  <conditionalFormatting sqref="H74:J74">
    <cfRule type="expression" priority="234" dxfId="1" stopIfTrue="0">
      <formula>AND(ISNUMBER(H74),H74&lt;0)</formula>
    </cfRule>
    <cfRule type="expression" priority="235" dxfId="2" stopIfTrue="0">
      <formula>AND(ISNUMBER(H74),H74&gt;0)</formula>
    </cfRule>
    <cfRule type="expression" priority="236" dxfId="11" stopIfTrue="0">
      <formula>H74="CV"</formula>
    </cfRule>
  </conditionalFormatting>
  <conditionalFormatting sqref="L74:N74">
    <cfRule type="expression" priority="237" dxfId="1" stopIfTrue="0">
      <formula>AND(ISNUMBER(L74),L74&lt;0)</formula>
    </cfRule>
    <cfRule type="expression" priority="238" dxfId="2" stopIfTrue="0">
      <formula>AND(ISNUMBER(L74),L74&gt;0)</formula>
    </cfRule>
    <cfRule type="expression" priority="239" dxfId="11" stopIfTrue="0">
      <formula>L74="CV"</formula>
    </cfRule>
  </conditionalFormatting>
  <conditionalFormatting sqref="P74:R74">
    <cfRule type="expression" priority="240" dxfId="1" stopIfTrue="0">
      <formula>AND(ISNUMBER(P74),P74&lt;0)</formula>
    </cfRule>
    <cfRule type="expression" priority="241" dxfId="2" stopIfTrue="0">
      <formula>AND(ISNUMBER(P74),P74&gt;0)</formula>
    </cfRule>
    <cfRule type="expression" priority="242" dxfId="11" stopIfTrue="0">
      <formula>P74="CV"</formula>
    </cfRule>
  </conditionalFormatting>
  <conditionalFormatting sqref="T74:V74">
    <cfRule type="expression" priority="243" dxfId="1" stopIfTrue="0">
      <formula>AND(ISNUMBER(T74),T74&lt;0)</formula>
    </cfRule>
    <cfRule type="expression" priority="244" dxfId="2" stopIfTrue="0">
      <formula>AND(ISNUMBER(T74),T74&gt;0)</formula>
    </cfRule>
    <cfRule type="expression" priority="245" dxfId="11" stopIfTrue="0">
      <formula>T74="CV"</formula>
    </cfRule>
  </conditionalFormatting>
  <conditionalFormatting sqref="X74:Z74">
    <cfRule type="expression" priority="246" dxfId="1" stopIfTrue="0">
      <formula>AND(ISNUMBER(X74),X74&lt;0)</formula>
    </cfRule>
    <cfRule type="expression" priority="247" dxfId="2" stopIfTrue="0">
      <formula>AND(ISNUMBER(X74),X74&gt;0)</formula>
    </cfRule>
    <cfRule type="expression" priority="248" dxfId="11" stopIfTrue="0">
      <formula>X74="CV"</formula>
    </cfRule>
  </conditionalFormatting>
  <conditionalFormatting sqref="D75:F75">
    <cfRule type="expression" priority="249" dxfId="1" stopIfTrue="0">
      <formula>AND(ISNUMBER(D75),D75&lt;0)</formula>
    </cfRule>
    <cfRule type="expression" priority="250" dxfId="2" stopIfTrue="0">
      <formula>AND(ISNUMBER(D75),D75&gt;0)</formula>
    </cfRule>
    <cfRule type="expression" priority="251" dxfId="11" stopIfTrue="0">
      <formula>D75="CV"</formula>
    </cfRule>
  </conditionalFormatting>
  <conditionalFormatting sqref="H75:J75">
    <cfRule type="expression" priority="252" dxfId="1" stopIfTrue="0">
      <formula>AND(ISNUMBER(H75),H75&lt;0)</formula>
    </cfRule>
    <cfRule type="expression" priority="253" dxfId="2" stopIfTrue="0">
      <formula>AND(ISNUMBER(H75),H75&gt;0)</formula>
    </cfRule>
    <cfRule type="expression" priority="254" dxfId="11" stopIfTrue="0">
      <formula>H75="CV"</formula>
    </cfRule>
  </conditionalFormatting>
  <conditionalFormatting sqref="L75:N75">
    <cfRule type="expression" priority="255" dxfId="1" stopIfTrue="0">
      <formula>AND(ISNUMBER(L75),L75&lt;0)</formula>
    </cfRule>
    <cfRule type="expression" priority="256" dxfId="2" stopIfTrue="0">
      <formula>AND(ISNUMBER(L75),L75&gt;0)</formula>
    </cfRule>
    <cfRule type="expression" priority="257" dxfId="11" stopIfTrue="0">
      <formula>L75="CV"</formula>
    </cfRule>
  </conditionalFormatting>
  <conditionalFormatting sqref="P75:R75">
    <cfRule type="expression" priority="258" dxfId="1" stopIfTrue="0">
      <formula>AND(ISNUMBER(P75),P75&lt;0)</formula>
    </cfRule>
    <cfRule type="expression" priority="259" dxfId="2" stopIfTrue="0">
      <formula>AND(ISNUMBER(P75),P75&gt;0)</formula>
    </cfRule>
    <cfRule type="expression" priority="260" dxfId="11" stopIfTrue="0">
      <formula>P75="CV"</formula>
    </cfRule>
  </conditionalFormatting>
  <conditionalFormatting sqref="T75:V75">
    <cfRule type="expression" priority="261" dxfId="1" stopIfTrue="0">
      <formula>AND(ISNUMBER(T75),T75&lt;0)</formula>
    </cfRule>
    <cfRule type="expression" priority="262" dxfId="2" stopIfTrue="0">
      <formula>AND(ISNUMBER(T75),T75&gt;0)</formula>
    </cfRule>
    <cfRule type="expression" priority="263" dxfId="11" stopIfTrue="0">
      <formula>T75="CV"</formula>
    </cfRule>
  </conditionalFormatting>
  <conditionalFormatting sqref="X75:Z75">
    <cfRule type="expression" priority="264" dxfId="1" stopIfTrue="0">
      <formula>AND(ISNUMBER(X75),X75&lt;0)</formula>
    </cfRule>
    <cfRule type="expression" priority="265" dxfId="2" stopIfTrue="0">
      <formula>AND(ISNUMBER(X75),X75&gt;0)</formula>
    </cfRule>
    <cfRule type="expression" priority="266" dxfId="11" stopIfTrue="0">
      <formula>X75="CV"</formula>
    </cfRule>
  </conditionalFormatting>
  <conditionalFormatting sqref="D76:F76">
    <cfRule type="expression" priority="267" dxfId="1" stopIfTrue="0">
      <formula>AND(ISNUMBER(D76),D76&lt;0)</formula>
    </cfRule>
    <cfRule type="expression" priority="268" dxfId="2" stopIfTrue="0">
      <formula>AND(ISNUMBER(D76),D76&gt;0)</formula>
    </cfRule>
    <cfRule type="expression" priority="269" dxfId="11" stopIfTrue="0">
      <formula>D76="CV"</formula>
    </cfRule>
  </conditionalFormatting>
  <conditionalFormatting sqref="H76:J76">
    <cfRule type="expression" priority="270" dxfId="1" stopIfTrue="0">
      <formula>AND(ISNUMBER(H76),H76&lt;0)</formula>
    </cfRule>
    <cfRule type="expression" priority="271" dxfId="2" stopIfTrue="0">
      <formula>AND(ISNUMBER(H76),H76&gt;0)</formula>
    </cfRule>
    <cfRule type="expression" priority="272" dxfId="11" stopIfTrue="0">
      <formula>H76="CV"</formula>
    </cfRule>
  </conditionalFormatting>
  <conditionalFormatting sqref="L76:N76">
    <cfRule type="expression" priority="273" dxfId="1" stopIfTrue="0">
      <formula>AND(ISNUMBER(L76),L76&lt;0)</formula>
    </cfRule>
    <cfRule type="expression" priority="274" dxfId="2" stopIfTrue="0">
      <formula>AND(ISNUMBER(L76),L76&gt;0)</formula>
    </cfRule>
    <cfRule type="expression" priority="275" dxfId="11" stopIfTrue="0">
      <formula>L76="CV"</formula>
    </cfRule>
  </conditionalFormatting>
  <conditionalFormatting sqref="P76:R76">
    <cfRule type="expression" priority="276" dxfId="1" stopIfTrue="0">
      <formula>AND(ISNUMBER(P76),P76&lt;0)</formula>
    </cfRule>
    <cfRule type="expression" priority="277" dxfId="2" stopIfTrue="0">
      <formula>AND(ISNUMBER(P76),P76&gt;0)</formula>
    </cfRule>
    <cfRule type="expression" priority="278" dxfId="11" stopIfTrue="0">
      <formula>P76="CV"</formula>
    </cfRule>
  </conditionalFormatting>
  <conditionalFormatting sqref="T76:V76">
    <cfRule type="expression" priority="279" dxfId="1" stopIfTrue="0">
      <formula>AND(ISNUMBER(T76),T76&lt;0)</formula>
    </cfRule>
    <cfRule type="expression" priority="280" dxfId="2" stopIfTrue="0">
      <formula>AND(ISNUMBER(T76),T76&gt;0)</formula>
    </cfRule>
    <cfRule type="expression" priority="281" dxfId="11" stopIfTrue="0">
      <formula>T76="CV"</formula>
    </cfRule>
  </conditionalFormatting>
  <conditionalFormatting sqref="X76:Z76">
    <cfRule type="expression" priority="282" dxfId="1" stopIfTrue="0">
      <formula>AND(ISNUMBER(X76),X76&lt;0)</formula>
    </cfRule>
    <cfRule type="expression" priority="283" dxfId="2" stopIfTrue="0">
      <formula>AND(ISNUMBER(X76),X76&gt;0)</formula>
    </cfRule>
    <cfRule type="expression" priority="284" dxfId="11" stopIfTrue="0">
      <formula>X76="CV"</formula>
    </cfRule>
  </conditionalFormatting>
  <conditionalFormatting sqref="D77:F77">
    <cfRule type="expression" priority="285" dxfId="1" stopIfTrue="0">
      <formula>AND(ISNUMBER(D77),D77&lt;0)</formula>
    </cfRule>
    <cfRule type="expression" priority="286" dxfId="2" stopIfTrue="0">
      <formula>AND(ISNUMBER(D77),D77&gt;0)</formula>
    </cfRule>
    <cfRule type="expression" priority="287" dxfId="11" stopIfTrue="0">
      <formula>D77="CV"</formula>
    </cfRule>
  </conditionalFormatting>
  <conditionalFormatting sqref="H77:J77">
    <cfRule type="expression" priority="288" dxfId="1" stopIfTrue="0">
      <formula>AND(ISNUMBER(H77),H77&lt;0)</formula>
    </cfRule>
    <cfRule type="expression" priority="289" dxfId="2" stopIfTrue="0">
      <formula>AND(ISNUMBER(H77),H77&gt;0)</formula>
    </cfRule>
    <cfRule type="expression" priority="290" dxfId="11" stopIfTrue="0">
      <formula>H77="CV"</formula>
    </cfRule>
  </conditionalFormatting>
  <conditionalFormatting sqref="L77:N77">
    <cfRule type="expression" priority="291" dxfId="1" stopIfTrue="0">
      <formula>AND(ISNUMBER(L77),L77&lt;0)</formula>
    </cfRule>
    <cfRule type="expression" priority="292" dxfId="2" stopIfTrue="0">
      <formula>AND(ISNUMBER(L77),L77&gt;0)</formula>
    </cfRule>
    <cfRule type="expression" priority="293" dxfId="11" stopIfTrue="0">
      <formula>L77="CV"</formula>
    </cfRule>
  </conditionalFormatting>
  <conditionalFormatting sqref="P77:R77">
    <cfRule type="expression" priority="294" dxfId="1" stopIfTrue="0">
      <formula>AND(ISNUMBER(P77),P77&lt;0)</formula>
    </cfRule>
    <cfRule type="expression" priority="295" dxfId="2" stopIfTrue="0">
      <formula>AND(ISNUMBER(P77),P77&gt;0)</formula>
    </cfRule>
    <cfRule type="expression" priority="296" dxfId="11" stopIfTrue="0">
      <formula>P77="CV"</formula>
    </cfRule>
  </conditionalFormatting>
  <conditionalFormatting sqref="T77:V77">
    <cfRule type="expression" priority="297" dxfId="1" stopIfTrue="0">
      <formula>AND(ISNUMBER(T77),T77&lt;0)</formula>
    </cfRule>
    <cfRule type="expression" priority="298" dxfId="2" stopIfTrue="0">
      <formula>AND(ISNUMBER(T77),T77&gt;0)</formula>
    </cfRule>
    <cfRule type="expression" priority="299" dxfId="11" stopIfTrue="0">
      <formula>T77="CV"</formula>
    </cfRule>
  </conditionalFormatting>
  <conditionalFormatting sqref="X77:Z77">
    <cfRule type="expression" priority="300" dxfId="1" stopIfTrue="0">
      <formula>AND(ISNUMBER(X77),X77&lt;0)</formula>
    </cfRule>
    <cfRule type="expression" priority="301" dxfId="2" stopIfTrue="0">
      <formula>AND(ISNUMBER(X77),X77&gt;0)</formula>
    </cfRule>
    <cfRule type="expression" priority="302" dxfId="11" stopIfTrue="0">
      <formula>X77="CV"</formula>
    </cfRule>
  </conditionalFormatting>
  <conditionalFormatting sqref="D78:F78">
    <cfRule type="expression" priority="303" dxfId="1" stopIfTrue="0">
      <formula>AND(ISNUMBER(D78),D78&lt;0)</formula>
    </cfRule>
    <cfRule type="expression" priority="304" dxfId="2" stopIfTrue="0">
      <formula>AND(ISNUMBER(D78),D78&gt;0)</formula>
    </cfRule>
    <cfRule type="expression" priority="305" dxfId="11" stopIfTrue="0">
      <formula>D78="CV"</formula>
    </cfRule>
  </conditionalFormatting>
  <conditionalFormatting sqref="H78:J78">
    <cfRule type="expression" priority="306" dxfId="1" stopIfTrue="0">
      <formula>AND(ISNUMBER(H78),H78&lt;0)</formula>
    </cfRule>
    <cfRule type="expression" priority="307" dxfId="2" stopIfTrue="0">
      <formula>AND(ISNUMBER(H78),H78&gt;0)</formula>
    </cfRule>
    <cfRule type="expression" priority="308" dxfId="11" stopIfTrue="0">
      <formula>H78="CV"</formula>
    </cfRule>
  </conditionalFormatting>
  <conditionalFormatting sqref="L78:N78">
    <cfRule type="expression" priority="309" dxfId="1" stopIfTrue="0">
      <formula>AND(ISNUMBER(L78),L78&lt;0)</formula>
    </cfRule>
    <cfRule type="expression" priority="310" dxfId="2" stopIfTrue="0">
      <formula>AND(ISNUMBER(L78),L78&gt;0)</formula>
    </cfRule>
    <cfRule type="expression" priority="311" dxfId="11" stopIfTrue="0">
      <formula>L78="CV"</formula>
    </cfRule>
  </conditionalFormatting>
  <conditionalFormatting sqref="P78:R78">
    <cfRule type="expression" priority="312" dxfId="1" stopIfTrue="0">
      <formula>AND(ISNUMBER(P78),P78&lt;0)</formula>
    </cfRule>
    <cfRule type="expression" priority="313" dxfId="2" stopIfTrue="0">
      <formula>AND(ISNUMBER(P78),P78&gt;0)</formula>
    </cfRule>
    <cfRule type="expression" priority="314" dxfId="11" stopIfTrue="0">
      <formula>P78="CV"</formula>
    </cfRule>
  </conditionalFormatting>
  <conditionalFormatting sqref="T78:V78">
    <cfRule type="expression" priority="315" dxfId="1" stopIfTrue="0">
      <formula>AND(ISNUMBER(T78),T78&lt;0)</formula>
    </cfRule>
    <cfRule type="expression" priority="316" dxfId="2" stopIfTrue="0">
      <formula>AND(ISNUMBER(T78),T78&gt;0)</formula>
    </cfRule>
    <cfRule type="expression" priority="317" dxfId="11" stopIfTrue="0">
      <formula>T78="CV"</formula>
    </cfRule>
  </conditionalFormatting>
  <conditionalFormatting sqref="X78:Z78">
    <cfRule type="expression" priority="318" dxfId="1" stopIfTrue="0">
      <formula>AND(ISNUMBER(X78),X78&lt;0)</formula>
    </cfRule>
    <cfRule type="expression" priority="319" dxfId="2" stopIfTrue="0">
      <formula>AND(ISNUMBER(X78),X78&gt;0)</formula>
    </cfRule>
    <cfRule type="expression" priority="320" dxfId="11" stopIfTrue="0">
      <formula>X78="CV"</formula>
    </cfRule>
  </conditionalFormatting>
  <conditionalFormatting sqref="D79:F79">
    <cfRule type="expression" priority="321" dxfId="1" stopIfTrue="0">
      <formula>AND(ISNUMBER(D79),D79&lt;0)</formula>
    </cfRule>
    <cfRule type="expression" priority="322" dxfId="2" stopIfTrue="0">
      <formula>AND(ISNUMBER(D79),D79&gt;0)</formula>
    </cfRule>
    <cfRule type="expression" priority="323" dxfId="11" stopIfTrue="0">
      <formula>D79="CV"</formula>
    </cfRule>
  </conditionalFormatting>
  <conditionalFormatting sqref="H79:J79">
    <cfRule type="expression" priority="324" dxfId="1" stopIfTrue="0">
      <formula>AND(ISNUMBER(H79),H79&lt;0)</formula>
    </cfRule>
    <cfRule type="expression" priority="325" dxfId="2" stopIfTrue="0">
      <formula>AND(ISNUMBER(H79),H79&gt;0)</formula>
    </cfRule>
    <cfRule type="expression" priority="326" dxfId="11" stopIfTrue="0">
      <formula>H79="CV"</formula>
    </cfRule>
  </conditionalFormatting>
  <conditionalFormatting sqref="L79:N79">
    <cfRule type="expression" priority="327" dxfId="1" stopIfTrue="0">
      <formula>AND(ISNUMBER(L79),L79&lt;0)</formula>
    </cfRule>
    <cfRule type="expression" priority="328" dxfId="2" stopIfTrue="0">
      <formula>AND(ISNUMBER(L79),L79&gt;0)</formula>
    </cfRule>
    <cfRule type="expression" priority="329" dxfId="11" stopIfTrue="0">
      <formula>L79="CV"</formula>
    </cfRule>
  </conditionalFormatting>
  <conditionalFormatting sqref="P79:R79">
    <cfRule type="expression" priority="330" dxfId="1" stopIfTrue="0">
      <formula>AND(ISNUMBER(P79),P79&lt;0)</formula>
    </cfRule>
    <cfRule type="expression" priority="331" dxfId="2" stopIfTrue="0">
      <formula>AND(ISNUMBER(P79),P79&gt;0)</formula>
    </cfRule>
    <cfRule type="expression" priority="332" dxfId="11" stopIfTrue="0">
      <formula>P79="CV"</formula>
    </cfRule>
  </conditionalFormatting>
  <conditionalFormatting sqref="T79:V79">
    <cfRule type="expression" priority="333" dxfId="1" stopIfTrue="0">
      <formula>AND(ISNUMBER(T79),T79&lt;0)</formula>
    </cfRule>
    <cfRule type="expression" priority="334" dxfId="2" stopIfTrue="0">
      <formula>AND(ISNUMBER(T79),T79&gt;0)</formula>
    </cfRule>
    <cfRule type="expression" priority="335" dxfId="11" stopIfTrue="0">
      <formula>T79="CV"</formula>
    </cfRule>
  </conditionalFormatting>
  <conditionalFormatting sqref="X79:Z79">
    <cfRule type="expression" priority="336" dxfId="1" stopIfTrue="0">
      <formula>AND(ISNUMBER(X79),X79&lt;0)</formula>
    </cfRule>
    <cfRule type="expression" priority="337" dxfId="2" stopIfTrue="0">
      <formula>AND(ISNUMBER(X79),X79&gt;0)</formula>
    </cfRule>
    <cfRule type="expression" priority="338" dxfId="11" stopIfTrue="0">
      <formula>X79="CV"</formula>
    </cfRule>
  </conditionalFormatting>
  <conditionalFormatting sqref="D80:F80">
    <cfRule type="expression" priority="339" dxfId="1" stopIfTrue="0">
      <formula>AND(ISNUMBER(D80),D80&lt;0)</formula>
    </cfRule>
    <cfRule type="expression" priority="340" dxfId="2" stopIfTrue="0">
      <formula>AND(ISNUMBER(D80),D80&gt;0)</formula>
    </cfRule>
    <cfRule type="expression" priority="341" dxfId="11" stopIfTrue="0">
      <formula>D80="CV"</formula>
    </cfRule>
  </conditionalFormatting>
  <conditionalFormatting sqref="H80:J80">
    <cfRule type="expression" priority="342" dxfId="1" stopIfTrue="0">
      <formula>AND(ISNUMBER(H80),H80&lt;0)</formula>
    </cfRule>
    <cfRule type="expression" priority="343" dxfId="2" stopIfTrue="0">
      <formula>AND(ISNUMBER(H80),H80&gt;0)</formula>
    </cfRule>
    <cfRule type="expression" priority="344" dxfId="11" stopIfTrue="0">
      <formula>H80="CV"</formula>
    </cfRule>
  </conditionalFormatting>
  <conditionalFormatting sqref="L80:N80">
    <cfRule type="expression" priority="345" dxfId="1" stopIfTrue="0">
      <formula>AND(ISNUMBER(L80),L80&lt;0)</formula>
    </cfRule>
    <cfRule type="expression" priority="346" dxfId="2" stopIfTrue="0">
      <formula>AND(ISNUMBER(L80),L80&gt;0)</formula>
    </cfRule>
    <cfRule type="expression" priority="347" dxfId="11" stopIfTrue="0">
      <formula>L80="CV"</formula>
    </cfRule>
  </conditionalFormatting>
  <conditionalFormatting sqref="P80:R80">
    <cfRule type="expression" priority="348" dxfId="1" stopIfTrue="0">
      <formula>AND(ISNUMBER(P80),P80&lt;0)</formula>
    </cfRule>
    <cfRule type="expression" priority="349" dxfId="2" stopIfTrue="0">
      <formula>AND(ISNUMBER(P80),P80&gt;0)</formula>
    </cfRule>
    <cfRule type="expression" priority="350" dxfId="11" stopIfTrue="0">
      <formula>P80="CV"</formula>
    </cfRule>
  </conditionalFormatting>
  <conditionalFormatting sqref="T80:V80">
    <cfRule type="expression" priority="351" dxfId="1" stopIfTrue="0">
      <formula>AND(ISNUMBER(T80),T80&lt;0)</formula>
    </cfRule>
    <cfRule type="expression" priority="352" dxfId="2" stopIfTrue="0">
      <formula>AND(ISNUMBER(T80),T80&gt;0)</formula>
    </cfRule>
    <cfRule type="expression" priority="353" dxfId="11" stopIfTrue="0">
      <formula>T80="CV"</formula>
    </cfRule>
  </conditionalFormatting>
  <conditionalFormatting sqref="X80:Z80">
    <cfRule type="expression" priority="354" dxfId="1" stopIfTrue="0">
      <formula>AND(ISNUMBER(X80),X80&lt;0)</formula>
    </cfRule>
    <cfRule type="expression" priority="355" dxfId="2" stopIfTrue="0">
      <formula>AND(ISNUMBER(X80),X80&gt;0)</formula>
    </cfRule>
    <cfRule type="expression" priority="356" dxfId="11" stopIfTrue="0">
      <formula>X80="CV"</formula>
    </cfRule>
  </conditionalFormatting>
  <conditionalFormatting sqref="D81:F81">
    <cfRule type="expression" priority="357" dxfId="1" stopIfTrue="0">
      <formula>AND(ISNUMBER(D81),D81&lt;0)</formula>
    </cfRule>
    <cfRule type="expression" priority="358" dxfId="2" stopIfTrue="0">
      <formula>AND(ISNUMBER(D81),D81&gt;0)</formula>
    </cfRule>
    <cfRule type="expression" priority="359" dxfId="11" stopIfTrue="0">
      <formula>D81="CV"</formula>
    </cfRule>
  </conditionalFormatting>
  <conditionalFormatting sqref="H81:J81">
    <cfRule type="expression" priority="360" dxfId="1" stopIfTrue="0">
      <formula>AND(ISNUMBER(H81),H81&lt;0)</formula>
    </cfRule>
    <cfRule type="expression" priority="361" dxfId="2" stopIfTrue="0">
      <formula>AND(ISNUMBER(H81),H81&gt;0)</formula>
    </cfRule>
    <cfRule type="expression" priority="362" dxfId="11" stopIfTrue="0">
      <formula>H81="CV"</formula>
    </cfRule>
  </conditionalFormatting>
  <conditionalFormatting sqref="L81:N81">
    <cfRule type="expression" priority="363" dxfId="1" stopIfTrue="0">
      <formula>AND(ISNUMBER(L81),L81&lt;0)</formula>
    </cfRule>
    <cfRule type="expression" priority="364" dxfId="2" stopIfTrue="0">
      <formula>AND(ISNUMBER(L81),L81&gt;0)</formula>
    </cfRule>
    <cfRule type="expression" priority="365" dxfId="11" stopIfTrue="0">
      <formula>L81="CV"</formula>
    </cfRule>
  </conditionalFormatting>
  <conditionalFormatting sqref="P81:R81">
    <cfRule type="expression" priority="366" dxfId="1" stopIfTrue="0">
      <formula>AND(ISNUMBER(P81),P81&lt;0)</formula>
    </cfRule>
    <cfRule type="expression" priority="367" dxfId="2" stopIfTrue="0">
      <formula>AND(ISNUMBER(P81),P81&gt;0)</formula>
    </cfRule>
    <cfRule type="expression" priority="368" dxfId="11" stopIfTrue="0">
      <formula>P81="CV"</formula>
    </cfRule>
  </conditionalFormatting>
  <conditionalFormatting sqref="T81:V81">
    <cfRule type="expression" priority="369" dxfId="1" stopIfTrue="0">
      <formula>AND(ISNUMBER(T81),T81&lt;0)</formula>
    </cfRule>
    <cfRule type="expression" priority="370" dxfId="2" stopIfTrue="0">
      <formula>AND(ISNUMBER(T81),T81&gt;0)</formula>
    </cfRule>
    <cfRule type="expression" priority="371" dxfId="11" stopIfTrue="0">
      <formula>T81="CV"</formula>
    </cfRule>
  </conditionalFormatting>
  <conditionalFormatting sqref="X81:Z81">
    <cfRule type="expression" priority="372" dxfId="1" stopIfTrue="0">
      <formula>AND(ISNUMBER(X81),X81&lt;0)</formula>
    </cfRule>
    <cfRule type="expression" priority="373" dxfId="2" stopIfTrue="0">
      <formula>AND(ISNUMBER(X81),X81&gt;0)</formula>
    </cfRule>
    <cfRule type="expression" priority="374" dxfId="11" stopIfTrue="0">
      <formula>X81="CV"</formula>
    </cfRule>
  </conditionalFormatting>
  <conditionalFormatting sqref="D82:F82">
    <cfRule type="expression" priority="375" dxfId="1" stopIfTrue="0">
      <formula>AND(ISNUMBER(D82),D82&lt;0)</formula>
    </cfRule>
    <cfRule type="expression" priority="376" dxfId="2" stopIfTrue="0">
      <formula>AND(ISNUMBER(D82),D82&gt;0)</formula>
    </cfRule>
    <cfRule type="expression" priority="377" dxfId="11" stopIfTrue="0">
      <formula>D82="CV"</formula>
    </cfRule>
  </conditionalFormatting>
  <conditionalFormatting sqref="H82:J82">
    <cfRule type="expression" priority="378" dxfId="1" stopIfTrue="0">
      <formula>AND(ISNUMBER(H82),H82&lt;0)</formula>
    </cfRule>
    <cfRule type="expression" priority="379" dxfId="2" stopIfTrue="0">
      <formula>AND(ISNUMBER(H82),H82&gt;0)</formula>
    </cfRule>
    <cfRule type="expression" priority="380" dxfId="11" stopIfTrue="0">
      <formula>H82="CV"</formula>
    </cfRule>
  </conditionalFormatting>
  <conditionalFormatting sqref="L82:N82">
    <cfRule type="expression" priority="381" dxfId="1" stopIfTrue="0">
      <formula>AND(ISNUMBER(L82),L82&lt;0)</formula>
    </cfRule>
    <cfRule type="expression" priority="382" dxfId="2" stopIfTrue="0">
      <formula>AND(ISNUMBER(L82),L82&gt;0)</formula>
    </cfRule>
    <cfRule type="expression" priority="383" dxfId="11" stopIfTrue="0">
      <formula>L82="CV"</formula>
    </cfRule>
  </conditionalFormatting>
  <conditionalFormatting sqref="P82:R82">
    <cfRule type="expression" priority="384" dxfId="1" stopIfTrue="0">
      <formula>AND(ISNUMBER(P82),P82&lt;0)</formula>
    </cfRule>
    <cfRule type="expression" priority="385" dxfId="2" stopIfTrue="0">
      <formula>AND(ISNUMBER(P82),P82&gt;0)</formula>
    </cfRule>
    <cfRule type="expression" priority="386" dxfId="11" stopIfTrue="0">
      <formula>P82="CV"</formula>
    </cfRule>
  </conditionalFormatting>
  <conditionalFormatting sqref="T82:V82">
    <cfRule type="expression" priority="387" dxfId="1" stopIfTrue="0">
      <formula>AND(ISNUMBER(T82),T82&lt;0)</formula>
    </cfRule>
    <cfRule type="expression" priority="388" dxfId="2" stopIfTrue="0">
      <formula>AND(ISNUMBER(T82),T82&gt;0)</formula>
    </cfRule>
    <cfRule type="expression" priority="389" dxfId="11" stopIfTrue="0">
      <formula>T82="CV"</formula>
    </cfRule>
  </conditionalFormatting>
  <conditionalFormatting sqref="X82:Z82">
    <cfRule type="expression" priority="390" dxfId="1" stopIfTrue="0">
      <formula>AND(ISNUMBER(X82),X82&lt;0)</formula>
    </cfRule>
    <cfRule type="expression" priority="391" dxfId="2" stopIfTrue="0">
      <formula>AND(ISNUMBER(X82),X82&gt;0)</formula>
    </cfRule>
    <cfRule type="expression" priority="392" dxfId="11" stopIfTrue="0">
      <formula>X82="CV"</formula>
    </cfRule>
  </conditionalFormatting>
  <conditionalFormatting sqref="D83:F83">
    <cfRule type="expression" priority="393" dxfId="1" stopIfTrue="0">
      <formula>AND(ISNUMBER(D83),D83&lt;0)</formula>
    </cfRule>
    <cfRule type="expression" priority="394" dxfId="2" stopIfTrue="0">
      <formula>AND(ISNUMBER(D83),D83&gt;0)</formula>
    </cfRule>
    <cfRule type="expression" priority="395" dxfId="11" stopIfTrue="0">
      <formula>D83="CV"</formula>
    </cfRule>
  </conditionalFormatting>
  <conditionalFormatting sqref="H83:J83">
    <cfRule type="expression" priority="396" dxfId="1" stopIfTrue="0">
      <formula>AND(ISNUMBER(H83),H83&lt;0)</formula>
    </cfRule>
    <cfRule type="expression" priority="397" dxfId="2" stopIfTrue="0">
      <formula>AND(ISNUMBER(H83),H83&gt;0)</formula>
    </cfRule>
    <cfRule type="expression" priority="398" dxfId="11" stopIfTrue="0">
      <formula>H83="CV"</formula>
    </cfRule>
  </conditionalFormatting>
  <conditionalFormatting sqref="L83:N83">
    <cfRule type="expression" priority="399" dxfId="1" stopIfTrue="0">
      <formula>AND(ISNUMBER(L83),L83&lt;0)</formula>
    </cfRule>
    <cfRule type="expression" priority="400" dxfId="2" stopIfTrue="0">
      <formula>AND(ISNUMBER(L83),L83&gt;0)</formula>
    </cfRule>
    <cfRule type="expression" priority="401" dxfId="11" stopIfTrue="0">
      <formula>L83="CV"</formula>
    </cfRule>
  </conditionalFormatting>
  <conditionalFormatting sqref="P83:R83">
    <cfRule type="expression" priority="402" dxfId="1" stopIfTrue="0">
      <formula>AND(ISNUMBER(P83),P83&lt;0)</formula>
    </cfRule>
    <cfRule type="expression" priority="403" dxfId="2" stopIfTrue="0">
      <formula>AND(ISNUMBER(P83),P83&gt;0)</formula>
    </cfRule>
    <cfRule type="expression" priority="404" dxfId="11" stopIfTrue="0">
      <formula>P83="CV"</formula>
    </cfRule>
  </conditionalFormatting>
  <conditionalFormatting sqref="T83:V83">
    <cfRule type="expression" priority="405" dxfId="1" stopIfTrue="0">
      <formula>AND(ISNUMBER(T83),T83&lt;0)</formula>
    </cfRule>
    <cfRule type="expression" priority="406" dxfId="2" stopIfTrue="0">
      <formula>AND(ISNUMBER(T83),T83&gt;0)</formula>
    </cfRule>
    <cfRule type="expression" priority="407" dxfId="11" stopIfTrue="0">
      <formula>T83="CV"</formula>
    </cfRule>
  </conditionalFormatting>
  <conditionalFormatting sqref="X83:Z83">
    <cfRule type="expression" priority="408" dxfId="1" stopIfTrue="0">
      <formula>AND(ISNUMBER(X83),X83&lt;0)</formula>
    </cfRule>
    <cfRule type="expression" priority="409" dxfId="2" stopIfTrue="0">
      <formula>AND(ISNUMBER(X83),X83&gt;0)</formula>
    </cfRule>
    <cfRule type="expression" priority="410" dxfId="11" stopIfTrue="0">
      <formula>X83="CV"</formula>
    </cfRule>
  </conditionalFormatting>
  <conditionalFormatting sqref="D84:F84">
    <cfRule type="expression" priority="411" dxfId="1" stopIfTrue="0">
      <formula>AND(ISNUMBER(D84),D84&lt;0)</formula>
    </cfRule>
    <cfRule type="expression" priority="412" dxfId="2" stopIfTrue="0">
      <formula>AND(ISNUMBER(D84),D84&gt;0)</formula>
    </cfRule>
    <cfRule type="expression" priority="413" dxfId="11" stopIfTrue="0">
      <formula>D84="CV"</formula>
    </cfRule>
  </conditionalFormatting>
  <conditionalFormatting sqref="H84:J84">
    <cfRule type="expression" priority="414" dxfId="1" stopIfTrue="0">
      <formula>AND(ISNUMBER(H84),H84&lt;0)</formula>
    </cfRule>
    <cfRule type="expression" priority="415" dxfId="2" stopIfTrue="0">
      <formula>AND(ISNUMBER(H84),H84&gt;0)</formula>
    </cfRule>
    <cfRule type="expression" priority="416" dxfId="11" stopIfTrue="0">
      <formula>H84="CV"</formula>
    </cfRule>
  </conditionalFormatting>
  <conditionalFormatting sqref="L84:N84">
    <cfRule type="expression" priority="417" dxfId="1" stopIfTrue="0">
      <formula>AND(ISNUMBER(L84),L84&lt;0)</formula>
    </cfRule>
    <cfRule type="expression" priority="418" dxfId="2" stopIfTrue="0">
      <formula>AND(ISNUMBER(L84),L84&gt;0)</formula>
    </cfRule>
    <cfRule type="expression" priority="419" dxfId="11" stopIfTrue="0">
      <formula>L84="CV"</formula>
    </cfRule>
  </conditionalFormatting>
  <conditionalFormatting sqref="P84:R84">
    <cfRule type="expression" priority="420" dxfId="1" stopIfTrue="0">
      <formula>AND(ISNUMBER(P84),P84&lt;0)</formula>
    </cfRule>
    <cfRule type="expression" priority="421" dxfId="2" stopIfTrue="0">
      <formula>AND(ISNUMBER(P84),P84&gt;0)</formula>
    </cfRule>
    <cfRule type="expression" priority="422" dxfId="11" stopIfTrue="0">
      <formula>P84="CV"</formula>
    </cfRule>
  </conditionalFormatting>
  <conditionalFormatting sqref="T84:V84">
    <cfRule type="expression" priority="423" dxfId="1" stopIfTrue="0">
      <formula>AND(ISNUMBER(T84),T84&lt;0)</formula>
    </cfRule>
    <cfRule type="expression" priority="424" dxfId="2" stopIfTrue="0">
      <formula>AND(ISNUMBER(T84),T84&gt;0)</formula>
    </cfRule>
    <cfRule type="expression" priority="425" dxfId="11" stopIfTrue="0">
      <formula>T84="CV"</formula>
    </cfRule>
  </conditionalFormatting>
  <conditionalFormatting sqref="X84:Z84">
    <cfRule type="expression" priority="426" dxfId="1" stopIfTrue="0">
      <formula>AND(ISNUMBER(X84),X84&lt;0)</formula>
    </cfRule>
    <cfRule type="expression" priority="427" dxfId="2" stopIfTrue="0">
      <formula>AND(ISNUMBER(X84),X84&gt;0)</formula>
    </cfRule>
    <cfRule type="expression" priority="428" dxfId="11" stopIfTrue="0">
      <formula>X84="CV"</formula>
    </cfRule>
  </conditionalFormatting>
  <conditionalFormatting sqref="D85:F85">
    <cfRule type="expression" priority="429" dxfId="1" stopIfTrue="0">
      <formula>AND(ISNUMBER(D85),D85&lt;0)</formula>
    </cfRule>
    <cfRule type="expression" priority="430" dxfId="2" stopIfTrue="0">
      <formula>AND(ISNUMBER(D85),D85&gt;0)</formula>
    </cfRule>
    <cfRule type="expression" priority="431" dxfId="11" stopIfTrue="0">
      <formula>D85="CV"</formula>
    </cfRule>
  </conditionalFormatting>
  <conditionalFormatting sqref="H85:J85">
    <cfRule type="expression" priority="432" dxfId="1" stopIfTrue="0">
      <formula>AND(ISNUMBER(H85),H85&lt;0)</formula>
    </cfRule>
    <cfRule type="expression" priority="433" dxfId="2" stopIfTrue="0">
      <formula>AND(ISNUMBER(H85),H85&gt;0)</formula>
    </cfRule>
    <cfRule type="expression" priority="434" dxfId="11" stopIfTrue="0">
      <formula>H85="CV"</formula>
    </cfRule>
  </conditionalFormatting>
  <conditionalFormatting sqref="L85:N85">
    <cfRule type="expression" priority="435" dxfId="1" stopIfTrue="0">
      <formula>AND(ISNUMBER(L85),L85&lt;0)</formula>
    </cfRule>
    <cfRule type="expression" priority="436" dxfId="2" stopIfTrue="0">
      <formula>AND(ISNUMBER(L85),L85&gt;0)</formula>
    </cfRule>
    <cfRule type="expression" priority="437" dxfId="11" stopIfTrue="0">
      <formula>L85="CV"</formula>
    </cfRule>
  </conditionalFormatting>
  <conditionalFormatting sqref="P85:R85">
    <cfRule type="expression" priority="438" dxfId="1" stopIfTrue="0">
      <formula>AND(ISNUMBER(P85),P85&lt;0)</formula>
    </cfRule>
    <cfRule type="expression" priority="439" dxfId="2" stopIfTrue="0">
      <formula>AND(ISNUMBER(P85),P85&gt;0)</formula>
    </cfRule>
    <cfRule type="expression" priority="440" dxfId="11" stopIfTrue="0">
      <formula>P85="CV"</formula>
    </cfRule>
  </conditionalFormatting>
  <conditionalFormatting sqref="T85:V85">
    <cfRule type="expression" priority="441" dxfId="1" stopIfTrue="0">
      <formula>AND(ISNUMBER(T85),T85&lt;0)</formula>
    </cfRule>
    <cfRule type="expression" priority="442" dxfId="2" stopIfTrue="0">
      <formula>AND(ISNUMBER(T85),T85&gt;0)</formula>
    </cfRule>
    <cfRule type="expression" priority="443" dxfId="11" stopIfTrue="0">
      <formula>T85="CV"</formula>
    </cfRule>
  </conditionalFormatting>
  <conditionalFormatting sqref="X85:Z85">
    <cfRule type="expression" priority="444" dxfId="1" stopIfTrue="0">
      <formula>AND(ISNUMBER(X85),X85&lt;0)</formula>
    </cfRule>
    <cfRule type="expression" priority="445" dxfId="2" stopIfTrue="0">
      <formula>AND(ISNUMBER(X85),X85&gt;0)</formula>
    </cfRule>
    <cfRule type="expression" priority="446" dxfId="11" stopIfTrue="0">
      <formula>X85="CV"</formula>
    </cfRule>
  </conditionalFormatting>
  <conditionalFormatting sqref="D86:F86">
    <cfRule type="expression" priority="447" dxfId="1" stopIfTrue="0">
      <formula>AND(ISNUMBER(D86),D86&lt;0)</formula>
    </cfRule>
    <cfRule type="expression" priority="448" dxfId="2" stopIfTrue="0">
      <formula>AND(ISNUMBER(D86),D86&gt;0)</formula>
    </cfRule>
    <cfRule type="expression" priority="449" dxfId="11" stopIfTrue="0">
      <formula>D86="CV"</formula>
    </cfRule>
  </conditionalFormatting>
  <conditionalFormatting sqref="H86:J86">
    <cfRule type="expression" priority="450" dxfId="1" stopIfTrue="0">
      <formula>AND(ISNUMBER(H86),H86&lt;0)</formula>
    </cfRule>
    <cfRule type="expression" priority="451" dxfId="2" stopIfTrue="0">
      <formula>AND(ISNUMBER(H86),H86&gt;0)</formula>
    </cfRule>
    <cfRule type="expression" priority="452" dxfId="11" stopIfTrue="0">
      <formula>H86="CV"</formula>
    </cfRule>
  </conditionalFormatting>
  <conditionalFormatting sqref="L86:N86">
    <cfRule type="expression" priority="453" dxfId="1" stopIfTrue="0">
      <formula>AND(ISNUMBER(L86),L86&lt;0)</formula>
    </cfRule>
    <cfRule type="expression" priority="454" dxfId="2" stopIfTrue="0">
      <formula>AND(ISNUMBER(L86),L86&gt;0)</formula>
    </cfRule>
    <cfRule type="expression" priority="455" dxfId="11" stopIfTrue="0">
      <formula>L86="CV"</formula>
    </cfRule>
  </conditionalFormatting>
  <conditionalFormatting sqref="P86:R86">
    <cfRule type="expression" priority="456" dxfId="1" stopIfTrue="0">
      <formula>AND(ISNUMBER(P86),P86&lt;0)</formula>
    </cfRule>
    <cfRule type="expression" priority="457" dxfId="2" stopIfTrue="0">
      <formula>AND(ISNUMBER(P86),P86&gt;0)</formula>
    </cfRule>
    <cfRule type="expression" priority="458" dxfId="11" stopIfTrue="0">
      <formula>P86="CV"</formula>
    </cfRule>
  </conditionalFormatting>
  <conditionalFormatting sqref="T86:V86">
    <cfRule type="expression" priority="459" dxfId="1" stopIfTrue="0">
      <formula>AND(ISNUMBER(T86),T86&lt;0)</formula>
    </cfRule>
    <cfRule type="expression" priority="460" dxfId="2" stopIfTrue="0">
      <formula>AND(ISNUMBER(T86),T86&gt;0)</formula>
    </cfRule>
    <cfRule type="expression" priority="461" dxfId="11" stopIfTrue="0">
      <formula>T86="CV"</formula>
    </cfRule>
  </conditionalFormatting>
  <conditionalFormatting sqref="X86:Z86">
    <cfRule type="expression" priority="462" dxfId="1" stopIfTrue="0">
      <formula>AND(ISNUMBER(X86),X86&lt;0)</formula>
    </cfRule>
    <cfRule type="expression" priority="463" dxfId="2" stopIfTrue="0">
      <formula>AND(ISNUMBER(X86),X86&gt;0)</formula>
    </cfRule>
    <cfRule type="expression" priority="464" dxfId="11" stopIfTrue="0">
      <formula>X86="CV"</formula>
    </cfRule>
  </conditionalFormatting>
  <conditionalFormatting sqref="D89:Z90">
    <cfRule type="expression" priority="465" dxfId="12" stopIfTrue="0">
      <formula>LEFT(D89,1)="0"</formula>
    </cfRule>
  </conditionalFormatting>
  <conditionalFormatting sqref="AM63:AO86">
    <cfRule type="expression" priority="466" dxfId="1" stopIfTrue="0">
      <formula>AM63="Cần xử lý"</formula>
    </cfRule>
    <cfRule type="expression" priority="467" dxfId="13" stopIfTrue="0">
      <formula>AM63="Theo dõi"</formula>
    </cfRule>
    <cfRule type="expression" priority="468" dxfId="4" stopIfTrue="0">
      <formula>AM63="Ổn định"</formula>
    </cfRule>
  </conditionalFormatting>
  <conditionalFormatting sqref="AK63:AL86">
    <cfRule type="cellIs" priority="469" operator="greaterThan" dxfId="6">
      <formula>0</formula>
    </cfRule>
  </conditionalFormatting>
  <conditionalFormatting sqref="AG63:AH86">
    <cfRule type="cellIs" priority="470" operator="greaterThan" dxfId="7">
      <formula>0</formula>
    </cfRule>
  </conditionalFormatting>
  <conditionalFormatting sqref="R96:T105">
    <cfRule type="expression" priority="471" dxfId="0" stopIfTrue="0">
      <formula>R96="Báo động đỏ"</formula>
    </cfRule>
    <cfRule type="expression" priority="472" dxfId="1" stopIfTrue="0">
      <formula>R96="Báo động"</formula>
    </cfRule>
    <cfRule type="expression" priority="473" dxfId="2" stopIfTrue="0">
      <formula>R96="Cảnh báo"</formula>
    </cfRule>
    <cfRule type="expression" priority="474" dxfId="14" stopIfTrue="0">
      <formula>R96="Nhắc nhở"</formula>
    </cfRule>
    <cfRule type="expression" priority="475" dxfId="1" stopIfTrue="0">
      <formula>R96="Quá hạn"</formula>
    </cfRule>
    <cfRule type="expression" priority="476" dxfId="15" stopIfTrue="0">
      <formula>R96="Chậm tiến độ"</formula>
    </cfRule>
    <cfRule type="expression" priority="477" dxfId="16" stopIfTrue="0">
      <formula>R96="Đúng tiến độ"</formula>
    </cfRule>
    <cfRule type="expression" priority="478" dxfId="11" stopIfTrue="0">
      <formula>R96="Đến hạn hôm nay"</formula>
    </cfRule>
    <cfRule type="expression" priority="479" dxfId="17" stopIfTrue="0">
      <formula>R96="Sắp đến hạn"</formula>
    </cfRule>
    <cfRule type="expression" priority="480" dxfId="18" stopIfTrue="0">
      <formula>R96="Hoàn thành"</formula>
    </cfRule>
    <cfRule type="expression" priority="481" dxfId="19" stopIfTrue="0">
      <formula>R96="Theo lịch"</formula>
    </cfRule>
    <cfRule type="expression" priority="482" dxfId="19" stopIfTrue="0">
      <formula>R96="Chưa đặt hạn"</formula>
    </cfRule>
  </conditionalFormatting>
  <conditionalFormatting sqref="AM96:AO105">
    <cfRule type="expression" priority="483" dxfId="0" stopIfTrue="0">
      <formula>AM96="Báo động đỏ"</formula>
    </cfRule>
    <cfRule type="expression" priority="484" dxfId="1" stopIfTrue="0">
      <formula>AM96="Báo động"</formula>
    </cfRule>
    <cfRule type="expression" priority="485" dxfId="2" stopIfTrue="0">
      <formula>AM96="Cảnh báo"</formula>
    </cfRule>
    <cfRule type="expression" priority="486" dxfId="14" stopIfTrue="0">
      <formula>AM96="Nhắc nhở"</formula>
    </cfRule>
    <cfRule type="expression" priority="487" dxfId="1" stopIfTrue="0">
      <formula>AM96="Quá hạn"</formula>
    </cfRule>
    <cfRule type="expression" priority="488" dxfId="15" stopIfTrue="0">
      <formula>AM96="Chậm tiến độ"</formula>
    </cfRule>
    <cfRule type="expression" priority="489" dxfId="16" stopIfTrue="0">
      <formula>AM96="Đúng tiến độ"</formula>
    </cfRule>
    <cfRule type="expression" priority="490" dxfId="11" stopIfTrue="0">
      <formula>AM96="Đến hạn hôm nay"</formula>
    </cfRule>
    <cfRule type="expression" priority="491" dxfId="17" stopIfTrue="0">
      <formula>AM96="Sắp đến hạn"</formula>
    </cfRule>
    <cfRule type="expression" priority="492" dxfId="18" stopIfTrue="0">
      <formula>AM96="Hoàn thành"</formula>
    </cfRule>
    <cfRule type="expression" priority="493" dxfId="19" stopIfTrue="0">
      <formula>AM96="Theo lịch"</formula>
    </cfRule>
    <cfRule type="expression" priority="494" dxfId="19" stopIfTrue="0">
      <formula>AM96="Chưa đặt hạn"</formula>
    </cfRule>
  </conditionalFormatting>
  <conditionalFormatting sqref="P96:Q105">
    <cfRule type="dataBar" priority="495">
      <dataBar showValue="1">
        <cfvo type="num" val="0"/>
        <cfvo type="num" val="1"/>
        <color rgb="007CC49A"/>
      </dataBar>
    </cfRule>
  </conditionalFormatting>
  <conditionalFormatting sqref="AK96:AL105">
    <cfRule type="dataBar" priority="496">
      <dataBar showValue="1">
        <cfvo type="num" val="0"/>
        <cfvo type="num" val="1"/>
        <color rgb="007CC49A"/>
      </dataBar>
    </cfRule>
  </conditionalFormatting>
  <conditionalFormatting sqref="B115">
    <cfRule type="cellIs" priority="497" operator="greaterThan" dxfId="7">
      <formula>0</formula>
    </cfRule>
  </conditionalFormatting>
  <conditionalFormatting sqref="L115">
    <cfRule type="cellIs" priority="498" operator="greaterThan" dxfId="6">
      <formula>0</formula>
    </cfRule>
  </conditionalFormatting>
  <conditionalFormatting sqref="AE110:AF122">
    <cfRule type="cellIs" priority="499" operator="greaterThan" dxfId="6">
      <formula>0</formula>
    </cfRule>
  </conditionalFormatting>
  <conditionalFormatting sqref="AM110:AO122">
    <cfRule type="expression" priority="500" dxfId="7" stopIfTrue="0">
      <formula>AND(ISNUMBER($AM110),$AM110&lt;0.8)</formula>
    </cfRule>
    <cfRule type="expression" priority="501" dxfId="20" stopIfTrue="0">
      <formula>AND(ISNUMBER($AM110),$AM110&gt;=0.8)</formula>
    </cfRule>
  </conditionalFormatting>
  <pageMargins left="0.75" right="0.75" top="1" bottom="1" header="0.5" footer="0.5"/>
  <pageSetup orientation="landscape" paperSize="9" fitToHeight="0" fitToWidth="1"/>
  <rowBreaks count="1" manualBreakCount="1">
    <brk id="105" min="0" max="16383" man="1"/>
  </rowBreaks>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tabColor rgb="002A6E4E"/>
    <outlinePr summaryBelow="1" summaryRight="1"/>
    <pageSetUpPr fitToPage="1"/>
  </sheetPr>
  <dimension ref="A1:H65"/>
  <sheetViews>
    <sheetView showGridLines="0" tabSelected="0" workbookViewId="0">
      <selection activeCell="A1" sqref="A1"/>
    </sheetView>
  </sheetViews>
  <sheetFormatPr baseColWidth="8" defaultRowHeight="15"/>
  <cols>
    <col width="2" customWidth="1" min="1" max="1"/>
    <col width="12" customWidth="1" min="2" max="2"/>
    <col width="42" customWidth="1" min="3" max="3"/>
    <col width="20" customWidth="1" min="4" max="4"/>
    <col width="13" customWidth="1" min="5" max="5"/>
    <col width="10" customWidth="1" min="6" max="6"/>
    <col width="17" customWidth="1" min="7" max="7"/>
    <col width="2" customWidth="1" min="8" max="8"/>
  </cols>
  <sheetData>
    <row r="1" ht="34" customHeight="1">
      <c r="A1" s="183" t="inlineStr">
        <is>
          <t>BÁO CÁO VẬN HÀNH TUẦN</t>
        </is>
      </c>
    </row>
    <row r="2" ht="20" customHeight="1">
      <c r="A2" s="184" t="inlineStr">
        <is>
          <t>Saigon South Residences, trang tóm tắt để in hoặc lưu PDF (File, Print). Số liệu tự lấy từ tab Tổng quan và tab Lời nhắn.</t>
        </is>
      </c>
      <c r="B2" s="5" t="n"/>
      <c r="C2" s="5" t="n"/>
      <c r="D2" s="5" t="n"/>
      <c r="E2" s="5" t="n"/>
      <c r="F2" s="5" t="n"/>
      <c r="G2" s="5" t="n"/>
      <c r="H2" s="5" t="n"/>
    </row>
    <row r="3" ht="20" customHeight="1">
      <c r="B3" s="185">
        <f>"Số liệu tính đến "&amp;TEXT('Tổng quan'!$AH$3,"hh:mm")&amp;" ngày "&amp;TEXT('Tổng quan'!$AH$3,"dd/mm/yyyy")&amp;"; việc hoàn thành tính trong 7 ngày gần nhất."</f>
      </c>
    </row>
    <row r="4" ht="40" customHeight="1">
      <c r="B4" s="264">
        <f>'Tổng quan'!$F$4</f>
      </c>
      <c r="C4" s="264"/>
      <c r="D4" s="264"/>
      <c r="E4" s="264"/>
      <c r="F4" s="264"/>
      <c r="G4" s="264"/>
    </row>
    <row r="5" ht="24" customHeight="1">
      <c r="B5" s="186" t="inlineStr">
        <is>
          <t>CHỈ SỐ CHÍNH</t>
        </is>
      </c>
      <c r="C5" s="9" t="n"/>
      <c r="D5" s="9" t="n"/>
      <c r="E5" s="9" t="n"/>
      <c r="F5" s="9" t="n"/>
      <c r="G5" s="9" t="n"/>
    </row>
    <row r="6" ht="20" customHeight="1">
      <c r="B6" s="187" t="inlineStr">
        <is>
          <t>Chỉ số vận hành</t>
        </is>
      </c>
      <c r="C6" s="121" t="n"/>
      <c r="D6" s="188">
        <f>'Tổng quan'!$AT$8&amp;"/100: "&amp;IF('Tổng quan'!$AT$8&gt;=85,"Tốt",IF('Tổng quan'!$AT$8&gt;=70,"Ổn định",IF('Tổng quan'!$AT$8&gt;=50,"Cần chú ý","Báo động")))</f>
      </c>
      <c r="E6" s="121" t="n"/>
      <c r="F6" s="121" t="n"/>
      <c r="G6" s="121" t="n"/>
    </row>
    <row r="7" ht="20" customHeight="1">
      <c r="B7" s="189" t="inlineStr">
        <is>
          <t>Việc quá hạn</t>
        </is>
      </c>
      <c r="C7" s="125" t="n"/>
      <c r="D7" s="190">
        <f>('Tổng quan'!$AQ$7+'Tổng quan'!$AR$7+'Tổng quan'!$AS$7+'Tổng quan'!$AT$7)&amp;" việc"&amp;IF('Tổng quan'!$AQ$7+'Tổng quan'!$AR$7+'Tổng quan'!$AS$7+'Tổng quan'!$AT$7&gt;0,": "&amp;LEFT('Tổng quan'!$AU$7,LEN('Tổng quan'!$AU$7)-2),"")</f>
      </c>
      <c r="E7" s="125" t="n"/>
      <c r="F7" s="125" t="n"/>
      <c r="G7" s="125" t="n"/>
    </row>
    <row r="8" ht="20" customHeight="1">
      <c r="B8" s="187" t="inlineStr">
        <is>
          <t>Phản ánh đang mở</t>
        </is>
      </c>
      <c r="C8" s="121" t="n"/>
      <c r="D8" s="188">
        <f>COUNTIFS('Phản ánh'!$A$6:$A$505,"?*",'Phản ánh'!$V$6:$V$505,"&lt;&gt;Đã xử lý")&amp;" trên tổng "&amp;COUNTIF('Phản ánh'!$A$6:$A$505,"?*")&amp;" phản ánh"</f>
      </c>
      <c r="E8" s="121" t="n"/>
      <c r="F8" s="121" t="n"/>
      <c r="G8" s="121" t="n"/>
    </row>
    <row r="9" ht="20" customHeight="1">
      <c r="B9" s="189" t="inlineStr">
        <is>
          <t>Hoàn thành trong 7 ngày</t>
        </is>
      </c>
      <c r="C9" s="125" t="n"/>
      <c r="D9" s="190">
        <f>(COUNTIFS('Phản ánh'!$AA$6:$AA$505,"&gt;="&amp;(TDBC-7))+COUNTIFS('Kế hoạch'!$B$6:$B$305,"Đột xuất",'Kế hoạch'!$X$6:$X$305,"&gt;="&amp;(TDBC-7))+COUNTIFS('Nhật ký tiến độ'!$E$6:$E$3005,"Hoàn thành kỳ",'Nhật ký tiến độ'!$B$6:$B$3005,"&gt;="&amp;(TDBC-7)))&amp;" đầu việc"</f>
      </c>
      <c r="E9" s="125" t="n"/>
      <c r="F9" s="125" t="n"/>
      <c r="G9" s="125" t="n"/>
    </row>
    <row r="10" ht="20" customHeight="1">
      <c r="B10" s="187" t="inlineStr">
        <is>
          <t>Lời nhắn chưa phản hồi</t>
        </is>
      </c>
      <c r="C10" s="121" t="n"/>
      <c r="D10" s="188">
        <f>'Lời nhắn'!$I$3&amp;" lời nhắn"</f>
      </c>
      <c r="E10" s="121" t="n"/>
      <c r="F10" s="121" t="n"/>
      <c r="G10" s="121" t="n"/>
    </row>
    <row r="12" ht="24" customHeight="1">
      <c r="B12" s="186" t="inlineStr">
        <is>
          <t>PHẢN ÁNH CẦN CHÚ Ý</t>
        </is>
      </c>
      <c r="C12" s="9" t="n"/>
      <c r="D12" s="9" t="n"/>
      <c r="E12" s="9" t="n"/>
      <c r="F12" s="9" t="n"/>
      <c r="G12" s="9" t="n"/>
    </row>
    <row r="13" ht="18" customHeight="1">
      <c r="B13" s="140" t="inlineStr">
        <is>
          <t>Mã</t>
        </is>
      </c>
      <c r="C13" s="140" t="inlineStr">
        <is>
          <t>Vấn đề</t>
        </is>
      </c>
      <c r="D13" s="140" t="inlineStr">
        <is>
          <t>Vị trí</t>
        </is>
      </c>
      <c r="E13" s="140" t="inlineStr">
        <is>
          <t>Deadline</t>
        </is>
      </c>
      <c r="F13" s="140" t="inlineStr">
        <is>
          <t>Tiến độ</t>
        </is>
      </c>
      <c r="G13" s="140" t="inlineStr">
        <is>
          <t>Báo động, tiến độ</t>
        </is>
      </c>
    </row>
    <row r="14" ht="30" customHeight="1">
      <c r="B14" s="142">
        <f>'Tổng quan'!C96&amp;""</f>
      </c>
      <c r="C14" s="191">
        <f>'Tổng quan'!E96&amp;""</f>
      </c>
      <c r="D14" s="191">
        <f>'Tổng quan'!J96&amp;""</f>
      </c>
      <c r="E14" s="192">
        <f>IF('Tổng quan'!M96="","",'Tổng quan'!M96)</f>
      </c>
      <c r="F14" s="193">
        <f>IF('Tổng quan'!P96="","",'Tổng quan'!P96)</f>
      </c>
      <c r="G14" s="194">
        <f>'Tổng quan'!R96&amp;""</f>
      </c>
    </row>
    <row r="15" ht="30" customHeight="1">
      <c r="B15" s="150">
        <f>'Tổng quan'!C97&amp;""</f>
      </c>
      <c r="C15" s="195">
        <f>'Tổng quan'!E97&amp;""</f>
      </c>
      <c r="D15" s="195">
        <f>'Tổng quan'!J97&amp;""</f>
      </c>
      <c r="E15" s="196">
        <f>IF('Tổng quan'!M97="","",'Tổng quan'!M97)</f>
      </c>
      <c r="F15" s="197">
        <f>IF('Tổng quan'!P97="","",'Tổng quan'!P97)</f>
      </c>
      <c r="G15" s="198">
        <f>'Tổng quan'!R97&amp;""</f>
      </c>
    </row>
    <row r="16" ht="30" customHeight="1">
      <c r="B16" s="142">
        <f>'Tổng quan'!C98&amp;""</f>
      </c>
      <c r="C16" s="191">
        <f>'Tổng quan'!E98&amp;""</f>
      </c>
      <c r="D16" s="191">
        <f>'Tổng quan'!J98&amp;""</f>
      </c>
      <c r="E16" s="192">
        <f>IF('Tổng quan'!M98="","",'Tổng quan'!M98)</f>
      </c>
      <c r="F16" s="193">
        <f>IF('Tổng quan'!P98="","",'Tổng quan'!P98)</f>
      </c>
      <c r="G16" s="194">
        <f>'Tổng quan'!R98&amp;""</f>
      </c>
    </row>
    <row r="17" ht="30" customHeight="1">
      <c r="B17" s="150">
        <f>'Tổng quan'!C99&amp;""</f>
      </c>
      <c r="C17" s="195">
        <f>'Tổng quan'!E99&amp;""</f>
      </c>
      <c r="D17" s="195">
        <f>'Tổng quan'!J99&amp;""</f>
      </c>
      <c r="E17" s="196">
        <f>IF('Tổng quan'!M99="","",'Tổng quan'!M99)</f>
      </c>
      <c r="F17" s="197">
        <f>IF('Tổng quan'!P99="","",'Tổng quan'!P99)</f>
      </c>
      <c r="G17" s="198">
        <f>'Tổng quan'!R99&amp;""</f>
      </c>
    </row>
    <row r="18" ht="30" customHeight="1">
      <c r="B18" s="142">
        <f>'Tổng quan'!C100&amp;""</f>
      </c>
      <c r="C18" s="191">
        <f>'Tổng quan'!E100&amp;""</f>
      </c>
      <c r="D18" s="191">
        <f>'Tổng quan'!J100&amp;""</f>
      </c>
      <c r="E18" s="192">
        <f>IF('Tổng quan'!M100="","",'Tổng quan'!M100)</f>
      </c>
      <c r="F18" s="193">
        <f>IF('Tổng quan'!P100="","",'Tổng quan'!P100)</f>
      </c>
      <c r="G18" s="194">
        <f>'Tổng quan'!R100&amp;""</f>
      </c>
    </row>
    <row r="19" ht="30" customHeight="1">
      <c r="B19" s="150">
        <f>'Tổng quan'!C101&amp;""</f>
      </c>
      <c r="C19" s="195">
        <f>'Tổng quan'!E101&amp;""</f>
      </c>
      <c r="D19" s="195">
        <f>'Tổng quan'!J101&amp;""</f>
      </c>
      <c r="E19" s="196">
        <f>IF('Tổng quan'!M101="","",'Tổng quan'!M101)</f>
      </c>
      <c r="F19" s="197">
        <f>IF('Tổng quan'!P101="","",'Tổng quan'!P101)</f>
      </c>
      <c r="G19" s="198">
        <f>'Tổng quan'!R101&amp;""</f>
      </c>
    </row>
    <row r="20" ht="30" customHeight="1">
      <c r="B20" s="142">
        <f>'Tổng quan'!C102&amp;""</f>
      </c>
      <c r="C20" s="191">
        <f>'Tổng quan'!E102&amp;""</f>
      </c>
      <c r="D20" s="191">
        <f>'Tổng quan'!J102&amp;""</f>
      </c>
      <c r="E20" s="192">
        <f>IF('Tổng quan'!M102="","",'Tổng quan'!M102)</f>
      </c>
      <c r="F20" s="193">
        <f>IF('Tổng quan'!P102="","",'Tổng quan'!P102)</f>
      </c>
      <c r="G20" s="194">
        <f>'Tổng quan'!R102&amp;""</f>
      </c>
    </row>
    <row r="21" ht="30" customHeight="1">
      <c r="B21" s="150">
        <f>'Tổng quan'!C103&amp;""</f>
      </c>
      <c r="C21" s="195">
        <f>'Tổng quan'!E103&amp;""</f>
      </c>
      <c r="D21" s="195">
        <f>'Tổng quan'!J103&amp;""</f>
      </c>
      <c r="E21" s="196">
        <f>IF('Tổng quan'!M103="","",'Tổng quan'!M103)</f>
      </c>
      <c r="F21" s="197">
        <f>IF('Tổng quan'!P103="","",'Tổng quan'!P103)</f>
      </c>
      <c r="G21" s="198">
        <f>'Tổng quan'!R103&amp;""</f>
      </c>
    </row>
    <row r="22" ht="30" customHeight="1">
      <c r="B22" s="142">
        <f>'Tổng quan'!C104&amp;""</f>
      </c>
      <c r="C22" s="191">
        <f>'Tổng quan'!E104&amp;""</f>
      </c>
      <c r="D22" s="191">
        <f>'Tổng quan'!J104&amp;""</f>
      </c>
      <c r="E22" s="192">
        <f>IF('Tổng quan'!M104="","",'Tổng quan'!M104)</f>
      </c>
      <c r="F22" s="193">
        <f>IF('Tổng quan'!P104="","",'Tổng quan'!P104)</f>
      </c>
      <c r="G22" s="194">
        <f>'Tổng quan'!R104&amp;""</f>
      </c>
    </row>
    <row r="23" ht="30" customHeight="1">
      <c r="B23" s="150">
        <f>'Tổng quan'!C105&amp;""</f>
      </c>
      <c r="C23" s="195">
        <f>'Tổng quan'!E105&amp;""</f>
      </c>
      <c r="D23" s="195">
        <f>'Tổng quan'!J105&amp;""</f>
      </c>
      <c r="E23" s="196">
        <f>IF('Tổng quan'!M105="","",'Tổng quan'!M105)</f>
      </c>
      <c r="F23" s="197">
        <f>IF('Tổng quan'!P105="","",'Tổng quan'!P105)</f>
      </c>
      <c r="G23" s="198">
        <f>'Tổng quan'!R105&amp;""</f>
      </c>
    </row>
    <row r="25" ht="24" customHeight="1">
      <c r="B25" s="186" t="inlineStr">
        <is>
          <t>CÔNG VIỆC CẦN CHÚ Ý</t>
        </is>
      </c>
      <c r="C25" s="9" t="n"/>
      <c r="D25" s="9" t="n"/>
      <c r="E25" s="9" t="n"/>
      <c r="F25" s="9" t="n"/>
      <c r="G25" s="9" t="n"/>
    </row>
    <row r="26" ht="18" customHeight="1">
      <c r="B26" s="140" t="inlineStr">
        <is>
          <t>Mã</t>
        </is>
      </c>
      <c r="C26" s="140" t="inlineStr">
        <is>
          <t>Công việc</t>
        </is>
      </c>
      <c r="D26" s="140" t="inlineStr">
        <is>
          <t>Vị trí</t>
        </is>
      </c>
      <c r="E26" s="140" t="inlineStr">
        <is>
          <t>Hạn, kỳ</t>
        </is>
      </c>
      <c r="F26" s="140" t="inlineStr">
        <is>
          <t>Tiến độ</t>
        </is>
      </c>
      <c r="G26" s="140" t="inlineStr">
        <is>
          <t>Báo động, tiến độ</t>
        </is>
      </c>
    </row>
    <row r="27" ht="30" customHeight="1">
      <c r="B27" s="142">
        <f>'Tổng quan'!W96&amp;""</f>
      </c>
      <c r="C27" s="191">
        <f>'Tổng quan'!Y96&amp;""</f>
      </c>
      <c r="D27" s="191">
        <f>'Tổng quan'!AF96&amp;""</f>
      </c>
      <c r="E27" s="148">
        <f>IF('Tổng quan'!AI96="","",'Tổng quan'!AI96)</f>
      </c>
      <c r="F27" s="193">
        <f>IF('Tổng quan'!AK96="","",'Tổng quan'!AK96)</f>
      </c>
      <c r="G27" s="194">
        <f>'Tổng quan'!AM96&amp;""</f>
      </c>
    </row>
    <row r="28" ht="30" customHeight="1">
      <c r="B28" s="150">
        <f>'Tổng quan'!W97&amp;""</f>
      </c>
      <c r="C28" s="195">
        <f>'Tổng quan'!Y97&amp;""</f>
      </c>
      <c r="D28" s="195">
        <f>'Tổng quan'!AF97&amp;""</f>
      </c>
      <c r="E28" s="156">
        <f>IF('Tổng quan'!AI97="","",'Tổng quan'!AI97)</f>
      </c>
      <c r="F28" s="197">
        <f>IF('Tổng quan'!AK97="","",'Tổng quan'!AK97)</f>
      </c>
      <c r="G28" s="198">
        <f>'Tổng quan'!AM97&amp;""</f>
      </c>
    </row>
    <row r="29" ht="30" customHeight="1">
      <c r="B29" s="142">
        <f>'Tổng quan'!W98&amp;""</f>
      </c>
      <c r="C29" s="191">
        <f>'Tổng quan'!Y98&amp;""</f>
      </c>
      <c r="D29" s="191">
        <f>'Tổng quan'!AF98&amp;""</f>
      </c>
      <c r="E29" s="148">
        <f>IF('Tổng quan'!AI98="","",'Tổng quan'!AI98)</f>
      </c>
      <c r="F29" s="193">
        <f>IF('Tổng quan'!AK98="","",'Tổng quan'!AK98)</f>
      </c>
      <c r="G29" s="194">
        <f>'Tổng quan'!AM98&amp;""</f>
      </c>
    </row>
    <row r="30" ht="30" customHeight="1">
      <c r="B30" s="150">
        <f>'Tổng quan'!W99&amp;""</f>
      </c>
      <c r="C30" s="195">
        <f>'Tổng quan'!Y99&amp;""</f>
      </c>
      <c r="D30" s="195">
        <f>'Tổng quan'!AF99&amp;""</f>
      </c>
      <c r="E30" s="156">
        <f>IF('Tổng quan'!AI99="","",'Tổng quan'!AI99)</f>
      </c>
      <c r="F30" s="197">
        <f>IF('Tổng quan'!AK99="","",'Tổng quan'!AK99)</f>
      </c>
      <c r="G30" s="198">
        <f>'Tổng quan'!AM99&amp;""</f>
      </c>
    </row>
    <row r="31" ht="30" customHeight="1">
      <c r="B31" s="142">
        <f>'Tổng quan'!W100&amp;""</f>
      </c>
      <c r="C31" s="191">
        <f>'Tổng quan'!Y100&amp;""</f>
      </c>
      <c r="D31" s="191">
        <f>'Tổng quan'!AF100&amp;""</f>
      </c>
      <c r="E31" s="148">
        <f>IF('Tổng quan'!AI100="","",'Tổng quan'!AI100)</f>
      </c>
      <c r="F31" s="193">
        <f>IF('Tổng quan'!AK100="","",'Tổng quan'!AK100)</f>
      </c>
      <c r="G31" s="194">
        <f>'Tổng quan'!AM100&amp;""</f>
      </c>
    </row>
    <row r="32" ht="30" customHeight="1">
      <c r="B32" s="150">
        <f>'Tổng quan'!W101&amp;""</f>
      </c>
      <c r="C32" s="195">
        <f>'Tổng quan'!Y101&amp;""</f>
      </c>
      <c r="D32" s="195">
        <f>'Tổng quan'!AF101&amp;""</f>
      </c>
      <c r="E32" s="156">
        <f>IF('Tổng quan'!AI101="","",'Tổng quan'!AI101)</f>
      </c>
      <c r="F32" s="197">
        <f>IF('Tổng quan'!AK101="","",'Tổng quan'!AK101)</f>
      </c>
      <c r="G32" s="198">
        <f>'Tổng quan'!AM101&amp;""</f>
      </c>
    </row>
    <row r="33" ht="30" customHeight="1">
      <c r="B33" s="142">
        <f>'Tổng quan'!W102&amp;""</f>
      </c>
      <c r="C33" s="191">
        <f>'Tổng quan'!Y102&amp;""</f>
      </c>
      <c r="D33" s="191">
        <f>'Tổng quan'!AF102&amp;""</f>
      </c>
      <c r="E33" s="148">
        <f>IF('Tổng quan'!AI102="","",'Tổng quan'!AI102)</f>
      </c>
      <c r="F33" s="193">
        <f>IF('Tổng quan'!AK102="","",'Tổng quan'!AK102)</f>
      </c>
      <c r="G33" s="194">
        <f>'Tổng quan'!AM102&amp;""</f>
      </c>
    </row>
    <row r="34" ht="30" customHeight="1">
      <c r="B34" s="150">
        <f>'Tổng quan'!W103&amp;""</f>
      </c>
      <c r="C34" s="195">
        <f>'Tổng quan'!Y103&amp;""</f>
      </c>
      <c r="D34" s="195">
        <f>'Tổng quan'!AF103&amp;""</f>
      </c>
      <c r="E34" s="156">
        <f>IF('Tổng quan'!AI103="","",'Tổng quan'!AI103)</f>
      </c>
      <c r="F34" s="197">
        <f>IF('Tổng quan'!AK103="","",'Tổng quan'!AK103)</f>
      </c>
      <c r="G34" s="198">
        <f>'Tổng quan'!AM103&amp;""</f>
      </c>
    </row>
    <row r="35" ht="30" customHeight="1">
      <c r="B35" s="142">
        <f>'Tổng quan'!W104&amp;""</f>
      </c>
      <c r="C35" s="191">
        <f>'Tổng quan'!Y104&amp;""</f>
      </c>
      <c r="D35" s="191">
        <f>'Tổng quan'!AF104&amp;""</f>
      </c>
      <c r="E35" s="148">
        <f>IF('Tổng quan'!AI104="","",'Tổng quan'!AI104)</f>
      </c>
      <c r="F35" s="193">
        <f>IF('Tổng quan'!AK104="","",'Tổng quan'!AK104)</f>
      </c>
      <c r="G35" s="194">
        <f>'Tổng quan'!AM104&amp;""</f>
      </c>
    </row>
    <row r="36" ht="30" customHeight="1">
      <c r="B36" s="150">
        <f>'Tổng quan'!W105&amp;""</f>
      </c>
      <c r="C36" s="195">
        <f>'Tổng quan'!Y105&amp;""</f>
      </c>
      <c r="D36" s="195">
        <f>'Tổng quan'!AF105&amp;""</f>
      </c>
      <c r="E36" s="156">
        <f>IF('Tổng quan'!AI105="","",'Tổng quan'!AI105)</f>
      </c>
      <c r="F36" s="197">
        <f>IF('Tổng quan'!AK105="","",'Tổng quan'!AK105)</f>
      </c>
      <c r="G36" s="198">
        <f>'Tổng quan'!AM105&amp;""</f>
      </c>
    </row>
    <row r="38" ht="24" customHeight="1">
      <c r="B38" s="186" t="inlineStr">
        <is>
          <t>THEO NGƯỜI PHỤ TRÁCH</t>
        </is>
      </c>
      <c r="C38" s="9" t="n"/>
      <c r="D38" s="9" t="n"/>
      <c r="E38" s="9" t="n"/>
      <c r="F38" s="9" t="n"/>
      <c r="G38" s="9" t="n"/>
    </row>
    <row r="39" ht="18" customHeight="1">
      <c r="B39" s="140" t="inlineStr">
        <is>
          <t>Người phụ trách</t>
        </is>
      </c>
      <c r="C39" s="1" t="n"/>
      <c r="D39" s="140" t="inlineStr">
        <is>
          <t>Đang mở</t>
        </is>
      </c>
      <c r="E39" s="140" t="inlineStr">
        <is>
          <t>Quá hạn</t>
        </is>
      </c>
      <c r="F39" s="140" t="inlineStr">
        <is>
          <t>Xong 30 ngày</t>
        </is>
      </c>
      <c r="G39" s="140" t="inlineStr">
        <is>
          <t>Đúng hạn 30 ngày</t>
        </is>
      </c>
    </row>
    <row r="40" ht="18" customHeight="1">
      <c r="B40" s="120">
        <f>'Tổng quan'!$V$110&amp;""</f>
      </c>
      <c r="C40" s="121" t="n"/>
      <c r="D40" s="162">
        <f>IF('Tổng quan'!$V$110="","",'Tổng quan'!AC110)</f>
      </c>
      <c r="E40" s="122">
        <f>IF('Tổng quan'!$V$110="","",'Tổng quan'!AE110)</f>
      </c>
      <c r="F40" s="122">
        <f>IF('Tổng quan'!$V$110="","",'Tổng quan'!AG110)</f>
      </c>
      <c r="G40" s="164">
        <f>IF('Tổng quan'!$V$110="","",'Tổng quan'!AM110)</f>
      </c>
    </row>
    <row r="41" ht="18" customHeight="1">
      <c r="B41" s="124">
        <f>'Tổng quan'!$V$111&amp;""</f>
      </c>
      <c r="C41" s="125" t="n"/>
      <c r="D41" s="165">
        <f>IF('Tổng quan'!$V$111="","",'Tổng quan'!AC111)</f>
      </c>
      <c r="E41" s="126">
        <f>IF('Tổng quan'!$V$111="","",'Tổng quan'!AE111)</f>
      </c>
      <c r="F41" s="126">
        <f>IF('Tổng quan'!$V$111="","",'Tổng quan'!AG111)</f>
      </c>
      <c r="G41" s="167">
        <f>IF('Tổng quan'!$V$111="","",'Tổng quan'!AM111)</f>
      </c>
    </row>
    <row r="42" ht="18" customHeight="1">
      <c r="B42" s="120">
        <f>'Tổng quan'!$V$112&amp;""</f>
      </c>
      <c r="C42" s="121" t="n"/>
      <c r="D42" s="162">
        <f>IF('Tổng quan'!$V$112="","",'Tổng quan'!AC112)</f>
      </c>
      <c r="E42" s="122">
        <f>IF('Tổng quan'!$V$112="","",'Tổng quan'!AE112)</f>
      </c>
      <c r="F42" s="122">
        <f>IF('Tổng quan'!$V$112="","",'Tổng quan'!AG112)</f>
      </c>
      <c r="G42" s="164">
        <f>IF('Tổng quan'!$V$112="","",'Tổng quan'!AM112)</f>
      </c>
    </row>
    <row r="43" ht="18" customHeight="1">
      <c r="B43" s="124">
        <f>'Tổng quan'!$V$113&amp;""</f>
      </c>
      <c r="C43" s="125" t="n"/>
      <c r="D43" s="165">
        <f>IF('Tổng quan'!$V$113="","",'Tổng quan'!AC113)</f>
      </c>
      <c r="E43" s="126">
        <f>IF('Tổng quan'!$V$113="","",'Tổng quan'!AE113)</f>
      </c>
      <c r="F43" s="126">
        <f>IF('Tổng quan'!$V$113="","",'Tổng quan'!AG113)</f>
      </c>
      <c r="G43" s="167">
        <f>IF('Tổng quan'!$V$113="","",'Tổng quan'!AM113)</f>
      </c>
    </row>
    <row r="44" ht="18" customHeight="1">
      <c r="B44" s="120">
        <f>'Tổng quan'!$V$114&amp;""</f>
      </c>
      <c r="C44" s="121" t="n"/>
      <c r="D44" s="162">
        <f>IF('Tổng quan'!$V$114="","",'Tổng quan'!AC114)</f>
      </c>
      <c r="E44" s="122">
        <f>IF('Tổng quan'!$V$114="","",'Tổng quan'!AE114)</f>
      </c>
      <c r="F44" s="122">
        <f>IF('Tổng quan'!$V$114="","",'Tổng quan'!AG114)</f>
      </c>
      <c r="G44" s="164">
        <f>IF('Tổng quan'!$V$114="","",'Tổng quan'!AM114)</f>
      </c>
    </row>
    <row r="45" ht="18" customHeight="1">
      <c r="B45" s="124">
        <f>'Tổng quan'!$V$115&amp;""</f>
      </c>
      <c r="C45" s="125" t="n"/>
      <c r="D45" s="165">
        <f>IF('Tổng quan'!$V$115="","",'Tổng quan'!AC115)</f>
      </c>
      <c r="E45" s="126">
        <f>IF('Tổng quan'!$V$115="","",'Tổng quan'!AE115)</f>
      </c>
      <c r="F45" s="126">
        <f>IF('Tổng quan'!$V$115="","",'Tổng quan'!AG115)</f>
      </c>
      <c r="G45" s="167">
        <f>IF('Tổng quan'!$V$115="","",'Tổng quan'!AM115)</f>
      </c>
    </row>
    <row r="46" ht="18" customHeight="1">
      <c r="B46" s="120">
        <f>'Tổng quan'!$V$116&amp;""</f>
      </c>
      <c r="C46" s="121" t="n"/>
      <c r="D46" s="162">
        <f>IF('Tổng quan'!$V$116="","",'Tổng quan'!AC116)</f>
      </c>
      <c r="E46" s="122">
        <f>IF('Tổng quan'!$V$116="","",'Tổng quan'!AE116)</f>
      </c>
      <c r="F46" s="122">
        <f>IF('Tổng quan'!$V$116="","",'Tổng quan'!AG116)</f>
      </c>
      <c r="G46" s="164">
        <f>IF('Tổng quan'!$V$116="","",'Tổng quan'!AM116)</f>
      </c>
    </row>
    <row r="47" ht="18" customHeight="1">
      <c r="B47" s="124">
        <f>'Tổng quan'!$V$117&amp;""</f>
      </c>
      <c r="C47" s="125" t="n"/>
      <c r="D47" s="165">
        <f>IF('Tổng quan'!$V$117="","",'Tổng quan'!AC117)</f>
      </c>
      <c r="E47" s="126">
        <f>IF('Tổng quan'!$V$117="","",'Tổng quan'!AE117)</f>
      </c>
      <c r="F47" s="126">
        <f>IF('Tổng quan'!$V$117="","",'Tổng quan'!AG117)</f>
      </c>
      <c r="G47" s="167">
        <f>IF('Tổng quan'!$V$117="","",'Tổng quan'!AM117)</f>
      </c>
    </row>
    <row r="48" ht="18" customHeight="1">
      <c r="B48" s="120">
        <f>'Tổng quan'!$V$118&amp;""</f>
      </c>
      <c r="C48" s="121" t="n"/>
      <c r="D48" s="162">
        <f>IF('Tổng quan'!$V$118="","",'Tổng quan'!AC118)</f>
      </c>
      <c r="E48" s="122">
        <f>IF('Tổng quan'!$V$118="","",'Tổng quan'!AE118)</f>
      </c>
      <c r="F48" s="122">
        <f>IF('Tổng quan'!$V$118="","",'Tổng quan'!AG118)</f>
      </c>
      <c r="G48" s="164">
        <f>IF('Tổng quan'!$V$118="","",'Tổng quan'!AM118)</f>
      </c>
    </row>
    <row r="49" ht="18" customHeight="1">
      <c r="B49" s="124">
        <f>'Tổng quan'!$V$119&amp;""</f>
      </c>
      <c r="C49" s="125" t="n"/>
      <c r="D49" s="165">
        <f>IF('Tổng quan'!$V$119="","",'Tổng quan'!AC119)</f>
      </c>
      <c r="E49" s="126">
        <f>IF('Tổng quan'!$V$119="","",'Tổng quan'!AE119)</f>
      </c>
      <c r="F49" s="126">
        <f>IF('Tổng quan'!$V$119="","",'Tổng quan'!AG119)</f>
      </c>
      <c r="G49" s="167">
        <f>IF('Tổng quan'!$V$119="","",'Tổng quan'!AM119)</f>
      </c>
    </row>
    <row r="50" ht="18" customHeight="1">
      <c r="B50" s="120">
        <f>'Tổng quan'!$V$120&amp;""</f>
      </c>
      <c r="C50" s="121" t="n"/>
      <c r="D50" s="162">
        <f>IF('Tổng quan'!$V$120="","",'Tổng quan'!AC120)</f>
      </c>
      <c r="E50" s="122">
        <f>IF('Tổng quan'!$V$120="","",'Tổng quan'!AE120)</f>
      </c>
      <c r="F50" s="122">
        <f>IF('Tổng quan'!$V$120="","",'Tổng quan'!AG120)</f>
      </c>
      <c r="G50" s="164">
        <f>IF('Tổng quan'!$V$120="","",'Tổng quan'!AM120)</f>
      </c>
    </row>
    <row r="51" ht="18" customHeight="1">
      <c r="B51" s="124">
        <f>'Tổng quan'!$V$121&amp;""</f>
      </c>
      <c r="C51" s="125" t="n"/>
      <c r="D51" s="165">
        <f>IF('Tổng quan'!$V$121="","",'Tổng quan'!AC121)</f>
      </c>
      <c r="E51" s="126">
        <f>IF('Tổng quan'!$V$121="","",'Tổng quan'!AE121)</f>
      </c>
      <c r="F51" s="126">
        <f>IF('Tổng quan'!$V$121="","",'Tổng quan'!AG121)</f>
      </c>
      <c r="G51" s="167">
        <f>IF('Tổng quan'!$V$121="","",'Tổng quan'!AM121)</f>
      </c>
    </row>
    <row r="52" ht="18" customHeight="1">
      <c r="B52" s="120">
        <f>'Tổng quan'!$V$122&amp;""</f>
      </c>
      <c r="C52" s="121" t="n"/>
      <c r="D52" s="162">
        <f>IF('Tổng quan'!$V$122="","",'Tổng quan'!AC122)</f>
      </c>
      <c r="E52" s="122">
        <f>IF('Tổng quan'!$V$122="","",'Tổng quan'!AE122)</f>
      </c>
      <c r="F52" s="122">
        <f>IF('Tổng quan'!$V$122="","",'Tổng quan'!AG122)</f>
      </c>
      <c r="G52" s="164">
        <f>IF('Tổng quan'!$V$122="","",'Tổng quan'!AM122)</f>
      </c>
    </row>
    <row r="54" ht="24" customHeight="1">
      <c r="B54" s="186" t="inlineStr">
        <is>
          <t>LỜI NHẮN CHƯA PHẢN HỒI</t>
        </is>
      </c>
      <c r="C54" s="9" t="n"/>
      <c r="D54" s="9" t="n"/>
      <c r="E54" s="9" t="n"/>
      <c r="F54" s="9" t="n"/>
      <c r="G54" s="9" t="n"/>
    </row>
    <row r="55" ht="18" customHeight="1">
      <c r="B55" s="140" t="inlineStr">
        <is>
          <t>Thời điểm</t>
        </is>
      </c>
      <c r="C55" s="140" t="inlineStr">
        <is>
          <t>Nội dung</t>
        </is>
      </c>
      <c r="D55" s="140" t="inlineStr">
        <is>
          <t>Người gửi</t>
        </is>
      </c>
      <c r="E55" s="140" t="inlineStr">
        <is>
          <t>Trạng thái</t>
        </is>
      </c>
      <c r="F55" s="1" t="n"/>
      <c r="G55" s="1" t="n"/>
    </row>
    <row r="56" ht="30" customHeight="1">
      <c r="B56" s="192">
        <f>IFERROR(INDEX('Lời nhắn'!$B$6:$B$505,MATCH(1,'Lời nhắn'!$K$6:$K$505,0)),"")</f>
      </c>
      <c r="C56" s="191">
        <f>IFERROR(INDEX('Lời nhắn'!$F$6:$F$505,MATCH(1,'Lời nhắn'!$K$6:$K$505,0))&amp;"",IF('Lời nhắn'!$I$3=0,"Không có lời nhắn nào đang chờ phản hồi.",""))</f>
      </c>
      <c r="D56" s="199">
        <f>IFERROR(INDEX('Lời nhắn'!$C$6:$C$505,MATCH(1,'Lời nhắn'!$K$6:$K$505,0))&amp;"","")</f>
      </c>
      <c r="E56" s="194">
        <f>IFERROR(IF(INDEX('Lời nhắn'!$G$6:$G$505,MATCH(1,'Lời nhắn'!$K$6:$K$505,0))="","Mới",INDEX('Lời nhắn'!$G$6:$G$505,MATCH(1,'Lời nhắn'!$K$6:$K$505,0))),"")</f>
      </c>
      <c r="F56" s="121" t="n"/>
      <c r="G56" s="121" t="n"/>
    </row>
    <row r="57" ht="30" customHeight="1">
      <c r="B57" s="196">
        <f>IFERROR(INDEX('Lời nhắn'!$B$6:$B$505,MATCH(2,'Lời nhắn'!$K$6:$K$505,0)),"")</f>
      </c>
      <c r="C57" s="195">
        <f>IFERROR(INDEX('Lời nhắn'!$F$6:$F$505,MATCH(2,'Lời nhắn'!$K$6:$K$505,0))&amp;"",IF('Lời nhắn'!$I$3=0,"",""))</f>
      </c>
      <c r="D57" s="200">
        <f>IFERROR(INDEX('Lời nhắn'!$C$6:$C$505,MATCH(2,'Lời nhắn'!$K$6:$K$505,0))&amp;"","")</f>
      </c>
      <c r="E57" s="198">
        <f>IFERROR(IF(INDEX('Lời nhắn'!$G$6:$G$505,MATCH(2,'Lời nhắn'!$K$6:$K$505,0))="","Mới",INDEX('Lời nhắn'!$G$6:$G$505,MATCH(2,'Lời nhắn'!$K$6:$K$505,0))),"")</f>
      </c>
      <c r="F57" s="125" t="n"/>
      <c r="G57" s="125" t="n"/>
    </row>
    <row r="58" ht="30" customHeight="1">
      <c r="B58" s="192">
        <f>IFERROR(INDEX('Lời nhắn'!$B$6:$B$505,MATCH(3,'Lời nhắn'!$K$6:$K$505,0)),"")</f>
      </c>
      <c r="C58" s="191">
        <f>IFERROR(INDEX('Lời nhắn'!$F$6:$F$505,MATCH(3,'Lời nhắn'!$K$6:$K$505,0))&amp;"",IF('Lời nhắn'!$I$3=0,"",""))</f>
      </c>
      <c r="D58" s="199">
        <f>IFERROR(INDEX('Lời nhắn'!$C$6:$C$505,MATCH(3,'Lời nhắn'!$K$6:$K$505,0))&amp;"","")</f>
      </c>
      <c r="E58" s="194">
        <f>IFERROR(IF(INDEX('Lời nhắn'!$G$6:$G$505,MATCH(3,'Lời nhắn'!$K$6:$K$505,0))="","Mới",INDEX('Lời nhắn'!$G$6:$G$505,MATCH(3,'Lời nhắn'!$K$6:$K$505,0))),"")</f>
      </c>
      <c r="F58" s="121" t="n"/>
      <c r="G58" s="121" t="n"/>
    </row>
    <row r="59" ht="30" customHeight="1">
      <c r="B59" s="196">
        <f>IFERROR(INDEX('Lời nhắn'!$B$6:$B$505,MATCH(4,'Lời nhắn'!$K$6:$K$505,0)),"")</f>
      </c>
      <c r="C59" s="195">
        <f>IFERROR(INDEX('Lời nhắn'!$F$6:$F$505,MATCH(4,'Lời nhắn'!$K$6:$K$505,0))&amp;"",IF('Lời nhắn'!$I$3=0,"",""))</f>
      </c>
      <c r="D59" s="200">
        <f>IFERROR(INDEX('Lời nhắn'!$C$6:$C$505,MATCH(4,'Lời nhắn'!$K$6:$K$505,0))&amp;"","")</f>
      </c>
      <c r="E59" s="198">
        <f>IFERROR(IF(INDEX('Lời nhắn'!$G$6:$G$505,MATCH(4,'Lời nhắn'!$K$6:$K$505,0))="","Mới",INDEX('Lời nhắn'!$G$6:$G$505,MATCH(4,'Lời nhắn'!$K$6:$K$505,0))),"")</f>
      </c>
      <c r="F59" s="125" t="n"/>
      <c r="G59" s="125" t="n"/>
    </row>
    <row r="60" ht="30" customHeight="1">
      <c r="B60" s="192">
        <f>IFERROR(INDEX('Lời nhắn'!$B$6:$B$505,MATCH(5,'Lời nhắn'!$K$6:$K$505,0)),"")</f>
      </c>
      <c r="C60" s="191">
        <f>IFERROR(INDEX('Lời nhắn'!$F$6:$F$505,MATCH(5,'Lời nhắn'!$K$6:$K$505,0))&amp;"",IF('Lời nhắn'!$I$3=0,"",""))</f>
      </c>
      <c r="D60" s="199">
        <f>IFERROR(INDEX('Lời nhắn'!$C$6:$C$505,MATCH(5,'Lời nhắn'!$K$6:$K$505,0))&amp;"","")</f>
      </c>
      <c r="E60" s="194">
        <f>IFERROR(IF(INDEX('Lời nhắn'!$G$6:$G$505,MATCH(5,'Lời nhắn'!$K$6:$K$505,0))="","Mới",INDEX('Lời nhắn'!$G$6:$G$505,MATCH(5,'Lời nhắn'!$K$6:$K$505,0))),"")</f>
      </c>
      <c r="F60" s="121" t="n"/>
      <c r="G60" s="121" t="n"/>
    </row>
    <row r="61" ht="30" customHeight="1">
      <c r="B61" s="196">
        <f>IFERROR(INDEX('Lời nhắn'!$B$6:$B$505,MATCH(6,'Lời nhắn'!$K$6:$K$505,0)),"")</f>
      </c>
      <c r="C61" s="195">
        <f>IFERROR(INDEX('Lời nhắn'!$F$6:$F$505,MATCH(6,'Lời nhắn'!$K$6:$K$505,0))&amp;"",IF('Lời nhắn'!$I$3=0,"",""))</f>
      </c>
      <c r="D61" s="200">
        <f>IFERROR(INDEX('Lời nhắn'!$C$6:$C$505,MATCH(6,'Lời nhắn'!$K$6:$K$505,0))&amp;"","")</f>
      </c>
      <c r="E61" s="198">
        <f>IFERROR(IF(INDEX('Lời nhắn'!$G$6:$G$505,MATCH(6,'Lời nhắn'!$K$6:$K$505,0))="","Mới",INDEX('Lời nhắn'!$G$6:$G$505,MATCH(6,'Lời nhắn'!$K$6:$K$505,0))),"")</f>
      </c>
      <c r="F61" s="125" t="n"/>
      <c r="G61" s="125" t="n"/>
    </row>
    <row r="62" ht="30" customHeight="1">
      <c r="B62" s="192">
        <f>IFERROR(INDEX('Lời nhắn'!$B$6:$B$505,MATCH(7,'Lời nhắn'!$K$6:$K$505,0)),"")</f>
      </c>
      <c r="C62" s="191">
        <f>IFERROR(INDEX('Lời nhắn'!$F$6:$F$505,MATCH(7,'Lời nhắn'!$K$6:$K$505,0))&amp;"",IF('Lời nhắn'!$I$3=0,"",""))</f>
      </c>
      <c r="D62" s="199">
        <f>IFERROR(INDEX('Lời nhắn'!$C$6:$C$505,MATCH(7,'Lời nhắn'!$K$6:$K$505,0))&amp;"","")</f>
      </c>
      <c r="E62" s="194">
        <f>IFERROR(IF(INDEX('Lời nhắn'!$G$6:$G$505,MATCH(7,'Lời nhắn'!$K$6:$K$505,0))="","Mới",INDEX('Lời nhắn'!$G$6:$G$505,MATCH(7,'Lời nhắn'!$K$6:$K$505,0))),"")</f>
      </c>
      <c r="F62" s="121" t="n"/>
      <c r="G62" s="121" t="n"/>
    </row>
    <row r="63" ht="30" customHeight="1">
      <c r="B63" s="196">
        <f>IFERROR(INDEX('Lời nhắn'!$B$6:$B$505,MATCH(8,'Lời nhắn'!$K$6:$K$505,0)),"")</f>
      </c>
      <c r="C63" s="195">
        <f>IFERROR(INDEX('Lời nhắn'!$F$6:$F$505,MATCH(8,'Lời nhắn'!$K$6:$K$505,0))&amp;"",IF('Lời nhắn'!$I$3=0,"",""))</f>
      </c>
      <c r="D63" s="200">
        <f>IFERROR(INDEX('Lời nhắn'!$C$6:$C$505,MATCH(8,'Lời nhắn'!$K$6:$K$505,0))&amp;"","")</f>
      </c>
      <c r="E63" s="198">
        <f>IFERROR(IF(INDEX('Lời nhắn'!$G$6:$G$505,MATCH(8,'Lời nhắn'!$K$6:$K$505,0))="","Mới",INDEX('Lời nhắn'!$G$6:$G$505,MATCH(8,'Lời nhắn'!$K$6:$K$505,0))),"")</f>
      </c>
      <c r="F63" s="125" t="n"/>
      <c r="G63" s="125" t="n"/>
    </row>
    <row r="65" ht="26" customHeight="1">
      <c r="B65" s="201" t="inlineStr">
        <is>
          <t>Trang này tự cập nhật; không ghi tên hay căn hộ người phản ánh. Muốn in: File, Print, chọn khổ A4 dọc.</t>
        </is>
      </c>
    </row>
  </sheetData>
  <sheetProtection selectLockedCells="0" selectUnlockedCells="0" sheet="1" objects="0" insertRows="1" insertHyperlinks="1" autoFilter="0" scenarios="0" formatColumns="0" deleteColumns="1" insertColumns="1" pivotTables="1" deleteRows="1" formatCells="1" formatRows="0" sort="1" password="88D8"/>
  <mergeCells count="43">
    <mergeCell ref="B4:G4"/>
    <mergeCell ref="E63:G63"/>
    <mergeCell ref="B47:C47"/>
    <mergeCell ref="D9:G9"/>
    <mergeCell ref="B7:C7"/>
    <mergeCell ref="E60:G60"/>
    <mergeCell ref="D8:G8"/>
    <mergeCell ref="B46:C46"/>
    <mergeCell ref="A1:H1"/>
    <mergeCell ref="E59:G59"/>
    <mergeCell ref="B43:C43"/>
    <mergeCell ref="B38:G38"/>
    <mergeCell ref="B39:C39"/>
    <mergeCell ref="B52:C52"/>
    <mergeCell ref="B48:C48"/>
    <mergeCell ref="B42:C42"/>
    <mergeCell ref="E61:G61"/>
    <mergeCell ref="E57:G57"/>
    <mergeCell ref="B65:G65"/>
    <mergeCell ref="D10:G10"/>
    <mergeCell ref="B8:C8"/>
    <mergeCell ref="B44:C44"/>
    <mergeCell ref="B5:G5"/>
    <mergeCell ref="A2:H2"/>
    <mergeCell ref="D6:G6"/>
    <mergeCell ref="B10:C10"/>
    <mergeCell ref="E56:G56"/>
    <mergeCell ref="E58:G58"/>
    <mergeCell ref="B40:C40"/>
    <mergeCell ref="B9:C9"/>
    <mergeCell ref="B49:C49"/>
    <mergeCell ref="B25:G25"/>
    <mergeCell ref="B3:G3"/>
    <mergeCell ref="B54:G54"/>
    <mergeCell ref="B6:C6"/>
    <mergeCell ref="E55:G55"/>
    <mergeCell ref="E62:G62"/>
    <mergeCell ref="B51:C51"/>
    <mergeCell ref="B45:C45"/>
    <mergeCell ref="D7:G7"/>
    <mergeCell ref="B12:G12"/>
    <mergeCell ref="B50:C50"/>
    <mergeCell ref="B41:C41"/>
  </mergeCells>
  <conditionalFormatting sqref="D7:G7">
    <cfRule type="expression" priority="1" dxfId="21" stopIfTrue="0">
      <formula>LEFT($D7,1)&lt;&gt;"0"</formula>
    </cfRule>
  </conditionalFormatting>
  <conditionalFormatting sqref="D6:G6">
    <cfRule type="expression" priority="2" dxfId="21" stopIfTrue="1">
      <formula>'Tổng quan'!$AT$8&lt;50</formula>
    </cfRule>
    <cfRule type="expression" priority="3" dxfId="22" stopIfTrue="1">
      <formula>'Tổng quan'!$AT$8&lt;70</formula>
    </cfRule>
    <cfRule type="expression" priority="4" dxfId="4" stopIfTrue="1">
      <formula>'Tổng quan'!$AT$8&gt;=70</formula>
    </cfRule>
  </conditionalFormatting>
  <conditionalFormatting sqref="G14:G23">
    <cfRule type="expression" priority="5" dxfId="0" stopIfTrue="0">
      <formula>G14="Báo động đỏ"</formula>
    </cfRule>
    <cfRule type="expression" priority="6" dxfId="1" stopIfTrue="0">
      <formula>G14="Báo động"</formula>
    </cfRule>
    <cfRule type="expression" priority="7" dxfId="2" stopIfTrue="0">
      <formula>G14="Cảnh báo"</formula>
    </cfRule>
    <cfRule type="expression" priority="8" dxfId="14" stopIfTrue="0">
      <formula>G14="Nhắc nhở"</formula>
    </cfRule>
    <cfRule type="expression" priority="9" dxfId="1" stopIfTrue="0">
      <formula>G14="Quá hạn"</formula>
    </cfRule>
    <cfRule type="expression" priority="10" dxfId="15" stopIfTrue="0">
      <formula>G14="Chậm tiến độ"</formula>
    </cfRule>
    <cfRule type="expression" priority="11" dxfId="16" stopIfTrue="0">
      <formula>G14="Đúng tiến độ"</formula>
    </cfRule>
    <cfRule type="expression" priority="12" dxfId="11" stopIfTrue="0">
      <formula>G14="Đến hạn hôm nay"</formula>
    </cfRule>
    <cfRule type="expression" priority="13" dxfId="17" stopIfTrue="0">
      <formula>G14="Sắp đến hạn"</formula>
    </cfRule>
    <cfRule type="expression" priority="14" dxfId="18" stopIfTrue="0">
      <formula>G14="Hoàn thành"</formula>
    </cfRule>
    <cfRule type="expression" priority="15" dxfId="19" stopIfTrue="0">
      <formula>G14="Theo lịch"</formula>
    </cfRule>
    <cfRule type="expression" priority="16" dxfId="19" stopIfTrue="0">
      <formula>G14="Chưa đặt hạn"</formula>
    </cfRule>
  </conditionalFormatting>
  <conditionalFormatting sqref="G27:G36">
    <cfRule type="expression" priority="17" dxfId="0" stopIfTrue="0">
      <formula>G27="Báo động đỏ"</formula>
    </cfRule>
    <cfRule type="expression" priority="18" dxfId="1" stopIfTrue="0">
      <formula>G27="Báo động"</formula>
    </cfRule>
    <cfRule type="expression" priority="19" dxfId="2" stopIfTrue="0">
      <formula>G27="Cảnh báo"</formula>
    </cfRule>
    <cfRule type="expression" priority="20" dxfId="14" stopIfTrue="0">
      <formula>G27="Nhắc nhở"</formula>
    </cfRule>
    <cfRule type="expression" priority="21" dxfId="1" stopIfTrue="0">
      <formula>G27="Quá hạn"</formula>
    </cfRule>
    <cfRule type="expression" priority="22" dxfId="15" stopIfTrue="0">
      <formula>G27="Chậm tiến độ"</formula>
    </cfRule>
    <cfRule type="expression" priority="23" dxfId="16" stopIfTrue="0">
      <formula>G27="Đúng tiến độ"</formula>
    </cfRule>
    <cfRule type="expression" priority="24" dxfId="11" stopIfTrue="0">
      <formula>G27="Đến hạn hôm nay"</formula>
    </cfRule>
    <cfRule type="expression" priority="25" dxfId="17" stopIfTrue="0">
      <formula>G27="Sắp đến hạn"</formula>
    </cfRule>
    <cfRule type="expression" priority="26" dxfId="18" stopIfTrue="0">
      <formula>G27="Hoàn thành"</formula>
    </cfRule>
    <cfRule type="expression" priority="27" dxfId="19" stopIfTrue="0">
      <formula>G27="Theo lịch"</formula>
    </cfRule>
    <cfRule type="expression" priority="28" dxfId="19" stopIfTrue="0">
      <formula>G27="Chưa đặt hạn"</formula>
    </cfRule>
  </conditionalFormatting>
  <conditionalFormatting sqref="E40:E52">
    <cfRule type="cellIs" priority="29" operator="greaterThan" dxfId="6">
      <formula>0</formula>
    </cfRule>
  </conditionalFormatting>
  <pageMargins left="0.4" right="0.4" top="0.5" bottom="0.5" header="0.5" footer="0.5"/>
  <pageSetup orientation="portrait" paperSize="9" fitToHeight="0" fitToWidth="1"/>
</worksheet>
</file>

<file path=xl/worksheets/sheet4.xml><?xml version="1.0" encoding="utf-8"?>
<worksheet xmlns="http://schemas.openxmlformats.org/spreadsheetml/2006/main">
  <sheetPr>
    <tabColor rgb="002463AE"/>
    <outlinePr summaryBelow="1" summaryRight="1"/>
    <pageSetUpPr fitToPage="1"/>
  </sheetPr>
  <dimension ref="A1:AO505"/>
  <sheetViews>
    <sheetView showGridLines="0" tabSelected="0" zoomScale="10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40" customWidth="1" min="3" max="3"/>
    <col width="14" customWidth="1" min="4" max="4"/>
    <col width="14" customWidth="1" min="5" max="5"/>
    <col width="15" customWidth="1" min="6" max="6"/>
    <col width="7" customWidth="1" min="7" max="7"/>
    <col width="15" customWidth="1" min="8" max="8"/>
    <col width="11" customWidth="1" min="9" max="9"/>
    <col width="11" customWidth="1" min="10" max="10"/>
    <col width="16" customWidth="1" min="11" max="11"/>
    <col width="16" customWidth="1" min="12" max="12"/>
    <col width="15" customWidth="1" min="13" max="13"/>
    <col width="17" customWidth="1" min="14" max="14"/>
    <col width="9" customWidth="1" min="15" max="15"/>
    <col width="8" customWidth="1" min="16" max="16"/>
    <col width="15" customWidth="1" min="17" max="17"/>
    <col width="10" customWidth="1" min="18" max="18"/>
    <col width="15" customWidth="1" min="19" max="19"/>
    <col width="24" customWidth="1" min="20" max="20"/>
    <col width="15" customWidth="1" min="21" max="21"/>
    <col width="14" customWidth="1" min="22" max="22"/>
    <col width="11" customWidth="1" min="23" max="23"/>
    <col width="10" customWidth="1" min="24" max="24"/>
    <col width="14" customWidth="1" min="25" max="25"/>
    <col width="13" customWidth="1" min="26" max="26"/>
    <col width="15" customWidth="1" min="27" max="27"/>
    <col width="13" customWidth="1" min="28" max="28"/>
    <col width="14" customWidth="1" min="29" max="29"/>
    <col width="12" customWidth="1" min="30" max="30"/>
    <col width="10" customWidth="1" min="31" max="31"/>
    <col width="15" customWidth="1" min="32" max="32"/>
    <col width="9" customWidth="1" min="33" max="33"/>
    <col hidden="1" outlineLevel="1" width="8" customWidth="1" min="34" max="41"/>
  </cols>
  <sheetData>
    <row r="1" ht="34" customHeight="1">
      <c r="A1" s="183" t="inlineStr">
        <is>
          <t>PHẢN ÁNH CƯ DÂN</t>
        </is>
      </c>
    </row>
    <row r="2" ht="20" customHeight="1">
      <c r="A2" s="202" t="inlineStr">
        <is>
          <t>Mỗi dòng là một phản ánh. Trạng thái, tiến độ và thời điểm xử lý xong lấy tự động từ tab Nhật ký tiến độ.</t>
        </is>
      </c>
      <c r="B2" s="203" t="n"/>
      <c r="C2" s="203" t="n"/>
      <c r="D2" s="203" t="n"/>
      <c r="E2" s="203" t="n"/>
      <c r="F2" s="203" t="n"/>
      <c r="G2" s="20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row>
    <row r="3" ht="22" customHeight="1">
      <c r="A3" s="204" t="inlineStr">
        <is>
          <t>Ô nền trắng: nhập liệu. Cột tiêu đề xám: tự tính, không sửa.</t>
        </is>
      </c>
      <c r="G3" s="205" t="inlineStr">
        <is>
          <t>Mã gợi ý tiếp theo</t>
        </is>
      </c>
      <c r="I3" s="206">
        <f>"PA-"&amp;TEXT(COUNTIF($A$6:$A$505,"?*")+1,"000")</f>
      </c>
    </row>
    <row r="4" ht="18" customHeight="1">
      <c r="A4" s="207" t="inlineStr">
        <is>
          <t>THÔNG TIN NHẬP</t>
        </is>
      </c>
      <c r="B4" s="208" t="n"/>
      <c r="C4" s="208" t="n"/>
      <c r="D4" s="208" t="n"/>
      <c r="E4" s="208" t="n"/>
      <c r="F4" s="208" t="n"/>
      <c r="G4" s="208" t="n"/>
      <c r="H4" s="208" t="n"/>
      <c r="I4" s="208" t="n"/>
      <c r="J4" s="208" t="n"/>
      <c r="K4" s="208" t="n"/>
      <c r="L4" s="208" t="n"/>
      <c r="M4" s="208" t="n"/>
      <c r="N4" s="208" t="n"/>
      <c r="O4" s="208" t="n"/>
      <c r="P4" s="208" t="n"/>
      <c r="Q4" s="208" t="n"/>
      <c r="R4" s="208" t="n"/>
      <c r="S4" s="208" t="n"/>
      <c r="T4" s="208" t="n"/>
      <c r="U4" s="209" t="inlineStr">
        <is>
          <t>TỰ ĐỘNG TÍNH, KHÔNG SỬA</t>
        </is>
      </c>
      <c r="V4" s="210" t="n"/>
      <c r="W4" s="210" t="n"/>
      <c r="X4" s="210" t="n"/>
      <c r="Y4" s="210" t="n"/>
      <c r="Z4" s="210" t="n"/>
      <c r="AA4" s="210" t="n"/>
      <c r="AB4" s="210" t="n"/>
      <c r="AC4" s="210" t="n"/>
      <c r="AD4" s="210" t="n"/>
      <c r="AE4" s="210" t="n"/>
      <c r="AF4" s="210" t="n"/>
      <c r="AG4" s="210" t="n"/>
      <c r="AH4" s="211" t="inlineStr">
        <is>
          <t>CỘT KỸ THUẬT</t>
        </is>
      </c>
      <c r="AI4" s="212" t="n"/>
      <c r="AJ4" s="212" t="n"/>
      <c r="AK4" s="212" t="n"/>
      <c r="AL4" s="212" t="n"/>
      <c r="AM4" s="212" t="n"/>
      <c r="AN4" s="212" t="n"/>
      <c r="AO4" s="212" t="n"/>
    </row>
    <row r="5" ht="40" customHeight="1">
      <c r="A5" s="213" t="inlineStr">
        <is>
          <t>Mã</t>
        </is>
      </c>
      <c r="B5" s="213" t="inlineStr">
        <is>
          <t>Thời điểm ghi nhận</t>
        </is>
      </c>
      <c r="C5" s="213" t="inlineStr">
        <is>
          <t>Vấn đề chi tiết</t>
        </is>
      </c>
      <c r="D5" s="213" t="inlineStr">
        <is>
          <t>Kênh tiếp nhận</t>
        </is>
      </c>
      <c r="E5" s="213" t="inlineStr">
        <is>
          <t>Người phản ánh, căn hộ</t>
        </is>
      </c>
      <c r="F5" s="213" t="inlineStr">
        <is>
          <t>Vị trí</t>
        </is>
      </c>
      <c r="G5" s="213" t="inlineStr">
        <is>
          <t>Tầng</t>
        </is>
      </c>
      <c r="H5" s="213" t="inlineStr">
        <is>
          <t>Chi tiết vị trí</t>
        </is>
      </c>
      <c r="I5" s="213" t="inlineStr">
        <is>
          <t>Phân loại</t>
        </is>
      </c>
      <c r="J5" s="213" t="inlineStr">
        <is>
          <t>Cấp độ khẩn</t>
        </is>
      </c>
      <c r="K5" s="213" t="inlineStr">
        <is>
          <t>Người phụ trách</t>
        </is>
      </c>
      <c r="L5" s="213" t="inlineStr">
        <is>
          <t>Người thực hiện trực tiếp</t>
        </is>
      </c>
      <c r="M5" s="213" t="inlineStr">
        <is>
          <t>Bộ phận, đơn vị xử lý</t>
        </is>
      </c>
      <c r="N5" s="213" t="inlineStr">
        <is>
          <t>TV BQT giám sát</t>
        </is>
      </c>
      <c r="O5" s="213" t="inlineStr">
        <is>
          <t>Thời gian ước tính</t>
        </is>
      </c>
      <c r="P5" s="213" t="inlineStr">
        <is>
          <t>Đơn vị (Giờ, Ngày)</t>
        </is>
      </c>
      <c r="Q5" s="213" t="inlineStr">
        <is>
          <t>Deadline</t>
        </is>
      </c>
      <c r="R5" s="213" t="inlineStr">
        <is>
          <t>Đánh giá cư dân (1 đến 5 sao)</t>
        </is>
      </c>
      <c r="S5" s="213" t="inlineStr">
        <is>
          <t>Link ảnh, hồ sơ</t>
        </is>
      </c>
      <c r="T5" s="213" t="inlineStr">
        <is>
          <t>Ghi chú</t>
        </is>
      </c>
      <c r="U5" s="214" t="inlineStr">
        <is>
          <t>Deadline áp dụng</t>
        </is>
      </c>
      <c r="V5" s="214" t="inlineStr">
        <is>
          <t>Trạng thái</t>
        </is>
      </c>
      <c r="W5" s="214" t="inlineStr">
        <is>
          <t>Tiến độ</t>
        </is>
      </c>
      <c r="X5" s="214" t="inlineStr">
        <is>
          <t>Kế hoạch đến nay</t>
        </is>
      </c>
      <c r="Y5" s="214" t="inlineStr">
        <is>
          <t>Đánh giá tiến độ</t>
        </is>
      </c>
      <c r="Z5" s="214" t="inlineStr">
        <is>
          <t>Còn lại hoặc quá hạn</t>
        </is>
      </c>
      <c r="AA5" s="214" t="inlineStr">
        <is>
          <t>Thời điểm xử lý xong</t>
        </is>
      </c>
      <c r="AB5" s="214" t="inlineStr">
        <is>
          <t>Thời gian xử lý thực tế</t>
        </is>
      </c>
      <c r="AC5" s="214" t="inlineStr">
        <is>
          <t>So với ước tính</t>
        </is>
      </c>
      <c r="AD5" s="214" t="inlineStr">
        <is>
          <t>Mức báo động</t>
        </is>
      </c>
      <c r="AE5" s="214" t="inlineStr">
        <is>
          <t>Đúng deadline</t>
        </is>
      </c>
      <c r="AF5" s="214" t="inlineStr">
        <is>
          <t>Cập nhật gần nhất</t>
        </is>
      </c>
      <c r="AG5" s="214" t="inlineStr">
        <is>
          <t>Việc liên quan</t>
        </is>
      </c>
      <c r="AH5" s="215" t="inlineStr">
        <is>
          <t>Ước tính (giờ)</t>
        </is>
      </c>
      <c r="AI5" s="215" t="inlineStr">
        <is>
          <t>Thực tế (giờ)</t>
        </is>
      </c>
      <c r="AJ5" s="215" t="inlineStr">
        <is>
          <t>Dòng nhật ký cuối</t>
        </is>
      </c>
      <c r="AK5" s="215" t="inlineStr">
        <is>
          <t>Mức chú ý</t>
        </is>
      </c>
      <c r="AL5" s="215" t="inlineStr">
        <is>
          <t>Khóa sắp xếp</t>
        </is>
      </c>
      <c r="AM5" s="215" t="inlineStr">
        <is>
          <t>Người phụ trách mới</t>
        </is>
      </c>
      <c r="AN5" s="215" t="inlineStr">
        <is>
          <t>Thứ tự người phụ trách</t>
        </is>
      </c>
      <c r="AO5" s="215" t="inlineStr">
        <is>
          <t>Mức báo động (số)</t>
        </is>
      </c>
    </row>
    <row r="6">
      <c r="A6" s="216"/>
      <c r="B6" s="217"/>
      <c r="C6" s="218"/>
      <c r="D6" s="218"/>
      <c r="E6" s="218"/>
      <c r="F6" s="218"/>
      <c r="G6" s="216"/>
      <c r="H6" s="218"/>
      <c r="I6" s="218"/>
      <c r="J6" s="216"/>
      <c r="K6" s="218"/>
      <c r="L6" s="218"/>
      <c r="M6" s="218"/>
      <c r="N6" s="218"/>
      <c r="O6" s="219"/>
      <c r="P6" s="216"/>
      <c r="Q6" s="217"/>
      <c r="R6" s="216"/>
      <c r="S6" s="218"/>
      <c r="T6" s="218"/>
      <c r="U6" s="220">
        <f>IF($A6="","",IF(N($Q6)&gt;0,IF(MOD($Q6,1)=0,$Q6+1-1/1440,$Q6),IF(N($B6)=0,"",$B6+IF(N($AH6)&gt;0,$AH6,IFERROR(INDEX(DM_SLA_Gio,MATCH($J6,DM_SLA_Cap,0)),168))/24)))</f>
      </c>
      <c r="V6" s="221">
        <f>IF($A6="","",IF(N($AJ6)=0,"Mới tiếp nhận",INDEX('Nhật ký tiến độ'!$E:$E,$AJ6)))</f>
      </c>
      <c r="W6" s="222">
        <f>IF($A6="","",IF($V6="Đã xử lý",1,IF(N($AJ6)=0,0,N(INDEX('Nhật ký tiến độ'!$D:$D,$AJ6)))))</f>
      </c>
      <c r="X6" s="222">
        <f>IF(OR($A6="",$V6="Đã xử lý",N($U6)=0,N($B6)=0),"",IF(TDBC&lt;=$B6,0,IF(TDBC&gt;=$U6,1,(TDBC-$B6)/($U6-$B6))))</f>
      </c>
      <c r="Y6" s="223">
        <f>IF($A6="","",IF($V6="Đã xử lý","Hoàn thành",IF(N($U6)=0,"Chưa đặt hạn",IF(TDBC&gt;$U6,"Quá hạn",IF(ROUND((N($X6)-$W6)*100,0)&gt;=20,"Chậm tiến độ",IF($U6-TDBC&lt;=1,"Sắp đến hạn","Đúng tiến độ"))))))</f>
      </c>
      <c r="Z6" s="223">
        <f>IF(OR($A6="",$V6="Đã xử lý",N($U6)=0),"",IF(TDBC&gt;$U6,"Quá "&amp;IF(((TDBC-$U6)*24)&lt;1,MAX(1,ROUND(((TDBC-$U6)*24)*60,0))&amp;" phút",IF(ROUND(((TDBC-$U6)*24),0)&lt;24,ROUND(((TDBC-$U6)*24),0)&amp;" giờ",INT(ROUND(((TDBC-$U6)*24),0)/24)&amp;" ngày"&amp;IF(MOD(ROUND(((TDBC-$U6)*24),0),24)&gt;0," "&amp;MOD(ROUND(((TDBC-$U6)*24),0),24)&amp;" giờ",""))),"Còn "&amp;IF((($U6-TDBC)*24)&lt;1,MAX(1,ROUND((($U6-TDBC)*24)*60,0))&amp;" phút",IF(ROUND((($U6-TDBC)*24),0)&lt;24,ROUND((($U6-TDBC)*24),0)&amp;" giờ",INT(ROUND((($U6-TDBC)*24),0)/24)&amp;" ngày"&amp;IF(MOD(ROUND((($U6-TDBC)*24),0),24)&gt;0," "&amp;MOD(ROUND((($U6-TDBC)*24),0),24)&amp;" giờ","")))))</f>
      </c>
      <c r="AA6" s="220">
        <f>IF($V6="Đã xử lý",_xlfn.MAXIFS('Nhật ký tiến độ'!$B$6:$B$3005,'Nhật ký tiến độ'!$C$6:$C$3005,$A6,'Nhật ký tiến độ'!$E$6:$E$3005,"Đã xử lý"),"")</f>
      </c>
      <c r="AB6" s="223">
        <f>IF($AI6="","",IF($AI6&lt;1,MAX(1,ROUND($AI6*60,0))&amp;" phút",IF(ROUND($AI6,0)&lt;24,ROUND($AI6,0)&amp;" giờ",INT(ROUND($AI6,0)/24)&amp;" ngày"&amp;IF(MOD(ROUND($AI6,0),24)&gt;0," "&amp;MOD(ROUND($AI6,0),24)&amp;" giờ",""))))</f>
      </c>
      <c r="AC6" s="223">
        <f>IF(OR($A6="",N($AH6)=0),"",IF($AI6&lt;&gt;"",IF($AI6&lt;=$AH6,"Trong ước tính","Vượt "&amp;IF(($AI6-$AH6)&lt;1,MAX(1,ROUND(($AI6-$AH6)*60,0))&amp;" phút",IF(ROUND(($AI6-$AH6),0)&lt;24,ROUND(($AI6-$AH6),0)&amp;" giờ",INT(ROUND(($AI6-$AH6),0)/24)&amp;" ngày"&amp;IF(MOD(ROUND(($AI6-$AH6),0),24)&gt;0," "&amp;MOD(ROUND(($AI6-$AH6),0),24)&amp;" giờ","")))),IF(OR($V6="Đã xử lý",N($B6)=0),"",IF((TDBC-$B6)*24&gt;$AH6,"Đã vượt ước tính","Đã dùng "&amp;TEXT((TDBC-$B6)*24/$AH6,"0%")))))</f>
      </c>
      <c r="AD6" s="223">
        <f>IF(N($AO6)=0,"",CHOOSE($AO6,"Nhắc nhở","Cảnh báo","Báo động","Báo động đỏ"))</f>
      </c>
      <c r="AE6" s="223">
        <f>IF(OR(N($AA6)=0,N($U6)=0),"",IF($AA6&lt;=$U6,"Đúng hạn","Trễ hạn"))</f>
      </c>
      <c r="AF6" s="220">
        <f>IF($A6="","",_xlfn.MAXIFS('Nhật ký tiến độ'!$B$6:$B$3005,'Nhật ký tiến độ'!$C$6:$C$3005,$A6))</f>
      </c>
      <c r="AG6" s="223">
        <f>IF($A6="","",IF(COUNTIF('Kế hoạch'!$M$6:$M$305,$A6)=0,"",COUNTIF('Kế hoạch'!$M$6:$M$305,$A6)&amp;" việc"))</f>
      </c>
      <c r="AH6" s="224">
        <f>IF(OR($A6="",N($O6)&lt;=0),"",IF($P6="Giờ",$O6,$O6*24))</f>
      </c>
      <c r="AI6" s="224">
        <f>IF(OR(N($AA6)=0,N($B6)=0),"",IF($AA6&lt;$B6,"",($AA6-$B6)*24))</f>
      </c>
      <c r="AJ6" s="225">
        <f>IF($A6="","",IF(COUNTIF('Nhật ký tiến độ'!$C$6:$C$3005,$A6)=0,0,_xlfn.MAXIFS('Nhật ký tiến độ'!$N$6:$N$3005,'Nhật ký tiến độ'!$C$6:$C$3005,$A6,'Nhật ký tiến độ'!$B$6:$B$3005,_xlfn.MAXIFS('Nhật ký tiến độ'!$B$6:$B$3005,'Nhật ký tiến độ'!$C$6:$C$3005,$A6))))</f>
      </c>
      <c r="AK6" s="225">
        <f>IF(OR($A6="",$V6="Đã xử lý"),"",IF(N($AO6)&gt;0,5-$AO6,IF($J6="Khẩn cấp",5,IF($Y6="Chậm tiến độ",6,IF(OR($Y6="Sắp đến hạn",$J6="Cao"),7,"")))))</f>
      </c>
      <c r="AL6" s="225">
        <f>IF($AK6="","",$AK6*100000+IF(N($U6)=0,99999,INT($U6))+ROW()/100000)</f>
      </c>
      <c r="AM6" s="225">
        <f>IF(OR($A6="",TRIM($K6)="",COUNTIF($K$6:$K6,$K6)&gt;1),0,1)</f>
      </c>
      <c r="AN6" s="225">
        <f>IF($AM6=1,SUM($AM$6:$AM6),"")</f>
      </c>
      <c r="AO6" s="225">
        <f>IF(OR($A6="",$V6="Đã xử lý",N($U6)=0),0,IF(TDBC&lt;=$U6,0,MAX(1,MIN(4,IF((TDBC-$U6)*24&lt;24,1,IF((TDBC-$U6)*24&lt;72,2,IF((TDBC-$U6)*24&lt;168,3,4)))+IFERROR(INDEX({2,1,0,-1},MATCH($J6,{"Khẩn cấp","Cao","Trung bình","Thấp"},0)),0)))))</f>
      </c>
    </row>
    <row r="7">
      <c r="A7" s="216"/>
      <c r="B7" s="217"/>
      <c r="C7" s="218"/>
      <c r="D7" s="218"/>
      <c r="E7" s="218"/>
      <c r="F7" s="218"/>
      <c r="G7" s="216"/>
      <c r="H7" s="218"/>
      <c r="I7" s="218"/>
      <c r="J7" s="216"/>
      <c r="K7" s="218"/>
      <c r="L7" s="218"/>
      <c r="M7" s="218"/>
      <c r="N7" s="218"/>
      <c r="O7" s="219"/>
      <c r="P7" s="216"/>
      <c r="Q7" s="217"/>
      <c r="R7" s="216"/>
      <c r="S7" s="218"/>
      <c r="T7" s="218"/>
      <c r="U7" s="220">
        <f>IF($A7="","",IF(N($Q7)&gt;0,IF(MOD($Q7,1)=0,$Q7+1-1/1440,$Q7),IF(N($B7)=0,"",$B7+IF(N($AH7)&gt;0,$AH7,IFERROR(INDEX(DM_SLA_Gio,MATCH($J7,DM_SLA_Cap,0)),168))/24)))</f>
      </c>
      <c r="V7" s="221">
        <f>IF($A7="","",IF(N($AJ7)=0,"Mới tiếp nhận",INDEX('Nhật ký tiến độ'!$E:$E,$AJ7)))</f>
      </c>
      <c r="W7" s="222">
        <f>IF($A7="","",IF($V7="Đã xử lý",1,IF(N($AJ7)=0,0,N(INDEX('Nhật ký tiến độ'!$D:$D,$AJ7)))))</f>
      </c>
      <c r="X7" s="222">
        <f>IF(OR($A7="",$V7="Đã xử lý",N($U7)=0,N($B7)=0),"",IF(TDBC&lt;=$B7,0,IF(TDBC&gt;=$U7,1,(TDBC-$B7)/($U7-$B7))))</f>
      </c>
      <c r="Y7" s="223">
        <f>IF($A7="","",IF($V7="Đã xử lý","Hoàn thành",IF(N($U7)=0,"Chưa đặt hạn",IF(TDBC&gt;$U7,"Quá hạn",IF(ROUND((N($X7)-$W7)*100,0)&gt;=20,"Chậm tiến độ",IF($U7-TDBC&lt;=1,"Sắp đến hạn","Đúng tiến độ"))))))</f>
      </c>
      <c r="Z7" s="223">
        <f>IF(OR($A7="",$V7="Đã xử lý",N($U7)=0),"",IF(TDBC&gt;$U7,"Quá "&amp;IF(((TDBC-$U7)*24)&lt;1,MAX(1,ROUND(((TDBC-$U7)*24)*60,0))&amp;" phút",IF(ROUND(((TDBC-$U7)*24),0)&lt;24,ROUND(((TDBC-$U7)*24),0)&amp;" giờ",INT(ROUND(((TDBC-$U7)*24),0)/24)&amp;" ngày"&amp;IF(MOD(ROUND(((TDBC-$U7)*24),0),24)&gt;0," "&amp;MOD(ROUND(((TDBC-$U7)*24),0),24)&amp;" giờ",""))),"Còn "&amp;IF((($U7-TDBC)*24)&lt;1,MAX(1,ROUND((($U7-TDBC)*24)*60,0))&amp;" phút",IF(ROUND((($U7-TDBC)*24),0)&lt;24,ROUND((($U7-TDBC)*24),0)&amp;" giờ",INT(ROUND((($U7-TDBC)*24),0)/24)&amp;" ngày"&amp;IF(MOD(ROUND((($U7-TDBC)*24),0),24)&gt;0," "&amp;MOD(ROUND((($U7-TDBC)*24),0),24)&amp;" giờ","")))))</f>
      </c>
      <c r="AA7" s="220">
        <f>IF($V7="Đã xử lý",_xlfn.MAXIFS('Nhật ký tiến độ'!$B$6:$B$3005,'Nhật ký tiến độ'!$C$6:$C$3005,$A7,'Nhật ký tiến độ'!$E$6:$E$3005,"Đã xử lý"),"")</f>
      </c>
      <c r="AB7" s="223">
        <f>IF($AI7="","",IF($AI7&lt;1,MAX(1,ROUND($AI7*60,0))&amp;" phút",IF(ROUND($AI7,0)&lt;24,ROUND($AI7,0)&amp;" giờ",INT(ROUND($AI7,0)/24)&amp;" ngày"&amp;IF(MOD(ROUND($AI7,0),24)&gt;0," "&amp;MOD(ROUND($AI7,0),24)&amp;" giờ",""))))</f>
      </c>
      <c r="AC7" s="223">
        <f>IF(OR($A7="",N($AH7)=0),"",IF($AI7&lt;&gt;"",IF($AI7&lt;=$AH7,"Trong ước tính","Vượt "&amp;IF(($AI7-$AH7)&lt;1,MAX(1,ROUND(($AI7-$AH7)*60,0))&amp;" phút",IF(ROUND(($AI7-$AH7),0)&lt;24,ROUND(($AI7-$AH7),0)&amp;" giờ",INT(ROUND(($AI7-$AH7),0)/24)&amp;" ngày"&amp;IF(MOD(ROUND(($AI7-$AH7),0),24)&gt;0," "&amp;MOD(ROUND(($AI7-$AH7),0),24)&amp;" giờ","")))),IF(OR($V7="Đã xử lý",N($B7)=0),"",IF((TDBC-$B7)*24&gt;$AH7,"Đã vượt ước tính","Đã dùng "&amp;TEXT((TDBC-$B7)*24/$AH7,"0%")))))</f>
      </c>
      <c r="AD7" s="223">
        <f>IF(N($AO7)=0,"",CHOOSE($AO7,"Nhắc nhở","Cảnh báo","Báo động","Báo động đỏ"))</f>
      </c>
      <c r="AE7" s="223">
        <f>IF(OR(N($AA7)=0,N($U7)=0),"",IF($AA7&lt;=$U7,"Đúng hạn","Trễ hạn"))</f>
      </c>
      <c r="AF7" s="220">
        <f>IF($A7="","",_xlfn.MAXIFS('Nhật ký tiến độ'!$B$6:$B$3005,'Nhật ký tiến độ'!$C$6:$C$3005,$A7))</f>
      </c>
      <c r="AG7" s="223">
        <f>IF($A7="","",IF(COUNTIF('Kế hoạch'!$M$6:$M$305,$A7)=0,"",COUNTIF('Kế hoạch'!$M$6:$M$305,$A7)&amp;" việc"))</f>
      </c>
      <c r="AH7" s="224">
        <f>IF(OR($A7="",N($O7)&lt;=0),"",IF($P7="Giờ",$O7,$O7*24))</f>
      </c>
      <c r="AI7" s="224">
        <f>IF(OR(N($AA7)=0,N($B7)=0),"",IF($AA7&lt;$B7,"",($AA7-$B7)*24))</f>
      </c>
      <c r="AJ7" s="225">
        <f>IF($A7="","",IF(COUNTIF('Nhật ký tiến độ'!$C$6:$C$3005,$A7)=0,0,_xlfn.MAXIFS('Nhật ký tiến độ'!$N$6:$N$3005,'Nhật ký tiến độ'!$C$6:$C$3005,$A7,'Nhật ký tiến độ'!$B$6:$B$3005,_xlfn.MAXIFS('Nhật ký tiến độ'!$B$6:$B$3005,'Nhật ký tiến độ'!$C$6:$C$3005,$A7))))</f>
      </c>
      <c r="AK7" s="225">
        <f>IF(OR($A7="",$V7="Đã xử lý"),"",IF(N($AO7)&gt;0,5-$AO7,IF($J7="Khẩn cấp",5,IF($Y7="Chậm tiến độ",6,IF(OR($Y7="Sắp đến hạn",$J7="Cao"),7,"")))))</f>
      </c>
      <c r="AL7" s="225">
        <f>IF($AK7="","",$AK7*100000+IF(N($U7)=0,99999,INT($U7))+ROW()/100000)</f>
      </c>
      <c r="AM7" s="225">
        <f>IF(OR($A7="",TRIM($K7)="",COUNTIF($K$6:$K7,$K7)&gt;1),0,1)</f>
      </c>
      <c r="AN7" s="225">
        <f>IF($AM7=1,SUM($AM$6:$AM7),"")</f>
      </c>
      <c r="AO7" s="225">
        <f>IF(OR($A7="",$V7="Đã xử lý",N($U7)=0),0,IF(TDBC&lt;=$U7,0,MAX(1,MIN(4,IF((TDBC-$U7)*24&lt;24,1,IF((TDBC-$U7)*24&lt;72,2,IF((TDBC-$U7)*24&lt;168,3,4)))+IFERROR(INDEX({2,1,0,-1},MATCH($J7,{"Khẩn cấp","Cao","Trung bình","Thấp"},0)),0)))))</f>
      </c>
    </row>
    <row r="8">
      <c r="A8" s="216"/>
      <c r="B8" s="217"/>
      <c r="C8" s="218"/>
      <c r="D8" s="218"/>
      <c r="E8" s="218"/>
      <c r="F8" s="218"/>
      <c r="G8" s="216"/>
      <c r="H8" s="218"/>
      <c r="I8" s="218"/>
      <c r="J8" s="216"/>
      <c r="K8" s="218"/>
      <c r="L8" s="218"/>
      <c r="M8" s="218"/>
      <c r="N8" s="218"/>
      <c r="O8" s="219"/>
      <c r="P8" s="216"/>
      <c r="Q8" s="217"/>
      <c r="R8" s="216"/>
      <c r="S8" s="218"/>
      <c r="T8" s="218"/>
      <c r="U8" s="220">
        <f>IF($A8="","",IF(N($Q8)&gt;0,IF(MOD($Q8,1)=0,$Q8+1-1/1440,$Q8),IF(N($B8)=0,"",$B8+IF(N($AH8)&gt;0,$AH8,IFERROR(INDEX(DM_SLA_Gio,MATCH($J8,DM_SLA_Cap,0)),168))/24)))</f>
      </c>
      <c r="V8" s="221">
        <f>IF($A8="","",IF(N($AJ8)=0,"Mới tiếp nhận",INDEX('Nhật ký tiến độ'!$E:$E,$AJ8)))</f>
      </c>
      <c r="W8" s="222">
        <f>IF($A8="","",IF($V8="Đã xử lý",1,IF(N($AJ8)=0,0,N(INDEX('Nhật ký tiến độ'!$D:$D,$AJ8)))))</f>
      </c>
      <c r="X8" s="222">
        <f>IF(OR($A8="",$V8="Đã xử lý",N($U8)=0,N($B8)=0),"",IF(TDBC&lt;=$B8,0,IF(TDBC&gt;=$U8,1,(TDBC-$B8)/($U8-$B8))))</f>
      </c>
      <c r="Y8" s="223">
        <f>IF($A8="","",IF($V8="Đã xử lý","Hoàn thành",IF(N($U8)=0,"Chưa đặt hạn",IF(TDBC&gt;$U8,"Quá hạn",IF(ROUND((N($X8)-$W8)*100,0)&gt;=20,"Chậm tiến độ",IF($U8-TDBC&lt;=1,"Sắp đến hạn","Đúng tiến độ"))))))</f>
      </c>
      <c r="Z8" s="223">
        <f>IF(OR($A8="",$V8="Đã xử lý",N($U8)=0),"",IF(TDBC&gt;$U8,"Quá "&amp;IF(((TDBC-$U8)*24)&lt;1,MAX(1,ROUND(((TDBC-$U8)*24)*60,0))&amp;" phút",IF(ROUND(((TDBC-$U8)*24),0)&lt;24,ROUND(((TDBC-$U8)*24),0)&amp;" giờ",INT(ROUND(((TDBC-$U8)*24),0)/24)&amp;" ngày"&amp;IF(MOD(ROUND(((TDBC-$U8)*24),0),24)&gt;0," "&amp;MOD(ROUND(((TDBC-$U8)*24),0),24)&amp;" giờ",""))),"Còn "&amp;IF((($U8-TDBC)*24)&lt;1,MAX(1,ROUND((($U8-TDBC)*24)*60,0))&amp;" phút",IF(ROUND((($U8-TDBC)*24),0)&lt;24,ROUND((($U8-TDBC)*24),0)&amp;" giờ",INT(ROUND((($U8-TDBC)*24),0)/24)&amp;" ngày"&amp;IF(MOD(ROUND((($U8-TDBC)*24),0),24)&gt;0," "&amp;MOD(ROUND((($U8-TDBC)*24),0),24)&amp;" giờ","")))))</f>
      </c>
      <c r="AA8" s="220">
        <f>IF($V8="Đã xử lý",_xlfn.MAXIFS('Nhật ký tiến độ'!$B$6:$B$3005,'Nhật ký tiến độ'!$C$6:$C$3005,$A8,'Nhật ký tiến độ'!$E$6:$E$3005,"Đã xử lý"),"")</f>
      </c>
      <c r="AB8" s="223">
        <f>IF($AI8="","",IF($AI8&lt;1,MAX(1,ROUND($AI8*60,0))&amp;" phút",IF(ROUND($AI8,0)&lt;24,ROUND($AI8,0)&amp;" giờ",INT(ROUND($AI8,0)/24)&amp;" ngày"&amp;IF(MOD(ROUND($AI8,0),24)&gt;0," "&amp;MOD(ROUND($AI8,0),24)&amp;" giờ",""))))</f>
      </c>
      <c r="AC8" s="223">
        <f>IF(OR($A8="",N($AH8)=0),"",IF($AI8&lt;&gt;"",IF($AI8&lt;=$AH8,"Trong ước tính","Vượt "&amp;IF(($AI8-$AH8)&lt;1,MAX(1,ROUND(($AI8-$AH8)*60,0))&amp;" phút",IF(ROUND(($AI8-$AH8),0)&lt;24,ROUND(($AI8-$AH8),0)&amp;" giờ",INT(ROUND(($AI8-$AH8),0)/24)&amp;" ngày"&amp;IF(MOD(ROUND(($AI8-$AH8),0),24)&gt;0," "&amp;MOD(ROUND(($AI8-$AH8),0),24)&amp;" giờ","")))),IF(OR($V8="Đã xử lý",N($B8)=0),"",IF((TDBC-$B8)*24&gt;$AH8,"Đã vượt ước tính","Đã dùng "&amp;TEXT((TDBC-$B8)*24/$AH8,"0%")))))</f>
      </c>
      <c r="AD8" s="223">
        <f>IF(N($AO8)=0,"",CHOOSE($AO8,"Nhắc nhở","Cảnh báo","Báo động","Báo động đỏ"))</f>
      </c>
      <c r="AE8" s="223">
        <f>IF(OR(N($AA8)=0,N($U8)=0),"",IF($AA8&lt;=$U8,"Đúng hạn","Trễ hạn"))</f>
      </c>
      <c r="AF8" s="220">
        <f>IF($A8="","",_xlfn.MAXIFS('Nhật ký tiến độ'!$B$6:$B$3005,'Nhật ký tiến độ'!$C$6:$C$3005,$A8))</f>
      </c>
      <c r="AG8" s="223">
        <f>IF($A8="","",IF(COUNTIF('Kế hoạch'!$M$6:$M$305,$A8)=0,"",COUNTIF('Kế hoạch'!$M$6:$M$305,$A8)&amp;" việc"))</f>
      </c>
      <c r="AH8" s="224">
        <f>IF(OR($A8="",N($O8)&lt;=0),"",IF($P8="Giờ",$O8,$O8*24))</f>
      </c>
      <c r="AI8" s="224">
        <f>IF(OR(N($AA8)=0,N($B8)=0),"",IF($AA8&lt;$B8,"",($AA8-$B8)*24))</f>
      </c>
      <c r="AJ8" s="225">
        <f>IF($A8="","",IF(COUNTIF('Nhật ký tiến độ'!$C$6:$C$3005,$A8)=0,0,_xlfn.MAXIFS('Nhật ký tiến độ'!$N$6:$N$3005,'Nhật ký tiến độ'!$C$6:$C$3005,$A8,'Nhật ký tiến độ'!$B$6:$B$3005,_xlfn.MAXIFS('Nhật ký tiến độ'!$B$6:$B$3005,'Nhật ký tiến độ'!$C$6:$C$3005,$A8))))</f>
      </c>
      <c r="AK8" s="225">
        <f>IF(OR($A8="",$V8="Đã xử lý"),"",IF(N($AO8)&gt;0,5-$AO8,IF($J8="Khẩn cấp",5,IF($Y8="Chậm tiến độ",6,IF(OR($Y8="Sắp đến hạn",$J8="Cao"),7,"")))))</f>
      </c>
      <c r="AL8" s="225">
        <f>IF($AK8="","",$AK8*100000+IF(N($U8)=0,99999,INT($U8))+ROW()/100000)</f>
      </c>
      <c r="AM8" s="225">
        <f>IF(OR($A8="",TRIM($K8)="",COUNTIF($K$6:$K8,$K8)&gt;1),0,1)</f>
      </c>
      <c r="AN8" s="225">
        <f>IF($AM8=1,SUM($AM$6:$AM8),"")</f>
      </c>
      <c r="AO8" s="225">
        <f>IF(OR($A8="",$V8="Đã xử lý",N($U8)=0),0,IF(TDBC&lt;=$U8,0,MAX(1,MIN(4,IF((TDBC-$U8)*24&lt;24,1,IF((TDBC-$U8)*24&lt;72,2,IF((TDBC-$U8)*24&lt;168,3,4)))+IFERROR(INDEX({2,1,0,-1},MATCH($J8,{"Khẩn cấp","Cao","Trung bình","Thấp"},0)),0)))))</f>
      </c>
    </row>
    <row r="9">
      <c r="A9" s="216"/>
      <c r="B9" s="217"/>
      <c r="C9" s="218"/>
      <c r="D9" s="218"/>
      <c r="E9" s="218"/>
      <c r="F9" s="218"/>
      <c r="G9" s="216"/>
      <c r="H9" s="218"/>
      <c r="I9" s="218"/>
      <c r="J9" s="216"/>
      <c r="K9" s="218"/>
      <c r="L9" s="218"/>
      <c r="M9" s="218"/>
      <c r="N9" s="218"/>
      <c r="O9" s="219"/>
      <c r="P9" s="216"/>
      <c r="Q9" s="217"/>
      <c r="R9" s="216"/>
      <c r="S9" s="218"/>
      <c r="T9" s="218"/>
      <c r="U9" s="220">
        <f>IF($A9="","",IF(N($Q9)&gt;0,IF(MOD($Q9,1)=0,$Q9+1-1/1440,$Q9),IF(N($B9)=0,"",$B9+IF(N($AH9)&gt;0,$AH9,IFERROR(INDEX(DM_SLA_Gio,MATCH($J9,DM_SLA_Cap,0)),168))/24)))</f>
      </c>
      <c r="V9" s="221">
        <f>IF($A9="","",IF(N($AJ9)=0,"Mới tiếp nhận",INDEX('Nhật ký tiến độ'!$E:$E,$AJ9)))</f>
      </c>
      <c r="W9" s="222">
        <f>IF($A9="","",IF($V9="Đã xử lý",1,IF(N($AJ9)=0,0,N(INDEX('Nhật ký tiến độ'!$D:$D,$AJ9)))))</f>
      </c>
      <c r="X9" s="222">
        <f>IF(OR($A9="",$V9="Đã xử lý",N($U9)=0,N($B9)=0),"",IF(TDBC&lt;=$B9,0,IF(TDBC&gt;=$U9,1,(TDBC-$B9)/($U9-$B9))))</f>
      </c>
      <c r="Y9" s="223">
        <f>IF($A9="","",IF($V9="Đã xử lý","Hoàn thành",IF(N($U9)=0,"Chưa đặt hạn",IF(TDBC&gt;$U9,"Quá hạn",IF(ROUND((N($X9)-$W9)*100,0)&gt;=20,"Chậm tiến độ",IF($U9-TDBC&lt;=1,"Sắp đến hạn","Đúng tiến độ"))))))</f>
      </c>
      <c r="Z9" s="223">
        <f>IF(OR($A9="",$V9="Đã xử lý",N($U9)=0),"",IF(TDBC&gt;$U9,"Quá "&amp;IF(((TDBC-$U9)*24)&lt;1,MAX(1,ROUND(((TDBC-$U9)*24)*60,0))&amp;" phút",IF(ROUND(((TDBC-$U9)*24),0)&lt;24,ROUND(((TDBC-$U9)*24),0)&amp;" giờ",INT(ROUND(((TDBC-$U9)*24),0)/24)&amp;" ngày"&amp;IF(MOD(ROUND(((TDBC-$U9)*24),0),24)&gt;0," "&amp;MOD(ROUND(((TDBC-$U9)*24),0),24)&amp;" giờ",""))),"Còn "&amp;IF((($U9-TDBC)*24)&lt;1,MAX(1,ROUND((($U9-TDBC)*24)*60,0))&amp;" phút",IF(ROUND((($U9-TDBC)*24),0)&lt;24,ROUND((($U9-TDBC)*24),0)&amp;" giờ",INT(ROUND((($U9-TDBC)*24),0)/24)&amp;" ngày"&amp;IF(MOD(ROUND((($U9-TDBC)*24),0),24)&gt;0," "&amp;MOD(ROUND((($U9-TDBC)*24),0),24)&amp;" giờ","")))))</f>
      </c>
      <c r="AA9" s="220">
        <f>IF($V9="Đã xử lý",_xlfn.MAXIFS('Nhật ký tiến độ'!$B$6:$B$3005,'Nhật ký tiến độ'!$C$6:$C$3005,$A9,'Nhật ký tiến độ'!$E$6:$E$3005,"Đã xử lý"),"")</f>
      </c>
      <c r="AB9" s="223">
        <f>IF($AI9="","",IF($AI9&lt;1,MAX(1,ROUND($AI9*60,0))&amp;" phút",IF(ROUND($AI9,0)&lt;24,ROUND($AI9,0)&amp;" giờ",INT(ROUND($AI9,0)/24)&amp;" ngày"&amp;IF(MOD(ROUND($AI9,0),24)&gt;0," "&amp;MOD(ROUND($AI9,0),24)&amp;" giờ",""))))</f>
      </c>
      <c r="AC9" s="223">
        <f>IF(OR($A9="",N($AH9)=0),"",IF($AI9&lt;&gt;"",IF($AI9&lt;=$AH9,"Trong ước tính","Vượt "&amp;IF(($AI9-$AH9)&lt;1,MAX(1,ROUND(($AI9-$AH9)*60,0))&amp;" phút",IF(ROUND(($AI9-$AH9),0)&lt;24,ROUND(($AI9-$AH9),0)&amp;" giờ",INT(ROUND(($AI9-$AH9),0)/24)&amp;" ngày"&amp;IF(MOD(ROUND(($AI9-$AH9),0),24)&gt;0," "&amp;MOD(ROUND(($AI9-$AH9),0),24)&amp;" giờ","")))),IF(OR($V9="Đã xử lý",N($B9)=0),"",IF((TDBC-$B9)*24&gt;$AH9,"Đã vượt ước tính","Đã dùng "&amp;TEXT((TDBC-$B9)*24/$AH9,"0%")))))</f>
      </c>
      <c r="AD9" s="223">
        <f>IF(N($AO9)=0,"",CHOOSE($AO9,"Nhắc nhở","Cảnh báo","Báo động","Báo động đỏ"))</f>
      </c>
      <c r="AE9" s="223">
        <f>IF(OR(N($AA9)=0,N($U9)=0),"",IF($AA9&lt;=$U9,"Đúng hạn","Trễ hạn"))</f>
      </c>
      <c r="AF9" s="220">
        <f>IF($A9="","",_xlfn.MAXIFS('Nhật ký tiến độ'!$B$6:$B$3005,'Nhật ký tiến độ'!$C$6:$C$3005,$A9))</f>
      </c>
      <c r="AG9" s="223">
        <f>IF($A9="","",IF(COUNTIF('Kế hoạch'!$M$6:$M$305,$A9)=0,"",COUNTIF('Kế hoạch'!$M$6:$M$305,$A9)&amp;" việc"))</f>
      </c>
      <c r="AH9" s="224">
        <f>IF(OR($A9="",N($O9)&lt;=0),"",IF($P9="Giờ",$O9,$O9*24))</f>
      </c>
      <c r="AI9" s="224">
        <f>IF(OR(N($AA9)=0,N($B9)=0),"",IF($AA9&lt;$B9,"",($AA9-$B9)*24))</f>
      </c>
      <c r="AJ9" s="225">
        <f>IF($A9="","",IF(COUNTIF('Nhật ký tiến độ'!$C$6:$C$3005,$A9)=0,0,_xlfn.MAXIFS('Nhật ký tiến độ'!$N$6:$N$3005,'Nhật ký tiến độ'!$C$6:$C$3005,$A9,'Nhật ký tiến độ'!$B$6:$B$3005,_xlfn.MAXIFS('Nhật ký tiến độ'!$B$6:$B$3005,'Nhật ký tiến độ'!$C$6:$C$3005,$A9))))</f>
      </c>
      <c r="AK9" s="225">
        <f>IF(OR($A9="",$V9="Đã xử lý"),"",IF(N($AO9)&gt;0,5-$AO9,IF($J9="Khẩn cấp",5,IF($Y9="Chậm tiến độ",6,IF(OR($Y9="Sắp đến hạn",$J9="Cao"),7,"")))))</f>
      </c>
      <c r="AL9" s="225">
        <f>IF($AK9="","",$AK9*100000+IF(N($U9)=0,99999,INT($U9))+ROW()/100000)</f>
      </c>
      <c r="AM9" s="225">
        <f>IF(OR($A9="",TRIM($K9)="",COUNTIF($K$6:$K9,$K9)&gt;1),0,1)</f>
      </c>
      <c r="AN9" s="225">
        <f>IF($AM9=1,SUM($AM$6:$AM9),"")</f>
      </c>
      <c r="AO9" s="225">
        <f>IF(OR($A9="",$V9="Đã xử lý",N($U9)=0),0,IF(TDBC&lt;=$U9,0,MAX(1,MIN(4,IF((TDBC-$U9)*24&lt;24,1,IF((TDBC-$U9)*24&lt;72,2,IF((TDBC-$U9)*24&lt;168,3,4)))+IFERROR(INDEX({2,1,0,-1},MATCH($J9,{"Khẩn cấp","Cao","Trung bình","Thấp"},0)),0)))))</f>
      </c>
    </row>
    <row r="10">
      <c r="A10" s="216"/>
      <c r="B10" s="217"/>
      <c r="C10" s="218"/>
      <c r="D10" s="218"/>
      <c r="E10" s="218"/>
      <c r="F10" s="218"/>
      <c r="G10" s="216"/>
      <c r="H10" s="218"/>
      <c r="I10" s="218"/>
      <c r="J10" s="216"/>
      <c r="K10" s="218"/>
      <c r="L10" s="218"/>
      <c r="M10" s="218"/>
      <c r="N10" s="218"/>
      <c r="O10" s="219"/>
      <c r="P10" s="216"/>
      <c r="Q10" s="217"/>
      <c r="R10" s="216"/>
      <c r="S10" s="218"/>
      <c r="T10" s="218"/>
      <c r="U10" s="220">
        <f>IF($A10="","",IF(N($Q10)&gt;0,IF(MOD($Q10,1)=0,$Q10+1-1/1440,$Q10),IF(N($B10)=0,"",$B10+IF(N($AH10)&gt;0,$AH10,IFERROR(INDEX(DM_SLA_Gio,MATCH($J10,DM_SLA_Cap,0)),168))/24)))</f>
      </c>
      <c r="V10" s="221">
        <f>IF($A10="","",IF(N($AJ10)=0,"Mới tiếp nhận",INDEX('Nhật ký tiến độ'!$E:$E,$AJ10)))</f>
      </c>
      <c r="W10" s="222">
        <f>IF($A10="","",IF($V10="Đã xử lý",1,IF(N($AJ10)=0,0,N(INDEX('Nhật ký tiến độ'!$D:$D,$AJ10)))))</f>
      </c>
      <c r="X10" s="222">
        <f>IF(OR($A10="",$V10="Đã xử lý",N($U10)=0,N($B10)=0),"",IF(TDBC&lt;=$B10,0,IF(TDBC&gt;=$U10,1,(TDBC-$B10)/($U10-$B10))))</f>
      </c>
      <c r="Y10" s="223">
        <f>IF($A10="","",IF($V10="Đã xử lý","Hoàn thành",IF(N($U10)=0,"Chưa đặt hạn",IF(TDBC&gt;$U10,"Quá hạn",IF(ROUND((N($X10)-$W10)*100,0)&gt;=20,"Chậm tiến độ",IF($U10-TDBC&lt;=1,"Sắp đến hạn","Đúng tiến độ"))))))</f>
      </c>
      <c r="Z10" s="223">
        <f>IF(OR($A10="",$V10="Đã xử lý",N($U10)=0),"",IF(TDBC&gt;$U10,"Quá "&amp;IF(((TDBC-$U10)*24)&lt;1,MAX(1,ROUND(((TDBC-$U10)*24)*60,0))&amp;" phút",IF(ROUND(((TDBC-$U10)*24),0)&lt;24,ROUND(((TDBC-$U10)*24),0)&amp;" giờ",INT(ROUND(((TDBC-$U10)*24),0)/24)&amp;" ngày"&amp;IF(MOD(ROUND(((TDBC-$U10)*24),0),24)&gt;0," "&amp;MOD(ROUND(((TDBC-$U10)*24),0),24)&amp;" giờ",""))),"Còn "&amp;IF((($U10-TDBC)*24)&lt;1,MAX(1,ROUND((($U10-TDBC)*24)*60,0))&amp;" phút",IF(ROUND((($U10-TDBC)*24),0)&lt;24,ROUND((($U10-TDBC)*24),0)&amp;" giờ",INT(ROUND((($U10-TDBC)*24),0)/24)&amp;" ngày"&amp;IF(MOD(ROUND((($U10-TDBC)*24),0),24)&gt;0," "&amp;MOD(ROUND((($U10-TDBC)*24),0),24)&amp;" giờ","")))))</f>
      </c>
      <c r="AA10" s="220">
        <f>IF($V10="Đã xử lý",_xlfn.MAXIFS('Nhật ký tiến độ'!$B$6:$B$3005,'Nhật ký tiến độ'!$C$6:$C$3005,$A10,'Nhật ký tiến độ'!$E$6:$E$3005,"Đã xử lý"),"")</f>
      </c>
      <c r="AB10" s="223">
        <f>IF($AI10="","",IF($AI10&lt;1,MAX(1,ROUND($AI10*60,0))&amp;" phút",IF(ROUND($AI10,0)&lt;24,ROUND($AI10,0)&amp;" giờ",INT(ROUND($AI10,0)/24)&amp;" ngày"&amp;IF(MOD(ROUND($AI10,0),24)&gt;0," "&amp;MOD(ROUND($AI10,0),24)&amp;" giờ",""))))</f>
      </c>
      <c r="AC10" s="223">
        <f>IF(OR($A10="",N($AH10)=0),"",IF($AI10&lt;&gt;"",IF($AI10&lt;=$AH10,"Trong ước tính","Vượt "&amp;IF(($AI10-$AH10)&lt;1,MAX(1,ROUND(($AI10-$AH10)*60,0))&amp;" phút",IF(ROUND(($AI10-$AH10),0)&lt;24,ROUND(($AI10-$AH10),0)&amp;" giờ",INT(ROUND(($AI10-$AH10),0)/24)&amp;" ngày"&amp;IF(MOD(ROUND(($AI10-$AH10),0),24)&gt;0," "&amp;MOD(ROUND(($AI10-$AH10),0),24)&amp;" giờ","")))),IF(OR($V10="Đã xử lý",N($B10)=0),"",IF((TDBC-$B10)*24&gt;$AH10,"Đã vượt ước tính","Đã dùng "&amp;TEXT((TDBC-$B10)*24/$AH10,"0%")))))</f>
      </c>
      <c r="AD10" s="223">
        <f>IF(N($AO10)=0,"",CHOOSE($AO10,"Nhắc nhở","Cảnh báo","Báo động","Báo động đỏ"))</f>
      </c>
      <c r="AE10" s="223">
        <f>IF(OR(N($AA10)=0,N($U10)=0),"",IF($AA10&lt;=$U10,"Đúng hạn","Trễ hạn"))</f>
      </c>
      <c r="AF10" s="220">
        <f>IF($A10="","",_xlfn.MAXIFS('Nhật ký tiến độ'!$B$6:$B$3005,'Nhật ký tiến độ'!$C$6:$C$3005,$A10))</f>
      </c>
      <c r="AG10" s="223">
        <f>IF($A10="","",IF(COUNTIF('Kế hoạch'!$M$6:$M$305,$A10)=0,"",COUNTIF('Kế hoạch'!$M$6:$M$305,$A10)&amp;" việc"))</f>
      </c>
      <c r="AH10" s="224">
        <f>IF(OR($A10="",N($O10)&lt;=0),"",IF($P10="Giờ",$O10,$O10*24))</f>
      </c>
      <c r="AI10" s="224">
        <f>IF(OR(N($AA10)=0,N($B10)=0),"",IF($AA10&lt;$B10,"",($AA10-$B10)*24))</f>
      </c>
      <c r="AJ10" s="225">
        <f>IF($A10="","",IF(COUNTIF('Nhật ký tiến độ'!$C$6:$C$3005,$A10)=0,0,_xlfn.MAXIFS('Nhật ký tiến độ'!$N$6:$N$3005,'Nhật ký tiến độ'!$C$6:$C$3005,$A10,'Nhật ký tiến độ'!$B$6:$B$3005,_xlfn.MAXIFS('Nhật ký tiến độ'!$B$6:$B$3005,'Nhật ký tiến độ'!$C$6:$C$3005,$A10))))</f>
      </c>
      <c r="AK10" s="225">
        <f>IF(OR($A10="",$V10="Đã xử lý"),"",IF(N($AO10)&gt;0,5-$AO10,IF($J10="Khẩn cấp",5,IF($Y10="Chậm tiến độ",6,IF(OR($Y10="Sắp đến hạn",$J10="Cao"),7,"")))))</f>
      </c>
      <c r="AL10" s="225">
        <f>IF($AK10="","",$AK10*100000+IF(N($U10)=0,99999,INT($U10))+ROW()/100000)</f>
      </c>
      <c r="AM10" s="225">
        <f>IF(OR($A10="",TRIM($K10)="",COUNTIF($K$6:$K10,$K10)&gt;1),0,1)</f>
      </c>
      <c r="AN10" s="225">
        <f>IF($AM10=1,SUM($AM$6:$AM10),"")</f>
      </c>
      <c r="AO10" s="225">
        <f>IF(OR($A10="",$V10="Đã xử lý",N($U10)=0),0,IF(TDBC&lt;=$U10,0,MAX(1,MIN(4,IF((TDBC-$U10)*24&lt;24,1,IF((TDBC-$U10)*24&lt;72,2,IF((TDBC-$U10)*24&lt;168,3,4)))+IFERROR(INDEX({2,1,0,-1},MATCH($J10,{"Khẩn cấp","Cao","Trung bình","Thấp"},0)),0)))))</f>
      </c>
    </row>
    <row r="11">
      <c r="A11" s="216"/>
      <c r="B11" s="217"/>
      <c r="C11" s="218"/>
      <c r="D11" s="218"/>
      <c r="E11" s="218"/>
      <c r="F11" s="218"/>
      <c r="G11" s="216"/>
      <c r="H11" s="218"/>
      <c r="I11" s="218"/>
      <c r="J11" s="216"/>
      <c r="K11" s="218"/>
      <c r="L11" s="218"/>
      <c r="M11" s="218"/>
      <c r="N11" s="218"/>
      <c r="O11" s="219"/>
      <c r="P11" s="216"/>
      <c r="Q11" s="217"/>
      <c r="R11" s="216"/>
      <c r="S11" s="218"/>
      <c r="T11" s="218"/>
      <c r="U11" s="220">
        <f>IF($A11="","",IF(N($Q11)&gt;0,IF(MOD($Q11,1)=0,$Q11+1-1/1440,$Q11),IF(N($B11)=0,"",$B11+IF(N($AH11)&gt;0,$AH11,IFERROR(INDEX(DM_SLA_Gio,MATCH($J11,DM_SLA_Cap,0)),168))/24)))</f>
      </c>
      <c r="V11" s="221">
        <f>IF($A11="","",IF(N($AJ11)=0,"Mới tiếp nhận",INDEX('Nhật ký tiến độ'!$E:$E,$AJ11)))</f>
      </c>
      <c r="W11" s="222">
        <f>IF($A11="","",IF($V11="Đã xử lý",1,IF(N($AJ11)=0,0,N(INDEX('Nhật ký tiến độ'!$D:$D,$AJ11)))))</f>
      </c>
      <c r="X11" s="222">
        <f>IF(OR($A11="",$V11="Đã xử lý",N($U11)=0,N($B11)=0),"",IF(TDBC&lt;=$B11,0,IF(TDBC&gt;=$U11,1,(TDBC-$B11)/($U11-$B11))))</f>
      </c>
      <c r="Y11" s="223">
        <f>IF($A11="","",IF($V11="Đã xử lý","Hoàn thành",IF(N($U11)=0,"Chưa đặt hạn",IF(TDBC&gt;$U11,"Quá hạn",IF(ROUND((N($X11)-$W11)*100,0)&gt;=20,"Chậm tiến độ",IF($U11-TDBC&lt;=1,"Sắp đến hạn","Đúng tiến độ"))))))</f>
      </c>
      <c r="Z11" s="223">
        <f>IF(OR($A11="",$V11="Đã xử lý",N($U11)=0),"",IF(TDBC&gt;$U11,"Quá "&amp;IF(((TDBC-$U11)*24)&lt;1,MAX(1,ROUND(((TDBC-$U11)*24)*60,0))&amp;" phút",IF(ROUND(((TDBC-$U11)*24),0)&lt;24,ROUND(((TDBC-$U11)*24),0)&amp;" giờ",INT(ROUND(((TDBC-$U11)*24),0)/24)&amp;" ngày"&amp;IF(MOD(ROUND(((TDBC-$U11)*24),0),24)&gt;0," "&amp;MOD(ROUND(((TDBC-$U11)*24),0),24)&amp;" giờ",""))),"Còn "&amp;IF((($U11-TDBC)*24)&lt;1,MAX(1,ROUND((($U11-TDBC)*24)*60,0))&amp;" phút",IF(ROUND((($U11-TDBC)*24),0)&lt;24,ROUND((($U11-TDBC)*24),0)&amp;" giờ",INT(ROUND((($U11-TDBC)*24),0)/24)&amp;" ngày"&amp;IF(MOD(ROUND((($U11-TDBC)*24),0),24)&gt;0," "&amp;MOD(ROUND((($U11-TDBC)*24),0),24)&amp;" giờ","")))))</f>
      </c>
      <c r="AA11" s="220">
        <f>IF($V11="Đã xử lý",_xlfn.MAXIFS('Nhật ký tiến độ'!$B$6:$B$3005,'Nhật ký tiến độ'!$C$6:$C$3005,$A11,'Nhật ký tiến độ'!$E$6:$E$3005,"Đã xử lý"),"")</f>
      </c>
      <c r="AB11" s="223">
        <f>IF($AI11="","",IF($AI11&lt;1,MAX(1,ROUND($AI11*60,0))&amp;" phút",IF(ROUND($AI11,0)&lt;24,ROUND($AI11,0)&amp;" giờ",INT(ROUND($AI11,0)/24)&amp;" ngày"&amp;IF(MOD(ROUND($AI11,0),24)&gt;0," "&amp;MOD(ROUND($AI11,0),24)&amp;" giờ",""))))</f>
      </c>
      <c r="AC11" s="223">
        <f>IF(OR($A11="",N($AH11)=0),"",IF($AI11&lt;&gt;"",IF($AI11&lt;=$AH11,"Trong ước tính","Vượt "&amp;IF(($AI11-$AH11)&lt;1,MAX(1,ROUND(($AI11-$AH11)*60,0))&amp;" phút",IF(ROUND(($AI11-$AH11),0)&lt;24,ROUND(($AI11-$AH11),0)&amp;" giờ",INT(ROUND(($AI11-$AH11),0)/24)&amp;" ngày"&amp;IF(MOD(ROUND(($AI11-$AH11),0),24)&gt;0," "&amp;MOD(ROUND(($AI11-$AH11),0),24)&amp;" giờ","")))),IF(OR($V11="Đã xử lý",N($B11)=0),"",IF((TDBC-$B11)*24&gt;$AH11,"Đã vượt ước tính","Đã dùng "&amp;TEXT((TDBC-$B11)*24/$AH11,"0%")))))</f>
      </c>
      <c r="AD11" s="223">
        <f>IF(N($AO11)=0,"",CHOOSE($AO11,"Nhắc nhở","Cảnh báo","Báo động","Báo động đỏ"))</f>
      </c>
      <c r="AE11" s="223">
        <f>IF(OR(N($AA11)=0,N($U11)=0),"",IF($AA11&lt;=$U11,"Đúng hạn","Trễ hạn"))</f>
      </c>
      <c r="AF11" s="220">
        <f>IF($A11="","",_xlfn.MAXIFS('Nhật ký tiến độ'!$B$6:$B$3005,'Nhật ký tiến độ'!$C$6:$C$3005,$A11))</f>
      </c>
      <c r="AG11" s="223">
        <f>IF($A11="","",IF(COUNTIF('Kế hoạch'!$M$6:$M$305,$A11)=0,"",COUNTIF('Kế hoạch'!$M$6:$M$305,$A11)&amp;" việc"))</f>
      </c>
      <c r="AH11" s="224">
        <f>IF(OR($A11="",N($O11)&lt;=0),"",IF($P11="Giờ",$O11,$O11*24))</f>
      </c>
      <c r="AI11" s="224">
        <f>IF(OR(N($AA11)=0,N($B11)=0),"",IF($AA11&lt;$B11,"",($AA11-$B11)*24))</f>
      </c>
      <c r="AJ11" s="225">
        <f>IF($A11="","",IF(COUNTIF('Nhật ký tiến độ'!$C$6:$C$3005,$A11)=0,0,_xlfn.MAXIFS('Nhật ký tiến độ'!$N$6:$N$3005,'Nhật ký tiến độ'!$C$6:$C$3005,$A11,'Nhật ký tiến độ'!$B$6:$B$3005,_xlfn.MAXIFS('Nhật ký tiến độ'!$B$6:$B$3005,'Nhật ký tiến độ'!$C$6:$C$3005,$A11))))</f>
      </c>
      <c r="AK11" s="225">
        <f>IF(OR($A11="",$V11="Đã xử lý"),"",IF(N($AO11)&gt;0,5-$AO11,IF($J11="Khẩn cấp",5,IF($Y11="Chậm tiến độ",6,IF(OR($Y11="Sắp đến hạn",$J11="Cao"),7,"")))))</f>
      </c>
      <c r="AL11" s="225">
        <f>IF($AK11="","",$AK11*100000+IF(N($U11)=0,99999,INT($U11))+ROW()/100000)</f>
      </c>
      <c r="AM11" s="225">
        <f>IF(OR($A11="",TRIM($K11)="",COUNTIF($K$6:$K11,$K11)&gt;1),0,1)</f>
      </c>
      <c r="AN11" s="225">
        <f>IF($AM11=1,SUM($AM$6:$AM11),"")</f>
      </c>
      <c r="AO11" s="225">
        <f>IF(OR($A11="",$V11="Đã xử lý",N($U11)=0),0,IF(TDBC&lt;=$U11,0,MAX(1,MIN(4,IF((TDBC-$U11)*24&lt;24,1,IF((TDBC-$U11)*24&lt;72,2,IF((TDBC-$U11)*24&lt;168,3,4)))+IFERROR(INDEX({2,1,0,-1},MATCH($J11,{"Khẩn cấp","Cao","Trung bình","Thấp"},0)),0)))))</f>
      </c>
    </row>
    <row r="12">
      <c r="A12" s="216"/>
      <c r="B12" s="217"/>
      <c r="C12" s="218"/>
      <c r="D12" s="218"/>
      <c r="E12" s="218"/>
      <c r="F12" s="218"/>
      <c r="G12" s="216"/>
      <c r="H12" s="218"/>
      <c r="I12" s="218"/>
      <c r="J12" s="216"/>
      <c r="K12" s="218"/>
      <c r="L12" s="218"/>
      <c r="M12" s="218"/>
      <c r="N12" s="218"/>
      <c r="O12" s="219"/>
      <c r="P12" s="216"/>
      <c r="Q12" s="217"/>
      <c r="R12" s="216"/>
      <c r="S12" s="218"/>
      <c r="T12" s="218"/>
      <c r="U12" s="220">
        <f>IF($A12="","",IF(N($Q12)&gt;0,IF(MOD($Q12,1)=0,$Q12+1-1/1440,$Q12),IF(N($B12)=0,"",$B12+IF(N($AH12)&gt;0,$AH12,IFERROR(INDEX(DM_SLA_Gio,MATCH($J12,DM_SLA_Cap,0)),168))/24)))</f>
      </c>
      <c r="V12" s="221">
        <f>IF($A12="","",IF(N($AJ12)=0,"Mới tiếp nhận",INDEX('Nhật ký tiến độ'!$E:$E,$AJ12)))</f>
      </c>
      <c r="W12" s="222">
        <f>IF($A12="","",IF($V12="Đã xử lý",1,IF(N($AJ12)=0,0,N(INDEX('Nhật ký tiến độ'!$D:$D,$AJ12)))))</f>
      </c>
      <c r="X12" s="222">
        <f>IF(OR($A12="",$V12="Đã xử lý",N($U12)=0,N($B12)=0),"",IF(TDBC&lt;=$B12,0,IF(TDBC&gt;=$U12,1,(TDBC-$B12)/($U12-$B12))))</f>
      </c>
      <c r="Y12" s="223">
        <f>IF($A12="","",IF($V12="Đã xử lý","Hoàn thành",IF(N($U12)=0,"Chưa đặt hạn",IF(TDBC&gt;$U12,"Quá hạn",IF(ROUND((N($X12)-$W12)*100,0)&gt;=20,"Chậm tiến độ",IF($U12-TDBC&lt;=1,"Sắp đến hạn","Đúng tiến độ"))))))</f>
      </c>
      <c r="Z12" s="223">
        <f>IF(OR($A12="",$V12="Đã xử lý",N($U12)=0),"",IF(TDBC&gt;$U12,"Quá "&amp;IF(((TDBC-$U12)*24)&lt;1,MAX(1,ROUND(((TDBC-$U12)*24)*60,0))&amp;" phút",IF(ROUND(((TDBC-$U12)*24),0)&lt;24,ROUND(((TDBC-$U12)*24),0)&amp;" giờ",INT(ROUND(((TDBC-$U12)*24),0)/24)&amp;" ngày"&amp;IF(MOD(ROUND(((TDBC-$U12)*24),0),24)&gt;0," "&amp;MOD(ROUND(((TDBC-$U12)*24),0),24)&amp;" giờ",""))),"Còn "&amp;IF((($U12-TDBC)*24)&lt;1,MAX(1,ROUND((($U12-TDBC)*24)*60,0))&amp;" phút",IF(ROUND((($U12-TDBC)*24),0)&lt;24,ROUND((($U12-TDBC)*24),0)&amp;" giờ",INT(ROUND((($U12-TDBC)*24),0)/24)&amp;" ngày"&amp;IF(MOD(ROUND((($U12-TDBC)*24),0),24)&gt;0," "&amp;MOD(ROUND((($U12-TDBC)*24),0),24)&amp;" giờ","")))))</f>
      </c>
      <c r="AA12" s="220">
        <f>IF($V12="Đã xử lý",_xlfn.MAXIFS('Nhật ký tiến độ'!$B$6:$B$3005,'Nhật ký tiến độ'!$C$6:$C$3005,$A12,'Nhật ký tiến độ'!$E$6:$E$3005,"Đã xử lý"),"")</f>
      </c>
      <c r="AB12" s="223">
        <f>IF($AI12="","",IF($AI12&lt;1,MAX(1,ROUND($AI12*60,0))&amp;" phút",IF(ROUND($AI12,0)&lt;24,ROUND($AI12,0)&amp;" giờ",INT(ROUND($AI12,0)/24)&amp;" ngày"&amp;IF(MOD(ROUND($AI12,0),24)&gt;0," "&amp;MOD(ROUND($AI12,0),24)&amp;" giờ",""))))</f>
      </c>
      <c r="AC12" s="223">
        <f>IF(OR($A12="",N($AH12)=0),"",IF($AI12&lt;&gt;"",IF($AI12&lt;=$AH12,"Trong ước tính","Vượt "&amp;IF(($AI12-$AH12)&lt;1,MAX(1,ROUND(($AI12-$AH12)*60,0))&amp;" phút",IF(ROUND(($AI12-$AH12),0)&lt;24,ROUND(($AI12-$AH12),0)&amp;" giờ",INT(ROUND(($AI12-$AH12),0)/24)&amp;" ngày"&amp;IF(MOD(ROUND(($AI12-$AH12),0),24)&gt;0," "&amp;MOD(ROUND(($AI12-$AH12),0),24)&amp;" giờ","")))),IF(OR($V12="Đã xử lý",N($B12)=0),"",IF((TDBC-$B12)*24&gt;$AH12,"Đã vượt ước tính","Đã dùng "&amp;TEXT((TDBC-$B12)*24/$AH12,"0%")))))</f>
      </c>
      <c r="AD12" s="223">
        <f>IF(N($AO12)=0,"",CHOOSE($AO12,"Nhắc nhở","Cảnh báo","Báo động","Báo động đỏ"))</f>
      </c>
      <c r="AE12" s="223">
        <f>IF(OR(N($AA12)=0,N($U12)=0),"",IF($AA12&lt;=$U12,"Đúng hạn","Trễ hạn"))</f>
      </c>
      <c r="AF12" s="220">
        <f>IF($A12="","",_xlfn.MAXIFS('Nhật ký tiến độ'!$B$6:$B$3005,'Nhật ký tiến độ'!$C$6:$C$3005,$A12))</f>
      </c>
      <c r="AG12" s="223">
        <f>IF($A12="","",IF(COUNTIF('Kế hoạch'!$M$6:$M$305,$A12)=0,"",COUNTIF('Kế hoạch'!$M$6:$M$305,$A12)&amp;" việc"))</f>
      </c>
      <c r="AH12" s="224">
        <f>IF(OR($A12="",N($O12)&lt;=0),"",IF($P12="Giờ",$O12,$O12*24))</f>
      </c>
      <c r="AI12" s="224">
        <f>IF(OR(N($AA12)=0,N($B12)=0),"",IF($AA12&lt;$B12,"",($AA12-$B12)*24))</f>
      </c>
      <c r="AJ12" s="225">
        <f>IF($A12="","",IF(COUNTIF('Nhật ký tiến độ'!$C$6:$C$3005,$A12)=0,0,_xlfn.MAXIFS('Nhật ký tiến độ'!$N$6:$N$3005,'Nhật ký tiến độ'!$C$6:$C$3005,$A12,'Nhật ký tiến độ'!$B$6:$B$3005,_xlfn.MAXIFS('Nhật ký tiến độ'!$B$6:$B$3005,'Nhật ký tiến độ'!$C$6:$C$3005,$A12))))</f>
      </c>
      <c r="AK12" s="225">
        <f>IF(OR($A12="",$V12="Đã xử lý"),"",IF(N($AO12)&gt;0,5-$AO12,IF($J12="Khẩn cấp",5,IF($Y12="Chậm tiến độ",6,IF(OR($Y12="Sắp đến hạn",$J12="Cao"),7,"")))))</f>
      </c>
      <c r="AL12" s="225">
        <f>IF($AK12="","",$AK12*100000+IF(N($U12)=0,99999,INT($U12))+ROW()/100000)</f>
      </c>
      <c r="AM12" s="225">
        <f>IF(OR($A12="",TRIM($K12)="",COUNTIF($K$6:$K12,$K12)&gt;1),0,1)</f>
      </c>
      <c r="AN12" s="225">
        <f>IF($AM12=1,SUM($AM$6:$AM12),"")</f>
      </c>
      <c r="AO12" s="225">
        <f>IF(OR($A12="",$V12="Đã xử lý",N($U12)=0),0,IF(TDBC&lt;=$U12,0,MAX(1,MIN(4,IF((TDBC-$U12)*24&lt;24,1,IF((TDBC-$U12)*24&lt;72,2,IF((TDBC-$U12)*24&lt;168,3,4)))+IFERROR(INDEX({2,1,0,-1},MATCH($J12,{"Khẩn cấp","Cao","Trung bình","Thấp"},0)),0)))))</f>
      </c>
    </row>
    <row r="13">
      <c r="A13" s="216"/>
      <c r="B13" s="217"/>
      <c r="C13" s="218"/>
      <c r="D13" s="218"/>
      <c r="E13" s="218"/>
      <c r="F13" s="218"/>
      <c r="G13" s="216"/>
      <c r="H13" s="218"/>
      <c r="I13" s="218"/>
      <c r="J13" s="216"/>
      <c r="K13" s="218"/>
      <c r="L13" s="218"/>
      <c r="M13" s="218"/>
      <c r="N13" s="218"/>
      <c r="O13" s="219"/>
      <c r="P13" s="216"/>
      <c r="Q13" s="217"/>
      <c r="R13" s="216"/>
      <c r="S13" s="218"/>
      <c r="T13" s="218"/>
      <c r="U13" s="220">
        <f>IF($A13="","",IF(N($Q13)&gt;0,IF(MOD($Q13,1)=0,$Q13+1-1/1440,$Q13),IF(N($B13)=0,"",$B13+IF(N($AH13)&gt;0,$AH13,IFERROR(INDEX(DM_SLA_Gio,MATCH($J13,DM_SLA_Cap,0)),168))/24)))</f>
      </c>
      <c r="V13" s="221">
        <f>IF($A13="","",IF(N($AJ13)=0,"Mới tiếp nhận",INDEX('Nhật ký tiến độ'!$E:$E,$AJ13)))</f>
      </c>
      <c r="W13" s="222">
        <f>IF($A13="","",IF($V13="Đã xử lý",1,IF(N($AJ13)=0,0,N(INDEX('Nhật ký tiến độ'!$D:$D,$AJ13)))))</f>
      </c>
      <c r="X13" s="222">
        <f>IF(OR($A13="",$V13="Đã xử lý",N($U13)=0,N($B13)=0),"",IF(TDBC&lt;=$B13,0,IF(TDBC&gt;=$U13,1,(TDBC-$B13)/($U13-$B13))))</f>
      </c>
      <c r="Y13" s="223">
        <f>IF($A13="","",IF($V13="Đã xử lý","Hoàn thành",IF(N($U13)=0,"Chưa đặt hạn",IF(TDBC&gt;$U13,"Quá hạn",IF(ROUND((N($X13)-$W13)*100,0)&gt;=20,"Chậm tiến độ",IF($U13-TDBC&lt;=1,"Sắp đến hạn","Đúng tiến độ"))))))</f>
      </c>
      <c r="Z13" s="223">
        <f>IF(OR($A13="",$V13="Đã xử lý",N($U13)=0),"",IF(TDBC&gt;$U13,"Quá "&amp;IF(((TDBC-$U13)*24)&lt;1,MAX(1,ROUND(((TDBC-$U13)*24)*60,0))&amp;" phút",IF(ROUND(((TDBC-$U13)*24),0)&lt;24,ROUND(((TDBC-$U13)*24),0)&amp;" giờ",INT(ROUND(((TDBC-$U13)*24),0)/24)&amp;" ngày"&amp;IF(MOD(ROUND(((TDBC-$U13)*24),0),24)&gt;0," "&amp;MOD(ROUND(((TDBC-$U13)*24),0),24)&amp;" giờ",""))),"Còn "&amp;IF((($U13-TDBC)*24)&lt;1,MAX(1,ROUND((($U13-TDBC)*24)*60,0))&amp;" phút",IF(ROUND((($U13-TDBC)*24),0)&lt;24,ROUND((($U13-TDBC)*24),0)&amp;" giờ",INT(ROUND((($U13-TDBC)*24),0)/24)&amp;" ngày"&amp;IF(MOD(ROUND((($U13-TDBC)*24),0),24)&gt;0," "&amp;MOD(ROUND((($U13-TDBC)*24),0),24)&amp;" giờ","")))))</f>
      </c>
      <c r="AA13" s="220">
        <f>IF($V13="Đã xử lý",_xlfn.MAXIFS('Nhật ký tiến độ'!$B$6:$B$3005,'Nhật ký tiến độ'!$C$6:$C$3005,$A13,'Nhật ký tiến độ'!$E$6:$E$3005,"Đã xử lý"),"")</f>
      </c>
      <c r="AB13" s="223">
        <f>IF($AI13="","",IF($AI13&lt;1,MAX(1,ROUND($AI13*60,0))&amp;" phút",IF(ROUND($AI13,0)&lt;24,ROUND($AI13,0)&amp;" giờ",INT(ROUND($AI13,0)/24)&amp;" ngày"&amp;IF(MOD(ROUND($AI13,0),24)&gt;0," "&amp;MOD(ROUND($AI13,0),24)&amp;" giờ",""))))</f>
      </c>
      <c r="AC13" s="223">
        <f>IF(OR($A13="",N($AH13)=0),"",IF($AI13&lt;&gt;"",IF($AI13&lt;=$AH13,"Trong ước tính","Vượt "&amp;IF(($AI13-$AH13)&lt;1,MAX(1,ROUND(($AI13-$AH13)*60,0))&amp;" phút",IF(ROUND(($AI13-$AH13),0)&lt;24,ROUND(($AI13-$AH13),0)&amp;" giờ",INT(ROUND(($AI13-$AH13),0)/24)&amp;" ngày"&amp;IF(MOD(ROUND(($AI13-$AH13),0),24)&gt;0," "&amp;MOD(ROUND(($AI13-$AH13),0),24)&amp;" giờ","")))),IF(OR($V13="Đã xử lý",N($B13)=0),"",IF((TDBC-$B13)*24&gt;$AH13,"Đã vượt ước tính","Đã dùng "&amp;TEXT((TDBC-$B13)*24/$AH13,"0%")))))</f>
      </c>
      <c r="AD13" s="223">
        <f>IF(N($AO13)=0,"",CHOOSE($AO13,"Nhắc nhở","Cảnh báo","Báo động","Báo động đỏ"))</f>
      </c>
      <c r="AE13" s="223">
        <f>IF(OR(N($AA13)=0,N($U13)=0),"",IF($AA13&lt;=$U13,"Đúng hạn","Trễ hạn"))</f>
      </c>
      <c r="AF13" s="220">
        <f>IF($A13="","",_xlfn.MAXIFS('Nhật ký tiến độ'!$B$6:$B$3005,'Nhật ký tiến độ'!$C$6:$C$3005,$A13))</f>
      </c>
      <c r="AG13" s="223">
        <f>IF($A13="","",IF(COUNTIF('Kế hoạch'!$M$6:$M$305,$A13)=0,"",COUNTIF('Kế hoạch'!$M$6:$M$305,$A13)&amp;" việc"))</f>
      </c>
      <c r="AH13" s="224">
        <f>IF(OR($A13="",N($O13)&lt;=0),"",IF($P13="Giờ",$O13,$O13*24))</f>
      </c>
      <c r="AI13" s="224">
        <f>IF(OR(N($AA13)=0,N($B13)=0),"",IF($AA13&lt;$B13,"",($AA13-$B13)*24))</f>
      </c>
      <c r="AJ13" s="225">
        <f>IF($A13="","",IF(COUNTIF('Nhật ký tiến độ'!$C$6:$C$3005,$A13)=0,0,_xlfn.MAXIFS('Nhật ký tiến độ'!$N$6:$N$3005,'Nhật ký tiến độ'!$C$6:$C$3005,$A13,'Nhật ký tiến độ'!$B$6:$B$3005,_xlfn.MAXIFS('Nhật ký tiến độ'!$B$6:$B$3005,'Nhật ký tiến độ'!$C$6:$C$3005,$A13))))</f>
      </c>
      <c r="AK13" s="225">
        <f>IF(OR($A13="",$V13="Đã xử lý"),"",IF(N($AO13)&gt;0,5-$AO13,IF($J13="Khẩn cấp",5,IF($Y13="Chậm tiến độ",6,IF(OR($Y13="Sắp đến hạn",$J13="Cao"),7,"")))))</f>
      </c>
      <c r="AL13" s="225">
        <f>IF($AK13="","",$AK13*100000+IF(N($U13)=0,99999,INT($U13))+ROW()/100000)</f>
      </c>
      <c r="AM13" s="225">
        <f>IF(OR($A13="",TRIM($K13)="",COUNTIF($K$6:$K13,$K13)&gt;1),0,1)</f>
      </c>
      <c r="AN13" s="225">
        <f>IF($AM13=1,SUM($AM$6:$AM13),"")</f>
      </c>
      <c r="AO13" s="225">
        <f>IF(OR($A13="",$V13="Đã xử lý",N($U13)=0),0,IF(TDBC&lt;=$U13,0,MAX(1,MIN(4,IF((TDBC-$U13)*24&lt;24,1,IF((TDBC-$U13)*24&lt;72,2,IF((TDBC-$U13)*24&lt;168,3,4)))+IFERROR(INDEX({2,1,0,-1},MATCH($J13,{"Khẩn cấp","Cao","Trung bình","Thấp"},0)),0)))))</f>
      </c>
    </row>
    <row r="14">
      <c r="A14" s="216"/>
      <c r="B14" s="217"/>
      <c r="C14" s="218"/>
      <c r="D14" s="218"/>
      <c r="E14" s="218"/>
      <c r="F14" s="218"/>
      <c r="G14" s="216"/>
      <c r="H14" s="218"/>
      <c r="I14" s="218"/>
      <c r="J14" s="216"/>
      <c r="K14" s="218"/>
      <c r="L14" s="218"/>
      <c r="M14" s="218"/>
      <c r="N14" s="218"/>
      <c r="O14" s="219"/>
      <c r="P14" s="216"/>
      <c r="Q14" s="217"/>
      <c r="R14" s="216"/>
      <c r="S14" s="218"/>
      <c r="T14" s="218"/>
      <c r="U14" s="220">
        <f>IF($A14="","",IF(N($Q14)&gt;0,IF(MOD($Q14,1)=0,$Q14+1-1/1440,$Q14),IF(N($B14)=0,"",$B14+IF(N($AH14)&gt;0,$AH14,IFERROR(INDEX(DM_SLA_Gio,MATCH($J14,DM_SLA_Cap,0)),168))/24)))</f>
      </c>
      <c r="V14" s="221">
        <f>IF($A14="","",IF(N($AJ14)=0,"Mới tiếp nhận",INDEX('Nhật ký tiến độ'!$E:$E,$AJ14)))</f>
      </c>
      <c r="W14" s="222">
        <f>IF($A14="","",IF($V14="Đã xử lý",1,IF(N($AJ14)=0,0,N(INDEX('Nhật ký tiến độ'!$D:$D,$AJ14)))))</f>
      </c>
      <c r="X14" s="222">
        <f>IF(OR($A14="",$V14="Đã xử lý",N($U14)=0,N($B14)=0),"",IF(TDBC&lt;=$B14,0,IF(TDBC&gt;=$U14,1,(TDBC-$B14)/($U14-$B14))))</f>
      </c>
      <c r="Y14" s="223">
        <f>IF($A14="","",IF($V14="Đã xử lý","Hoàn thành",IF(N($U14)=0,"Chưa đặt hạn",IF(TDBC&gt;$U14,"Quá hạn",IF(ROUND((N($X14)-$W14)*100,0)&gt;=20,"Chậm tiến độ",IF($U14-TDBC&lt;=1,"Sắp đến hạn","Đúng tiến độ"))))))</f>
      </c>
      <c r="Z14" s="223">
        <f>IF(OR($A14="",$V14="Đã xử lý",N($U14)=0),"",IF(TDBC&gt;$U14,"Quá "&amp;IF(((TDBC-$U14)*24)&lt;1,MAX(1,ROUND(((TDBC-$U14)*24)*60,0))&amp;" phút",IF(ROUND(((TDBC-$U14)*24),0)&lt;24,ROUND(((TDBC-$U14)*24),0)&amp;" giờ",INT(ROUND(((TDBC-$U14)*24),0)/24)&amp;" ngày"&amp;IF(MOD(ROUND(((TDBC-$U14)*24),0),24)&gt;0," "&amp;MOD(ROUND(((TDBC-$U14)*24),0),24)&amp;" giờ",""))),"Còn "&amp;IF((($U14-TDBC)*24)&lt;1,MAX(1,ROUND((($U14-TDBC)*24)*60,0))&amp;" phút",IF(ROUND((($U14-TDBC)*24),0)&lt;24,ROUND((($U14-TDBC)*24),0)&amp;" giờ",INT(ROUND((($U14-TDBC)*24),0)/24)&amp;" ngày"&amp;IF(MOD(ROUND((($U14-TDBC)*24),0),24)&gt;0," "&amp;MOD(ROUND((($U14-TDBC)*24),0),24)&amp;" giờ","")))))</f>
      </c>
      <c r="AA14" s="220">
        <f>IF($V14="Đã xử lý",_xlfn.MAXIFS('Nhật ký tiến độ'!$B$6:$B$3005,'Nhật ký tiến độ'!$C$6:$C$3005,$A14,'Nhật ký tiến độ'!$E$6:$E$3005,"Đã xử lý"),"")</f>
      </c>
      <c r="AB14" s="223">
        <f>IF($AI14="","",IF($AI14&lt;1,MAX(1,ROUND($AI14*60,0))&amp;" phút",IF(ROUND($AI14,0)&lt;24,ROUND($AI14,0)&amp;" giờ",INT(ROUND($AI14,0)/24)&amp;" ngày"&amp;IF(MOD(ROUND($AI14,0),24)&gt;0," "&amp;MOD(ROUND($AI14,0),24)&amp;" giờ",""))))</f>
      </c>
      <c r="AC14" s="223">
        <f>IF(OR($A14="",N($AH14)=0),"",IF($AI14&lt;&gt;"",IF($AI14&lt;=$AH14,"Trong ước tính","Vượt "&amp;IF(($AI14-$AH14)&lt;1,MAX(1,ROUND(($AI14-$AH14)*60,0))&amp;" phút",IF(ROUND(($AI14-$AH14),0)&lt;24,ROUND(($AI14-$AH14),0)&amp;" giờ",INT(ROUND(($AI14-$AH14),0)/24)&amp;" ngày"&amp;IF(MOD(ROUND(($AI14-$AH14),0),24)&gt;0," "&amp;MOD(ROUND(($AI14-$AH14),0),24)&amp;" giờ","")))),IF(OR($V14="Đã xử lý",N($B14)=0),"",IF((TDBC-$B14)*24&gt;$AH14,"Đã vượt ước tính","Đã dùng "&amp;TEXT((TDBC-$B14)*24/$AH14,"0%")))))</f>
      </c>
      <c r="AD14" s="223">
        <f>IF(N($AO14)=0,"",CHOOSE($AO14,"Nhắc nhở","Cảnh báo","Báo động","Báo động đỏ"))</f>
      </c>
      <c r="AE14" s="223">
        <f>IF(OR(N($AA14)=0,N($U14)=0),"",IF($AA14&lt;=$U14,"Đúng hạn","Trễ hạn"))</f>
      </c>
      <c r="AF14" s="220">
        <f>IF($A14="","",_xlfn.MAXIFS('Nhật ký tiến độ'!$B$6:$B$3005,'Nhật ký tiến độ'!$C$6:$C$3005,$A14))</f>
      </c>
      <c r="AG14" s="223">
        <f>IF($A14="","",IF(COUNTIF('Kế hoạch'!$M$6:$M$305,$A14)=0,"",COUNTIF('Kế hoạch'!$M$6:$M$305,$A14)&amp;" việc"))</f>
      </c>
      <c r="AH14" s="224">
        <f>IF(OR($A14="",N($O14)&lt;=0),"",IF($P14="Giờ",$O14,$O14*24))</f>
      </c>
      <c r="AI14" s="224">
        <f>IF(OR(N($AA14)=0,N($B14)=0),"",IF($AA14&lt;$B14,"",($AA14-$B14)*24))</f>
      </c>
      <c r="AJ14" s="225">
        <f>IF($A14="","",IF(COUNTIF('Nhật ký tiến độ'!$C$6:$C$3005,$A14)=0,0,_xlfn.MAXIFS('Nhật ký tiến độ'!$N$6:$N$3005,'Nhật ký tiến độ'!$C$6:$C$3005,$A14,'Nhật ký tiến độ'!$B$6:$B$3005,_xlfn.MAXIFS('Nhật ký tiến độ'!$B$6:$B$3005,'Nhật ký tiến độ'!$C$6:$C$3005,$A14))))</f>
      </c>
      <c r="AK14" s="225">
        <f>IF(OR($A14="",$V14="Đã xử lý"),"",IF(N($AO14)&gt;0,5-$AO14,IF($J14="Khẩn cấp",5,IF($Y14="Chậm tiến độ",6,IF(OR($Y14="Sắp đến hạn",$J14="Cao"),7,"")))))</f>
      </c>
      <c r="AL14" s="225">
        <f>IF($AK14="","",$AK14*100000+IF(N($U14)=0,99999,INT($U14))+ROW()/100000)</f>
      </c>
      <c r="AM14" s="225">
        <f>IF(OR($A14="",TRIM($K14)="",COUNTIF($K$6:$K14,$K14)&gt;1),0,1)</f>
      </c>
      <c r="AN14" s="225">
        <f>IF($AM14=1,SUM($AM$6:$AM14),"")</f>
      </c>
      <c r="AO14" s="225">
        <f>IF(OR($A14="",$V14="Đã xử lý",N($U14)=0),0,IF(TDBC&lt;=$U14,0,MAX(1,MIN(4,IF((TDBC-$U14)*24&lt;24,1,IF((TDBC-$U14)*24&lt;72,2,IF((TDBC-$U14)*24&lt;168,3,4)))+IFERROR(INDEX({2,1,0,-1},MATCH($J14,{"Khẩn cấp","Cao","Trung bình","Thấp"},0)),0)))))</f>
      </c>
    </row>
    <row r="15">
      <c r="A15" s="216"/>
      <c r="B15" s="217"/>
      <c r="C15" s="218"/>
      <c r="D15" s="218"/>
      <c r="E15" s="218"/>
      <c r="F15" s="218"/>
      <c r="G15" s="216"/>
      <c r="H15" s="218"/>
      <c r="I15" s="218"/>
      <c r="J15" s="216"/>
      <c r="K15" s="218"/>
      <c r="L15" s="218"/>
      <c r="M15" s="218"/>
      <c r="N15" s="218"/>
      <c r="O15" s="219"/>
      <c r="P15" s="216"/>
      <c r="Q15" s="217"/>
      <c r="R15" s="216"/>
      <c r="S15" s="218"/>
      <c r="T15" s="218"/>
      <c r="U15" s="220">
        <f>IF($A15="","",IF(N($Q15)&gt;0,IF(MOD($Q15,1)=0,$Q15+1-1/1440,$Q15),IF(N($B15)=0,"",$B15+IF(N($AH15)&gt;0,$AH15,IFERROR(INDEX(DM_SLA_Gio,MATCH($J15,DM_SLA_Cap,0)),168))/24)))</f>
      </c>
      <c r="V15" s="221">
        <f>IF($A15="","",IF(N($AJ15)=0,"Mới tiếp nhận",INDEX('Nhật ký tiến độ'!$E:$E,$AJ15)))</f>
      </c>
      <c r="W15" s="222">
        <f>IF($A15="","",IF($V15="Đã xử lý",1,IF(N($AJ15)=0,0,N(INDEX('Nhật ký tiến độ'!$D:$D,$AJ15)))))</f>
      </c>
      <c r="X15" s="222">
        <f>IF(OR($A15="",$V15="Đã xử lý",N($U15)=0,N($B15)=0),"",IF(TDBC&lt;=$B15,0,IF(TDBC&gt;=$U15,1,(TDBC-$B15)/($U15-$B15))))</f>
      </c>
      <c r="Y15" s="223">
        <f>IF($A15="","",IF($V15="Đã xử lý","Hoàn thành",IF(N($U15)=0,"Chưa đặt hạn",IF(TDBC&gt;$U15,"Quá hạn",IF(ROUND((N($X15)-$W15)*100,0)&gt;=20,"Chậm tiến độ",IF($U15-TDBC&lt;=1,"Sắp đến hạn","Đúng tiến độ"))))))</f>
      </c>
      <c r="Z15" s="223">
        <f>IF(OR($A15="",$V15="Đã xử lý",N($U15)=0),"",IF(TDBC&gt;$U15,"Quá "&amp;IF(((TDBC-$U15)*24)&lt;1,MAX(1,ROUND(((TDBC-$U15)*24)*60,0))&amp;" phút",IF(ROUND(((TDBC-$U15)*24),0)&lt;24,ROUND(((TDBC-$U15)*24),0)&amp;" giờ",INT(ROUND(((TDBC-$U15)*24),0)/24)&amp;" ngày"&amp;IF(MOD(ROUND(((TDBC-$U15)*24),0),24)&gt;0," "&amp;MOD(ROUND(((TDBC-$U15)*24),0),24)&amp;" giờ",""))),"Còn "&amp;IF((($U15-TDBC)*24)&lt;1,MAX(1,ROUND((($U15-TDBC)*24)*60,0))&amp;" phút",IF(ROUND((($U15-TDBC)*24),0)&lt;24,ROUND((($U15-TDBC)*24),0)&amp;" giờ",INT(ROUND((($U15-TDBC)*24),0)/24)&amp;" ngày"&amp;IF(MOD(ROUND((($U15-TDBC)*24),0),24)&gt;0," "&amp;MOD(ROUND((($U15-TDBC)*24),0),24)&amp;" giờ","")))))</f>
      </c>
      <c r="AA15" s="220">
        <f>IF($V15="Đã xử lý",_xlfn.MAXIFS('Nhật ký tiến độ'!$B$6:$B$3005,'Nhật ký tiến độ'!$C$6:$C$3005,$A15,'Nhật ký tiến độ'!$E$6:$E$3005,"Đã xử lý"),"")</f>
      </c>
      <c r="AB15" s="223">
        <f>IF($AI15="","",IF($AI15&lt;1,MAX(1,ROUND($AI15*60,0))&amp;" phút",IF(ROUND($AI15,0)&lt;24,ROUND($AI15,0)&amp;" giờ",INT(ROUND($AI15,0)/24)&amp;" ngày"&amp;IF(MOD(ROUND($AI15,0),24)&gt;0," "&amp;MOD(ROUND($AI15,0),24)&amp;" giờ",""))))</f>
      </c>
      <c r="AC15" s="223">
        <f>IF(OR($A15="",N($AH15)=0),"",IF($AI15&lt;&gt;"",IF($AI15&lt;=$AH15,"Trong ước tính","Vượt "&amp;IF(($AI15-$AH15)&lt;1,MAX(1,ROUND(($AI15-$AH15)*60,0))&amp;" phút",IF(ROUND(($AI15-$AH15),0)&lt;24,ROUND(($AI15-$AH15),0)&amp;" giờ",INT(ROUND(($AI15-$AH15),0)/24)&amp;" ngày"&amp;IF(MOD(ROUND(($AI15-$AH15),0),24)&gt;0," "&amp;MOD(ROUND(($AI15-$AH15),0),24)&amp;" giờ","")))),IF(OR($V15="Đã xử lý",N($B15)=0),"",IF((TDBC-$B15)*24&gt;$AH15,"Đã vượt ước tính","Đã dùng "&amp;TEXT((TDBC-$B15)*24/$AH15,"0%")))))</f>
      </c>
      <c r="AD15" s="223">
        <f>IF(N($AO15)=0,"",CHOOSE($AO15,"Nhắc nhở","Cảnh báo","Báo động","Báo động đỏ"))</f>
      </c>
      <c r="AE15" s="223">
        <f>IF(OR(N($AA15)=0,N($U15)=0),"",IF($AA15&lt;=$U15,"Đúng hạn","Trễ hạn"))</f>
      </c>
      <c r="AF15" s="220">
        <f>IF($A15="","",_xlfn.MAXIFS('Nhật ký tiến độ'!$B$6:$B$3005,'Nhật ký tiến độ'!$C$6:$C$3005,$A15))</f>
      </c>
      <c r="AG15" s="223">
        <f>IF($A15="","",IF(COUNTIF('Kế hoạch'!$M$6:$M$305,$A15)=0,"",COUNTIF('Kế hoạch'!$M$6:$M$305,$A15)&amp;" việc"))</f>
      </c>
      <c r="AH15" s="224">
        <f>IF(OR($A15="",N($O15)&lt;=0),"",IF($P15="Giờ",$O15,$O15*24))</f>
      </c>
      <c r="AI15" s="224">
        <f>IF(OR(N($AA15)=0,N($B15)=0),"",IF($AA15&lt;$B15,"",($AA15-$B15)*24))</f>
      </c>
      <c r="AJ15" s="225">
        <f>IF($A15="","",IF(COUNTIF('Nhật ký tiến độ'!$C$6:$C$3005,$A15)=0,0,_xlfn.MAXIFS('Nhật ký tiến độ'!$N$6:$N$3005,'Nhật ký tiến độ'!$C$6:$C$3005,$A15,'Nhật ký tiến độ'!$B$6:$B$3005,_xlfn.MAXIFS('Nhật ký tiến độ'!$B$6:$B$3005,'Nhật ký tiến độ'!$C$6:$C$3005,$A15))))</f>
      </c>
      <c r="AK15" s="225">
        <f>IF(OR($A15="",$V15="Đã xử lý"),"",IF(N($AO15)&gt;0,5-$AO15,IF($J15="Khẩn cấp",5,IF($Y15="Chậm tiến độ",6,IF(OR($Y15="Sắp đến hạn",$J15="Cao"),7,"")))))</f>
      </c>
      <c r="AL15" s="225">
        <f>IF($AK15="","",$AK15*100000+IF(N($U15)=0,99999,INT($U15))+ROW()/100000)</f>
      </c>
      <c r="AM15" s="225">
        <f>IF(OR($A15="",TRIM($K15)="",COUNTIF($K$6:$K15,$K15)&gt;1),0,1)</f>
      </c>
      <c r="AN15" s="225">
        <f>IF($AM15=1,SUM($AM$6:$AM15),"")</f>
      </c>
      <c r="AO15" s="225">
        <f>IF(OR($A15="",$V15="Đã xử lý",N($U15)=0),0,IF(TDBC&lt;=$U15,0,MAX(1,MIN(4,IF((TDBC-$U15)*24&lt;24,1,IF((TDBC-$U15)*24&lt;72,2,IF((TDBC-$U15)*24&lt;168,3,4)))+IFERROR(INDEX({2,1,0,-1},MATCH($J15,{"Khẩn cấp","Cao","Trung bình","Thấp"},0)),0)))))</f>
      </c>
    </row>
    <row r="16">
      <c r="A16" s="216"/>
      <c r="B16" s="217"/>
      <c r="C16" s="218"/>
      <c r="D16" s="218"/>
      <c r="E16" s="218"/>
      <c r="F16" s="218"/>
      <c r="G16" s="216"/>
      <c r="H16" s="218"/>
      <c r="I16" s="218"/>
      <c r="J16" s="216"/>
      <c r="K16" s="218"/>
      <c r="L16" s="218"/>
      <c r="M16" s="218"/>
      <c r="N16" s="218"/>
      <c r="O16" s="219"/>
      <c r="P16" s="216"/>
      <c r="Q16" s="217"/>
      <c r="R16" s="216"/>
      <c r="S16" s="218"/>
      <c r="T16" s="218"/>
      <c r="U16" s="220">
        <f>IF($A16="","",IF(N($Q16)&gt;0,IF(MOD($Q16,1)=0,$Q16+1-1/1440,$Q16),IF(N($B16)=0,"",$B16+IF(N($AH16)&gt;0,$AH16,IFERROR(INDEX(DM_SLA_Gio,MATCH($J16,DM_SLA_Cap,0)),168))/24)))</f>
      </c>
      <c r="V16" s="221">
        <f>IF($A16="","",IF(N($AJ16)=0,"Mới tiếp nhận",INDEX('Nhật ký tiến độ'!$E:$E,$AJ16)))</f>
      </c>
      <c r="W16" s="222">
        <f>IF($A16="","",IF($V16="Đã xử lý",1,IF(N($AJ16)=0,0,N(INDEX('Nhật ký tiến độ'!$D:$D,$AJ16)))))</f>
      </c>
      <c r="X16" s="222">
        <f>IF(OR($A16="",$V16="Đã xử lý",N($U16)=0,N($B16)=0),"",IF(TDBC&lt;=$B16,0,IF(TDBC&gt;=$U16,1,(TDBC-$B16)/($U16-$B16))))</f>
      </c>
      <c r="Y16" s="223">
        <f>IF($A16="","",IF($V16="Đã xử lý","Hoàn thành",IF(N($U16)=0,"Chưa đặt hạn",IF(TDBC&gt;$U16,"Quá hạn",IF(ROUND((N($X16)-$W16)*100,0)&gt;=20,"Chậm tiến độ",IF($U16-TDBC&lt;=1,"Sắp đến hạn","Đúng tiến độ"))))))</f>
      </c>
      <c r="Z16" s="223">
        <f>IF(OR($A16="",$V16="Đã xử lý",N($U16)=0),"",IF(TDBC&gt;$U16,"Quá "&amp;IF(((TDBC-$U16)*24)&lt;1,MAX(1,ROUND(((TDBC-$U16)*24)*60,0))&amp;" phút",IF(ROUND(((TDBC-$U16)*24),0)&lt;24,ROUND(((TDBC-$U16)*24),0)&amp;" giờ",INT(ROUND(((TDBC-$U16)*24),0)/24)&amp;" ngày"&amp;IF(MOD(ROUND(((TDBC-$U16)*24),0),24)&gt;0," "&amp;MOD(ROUND(((TDBC-$U16)*24),0),24)&amp;" giờ",""))),"Còn "&amp;IF((($U16-TDBC)*24)&lt;1,MAX(1,ROUND((($U16-TDBC)*24)*60,0))&amp;" phút",IF(ROUND((($U16-TDBC)*24),0)&lt;24,ROUND((($U16-TDBC)*24),0)&amp;" giờ",INT(ROUND((($U16-TDBC)*24),0)/24)&amp;" ngày"&amp;IF(MOD(ROUND((($U16-TDBC)*24),0),24)&gt;0," "&amp;MOD(ROUND((($U16-TDBC)*24),0),24)&amp;" giờ","")))))</f>
      </c>
      <c r="AA16" s="220">
        <f>IF($V16="Đã xử lý",_xlfn.MAXIFS('Nhật ký tiến độ'!$B$6:$B$3005,'Nhật ký tiến độ'!$C$6:$C$3005,$A16,'Nhật ký tiến độ'!$E$6:$E$3005,"Đã xử lý"),"")</f>
      </c>
      <c r="AB16" s="223">
        <f>IF($AI16="","",IF($AI16&lt;1,MAX(1,ROUND($AI16*60,0))&amp;" phút",IF(ROUND($AI16,0)&lt;24,ROUND($AI16,0)&amp;" giờ",INT(ROUND($AI16,0)/24)&amp;" ngày"&amp;IF(MOD(ROUND($AI16,0),24)&gt;0," "&amp;MOD(ROUND($AI16,0),24)&amp;" giờ",""))))</f>
      </c>
      <c r="AC16" s="223">
        <f>IF(OR($A16="",N($AH16)=0),"",IF($AI16&lt;&gt;"",IF($AI16&lt;=$AH16,"Trong ước tính","Vượt "&amp;IF(($AI16-$AH16)&lt;1,MAX(1,ROUND(($AI16-$AH16)*60,0))&amp;" phút",IF(ROUND(($AI16-$AH16),0)&lt;24,ROUND(($AI16-$AH16),0)&amp;" giờ",INT(ROUND(($AI16-$AH16),0)/24)&amp;" ngày"&amp;IF(MOD(ROUND(($AI16-$AH16),0),24)&gt;0," "&amp;MOD(ROUND(($AI16-$AH16),0),24)&amp;" giờ","")))),IF(OR($V16="Đã xử lý",N($B16)=0),"",IF((TDBC-$B16)*24&gt;$AH16,"Đã vượt ước tính","Đã dùng "&amp;TEXT((TDBC-$B16)*24/$AH16,"0%")))))</f>
      </c>
      <c r="AD16" s="223">
        <f>IF(N($AO16)=0,"",CHOOSE($AO16,"Nhắc nhở","Cảnh báo","Báo động","Báo động đỏ"))</f>
      </c>
      <c r="AE16" s="223">
        <f>IF(OR(N($AA16)=0,N($U16)=0),"",IF($AA16&lt;=$U16,"Đúng hạn","Trễ hạn"))</f>
      </c>
      <c r="AF16" s="220">
        <f>IF($A16="","",_xlfn.MAXIFS('Nhật ký tiến độ'!$B$6:$B$3005,'Nhật ký tiến độ'!$C$6:$C$3005,$A16))</f>
      </c>
      <c r="AG16" s="223">
        <f>IF($A16="","",IF(COUNTIF('Kế hoạch'!$M$6:$M$305,$A16)=0,"",COUNTIF('Kế hoạch'!$M$6:$M$305,$A16)&amp;" việc"))</f>
      </c>
      <c r="AH16" s="224">
        <f>IF(OR($A16="",N($O16)&lt;=0),"",IF($P16="Giờ",$O16,$O16*24))</f>
      </c>
      <c r="AI16" s="224">
        <f>IF(OR(N($AA16)=0,N($B16)=0),"",IF($AA16&lt;$B16,"",($AA16-$B16)*24))</f>
      </c>
      <c r="AJ16" s="225">
        <f>IF($A16="","",IF(COUNTIF('Nhật ký tiến độ'!$C$6:$C$3005,$A16)=0,0,_xlfn.MAXIFS('Nhật ký tiến độ'!$N$6:$N$3005,'Nhật ký tiến độ'!$C$6:$C$3005,$A16,'Nhật ký tiến độ'!$B$6:$B$3005,_xlfn.MAXIFS('Nhật ký tiến độ'!$B$6:$B$3005,'Nhật ký tiến độ'!$C$6:$C$3005,$A16))))</f>
      </c>
      <c r="AK16" s="225">
        <f>IF(OR($A16="",$V16="Đã xử lý"),"",IF(N($AO16)&gt;0,5-$AO16,IF($J16="Khẩn cấp",5,IF($Y16="Chậm tiến độ",6,IF(OR($Y16="Sắp đến hạn",$J16="Cao"),7,"")))))</f>
      </c>
      <c r="AL16" s="225">
        <f>IF($AK16="","",$AK16*100000+IF(N($U16)=0,99999,INT($U16))+ROW()/100000)</f>
      </c>
      <c r="AM16" s="225">
        <f>IF(OR($A16="",TRIM($K16)="",COUNTIF($K$6:$K16,$K16)&gt;1),0,1)</f>
      </c>
      <c r="AN16" s="225">
        <f>IF($AM16=1,SUM($AM$6:$AM16),"")</f>
      </c>
      <c r="AO16" s="225">
        <f>IF(OR($A16="",$V16="Đã xử lý",N($U16)=0),0,IF(TDBC&lt;=$U16,0,MAX(1,MIN(4,IF((TDBC-$U16)*24&lt;24,1,IF((TDBC-$U16)*24&lt;72,2,IF((TDBC-$U16)*24&lt;168,3,4)))+IFERROR(INDEX({2,1,0,-1},MATCH($J16,{"Khẩn cấp","Cao","Trung bình","Thấp"},0)),0)))))</f>
      </c>
    </row>
    <row r="17">
      <c r="A17" s="216"/>
      <c r="B17" s="217"/>
      <c r="C17" s="218"/>
      <c r="D17" s="218"/>
      <c r="E17" s="218"/>
      <c r="F17" s="218"/>
      <c r="G17" s="216"/>
      <c r="H17" s="218"/>
      <c r="I17" s="218"/>
      <c r="J17" s="216"/>
      <c r="K17" s="218"/>
      <c r="L17" s="218"/>
      <c r="M17" s="218"/>
      <c r="N17" s="218"/>
      <c r="O17" s="219"/>
      <c r="P17" s="216"/>
      <c r="Q17" s="217"/>
      <c r="R17" s="216"/>
      <c r="S17" s="218"/>
      <c r="T17" s="218"/>
      <c r="U17" s="220">
        <f>IF($A17="","",IF(N($Q17)&gt;0,IF(MOD($Q17,1)=0,$Q17+1-1/1440,$Q17),IF(N($B17)=0,"",$B17+IF(N($AH17)&gt;0,$AH17,IFERROR(INDEX(DM_SLA_Gio,MATCH($J17,DM_SLA_Cap,0)),168))/24)))</f>
      </c>
      <c r="V17" s="221">
        <f>IF($A17="","",IF(N($AJ17)=0,"Mới tiếp nhận",INDEX('Nhật ký tiến độ'!$E:$E,$AJ17)))</f>
      </c>
      <c r="W17" s="222">
        <f>IF($A17="","",IF($V17="Đã xử lý",1,IF(N($AJ17)=0,0,N(INDEX('Nhật ký tiến độ'!$D:$D,$AJ17)))))</f>
      </c>
      <c r="X17" s="222">
        <f>IF(OR($A17="",$V17="Đã xử lý",N($U17)=0,N($B17)=0),"",IF(TDBC&lt;=$B17,0,IF(TDBC&gt;=$U17,1,(TDBC-$B17)/($U17-$B17))))</f>
      </c>
      <c r="Y17" s="223">
        <f>IF($A17="","",IF($V17="Đã xử lý","Hoàn thành",IF(N($U17)=0,"Chưa đặt hạn",IF(TDBC&gt;$U17,"Quá hạn",IF(ROUND((N($X17)-$W17)*100,0)&gt;=20,"Chậm tiến độ",IF($U17-TDBC&lt;=1,"Sắp đến hạn","Đúng tiến độ"))))))</f>
      </c>
      <c r="Z17" s="223">
        <f>IF(OR($A17="",$V17="Đã xử lý",N($U17)=0),"",IF(TDBC&gt;$U17,"Quá "&amp;IF(((TDBC-$U17)*24)&lt;1,MAX(1,ROUND(((TDBC-$U17)*24)*60,0))&amp;" phút",IF(ROUND(((TDBC-$U17)*24),0)&lt;24,ROUND(((TDBC-$U17)*24),0)&amp;" giờ",INT(ROUND(((TDBC-$U17)*24),0)/24)&amp;" ngày"&amp;IF(MOD(ROUND(((TDBC-$U17)*24),0),24)&gt;0," "&amp;MOD(ROUND(((TDBC-$U17)*24),0),24)&amp;" giờ",""))),"Còn "&amp;IF((($U17-TDBC)*24)&lt;1,MAX(1,ROUND((($U17-TDBC)*24)*60,0))&amp;" phút",IF(ROUND((($U17-TDBC)*24),0)&lt;24,ROUND((($U17-TDBC)*24),0)&amp;" giờ",INT(ROUND((($U17-TDBC)*24),0)/24)&amp;" ngày"&amp;IF(MOD(ROUND((($U17-TDBC)*24),0),24)&gt;0," "&amp;MOD(ROUND((($U17-TDBC)*24),0),24)&amp;" giờ","")))))</f>
      </c>
      <c r="AA17" s="220">
        <f>IF($V17="Đã xử lý",_xlfn.MAXIFS('Nhật ký tiến độ'!$B$6:$B$3005,'Nhật ký tiến độ'!$C$6:$C$3005,$A17,'Nhật ký tiến độ'!$E$6:$E$3005,"Đã xử lý"),"")</f>
      </c>
      <c r="AB17" s="223">
        <f>IF($AI17="","",IF($AI17&lt;1,MAX(1,ROUND($AI17*60,0))&amp;" phút",IF(ROUND($AI17,0)&lt;24,ROUND($AI17,0)&amp;" giờ",INT(ROUND($AI17,0)/24)&amp;" ngày"&amp;IF(MOD(ROUND($AI17,0),24)&gt;0," "&amp;MOD(ROUND($AI17,0),24)&amp;" giờ",""))))</f>
      </c>
      <c r="AC17" s="223">
        <f>IF(OR($A17="",N($AH17)=0),"",IF($AI17&lt;&gt;"",IF($AI17&lt;=$AH17,"Trong ước tính","Vượt "&amp;IF(($AI17-$AH17)&lt;1,MAX(1,ROUND(($AI17-$AH17)*60,0))&amp;" phút",IF(ROUND(($AI17-$AH17),0)&lt;24,ROUND(($AI17-$AH17),0)&amp;" giờ",INT(ROUND(($AI17-$AH17),0)/24)&amp;" ngày"&amp;IF(MOD(ROUND(($AI17-$AH17),0),24)&gt;0," "&amp;MOD(ROUND(($AI17-$AH17),0),24)&amp;" giờ","")))),IF(OR($V17="Đã xử lý",N($B17)=0),"",IF((TDBC-$B17)*24&gt;$AH17,"Đã vượt ước tính","Đã dùng "&amp;TEXT((TDBC-$B17)*24/$AH17,"0%")))))</f>
      </c>
      <c r="AD17" s="223">
        <f>IF(N($AO17)=0,"",CHOOSE($AO17,"Nhắc nhở","Cảnh báo","Báo động","Báo động đỏ"))</f>
      </c>
      <c r="AE17" s="223">
        <f>IF(OR(N($AA17)=0,N($U17)=0),"",IF($AA17&lt;=$U17,"Đúng hạn","Trễ hạn"))</f>
      </c>
      <c r="AF17" s="220">
        <f>IF($A17="","",_xlfn.MAXIFS('Nhật ký tiến độ'!$B$6:$B$3005,'Nhật ký tiến độ'!$C$6:$C$3005,$A17))</f>
      </c>
      <c r="AG17" s="223">
        <f>IF($A17="","",IF(COUNTIF('Kế hoạch'!$M$6:$M$305,$A17)=0,"",COUNTIF('Kế hoạch'!$M$6:$M$305,$A17)&amp;" việc"))</f>
      </c>
      <c r="AH17" s="224">
        <f>IF(OR($A17="",N($O17)&lt;=0),"",IF($P17="Giờ",$O17,$O17*24))</f>
      </c>
      <c r="AI17" s="224">
        <f>IF(OR(N($AA17)=0,N($B17)=0),"",IF($AA17&lt;$B17,"",($AA17-$B17)*24))</f>
      </c>
      <c r="AJ17" s="225">
        <f>IF($A17="","",IF(COUNTIF('Nhật ký tiến độ'!$C$6:$C$3005,$A17)=0,0,_xlfn.MAXIFS('Nhật ký tiến độ'!$N$6:$N$3005,'Nhật ký tiến độ'!$C$6:$C$3005,$A17,'Nhật ký tiến độ'!$B$6:$B$3005,_xlfn.MAXIFS('Nhật ký tiến độ'!$B$6:$B$3005,'Nhật ký tiến độ'!$C$6:$C$3005,$A17))))</f>
      </c>
      <c r="AK17" s="225">
        <f>IF(OR($A17="",$V17="Đã xử lý"),"",IF(N($AO17)&gt;0,5-$AO17,IF($J17="Khẩn cấp",5,IF($Y17="Chậm tiến độ",6,IF(OR($Y17="Sắp đến hạn",$J17="Cao"),7,"")))))</f>
      </c>
      <c r="AL17" s="225">
        <f>IF($AK17="","",$AK17*100000+IF(N($U17)=0,99999,INT($U17))+ROW()/100000)</f>
      </c>
      <c r="AM17" s="225">
        <f>IF(OR($A17="",TRIM($K17)="",COUNTIF($K$6:$K17,$K17)&gt;1),0,1)</f>
      </c>
      <c r="AN17" s="225">
        <f>IF($AM17=1,SUM($AM$6:$AM17),"")</f>
      </c>
      <c r="AO17" s="225">
        <f>IF(OR($A17="",$V17="Đã xử lý",N($U17)=0),0,IF(TDBC&lt;=$U17,0,MAX(1,MIN(4,IF((TDBC-$U17)*24&lt;24,1,IF((TDBC-$U17)*24&lt;72,2,IF((TDBC-$U17)*24&lt;168,3,4)))+IFERROR(INDEX({2,1,0,-1},MATCH($J17,{"Khẩn cấp","Cao","Trung bình","Thấp"},0)),0)))))</f>
      </c>
    </row>
    <row r="18">
      <c r="A18" s="216"/>
      <c r="B18" s="217"/>
      <c r="C18" s="218"/>
      <c r="D18" s="218"/>
      <c r="E18" s="218"/>
      <c r="F18" s="218"/>
      <c r="G18" s="216"/>
      <c r="H18" s="218"/>
      <c r="I18" s="218"/>
      <c r="J18" s="216"/>
      <c r="K18" s="218"/>
      <c r="L18" s="218"/>
      <c r="M18" s="218"/>
      <c r="N18" s="218"/>
      <c r="O18" s="219"/>
      <c r="P18" s="216"/>
      <c r="Q18" s="217"/>
      <c r="R18" s="216"/>
      <c r="S18" s="218"/>
      <c r="T18" s="218"/>
      <c r="U18" s="220">
        <f>IF($A18="","",IF(N($Q18)&gt;0,IF(MOD($Q18,1)=0,$Q18+1-1/1440,$Q18),IF(N($B18)=0,"",$B18+IF(N($AH18)&gt;0,$AH18,IFERROR(INDEX(DM_SLA_Gio,MATCH($J18,DM_SLA_Cap,0)),168))/24)))</f>
      </c>
      <c r="V18" s="221">
        <f>IF($A18="","",IF(N($AJ18)=0,"Mới tiếp nhận",INDEX('Nhật ký tiến độ'!$E:$E,$AJ18)))</f>
      </c>
      <c r="W18" s="222">
        <f>IF($A18="","",IF($V18="Đã xử lý",1,IF(N($AJ18)=0,0,N(INDEX('Nhật ký tiến độ'!$D:$D,$AJ18)))))</f>
      </c>
      <c r="X18" s="222">
        <f>IF(OR($A18="",$V18="Đã xử lý",N($U18)=0,N($B18)=0),"",IF(TDBC&lt;=$B18,0,IF(TDBC&gt;=$U18,1,(TDBC-$B18)/($U18-$B18))))</f>
      </c>
      <c r="Y18" s="223">
        <f>IF($A18="","",IF($V18="Đã xử lý","Hoàn thành",IF(N($U18)=0,"Chưa đặt hạn",IF(TDBC&gt;$U18,"Quá hạn",IF(ROUND((N($X18)-$W18)*100,0)&gt;=20,"Chậm tiến độ",IF($U18-TDBC&lt;=1,"Sắp đến hạn","Đúng tiến độ"))))))</f>
      </c>
      <c r="Z18" s="223">
        <f>IF(OR($A18="",$V18="Đã xử lý",N($U18)=0),"",IF(TDBC&gt;$U18,"Quá "&amp;IF(((TDBC-$U18)*24)&lt;1,MAX(1,ROUND(((TDBC-$U18)*24)*60,0))&amp;" phút",IF(ROUND(((TDBC-$U18)*24),0)&lt;24,ROUND(((TDBC-$U18)*24),0)&amp;" giờ",INT(ROUND(((TDBC-$U18)*24),0)/24)&amp;" ngày"&amp;IF(MOD(ROUND(((TDBC-$U18)*24),0),24)&gt;0," "&amp;MOD(ROUND(((TDBC-$U18)*24),0),24)&amp;" giờ",""))),"Còn "&amp;IF((($U18-TDBC)*24)&lt;1,MAX(1,ROUND((($U18-TDBC)*24)*60,0))&amp;" phút",IF(ROUND((($U18-TDBC)*24),0)&lt;24,ROUND((($U18-TDBC)*24),0)&amp;" giờ",INT(ROUND((($U18-TDBC)*24),0)/24)&amp;" ngày"&amp;IF(MOD(ROUND((($U18-TDBC)*24),0),24)&gt;0," "&amp;MOD(ROUND((($U18-TDBC)*24),0),24)&amp;" giờ","")))))</f>
      </c>
      <c r="AA18" s="220">
        <f>IF($V18="Đã xử lý",_xlfn.MAXIFS('Nhật ký tiến độ'!$B$6:$B$3005,'Nhật ký tiến độ'!$C$6:$C$3005,$A18,'Nhật ký tiến độ'!$E$6:$E$3005,"Đã xử lý"),"")</f>
      </c>
      <c r="AB18" s="223">
        <f>IF($AI18="","",IF($AI18&lt;1,MAX(1,ROUND($AI18*60,0))&amp;" phút",IF(ROUND($AI18,0)&lt;24,ROUND($AI18,0)&amp;" giờ",INT(ROUND($AI18,0)/24)&amp;" ngày"&amp;IF(MOD(ROUND($AI18,0),24)&gt;0," "&amp;MOD(ROUND($AI18,0),24)&amp;" giờ",""))))</f>
      </c>
      <c r="AC18" s="223">
        <f>IF(OR($A18="",N($AH18)=0),"",IF($AI18&lt;&gt;"",IF($AI18&lt;=$AH18,"Trong ước tính","Vượt "&amp;IF(($AI18-$AH18)&lt;1,MAX(1,ROUND(($AI18-$AH18)*60,0))&amp;" phút",IF(ROUND(($AI18-$AH18),0)&lt;24,ROUND(($AI18-$AH18),0)&amp;" giờ",INT(ROUND(($AI18-$AH18),0)/24)&amp;" ngày"&amp;IF(MOD(ROUND(($AI18-$AH18),0),24)&gt;0," "&amp;MOD(ROUND(($AI18-$AH18),0),24)&amp;" giờ","")))),IF(OR($V18="Đã xử lý",N($B18)=0),"",IF((TDBC-$B18)*24&gt;$AH18,"Đã vượt ước tính","Đã dùng "&amp;TEXT((TDBC-$B18)*24/$AH18,"0%")))))</f>
      </c>
      <c r="AD18" s="223">
        <f>IF(N($AO18)=0,"",CHOOSE($AO18,"Nhắc nhở","Cảnh báo","Báo động","Báo động đỏ"))</f>
      </c>
      <c r="AE18" s="223">
        <f>IF(OR(N($AA18)=0,N($U18)=0),"",IF($AA18&lt;=$U18,"Đúng hạn","Trễ hạn"))</f>
      </c>
      <c r="AF18" s="220">
        <f>IF($A18="","",_xlfn.MAXIFS('Nhật ký tiến độ'!$B$6:$B$3005,'Nhật ký tiến độ'!$C$6:$C$3005,$A18))</f>
      </c>
      <c r="AG18" s="223">
        <f>IF($A18="","",IF(COUNTIF('Kế hoạch'!$M$6:$M$305,$A18)=0,"",COUNTIF('Kế hoạch'!$M$6:$M$305,$A18)&amp;" việc"))</f>
      </c>
      <c r="AH18" s="224">
        <f>IF(OR($A18="",N($O18)&lt;=0),"",IF($P18="Giờ",$O18,$O18*24))</f>
      </c>
      <c r="AI18" s="224">
        <f>IF(OR(N($AA18)=0,N($B18)=0),"",IF($AA18&lt;$B18,"",($AA18-$B18)*24))</f>
      </c>
      <c r="AJ18" s="225">
        <f>IF($A18="","",IF(COUNTIF('Nhật ký tiến độ'!$C$6:$C$3005,$A18)=0,0,_xlfn.MAXIFS('Nhật ký tiến độ'!$N$6:$N$3005,'Nhật ký tiến độ'!$C$6:$C$3005,$A18,'Nhật ký tiến độ'!$B$6:$B$3005,_xlfn.MAXIFS('Nhật ký tiến độ'!$B$6:$B$3005,'Nhật ký tiến độ'!$C$6:$C$3005,$A18))))</f>
      </c>
      <c r="AK18" s="225">
        <f>IF(OR($A18="",$V18="Đã xử lý"),"",IF(N($AO18)&gt;0,5-$AO18,IF($J18="Khẩn cấp",5,IF($Y18="Chậm tiến độ",6,IF(OR($Y18="Sắp đến hạn",$J18="Cao"),7,"")))))</f>
      </c>
      <c r="AL18" s="225">
        <f>IF($AK18="","",$AK18*100000+IF(N($U18)=0,99999,INT($U18))+ROW()/100000)</f>
      </c>
      <c r="AM18" s="225">
        <f>IF(OR($A18="",TRIM($K18)="",COUNTIF($K$6:$K18,$K18)&gt;1),0,1)</f>
      </c>
      <c r="AN18" s="225">
        <f>IF($AM18=1,SUM($AM$6:$AM18),"")</f>
      </c>
      <c r="AO18" s="225">
        <f>IF(OR($A18="",$V18="Đã xử lý",N($U18)=0),0,IF(TDBC&lt;=$U18,0,MAX(1,MIN(4,IF((TDBC-$U18)*24&lt;24,1,IF((TDBC-$U18)*24&lt;72,2,IF((TDBC-$U18)*24&lt;168,3,4)))+IFERROR(INDEX({2,1,0,-1},MATCH($J18,{"Khẩn cấp","Cao","Trung bình","Thấp"},0)),0)))))</f>
      </c>
    </row>
    <row r="19">
      <c r="A19" s="216"/>
      <c r="B19" s="217"/>
      <c r="C19" s="218"/>
      <c r="D19" s="218"/>
      <c r="E19" s="218"/>
      <c r="F19" s="218"/>
      <c r="G19" s="216"/>
      <c r="H19" s="218"/>
      <c r="I19" s="218"/>
      <c r="J19" s="216"/>
      <c r="K19" s="218"/>
      <c r="L19" s="218"/>
      <c r="M19" s="218"/>
      <c r="N19" s="218"/>
      <c r="O19" s="219"/>
      <c r="P19" s="216"/>
      <c r="Q19" s="217"/>
      <c r="R19" s="216"/>
      <c r="S19" s="218"/>
      <c r="T19" s="218"/>
      <c r="U19" s="220">
        <f>IF($A19="","",IF(N($Q19)&gt;0,IF(MOD($Q19,1)=0,$Q19+1-1/1440,$Q19),IF(N($B19)=0,"",$B19+IF(N($AH19)&gt;0,$AH19,IFERROR(INDEX(DM_SLA_Gio,MATCH($J19,DM_SLA_Cap,0)),168))/24)))</f>
      </c>
      <c r="V19" s="221">
        <f>IF($A19="","",IF(N($AJ19)=0,"Mới tiếp nhận",INDEX('Nhật ký tiến độ'!$E:$E,$AJ19)))</f>
      </c>
      <c r="W19" s="222">
        <f>IF($A19="","",IF($V19="Đã xử lý",1,IF(N($AJ19)=0,0,N(INDEX('Nhật ký tiến độ'!$D:$D,$AJ19)))))</f>
      </c>
      <c r="X19" s="222">
        <f>IF(OR($A19="",$V19="Đã xử lý",N($U19)=0,N($B19)=0),"",IF(TDBC&lt;=$B19,0,IF(TDBC&gt;=$U19,1,(TDBC-$B19)/($U19-$B19))))</f>
      </c>
      <c r="Y19" s="223">
        <f>IF($A19="","",IF($V19="Đã xử lý","Hoàn thành",IF(N($U19)=0,"Chưa đặt hạn",IF(TDBC&gt;$U19,"Quá hạn",IF(ROUND((N($X19)-$W19)*100,0)&gt;=20,"Chậm tiến độ",IF($U19-TDBC&lt;=1,"Sắp đến hạn","Đúng tiến độ"))))))</f>
      </c>
      <c r="Z19" s="223">
        <f>IF(OR($A19="",$V19="Đã xử lý",N($U19)=0),"",IF(TDBC&gt;$U19,"Quá "&amp;IF(((TDBC-$U19)*24)&lt;1,MAX(1,ROUND(((TDBC-$U19)*24)*60,0))&amp;" phút",IF(ROUND(((TDBC-$U19)*24),0)&lt;24,ROUND(((TDBC-$U19)*24),0)&amp;" giờ",INT(ROUND(((TDBC-$U19)*24),0)/24)&amp;" ngày"&amp;IF(MOD(ROUND(((TDBC-$U19)*24),0),24)&gt;0," "&amp;MOD(ROUND(((TDBC-$U19)*24),0),24)&amp;" giờ",""))),"Còn "&amp;IF((($U19-TDBC)*24)&lt;1,MAX(1,ROUND((($U19-TDBC)*24)*60,0))&amp;" phút",IF(ROUND((($U19-TDBC)*24),0)&lt;24,ROUND((($U19-TDBC)*24),0)&amp;" giờ",INT(ROUND((($U19-TDBC)*24),0)/24)&amp;" ngày"&amp;IF(MOD(ROUND((($U19-TDBC)*24),0),24)&gt;0," "&amp;MOD(ROUND((($U19-TDBC)*24),0),24)&amp;" giờ","")))))</f>
      </c>
      <c r="AA19" s="220">
        <f>IF($V19="Đã xử lý",_xlfn.MAXIFS('Nhật ký tiến độ'!$B$6:$B$3005,'Nhật ký tiến độ'!$C$6:$C$3005,$A19,'Nhật ký tiến độ'!$E$6:$E$3005,"Đã xử lý"),"")</f>
      </c>
      <c r="AB19" s="223">
        <f>IF($AI19="","",IF($AI19&lt;1,MAX(1,ROUND($AI19*60,0))&amp;" phút",IF(ROUND($AI19,0)&lt;24,ROUND($AI19,0)&amp;" giờ",INT(ROUND($AI19,0)/24)&amp;" ngày"&amp;IF(MOD(ROUND($AI19,0),24)&gt;0," "&amp;MOD(ROUND($AI19,0),24)&amp;" giờ",""))))</f>
      </c>
      <c r="AC19" s="223">
        <f>IF(OR($A19="",N($AH19)=0),"",IF($AI19&lt;&gt;"",IF($AI19&lt;=$AH19,"Trong ước tính","Vượt "&amp;IF(($AI19-$AH19)&lt;1,MAX(1,ROUND(($AI19-$AH19)*60,0))&amp;" phút",IF(ROUND(($AI19-$AH19),0)&lt;24,ROUND(($AI19-$AH19),0)&amp;" giờ",INT(ROUND(($AI19-$AH19),0)/24)&amp;" ngày"&amp;IF(MOD(ROUND(($AI19-$AH19),0),24)&gt;0," "&amp;MOD(ROUND(($AI19-$AH19),0),24)&amp;" giờ","")))),IF(OR($V19="Đã xử lý",N($B19)=0),"",IF((TDBC-$B19)*24&gt;$AH19,"Đã vượt ước tính","Đã dùng "&amp;TEXT((TDBC-$B19)*24/$AH19,"0%")))))</f>
      </c>
      <c r="AD19" s="223">
        <f>IF(N($AO19)=0,"",CHOOSE($AO19,"Nhắc nhở","Cảnh báo","Báo động","Báo động đỏ"))</f>
      </c>
      <c r="AE19" s="223">
        <f>IF(OR(N($AA19)=0,N($U19)=0),"",IF($AA19&lt;=$U19,"Đúng hạn","Trễ hạn"))</f>
      </c>
      <c r="AF19" s="220">
        <f>IF($A19="","",_xlfn.MAXIFS('Nhật ký tiến độ'!$B$6:$B$3005,'Nhật ký tiến độ'!$C$6:$C$3005,$A19))</f>
      </c>
      <c r="AG19" s="223">
        <f>IF($A19="","",IF(COUNTIF('Kế hoạch'!$M$6:$M$305,$A19)=0,"",COUNTIF('Kế hoạch'!$M$6:$M$305,$A19)&amp;" việc"))</f>
      </c>
      <c r="AH19" s="224">
        <f>IF(OR($A19="",N($O19)&lt;=0),"",IF($P19="Giờ",$O19,$O19*24))</f>
      </c>
      <c r="AI19" s="224">
        <f>IF(OR(N($AA19)=0,N($B19)=0),"",IF($AA19&lt;$B19,"",($AA19-$B19)*24))</f>
      </c>
      <c r="AJ19" s="225">
        <f>IF($A19="","",IF(COUNTIF('Nhật ký tiến độ'!$C$6:$C$3005,$A19)=0,0,_xlfn.MAXIFS('Nhật ký tiến độ'!$N$6:$N$3005,'Nhật ký tiến độ'!$C$6:$C$3005,$A19,'Nhật ký tiến độ'!$B$6:$B$3005,_xlfn.MAXIFS('Nhật ký tiến độ'!$B$6:$B$3005,'Nhật ký tiến độ'!$C$6:$C$3005,$A19))))</f>
      </c>
      <c r="AK19" s="225">
        <f>IF(OR($A19="",$V19="Đã xử lý"),"",IF(N($AO19)&gt;0,5-$AO19,IF($J19="Khẩn cấp",5,IF($Y19="Chậm tiến độ",6,IF(OR($Y19="Sắp đến hạn",$J19="Cao"),7,"")))))</f>
      </c>
      <c r="AL19" s="225">
        <f>IF($AK19="","",$AK19*100000+IF(N($U19)=0,99999,INT($U19))+ROW()/100000)</f>
      </c>
      <c r="AM19" s="225">
        <f>IF(OR($A19="",TRIM($K19)="",COUNTIF($K$6:$K19,$K19)&gt;1),0,1)</f>
      </c>
      <c r="AN19" s="225">
        <f>IF($AM19=1,SUM($AM$6:$AM19),"")</f>
      </c>
      <c r="AO19" s="225">
        <f>IF(OR($A19="",$V19="Đã xử lý",N($U19)=0),0,IF(TDBC&lt;=$U19,0,MAX(1,MIN(4,IF((TDBC-$U19)*24&lt;24,1,IF((TDBC-$U19)*24&lt;72,2,IF((TDBC-$U19)*24&lt;168,3,4)))+IFERROR(INDEX({2,1,0,-1},MATCH($J19,{"Khẩn cấp","Cao","Trung bình","Thấp"},0)),0)))))</f>
      </c>
    </row>
    <row r="20">
      <c r="A20" s="216"/>
      <c r="B20" s="217"/>
      <c r="C20" s="218"/>
      <c r="D20" s="218"/>
      <c r="E20" s="218"/>
      <c r="F20" s="218"/>
      <c r="G20" s="216"/>
      <c r="H20" s="218"/>
      <c r="I20" s="218"/>
      <c r="J20" s="216"/>
      <c r="K20" s="218"/>
      <c r="L20" s="218"/>
      <c r="M20" s="218"/>
      <c r="N20" s="218"/>
      <c r="O20" s="219"/>
      <c r="P20" s="216"/>
      <c r="Q20" s="217"/>
      <c r="R20" s="216"/>
      <c r="S20" s="218"/>
      <c r="T20" s="218"/>
      <c r="U20" s="220">
        <f>IF($A20="","",IF(N($Q20)&gt;0,IF(MOD($Q20,1)=0,$Q20+1-1/1440,$Q20),IF(N($B20)=0,"",$B20+IF(N($AH20)&gt;0,$AH20,IFERROR(INDEX(DM_SLA_Gio,MATCH($J20,DM_SLA_Cap,0)),168))/24)))</f>
      </c>
      <c r="V20" s="221">
        <f>IF($A20="","",IF(N($AJ20)=0,"Mới tiếp nhận",INDEX('Nhật ký tiến độ'!$E:$E,$AJ20)))</f>
      </c>
      <c r="W20" s="222">
        <f>IF($A20="","",IF($V20="Đã xử lý",1,IF(N($AJ20)=0,0,N(INDEX('Nhật ký tiến độ'!$D:$D,$AJ20)))))</f>
      </c>
      <c r="X20" s="222">
        <f>IF(OR($A20="",$V20="Đã xử lý",N($U20)=0,N($B20)=0),"",IF(TDBC&lt;=$B20,0,IF(TDBC&gt;=$U20,1,(TDBC-$B20)/($U20-$B20))))</f>
      </c>
      <c r="Y20" s="223">
        <f>IF($A20="","",IF($V20="Đã xử lý","Hoàn thành",IF(N($U20)=0,"Chưa đặt hạn",IF(TDBC&gt;$U20,"Quá hạn",IF(ROUND((N($X20)-$W20)*100,0)&gt;=20,"Chậm tiến độ",IF($U20-TDBC&lt;=1,"Sắp đến hạn","Đúng tiến độ"))))))</f>
      </c>
      <c r="Z20" s="223">
        <f>IF(OR($A20="",$V20="Đã xử lý",N($U20)=0),"",IF(TDBC&gt;$U20,"Quá "&amp;IF(((TDBC-$U20)*24)&lt;1,MAX(1,ROUND(((TDBC-$U20)*24)*60,0))&amp;" phút",IF(ROUND(((TDBC-$U20)*24),0)&lt;24,ROUND(((TDBC-$U20)*24),0)&amp;" giờ",INT(ROUND(((TDBC-$U20)*24),0)/24)&amp;" ngày"&amp;IF(MOD(ROUND(((TDBC-$U20)*24),0),24)&gt;0," "&amp;MOD(ROUND(((TDBC-$U20)*24),0),24)&amp;" giờ",""))),"Còn "&amp;IF((($U20-TDBC)*24)&lt;1,MAX(1,ROUND((($U20-TDBC)*24)*60,0))&amp;" phút",IF(ROUND((($U20-TDBC)*24),0)&lt;24,ROUND((($U20-TDBC)*24),0)&amp;" giờ",INT(ROUND((($U20-TDBC)*24),0)/24)&amp;" ngày"&amp;IF(MOD(ROUND((($U20-TDBC)*24),0),24)&gt;0," "&amp;MOD(ROUND((($U20-TDBC)*24),0),24)&amp;" giờ","")))))</f>
      </c>
      <c r="AA20" s="220">
        <f>IF($V20="Đã xử lý",_xlfn.MAXIFS('Nhật ký tiến độ'!$B$6:$B$3005,'Nhật ký tiến độ'!$C$6:$C$3005,$A20,'Nhật ký tiến độ'!$E$6:$E$3005,"Đã xử lý"),"")</f>
      </c>
      <c r="AB20" s="223">
        <f>IF($AI20="","",IF($AI20&lt;1,MAX(1,ROUND($AI20*60,0))&amp;" phút",IF(ROUND($AI20,0)&lt;24,ROUND($AI20,0)&amp;" giờ",INT(ROUND($AI20,0)/24)&amp;" ngày"&amp;IF(MOD(ROUND($AI20,0),24)&gt;0," "&amp;MOD(ROUND($AI20,0),24)&amp;" giờ",""))))</f>
      </c>
      <c r="AC20" s="223">
        <f>IF(OR($A20="",N($AH20)=0),"",IF($AI20&lt;&gt;"",IF($AI20&lt;=$AH20,"Trong ước tính","Vượt "&amp;IF(($AI20-$AH20)&lt;1,MAX(1,ROUND(($AI20-$AH20)*60,0))&amp;" phút",IF(ROUND(($AI20-$AH20),0)&lt;24,ROUND(($AI20-$AH20),0)&amp;" giờ",INT(ROUND(($AI20-$AH20),0)/24)&amp;" ngày"&amp;IF(MOD(ROUND(($AI20-$AH20),0),24)&gt;0," "&amp;MOD(ROUND(($AI20-$AH20),0),24)&amp;" giờ","")))),IF(OR($V20="Đã xử lý",N($B20)=0),"",IF((TDBC-$B20)*24&gt;$AH20,"Đã vượt ước tính","Đã dùng "&amp;TEXT((TDBC-$B20)*24/$AH20,"0%")))))</f>
      </c>
      <c r="AD20" s="223">
        <f>IF(N($AO20)=0,"",CHOOSE($AO20,"Nhắc nhở","Cảnh báo","Báo động","Báo động đỏ"))</f>
      </c>
      <c r="AE20" s="223">
        <f>IF(OR(N($AA20)=0,N($U20)=0),"",IF($AA20&lt;=$U20,"Đúng hạn","Trễ hạn"))</f>
      </c>
      <c r="AF20" s="220">
        <f>IF($A20="","",_xlfn.MAXIFS('Nhật ký tiến độ'!$B$6:$B$3005,'Nhật ký tiến độ'!$C$6:$C$3005,$A20))</f>
      </c>
      <c r="AG20" s="223">
        <f>IF($A20="","",IF(COUNTIF('Kế hoạch'!$M$6:$M$305,$A20)=0,"",COUNTIF('Kế hoạch'!$M$6:$M$305,$A20)&amp;" việc"))</f>
      </c>
      <c r="AH20" s="224">
        <f>IF(OR($A20="",N($O20)&lt;=0),"",IF($P20="Giờ",$O20,$O20*24))</f>
      </c>
      <c r="AI20" s="224">
        <f>IF(OR(N($AA20)=0,N($B20)=0),"",IF($AA20&lt;$B20,"",($AA20-$B20)*24))</f>
      </c>
      <c r="AJ20" s="225">
        <f>IF($A20="","",IF(COUNTIF('Nhật ký tiến độ'!$C$6:$C$3005,$A20)=0,0,_xlfn.MAXIFS('Nhật ký tiến độ'!$N$6:$N$3005,'Nhật ký tiến độ'!$C$6:$C$3005,$A20,'Nhật ký tiến độ'!$B$6:$B$3005,_xlfn.MAXIFS('Nhật ký tiến độ'!$B$6:$B$3005,'Nhật ký tiến độ'!$C$6:$C$3005,$A20))))</f>
      </c>
      <c r="AK20" s="225">
        <f>IF(OR($A20="",$V20="Đã xử lý"),"",IF(N($AO20)&gt;0,5-$AO20,IF($J20="Khẩn cấp",5,IF($Y20="Chậm tiến độ",6,IF(OR($Y20="Sắp đến hạn",$J20="Cao"),7,"")))))</f>
      </c>
      <c r="AL20" s="225">
        <f>IF($AK20="","",$AK20*100000+IF(N($U20)=0,99999,INT($U20))+ROW()/100000)</f>
      </c>
      <c r="AM20" s="225">
        <f>IF(OR($A20="",TRIM($K20)="",COUNTIF($K$6:$K20,$K20)&gt;1),0,1)</f>
      </c>
      <c r="AN20" s="225">
        <f>IF($AM20=1,SUM($AM$6:$AM20),"")</f>
      </c>
      <c r="AO20" s="225">
        <f>IF(OR($A20="",$V20="Đã xử lý",N($U20)=0),0,IF(TDBC&lt;=$U20,0,MAX(1,MIN(4,IF((TDBC-$U20)*24&lt;24,1,IF((TDBC-$U20)*24&lt;72,2,IF((TDBC-$U20)*24&lt;168,3,4)))+IFERROR(INDEX({2,1,0,-1},MATCH($J20,{"Khẩn cấp","Cao","Trung bình","Thấp"},0)),0)))))</f>
      </c>
    </row>
    <row r="21">
      <c r="A21" s="216"/>
      <c r="B21" s="217"/>
      <c r="C21" s="218"/>
      <c r="D21" s="218"/>
      <c r="E21" s="218"/>
      <c r="F21" s="218"/>
      <c r="G21" s="216"/>
      <c r="H21" s="218"/>
      <c r="I21" s="218"/>
      <c r="J21" s="216"/>
      <c r="K21" s="218"/>
      <c r="L21" s="218"/>
      <c r="M21" s="218"/>
      <c r="N21" s="218"/>
      <c r="O21" s="219"/>
      <c r="P21" s="216"/>
      <c r="Q21" s="217"/>
      <c r="R21" s="216"/>
      <c r="S21" s="218"/>
      <c r="T21" s="218"/>
      <c r="U21" s="220">
        <f>IF($A21="","",IF(N($Q21)&gt;0,IF(MOD($Q21,1)=0,$Q21+1-1/1440,$Q21),IF(N($B21)=0,"",$B21+IF(N($AH21)&gt;0,$AH21,IFERROR(INDEX(DM_SLA_Gio,MATCH($J21,DM_SLA_Cap,0)),168))/24)))</f>
      </c>
      <c r="V21" s="221">
        <f>IF($A21="","",IF(N($AJ21)=0,"Mới tiếp nhận",INDEX('Nhật ký tiến độ'!$E:$E,$AJ21)))</f>
      </c>
      <c r="W21" s="222">
        <f>IF($A21="","",IF($V21="Đã xử lý",1,IF(N($AJ21)=0,0,N(INDEX('Nhật ký tiến độ'!$D:$D,$AJ21)))))</f>
      </c>
      <c r="X21" s="222">
        <f>IF(OR($A21="",$V21="Đã xử lý",N($U21)=0,N($B21)=0),"",IF(TDBC&lt;=$B21,0,IF(TDBC&gt;=$U21,1,(TDBC-$B21)/($U21-$B21))))</f>
      </c>
      <c r="Y21" s="223">
        <f>IF($A21="","",IF($V21="Đã xử lý","Hoàn thành",IF(N($U21)=0,"Chưa đặt hạn",IF(TDBC&gt;$U21,"Quá hạn",IF(ROUND((N($X21)-$W21)*100,0)&gt;=20,"Chậm tiến độ",IF($U21-TDBC&lt;=1,"Sắp đến hạn","Đúng tiến độ"))))))</f>
      </c>
      <c r="Z21" s="223">
        <f>IF(OR($A21="",$V21="Đã xử lý",N($U21)=0),"",IF(TDBC&gt;$U21,"Quá "&amp;IF(((TDBC-$U21)*24)&lt;1,MAX(1,ROUND(((TDBC-$U21)*24)*60,0))&amp;" phút",IF(ROUND(((TDBC-$U21)*24),0)&lt;24,ROUND(((TDBC-$U21)*24),0)&amp;" giờ",INT(ROUND(((TDBC-$U21)*24),0)/24)&amp;" ngày"&amp;IF(MOD(ROUND(((TDBC-$U21)*24),0),24)&gt;0," "&amp;MOD(ROUND(((TDBC-$U21)*24),0),24)&amp;" giờ",""))),"Còn "&amp;IF((($U21-TDBC)*24)&lt;1,MAX(1,ROUND((($U21-TDBC)*24)*60,0))&amp;" phút",IF(ROUND((($U21-TDBC)*24),0)&lt;24,ROUND((($U21-TDBC)*24),0)&amp;" giờ",INT(ROUND((($U21-TDBC)*24),0)/24)&amp;" ngày"&amp;IF(MOD(ROUND((($U21-TDBC)*24),0),24)&gt;0," "&amp;MOD(ROUND((($U21-TDBC)*24),0),24)&amp;" giờ","")))))</f>
      </c>
      <c r="AA21" s="220">
        <f>IF($V21="Đã xử lý",_xlfn.MAXIFS('Nhật ký tiến độ'!$B$6:$B$3005,'Nhật ký tiến độ'!$C$6:$C$3005,$A21,'Nhật ký tiến độ'!$E$6:$E$3005,"Đã xử lý"),"")</f>
      </c>
      <c r="AB21" s="223">
        <f>IF($AI21="","",IF($AI21&lt;1,MAX(1,ROUND($AI21*60,0))&amp;" phút",IF(ROUND($AI21,0)&lt;24,ROUND($AI21,0)&amp;" giờ",INT(ROUND($AI21,0)/24)&amp;" ngày"&amp;IF(MOD(ROUND($AI21,0),24)&gt;0," "&amp;MOD(ROUND($AI21,0),24)&amp;" giờ",""))))</f>
      </c>
      <c r="AC21" s="223">
        <f>IF(OR($A21="",N($AH21)=0),"",IF($AI21&lt;&gt;"",IF($AI21&lt;=$AH21,"Trong ước tính","Vượt "&amp;IF(($AI21-$AH21)&lt;1,MAX(1,ROUND(($AI21-$AH21)*60,0))&amp;" phút",IF(ROUND(($AI21-$AH21),0)&lt;24,ROUND(($AI21-$AH21),0)&amp;" giờ",INT(ROUND(($AI21-$AH21),0)/24)&amp;" ngày"&amp;IF(MOD(ROUND(($AI21-$AH21),0),24)&gt;0," "&amp;MOD(ROUND(($AI21-$AH21),0),24)&amp;" giờ","")))),IF(OR($V21="Đã xử lý",N($B21)=0),"",IF((TDBC-$B21)*24&gt;$AH21,"Đã vượt ước tính","Đã dùng "&amp;TEXT((TDBC-$B21)*24/$AH21,"0%")))))</f>
      </c>
      <c r="AD21" s="223">
        <f>IF(N($AO21)=0,"",CHOOSE($AO21,"Nhắc nhở","Cảnh báo","Báo động","Báo động đỏ"))</f>
      </c>
      <c r="AE21" s="223">
        <f>IF(OR(N($AA21)=0,N($U21)=0),"",IF($AA21&lt;=$U21,"Đúng hạn","Trễ hạn"))</f>
      </c>
      <c r="AF21" s="220">
        <f>IF($A21="","",_xlfn.MAXIFS('Nhật ký tiến độ'!$B$6:$B$3005,'Nhật ký tiến độ'!$C$6:$C$3005,$A21))</f>
      </c>
      <c r="AG21" s="223">
        <f>IF($A21="","",IF(COUNTIF('Kế hoạch'!$M$6:$M$305,$A21)=0,"",COUNTIF('Kế hoạch'!$M$6:$M$305,$A21)&amp;" việc"))</f>
      </c>
      <c r="AH21" s="224">
        <f>IF(OR($A21="",N($O21)&lt;=0),"",IF($P21="Giờ",$O21,$O21*24))</f>
      </c>
      <c r="AI21" s="224">
        <f>IF(OR(N($AA21)=0,N($B21)=0),"",IF($AA21&lt;$B21,"",($AA21-$B21)*24))</f>
      </c>
      <c r="AJ21" s="225">
        <f>IF($A21="","",IF(COUNTIF('Nhật ký tiến độ'!$C$6:$C$3005,$A21)=0,0,_xlfn.MAXIFS('Nhật ký tiến độ'!$N$6:$N$3005,'Nhật ký tiến độ'!$C$6:$C$3005,$A21,'Nhật ký tiến độ'!$B$6:$B$3005,_xlfn.MAXIFS('Nhật ký tiến độ'!$B$6:$B$3005,'Nhật ký tiến độ'!$C$6:$C$3005,$A21))))</f>
      </c>
      <c r="AK21" s="225">
        <f>IF(OR($A21="",$V21="Đã xử lý"),"",IF(N($AO21)&gt;0,5-$AO21,IF($J21="Khẩn cấp",5,IF($Y21="Chậm tiến độ",6,IF(OR($Y21="Sắp đến hạn",$J21="Cao"),7,"")))))</f>
      </c>
      <c r="AL21" s="225">
        <f>IF($AK21="","",$AK21*100000+IF(N($U21)=0,99999,INT($U21))+ROW()/100000)</f>
      </c>
      <c r="AM21" s="225">
        <f>IF(OR($A21="",TRIM($K21)="",COUNTIF($K$6:$K21,$K21)&gt;1),0,1)</f>
      </c>
      <c r="AN21" s="225">
        <f>IF($AM21=1,SUM($AM$6:$AM21),"")</f>
      </c>
      <c r="AO21" s="225">
        <f>IF(OR($A21="",$V21="Đã xử lý",N($U21)=0),0,IF(TDBC&lt;=$U21,0,MAX(1,MIN(4,IF((TDBC-$U21)*24&lt;24,1,IF((TDBC-$U21)*24&lt;72,2,IF((TDBC-$U21)*24&lt;168,3,4)))+IFERROR(INDEX({2,1,0,-1},MATCH($J21,{"Khẩn cấp","Cao","Trung bình","Thấp"},0)),0)))))</f>
      </c>
    </row>
    <row r="22">
      <c r="A22" s="216"/>
      <c r="B22" s="217"/>
      <c r="C22" s="218"/>
      <c r="D22" s="218"/>
      <c r="E22" s="218"/>
      <c r="F22" s="218"/>
      <c r="G22" s="216"/>
      <c r="H22" s="218"/>
      <c r="I22" s="218"/>
      <c r="J22" s="216"/>
      <c r="K22" s="218"/>
      <c r="L22" s="218"/>
      <c r="M22" s="218"/>
      <c r="N22" s="218"/>
      <c r="O22" s="219"/>
      <c r="P22" s="216"/>
      <c r="Q22" s="217"/>
      <c r="R22" s="216"/>
      <c r="S22" s="218"/>
      <c r="T22" s="218"/>
      <c r="U22" s="220">
        <f>IF($A22="","",IF(N($Q22)&gt;0,IF(MOD($Q22,1)=0,$Q22+1-1/1440,$Q22),IF(N($B22)=0,"",$B22+IF(N($AH22)&gt;0,$AH22,IFERROR(INDEX(DM_SLA_Gio,MATCH($J22,DM_SLA_Cap,0)),168))/24)))</f>
      </c>
      <c r="V22" s="221">
        <f>IF($A22="","",IF(N($AJ22)=0,"Mới tiếp nhận",INDEX('Nhật ký tiến độ'!$E:$E,$AJ22)))</f>
      </c>
      <c r="W22" s="222">
        <f>IF($A22="","",IF($V22="Đã xử lý",1,IF(N($AJ22)=0,0,N(INDEX('Nhật ký tiến độ'!$D:$D,$AJ22)))))</f>
      </c>
      <c r="X22" s="222">
        <f>IF(OR($A22="",$V22="Đã xử lý",N($U22)=0,N($B22)=0),"",IF(TDBC&lt;=$B22,0,IF(TDBC&gt;=$U22,1,(TDBC-$B22)/($U22-$B22))))</f>
      </c>
      <c r="Y22" s="223">
        <f>IF($A22="","",IF($V22="Đã xử lý","Hoàn thành",IF(N($U22)=0,"Chưa đặt hạn",IF(TDBC&gt;$U22,"Quá hạn",IF(ROUND((N($X22)-$W22)*100,0)&gt;=20,"Chậm tiến độ",IF($U22-TDBC&lt;=1,"Sắp đến hạn","Đúng tiến độ"))))))</f>
      </c>
      <c r="Z22" s="223">
        <f>IF(OR($A22="",$V22="Đã xử lý",N($U22)=0),"",IF(TDBC&gt;$U22,"Quá "&amp;IF(((TDBC-$U22)*24)&lt;1,MAX(1,ROUND(((TDBC-$U22)*24)*60,0))&amp;" phút",IF(ROUND(((TDBC-$U22)*24),0)&lt;24,ROUND(((TDBC-$U22)*24),0)&amp;" giờ",INT(ROUND(((TDBC-$U22)*24),0)/24)&amp;" ngày"&amp;IF(MOD(ROUND(((TDBC-$U22)*24),0),24)&gt;0," "&amp;MOD(ROUND(((TDBC-$U22)*24),0),24)&amp;" giờ",""))),"Còn "&amp;IF((($U22-TDBC)*24)&lt;1,MAX(1,ROUND((($U22-TDBC)*24)*60,0))&amp;" phút",IF(ROUND((($U22-TDBC)*24),0)&lt;24,ROUND((($U22-TDBC)*24),0)&amp;" giờ",INT(ROUND((($U22-TDBC)*24),0)/24)&amp;" ngày"&amp;IF(MOD(ROUND((($U22-TDBC)*24),0),24)&gt;0," "&amp;MOD(ROUND((($U22-TDBC)*24),0),24)&amp;" giờ","")))))</f>
      </c>
      <c r="AA22" s="220">
        <f>IF($V22="Đã xử lý",_xlfn.MAXIFS('Nhật ký tiến độ'!$B$6:$B$3005,'Nhật ký tiến độ'!$C$6:$C$3005,$A22,'Nhật ký tiến độ'!$E$6:$E$3005,"Đã xử lý"),"")</f>
      </c>
      <c r="AB22" s="223">
        <f>IF($AI22="","",IF($AI22&lt;1,MAX(1,ROUND($AI22*60,0))&amp;" phút",IF(ROUND($AI22,0)&lt;24,ROUND($AI22,0)&amp;" giờ",INT(ROUND($AI22,0)/24)&amp;" ngày"&amp;IF(MOD(ROUND($AI22,0),24)&gt;0," "&amp;MOD(ROUND($AI22,0),24)&amp;" giờ",""))))</f>
      </c>
      <c r="AC22" s="223">
        <f>IF(OR($A22="",N($AH22)=0),"",IF($AI22&lt;&gt;"",IF($AI22&lt;=$AH22,"Trong ước tính","Vượt "&amp;IF(($AI22-$AH22)&lt;1,MAX(1,ROUND(($AI22-$AH22)*60,0))&amp;" phút",IF(ROUND(($AI22-$AH22),0)&lt;24,ROUND(($AI22-$AH22),0)&amp;" giờ",INT(ROUND(($AI22-$AH22),0)/24)&amp;" ngày"&amp;IF(MOD(ROUND(($AI22-$AH22),0),24)&gt;0," "&amp;MOD(ROUND(($AI22-$AH22),0),24)&amp;" giờ","")))),IF(OR($V22="Đã xử lý",N($B22)=0),"",IF((TDBC-$B22)*24&gt;$AH22,"Đã vượt ước tính","Đã dùng "&amp;TEXT((TDBC-$B22)*24/$AH22,"0%")))))</f>
      </c>
      <c r="AD22" s="223">
        <f>IF(N($AO22)=0,"",CHOOSE($AO22,"Nhắc nhở","Cảnh báo","Báo động","Báo động đỏ"))</f>
      </c>
      <c r="AE22" s="223">
        <f>IF(OR(N($AA22)=0,N($U22)=0),"",IF($AA22&lt;=$U22,"Đúng hạn","Trễ hạn"))</f>
      </c>
      <c r="AF22" s="220">
        <f>IF($A22="","",_xlfn.MAXIFS('Nhật ký tiến độ'!$B$6:$B$3005,'Nhật ký tiến độ'!$C$6:$C$3005,$A22))</f>
      </c>
      <c r="AG22" s="223">
        <f>IF($A22="","",IF(COUNTIF('Kế hoạch'!$M$6:$M$305,$A22)=0,"",COUNTIF('Kế hoạch'!$M$6:$M$305,$A22)&amp;" việc"))</f>
      </c>
      <c r="AH22" s="224">
        <f>IF(OR($A22="",N($O22)&lt;=0),"",IF($P22="Giờ",$O22,$O22*24))</f>
      </c>
      <c r="AI22" s="224">
        <f>IF(OR(N($AA22)=0,N($B22)=0),"",IF($AA22&lt;$B22,"",($AA22-$B22)*24))</f>
      </c>
      <c r="AJ22" s="225">
        <f>IF($A22="","",IF(COUNTIF('Nhật ký tiến độ'!$C$6:$C$3005,$A22)=0,0,_xlfn.MAXIFS('Nhật ký tiến độ'!$N$6:$N$3005,'Nhật ký tiến độ'!$C$6:$C$3005,$A22,'Nhật ký tiến độ'!$B$6:$B$3005,_xlfn.MAXIFS('Nhật ký tiến độ'!$B$6:$B$3005,'Nhật ký tiến độ'!$C$6:$C$3005,$A22))))</f>
      </c>
      <c r="AK22" s="225">
        <f>IF(OR($A22="",$V22="Đã xử lý"),"",IF(N($AO22)&gt;0,5-$AO22,IF($J22="Khẩn cấp",5,IF($Y22="Chậm tiến độ",6,IF(OR($Y22="Sắp đến hạn",$J22="Cao"),7,"")))))</f>
      </c>
      <c r="AL22" s="225">
        <f>IF($AK22="","",$AK22*100000+IF(N($U22)=0,99999,INT($U22))+ROW()/100000)</f>
      </c>
      <c r="AM22" s="225">
        <f>IF(OR($A22="",TRIM($K22)="",COUNTIF($K$6:$K22,$K22)&gt;1),0,1)</f>
      </c>
      <c r="AN22" s="225">
        <f>IF($AM22=1,SUM($AM$6:$AM22),"")</f>
      </c>
      <c r="AO22" s="225">
        <f>IF(OR($A22="",$V22="Đã xử lý",N($U22)=0),0,IF(TDBC&lt;=$U22,0,MAX(1,MIN(4,IF((TDBC-$U22)*24&lt;24,1,IF((TDBC-$U22)*24&lt;72,2,IF((TDBC-$U22)*24&lt;168,3,4)))+IFERROR(INDEX({2,1,0,-1},MATCH($J22,{"Khẩn cấp","Cao","Trung bình","Thấp"},0)),0)))))</f>
      </c>
    </row>
    <row r="23">
      <c r="A23" s="216"/>
      <c r="B23" s="217"/>
      <c r="C23" s="218"/>
      <c r="D23" s="218"/>
      <c r="E23" s="218"/>
      <c r="F23" s="218"/>
      <c r="G23" s="216"/>
      <c r="H23" s="218"/>
      <c r="I23" s="218"/>
      <c r="J23" s="216"/>
      <c r="K23" s="218"/>
      <c r="L23" s="218"/>
      <c r="M23" s="218"/>
      <c r="N23" s="218"/>
      <c r="O23" s="219"/>
      <c r="P23" s="216"/>
      <c r="Q23" s="217"/>
      <c r="R23" s="216"/>
      <c r="S23" s="218"/>
      <c r="T23" s="218"/>
      <c r="U23" s="220">
        <f>IF($A23="","",IF(N($Q23)&gt;0,IF(MOD($Q23,1)=0,$Q23+1-1/1440,$Q23),IF(N($B23)=0,"",$B23+IF(N($AH23)&gt;0,$AH23,IFERROR(INDEX(DM_SLA_Gio,MATCH($J23,DM_SLA_Cap,0)),168))/24)))</f>
      </c>
      <c r="V23" s="221">
        <f>IF($A23="","",IF(N($AJ23)=0,"Mới tiếp nhận",INDEX('Nhật ký tiến độ'!$E:$E,$AJ23)))</f>
      </c>
      <c r="W23" s="222">
        <f>IF($A23="","",IF($V23="Đã xử lý",1,IF(N($AJ23)=0,0,N(INDEX('Nhật ký tiến độ'!$D:$D,$AJ23)))))</f>
      </c>
      <c r="X23" s="222">
        <f>IF(OR($A23="",$V23="Đã xử lý",N($U23)=0,N($B23)=0),"",IF(TDBC&lt;=$B23,0,IF(TDBC&gt;=$U23,1,(TDBC-$B23)/($U23-$B23))))</f>
      </c>
      <c r="Y23" s="223">
        <f>IF($A23="","",IF($V23="Đã xử lý","Hoàn thành",IF(N($U23)=0,"Chưa đặt hạn",IF(TDBC&gt;$U23,"Quá hạn",IF(ROUND((N($X23)-$W23)*100,0)&gt;=20,"Chậm tiến độ",IF($U23-TDBC&lt;=1,"Sắp đến hạn","Đúng tiến độ"))))))</f>
      </c>
      <c r="Z23" s="223">
        <f>IF(OR($A23="",$V23="Đã xử lý",N($U23)=0),"",IF(TDBC&gt;$U23,"Quá "&amp;IF(((TDBC-$U23)*24)&lt;1,MAX(1,ROUND(((TDBC-$U23)*24)*60,0))&amp;" phút",IF(ROUND(((TDBC-$U23)*24),0)&lt;24,ROUND(((TDBC-$U23)*24),0)&amp;" giờ",INT(ROUND(((TDBC-$U23)*24),0)/24)&amp;" ngày"&amp;IF(MOD(ROUND(((TDBC-$U23)*24),0),24)&gt;0," "&amp;MOD(ROUND(((TDBC-$U23)*24),0),24)&amp;" giờ",""))),"Còn "&amp;IF((($U23-TDBC)*24)&lt;1,MAX(1,ROUND((($U23-TDBC)*24)*60,0))&amp;" phút",IF(ROUND((($U23-TDBC)*24),0)&lt;24,ROUND((($U23-TDBC)*24),0)&amp;" giờ",INT(ROUND((($U23-TDBC)*24),0)/24)&amp;" ngày"&amp;IF(MOD(ROUND((($U23-TDBC)*24),0),24)&gt;0," "&amp;MOD(ROUND((($U23-TDBC)*24),0),24)&amp;" giờ","")))))</f>
      </c>
      <c r="AA23" s="220">
        <f>IF($V23="Đã xử lý",_xlfn.MAXIFS('Nhật ký tiến độ'!$B$6:$B$3005,'Nhật ký tiến độ'!$C$6:$C$3005,$A23,'Nhật ký tiến độ'!$E$6:$E$3005,"Đã xử lý"),"")</f>
      </c>
      <c r="AB23" s="223">
        <f>IF($AI23="","",IF($AI23&lt;1,MAX(1,ROUND($AI23*60,0))&amp;" phút",IF(ROUND($AI23,0)&lt;24,ROUND($AI23,0)&amp;" giờ",INT(ROUND($AI23,0)/24)&amp;" ngày"&amp;IF(MOD(ROUND($AI23,0),24)&gt;0," "&amp;MOD(ROUND($AI23,0),24)&amp;" giờ",""))))</f>
      </c>
      <c r="AC23" s="223">
        <f>IF(OR($A23="",N($AH23)=0),"",IF($AI23&lt;&gt;"",IF($AI23&lt;=$AH23,"Trong ước tính","Vượt "&amp;IF(($AI23-$AH23)&lt;1,MAX(1,ROUND(($AI23-$AH23)*60,0))&amp;" phút",IF(ROUND(($AI23-$AH23),0)&lt;24,ROUND(($AI23-$AH23),0)&amp;" giờ",INT(ROUND(($AI23-$AH23),0)/24)&amp;" ngày"&amp;IF(MOD(ROUND(($AI23-$AH23),0),24)&gt;0," "&amp;MOD(ROUND(($AI23-$AH23),0),24)&amp;" giờ","")))),IF(OR($V23="Đã xử lý",N($B23)=0),"",IF((TDBC-$B23)*24&gt;$AH23,"Đã vượt ước tính","Đã dùng "&amp;TEXT((TDBC-$B23)*24/$AH23,"0%")))))</f>
      </c>
      <c r="AD23" s="223">
        <f>IF(N($AO23)=0,"",CHOOSE($AO23,"Nhắc nhở","Cảnh báo","Báo động","Báo động đỏ"))</f>
      </c>
      <c r="AE23" s="223">
        <f>IF(OR(N($AA23)=0,N($U23)=0),"",IF($AA23&lt;=$U23,"Đúng hạn","Trễ hạn"))</f>
      </c>
      <c r="AF23" s="220">
        <f>IF($A23="","",_xlfn.MAXIFS('Nhật ký tiến độ'!$B$6:$B$3005,'Nhật ký tiến độ'!$C$6:$C$3005,$A23))</f>
      </c>
      <c r="AG23" s="223">
        <f>IF($A23="","",IF(COUNTIF('Kế hoạch'!$M$6:$M$305,$A23)=0,"",COUNTIF('Kế hoạch'!$M$6:$M$305,$A23)&amp;" việc"))</f>
      </c>
      <c r="AH23" s="224">
        <f>IF(OR($A23="",N($O23)&lt;=0),"",IF($P23="Giờ",$O23,$O23*24))</f>
      </c>
      <c r="AI23" s="224">
        <f>IF(OR(N($AA23)=0,N($B23)=0),"",IF($AA23&lt;$B23,"",($AA23-$B23)*24))</f>
      </c>
      <c r="AJ23" s="225">
        <f>IF($A23="","",IF(COUNTIF('Nhật ký tiến độ'!$C$6:$C$3005,$A23)=0,0,_xlfn.MAXIFS('Nhật ký tiến độ'!$N$6:$N$3005,'Nhật ký tiến độ'!$C$6:$C$3005,$A23,'Nhật ký tiến độ'!$B$6:$B$3005,_xlfn.MAXIFS('Nhật ký tiến độ'!$B$6:$B$3005,'Nhật ký tiến độ'!$C$6:$C$3005,$A23))))</f>
      </c>
      <c r="AK23" s="225">
        <f>IF(OR($A23="",$V23="Đã xử lý"),"",IF(N($AO23)&gt;0,5-$AO23,IF($J23="Khẩn cấp",5,IF($Y23="Chậm tiến độ",6,IF(OR($Y23="Sắp đến hạn",$J23="Cao"),7,"")))))</f>
      </c>
      <c r="AL23" s="225">
        <f>IF($AK23="","",$AK23*100000+IF(N($U23)=0,99999,INT($U23))+ROW()/100000)</f>
      </c>
      <c r="AM23" s="225">
        <f>IF(OR($A23="",TRIM($K23)="",COUNTIF($K$6:$K23,$K23)&gt;1),0,1)</f>
      </c>
      <c r="AN23" s="225">
        <f>IF($AM23=1,SUM($AM$6:$AM23),"")</f>
      </c>
      <c r="AO23" s="225">
        <f>IF(OR($A23="",$V23="Đã xử lý",N($U23)=0),0,IF(TDBC&lt;=$U23,0,MAX(1,MIN(4,IF((TDBC-$U23)*24&lt;24,1,IF((TDBC-$U23)*24&lt;72,2,IF((TDBC-$U23)*24&lt;168,3,4)))+IFERROR(INDEX({2,1,0,-1},MATCH($J23,{"Khẩn cấp","Cao","Trung bình","Thấp"},0)),0)))))</f>
      </c>
    </row>
    <row r="24">
      <c r="A24" s="216"/>
      <c r="B24" s="217"/>
      <c r="C24" s="218"/>
      <c r="D24" s="218"/>
      <c r="E24" s="218"/>
      <c r="F24" s="218"/>
      <c r="G24" s="216"/>
      <c r="H24" s="218"/>
      <c r="I24" s="218"/>
      <c r="J24" s="216"/>
      <c r="K24" s="218"/>
      <c r="L24" s="218"/>
      <c r="M24" s="218"/>
      <c r="N24" s="218"/>
      <c r="O24" s="219"/>
      <c r="P24" s="216"/>
      <c r="Q24" s="217"/>
      <c r="R24" s="216"/>
      <c r="S24" s="218"/>
      <c r="T24" s="218"/>
      <c r="U24" s="220">
        <f>IF($A24="","",IF(N($Q24)&gt;0,IF(MOD($Q24,1)=0,$Q24+1-1/1440,$Q24),IF(N($B24)=0,"",$B24+IF(N($AH24)&gt;0,$AH24,IFERROR(INDEX(DM_SLA_Gio,MATCH($J24,DM_SLA_Cap,0)),168))/24)))</f>
      </c>
      <c r="V24" s="221">
        <f>IF($A24="","",IF(N($AJ24)=0,"Mới tiếp nhận",INDEX('Nhật ký tiến độ'!$E:$E,$AJ24)))</f>
      </c>
      <c r="W24" s="222">
        <f>IF($A24="","",IF($V24="Đã xử lý",1,IF(N($AJ24)=0,0,N(INDEX('Nhật ký tiến độ'!$D:$D,$AJ24)))))</f>
      </c>
      <c r="X24" s="222">
        <f>IF(OR($A24="",$V24="Đã xử lý",N($U24)=0,N($B24)=0),"",IF(TDBC&lt;=$B24,0,IF(TDBC&gt;=$U24,1,(TDBC-$B24)/($U24-$B24))))</f>
      </c>
      <c r="Y24" s="223">
        <f>IF($A24="","",IF($V24="Đã xử lý","Hoàn thành",IF(N($U24)=0,"Chưa đặt hạn",IF(TDBC&gt;$U24,"Quá hạn",IF(ROUND((N($X24)-$W24)*100,0)&gt;=20,"Chậm tiến độ",IF($U24-TDBC&lt;=1,"Sắp đến hạn","Đúng tiến độ"))))))</f>
      </c>
      <c r="Z24" s="223">
        <f>IF(OR($A24="",$V24="Đã xử lý",N($U24)=0),"",IF(TDBC&gt;$U24,"Quá "&amp;IF(((TDBC-$U24)*24)&lt;1,MAX(1,ROUND(((TDBC-$U24)*24)*60,0))&amp;" phút",IF(ROUND(((TDBC-$U24)*24),0)&lt;24,ROUND(((TDBC-$U24)*24),0)&amp;" giờ",INT(ROUND(((TDBC-$U24)*24),0)/24)&amp;" ngày"&amp;IF(MOD(ROUND(((TDBC-$U24)*24),0),24)&gt;0," "&amp;MOD(ROUND(((TDBC-$U24)*24),0),24)&amp;" giờ",""))),"Còn "&amp;IF((($U24-TDBC)*24)&lt;1,MAX(1,ROUND((($U24-TDBC)*24)*60,0))&amp;" phút",IF(ROUND((($U24-TDBC)*24),0)&lt;24,ROUND((($U24-TDBC)*24),0)&amp;" giờ",INT(ROUND((($U24-TDBC)*24),0)/24)&amp;" ngày"&amp;IF(MOD(ROUND((($U24-TDBC)*24),0),24)&gt;0," "&amp;MOD(ROUND((($U24-TDBC)*24),0),24)&amp;" giờ","")))))</f>
      </c>
      <c r="AA24" s="220">
        <f>IF($V24="Đã xử lý",_xlfn.MAXIFS('Nhật ký tiến độ'!$B$6:$B$3005,'Nhật ký tiến độ'!$C$6:$C$3005,$A24,'Nhật ký tiến độ'!$E$6:$E$3005,"Đã xử lý"),"")</f>
      </c>
      <c r="AB24" s="223">
        <f>IF($AI24="","",IF($AI24&lt;1,MAX(1,ROUND($AI24*60,0))&amp;" phút",IF(ROUND($AI24,0)&lt;24,ROUND($AI24,0)&amp;" giờ",INT(ROUND($AI24,0)/24)&amp;" ngày"&amp;IF(MOD(ROUND($AI24,0),24)&gt;0," "&amp;MOD(ROUND($AI24,0),24)&amp;" giờ",""))))</f>
      </c>
      <c r="AC24" s="223">
        <f>IF(OR($A24="",N($AH24)=0),"",IF($AI24&lt;&gt;"",IF($AI24&lt;=$AH24,"Trong ước tính","Vượt "&amp;IF(($AI24-$AH24)&lt;1,MAX(1,ROUND(($AI24-$AH24)*60,0))&amp;" phút",IF(ROUND(($AI24-$AH24),0)&lt;24,ROUND(($AI24-$AH24),0)&amp;" giờ",INT(ROUND(($AI24-$AH24),0)/24)&amp;" ngày"&amp;IF(MOD(ROUND(($AI24-$AH24),0),24)&gt;0," "&amp;MOD(ROUND(($AI24-$AH24),0),24)&amp;" giờ","")))),IF(OR($V24="Đã xử lý",N($B24)=0),"",IF((TDBC-$B24)*24&gt;$AH24,"Đã vượt ước tính","Đã dùng "&amp;TEXT((TDBC-$B24)*24/$AH24,"0%")))))</f>
      </c>
      <c r="AD24" s="223">
        <f>IF(N($AO24)=0,"",CHOOSE($AO24,"Nhắc nhở","Cảnh báo","Báo động","Báo động đỏ"))</f>
      </c>
      <c r="AE24" s="223">
        <f>IF(OR(N($AA24)=0,N($U24)=0),"",IF($AA24&lt;=$U24,"Đúng hạn","Trễ hạn"))</f>
      </c>
      <c r="AF24" s="220">
        <f>IF($A24="","",_xlfn.MAXIFS('Nhật ký tiến độ'!$B$6:$B$3005,'Nhật ký tiến độ'!$C$6:$C$3005,$A24))</f>
      </c>
      <c r="AG24" s="223">
        <f>IF($A24="","",IF(COUNTIF('Kế hoạch'!$M$6:$M$305,$A24)=0,"",COUNTIF('Kế hoạch'!$M$6:$M$305,$A24)&amp;" việc"))</f>
      </c>
      <c r="AH24" s="224">
        <f>IF(OR($A24="",N($O24)&lt;=0),"",IF($P24="Giờ",$O24,$O24*24))</f>
      </c>
      <c r="AI24" s="224">
        <f>IF(OR(N($AA24)=0,N($B24)=0),"",IF($AA24&lt;$B24,"",($AA24-$B24)*24))</f>
      </c>
      <c r="AJ24" s="225">
        <f>IF($A24="","",IF(COUNTIF('Nhật ký tiến độ'!$C$6:$C$3005,$A24)=0,0,_xlfn.MAXIFS('Nhật ký tiến độ'!$N$6:$N$3005,'Nhật ký tiến độ'!$C$6:$C$3005,$A24,'Nhật ký tiến độ'!$B$6:$B$3005,_xlfn.MAXIFS('Nhật ký tiến độ'!$B$6:$B$3005,'Nhật ký tiến độ'!$C$6:$C$3005,$A24))))</f>
      </c>
      <c r="AK24" s="225">
        <f>IF(OR($A24="",$V24="Đã xử lý"),"",IF(N($AO24)&gt;0,5-$AO24,IF($J24="Khẩn cấp",5,IF($Y24="Chậm tiến độ",6,IF(OR($Y24="Sắp đến hạn",$J24="Cao"),7,"")))))</f>
      </c>
      <c r="AL24" s="225">
        <f>IF($AK24="","",$AK24*100000+IF(N($U24)=0,99999,INT($U24))+ROW()/100000)</f>
      </c>
      <c r="AM24" s="225">
        <f>IF(OR($A24="",TRIM($K24)="",COUNTIF($K$6:$K24,$K24)&gt;1),0,1)</f>
      </c>
      <c r="AN24" s="225">
        <f>IF($AM24=1,SUM($AM$6:$AM24),"")</f>
      </c>
      <c r="AO24" s="225">
        <f>IF(OR($A24="",$V24="Đã xử lý",N($U24)=0),0,IF(TDBC&lt;=$U24,0,MAX(1,MIN(4,IF((TDBC-$U24)*24&lt;24,1,IF((TDBC-$U24)*24&lt;72,2,IF((TDBC-$U24)*24&lt;168,3,4)))+IFERROR(INDEX({2,1,0,-1},MATCH($J24,{"Khẩn cấp","Cao","Trung bình","Thấp"},0)),0)))))</f>
      </c>
    </row>
    <row r="25">
      <c r="A25" s="216"/>
      <c r="B25" s="217"/>
      <c r="C25" s="218"/>
      <c r="D25" s="218"/>
      <c r="E25" s="218"/>
      <c r="F25" s="218"/>
      <c r="G25" s="216"/>
      <c r="H25" s="218"/>
      <c r="I25" s="218"/>
      <c r="J25" s="216"/>
      <c r="K25" s="218"/>
      <c r="L25" s="218"/>
      <c r="M25" s="218"/>
      <c r="N25" s="218"/>
      <c r="O25" s="219"/>
      <c r="P25" s="216"/>
      <c r="Q25" s="217"/>
      <c r="R25" s="216"/>
      <c r="S25" s="218"/>
      <c r="T25" s="218"/>
      <c r="U25" s="220">
        <f>IF($A25="","",IF(N($Q25)&gt;0,IF(MOD($Q25,1)=0,$Q25+1-1/1440,$Q25),IF(N($B25)=0,"",$B25+IF(N($AH25)&gt;0,$AH25,IFERROR(INDEX(DM_SLA_Gio,MATCH($J25,DM_SLA_Cap,0)),168))/24)))</f>
      </c>
      <c r="V25" s="221">
        <f>IF($A25="","",IF(N($AJ25)=0,"Mới tiếp nhận",INDEX('Nhật ký tiến độ'!$E:$E,$AJ25)))</f>
      </c>
      <c r="W25" s="222">
        <f>IF($A25="","",IF($V25="Đã xử lý",1,IF(N($AJ25)=0,0,N(INDEX('Nhật ký tiến độ'!$D:$D,$AJ25)))))</f>
      </c>
      <c r="X25" s="222">
        <f>IF(OR($A25="",$V25="Đã xử lý",N($U25)=0,N($B25)=0),"",IF(TDBC&lt;=$B25,0,IF(TDBC&gt;=$U25,1,(TDBC-$B25)/($U25-$B25))))</f>
      </c>
      <c r="Y25" s="223">
        <f>IF($A25="","",IF($V25="Đã xử lý","Hoàn thành",IF(N($U25)=0,"Chưa đặt hạn",IF(TDBC&gt;$U25,"Quá hạn",IF(ROUND((N($X25)-$W25)*100,0)&gt;=20,"Chậm tiến độ",IF($U25-TDBC&lt;=1,"Sắp đến hạn","Đúng tiến độ"))))))</f>
      </c>
      <c r="Z25" s="223">
        <f>IF(OR($A25="",$V25="Đã xử lý",N($U25)=0),"",IF(TDBC&gt;$U25,"Quá "&amp;IF(((TDBC-$U25)*24)&lt;1,MAX(1,ROUND(((TDBC-$U25)*24)*60,0))&amp;" phút",IF(ROUND(((TDBC-$U25)*24),0)&lt;24,ROUND(((TDBC-$U25)*24),0)&amp;" giờ",INT(ROUND(((TDBC-$U25)*24),0)/24)&amp;" ngày"&amp;IF(MOD(ROUND(((TDBC-$U25)*24),0),24)&gt;0," "&amp;MOD(ROUND(((TDBC-$U25)*24),0),24)&amp;" giờ",""))),"Còn "&amp;IF((($U25-TDBC)*24)&lt;1,MAX(1,ROUND((($U25-TDBC)*24)*60,0))&amp;" phút",IF(ROUND((($U25-TDBC)*24),0)&lt;24,ROUND((($U25-TDBC)*24),0)&amp;" giờ",INT(ROUND((($U25-TDBC)*24),0)/24)&amp;" ngày"&amp;IF(MOD(ROUND((($U25-TDBC)*24),0),24)&gt;0," "&amp;MOD(ROUND((($U25-TDBC)*24),0),24)&amp;" giờ","")))))</f>
      </c>
      <c r="AA25" s="220">
        <f>IF($V25="Đã xử lý",_xlfn.MAXIFS('Nhật ký tiến độ'!$B$6:$B$3005,'Nhật ký tiến độ'!$C$6:$C$3005,$A25,'Nhật ký tiến độ'!$E$6:$E$3005,"Đã xử lý"),"")</f>
      </c>
      <c r="AB25" s="223">
        <f>IF($AI25="","",IF($AI25&lt;1,MAX(1,ROUND($AI25*60,0))&amp;" phút",IF(ROUND($AI25,0)&lt;24,ROUND($AI25,0)&amp;" giờ",INT(ROUND($AI25,0)/24)&amp;" ngày"&amp;IF(MOD(ROUND($AI25,0),24)&gt;0," "&amp;MOD(ROUND($AI25,0),24)&amp;" giờ",""))))</f>
      </c>
      <c r="AC25" s="223">
        <f>IF(OR($A25="",N($AH25)=0),"",IF($AI25&lt;&gt;"",IF($AI25&lt;=$AH25,"Trong ước tính","Vượt "&amp;IF(($AI25-$AH25)&lt;1,MAX(1,ROUND(($AI25-$AH25)*60,0))&amp;" phút",IF(ROUND(($AI25-$AH25),0)&lt;24,ROUND(($AI25-$AH25),0)&amp;" giờ",INT(ROUND(($AI25-$AH25),0)/24)&amp;" ngày"&amp;IF(MOD(ROUND(($AI25-$AH25),0),24)&gt;0," "&amp;MOD(ROUND(($AI25-$AH25),0),24)&amp;" giờ","")))),IF(OR($V25="Đã xử lý",N($B25)=0),"",IF((TDBC-$B25)*24&gt;$AH25,"Đã vượt ước tính","Đã dùng "&amp;TEXT((TDBC-$B25)*24/$AH25,"0%")))))</f>
      </c>
      <c r="AD25" s="223">
        <f>IF(N($AO25)=0,"",CHOOSE($AO25,"Nhắc nhở","Cảnh báo","Báo động","Báo động đỏ"))</f>
      </c>
      <c r="AE25" s="223">
        <f>IF(OR(N($AA25)=0,N($U25)=0),"",IF($AA25&lt;=$U25,"Đúng hạn","Trễ hạn"))</f>
      </c>
      <c r="AF25" s="220">
        <f>IF($A25="","",_xlfn.MAXIFS('Nhật ký tiến độ'!$B$6:$B$3005,'Nhật ký tiến độ'!$C$6:$C$3005,$A25))</f>
      </c>
      <c r="AG25" s="223">
        <f>IF($A25="","",IF(COUNTIF('Kế hoạch'!$M$6:$M$305,$A25)=0,"",COUNTIF('Kế hoạch'!$M$6:$M$305,$A25)&amp;" việc"))</f>
      </c>
      <c r="AH25" s="224">
        <f>IF(OR($A25="",N($O25)&lt;=0),"",IF($P25="Giờ",$O25,$O25*24))</f>
      </c>
      <c r="AI25" s="224">
        <f>IF(OR(N($AA25)=0,N($B25)=0),"",IF($AA25&lt;$B25,"",($AA25-$B25)*24))</f>
      </c>
      <c r="AJ25" s="225">
        <f>IF($A25="","",IF(COUNTIF('Nhật ký tiến độ'!$C$6:$C$3005,$A25)=0,0,_xlfn.MAXIFS('Nhật ký tiến độ'!$N$6:$N$3005,'Nhật ký tiến độ'!$C$6:$C$3005,$A25,'Nhật ký tiến độ'!$B$6:$B$3005,_xlfn.MAXIFS('Nhật ký tiến độ'!$B$6:$B$3005,'Nhật ký tiến độ'!$C$6:$C$3005,$A25))))</f>
      </c>
      <c r="AK25" s="225">
        <f>IF(OR($A25="",$V25="Đã xử lý"),"",IF(N($AO25)&gt;0,5-$AO25,IF($J25="Khẩn cấp",5,IF($Y25="Chậm tiến độ",6,IF(OR($Y25="Sắp đến hạn",$J25="Cao"),7,"")))))</f>
      </c>
      <c r="AL25" s="225">
        <f>IF($AK25="","",$AK25*100000+IF(N($U25)=0,99999,INT($U25))+ROW()/100000)</f>
      </c>
      <c r="AM25" s="225">
        <f>IF(OR($A25="",TRIM($K25)="",COUNTIF($K$6:$K25,$K25)&gt;1),0,1)</f>
      </c>
      <c r="AN25" s="225">
        <f>IF($AM25=1,SUM($AM$6:$AM25),"")</f>
      </c>
      <c r="AO25" s="225">
        <f>IF(OR($A25="",$V25="Đã xử lý",N($U25)=0),0,IF(TDBC&lt;=$U25,0,MAX(1,MIN(4,IF((TDBC-$U25)*24&lt;24,1,IF((TDBC-$U25)*24&lt;72,2,IF((TDBC-$U25)*24&lt;168,3,4)))+IFERROR(INDEX({2,1,0,-1},MATCH($J25,{"Khẩn cấp","Cao","Trung bình","Thấp"},0)),0)))))</f>
      </c>
    </row>
    <row r="26">
      <c r="A26" s="216"/>
      <c r="B26" s="217"/>
      <c r="C26" s="218"/>
      <c r="D26" s="218"/>
      <c r="E26" s="218"/>
      <c r="F26" s="218"/>
      <c r="G26" s="216"/>
      <c r="H26" s="218"/>
      <c r="I26" s="218"/>
      <c r="J26" s="216"/>
      <c r="K26" s="218"/>
      <c r="L26" s="218"/>
      <c r="M26" s="218"/>
      <c r="N26" s="218"/>
      <c r="O26" s="219"/>
      <c r="P26" s="216"/>
      <c r="Q26" s="217"/>
      <c r="R26" s="216"/>
      <c r="S26" s="218"/>
      <c r="T26" s="218"/>
      <c r="U26" s="220">
        <f>IF($A26="","",IF(N($Q26)&gt;0,IF(MOD($Q26,1)=0,$Q26+1-1/1440,$Q26),IF(N($B26)=0,"",$B26+IF(N($AH26)&gt;0,$AH26,IFERROR(INDEX(DM_SLA_Gio,MATCH($J26,DM_SLA_Cap,0)),168))/24)))</f>
      </c>
      <c r="V26" s="221">
        <f>IF($A26="","",IF(N($AJ26)=0,"Mới tiếp nhận",INDEX('Nhật ký tiến độ'!$E:$E,$AJ26)))</f>
      </c>
      <c r="W26" s="222">
        <f>IF($A26="","",IF($V26="Đã xử lý",1,IF(N($AJ26)=0,0,N(INDEX('Nhật ký tiến độ'!$D:$D,$AJ26)))))</f>
      </c>
      <c r="X26" s="222">
        <f>IF(OR($A26="",$V26="Đã xử lý",N($U26)=0,N($B26)=0),"",IF(TDBC&lt;=$B26,0,IF(TDBC&gt;=$U26,1,(TDBC-$B26)/($U26-$B26))))</f>
      </c>
      <c r="Y26" s="223">
        <f>IF($A26="","",IF($V26="Đã xử lý","Hoàn thành",IF(N($U26)=0,"Chưa đặt hạn",IF(TDBC&gt;$U26,"Quá hạn",IF(ROUND((N($X26)-$W26)*100,0)&gt;=20,"Chậm tiến độ",IF($U26-TDBC&lt;=1,"Sắp đến hạn","Đúng tiến độ"))))))</f>
      </c>
      <c r="Z26" s="223">
        <f>IF(OR($A26="",$V26="Đã xử lý",N($U26)=0),"",IF(TDBC&gt;$U26,"Quá "&amp;IF(((TDBC-$U26)*24)&lt;1,MAX(1,ROUND(((TDBC-$U26)*24)*60,0))&amp;" phút",IF(ROUND(((TDBC-$U26)*24),0)&lt;24,ROUND(((TDBC-$U26)*24),0)&amp;" giờ",INT(ROUND(((TDBC-$U26)*24),0)/24)&amp;" ngày"&amp;IF(MOD(ROUND(((TDBC-$U26)*24),0),24)&gt;0," "&amp;MOD(ROUND(((TDBC-$U26)*24),0),24)&amp;" giờ",""))),"Còn "&amp;IF((($U26-TDBC)*24)&lt;1,MAX(1,ROUND((($U26-TDBC)*24)*60,0))&amp;" phút",IF(ROUND((($U26-TDBC)*24),0)&lt;24,ROUND((($U26-TDBC)*24),0)&amp;" giờ",INT(ROUND((($U26-TDBC)*24),0)/24)&amp;" ngày"&amp;IF(MOD(ROUND((($U26-TDBC)*24),0),24)&gt;0," "&amp;MOD(ROUND((($U26-TDBC)*24),0),24)&amp;" giờ","")))))</f>
      </c>
      <c r="AA26" s="220">
        <f>IF($V26="Đã xử lý",_xlfn.MAXIFS('Nhật ký tiến độ'!$B$6:$B$3005,'Nhật ký tiến độ'!$C$6:$C$3005,$A26,'Nhật ký tiến độ'!$E$6:$E$3005,"Đã xử lý"),"")</f>
      </c>
      <c r="AB26" s="223">
        <f>IF($AI26="","",IF($AI26&lt;1,MAX(1,ROUND($AI26*60,0))&amp;" phút",IF(ROUND($AI26,0)&lt;24,ROUND($AI26,0)&amp;" giờ",INT(ROUND($AI26,0)/24)&amp;" ngày"&amp;IF(MOD(ROUND($AI26,0),24)&gt;0," "&amp;MOD(ROUND($AI26,0),24)&amp;" giờ",""))))</f>
      </c>
      <c r="AC26" s="223">
        <f>IF(OR($A26="",N($AH26)=0),"",IF($AI26&lt;&gt;"",IF($AI26&lt;=$AH26,"Trong ước tính","Vượt "&amp;IF(($AI26-$AH26)&lt;1,MAX(1,ROUND(($AI26-$AH26)*60,0))&amp;" phút",IF(ROUND(($AI26-$AH26),0)&lt;24,ROUND(($AI26-$AH26),0)&amp;" giờ",INT(ROUND(($AI26-$AH26),0)/24)&amp;" ngày"&amp;IF(MOD(ROUND(($AI26-$AH26),0),24)&gt;0," "&amp;MOD(ROUND(($AI26-$AH26),0),24)&amp;" giờ","")))),IF(OR($V26="Đã xử lý",N($B26)=0),"",IF((TDBC-$B26)*24&gt;$AH26,"Đã vượt ước tính","Đã dùng "&amp;TEXT((TDBC-$B26)*24/$AH26,"0%")))))</f>
      </c>
      <c r="AD26" s="223">
        <f>IF(N($AO26)=0,"",CHOOSE($AO26,"Nhắc nhở","Cảnh báo","Báo động","Báo động đỏ"))</f>
      </c>
      <c r="AE26" s="223">
        <f>IF(OR(N($AA26)=0,N($U26)=0),"",IF($AA26&lt;=$U26,"Đúng hạn","Trễ hạn"))</f>
      </c>
      <c r="AF26" s="220">
        <f>IF($A26="","",_xlfn.MAXIFS('Nhật ký tiến độ'!$B$6:$B$3005,'Nhật ký tiến độ'!$C$6:$C$3005,$A26))</f>
      </c>
      <c r="AG26" s="223">
        <f>IF($A26="","",IF(COUNTIF('Kế hoạch'!$M$6:$M$305,$A26)=0,"",COUNTIF('Kế hoạch'!$M$6:$M$305,$A26)&amp;" việc"))</f>
      </c>
      <c r="AH26" s="224">
        <f>IF(OR($A26="",N($O26)&lt;=0),"",IF($P26="Giờ",$O26,$O26*24))</f>
      </c>
      <c r="AI26" s="224">
        <f>IF(OR(N($AA26)=0,N($B26)=0),"",IF($AA26&lt;$B26,"",($AA26-$B26)*24))</f>
      </c>
      <c r="AJ26" s="225">
        <f>IF($A26="","",IF(COUNTIF('Nhật ký tiến độ'!$C$6:$C$3005,$A26)=0,0,_xlfn.MAXIFS('Nhật ký tiến độ'!$N$6:$N$3005,'Nhật ký tiến độ'!$C$6:$C$3005,$A26,'Nhật ký tiến độ'!$B$6:$B$3005,_xlfn.MAXIFS('Nhật ký tiến độ'!$B$6:$B$3005,'Nhật ký tiến độ'!$C$6:$C$3005,$A26))))</f>
      </c>
      <c r="AK26" s="225">
        <f>IF(OR($A26="",$V26="Đã xử lý"),"",IF(N($AO26)&gt;0,5-$AO26,IF($J26="Khẩn cấp",5,IF($Y26="Chậm tiến độ",6,IF(OR($Y26="Sắp đến hạn",$J26="Cao"),7,"")))))</f>
      </c>
      <c r="AL26" s="225">
        <f>IF($AK26="","",$AK26*100000+IF(N($U26)=0,99999,INT($U26))+ROW()/100000)</f>
      </c>
      <c r="AM26" s="225">
        <f>IF(OR($A26="",TRIM($K26)="",COUNTIF($K$6:$K26,$K26)&gt;1),0,1)</f>
      </c>
      <c r="AN26" s="225">
        <f>IF($AM26=1,SUM($AM$6:$AM26),"")</f>
      </c>
      <c r="AO26" s="225">
        <f>IF(OR($A26="",$V26="Đã xử lý",N($U26)=0),0,IF(TDBC&lt;=$U26,0,MAX(1,MIN(4,IF((TDBC-$U26)*24&lt;24,1,IF((TDBC-$U26)*24&lt;72,2,IF((TDBC-$U26)*24&lt;168,3,4)))+IFERROR(INDEX({2,1,0,-1},MATCH($J26,{"Khẩn cấp","Cao","Trung bình","Thấp"},0)),0)))))</f>
      </c>
    </row>
    <row r="27">
      <c r="A27" s="216"/>
      <c r="B27" s="217"/>
      <c r="C27" s="218"/>
      <c r="D27" s="218"/>
      <c r="E27" s="218"/>
      <c r="F27" s="218"/>
      <c r="G27" s="216"/>
      <c r="H27" s="218"/>
      <c r="I27" s="218"/>
      <c r="J27" s="216"/>
      <c r="K27" s="218"/>
      <c r="L27" s="218"/>
      <c r="M27" s="218"/>
      <c r="N27" s="218"/>
      <c r="O27" s="219"/>
      <c r="P27" s="216"/>
      <c r="Q27" s="217"/>
      <c r="R27" s="216"/>
      <c r="S27" s="218"/>
      <c r="T27" s="218"/>
      <c r="U27" s="220">
        <f>IF($A27="","",IF(N($Q27)&gt;0,IF(MOD($Q27,1)=0,$Q27+1-1/1440,$Q27),IF(N($B27)=0,"",$B27+IF(N($AH27)&gt;0,$AH27,IFERROR(INDEX(DM_SLA_Gio,MATCH($J27,DM_SLA_Cap,0)),168))/24)))</f>
      </c>
      <c r="V27" s="221">
        <f>IF($A27="","",IF(N($AJ27)=0,"Mới tiếp nhận",INDEX('Nhật ký tiến độ'!$E:$E,$AJ27)))</f>
      </c>
      <c r="W27" s="222">
        <f>IF($A27="","",IF($V27="Đã xử lý",1,IF(N($AJ27)=0,0,N(INDEX('Nhật ký tiến độ'!$D:$D,$AJ27)))))</f>
      </c>
      <c r="X27" s="222">
        <f>IF(OR($A27="",$V27="Đã xử lý",N($U27)=0,N($B27)=0),"",IF(TDBC&lt;=$B27,0,IF(TDBC&gt;=$U27,1,(TDBC-$B27)/($U27-$B27))))</f>
      </c>
      <c r="Y27" s="223">
        <f>IF($A27="","",IF($V27="Đã xử lý","Hoàn thành",IF(N($U27)=0,"Chưa đặt hạn",IF(TDBC&gt;$U27,"Quá hạn",IF(ROUND((N($X27)-$W27)*100,0)&gt;=20,"Chậm tiến độ",IF($U27-TDBC&lt;=1,"Sắp đến hạn","Đúng tiến độ"))))))</f>
      </c>
      <c r="Z27" s="223">
        <f>IF(OR($A27="",$V27="Đã xử lý",N($U27)=0),"",IF(TDBC&gt;$U27,"Quá "&amp;IF(((TDBC-$U27)*24)&lt;1,MAX(1,ROUND(((TDBC-$U27)*24)*60,0))&amp;" phút",IF(ROUND(((TDBC-$U27)*24),0)&lt;24,ROUND(((TDBC-$U27)*24),0)&amp;" giờ",INT(ROUND(((TDBC-$U27)*24),0)/24)&amp;" ngày"&amp;IF(MOD(ROUND(((TDBC-$U27)*24),0),24)&gt;0," "&amp;MOD(ROUND(((TDBC-$U27)*24),0),24)&amp;" giờ",""))),"Còn "&amp;IF((($U27-TDBC)*24)&lt;1,MAX(1,ROUND((($U27-TDBC)*24)*60,0))&amp;" phút",IF(ROUND((($U27-TDBC)*24),0)&lt;24,ROUND((($U27-TDBC)*24),0)&amp;" giờ",INT(ROUND((($U27-TDBC)*24),0)/24)&amp;" ngày"&amp;IF(MOD(ROUND((($U27-TDBC)*24),0),24)&gt;0," "&amp;MOD(ROUND((($U27-TDBC)*24),0),24)&amp;" giờ","")))))</f>
      </c>
      <c r="AA27" s="220">
        <f>IF($V27="Đã xử lý",_xlfn.MAXIFS('Nhật ký tiến độ'!$B$6:$B$3005,'Nhật ký tiến độ'!$C$6:$C$3005,$A27,'Nhật ký tiến độ'!$E$6:$E$3005,"Đã xử lý"),"")</f>
      </c>
      <c r="AB27" s="223">
        <f>IF($AI27="","",IF($AI27&lt;1,MAX(1,ROUND($AI27*60,0))&amp;" phút",IF(ROUND($AI27,0)&lt;24,ROUND($AI27,0)&amp;" giờ",INT(ROUND($AI27,0)/24)&amp;" ngày"&amp;IF(MOD(ROUND($AI27,0),24)&gt;0," "&amp;MOD(ROUND($AI27,0),24)&amp;" giờ",""))))</f>
      </c>
      <c r="AC27" s="223">
        <f>IF(OR($A27="",N($AH27)=0),"",IF($AI27&lt;&gt;"",IF($AI27&lt;=$AH27,"Trong ước tính","Vượt "&amp;IF(($AI27-$AH27)&lt;1,MAX(1,ROUND(($AI27-$AH27)*60,0))&amp;" phút",IF(ROUND(($AI27-$AH27),0)&lt;24,ROUND(($AI27-$AH27),0)&amp;" giờ",INT(ROUND(($AI27-$AH27),0)/24)&amp;" ngày"&amp;IF(MOD(ROUND(($AI27-$AH27),0),24)&gt;0," "&amp;MOD(ROUND(($AI27-$AH27),0),24)&amp;" giờ","")))),IF(OR($V27="Đã xử lý",N($B27)=0),"",IF((TDBC-$B27)*24&gt;$AH27,"Đã vượt ước tính","Đã dùng "&amp;TEXT((TDBC-$B27)*24/$AH27,"0%")))))</f>
      </c>
      <c r="AD27" s="223">
        <f>IF(N($AO27)=0,"",CHOOSE($AO27,"Nhắc nhở","Cảnh báo","Báo động","Báo động đỏ"))</f>
      </c>
      <c r="AE27" s="223">
        <f>IF(OR(N($AA27)=0,N($U27)=0),"",IF($AA27&lt;=$U27,"Đúng hạn","Trễ hạn"))</f>
      </c>
      <c r="AF27" s="220">
        <f>IF($A27="","",_xlfn.MAXIFS('Nhật ký tiến độ'!$B$6:$B$3005,'Nhật ký tiến độ'!$C$6:$C$3005,$A27))</f>
      </c>
      <c r="AG27" s="223">
        <f>IF($A27="","",IF(COUNTIF('Kế hoạch'!$M$6:$M$305,$A27)=0,"",COUNTIF('Kế hoạch'!$M$6:$M$305,$A27)&amp;" việc"))</f>
      </c>
      <c r="AH27" s="224">
        <f>IF(OR($A27="",N($O27)&lt;=0),"",IF($P27="Giờ",$O27,$O27*24))</f>
      </c>
      <c r="AI27" s="224">
        <f>IF(OR(N($AA27)=0,N($B27)=0),"",IF($AA27&lt;$B27,"",($AA27-$B27)*24))</f>
      </c>
      <c r="AJ27" s="225">
        <f>IF($A27="","",IF(COUNTIF('Nhật ký tiến độ'!$C$6:$C$3005,$A27)=0,0,_xlfn.MAXIFS('Nhật ký tiến độ'!$N$6:$N$3005,'Nhật ký tiến độ'!$C$6:$C$3005,$A27,'Nhật ký tiến độ'!$B$6:$B$3005,_xlfn.MAXIFS('Nhật ký tiến độ'!$B$6:$B$3005,'Nhật ký tiến độ'!$C$6:$C$3005,$A27))))</f>
      </c>
      <c r="AK27" s="225">
        <f>IF(OR($A27="",$V27="Đã xử lý"),"",IF(N($AO27)&gt;0,5-$AO27,IF($J27="Khẩn cấp",5,IF($Y27="Chậm tiến độ",6,IF(OR($Y27="Sắp đến hạn",$J27="Cao"),7,"")))))</f>
      </c>
      <c r="AL27" s="225">
        <f>IF($AK27="","",$AK27*100000+IF(N($U27)=0,99999,INT($U27))+ROW()/100000)</f>
      </c>
      <c r="AM27" s="225">
        <f>IF(OR($A27="",TRIM($K27)="",COUNTIF($K$6:$K27,$K27)&gt;1),0,1)</f>
      </c>
      <c r="AN27" s="225">
        <f>IF($AM27=1,SUM($AM$6:$AM27),"")</f>
      </c>
      <c r="AO27" s="225">
        <f>IF(OR($A27="",$V27="Đã xử lý",N($U27)=0),0,IF(TDBC&lt;=$U27,0,MAX(1,MIN(4,IF((TDBC-$U27)*24&lt;24,1,IF((TDBC-$U27)*24&lt;72,2,IF((TDBC-$U27)*24&lt;168,3,4)))+IFERROR(INDEX({2,1,0,-1},MATCH($J27,{"Khẩn cấp","Cao","Trung bình","Thấp"},0)),0)))))</f>
      </c>
    </row>
    <row r="28">
      <c r="A28" s="216"/>
      <c r="B28" s="217"/>
      <c r="C28" s="218"/>
      <c r="D28" s="218"/>
      <c r="E28" s="218"/>
      <c r="F28" s="218"/>
      <c r="G28" s="216"/>
      <c r="H28" s="218"/>
      <c r="I28" s="218"/>
      <c r="J28" s="216"/>
      <c r="K28" s="218"/>
      <c r="L28" s="218"/>
      <c r="M28" s="218"/>
      <c r="N28" s="218"/>
      <c r="O28" s="219"/>
      <c r="P28" s="216"/>
      <c r="Q28" s="217"/>
      <c r="R28" s="216"/>
      <c r="S28" s="218"/>
      <c r="T28" s="218"/>
      <c r="U28" s="220">
        <f>IF($A28="","",IF(N($Q28)&gt;0,IF(MOD($Q28,1)=0,$Q28+1-1/1440,$Q28),IF(N($B28)=0,"",$B28+IF(N($AH28)&gt;0,$AH28,IFERROR(INDEX(DM_SLA_Gio,MATCH($J28,DM_SLA_Cap,0)),168))/24)))</f>
      </c>
      <c r="V28" s="221">
        <f>IF($A28="","",IF(N($AJ28)=0,"Mới tiếp nhận",INDEX('Nhật ký tiến độ'!$E:$E,$AJ28)))</f>
      </c>
      <c r="W28" s="222">
        <f>IF($A28="","",IF($V28="Đã xử lý",1,IF(N($AJ28)=0,0,N(INDEX('Nhật ký tiến độ'!$D:$D,$AJ28)))))</f>
      </c>
      <c r="X28" s="222">
        <f>IF(OR($A28="",$V28="Đã xử lý",N($U28)=0,N($B28)=0),"",IF(TDBC&lt;=$B28,0,IF(TDBC&gt;=$U28,1,(TDBC-$B28)/($U28-$B28))))</f>
      </c>
      <c r="Y28" s="223">
        <f>IF($A28="","",IF($V28="Đã xử lý","Hoàn thành",IF(N($U28)=0,"Chưa đặt hạn",IF(TDBC&gt;$U28,"Quá hạn",IF(ROUND((N($X28)-$W28)*100,0)&gt;=20,"Chậm tiến độ",IF($U28-TDBC&lt;=1,"Sắp đến hạn","Đúng tiến độ"))))))</f>
      </c>
      <c r="Z28" s="223">
        <f>IF(OR($A28="",$V28="Đã xử lý",N($U28)=0),"",IF(TDBC&gt;$U28,"Quá "&amp;IF(((TDBC-$U28)*24)&lt;1,MAX(1,ROUND(((TDBC-$U28)*24)*60,0))&amp;" phút",IF(ROUND(((TDBC-$U28)*24),0)&lt;24,ROUND(((TDBC-$U28)*24),0)&amp;" giờ",INT(ROUND(((TDBC-$U28)*24),0)/24)&amp;" ngày"&amp;IF(MOD(ROUND(((TDBC-$U28)*24),0),24)&gt;0," "&amp;MOD(ROUND(((TDBC-$U28)*24),0),24)&amp;" giờ",""))),"Còn "&amp;IF((($U28-TDBC)*24)&lt;1,MAX(1,ROUND((($U28-TDBC)*24)*60,0))&amp;" phút",IF(ROUND((($U28-TDBC)*24),0)&lt;24,ROUND((($U28-TDBC)*24),0)&amp;" giờ",INT(ROUND((($U28-TDBC)*24),0)/24)&amp;" ngày"&amp;IF(MOD(ROUND((($U28-TDBC)*24),0),24)&gt;0," "&amp;MOD(ROUND((($U28-TDBC)*24),0),24)&amp;" giờ","")))))</f>
      </c>
      <c r="AA28" s="220">
        <f>IF($V28="Đã xử lý",_xlfn.MAXIFS('Nhật ký tiến độ'!$B$6:$B$3005,'Nhật ký tiến độ'!$C$6:$C$3005,$A28,'Nhật ký tiến độ'!$E$6:$E$3005,"Đã xử lý"),"")</f>
      </c>
      <c r="AB28" s="223">
        <f>IF($AI28="","",IF($AI28&lt;1,MAX(1,ROUND($AI28*60,0))&amp;" phút",IF(ROUND($AI28,0)&lt;24,ROUND($AI28,0)&amp;" giờ",INT(ROUND($AI28,0)/24)&amp;" ngày"&amp;IF(MOD(ROUND($AI28,0),24)&gt;0," "&amp;MOD(ROUND($AI28,0),24)&amp;" giờ",""))))</f>
      </c>
      <c r="AC28" s="223">
        <f>IF(OR($A28="",N($AH28)=0),"",IF($AI28&lt;&gt;"",IF($AI28&lt;=$AH28,"Trong ước tính","Vượt "&amp;IF(($AI28-$AH28)&lt;1,MAX(1,ROUND(($AI28-$AH28)*60,0))&amp;" phút",IF(ROUND(($AI28-$AH28),0)&lt;24,ROUND(($AI28-$AH28),0)&amp;" giờ",INT(ROUND(($AI28-$AH28),0)/24)&amp;" ngày"&amp;IF(MOD(ROUND(($AI28-$AH28),0),24)&gt;0," "&amp;MOD(ROUND(($AI28-$AH28),0),24)&amp;" giờ","")))),IF(OR($V28="Đã xử lý",N($B28)=0),"",IF((TDBC-$B28)*24&gt;$AH28,"Đã vượt ước tính","Đã dùng "&amp;TEXT((TDBC-$B28)*24/$AH28,"0%")))))</f>
      </c>
      <c r="AD28" s="223">
        <f>IF(N($AO28)=0,"",CHOOSE($AO28,"Nhắc nhở","Cảnh báo","Báo động","Báo động đỏ"))</f>
      </c>
      <c r="AE28" s="223">
        <f>IF(OR(N($AA28)=0,N($U28)=0),"",IF($AA28&lt;=$U28,"Đúng hạn","Trễ hạn"))</f>
      </c>
      <c r="AF28" s="220">
        <f>IF($A28="","",_xlfn.MAXIFS('Nhật ký tiến độ'!$B$6:$B$3005,'Nhật ký tiến độ'!$C$6:$C$3005,$A28))</f>
      </c>
      <c r="AG28" s="223">
        <f>IF($A28="","",IF(COUNTIF('Kế hoạch'!$M$6:$M$305,$A28)=0,"",COUNTIF('Kế hoạch'!$M$6:$M$305,$A28)&amp;" việc"))</f>
      </c>
      <c r="AH28" s="224">
        <f>IF(OR($A28="",N($O28)&lt;=0),"",IF($P28="Giờ",$O28,$O28*24))</f>
      </c>
      <c r="AI28" s="224">
        <f>IF(OR(N($AA28)=0,N($B28)=0),"",IF($AA28&lt;$B28,"",($AA28-$B28)*24))</f>
      </c>
      <c r="AJ28" s="225">
        <f>IF($A28="","",IF(COUNTIF('Nhật ký tiến độ'!$C$6:$C$3005,$A28)=0,0,_xlfn.MAXIFS('Nhật ký tiến độ'!$N$6:$N$3005,'Nhật ký tiến độ'!$C$6:$C$3005,$A28,'Nhật ký tiến độ'!$B$6:$B$3005,_xlfn.MAXIFS('Nhật ký tiến độ'!$B$6:$B$3005,'Nhật ký tiến độ'!$C$6:$C$3005,$A28))))</f>
      </c>
      <c r="AK28" s="225">
        <f>IF(OR($A28="",$V28="Đã xử lý"),"",IF(N($AO28)&gt;0,5-$AO28,IF($J28="Khẩn cấp",5,IF($Y28="Chậm tiến độ",6,IF(OR($Y28="Sắp đến hạn",$J28="Cao"),7,"")))))</f>
      </c>
      <c r="AL28" s="225">
        <f>IF($AK28="","",$AK28*100000+IF(N($U28)=0,99999,INT($U28))+ROW()/100000)</f>
      </c>
      <c r="AM28" s="225">
        <f>IF(OR($A28="",TRIM($K28)="",COUNTIF($K$6:$K28,$K28)&gt;1),0,1)</f>
      </c>
      <c r="AN28" s="225">
        <f>IF($AM28=1,SUM($AM$6:$AM28),"")</f>
      </c>
      <c r="AO28" s="225">
        <f>IF(OR($A28="",$V28="Đã xử lý",N($U28)=0),0,IF(TDBC&lt;=$U28,0,MAX(1,MIN(4,IF((TDBC-$U28)*24&lt;24,1,IF((TDBC-$U28)*24&lt;72,2,IF((TDBC-$U28)*24&lt;168,3,4)))+IFERROR(INDEX({2,1,0,-1},MATCH($J28,{"Khẩn cấp","Cao","Trung bình","Thấp"},0)),0)))))</f>
      </c>
    </row>
    <row r="29">
      <c r="A29" s="216"/>
      <c r="B29" s="217"/>
      <c r="C29" s="218"/>
      <c r="D29" s="218"/>
      <c r="E29" s="218"/>
      <c r="F29" s="218"/>
      <c r="G29" s="216"/>
      <c r="H29" s="218"/>
      <c r="I29" s="218"/>
      <c r="J29" s="216"/>
      <c r="K29" s="218"/>
      <c r="L29" s="218"/>
      <c r="M29" s="218"/>
      <c r="N29" s="218"/>
      <c r="O29" s="219"/>
      <c r="P29" s="216"/>
      <c r="Q29" s="217"/>
      <c r="R29" s="216"/>
      <c r="S29" s="218"/>
      <c r="T29" s="218"/>
      <c r="U29" s="220">
        <f>IF($A29="","",IF(N($Q29)&gt;0,IF(MOD($Q29,1)=0,$Q29+1-1/1440,$Q29),IF(N($B29)=0,"",$B29+IF(N($AH29)&gt;0,$AH29,IFERROR(INDEX(DM_SLA_Gio,MATCH($J29,DM_SLA_Cap,0)),168))/24)))</f>
      </c>
      <c r="V29" s="221">
        <f>IF($A29="","",IF(N($AJ29)=0,"Mới tiếp nhận",INDEX('Nhật ký tiến độ'!$E:$E,$AJ29)))</f>
      </c>
      <c r="W29" s="222">
        <f>IF($A29="","",IF($V29="Đã xử lý",1,IF(N($AJ29)=0,0,N(INDEX('Nhật ký tiến độ'!$D:$D,$AJ29)))))</f>
      </c>
      <c r="X29" s="222">
        <f>IF(OR($A29="",$V29="Đã xử lý",N($U29)=0,N($B29)=0),"",IF(TDBC&lt;=$B29,0,IF(TDBC&gt;=$U29,1,(TDBC-$B29)/($U29-$B29))))</f>
      </c>
      <c r="Y29" s="223">
        <f>IF($A29="","",IF($V29="Đã xử lý","Hoàn thành",IF(N($U29)=0,"Chưa đặt hạn",IF(TDBC&gt;$U29,"Quá hạn",IF(ROUND((N($X29)-$W29)*100,0)&gt;=20,"Chậm tiến độ",IF($U29-TDBC&lt;=1,"Sắp đến hạn","Đúng tiến độ"))))))</f>
      </c>
      <c r="Z29" s="223">
        <f>IF(OR($A29="",$V29="Đã xử lý",N($U29)=0),"",IF(TDBC&gt;$U29,"Quá "&amp;IF(((TDBC-$U29)*24)&lt;1,MAX(1,ROUND(((TDBC-$U29)*24)*60,0))&amp;" phút",IF(ROUND(((TDBC-$U29)*24),0)&lt;24,ROUND(((TDBC-$U29)*24),0)&amp;" giờ",INT(ROUND(((TDBC-$U29)*24),0)/24)&amp;" ngày"&amp;IF(MOD(ROUND(((TDBC-$U29)*24),0),24)&gt;0," "&amp;MOD(ROUND(((TDBC-$U29)*24),0),24)&amp;" giờ",""))),"Còn "&amp;IF((($U29-TDBC)*24)&lt;1,MAX(1,ROUND((($U29-TDBC)*24)*60,0))&amp;" phút",IF(ROUND((($U29-TDBC)*24),0)&lt;24,ROUND((($U29-TDBC)*24),0)&amp;" giờ",INT(ROUND((($U29-TDBC)*24),0)/24)&amp;" ngày"&amp;IF(MOD(ROUND((($U29-TDBC)*24),0),24)&gt;0," "&amp;MOD(ROUND((($U29-TDBC)*24),0),24)&amp;" giờ","")))))</f>
      </c>
      <c r="AA29" s="220">
        <f>IF($V29="Đã xử lý",_xlfn.MAXIFS('Nhật ký tiến độ'!$B$6:$B$3005,'Nhật ký tiến độ'!$C$6:$C$3005,$A29,'Nhật ký tiến độ'!$E$6:$E$3005,"Đã xử lý"),"")</f>
      </c>
      <c r="AB29" s="223">
        <f>IF($AI29="","",IF($AI29&lt;1,MAX(1,ROUND($AI29*60,0))&amp;" phút",IF(ROUND($AI29,0)&lt;24,ROUND($AI29,0)&amp;" giờ",INT(ROUND($AI29,0)/24)&amp;" ngày"&amp;IF(MOD(ROUND($AI29,0),24)&gt;0," "&amp;MOD(ROUND($AI29,0),24)&amp;" giờ",""))))</f>
      </c>
      <c r="AC29" s="223">
        <f>IF(OR($A29="",N($AH29)=0),"",IF($AI29&lt;&gt;"",IF($AI29&lt;=$AH29,"Trong ước tính","Vượt "&amp;IF(($AI29-$AH29)&lt;1,MAX(1,ROUND(($AI29-$AH29)*60,0))&amp;" phút",IF(ROUND(($AI29-$AH29),0)&lt;24,ROUND(($AI29-$AH29),0)&amp;" giờ",INT(ROUND(($AI29-$AH29),0)/24)&amp;" ngày"&amp;IF(MOD(ROUND(($AI29-$AH29),0),24)&gt;0," "&amp;MOD(ROUND(($AI29-$AH29),0),24)&amp;" giờ","")))),IF(OR($V29="Đã xử lý",N($B29)=0),"",IF((TDBC-$B29)*24&gt;$AH29,"Đã vượt ước tính","Đã dùng "&amp;TEXT((TDBC-$B29)*24/$AH29,"0%")))))</f>
      </c>
      <c r="AD29" s="223">
        <f>IF(N($AO29)=0,"",CHOOSE($AO29,"Nhắc nhở","Cảnh báo","Báo động","Báo động đỏ"))</f>
      </c>
      <c r="AE29" s="223">
        <f>IF(OR(N($AA29)=0,N($U29)=0),"",IF($AA29&lt;=$U29,"Đúng hạn","Trễ hạn"))</f>
      </c>
      <c r="AF29" s="220">
        <f>IF($A29="","",_xlfn.MAXIFS('Nhật ký tiến độ'!$B$6:$B$3005,'Nhật ký tiến độ'!$C$6:$C$3005,$A29))</f>
      </c>
      <c r="AG29" s="223">
        <f>IF($A29="","",IF(COUNTIF('Kế hoạch'!$M$6:$M$305,$A29)=0,"",COUNTIF('Kế hoạch'!$M$6:$M$305,$A29)&amp;" việc"))</f>
      </c>
      <c r="AH29" s="224">
        <f>IF(OR($A29="",N($O29)&lt;=0),"",IF($P29="Giờ",$O29,$O29*24))</f>
      </c>
      <c r="AI29" s="224">
        <f>IF(OR(N($AA29)=0,N($B29)=0),"",IF($AA29&lt;$B29,"",($AA29-$B29)*24))</f>
      </c>
      <c r="AJ29" s="225">
        <f>IF($A29="","",IF(COUNTIF('Nhật ký tiến độ'!$C$6:$C$3005,$A29)=0,0,_xlfn.MAXIFS('Nhật ký tiến độ'!$N$6:$N$3005,'Nhật ký tiến độ'!$C$6:$C$3005,$A29,'Nhật ký tiến độ'!$B$6:$B$3005,_xlfn.MAXIFS('Nhật ký tiến độ'!$B$6:$B$3005,'Nhật ký tiến độ'!$C$6:$C$3005,$A29))))</f>
      </c>
      <c r="AK29" s="225">
        <f>IF(OR($A29="",$V29="Đã xử lý"),"",IF(N($AO29)&gt;0,5-$AO29,IF($J29="Khẩn cấp",5,IF($Y29="Chậm tiến độ",6,IF(OR($Y29="Sắp đến hạn",$J29="Cao"),7,"")))))</f>
      </c>
      <c r="AL29" s="225">
        <f>IF($AK29="","",$AK29*100000+IF(N($U29)=0,99999,INT($U29))+ROW()/100000)</f>
      </c>
      <c r="AM29" s="225">
        <f>IF(OR($A29="",TRIM($K29)="",COUNTIF($K$6:$K29,$K29)&gt;1),0,1)</f>
      </c>
      <c r="AN29" s="225">
        <f>IF($AM29=1,SUM($AM$6:$AM29),"")</f>
      </c>
      <c r="AO29" s="225">
        <f>IF(OR($A29="",$V29="Đã xử lý",N($U29)=0),0,IF(TDBC&lt;=$U29,0,MAX(1,MIN(4,IF((TDBC-$U29)*24&lt;24,1,IF((TDBC-$U29)*24&lt;72,2,IF((TDBC-$U29)*24&lt;168,3,4)))+IFERROR(INDEX({2,1,0,-1},MATCH($J29,{"Khẩn cấp","Cao","Trung bình","Thấp"},0)),0)))))</f>
      </c>
    </row>
    <row r="30">
      <c r="A30" s="216"/>
      <c r="B30" s="217"/>
      <c r="C30" s="218"/>
      <c r="D30" s="218"/>
      <c r="E30" s="218"/>
      <c r="F30" s="218"/>
      <c r="G30" s="216"/>
      <c r="H30" s="218"/>
      <c r="I30" s="218"/>
      <c r="J30" s="216"/>
      <c r="K30" s="218"/>
      <c r="L30" s="218"/>
      <c r="M30" s="218"/>
      <c r="N30" s="218"/>
      <c r="O30" s="219"/>
      <c r="P30" s="216"/>
      <c r="Q30" s="217"/>
      <c r="R30" s="216"/>
      <c r="S30" s="218"/>
      <c r="T30" s="218"/>
      <c r="U30" s="220">
        <f>IF($A30="","",IF(N($Q30)&gt;0,IF(MOD($Q30,1)=0,$Q30+1-1/1440,$Q30),IF(N($B30)=0,"",$B30+IF(N($AH30)&gt;0,$AH30,IFERROR(INDEX(DM_SLA_Gio,MATCH($J30,DM_SLA_Cap,0)),168))/24)))</f>
      </c>
      <c r="V30" s="221">
        <f>IF($A30="","",IF(N($AJ30)=0,"Mới tiếp nhận",INDEX('Nhật ký tiến độ'!$E:$E,$AJ30)))</f>
      </c>
      <c r="W30" s="222">
        <f>IF($A30="","",IF($V30="Đã xử lý",1,IF(N($AJ30)=0,0,N(INDEX('Nhật ký tiến độ'!$D:$D,$AJ30)))))</f>
      </c>
      <c r="X30" s="222">
        <f>IF(OR($A30="",$V30="Đã xử lý",N($U30)=0,N($B30)=0),"",IF(TDBC&lt;=$B30,0,IF(TDBC&gt;=$U30,1,(TDBC-$B30)/($U30-$B30))))</f>
      </c>
      <c r="Y30" s="223">
        <f>IF($A30="","",IF($V30="Đã xử lý","Hoàn thành",IF(N($U30)=0,"Chưa đặt hạn",IF(TDBC&gt;$U30,"Quá hạn",IF(ROUND((N($X30)-$W30)*100,0)&gt;=20,"Chậm tiến độ",IF($U30-TDBC&lt;=1,"Sắp đến hạn","Đúng tiến độ"))))))</f>
      </c>
      <c r="Z30" s="223">
        <f>IF(OR($A30="",$V30="Đã xử lý",N($U30)=0),"",IF(TDBC&gt;$U30,"Quá "&amp;IF(((TDBC-$U30)*24)&lt;1,MAX(1,ROUND(((TDBC-$U30)*24)*60,0))&amp;" phút",IF(ROUND(((TDBC-$U30)*24),0)&lt;24,ROUND(((TDBC-$U30)*24),0)&amp;" giờ",INT(ROUND(((TDBC-$U30)*24),0)/24)&amp;" ngày"&amp;IF(MOD(ROUND(((TDBC-$U30)*24),0),24)&gt;0," "&amp;MOD(ROUND(((TDBC-$U30)*24),0),24)&amp;" giờ",""))),"Còn "&amp;IF((($U30-TDBC)*24)&lt;1,MAX(1,ROUND((($U30-TDBC)*24)*60,0))&amp;" phút",IF(ROUND((($U30-TDBC)*24),0)&lt;24,ROUND((($U30-TDBC)*24),0)&amp;" giờ",INT(ROUND((($U30-TDBC)*24),0)/24)&amp;" ngày"&amp;IF(MOD(ROUND((($U30-TDBC)*24),0),24)&gt;0," "&amp;MOD(ROUND((($U30-TDBC)*24),0),24)&amp;" giờ","")))))</f>
      </c>
      <c r="AA30" s="220">
        <f>IF($V30="Đã xử lý",_xlfn.MAXIFS('Nhật ký tiến độ'!$B$6:$B$3005,'Nhật ký tiến độ'!$C$6:$C$3005,$A30,'Nhật ký tiến độ'!$E$6:$E$3005,"Đã xử lý"),"")</f>
      </c>
      <c r="AB30" s="223">
        <f>IF($AI30="","",IF($AI30&lt;1,MAX(1,ROUND($AI30*60,0))&amp;" phút",IF(ROUND($AI30,0)&lt;24,ROUND($AI30,0)&amp;" giờ",INT(ROUND($AI30,0)/24)&amp;" ngày"&amp;IF(MOD(ROUND($AI30,0),24)&gt;0," "&amp;MOD(ROUND($AI30,0),24)&amp;" giờ",""))))</f>
      </c>
      <c r="AC30" s="223">
        <f>IF(OR($A30="",N($AH30)=0),"",IF($AI30&lt;&gt;"",IF($AI30&lt;=$AH30,"Trong ước tính","Vượt "&amp;IF(($AI30-$AH30)&lt;1,MAX(1,ROUND(($AI30-$AH30)*60,0))&amp;" phút",IF(ROUND(($AI30-$AH30),0)&lt;24,ROUND(($AI30-$AH30),0)&amp;" giờ",INT(ROUND(($AI30-$AH30),0)/24)&amp;" ngày"&amp;IF(MOD(ROUND(($AI30-$AH30),0),24)&gt;0," "&amp;MOD(ROUND(($AI30-$AH30),0),24)&amp;" giờ","")))),IF(OR($V30="Đã xử lý",N($B30)=0),"",IF((TDBC-$B30)*24&gt;$AH30,"Đã vượt ước tính","Đã dùng "&amp;TEXT((TDBC-$B30)*24/$AH30,"0%")))))</f>
      </c>
      <c r="AD30" s="223">
        <f>IF(N($AO30)=0,"",CHOOSE($AO30,"Nhắc nhở","Cảnh báo","Báo động","Báo động đỏ"))</f>
      </c>
      <c r="AE30" s="223">
        <f>IF(OR(N($AA30)=0,N($U30)=0),"",IF($AA30&lt;=$U30,"Đúng hạn","Trễ hạn"))</f>
      </c>
      <c r="AF30" s="220">
        <f>IF($A30="","",_xlfn.MAXIFS('Nhật ký tiến độ'!$B$6:$B$3005,'Nhật ký tiến độ'!$C$6:$C$3005,$A30))</f>
      </c>
      <c r="AG30" s="223">
        <f>IF($A30="","",IF(COUNTIF('Kế hoạch'!$M$6:$M$305,$A30)=0,"",COUNTIF('Kế hoạch'!$M$6:$M$305,$A30)&amp;" việc"))</f>
      </c>
      <c r="AH30" s="224">
        <f>IF(OR($A30="",N($O30)&lt;=0),"",IF($P30="Giờ",$O30,$O30*24))</f>
      </c>
      <c r="AI30" s="224">
        <f>IF(OR(N($AA30)=0,N($B30)=0),"",IF($AA30&lt;$B30,"",($AA30-$B30)*24))</f>
      </c>
      <c r="AJ30" s="225">
        <f>IF($A30="","",IF(COUNTIF('Nhật ký tiến độ'!$C$6:$C$3005,$A30)=0,0,_xlfn.MAXIFS('Nhật ký tiến độ'!$N$6:$N$3005,'Nhật ký tiến độ'!$C$6:$C$3005,$A30,'Nhật ký tiến độ'!$B$6:$B$3005,_xlfn.MAXIFS('Nhật ký tiến độ'!$B$6:$B$3005,'Nhật ký tiến độ'!$C$6:$C$3005,$A30))))</f>
      </c>
      <c r="AK30" s="225">
        <f>IF(OR($A30="",$V30="Đã xử lý"),"",IF(N($AO30)&gt;0,5-$AO30,IF($J30="Khẩn cấp",5,IF($Y30="Chậm tiến độ",6,IF(OR($Y30="Sắp đến hạn",$J30="Cao"),7,"")))))</f>
      </c>
      <c r="AL30" s="225">
        <f>IF($AK30="","",$AK30*100000+IF(N($U30)=0,99999,INT($U30))+ROW()/100000)</f>
      </c>
      <c r="AM30" s="225">
        <f>IF(OR($A30="",TRIM($K30)="",COUNTIF($K$6:$K30,$K30)&gt;1),0,1)</f>
      </c>
      <c r="AN30" s="225">
        <f>IF($AM30=1,SUM($AM$6:$AM30),"")</f>
      </c>
      <c r="AO30" s="225">
        <f>IF(OR($A30="",$V30="Đã xử lý",N($U30)=0),0,IF(TDBC&lt;=$U30,0,MAX(1,MIN(4,IF((TDBC-$U30)*24&lt;24,1,IF((TDBC-$U30)*24&lt;72,2,IF((TDBC-$U30)*24&lt;168,3,4)))+IFERROR(INDEX({2,1,0,-1},MATCH($J30,{"Khẩn cấp","Cao","Trung bình","Thấp"},0)),0)))))</f>
      </c>
    </row>
    <row r="31">
      <c r="A31" s="216"/>
      <c r="B31" s="217"/>
      <c r="C31" s="218"/>
      <c r="D31" s="218"/>
      <c r="E31" s="218"/>
      <c r="F31" s="218"/>
      <c r="G31" s="216"/>
      <c r="H31" s="218"/>
      <c r="I31" s="218"/>
      <c r="J31" s="216"/>
      <c r="K31" s="218"/>
      <c r="L31" s="218"/>
      <c r="M31" s="218"/>
      <c r="N31" s="218"/>
      <c r="O31" s="219"/>
      <c r="P31" s="216"/>
      <c r="Q31" s="217"/>
      <c r="R31" s="216"/>
      <c r="S31" s="218"/>
      <c r="T31" s="218"/>
      <c r="U31" s="220">
        <f>IF($A31="","",IF(N($Q31)&gt;0,IF(MOD($Q31,1)=0,$Q31+1-1/1440,$Q31),IF(N($B31)=0,"",$B31+IF(N($AH31)&gt;0,$AH31,IFERROR(INDEX(DM_SLA_Gio,MATCH($J31,DM_SLA_Cap,0)),168))/24)))</f>
      </c>
      <c r="V31" s="221">
        <f>IF($A31="","",IF(N($AJ31)=0,"Mới tiếp nhận",INDEX('Nhật ký tiến độ'!$E:$E,$AJ31)))</f>
      </c>
      <c r="W31" s="222">
        <f>IF($A31="","",IF($V31="Đã xử lý",1,IF(N($AJ31)=0,0,N(INDEX('Nhật ký tiến độ'!$D:$D,$AJ31)))))</f>
      </c>
      <c r="X31" s="222">
        <f>IF(OR($A31="",$V31="Đã xử lý",N($U31)=0,N($B31)=0),"",IF(TDBC&lt;=$B31,0,IF(TDBC&gt;=$U31,1,(TDBC-$B31)/($U31-$B31))))</f>
      </c>
      <c r="Y31" s="223">
        <f>IF($A31="","",IF($V31="Đã xử lý","Hoàn thành",IF(N($U31)=0,"Chưa đặt hạn",IF(TDBC&gt;$U31,"Quá hạn",IF(ROUND((N($X31)-$W31)*100,0)&gt;=20,"Chậm tiến độ",IF($U31-TDBC&lt;=1,"Sắp đến hạn","Đúng tiến độ"))))))</f>
      </c>
      <c r="Z31" s="223">
        <f>IF(OR($A31="",$V31="Đã xử lý",N($U31)=0),"",IF(TDBC&gt;$U31,"Quá "&amp;IF(((TDBC-$U31)*24)&lt;1,MAX(1,ROUND(((TDBC-$U31)*24)*60,0))&amp;" phút",IF(ROUND(((TDBC-$U31)*24),0)&lt;24,ROUND(((TDBC-$U31)*24),0)&amp;" giờ",INT(ROUND(((TDBC-$U31)*24),0)/24)&amp;" ngày"&amp;IF(MOD(ROUND(((TDBC-$U31)*24),0),24)&gt;0," "&amp;MOD(ROUND(((TDBC-$U31)*24),0),24)&amp;" giờ",""))),"Còn "&amp;IF((($U31-TDBC)*24)&lt;1,MAX(1,ROUND((($U31-TDBC)*24)*60,0))&amp;" phút",IF(ROUND((($U31-TDBC)*24),0)&lt;24,ROUND((($U31-TDBC)*24),0)&amp;" giờ",INT(ROUND((($U31-TDBC)*24),0)/24)&amp;" ngày"&amp;IF(MOD(ROUND((($U31-TDBC)*24),0),24)&gt;0," "&amp;MOD(ROUND((($U31-TDBC)*24),0),24)&amp;" giờ","")))))</f>
      </c>
      <c r="AA31" s="220">
        <f>IF($V31="Đã xử lý",_xlfn.MAXIFS('Nhật ký tiến độ'!$B$6:$B$3005,'Nhật ký tiến độ'!$C$6:$C$3005,$A31,'Nhật ký tiến độ'!$E$6:$E$3005,"Đã xử lý"),"")</f>
      </c>
      <c r="AB31" s="223">
        <f>IF($AI31="","",IF($AI31&lt;1,MAX(1,ROUND($AI31*60,0))&amp;" phút",IF(ROUND($AI31,0)&lt;24,ROUND($AI31,0)&amp;" giờ",INT(ROUND($AI31,0)/24)&amp;" ngày"&amp;IF(MOD(ROUND($AI31,0),24)&gt;0," "&amp;MOD(ROUND($AI31,0),24)&amp;" giờ",""))))</f>
      </c>
      <c r="AC31" s="223">
        <f>IF(OR($A31="",N($AH31)=0),"",IF($AI31&lt;&gt;"",IF($AI31&lt;=$AH31,"Trong ước tính","Vượt "&amp;IF(($AI31-$AH31)&lt;1,MAX(1,ROUND(($AI31-$AH31)*60,0))&amp;" phút",IF(ROUND(($AI31-$AH31),0)&lt;24,ROUND(($AI31-$AH31),0)&amp;" giờ",INT(ROUND(($AI31-$AH31),0)/24)&amp;" ngày"&amp;IF(MOD(ROUND(($AI31-$AH31),0),24)&gt;0," "&amp;MOD(ROUND(($AI31-$AH31),0),24)&amp;" giờ","")))),IF(OR($V31="Đã xử lý",N($B31)=0),"",IF((TDBC-$B31)*24&gt;$AH31,"Đã vượt ước tính","Đã dùng "&amp;TEXT((TDBC-$B31)*24/$AH31,"0%")))))</f>
      </c>
      <c r="AD31" s="223">
        <f>IF(N($AO31)=0,"",CHOOSE($AO31,"Nhắc nhở","Cảnh báo","Báo động","Báo động đỏ"))</f>
      </c>
      <c r="AE31" s="223">
        <f>IF(OR(N($AA31)=0,N($U31)=0),"",IF($AA31&lt;=$U31,"Đúng hạn","Trễ hạn"))</f>
      </c>
      <c r="AF31" s="220">
        <f>IF($A31="","",_xlfn.MAXIFS('Nhật ký tiến độ'!$B$6:$B$3005,'Nhật ký tiến độ'!$C$6:$C$3005,$A31))</f>
      </c>
      <c r="AG31" s="223">
        <f>IF($A31="","",IF(COUNTIF('Kế hoạch'!$M$6:$M$305,$A31)=0,"",COUNTIF('Kế hoạch'!$M$6:$M$305,$A31)&amp;" việc"))</f>
      </c>
      <c r="AH31" s="224">
        <f>IF(OR($A31="",N($O31)&lt;=0),"",IF($P31="Giờ",$O31,$O31*24))</f>
      </c>
      <c r="AI31" s="224">
        <f>IF(OR(N($AA31)=0,N($B31)=0),"",IF($AA31&lt;$B31,"",($AA31-$B31)*24))</f>
      </c>
      <c r="AJ31" s="225">
        <f>IF($A31="","",IF(COUNTIF('Nhật ký tiến độ'!$C$6:$C$3005,$A31)=0,0,_xlfn.MAXIFS('Nhật ký tiến độ'!$N$6:$N$3005,'Nhật ký tiến độ'!$C$6:$C$3005,$A31,'Nhật ký tiến độ'!$B$6:$B$3005,_xlfn.MAXIFS('Nhật ký tiến độ'!$B$6:$B$3005,'Nhật ký tiến độ'!$C$6:$C$3005,$A31))))</f>
      </c>
      <c r="AK31" s="225">
        <f>IF(OR($A31="",$V31="Đã xử lý"),"",IF(N($AO31)&gt;0,5-$AO31,IF($J31="Khẩn cấp",5,IF($Y31="Chậm tiến độ",6,IF(OR($Y31="Sắp đến hạn",$J31="Cao"),7,"")))))</f>
      </c>
      <c r="AL31" s="225">
        <f>IF($AK31="","",$AK31*100000+IF(N($U31)=0,99999,INT($U31))+ROW()/100000)</f>
      </c>
      <c r="AM31" s="225">
        <f>IF(OR($A31="",TRIM($K31)="",COUNTIF($K$6:$K31,$K31)&gt;1),0,1)</f>
      </c>
      <c r="AN31" s="225">
        <f>IF($AM31=1,SUM($AM$6:$AM31),"")</f>
      </c>
      <c r="AO31" s="225">
        <f>IF(OR($A31="",$V31="Đã xử lý",N($U31)=0),0,IF(TDBC&lt;=$U31,0,MAX(1,MIN(4,IF((TDBC-$U31)*24&lt;24,1,IF((TDBC-$U31)*24&lt;72,2,IF((TDBC-$U31)*24&lt;168,3,4)))+IFERROR(INDEX({2,1,0,-1},MATCH($J31,{"Khẩn cấp","Cao","Trung bình","Thấp"},0)),0)))))</f>
      </c>
    </row>
    <row r="32">
      <c r="A32" s="216"/>
      <c r="B32" s="217"/>
      <c r="C32" s="218"/>
      <c r="D32" s="218"/>
      <c r="E32" s="218"/>
      <c r="F32" s="218"/>
      <c r="G32" s="216"/>
      <c r="H32" s="218"/>
      <c r="I32" s="218"/>
      <c r="J32" s="216"/>
      <c r="K32" s="218"/>
      <c r="L32" s="218"/>
      <c r="M32" s="218"/>
      <c r="N32" s="218"/>
      <c r="O32" s="219"/>
      <c r="P32" s="216"/>
      <c r="Q32" s="217"/>
      <c r="R32" s="216"/>
      <c r="S32" s="218"/>
      <c r="T32" s="218"/>
      <c r="U32" s="220">
        <f>IF($A32="","",IF(N($Q32)&gt;0,IF(MOD($Q32,1)=0,$Q32+1-1/1440,$Q32),IF(N($B32)=0,"",$B32+IF(N($AH32)&gt;0,$AH32,IFERROR(INDEX(DM_SLA_Gio,MATCH($J32,DM_SLA_Cap,0)),168))/24)))</f>
      </c>
      <c r="V32" s="221">
        <f>IF($A32="","",IF(N($AJ32)=0,"Mới tiếp nhận",INDEX('Nhật ký tiến độ'!$E:$E,$AJ32)))</f>
      </c>
      <c r="W32" s="222">
        <f>IF($A32="","",IF($V32="Đã xử lý",1,IF(N($AJ32)=0,0,N(INDEX('Nhật ký tiến độ'!$D:$D,$AJ32)))))</f>
      </c>
      <c r="X32" s="222">
        <f>IF(OR($A32="",$V32="Đã xử lý",N($U32)=0,N($B32)=0),"",IF(TDBC&lt;=$B32,0,IF(TDBC&gt;=$U32,1,(TDBC-$B32)/($U32-$B32))))</f>
      </c>
      <c r="Y32" s="223">
        <f>IF($A32="","",IF($V32="Đã xử lý","Hoàn thành",IF(N($U32)=0,"Chưa đặt hạn",IF(TDBC&gt;$U32,"Quá hạn",IF(ROUND((N($X32)-$W32)*100,0)&gt;=20,"Chậm tiến độ",IF($U32-TDBC&lt;=1,"Sắp đến hạn","Đúng tiến độ"))))))</f>
      </c>
      <c r="Z32" s="223">
        <f>IF(OR($A32="",$V32="Đã xử lý",N($U32)=0),"",IF(TDBC&gt;$U32,"Quá "&amp;IF(((TDBC-$U32)*24)&lt;1,MAX(1,ROUND(((TDBC-$U32)*24)*60,0))&amp;" phút",IF(ROUND(((TDBC-$U32)*24),0)&lt;24,ROUND(((TDBC-$U32)*24),0)&amp;" giờ",INT(ROUND(((TDBC-$U32)*24),0)/24)&amp;" ngày"&amp;IF(MOD(ROUND(((TDBC-$U32)*24),0),24)&gt;0," "&amp;MOD(ROUND(((TDBC-$U32)*24),0),24)&amp;" giờ",""))),"Còn "&amp;IF((($U32-TDBC)*24)&lt;1,MAX(1,ROUND((($U32-TDBC)*24)*60,0))&amp;" phút",IF(ROUND((($U32-TDBC)*24),0)&lt;24,ROUND((($U32-TDBC)*24),0)&amp;" giờ",INT(ROUND((($U32-TDBC)*24),0)/24)&amp;" ngày"&amp;IF(MOD(ROUND((($U32-TDBC)*24),0),24)&gt;0," "&amp;MOD(ROUND((($U32-TDBC)*24),0),24)&amp;" giờ","")))))</f>
      </c>
      <c r="AA32" s="220">
        <f>IF($V32="Đã xử lý",_xlfn.MAXIFS('Nhật ký tiến độ'!$B$6:$B$3005,'Nhật ký tiến độ'!$C$6:$C$3005,$A32,'Nhật ký tiến độ'!$E$6:$E$3005,"Đã xử lý"),"")</f>
      </c>
      <c r="AB32" s="223">
        <f>IF($AI32="","",IF($AI32&lt;1,MAX(1,ROUND($AI32*60,0))&amp;" phút",IF(ROUND($AI32,0)&lt;24,ROUND($AI32,0)&amp;" giờ",INT(ROUND($AI32,0)/24)&amp;" ngày"&amp;IF(MOD(ROUND($AI32,0),24)&gt;0," "&amp;MOD(ROUND($AI32,0),24)&amp;" giờ",""))))</f>
      </c>
      <c r="AC32" s="223">
        <f>IF(OR($A32="",N($AH32)=0),"",IF($AI32&lt;&gt;"",IF($AI32&lt;=$AH32,"Trong ước tính","Vượt "&amp;IF(($AI32-$AH32)&lt;1,MAX(1,ROUND(($AI32-$AH32)*60,0))&amp;" phút",IF(ROUND(($AI32-$AH32),0)&lt;24,ROUND(($AI32-$AH32),0)&amp;" giờ",INT(ROUND(($AI32-$AH32),0)/24)&amp;" ngày"&amp;IF(MOD(ROUND(($AI32-$AH32),0),24)&gt;0," "&amp;MOD(ROUND(($AI32-$AH32),0),24)&amp;" giờ","")))),IF(OR($V32="Đã xử lý",N($B32)=0),"",IF((TDBC-$B32)*24&gt;$AH32,"Đã vượt ước tính","Đã dùng "&amp;TEXT((TDBC-$B32)*24/$AH32,"0%")))))</f>
      </c>
      <c r="AD32" s="223">
        <f>IF(N($AO32)=0,"",CHOOSE($AO32,"Nhắc nhở","Cảnh báo","Báo động","Báo động đỏ"))</f>
      </c>
      <c r="AE32" s="223">
        <f>IF(OR(N($AA32)=0,N($U32)=0),"",IF($AA32&lt;=$U32,"Đúng hạn","Trễ hạn"))</f>
      </c>
      <c r="AF32" s="220">
        <f>IF($A32="","",_xlfn.MAXIFS('Nhật ký tiến độ'!$B$6:$B$3005,'Nhật ký tiến độ'!$C$6:$C$3005,$A32))</f>
      </c>
      <c r="AG32" s="223">
        <f>IF($A32="","",IF(COUNTIF('Kế hoạch'!$M$6:$M$305,$A32)=0,"",COUNTIF('Kế hoạch'!$M$6:$M$305,$A32)&amp;" việc"))</f>
      </c>
      <c r="AH32" s="224">
        <f>IF(OR($A32="",N($O32)&lt;=0),"",IF($P32="Giờ",$O32,$O32*24))</f>
      </c>
      <c r="AI32" s="224">
        <f>IF(OR(N($AA32)=0,N($B32)=0),"",IF($AA32&lt;$B32,"",($AA32-$B32)*24))</f>
      </c>
      <c r="AJ32" s="225">
        <f>IF($A32="","",IF(COUNTIF('Nhật ký tiến độ'!$C$6:$C$3005,$A32)=0,0,_xlfn.MAXIFS('Nhật ký tiến độ'!$N$6:$N$3005,'Nhật ký tiến độ'!$C$6:$C$3005,$A32,'Nhật ký tiến độ'!$B$6:$B$3005,_xlfn.MAXIFS('Nhật ký tiến độ'!$B$6:$B$3005,'Nhật ký tiến độ'!$C$6:$C$3005,$A32))))</f>
      </c>
      <c r="AK32" s="225">
        <f>IF(OR($A32="",$V32="Đã xử lý"),"",IF(N($AO32)&gt;0,5-$AO32,IF($J32="Khẩn cấp",5,IF($Y32="Chậm tiến độ",6,IF(OR($Y32="Sắp đến hạn",$J32="Cao"),7,"")))))</f>
      </c>
      <c r="AL32" s="225">
        <f>IF($AK32="","",$AK32*100000+IF(N($U32)=0,99999,INT($U32))+ROW()/100000)</f>
      </c>
      <c r="AM32" s="225">
        <f>IF(OR($A32="",TRIM($K32)="",COUNTIF($K$6:$K32,$K32)&gt;1),0,1)</f>
      </c>
      <c r="AN32" s="225">
        <f>IF($AM32=1,SUM($AM$6:$AM32),"")</f>
      </c>
      <c r="AO32" s="225">
        <f>IF(OR($A32="",$V32="Đã xử lý",N($U32)=0),0,IF(TDBC&lt;=$U32,0,MAX(1,MIN(4,IF((TDBC-$U32)*24&lt;24,1,IF((TDBC-$U32)*24&lt;72,2,IF((TDBC-$U32)*24&lt;168,3,4)))+IFERROR(INDEX({2,1,0,-1},MATCH($J32,{"Khẩn cấp","Cao","Trung bình","Thấp"},0)),0)))))</f>
      </c>
    </row>
    <row r="33">
      <c r="A33" s="216"/>
      <c r="B33" s="217"/>
      <c r="C33" s="218"/>
      <c r="D33" s="218"/>
      <c r="E33" s="218"/>
      <c r="F33" s="218"/>
      <c r="G33" s="216"/>
      <c r="H33" s="218"/>
      <c r="I33" s="218"/>
      <c r="J33" s="216"/>
      <c r="K33" s="218"/>
      <c r="L33" s="218"/>
      <c r="M33" s="218"/>
      <c r="N33" s="218"/>
      <c r="O33" s="219"/>
      <c r="P33" s="216"/>
      <c r="Q33" s="217"/>
      <c r="R33" s="216"/>
      <c r="S33" s="218"/>
      <c r="T33" s="218"/>
      <c r="U33" s="220">
        <f>IF($A33="","",IF(N($Q33)&gt;0,IF(MOD($Q33,1)=0,$Q33+1-1/1440,$Q33),IF(N($B33)=0,"",$B33+IF(N($AH33)&gt;0,$AH33,IFERROR(INDEX(DM_SLA_Gio,MATCH($J33,DM_SLA_Cap,0)),168))/24)))</f>
      </c>
      <c r="V33" s="221">
        <f>IF($A33="","",IF(N($AJ33)=0,"Mới tiếp nhận",INDEX('Nhật ký tiến độ'!$E:$E,$AJ33)))</f>
      </c>
      <c r="W33" s="222">
        <f>IF($A33="","",IF($V33="Đã xử lý",1,IF(N($AJ33)=0,0,N(INDEX('Nhật ký tiến độ'!$D:$D,$AJ33)))))</f>
      </c>
      <c r="X33" s="222">
        <f>IF(OR($A33="",$V33="Đã xử lý",N($U33)=0,N($B33)=0),"",IF(TDBC&lt;=$B33,0,IF(TDBC&gt;=$U33,1,(TDBC-$B33)/($U33-$B33))))</f>
      </c>
      <c r="Y33" s="223">
        <f>IF($A33="","",IF($V33="Đã xử lý","Hoàn thành",IF(N($U33)=0,"Chưa đặt hạn",IF(TDBC&gt;$U33,"Quá hạn",IF(ROUND((N($X33)-$W33)*100,0)&gt;=20,"Chậm tiến độ",IF($U33-TDBC&lt;=1,"Sắp đến hạn","Đúng tiến độ"))))))</f>
      </c>
      <c r="Z33" s="223">
        <f>IF(OR($A33="",$V33="Đã xử lý",N($U33)=0),"",IF(TDBC&gt;$U33,"Quá "&amp;IF(((TDBC-$U33)*24)&lt;1,MAX(1,ROUND(((TDBC-$U33)*24)*60,0))&amp;" phút",IF(ROUND(((TDBC-$U33)*24),0)&lt;24,ROUND(((TDBC-$U33)*24),0)&amp;" giờ",INT(ROUND(((TDBC-$U33)*24),0)/24)&amp;" ngày"&amp;IF(MOD(ROUND(((TDBC-$U33)*24),0),24)&gt;0," "&amp;MOD(ROUND(((TDBC-$U33)*24),0),24)&amp;" giờ",""))),"Còn "&amp;IF((($U33-TDBC)*24)&lt;1,MAX(1,ROUND((($U33-TDBC)*24)*60,0))&amp;" phút",IF(ROUND((($U33-TDBC)*24),0)&lt;24,ROUND((($U33-TDBC)*24),0)&amp;" giờ",INT(ROUND((($U33-TDBC)*24),0)/24)&amp;" ngày"&amp;IF(MOD(ROUND((($U33-TDBC)*24),0),24)&gt;0," "&amp;MOD(ROUND((($U33-TDBC)*24),0),24)&amp;" giờ","")))))</f>
      </c>
      <c r="AA33" s="220">
        <f>IF($V33="Đã xử lý",_xlfn.MAXIFS('Nhật ký tiến độ'!$B$6:$B$3005,'Nhật ký tiến độ'!$C$6:$C$3005,$A33,'Nhật ký tiến độ'!$E$6:$E$3005,"Đã xử lý"),"")</f>
      </c>
      <c r="AB33" s="223">
        <f>IF($AI33="","",IF($AI33&lt;1,MAX(1,ROUND($AI33*60,0))&amp;" phút",IF(ROUND($AI33,0)&lt;24,ROUND($AI33,0)&amp;" giờ",INT(ROUND($AI33,0)/24)&amp;" ngày"&amp;IF(MOD(ROUND($AI33,0),24)&gt;0," "&amp;MOD(ROUND($AI33,0),24)&amp;" giờ",""))))</f>
      </c>
      <c r="AC33" s="223">
        <f>IF(OR($A33="",N($AH33)=0),"",IF($AI33&lt;&gt;"",IF($AI33&lt;=$AH33,"Trong ước tính","Vượt "&amp;IF(($AI33-$AH33)&lt;1,MAX(1,ROUND(($AI33-$AH33)*60,0))&amp;" phút",IF(ROUND(($AI33-$AH33),0)&lt;24,ROUND(($AI33-$AH33),0)&amp;" giờ",INT(ROUND(($AI33-$AH33),0)/24)&amp;" ngày"&amp;IF(MOD(ROUND(($AI33-$AH33),0),24)&gt;0," "&amp;MOD(ROUND(($AI33-$AH33),0),24)&amp;" giờ","")))),IF(OR($V33="Đã xử lý",N($B33)=0),"",IF((TDBC-$B33)*24&gt;$AH33,"Đã vượt ước tính","Đã dùng "&amp;TEXT((TDBC-$B33)*24/$AH33,"0%")))))</f>
      </c>
      <c r="AD33" s="223">
        <f>IF(N($AO33)=0,"",CHOOSE($AO33,"Nhắc nhở","Cảnh báo","Báo động","Báo động đỏ"))</f>
      </c>
      <c r="AE33" s="223">
        <f>IF(OR(N($AA33)=0,N($U33)=0),"",IF($AA33&lt;=$U33,"Đúng hạn","Trễ hạn"))</f>
      </c>
      <c r="AF33" s="220">
        <f>IF($A33="","",_xlfn.MAXIFS('Nhật ký tiến độ'!$B$6:$B$3005,'Nhật ký tiến độ'!$C$6:$C$3005,$A33))</f>
      </c>
      <c r="AG33" s="223">
        <f>IF($A33="","",IF(COUNTIF('Kế hoạch'!$M$6:$M$305,$A33)=0,"",COUNTIF('Kế hoạch'!$M$6:$M$305,$A33)&amp;" việc"))</f>
      </c>
      <c r="AH33" s="224">
        <f>IF(OR($A33="",N($O33)&lt;=0),"",IF($P33="Giờ",$O33,$O33*24))</f>
      </c>
      <c r="AI33" s="224">
        <f>IF(OR(N($AA33)=0,N($B33)=0),"",IF($AA33&lt;$B33,"",($AA33-$B33)*24))</f>
      </c>
      <c r="AJ33" s="225">
        <f>IF($A33="","",IF(COUNTIF('Nhật ký tiến độ'!$C$6:$C$3005,$A33)=0,0,_xlfn.MAXIFS('Nhật ký tiến độ'!$N$6:$N$3005,'Nhật ký tiến độ'!$C$6:$C$3005,$A33,'Nhật ký tiến độ'!$B$6:$B$3005,_xlfn.MAXIFS('Nhật ký tiến độ'!$B$6:$B$3005,'Nhật ký tiến độ'!$C$6:$C$3005,$A33))))</f>
      </c>
      <c r="AK33" s="225">
        <f>IF(OR($A33="",$V33="Đã xử lý"),"",IF(N($AO33)&gt;0,5-$AO33,IF($J33="Khẩn cấp",5,IF($Y33="Chậm tiến độ",6,IF(OR($Y33="Sắp đến hạn",$J33="Cao"),7,"")))))</f>
      </c>
      <c r="AL33" s="225">
        <f>IF($AK33="","",$AK33*100000+IF(N($U33)=0,99999,INT($U33))+ROW()/100000)</f>
      </c>
      <c r="AM33" s="225">
        <f>IF(OR($A33="",TRIM($K33)="",COUNTIF($K$6:$K33,$K33)&gt;1),0,1)</f>
      </c>
      <c r="AN33" s="225">
        <f>IF($AM33=1,SUM($AM$6:$AM33),"")</f>
      </c>
      <c r="AO33" s="225">
        <f>IF(OR($A33="",$V33="Đã xử lý",N($U33)=0),0,IF(TDBC&lt;=$U33,0,MAX(1,MIN(4,IF((TDBC-$U33)*24&lt;24,1,IF((TDBC-$U33)*24&lt;72,2,IF((TDBC-$U33)*24&lt;168,3,4)))+IFERROR(INDEX({2,1,0,-1},MATCH($J33,{"Khẩn cấp","Cao","Trung bình","Thấp"},0)),0)))))</f>
      </c>
    </row>
    <row r="34">
      <c r="A34" s="216"/>
      <c r="B34" s="217"/>
      <c r="C34" s="218"/>
      <c r="D34" s="218"/>
      <c r="E34" s="218"/>
      <c r="F34" s="218"/>
      <c r="G34" s="216"/>
      <c r="H34" s="218"/>
      <c r="I34" s="218"/>
      <c r="J34" s="216"/>
      <c r="K34" s="218"/>
      <c r="L34" s="218"/>
      <c r="M34" s="218"/>
      <c r="N34" s="218"/>
      <c r="O34" s="219"/>
      <c r="P34" s="216"/>
      <c r="Q34" s="217"/>
      <c r="R34" s="216"/>
      <c r="S34" s="218"/>
      <c r="T34" s="218"/>
      <c r="U34" s="220">
        <f>IF($A34="","",IF(N($Q34)&gt;0,IF(MOD($Q34,1)=0,$Q34+1-1/1440,$Q34),IF(N($B34)=0,"",$B34+IF(N($AH34)&gt;0,$AH34,IFERROR(INDEX(DM_SLA_Gio,MATCH($J34,DM_SLA_Cap,0)),168))/24)))</f>
      </c>
      <c r="V34" s="221">
        <f>IF($A34="","",IF(N($AJ34)=0,"Mới tiếp nhận",INDEX('Nhật ký tiến độ'!$E:$E,$AJ34)))</f>
      </c>
      <c r="W34" s="222">
        <f>IF($A34="","",IF($V34="Đã xử lý",1,IF(N($AJ34)=0,0,N(INDEX('Nhật ký tiến độ'!$D:$D,$AJ34)))))</f>
      </c>
      <c r="X34" s="222">
        <f>IF(OR($A34="",$V34="Đã xử lý",N($U34)=0,N($B34)=0),"",IF(TDBC&lt;=$B34,0,IF(TDBC&gt;=$U34,1,(TDBC-$B34)/($U34-$B34))))</f>
      </c>
      <c r="Y34" s="223">
        <f>IF($A34="","",IF($V34="Đã xử lý","Hoàn thành",IF(N($U34)=0,"Chưa đặt hạn",IF(TDBC&gt;$U34,"Quá hạn",IF(ROUND((N($X34)-$W34)*100,0)&gt;=20,"Chậm tiến độ",IF($U34-TDBC&lt;=1,"Sắp đến hạn","Đúng tiến độ"))))))</f>
      </c>
      <c r="Z34" s="223">
        <f>IF(OR($A34="",$V34="Đã xử lý",N($U34)=0),"",IF(TDBC&gt;$U34,"Quá "&amp;IF(((TDBC-$U34)*24)&lt;1,MAX(1,ROUND(((TDBC-$U34)*24)*60,0))&amp;" phút",IF(ROUND(((TDBC-$U34)*24),0)&lt;24,ROUND(((TDBC-$U34)*24),0)&amp;" giờ",INT(ROUND(((TDBC-$U34)*24),0)/24)&amp;" ngày"&amp;IF(MOD(ROUND(((TDBC-$U34)*24),0),24)&gt;0," "&amp;MOD(ROUND(((TDBC-$U34)*24),0),24)&amp;" giờ",""))),"Còn "&amp;IF((($U34-TDBC)*24)&lt;1,MAX(1,ROUND((($U34-TDBC)*24)*60,0))&amp;" phút",IF(ROUND((($U34-TDBC)*24),0)&lt;24,ROUND((($U34-TDBC)*24),0)&amp;" giờ",INT(ROUND((($U34-TDBC)*24),0)/24)&amp;" ngày"&amp;IF(MOD(ROUND((($U34-TDBC)*24),0),24)&gt;0," "&amp;MOD(ROUND((($U34-TDBC)*24),0),24)&amp;" giờ","")))))</f>
      </c>
      <c r="AA34" s="220">
        <f>IF($V34="Đã xử lý",_xlfn.MAXIFS('Nhật ký tiến độ'!$B$6:$B$3005,'Nhật ký tiến độ'!$C$6:$C$3005,$A34,'Nhật ký tiến độ'!$E$6:$E$3005,"Đã xử lý"),"")</f>
      </c>
      <c r="AB34" s="223">
        <f>IF($AI34="","",IF($AI34&lt;1,MAX(1,ROUND($AI34*60,0))&amp;" phút",IF(ROUND($AI34,0)&lt;24,ROUND($AI34,0)&amp;" giờ",INT(ROUND($AI34,0)/24)&amp;" ngày"&amp;IF(MOD(ROUND($AI34,0),24)&gt;0," "&amp;MOD(ROUND($AI34,0),24)&amp;" giờ",""))))</f>
      </c>
      <c r="AC34" s="223">
        <f>IF(OR($A34="",N($AH34)=0),"",IF($AI34&lt;&gt;"",IF($AI34&lt;=$AH34,"Trong ước tính","Vượt "&amp;IF(($AI34-$AH34)&lt;1,MAX(1,ROUND(($AI34-$AH34)*60,0))&amp;" phút",IF(ROUND(($AI34-$AH34),0)&lt;24,ROUND(($AI34-$AH34),0)&amp;" giờ",INT(ROUND(($AI34-$AH34),0)/24)&amp;" ngày"&amp;IF(MOD(ROUND(($AI34-$AH34),0),24)&gt;0," "&amp;MOD(ROUND(($AI34-$AH34),0),24)&amp;" giờ","")))),IF(OR($V34="Đã xử lý",N($B34)=0),"",IF((TDBC-$B34)*24&gt;$AH34,"Đã vượt ước tính","Đã dùng "&amp;TEXT((TDBC-$B34)*24/$AH34,"0%")))))</f>
      </c>
      <c r="AD34" s="223">
        <f>IF(N($AO34)=0,"",CHOOSE($AO34,"Nhắc nhở","Cảnh báo","Báo động","Báo động đỏ"))</f>
      </c>
      <c r="AE34" s="223">
        <f>IF(OR(N($AA34)=0,N($U34)=0),"",IF($AA34&lt;=$U34,"Đúng hạn","Trễ hạn"))</f>
      </c>
      <c r="AF34" s="220">
        <f>IF($A34="","",_xlfn.MAXIFS('Nhật ký tiến độ'!$B$6:$B$3005,'Nhật ký tiến độ'!$C$6:$C$3005,$A34))</f>
      </c>
      <c r="AG34" s="223">
        <f>IF($A34="","",IF(COUNTIF('Kế hoạch'!$M$6:$M$305,$A34)=0,"",COUNTIF('Kế hoạch'!$M$6:$M$305,$A34)&amp;" việc"))</f>
      </c>
      <c r="AH34" s="224">
        <f>IF(OR($A34="",N($O34)&lt;=0),"",IF($P34="Giờ",$O34,$O34*24))</f>
      </c>
      <c r="AI34" s="224">
        <f>IF(OR(N($AA34)=0,N($B34)=0),"",IF($AA34&lt;$B34,"",($AA34-$B34)*24))</f>
      </c>
      <c r="AJ34" s="225">
        <f>IF($A34="","",IF(COUNTIF('Nhật ký tiến độ'!$C$6:$C$3005,$A34)=0,0,_xlfn.MAXIFS('Nhật ký tiến độ'!$N$6:$N$3005,'Nhật ký tiến độ'!$C$6:$C$3005,$A34,'Nhật ký tiến độ'!$B$6:$B$3005,_xlfn.MAXIFS('Nhật ký tiến độ'!$B$6:$B$3005,'Nhật ký tiến độ'!$C$6:$C$3005,$A34))))</f>
      </c>
      <c r="AK34" s="225">
        <f>IF(OR($A34="",$V34="Đã xử lý"),"",IF(N($AO34)&gt;0,5-$AO34,IF($J34="Khẩn cấp",5,IF($Y34="Chậm tiến độ",6,IF(OR($Y34="Sắp đến hạn",$J34="Cao"),7,"")))))</f>
      </c>
      <c r="AL34" s="225">
        <f>IF($AK34="","",$AK34*100000+IF(N($U34)=0,99999,INT($U34))+ROW()/100000)</f>
      </c>
      <c r="AM34" s="225">
        <f>IF(OR($A34="",TRIM($K34)="",COUNTIF($K$6:$K34,$K34)&gt;1),0,1)</f>
      </c>
      <c r="AN34" s="225">
        <f>IF($AM34=1,SUM($AM$6:$AM34),"")</f>
      </c>
      <c r="AO34" s="225">
        <f>IF(OR($A34="",$V34="Đã xử lý",N($U34)=0),0,IF(TDBC&lt;=$U34,0,MAX(1,MIN(4,IF((TDBC-$U34)*24&lt;24,1,IF((TDBC-$U34)*24&lt;72,2,IF((TDBC-$U34)*24&lt;168,3,4)))+IFERROR(INDEX({2,1,0,-1},MATCH($J34,{"Khẩn cấp","Cao","Trung bình","Thấp"},0)),0)))))</f>
      </c>
    </row>
    <row r="35">
      <c r="A35" s="216"/>
      <c r="B35" s="217"/>
      <c r="C35" s="218"/>
      <c r="D35" s="218"/>
      <c r="E35" s="218"/>
      <c r="F35" s="218"/>
      <c r="G35" s="216"/>
      <c r="H35" s="218"/>
      <c r="I35" s="218"/>
      <c r="J35" s="216"/>
      <c r="K35" s="218"/>
      <c r="L35" s="218"/>
      <c r="M35" s="218"/>
      <c r="N35" s="218"/>
      <c r="O35" s="219"/>
      <c r="P35" s="216"/>
      <c r="Q35" s="217"/>
      <c r="R35" s="216"/>
      <c r="S35" s="218"/>
      <c r="T35" s="218"/>
      <c r="U35" s="220">
        <f>IF($A35="","",IF(N($Q35)&gt;0,IF(MOD($Q35,1)=0,$Q35+1-1/1440,$Q35),IF(N($B35)=0,"",$B35+IF(N($AH35)&gt;0,$AH35,IFERROR(INDEX(DM_SLA_Gio,MATCH($J35,DM_SLA_Cap,0)),168))/24)))</f>
      </c>
      <c r="V35" s="221">
        <f>IF($A35="","",IF(N($AJ35)=0,"Mới tiếp nhận",INDEX('Nhật ký tiến độ'!$E:$E,$AJ35)))</f>
      </c>
      <c r="W35" s="222">
        <f>IF($A35="","",IF($V35="Đã xử lý",1,IF(N($AJ35)=0,0,N(INDEX('Nhật ký tiến độ'!$D:$D,$AJ35)))))</f>
      </c>
      <c r="X35" s="222">
        <f>IF(OR($A35="",$V35="Đã xử lý",N($U35)=0,N($B35)=0),"",IF(TDBC&lt;=$B35,0,IF(TDBC&gt;=$U35,1,(TDBC-$B35)/($U35-$B35))))</f>
      </c>
      <c r="Y35" s="223">
        <f>IF($A35="","",IF($V35="Đã xử lý","Hoàn thành",IF(N($U35)=0,"Chưa đặt hạn",IF(TDBC&gt;$U35,"Quá hạn",IF(ROUND((N($X35)-$W35)*100,0)&gt;=20,"Chậm tiến độ",IF($U35-TDBC&lt;=1,"Sắp đến hạn","Đúng tiến độ"))))))</f>
      </c>
      <c r="Z35" s="223">
        <f>IF(OR($A35="",$V35="Đã xử lý",N($U35)=0),"",IF(TDBC&gt;$U35,"Quá "&amp;IF(((TDBC-$U35)*24)&lt;1,MAX(1,ROUND(((TDBC-$U35)*24)*60,0))&amp;" phút",IF(ROUND(((TDBC-$U35)*24),0)&lt;24,ROUND(((TDBC-$U35)*24),0)&amp;" giờ",INT(ROUND(((TDBC-$U35)*24),0)/24)&amp;" ngày"&amp;IF(MOD(ROUND(((TDBC-$U35)*24),0),24)&gt;0," "&amp;MOD(ROUND(((TDBC-$U35)*24),0),24)&amp;" giờ",""))),"Còn "&amp;IF((($U35-TDBC)*24)&lt;1,MAX(1,ROUND((($U35-TDBC)*24)*60,0))&amp;" phút",IF(ROUND((($U35-TDBC)*24),0)&lt;24,ROUND((($U35-TDBC)*24),0)&amp;" giờ",INT(ROUND((($U35-TDBC)*24),0)/24)&amp;" ngày"&amp;IF(MOD(ROUND((($U35-TDBC)*24),0),24)&gt;0," "&amp;MOD(ROUND((($U35-TDBC)*24),0),24)&amp;" giờ","")))))</f>
      </c>
      <c r="AA35" s="220">
        <f>IF($V35="Đã xử lý",_xlfn.MAXIFS('Nhật ký tiến độ'!$B$6:$B$3005,'Nhật ký tiến độ'!$C$6:$C$3005,$A35,'Nhật ký tiến độ'!$E$6:$E$3005,"Đã xử lý"),"")</f>
      </c>
      <c r="AB35" s="223">
        <f>IF($AI35="","",IF($AI35&lt;1,MAX(1,ROUND($AI35*60,0))&amp;" phút",IF(ROUND($AI35,0)&lt;24,ROUND($AI35,0)&amp;" giờ",INT(ROUND($AI35,0)/24)&amp;" ngày"&amp;IF(MOD(ROUND($AI35,0),24)&gt;0," "&amp;MOD(ROUND($AI35,0),24)&amp;" giờ",""))))</f>
      </c>
      <c r="AC35" s="223">
        <f>IF(OR($A35="",N($AH35)=0),"",IF($AI35&lt;&gt;"",IF($AI35&lt;=$AH35,"Trong ước tính","Vượt "&amp;IF(($AI35-$AH35)&lt;1,MAX(1,ROUND(($AI35-$AH35)*60,0))&amp;" phút",IF(ROUND(($AI35-$AH35),0)&lt;24,ROUND(($AI35-$AH35),0)&amp;" giờ",INT(ROUND(($AI35-$AH35),0)/24)&amp;" ngày"&amp;IF(MOD(ROUND(($AI35-$AH35),0),24)&gt;0," "&amp;MOD(ROUND(($AI35-$AH35),0),24)&amp;" giờ","")))),IF(OR($V35="Đã xử lý",N($B35)=0),"",IF((TDBC-$B35)*24&gt;$AH35,"Đã vượt ước tính","Đã dùng "&amp;TEXT((TDBC-$B35)*24/$AH35,"0%")))))</f>
      </c>
      <c r="AD35" s="223">
        <f>IF(N($AO35)=0,"",CHOOSE($AO35,"Nhắc nhở","Cảnh báo","Báo động","Báo động đỏ"))</f>
      </c>
      <c r="AE35" s="223">
        <f>IF(OR(N($AA35)=0,N($U35)=0),"",IF($AA35&lt;=$U35,"Đúng hạn","Trễ hạn"))</f>
      </c>
      <c r="AF35" s="220">
        <f>IF($A35="","",_xlfn.MAXIFS('Nhật ký tiến độ'!$B$6:$B$3005,'Nhật ký tiến độ'!$C$6:$C$3005,$A35))</f>
      </c>
      <c r="AG35" s="223">
        <f>IF($A35="","",IF(COUNTIF('Kế hoạch'!$M$6:$M$305,$A35)=0,"",COUNTIF('Kế hoạch'!$M$6:$M$305,$A35)&amp;" việc"))</f>
      </c>
      <c r="AH35" s="224">
        <f>IF(OR($A35="",N($O35)&lt;=0),"",IF($P35="Giờ",$O35,$O35*24))</f>
      </c>
      <c r="AI35" s="224">
        <f>IF(OR(N($AA35)=0,N($B35)=0),"",IF($AA35&lt;$B35,"",($AA35-$B35)*24))</f>
      </c>
      <c r="AJ35" s="225">
        <f>IF($A35="","",IF(COUNTIF('Nhật ký tiến độ'!$C$6:$C$3005,$A35)=0,0,_xlfn.MAXIFS('Nhật ký tiến độ'!$N$6:$N$3005,'Nhật ký tiến độ'!$C$6:$C$3005,$A35,'Nhật ký tiến độ'!$B$6:$B$3005,_xlfn.MAXIFS('Nhật ký tiến độ'!$B$6:$B$3005,'Nhật ký tiến độ'!$C$6:$C$3005,$A35))))</f>
      </c>
      <c r="AK35" s="225">
        <f>IF(OR($A35="",$V35="Đã xử lý"),"",IF(N($AO35)&gt;0,5-$AO35,IF($J35="Khẩn cấp",5,IF($Y35="Chậm tiến độ",6,IF(OR($Y35="Sắp đến hạn",$J35="Cao"),7,"")))))</f>
      </c>
      <c r="AL35" s="225">
        <f>IF($AK35="","",$AK35*100000+IF(N($U35)=0,99999,INT($U35))+ROW()/100000)</f>
      </c>
      <c r="AM35" s="225">
        <f>IF(OR($A35="",TRIM($K35)="",COUNTIF($K$6:$K35,$K35)&gt;1),0,1)</f>
      </c>
      <c r="AN35" s="225">
        <f>IF($AM35=1,SUM($AM$6:$AM35),"")</f>
      </c>
      <c r="AO35" s="225">
        <f>IF(OR($A35="",$V35="Đã xử lý",N($U35)=0),0,IF(TDBC&lt;=$U35,0,MAX(1,MIN(4,IF((TDBC-$U35)*24&lt;24,1,IF((TDBC-$U35)*24&lt;72,2,IF((TDBC-$U35)*24&lt;168,3,4)))+IFERROR(INDEX({2,1,0,-1},MATCH($J35,{"Khẩn cấp","Cao","Trung bình","Thấp"},0)),0)))))</f>
      </c>
    </row>
    <row r="36">
      <c r="A36" s="216"/>
      <c r="B36" s="217"/>
      <c r="C36" s="218"/>
      <c r="D36" s="218"/>
      <c r="E36" s="218"/>
      <c r="F36" s="218"/>
      <c r="G36" s="216"/>
      <c r="H36" s="218"/>
      <c r="I36" s="218"/>
      <c r="J36" s="216"/>
      <c r="K36" s="218"/>
      <c r="L36" s="218"/>
      <c r="M36" s="218"/>
      <c r="N36" s="218"/>
      <c r="O36" s="219"/>
      <c r="P36" s="216"/>
      <c r="Q36" s="217"/>
      <c r="R36" s="216"/>
      <c r="S36" s="218"/>
      <c r="T36" s="218"/>
      <c r="U36" s="220">
        <f>IF($A36="","",IF(N($Q36)&gt;0,IF(MOD($Q36,1)=0,$Q36+1-1/1440,$Q36),IF(N($B36)=0,"",$B36+IF(N($AH36)&gt;0,$AH36,IFERROR(INDEX(DM_SLA_Gio,MATCH($J36,DM_SLA_Cap,0)),168))/24)))</f>
      </c>
      <c r="V36" s="221">
        <f>IF($A36="","",IF(N($AJ36)=0,"Mới tiếp nhận",INDEX('Nhật ký tiến độ'!$E:$E,$AJ36)))</f>
      </c>
      <c r="W36" s="222">
        <f>IF($A36="","",IF($V36="Đã xử lý",1,IF(N($AJ36)=0,0,N(INDEX('Nhật ký tiến độ'!$D:$D,$AJ36)))))</f>
      </c>
      <c r="X36" s="222">
        <f>IF(OR($A36="",$V36="Đã xử lý",N($U36)=0,N($B36)=0),"",IF(TDBC&lt;=$B36,0,IF(TDBC&gt;=$U36,1,(TDBC-$B36)/($U36-$B36))))</f>
      </c>
      <c r="Y36" s="223">
        <f>IF($A36="","",IF($V36="Đã xử lý","Hoàn thành",IF(N($U36)=0,"Chưa đặt hạn",IF(TDBC&gt;$U36,"Quá hạn",IF(ROUND((N($X36)-$W36)*100,0)&gt;=20,"Chậm tiến độ",IF($U36-TDBC&lt;=1,"Sắp đến hạn","Đúng tiến độ"))))))</f>
      </c>
      <c r="Z36" s="223">
        <f>IF(OR($A36="",$V36="Đã xử lý",N($U36)=0),"",IF(TDBC&gt;$U36,"Quá "&amp;IF(((TDBC-$U36)*24)&lt;1,MAX(1,ROUND(((TDBC-$U36)*24)*60,0))&amp;" phút",IF(ROUND(((TDBC-$U36)*24),0)&lt;24,ROUND(((TDBC-$U36)*24),0)&amp;" giờ",INT(ROUND(((TDBC-$U36)*24),0)/24)&amp;" ngày"&amp;IF(MOD(ROUND(((TDBC-$U36)*24),0),24)&gt;0," "&amp;MOD(ROUND(((TDBC-$U36)*24),0),24)&amp;" giờ",""))),"Còn "&amp;IF((($U36-TDBC)*24)&lt;1,MAX(1,ROUND((($U36-TDBC)*24)*60,0))&amp;" phút",IF(ROUND((($U36-TDBC)*24),0)&lt;24,ROUND((($U36-TDBC)*24),0)&amp;" giờ",INT(ROUND((($U36-TDBC)*24),0)/24)&amp;" ngày"&amp;IF(MOD(ROUND((($U36-TDBC)*24),0),24)&gt;0," "&amp;MOD(ROUND((($U36-TDBC)*24),0),24)&amp;" giờ","")))))</f>
      </c>
      <c r="AA36" s="220">
        <f>IF($V36="Đã xử lý",_xlfn.MAXIFS('Nhật ký tiến độ'!$B$6:$B$3005,'Nhật ký tiến độ'!$C$6:$C$3005,$A36,'Nhật ký tiến độ'!$E$6:$E$3005,"Đã xử lý"),"")</f>
      </c>
      <c r="AB36" s="223">
        <f>IF($AI36="","",IF($AI36&lt;1,MAX(1,ROUND($AI36*60,0))&amp;" phút",IF(ROUND($AI36,0)&lt;24,ROUND($AI36,0)&amp;" giờ",INT(ROUND($AI36,0)/24)&amp;" ngày"&amp;IF(MOD(ROUND($AI36,0),24)&gt;0," "&amp;MOD(ROUND($AI36,0),24)&amp;" giờ",""))))</f>
      </c>
      <c r="AC36" s="223">
        <f>IF(OR($A36="",N($AH36)=0),"",IF($AI36&lt;&gt;"",IF($AI36&lt;=$AH36,"Trong ước tính","Vượt "&amp;IF(($AI36-$AH36)&lt;1,MAX(1,ROUND(($AI36-$AH36)*60,0))&amp;" phút",IF(ROUND(($AI36-$AH36),0)&lt;24,ROUND(($AI36-$AH36),0)&amp;" giờ",INT(ROUND(($AI36-$AH36),0)/24)&amp;" ngày"&amp;IF(MOD(ROUND(($AI36-$AH36),0),24)&gt;0," "&amp;MOD(ROUND(($AI36-$AH36),0),24)&amp;" giờ","")))),IF(OR($V36="Đã xử lý",N($B36)=0),"",IF((TDBC-$B36)*24&gt;$AH36,"Đã vượt ước tính","Đã dùng "&amp;TEXT((TDBC-$B36)*24/$AH36,"0%")))))</f>
      </c>
      <c r="AD36" s="223">
        <f>IF(N($AO36)=0,"",CHOOSE($AO36,"Nhắc nhở","Cảnh báo","Báo động","Báo động đỏ"))</f>
      </c>
      <c r="AE36" s="223">
        <f>IF(OR(N($AA36)=0,N($U36)=0),"",IF($AA36&lt;=$U36,"Đúng hạn","Trễ hạn"))</f>
      </c>
      <c r="AF36" s="220">
        <f>IF($A36="","",_xlfn.MAXIFS('Nhật ký tiến độ'!$B$6:$B$3005,'Nhật ký tiến độ'!$C$6:$C$3005,$A36))</f>
      </c>
      <c r="AG36" s="223">
        <f>IF($A36="","",IF(COUNTIF('Kế hoạch'!$M$6:$M$305,$A36)=0,"",COUNTIF('Kế hoạch'!$M$6:$M$305,$A36)&amp;" việc"))</f>
      </c>
      <c r="AH36" s="224">
        <f>IF(OR($A36="",N($O36)&lt;=0),"",IF($P36="Giờ",$O36,$O36*24))</f>
      </c>
      <c r="AI36" s="224">
        <f>IF(OR(N($AA36)=0,N($B36)=0),"",IF($AA36&lt;$B36,"",($AA36-$B36)*24))</f>
      </c>
      <c r="AJ36" s="225">
        <f>IF($A36="","",IF(COUNTIF('Nhật ký tiến độ'!$C$6:$C$3005,$A36)=0,0,_xlfn.MAXIFS('Nhật ký tiến độ'!$N$6:$N$3005,'Nhật ký tiến độ'!$C$6:$C$3005,$A36,'Nhật ký tiến độ'!$B$6:$B$3005,_xlfn.MAXIFS('Nhật ký tiến độ'!$B$6:$B$3005,'Nhật ký tiến độ'!$C$6:$C$3005,$A36))))</f>
      </c>
      <c r="AK36" s="225">
        <f>IF(OR($A36="",$V36="Đã xử lý"),"",IF(N($AO36)&gt;0,5-$AO36,IF($J36="Khẩn cấp",5,IF($Y36="Chậm tiến độ",6,IF(OR($Y36="Sắp đến hạn",$J36="Cao"),7,"")))))</f>
      </c>
      <c r="AL36" s="225">
        <f>IF($AK36="","",$AK36*100000+IF(N($U36)=0,99999,INT($U36))+ROW()/100000)</f>
      </c>
      <c r="AM36" s="225">
        <f>IF(OR($A36="",TRIM($K36)="",COUNTIF($K$6:$K36,$K36)&gt;1),0,1)</f>
      </c>
      <c r="AN36" s="225">
        <f>IF($AM36=1,SUM($AM$6:$AM36),"")</f>
      </c>
      <c r="AO36" s="225">
        <f>IF(OR($A36="",$V36="Đã xử lý",N($U36)=0),0,IF(TDBC&lt;=$U36,0,MAX(1,MIN(4,IF((TDBC-$U36)*24&lt;24,1,IF((TDBC-$U36)*24&lt;72,2,IF((TDBC-$U36)*24&lt;168,3,4)))+IFERROR(INDEX({2,1,0,-1},MATCH($J36,{"Khẩn cấp","Cao","Trung bình","Thấp"},0)),0)))))</f>
      </c>
    </row>
    <row r="37">
      <c r="A37" s="216"/>
      <c r="B37" s="217"/>
      <c r="C37" s="218"/>
      <c r="D37" s="218"/>
      <c r="E37" s="218"/>
      <c r="F37" s="218"/>
      <c r="G37" s="216"/>
      <c r="H37" s="218"/>
      <c r="I37" s="218"/>
      <c r="J37" s="216"/>
      <c r="K37" s="218"/>
      <c r="L37" s="218"/>
      <c r="M37" s="218"/>
      <c r="N37" s="218"/>
      <c r="O37" s="219"/>
      <c r="P37" s="216"/>
      <c r="Q37" s="217"/>
      <c r="R37" s="216"/>
      <c r="S37" s="218"/>
      <c r="T37" s="218"/>
      <c r="U37" s="220">
        <f>IF($A37="","",IF(N($Q37)&gt;0,IF(MOD($Q37,1)=0,$Q37+1-1/1440,$Q37),IF(N($B37)=0,"",$B37+IF(N($AH37)&gt;0,$AH37,IFERROR(INDEX(DM_SLA_Gio,MATCH($J37,DM_SLA_Cap,0)),168))/24)))</f>
      </c>
      <c r="V37" s="221">
        <f>IF($A37="","",IF(N($AJ37)=0,"Mới tiếp nhận",INDEX('Nhật ký tiến độ'!$E:$E,$AJ37)))</f>
      </c>
      <c r="W37" s="222">
        <f>IF($A37="","",IF($V37="Đã xử lý",1,IF(N($AJ37)=0,0,N(INDEX('Nhật ký tiến độ'!$D:$D,$AJ37)))))</f>
      </c>
      <c r="X37" s="222">
        <f>IF(OR($A37="",$V37="Đã xử lý",N($U37)=0,N($B37)=0),"",IF(TDBC&lt;=$B37,0,IF(TDBC&gt;=$U37,1,(TDBC-$B37)/($U37-$B37))))</f>
      </c>
      <c r="Y37" s="223">
        <f>IF($A37="","",IF($V37="Đã xử lý","Hoàn thành",IF(N($U37)=0,"Chưa đặt hạn",IF(TDBC&gt;$U37,"Quá hạn",IF(ROUND((N($X37)-$W37)*100,0)&gt;=20,"Chậm tiến độ",IF($U37-TDBC&lt;=1,"Sắp đến hạn","Đúng tiến độ"))))))</f>
      </c>
      <c r="Z37" s="223">
        <f>IF(OR($A37="",$V37="Đã xử lý",N($U37)=0),"",IF(TDBC&gt;$U37,"Quá "&amp;IF(((TDBC-$U37)*24)&lt;1,MAX(1,ROUND(((TDBC-$U37)*24)*60,0))&amp;" phút",IF(ROUND(((TDBC-$U37)*24),0)&lt;24,ROUND(((TDBC-$U37)*24),0)&amp;" giờ",INT(ROUND(((TDBC-$U37)*24),0)/24)&amp;" ngày"&amp;IF(MOD(ROUND(((TDBC-$U37)*24),0),24)&gt;0," "&amp;MOD(ROUND(((TDBC-$U37)*24),0),24)&amp;" giờ",""))),"Còn "&amp;IF((($U37-TDBC)*24)&lt;1,MAX(1,ROUND((($U37-TDBC)*24)*60,0))&amp;" phút",IF(ROUND((($U37-TDBC)*24),0)&lt;24,ROUND((($U37-TDBC)*24),0)&amp;" giờ",INT(ROUND((($U37-TDBC)*24),0)/24)&amp;" ngày"&amp;IF(MOD(ROUND((($U37-TDBC)*24),0),24)&gt;0," "&amp;MOD(ROUND((($U37-TDBC)*24),0),24)&amp;" giờ","")))))</f>
      </c>
      <c r="AA37" s="220">
        <f>IF($V37="Đã xử lý",_xlfn.MAXIFS('Nhật ký tiến độ'!$B$6:$B$3005,'Nhật ký tiến độ'!$C$6:$C$3005,$A37,'Nhật ký tiến độ'!$E$6:$E$3005,"Đã xử lý"),"")</f>
      </c>
      <c r="AB37" s="223">
        <f>IF($AI37="","",IF($AI37&lt;1,MAX(1,ROUND($AI37*60,0))&amp;" phút",IF(ROUND($AI37,0)&lt;24,ROUND($AI37,0)&amp;" giờ",INT(ROUND($AI37,0)/24)&amp;" ngày"&amp;IF(MOD(ROUND($AI37,0),24)&gt;0," "&amp;MOD(ROUND($AI37,0),24)&amp;" giờ",""))))</f>
      </c>
      <c r="AC37" s="223">
        <f>IF(OR($A37="",N($AH37)=0),"",IF($AI37&lt;&gt;"",IF($AI37&lt;=$AH37,"Trong ước tính","Vượt "&amp;IF(($AI37-$AH37)&lt;1,MAX(1,ROUND(($AI37-$AH37)*60,0))&amp;" phút",IF(ROUND(($AI37-$AH37),0)&lt;24,ROUND(($AI37-$AH37),0)&amp;" giờ",INT(ROUND(($AI37-$AH37),0)/24)&amp;" ngày"&amp;IF(MOD(ROUND(($AI37-$AH37),0),24)&gt;0," "&amp;MOD(ROUND(($AI37-$AH37),0),24)&amp;" giờ","")))),IF(OR($V37="Đã xử lý",N($B37)=0),"",IF((TDBC-$B37)*24&gt;$AH37,"Đã vượt ước tính","Đã dùng "&amp;TEXT((TDBC-$B37)*24/$AH37,"0%")))))</f>
      </c>
      <c r="AD37" s="223">
        <f>IF(N($AO37)=0,"",CHOOSE($AO37,"Nhắc nhở","Cảnh báo","Báo động","Báo động đỏ"))</f>
      </c>
      <c r="AE37" s="223">
        <f>IF(OR(N($AA37)=0,N($U37)=0),"",IF($AA37&lt;=$U37,"Đúng hạn","Trễ hạn"))</f>
      </c>
      <c r="AF37" s="220">
        <f>IF($A37="","",_xlfn.MAXIFS('Nhật ký tiến độ'!$B$6:$B$3005,'Nhật ký tiến độ'!$C$6:$C$3005,$A37))</f>
      </c>
      <c r="AG37" s="223">
        <f>IF($A37="","",IF(COUNTIF('Kế hoạch'!$M$6:$M$305,$A37)=0,"",COUNTIF('Kế hoạch'!$M$6:$M$305,$A37)&amp;" việc"))</f>
      </c>
      <c r="AH37" s="224">
        <f>IF(OR($A37="",N($O37)&lt;=0),"",IF($P37="Giờ",$O37,$O37*24))</f>
      </c>
      <c r="AI37" s="224">
        <f>IF(OR(N($AA37)=0,N($B37)=0),"",IF($AA37&lt;$B37,"",($AA37-$B37)*24))</f>
      </c>
      <c r="AJ37" s="225">
        <f>IF($A37="","",IF(COUNTIF('Nhật ký tiến độ'!$C$6:$C$3005,$A37)=0,0,_xlfn.MAXIFS('Nhật ký tiến độ'!$N$6:$N$3005,'Nhật ký tiến độ'!$C$6:$C$3005,$A37,'Nhật ký tiến độ'!$B$6:$B$3005,_xlfn.MAXIFS('Nhật ký tiến độ'!$B$6:$B$3005,'Nhật ký tiến độ'!$C$6:$C$3005,$A37))))</f>
      </c>
      <c r="AK37" s="225">
        <f>IF(OR($A37="",$V37="Đã xử lý"),"",IF(N($AO37)&gt;0,5-$AO37,IF($J37="Khẩn cấp",5,IF($Y37="Chậm tiến độ",6,IF(OR($Y37="Sắp đến hạn",$J37="Cao"),7,"")))))</f>
      </c>
      <c r="AL37" s="225">
        <f>IF($AK37="","",$AK37*100000+IF(N($U37)=0,99999,INT($U37))+ROW()/100000)</f>
      </c>
      <c r="AM37" s="225">
        <f>IF(OR($A37="",TRIM($K37)="",COUNTIF($K$6:$K37,$K37)&gt;1),0,1)</f>
      </c>
      <c r="AN37" s="225">
        <f>IF($AM37=1,SUM($AM$6:$AM37),"")</f>
      </c>
      <c r="AO37" s="225">
        <f>IF(OR($A37="",$V37="Đã xử lý",N($U37)=0),0,IF(TDBC&lt;=$U37,0,MAX(1,MIN(4,IF((TDBC-$U37)*24&lt;24,1,IF((TDBC-$U37)*24&lt;72,2,IF((TDBC-$U37)*24&lt;168,3,4)))+IFERROR(INDEX({2,1,0,-1},MATCH($J37,{"Khẩn cấp","Cao","Trung bình","Thấp"},0)),0)))))</f>
      </c>
    </row>
    <row r="38">
      <c r="A38" s="216"/>
      <c r="B38" s="217"/>
      <c r="C38" s="218"/>
      <c r="D38" s="218"/>
      <c r="E38" s="218"/>
      <c r="F38" s="218"/>
      <c r="G38" s="216"/>
      <c r="H38" s="218"/>
      <c r="I38" s="218"/>
      <c r="J38" s="216"/>
      <c r="K38" s="218"/>
      <c r="L38" s="218"/>
      <c r="M38" s="218"/>
      <c r="N38" s="218"/>
      <c r="O38" s="219"/>
      <c r="P38" s="216"/>
      <c r="Q38" s="217"/>
      <c r="R38" s="216"/>
      <c r="S38" s="218"/>
      <c r="T38" s="218"/>
      <c r="U38" s="220">
        <f>IF($A38="","",IF(N($Q38)&gt;0,IF(MOD($Q38,1)=0,$Q38+1-1/1440,$Q38),IF(N($B38)=0,"",$B38+IF(N($AH38)&gt;0,$AH38,IFERROR(INDEX(DM_SLA_Gio,MATCH($J38,DM_SLA_Cap,0)),168))/24)))</f>
      </c>
      <c r="V38" s="221">
        <f>IF($A38="","",IF(N($AJ38)=0,"Mới tiếp nhận",INDEX('Nhật ký tiến độ'!$E:$E,$AJ38)))</f>
      </c>
      <c r="W38" s="222">
        <f>IF($A38="","",IF($V38="Đã xử lý",1,IF(N($AJ38)=0,0,N(INDEX('Nhật ký tiến độ'!$D:$D,$AJ38)))))</f>
      </c>
      <c r="X38" s="222">
        <f>IF(OR($A38="",$V38="Đã xử lý",N($U38)=0,N($B38)=0),"",IF(TDBC&lt;=$B38,0,IF(TDBC&gt;=$U38,1,(TDBC-$B38)/($U38-$B38))))</f>
      </c>
      <c r="Y38" s="223">
        <f>IF($A38="","",IF($V38="Đã xử lý","Hoàn thành",IF(N($U38)=0,"Chưa đặt hạn",IF(TDBC&gt;$U38,"Quá hạn",IF(ROUND((N($X38)-$W38)*100,0)&gt;=20,"Chậm tiến độ",IF($U38-TDBC&lt;=1,"Sắp đến hạn","Đúng tiến độ"))))))</f>
      </c>
      <c r="Z38" s="223">
        <f>IF(OR($A38="",$V38="Đã xử lý",N($U38)=0),"",IF(TDBC&gt;$U38,"Quá "&amp;IF(((TDBC-$U38)*24)&lt;1,MAX(1,ROUND(((TDBC-$U38)*24)*60,0))&amp;" phút",IF(ROUND(((TDBC-$U38)*24),0)&lt;24,ROUND(((TDBC-$U38)*24),0)&amp;" giờ",INT(ROUND(((TDBC-$U38)*24),0)/24)&amp;" ngày"&amp;IF(MOD(ROUND(((TDBC-$U38)*24),0),24)&gt;0," "&amp;MOD(ROUND(((TDBC-$U38)*24),0),24)&amp;" giờ",""))),"Còn "&amp;IF((($U38-TDBC)*24)&lt;1,MAX(1,ROUND((($U38-TDBC)*24)*60,0))&amp;" phút",IF(ROUND((($U38-TDBC)*24),0)&lt;24,ROUND((($U38-TDBC)*24),0)&amp;" giờ",INT(ROUND((($U38-TDBC)*24),0)/24)&amp;" ngày"&amp;IF(MOD(ROUND((($U38-TDBC)*24),0),24)&gt;0," "&amp;MOD(ROUND((($U38-TDBC)*24),0),24)&amp;" giờ","")))))</f>
      </c>
      <c r="AA38" s="220">
        <f>IF($V38="Đã xử lý",_xlfn.MAXIFS('Nhật ký tiến độ'!$B$6:$B$3005,'Nhật ký tiến độ'!$C$6:$C$3005,$A38,'Nhật ký tiến độ'!$E$6:$E$3005,"Đã xử lý"),"")</f>
      </c>
      <c r="AB38" s="223">
        <f>IF($AI38="","",IF($AI38&lt;1,MAX(1,ROUND($AI38*60,0))&amp;" phút",IF(ROUND($AI38,0)&lt;24,ROUND($AI38,0)&amp;" giờ",INT(ROUND($AI38,0)/24)&amp;" ngày"&amp;IF(MOD(ROUND($AI38,0),24)&gt;0," "&amp;MOD(ROUND($AI38,0),24)&amp;" giờ",""))))</f>
      </c>
      <c r="AC38" s="223">
        <f>IF(OR($A38="",N($AH38)=0),"",IF($AI38&lt;&gt;"",IF($AI38&lt;=$AH38,"Trong ước tính","Vượt "&amp;IF(($AI38-$AH38)&lt;1,MAX(1,ROUND(($AI38-$AH38)*60,0))&amp;" phút",IF(ROUND(($AI38-$AH38),0)&lt;24,ROUND(($AI38-$AH38),0)&amp;" giờ",INT(ROUND(($AI38-$AH38),0)/24)&amp;" ngày"&amp;IF(MOD(ROUND(($AI38-$AH38),0),24)&gt;0," "&amp;MOD(ROUND(($AI38-$AH38),0),24)&amp;" giờ","")))),IF(OR($V38="Đã xử lý",N($B38)=0),"",IF((TDBC-$B38)*24&gt;$AH38,"Đã vượt ước tính","Đã dùng "&amp;TEXT((TDBC-$B38)*24/$AH38,"0%")))))</f>
      </c>
      <c r="AD38" s="223">
        <f>IF(N($AO38)=0,"",CHOOSE($AO38,"Nhắc nhở","Cảnh báo","Báo động","Báo động đỏ"))</f>
      </c>
      <c r="AE38" s="223">
        <f>IF(OR(N($AA38)=0,N($U38)=0),"",IF($AA38&lt;=$U38,"Đúng hạn","Trễ hạn"))</f>
      </c>
      <c r="AF38" s="220">
        <f>IF($A38="","",_xlfn.MAXIFS('Nhật ký tiến độ'!$B$6:$B$3005,'Nhật ký tiến độ'!$C$6:$C$3005,$A38))</f>
      </c>
      <c r="AG38" s="223">
        <f>IF($A38="","",IF(COUNTIF('Kế hoạch'!$M$6:$M$305,$A38)=0,"",COUNTIF('Kế hoạch'!$M$6:$M$305,$A38)&amp;" việc"))</f>
      </c>
      <c r="AH38" s="224">
        <f>IF(OR($A38="",N($O38)&lt;=0),"",IF($P38="Giờ",$O38,$O38*24))</f>
      </c>
      <c r="AI38" s="224">
        <f>IF(OR(N($AA38)=0,N($B38)=0),"",IF($AA38&lt;$B38,"",($AA38-$B38)*24))</f>
      </c>
      <c r="AJ38" s="225">
        <f>IF($A38="","",IF(COUNTIF('Nhật ký tiến độ'!$C$6:$C$3005,$A38)=0,0,_xlfn.MAXIFS('Nhật ký tiến độ'!$N$6:$N$3005,'Nhật ký tiến độ'!$C$6:$C$3005,$A38,'Nhật ký tiến độ'!$B$6:$B$3005,_xlfn.MAXIFS('Nhật ký tiến độ'!$B$6:$B$3005,'Nhật ký tiến độ'!$C$6:$C$3005,$A38))))</f>
      </c>
      <c r="AK38" s="225">
        <f>IF(OR($A38="",$V38="Đã xử lý"),"",IF(N($AO38)&gt;0,5-$AO38,IF($J38="Khẩn cấp",5,IF($Y38="Chậm tiến độ",6,IF(OR($Y38="Sắp đến hạn",$J38="Cao"),7,"")))))</f>
      </c>
      <c r="AL38" s="225">
        <f>IF($AK38="","",$AK38*100000+IF(N($U38)=0,99999,INT($U38))+ROW()/100000)</f>
      </c>
      <c r="AM38" s="225">
        <f>IF(OR($A38="",TRIM($K38)="",COUNTIF($K$6:$K38,$K38)&gt;1),0,1)</f>
      </c>
      <c r="AN38" s="225">
        <f>IF($AM38=1,SUM($AM$6:$AM38),"")</f>
      </c>
      <c r="AO38" s="225">
        <f>IF(OR($A38="",$V38="Đã xử lý",N($U38)=0),0,IF(TDBC&lt;=$U38,0,MAX(1,MIN(4,IF((TDBC-$U38)*24&lt;24,1,IF((TDBC-$U38)*24&lt;72,2,IF((TDBC-$U38)*24&lt;168,3,4)))+IFERROR(INDEX({2,1,0,-1},MATCH($J38,{"Khẩn cấp","Cao","Trung bình","Thấp"},0)),0)))))</f>
      </c>
    </row>
    <row r="39">
      <c r="A39" s="216"/>
      <c r="B39" s="217"/>
      <c r="C39" s="218"/>
      <c r="D39" s="218"/>
      <c r="E39" s="218"/>
      <c r="F39" s="218"/>
      <c r="G39" s="216"/>
      <c r="H39" s="218"/>
      <c r="I39" s="218"/>
      <c r="J39" s="216"/>
      <c r="K39" s="218"/>
      <c r="L39" s="218"/>
      <c r="M39" s="218"/>
      <c r="N39" s="218"/>
      <c r="O39" s="219"/>
      <c r="P39" s="216"/>
      <c r="Q39" s="217"/>
      <c r="R39" s="216"/>
      <c r="S39" s="218"/>
      <c r="T39" s="218"/>
      <c r="U39" s="220">
        <f>IF($A39="","",IF(N($Q39)&gt;0,IF(MOD($Q39,1)=0,$Q39+1-1/1440,$Q39),IF(N($B39)=0,"",$B39+IF(N($AH39)&gt;0,$AH39,IFERROR(INDEX(DM_SLA_Gio,MATCH($J39,DM_SLA_Cap,0)),168))/24)))</f>
      </c>
      <c r="V39" s="221">
        <f>IF($A39="","",IF(N($AJ39)=0,"Mới tiếp nhận",INDEX('Nhật ký tiến độ'!$E:$E,$AJ39)))</f>
      </c>
      <c r="W39" s="222">
        <f>IF($A39="","",IF($V39="Đã xử lý",1,IF(N($AJ39)=0,0,N(INDEX('Nhật ký tiến độ'!$D:$D,$AJ39)))))</f>
      </c>
      <c r="X39" s="222">
        <f>IF(OR($A39="",$V39="Đã xử lý",N($U39)=0,N($B39)=0),"",IF(TDBC&lt;=$B39,0,IF(TDBC&gt;=$U39,1,(TDBC-$B39)/($U39-$B39))))</f>
      </c>
      <c r="Y39" s="223">
        <f>IF($A39="","",IF($V39="Đã xử lý","Hoàn thành",IF(N($U39)=0,"Chưa đặt hạn",IF(TDBC&gt;$U39,"Quá hạn",IF(ROUND((N($X39)-$W39)*100,0)&gt;=20,"Chậm tiến độ",IF($U39-TDBC&lt;=1,"Sắp đến hạn","Đúng tiến độ"))))))</f>
      </c>
      <c r="Z39" s="223">
        <f>IF(OR($A39="",$V39="Đã xử lý",N($U39)=0),"",IF(TDBC&gt;$U39,"Quá "&amp;IF(((TDBC-$U39)*24)&lt;1,MAX(1,ROUND(((TDBC-$U39)*24)*60,0))&amp;" phút",IF(ROUND(((TDBC-$U39)*24),0)&lt;24,ROUND(((TDBC-$U39)*24),0)&amp;" giờ",INT(ROUND(((TDBC-$U39)*24),0)/24)&amp;" ngày"&amp;IF(MOD(ROUND(((TDBC-$U39)*24),0),24)&gt;0," "&amp;MOD(ROUND(((TDBC-$U39)*24),0),24)&amp;" giờ",""))),"Còn "&amp;IF((($U39-TDBC)*24)&lt;1,MAX(1,ROUND((($U39-TDBC)*24)*60,0))&amp;" phút",IF(ROUND((($U39-TDBC)*24),0)&lt;24,ROUND((($U39-TDBC)*24),0)&amp;" giờ",INT(ROUND((($U39-TDBC)*24),0)/24)&amp;" ngày"&amp;IF(MOD(ROUND((($U39-TDBC)*24),0),24)&gt;0," "&amp;MOD(ROUND((($U39-TDBC)*24),0),24)&amp;" giờ","")))))</f>
      </c>
      <c r="AA39" s="220">
        <f>IF($V39="Đã xử lý",_xlfn.MAXIFS('Nhật ký tiến độ'!$B$6:$B$3005,'Nhật ký tiến độ'!$C$6:$C$3005,$A39,'Nhật ký tiến độ'!$E$6:$E$3005,"Đã xử lý"),"")</f>
      </c>
      <c r="AB39" s="223">
        <f>IF($AI39="","",IF($AI39&lt;1,MAX(1,ROUND($AI39*60,0))&amp;" phút",IF(ROUND($AI39,0)&lt;24,ROUND($AI39,0)&amp;" giờ",INT(ROUND($AI39,0)/24)&amp;" ngày"&amp;IF(MOD(ROUND($AI39,0),24)&gt;0," "&amp;MOD(ROUND($AI39,0),24)&amp;" giờ",""))))</f>
      </c>
      <c r="AC39" s="223">
        <f>IF(OR($A39="",N($AH39)=0),"",IF($AI39&lt;&gt;"",IF($AI39&lt;=$AH39,"Trong ước tính","Vượt "&amp;IF(($AI39-$AH39)&lt;1,MAX(1,ROUND(($AI39-$AH39)*60,0))&amp;" phút",IF(ROUND(($AI39-$AH39),0)&lt;24,ROUND(($AI39-$AH39),0)&amp;" giờ",INT(ROUND(($AI39-$AH39),0)/24)&amp;" ngày"&amp;IF(MOD(ROUND(($AI39-$AH39),0),24)&gt;0," "&amp;MOD(ROUND(($AI39-$AH39),0),24)&amp;" giờ","")))),IF(OR($V39="Đã xử lý",N($B39)=0),"",IF((TDBC-$B39)*24&gt;$AH39,"Đã vượt ước tính","Đã dùng "&amp;TEXT((TDBC-$B39)*24/$AH39,"0%")))))</f>
      </c>
      <c r="AD39" s="223">
        <f>IF(N($AO39)=0,"",CHOOSE($AO39,"Nhắc nhở","Cảnh báo","Báo động","Báo động đỏ"))</f>
      </c>
      <c r="AE39" s="223">
        <f>IF(OR(N($AA39)=0,N($U39)=0),"",IF($AA39&lt;=$U39,"Đúng hạn","Trễ hạn"))</f>
      </c>
      <c r="AF39" s="220">
        <f>IF($A39="","",_xlfn.MAXIFS('Nhật ký tiến độ'!$B$6:$B$3005,'Nhật ký tiến độ'!$C$6:$C$3005,$A39))</f>
      </c>
      <c r="AG39" s="223">
        <f>IF($A39="","",IF(COUNTIF('Kế hoạch'!$M$6:$M$305,$A39)=0,"",COUNTIF('Kế hoạch'!$M$6:$M$305,$A39)&amp;" việc"))</f>
      </c>
      <c r="AH39" s="224">
        <f>IF(OR($A39="",N($O39)&lt;=0),"",IF($P39="Giờ",$O39,$O39*24))</f>
      </c>
      <c r="AI39" s="224">
        <f>IF(OR(N($AA39)=0,N($B39)=0),"",IF($AA39&lt;$B39,"",($AA39-$B39)*24))</f>
      </c>
      <c r="AJ39" s="225">
        <f>IF($A39="","",IF(COUNTIF('Nhật ký tiến độ'!$C$6:$C$3005,$A39)=0,0,_xlfn.MAXIFS('Nhật ký tiến độ'!$N$6:$N$3005,'Nhật ký tiến độ'!$C$6:$C$3005,$A39,'Nhật ký tiến độ'!$B$6:$B$3005,_xlfn.MAXIFS('Nhật ký tiến độ'!$B$6:$B$3005,'Nhật ký tiến độ'!$C$6:$C$3005,$A39))))</f>
      </c>
      <c r="AK39" s="225">
        <f>IF(OR($A39="",$V39="Đã xử lý"),"",IF(N($AO39)&gt;0,5-$AO39,IF($J39="Khẩn cấp",5,IF($Y39="Chậm tiến độ",6,IF(OR($Y39="Sắp đến hạn",$J39="Cao"),7,"")))))</f>
      </c>
      <c r="AL39" s="225">
        <f>IF($AK39="","",$AK39*100000+IF(N($U39)=0,99999,INT($U39))+ROW()/100000)</f>
      </c>
      <c r="AM39" s="225">
        <f>IF(OR($A39="",TRIM($K39)="",COUNTIF($K$6:$K39,$K39)&gt;1),0,1)</f>
      </c>
      <c r="AN39" s="225">
        <f>IF($AM39=1,SUM($AM$6:$AM39),"")</f>
      </c>
      <c r="AO39" s="225">
        <f>IF(OR($A39="",$V39="Đã xử lý",N($U39)=0),0,IF(TDBC&lt;=$U39,0,MAX(1,MIN(4,IF((TDBC-$U39)*24&lt;24,1,IF((TDBC-$U39)*24&lt;72,2,IF((TDBC-$U39)*24&lt;168,3,4)))+IFERROR(INDEX({2,1,0,-1},MATCH($J39,{"Khẩn cấp","Cao","Trung bình","Thấp"},0)),0)))))</f>
      </c>
    </row>
    <row r="40">
      <c r="A40" s="216"/>
      <c r="B40" s="217"/>
      <c r="C40" s="218"/>
      <c r="D40" s="218"/>
      <c r="E40" s="218"/>
      <c r="F40" s="218"/>
      <c r="G40" s="216"/>
      <c r="H40" s="218"/>
      <c r="I40" s="218"/>
      <c r="J40" s="216"/>
      <c r="K40" s="218"/>
      <c r="L40" s="218"/>
      <c r="M40" s="218"/>
      <c r="N40" s="218"/>
      <c r="O40" s="219"/>
      <c r="P40" s="216"/>
      <c r="Q40" s="217"/>
      <c r="R40" s="216"/>
      <c r="S40" s="218"/>
      <c r="T40" s="218"/>
      <c r="U40" s="220">
        <f>IF($A40="","",IF(N($Q40)&gt;0,IF(MOD($Q40,1)=0,$Q40+1-1/1440,$Q40),IF(N($B40)=0,"",$B40+IF(N($AH40)&gt;0,$AH40,IFERROR(INDEX(DM_SLA_Gio,MATCH($J40,DM_SLA_Cap,0)),168))/24)))</f>
      </c>
      <c r="V40" s="221">
        <f>IF($A40="","",IF(N($AJ40)=0,"Mới tiếp nhận",INDEX('Nhật ký tiến độ'!$E:$E,$AJ40)))</f>
      </c>
      <c r="W40" s="222">
        <f>IF($A40="","",IF($V40="Đã xử lý",1,IF(N($AJ40)=0,0,N(INDEX('Nhật ký tiến độ'!$D:$D,$AJ40)))))</f>
      </c>
      <c r="X40" s="222">
        <f>IF(OR($A40="",$V40="Đã xử lý",N($U40)=0,N($B40)=0),"",IF(TDBC&lt;=$B40,0,IF(TDBC&gt;=$U40,1,(TDBC-$B40)/($U40-$B40))))</f>
      </c>
      <c r="Y40" s="223">
        <f>IF($A40="","",IF($V40="Đã xử lý","Hoàn thành",IF(N($U40)=0,"Chưa đặt hạn",IF(TDBC&gt;$U40,"Quá hạn",IF(ROUND((N($X40)-$W40)*100,0)&gt;=20,"Chậm tiến độ",IF($U40-TDBC&lt;=1,"Sắp đến hạn","Đúng tiến độ"))))))</f>
      </c>
      <c r="Z40" s="223">
        <f>IF(OR($A40="",$V40="Đã xử lý",N($U40)=0),"",IF(TDBC&gt;$U40,"Quá "&amp;IF(((TDBC-$U40)*24)&lt;1,MAX(1,ROUND(((TDBC-$U40)*24)*60,0))&amp;" phút",IF(ROUND(((TDBC-$U40)*24),0)&lt;24,ROUND(((TDBC-$U40)*24),0)&amp;" giờ",INT(ROUND(((TDBC-$U40)*24),0)/24)&amp;" ngày"&amp;IF(MOD(ROUND(((TDBC-$U40)*24),0),24)&gt;0," "&amp;MOD(ROUND(((TDBC-$U40)*24),0),24)&amp;" giờ",""))),"Còn "&amp;IF((($U40-TDBC)*24)&lt;1,MAX(1,ROUND((($U40-TDBC)*24)*60,0))&amp;" phút",IF(ROUND((($U40-TDBC)*24),0)&lt;24,ROUND((($U40-TDBC)*24),0)&amp;" giờ",INT(ROUND((($U40-TDBC)*24),0)/24)&amp;" ngày"&amp;IF(MOD(ROUND((($U40-TDBC)*24),0),24)&gt;0," "&amp;MOD(ROUND((($U40-TDBC)*24),0),24)&amp;" giờ","")))))</f>
      </c>
      <c r="AA40" s="220">
        <f>IF($V40="Đã xử lý",_xlfn.MAXIFS('Nhật ký tiến độ'!$B$6:$B$3005,'Nhật ký tiến độ'!$C$6:$C$3005,$A40,'Nhật ký tiến độ'!$E$6:$E$3005,"Đã xử lý"),"")</f>
      </c>
      <c r="AB40" s="223">
        <f>IF($AI40="","",IF($AI40&lt;1,MAX(1,ROUND($AI40*60,0))&amp;" phút",IF(ROUND($AI40,0)&lt;24,ROUND($AI40,0)&amp;" giờ",INT(ROUND($AI40,0)/24)&amp;" ngày"&amp;IF(MOD(ROUND($AI40,0),24)&gt;0," "&amp;MOD(ROUND($AI40,0),24)&amp;" giờ",""))))</f>
      </c>
      <c r="AC40" s="223">
        <f>IF(OR($A40="",N($AH40)=0),"",IF($AI40&lt;&gt;"",IF($AI40&lt;=$AH40,"Trong ước tính","Vượt "&amp;IF(($AI40-$AH40)&lt;1,MAX(1,ROUND(($AI40-$AH40)*60,0))&amp;" phút",IF(ROUND(($AI40-$AH40),0)&lt;24,ROUND(($AI40-$AH40),0)&amp;" giờ",INT(ROUND(($AI40-$AH40),0)/24)&amp;" ngày"&amp;IF(MOD(ROUND(($AI40-$AH40),0),24)&gt;0," "&amp;MOD(ROUND(($AI40-$AH40),0),24)&amp;" giờ","")))),IF(OR($V40="Đã xử lý",N($B40)=0),"",IF((TDBC-$B40)*24&gt;$AH40,"Đã vượt ước tính","Đã dùng "&amp;TEXT((TDBC-$B40)*24/$AH40,"0%")))))</f>
      </c>
      <c r="AD40" s="223">
        <f>IF(N($AO40)=0,"",CHOOSE($AO40,"Nhắc nhở","Cảnh báo","Báo động","Báo động đỏ"))</f>
      </c>
      <c r="AE40" s="223">
        <f>IF(OR(N($AA40)=0,N($U40)=0),"",IF($AA40&lt;=$U40,"Đúng hạn","Trễ hạn"))</f>
      </c>
      <c r="AF40" s="220">
        <f>IF($A40="","",_xlfn.MAXIFS('Nhật ký tiến độ'!$B$6:$B$3005,'Nhật ký tiến độ'!$C$6:$C$3005,$A40))</f>
      </c>
      <c r="AG40" s="223">
        <f>IF($A40="","",IF(COUNTIF('Kế hoạch'!$M$6:$M$305,$A40)=0,"",COUNTIF('Kế hoạch'!$M$6:$M$305,$A40)&amp;" việc"))</f>
      </c>
      <c r="AH40" s="224">
        <f>IF(OR($A40="",N($O40)&lt;=0),"",IF($P40="Giờ",$O40,$O40*24))</f>
      </c>
      <c r="AI40" s="224">
        <f>IF(OR(N($AA40)=0,N($B40)=0),"",IF($AA40&lt;$B40,"",($AA40-$B40)*24))</f>
      </c>
      <c r="AJ40" s="225">
        <f>IF($A40="","",IF(COUNTIF('Nhật ký tiến độ'!$C$6:$C$3005,$A40)=0,0,_xlfn.MAXIFS('Nhật ký tiến độ'!$N$6:$N$3005,'Nhật ký tiến độ'!$C$6:$C$3005,$A40,'Nhật ký tiến độ'!$B$6:$B$3005,_xlfn.MAXIFS('Nhật ký tiến độ'!$B$6:$B$3005,'Nhật ký tiến độ'!$C$6:$C$3005,$A40))))</f>
      </c>
      <c r="AK40" s="225">
        <f>IF(OR($A40="",$V40="Đã xử lý"),"",IF(N($AO40)&gt;0,5-$AO40,IF($J40="Khẩn cấp",5,IF($Y40="Chậm tiến độ",6,IF(OR($Y40="Sắp đến hạn",$J40="Cao"),7,"")))))</f>
      </c>
      <c r="AL40" s="225">
        <f>IF($AK40="","",$AK40*100000+IF(N($U40)=0,99999,INT($U40))+ROW()/100000)</f>
      </c>
      <c r="AM40" s="225">
        <f>IF(OR($A40="",TRIM($K40)="",COUNTIF($K$6:$K40,$K40)&gt;1),0,1)</f>
      </c>
      <c r="AN40" s="225">
        <f>IF($AM40=1,SUM($AM$6:$AM40),"")</f>
      </c>
      <c r="AO40" s="225">
        <f>IF(OR($A40="",$V40="Đã xử lý",N($U40)=0),0,IF(TDBC&lt;=$U40,0,MAX(1,MIN(4,IF((TDBC-$U40)*24&lt;24,1,IF((TDBC-$U40)*24&lt;72,2,IF((TDBC-$U40)*24&lt;168,3,4)))+IFERROR(INDEX({2,1,0,-1},MATCH($J40,{"Khẩn cấp","Cao","Trung bình","Thấp"},0)),0)))))</f>
      </c>
    </row>
    <row r="41">
      <c r="A41" s="216"/>
      <c r="B41" s="217"/>
      <c r="C41" s="218"/>
      <c r="D41" s="218"/>
      <c r="E41" s="218"/>
      <c r="F41" s="218"/>
      <c r="G41" s="216"/>
      <c r="H41" s="218"/>
      <c r="I41" s="218"/>
      <c r="J41" s="216"/>
      <c r="K41" s="218"/>
      <c r="L41" s="218"/>
      <c r="M41" s="218"/>
      <c r="N41" s="218"/>
      <c r="O41" s="219"/>
      <c r="P41" s="216"/>
      <c r="Q41" s="217"/>
      <c r="R41" s="216"/>
      <c r="S41" s="218"/>
      <c r="T41" s="218"/>
      <c r="U41" s="220">
        <f>IF($A41="","",IF(N($Q41)&gt;0,IF(MOD($Q41,1)=0,$Q41+1-1/1440,$Q41),IF(N($B41)=0,"",$B41+IF(N($AH41)&gt;0,$AH41,IFERROR(INDEX(DM_SLA_Gio,MATCH($J41,DM_SLA_Cap,0)),168))/24)))</f>
      </c>
      <c r="V41" s="221">
        <f>IF($A41="","",IF(N($AJ41)=0,"Mới tiếp nhận",INDEX('Nhật ký tiến độ'!$E:$E,$AJ41)))</f>
      </c>
      <c r="W41" s="222">
        <f>IF($A41="","",IF($V41="Đã xử lý",1,IF(N($AJ41)=0,0,N(INDEX('Nhật ký tiến độ'!$D:$D,$AJ41)))))</f>
      </c>
      <c r="X41" s="222">
        <f>IF(OR($A41="",$V41="Đã xử lý",N($U41)=0,N($B41)=0),"",IF(TDBC&lt;=$B41,0,IF(TDBC&gt;=$U41,1,(TDBC-$B41)/($U41-$B41))))</f>
      </c>
      <c r="Y41" s="223">
        <f>IF($A41="","",IF($V41="Đã xử lý","Hoàn thành",IF(N($U41)=0,"Chưa đặt hạn",IF(TDBC&gt;$U41,"Quá hạn",IF(ROUND((N($X41)-$W41)*100,0)&gt;=20,"Chậm tiến độ",IF($U41-TDBC&lt;=1,"Sắp đến hạn","Đúng tiến độ"))))))</f>
      </c>
      <c r="Z41" s="223">
        <f>IF(OR($A41="",$V41="Đã xử lý",N($U41)=0),"",IF(TDBC&gt;$U41,"Quá "&amp;IF(((TDBC-$U41)*24)&lt;1,MAX(1,ROUND(((TDBC-$U41)*24)*60,0))&amp;" phút",IF(ROUND(((TDBC-$U41)*24),0)&lt;24,ROUND(((TDBC-$U41)*24),0)&amp;" giờ",INT(ROUND(((TDBC-$U41)*24),0)/24)&amp;" ngày"&amp;IF(MOD(ROUND(((TDBC-$U41)*24),0),24)&gt;0," "&amp;MOD(ROUND(((TDBC-$U41)*24),0),24)&amp;" giờ",""))),"Còn "&amp;IF((($U41-TDBC)*24)&lt;1,MAX(1,ROUND((($U41-TDBC)*24)*60,0))&amp;" phút",IF(ROUND((($U41-TDBC)*24),0)&lt;24,ROUND((($U41-TDBC)*24),0)&amp;" giờ",INT(ROUND((($U41-TDBC)*24),0)/24)&amp;" ngày"&amp;IF(MOD(ROUND((($U41-TDBC)*24),0),24)&gt;0," "&amp;MOD(ROUND((($U41-TDBC)*24),0),24)&amp;" giờ","")))))</f>
      </c>
      <c r="AA41" s="220">
        <f>IF($V41="Đã xử lý",_xlfn.MAXIFS('Nhật ký tiến độ'!$B$6:$B$3005,'Nhật ký tiến độ'!$C$6:$C$3005,$A41,'Nhật ký tiến độ'!$E$6:$E$3005,"Đã xử lý"),"")</f>
      </c>
      <c r="AB41" s="223">
        <f>IF($AI41="","",IF($AI41&lt;1,MAX(1,ROUND($AI41*60,0))&amp;" phút",IF(ROUND($AI41,0)&lt;24,ROUND($AI41,0)&amp;" giờ",INT(ROUND($AI41,0)/24)&amp;" ngày"&amp;IF(MOD(ROUND($AI41,0),24)&gt;0," "&amp;MOD(ROUND($AI41,0),24)&amp;" giờ",""))))</f>
      </c>
      <c r="AC41" s="223">
        <f>IF(OR($A41="",N($AH41)=0),"",IF($AI41&lt;&gt;"",IF($AI41&lt;=$AH41,"Trong ước tính","Vượt "&amp;IF(($AI41-$AH41)&lt;1,MAX(1,ROUND(($AI41-$AH41)*60,0))&amp;" phút",IF(ROUND(($AI41-$AH41),0)&lt;24,ROUND(($AI41-$AH41),0)&amp;" giờ",INT(ROUND(($AI41-$AH41),0)/24)&amp;" ngày"&amp;IF(MOD(ROUND(($AI41-$AH41),0),24)&gt;0," "&amp;MOD(ROUND(($AI41-$AH41),0),24)&amp;" giờ","")))),IF(OR($V41="Đã xử lý",N($B41)=0),"",IF((TDBC-$B41)*24&gt;$AH41,"Đã vượt ước tính","Đã dùng "&amp;TEXT((TDBC-$B41)*24/$AH41,"0%")))))</f>
      </c>
      <c r="AD41" s="223">
        <f>IF(N($AO41)=0,"",CHOOSE($AO41,"Nhắc nhở","Cảnh báo","Báo động","Báo động đỏ"))</f>
      </c>
      <c r="AE41" s="223">
        <f>IF(OR(N($AA41)=0,N($U41)=0),"",IF($AA41&lt;=$U41,"Đúng hạn","Trễ hạn"))</f>
      </c>
      <c r="AF41" s="220">
        <f>IF($A41="","",_xlfn.MAXIFS('Nhật ký tiến độ'!$B$6:$B$3005,'Nhật ký tiến độ'!$C$6:$C$3005,$A41))</f>
      </c>
      <c r="AG41" s="223">
        <f>IF($A41="","",IF(COUNTIF('Kế hoạch'!$M$6:$M$305,$A41)=0,"",COUNTIF('Kế hoạch'!$M$6:$M$305,$A41)&amp;" việc"))</f>
      </c>
      <c r="AH41" s="224">
        <f>IF(OR($A41="",N($O41)&lt;=0),"",IF($P41="Giờ",$O41,$O41*24))</f>
      </c>
      <c r="AI41" s="224">
        <f>IF(OR(N($AA41)=0,N($B41)=0),"",IF($AA41&lt;$B41,"",($AA41-$B41)*24))</f>
      </c>
      <c r="AJ41" s="225">
        <f>IF($A41="","",IF(COUNTIF('Nhật ký tiến độ'!$C$6:$C$3005,$A41)=0,0,_xlfn.MAXIFS('Nhật ký tiến độ'!$N$6:$N$3005,'Nhật ký tiến độ'!$C$6:$C$3005,$A41,'Nhật ký tiến độ'!$B$6:$B$3005,_xlfn.MAXIFS('Nhật ký tiến độ'!$B$6:$B$3005,'Nhật ký tiến độ'!$C$6:$C$3005,$A41))))</f>
      </c>
      <c r="AK41" s="225">
        <f>IF(OR($A41="",$V41="Đã xử lý"),"",IF(N($AO41)&gt;0,5-$AO41,IF($J41="Khẩn cấp",5,IF($Y41="Chậm tiến độ",6,IF(OR($Y41="Sắp đến hạn",$J41="Cao"),7,"")))))</f>
      </c>
      <c r="AL41" s="225">
        <f>IF($AK41="","",$AK41*100000+IF(N($U41)=0,99999,INT($U41))+ROW()/100000)</f>
      </c>
      <c r="AM41" s="225">
        <f>IF(OR($A41="",TRIM($K41)="",COUNTIF($K$6:$K41,$K41)&gt;1),0,1)</f>
      </c>
      <c r="AN41" s="225">
        <f>IF($AM41=1,SUM($AM$6:$AM41),"")</f>
      </c>
      <c r="AO41" s="225">
        <f>IF(OR($A41="",$V41="Đã xử lý",N($U41)=0),0,IF(TDBC&lt;=$U41,0,MAX(1,MIN(4,IF((TDBC-$U41)*24&lt;24,1,IF((TDBC-$U41)*24&lt;72,2,IF((TDBC-$U41)*24&lt;168,3,4)))+IFERROR(INDEX({2,1,0,-1},MATCH($J41,{"Khẩn cấp","Cao","Trung bình","Thấp"},0)),0)))))</f>
      </c>
    </row>
    <row r="42">
      <c r="A42" s="216"/>
      <c r="B42" s="217"/>
      <c r="C42" s="218"/>
      <c r="D42" s="218"/>
      <c r="E42" s="218"/>
      <c r="F42" s="218"/>
      <c r="G42" s="216"/>
      <c r="H42" s="218"/>
      <c r="I42" s="218"/>
      <c r="J42" s="216"/>
      <c r="K42" s="218"/>
      <c r="L42" s="218"/>
      <c r="M42" s="218"/>
      <c r="N42" s="218"/>
      <c r="O42" s="219"/>
      <c r="P42" s="216"/>
      <c r="Q42" s="217"/>
      <c r="R42" s="216"/>
      <c r="S42" s="218"/>
      <c r="T42" s="218"/>
      <c r="U42" s="220">
        <f>IF($A42="","",IF(N($Q42)&gt;0,IF(MOD($Q42,1)=0,$Q42+1-1/1440,$Q42),IF(N($B42)=0,"",$B42+IF(N($AH42)&gt;0,$AH42,IFERROR(INDEX(DM_SLA_Gio,MATCH($J42,DM_SLA_Cap,0)),168))/24)))</f>
      </c>
      <c r="V42" s="221">
        <f>IF($A42="","",IF(N($AJ42)=0,"Mới tiếp nhận",INDEX('Nhật ký tiến độ'!$E:$E,$AJ42)))</f>
      </c>
      <c r="W42" s="222">
        <f>IF($A42="","",IF($V42="Đã xử lý",1,IF(N($AJ42)=0,0,N(INDEX('Nhật ký tiến độ'!$D:$D,$AJ42)))))</f>
      </c>
      <c r="X42" s="222">
        <f>IF(OR($A42="",$V42="Đã xử lý",N($U42)=0,N($B42)=0),"",IF(TDBC&lt;=$B42,0,IF(TDBC&gt;=$U42,1,(TDBC-$B42)/($U42-$B42))))</f>
      </c>
      <c r="Y42" s="223">
        <f>IF($A42="","",IF($V42="Đã xử lý","Hoàn thành",IF(N($U42)=0,"Chưa đặt hạn",IF(TDBC&gt;$U42,"Quá hạn",IF(ROUND((N($X42)-$W42)*100,0)&gt;=20,"Chậm tiến độ",IF($U42-TDBC&lt;=1,"Sắp đến hạn","Đúng tiến độ"))))))</f>
      </c>
      <c r="Z42" s="223">
        <f>IF(OR($A42="",$V42="Đã xử lý",N($U42)=0),"",IF(TDBC&gt;$U42,"Quá "&amp;IF(((TDBC-$U42)*24)&lt;1,MAX(1,ROUND(((TDBC-$U42)*24)*60,0))&amp;" phút",IF(ROUND(((TDBC-$U42)*24),0)&lt;24,ROUND(((TDBC-$U42)*24),0)&amp;" giờ",INT(ROUND(((TDBC-$U42)*24),0)/24)&amp;" ngày"&amp;IF(MOD(ROUND(((TDBC-$U42)*24),0),24)&gt;0," "&amp;MOD(ROUND(((TDBC-$U42)*24),0),24)&amp;" giờ",""))),"Còn "&amp;IF((($U42-TDBC)*24)&lt;1,MAX(1,ROUND((($U42-TDBC)*24)*60,0))&amp;" phút",IF(ROUND((($U42-TDBC)*24),0)&lt;24,ROUND((($U42-TDBC)*24),0)&amp;" giờ",INT(ROUND((($U42-TDBC)*24),0)/24)&amp;" ngày"&amp;IF(MOD(ROUND((($U42-TDBC)*24),0),24)&gt;0," "&amp;MOD(ROUND((($U42-TDBC)*24),0),24)&amp;" giờ","")))))</f>
      </c>
      <c r="AA42" s="220">
        <f>IF($V42="Đã xử lý",_xlfn.MAXIFS('Nhật ký tiến độ'!$B$6:$B$3005,'Nhật ký tiến độ'!$C$6:$C$3005,$A42,'Nhật ký tiến độ'!$E$6:$E$3005,"Đã xử lý"),"")</f>
      </c>
      <c r="AB42" s="223">
        <f>IF($AI42="","",IF($AI42&lt;1,MAX(1,ROUND($AI42*60,0))&amp;" phút",IF(ROUND($AI42,0)&lt;24,ROUND($AI42,0)&amp;" giờ",INT(ROUND($AI42,0)/24)&amp;" ngày"&amp;IF(MOD(ROUND($AI42,0),24)&gt;0," "&amp;MOD(ROUND($AI42,0),24)&amp;" giờ",""))))</f>
      </c>
      <c r="AC42" s="223">
        <f>IF(OR($A42="",N($AH42)=0),"",IF($AI42&lt;&gt;"",IF($AI42&lt;=$AH42,"Trong ước tính","Vượt "&amp;IF(($AI42-$AH42)&lt;1,MAX(1,ROUND(($AI42-$AH42)*60,0))&amp;" phút",IF(ROUND(($AI42-$AH42),0)&lt;24,ROUND(($AI42-$AH42),0)&amp;" giờ",INT(ROUND(($AI42-$AH42),0)/24)&amp;" ngày"&amp;IF(MOD(ROUND(($AI42-$AH42),0),24)&gt;0," "&amp;MOD(ROUND(($AI42-$AH42),0),24)&amp;" giờ","")))),IF(OR($V42="Đã xử lý",N($B42)=0),"",IF((TDBC-$B42)*24&gt;$AH42,"Đã vượt ước tính","Đã dùng "&amp;TEXT((TDBC-$B42)*24/$AH42,"0%")))))</f>
      </c>
      <c r="AD42" s="223">
        <f>IF(N($AO42)=0,"",CHOOSE($AO42,"Nhắc nhở","Cảnh báo","Báo động","Báo động đỏ"))</f>
      </c>
      <c r="AE42" s="223">
        <f>IF(OR(N($AA42)=0,N($U42)=0),"",IF($AA42&lt;=$U42,"Đúng hạn","Trễ hạn"))</f>
      </c>
      <c r="AF42" s="220">
        <f>IF($A42="","",_xlfn.MAXIFS('Nhật ký tiến độ'!$B$6:$B$3005,'Nhật ký tiến độ'!$C$6:$C$3005,$A42))</f>
      </c>
      <c r="AG42" s="223">
        <f>IF($A42="","",IF(COUNTIF('Kế hoạch'!$M$6:$M$305,$A42)=0,"",COUNTIF('Kế hoạch'!$M$6:$M$305,$A42)&amp;" việc"))</f>
      </c>
      <c r="AH42" s="224">
        <f>IF(OR($A42="",N($O42)&lt;=0),"",IF($P42="Giờ",$O42,$O42*24))</f>
      </c>
      <c r="AI42" s="224">
        <f>IF(OR(N($AA42)=0,N($B42)=0),"",IF($AA42&lt;$B42,"",($AA42-$B42)*24))</f>
      </c>
      <c r="AJ42" s="225">
        <f>IF($A42="","",IF(COUNTIF('Nhật ký tiến độ'!$C$6:$C$3005,$A42)=0,0,_xlfn.MAXIFS('Nhật ký tiến độ'!$N$6:$N$3005,'Nhật ký tiến độ'!$C$6:$C$3005,$A42,'Nhật ký tiến độ'!$B$6:$B$3005,_xlfn.MAXIFS('Nhật ký tiến độ'!$B$6:$B$3005,'Nhật ký tiến độ'!$C$6:$C$3005,$A42))))</f>
      </c>
      <c r="AK42" s="225">
        <f>IF(OR($A42="",$V42="Đã xử lý"),"",IF(N($AO42)&gt;0,5-$AO42,IF($J42="Khẩn cấp",5,IF($Y42="Chậm tiến độ",6,IF(OR($Y42="Sắp đến hạn",$J42="Cao"),7,"")))))</f>
      </c>
      <c r="AL42" s="225">
        <f>IF($AK42="","",$AK42*100000+IF(N($U42)=0,99999,INT($U42))+ROW()/100000)</f>
      </c>
      <c r="AM42" s="225">
        <f>IF(OR($A42="",TRIM($K42)="",COUNTIF($K$6:$K42,$K42)&gt;1),0,1)</f>
      </c>
      <c r="AN42" s="225">
        <f>IF($AM42=1,SUM($AM$6:$AM42),"")</f>
      </c>
      <c r="AO42" s="225">
        <f>IF(OR($A42="",$V42="Đã xử lý",N($U42)=0),0,IF(TDBC&lt;=$U42,0,MAX(1,MIN(4,IF((TDBC-$U42)*24&lt;24,1,IF((TDBC-$U42)*24&lt;72,2,IF((TDBC-$U42)*24&lt;168,3,4)))+IFERROR(INDEX({2,1,0,-1},MATCH($J42,{"Khẩn cấp","Cao","Trung bình","Thấp"},0)),0)))))</f>
      </c>
    </row>
    <row r="43">
      <c r="A43" s="216"/>
      <c r="B43" s="217"/>
      <c r="C43" s="218"/>
      <c r="D43" s="218"/>
      <c r="E43" s="218"/>
      <c r="F43" s="218"/>
      <c r="G43" s="216"/>
      <c r="H43" s="218"/>
      <c r="I43" s="218"/>
      <c r="J43" s="216"/>
      <c r="K43" s="218"/>
      <c r="L43" s="218"/>
      <c r="M43" s="218"/>
      <c r="N43" s="218"/>
      <c r="O43" s="219"/>
      <c r="P43" s="216"/>
      <c r="Q43" s="217"/>
      <c r="R43" s="216"/>
      <c r="S43" s="218"/>
      <c r="T43" s="218"/>
      <c r="U43" s="220">
        <f>IF($A43="","",IF(N($Q43)&gt;0,IF(MOD($Q43,1)=0,$Q43+1-1/1440,$Q43),IF(N($B43)=0,"",$B43+IF(N($AH43)&gt;0,$AH43,IFERROR(INDEX(DM_SLA_Gio,MATCH($J43,DM_SLA_Cap,0)),168))/24)))</f>
      </c>
      <c r="V43" s="221">
        <f>IF($A43="","",IF(N($AJ43)=0,"Mới tiếp nhận",INDEX('Nhật ký tiến độ'!$E:$E,$AJ43)))</f>
      </c>
      <c r="W43" s="222">
        <f>IF($A43="","",IF($V43="Đã xử lý",1,IF(N($AJ43)=0,0,N(INDEX('Nhật ký tiến độ'!$D:$D,$AJ43)))))</f>
      </c>
      <c r="X43" s="222">
        <f>IF(OR($A43="",$V43="Đã xử lý",N($U43)=0,N($B43)=0),"",IF(TDBC&lt;=$B43,0,IF(TDBC&gt;=$U43,1,(TDBC-$B43)/($U43-$B43))))</f>
      </c>
      <c r="Y43" s="223">
        <f>IF($A43="","",IF($V43="Đã xử lý","Hoàn thành",IF(N($U43)=0,"Chưa đặt hạn",IF(TDBC&gt;$U43,"Quá hạn",IF(ROUND((N($X43)-$W43)*100,0)&gt;=20,"Chậm tiến độ",IF($U43-TDBC&lt;=1,"Sắp đến hạn","Đúng tiến độ"))))))</f>
      </c>
      <c r="Z43" s="223">
        <f>IF(OR($A43="",$V43="Đã xử lý",N($U43)=0),"",IF(TDBC&gt;$U43,"Quá "&amp;IF(((TDBC-$U43)*24)&lt;1,MAX(1,ROUND(((TDBC-$U43)*24)*60,0))&amp;" phút",IF(ROUND(((TDBC-$U43)*24),0)&lt;24,ROUND(((TDBC-$U43)*24),0)&amp;" giờ",INT(ROUND(((TDBC-$U43)*24),0)/24)&amp;" ngày"&amp;IF(MOD(ROUND(((TDBC-$U43)*24),0),24)&gt;0," "&amp;MOD(ROUND(((TDBC-$U43)*24),0),24)&amp;" giờ",""))),"Còn "&amp;IF((($U43-TDBC)*24)&lt;1,MAX(1,ROUND((($U43-TDBC)*24)*60,0))&amp;" phút",IF(ROUND((($U43-TDBC)*24),0)&lt;24,ROUND((($U43-TDBC)*24),0)&amp;" giờ",INT(ROUND((($U43-TDBC)*24),0)/24)&amp;" ngày"&amp;IF(MOD(ROUND((($U43-TDBC)*24),0),24)&gt;0," "&amp;MOD(ROUND((($U43-TDBC)*24),0),24)&amp;" giờ","")))))</f>
      </c>
      <c r="AA43" s="220">
        <f>IF($V43="Đã xử lý",_xlfn.MAXIFS('Nhật ký tiến độ'!$B$6:$B$3005,'Nhật ký tiến độ'!$C$6:$C$3005,$A43,'Nhật ký tiến độ'!$E$6:$E$3005,"Đã xử lý"),"")</f>
      </c>
      <c r="AB43" s="223">
        <f>IF($AI43="","",IF($AI43&lt;1,MAX(1,ROUND($AI43*60,0))&amp;" phút",IF(ROUND($AI43,0)&lt;24,ROUND($AI43,0)&amp;" giờ",INT(ROUND($AI43,0)/24)&amp;" ngày"&amp;IF(MOD(ROUND($AI43,0),24)&gt;0," "&amp;MOD(ROUND($AI43,0),24)&amp;" giờ",""))))</f>
      </c>
      <c r="AC43" s="223">
        <f>IF(OR($A43="",N($AH43)=0),"",IF($AI43&lt;&gt;"",IF($AI43&lt;=$AH43,"Trong ước tính","Vượt "&amp;IF(($AI43-$AH43)&lt;1,MAX(1,ROUND(($AI43-$AH43)*60,0))&amp;" phút",IF(ROUND(($AI43-$AH43),0)&lt;24,ROUND(($AI43-$AH43),0)&amp;" giờ",INT(ROUND(($AI43-$AH43),0)/24)&amp;" ngày"&amp;IF(MOD(ROUND(($AI43-$AH43),0),24)&gt;0," "&amp;MOD(ROUND(($AI43-$AH43),0),24)&amp;" giờ","")))),IF(OR($V43="Đã xử lý",N($B43)=0),"",IF((TDBC-$B43)*24&gt;$AH43,"Đã vượt ước tính","Đã dùng "&amp;TEXT((TDBC-$B43)*24/$AH43,"0%")))))</f>
      </c>
      <c r="AD43" s="223">
        <f>IF(N($AO43)=0,"",CHOOSE($AO43,"Nhắc nhở","Cảnh báo","Báo động","Báo động đỏ"))</f>
      </c>
      <c r="AE43" s="223">
        <f>IF(OR(N($AA43)=0,N($U43)=0),"",IF($AA43&lt;=$U43,"Đúng hạn","Trễ hạn"))</f>
      </c>
      <c r="AF43" s="220">
        <f>IF($A43="","",_xlfn.MAXIFS('Nhật ký tiến độ'!$B$6:$B$3005,'Nhật ký tiến độ'!$C$6:$C$3005,$A43))</f>
      </c>
      <c r="AG43" s="223">
        <f>IF($A43="","",IF(COUNTIF('Kế hoạch'!$M$6:$M$305,$A43)=0,"",COUNTIF('Kế hoạch'!$M$6:$M$305,$A43)&amp;" việc"))</f>
      </c>
      <c r="AH43" s="224">
        <f>IF(OR($A43="",N($O43)&lt;=0),"",IF($P43="Giờ",$O43,$O43*24))</f>
      </c>
      <c r="AI43" s="224">
        <f>IF(OR(N($AA43)=0,N($B43)=0),"",IF($AA43&lt;$B43,"",($AA43-$B43)*24))</f>
      </c>
      <c r="AJ43" s="225">
        <f>IF($A43="","",IF(COUNTIF('Nhật ký tiến độ'!$C$6:$C$3005,$A43)=0,0,_xlfn.MAXIFS('Nhật ký tiến độ'!$N$6:$N$3005,'Nhật ký tiến độ'!$C$6:$C$3005,$A43,'Nhật ký tiến độ'!$B$6:$B$3005,_xlfn.MAXIFS('Nhật ký tiến độ'!$B$6:$B$3005,'Nhật ký tiến độ'!$C$6:$C$3005,$A43))))</f>
      </c>
      <c r="AK43" s="225">
        <f>IF(OR($A43="",$V43="Đã xử lý"),"",IF(N($AO43)&gt;0,5-$AO43,IF($J43="Khẩn cấp",5,IF($Y43="Chậm tiến độ",6,IF(OR($Y43="Sắp đến hạn",$J43="Cao"),7,"")))))</f>
      </c>
      <c r="AL43" s="225">
        <f>IF($AK43="","",$AK43*100000+IF(N($U43)=0,99999,INT($U43))+ROW()/100000)</f>
      </c>
      <c r="AM43" s="225">
        <f>IF(OR($A43="",TRIM($K43)="",COUNTIF($K$6:$K43,$K43)&gt;1),0,1)</f>
      </c>
      <c r="AN43" s="225">
        <f>IF($AM43=1,SUM($AM$6:$AM43),"")</f>
      </c>
      <c r="AO43" s="225">
        <f>IF(OR($A43="",$V43="Đã xử lý",N($U43)=0),0,IF(TDBC&lt;=$U43,0,MAX(1,MIN(4,IF((TDBC-$U43)*24&lt;24,1,IF((TDBC-$U43)*24&lt;72,2,IF((TDBC-$U43)*24&lt;168,3,4)))+IFERROR(INDEX({2,1,0,-1},MATCH($J43,{"Khẩn cấp","Cao","Trung bình","Thấp"},0)),0)))))</f>
      </c>
    </row>
    <row r="44">
      <c r="A44" s="216"/>
      <c r="B44" s="217"/>
      <c r="C44" s="218"/>
      <c r="D44" s="218"/>
      <c r="E44" s="218"/>
      <c r="F44" s="218"/>
      <c r="G44" s="216"/>
      <c r="H44" s="218"/>
      <c r="I44" s="218"/>
      <c r="J44" s="216"/>
      <c r="K44" s="218"/>
      <c r="L44" s="218"/>
      <c r="M44" s="218"/>
      <c r="N44" s="218"/>
      <c r="O44" s="219"/>
      <c r="P44" s="216"/>
      <c r="Q44" s="217"/>
      <c r="R44" s="216"/>
      <c r="S44" s="218"/>
      <c r="T44" s="218"/>
      <c r="U44" s="220">
        <f>IF($A44="","",IF(N($Q44)&gt;0,IF(MOD($Q44,1)=0,$Q44+1-1/1440,$Q44),IF(N($B44)=0,"",$B44+IF(N($AH44)&gt;0,$AH44,IFERROR(INDEX(DM_SLA_Gio,MATCH($J44,DM_SLA_Cap,0)),168))/24)))</f>
      </c>
      <c r="V44" s="221">
        <f>IF($A44="","",IF(N($AJ44)=0,"Mới tiếp nhận",INDEX('Nhật ký tiến độ'!$E:$E,$AJ44)))</f>
      </c>
      <c r="W44" s="222">
        <f>IF($A44="","",IF($V44="Đã xử lý",1,IF(N($AJ44)=0,0,N(INDEX('Nhật ký tiến độ'!$D:$D,$AJ44)))))</f>
      </c>
      <c r="X44" s="222">
        <f>IF(OR($A44="",$V44="Đã xử lý",N($U44)=0,N($B44)=0),"",IF(TDBC&lt;=$B44,0,IF(TDBC&gt;=$U44,1,(TDBC-$B44)/($U44-$B44))))</f>
      </c>
      <c r="Y44" s="223">
        <f>IF($A44="","",IF($V44="Đã xử lý","Hoàn thành",IF(N($U44)=0,"Chưa đặt hạn",IF(TDBC&gt;$U44,"Quá hạn",IF(ROUND((N($X44)-$W44)*100,0)&gt;=20,"Chậm tiến độ",IF($U44-TDBC&lt;=1,"Sắp đến hạn","Đúng tiến độ"))))))</f>
      </c>
      <c r="Z44" s="223">
        <f>IF(OR($A44="",$V44="Đã xử lý",N($U44)=0),"",IF(TDBC&gt;$U44,"Quá "&amp;IF(((TDBC-$U44)*24)&lt;1,MAX(1,ROUND(((TDBC-$U44)*24)*60,0))&amp;" phút",IF(ROUND(((TDBC-$U44)*24),0)&lt;24,ROUND(((TDBC-$U44)*24),0)&amp;" giờ",INT(ROUND(((TDBC-$U44)*24),0)/24)&amp;" ngày"&amp;IF(MOD(ROUND(((TDBC-$U44)*24),0),24)&gt;0," "&amp;MOD(ROUND(((TDBC-$U44)*24),0),24)&amp;" giờ",""))),"Còn "&amp;IF((($U44-TDBC)*24)&lt;1,MAX(1,ROUND((($U44-TDBC)*24)*60,0))&amp;" phút",IF(ROUND((($U44-TDBC)*24),0)&lt;24,ROUND((($U44-TDBC)*24),0)&amp;" giờ",INT(ROUND((($U44-TDBC)*24),0)/24)&amp;" ngày"&amp;IF(MOD(ROUND((($U44-TDBC)*24),0),24)&gt;0," "&amp;MOD(ROUND((($U44-TDBC)*24),0),24)&amp;" giờ","")))))</f>
      </c>
      <c r="AA44" s="220">
        <f>IF($V44="Đã xử lý",_xlfn.MAXIFS('Nhật ký tiến độ'!$B$6:$B$3005,'Nhật ký tiến độ'!$C$6:$C$3005,$A44,'Nhật ký tiến độ'!$E$6:$E$3005,"Đã xử lý"),"")</f>
      </c>
      <c r="AB44" s="223">
        <f>IF($AI44="","",IF($AI44&lt;1,MAX(1,ROUND($AI44*60,0))&amp;" phút",IF(ROUND($AI44,0)&lt;24,ROUND($AI44,0)&amp;" giờ",INT(ROUND($AI44,0)/24)&amp;" ngày"&amp;IF(MOD(ROUND($AI44,0),24)&gt;0," "&amp;MOD(ROUND($AI44,0),24)&amp;" giờ",""))))</f>
      </c>
      <c r="AC44" s="223">
        <f>IF(OR($A44="",N($AH44)=0),"",IF($AI44&lt;&gt;"",IF($AI44&lt;=$AH44,"Trong ước tính","Vượt "&amp;IF(($AI44-$AH44)&lt;1,MAX(1,ROUND(($AI44-$AH44)*60,0))&amp;" phút",IF(ROUND(($AI44-$AH44),0)&lt;24,ROUND(($AI44-$AH44),0)&amp;" giờ",INT(ROUND(($AI44-$AH44),0)/24)&amp;" ngày"&amp;IF(MOD(ROUND(($AI44-$AH44),0),24)&gt;0," "&amp;MOD(ROUND(($AI44-$AH44),0),24)&amp;" giờ","")))),IF(OR($V44="Đã xử lý",N($B44)=0),"",IF((TDBC-$B44)*24&gt;$AH44,"Đã vượt ước tính","Đã dùng "&amp;TEXT((TDBC-$B44)*24/$AH44,"0%")))))</f>
      </c>
      <c r="AD44" s="223">
        <f>IF(N($AO44)=0,"",CHOOSE($AO44,"Nhắc nhở","Cảnh báo","Báo động","Báo động đỏ"))</f>
      </c>
      <c r="AE44" s="223">
        <f>IF(OR(N($AA44)=0,N($U44)=0),"",IF($AA44&lt;=$U44,"Đúng hạn","Trễ hạn"))</f>
      </c>
      <c r="AF44" s="220">
        <f>IF($A44="","",_xlfn.MAXIFS('Nhật ký tiến độ'!$B$6:$B$3005,'Nhật ký tiến độ'!$C$6:$C$3005,$A44))</f>
      </c>
      <c r="AG44" s="223">
        <f>IF($A44="","",IF(COUNTIF('Kế hoạch'!$M$6:$M$305,$A44)=0,"",COUNTIF('Kế hoạch'!$M$6:$M$305,$A44)&amp;" việc"))</f>
      </c>
      <c r="AH44" s="224">
        <f>IF(OR($A44="",N($O44)&lt;=0),"",IF($P44="Giờ",$O44,$O44*24))</f>
      </c>
      <c r="AI44" s="224">
        <f>IF(OR(N($AA44)=0,N($B44)=0),"",IF($AA44&lt;$B44,"",($AA44-$B44)*24))</f>
      </c>
      <c r="AJ44" s="225">
        <f>IF($A44="","",IF(COUNTIF('Nhật ký tiến độ'!$C$6:$C$3005,$A44)=0,0,_xlfn.MAXIFS('Nhật ký tiến độ'!$N$6:$N$3005,'Nhật ký tiến độ'!$C$6:$C$3005,$A44,'Nhật ký tiến độ'!$B$6:$B$3005,_xlfn.MAXIFS('Nhật ký tiến độ'!$B$6:$B$3005,'Nhật ký tiến độ'!$C$6:$C$3005,$A44))))</f>
      </c>
      <c r="AK44" s="225">
        <f>IF(OR($A44="",$V44="Đã xử lý"),"",IF(N($AO44)&gt;0,5-$AO44,IF($J44="Khẩn cấp",5,IF($Y44="Chậm tiến độ",6,IF(OR($Y44="Sắp đến hạn",$J44="Cao"),7,"")))))</f>
      </c>
      <c r="AL44" s="225">
        <f>IF($AK44="","",$AK44*100000+IF(N($U44)=0,99999,INT($U44))+ROW()/100000)</f>
      </c>
      <c r="AM44" s="225">
        <f>IF(OR($A44="",TRIM($K44)="",COUNTIF($K$6:$K44,$K44)&gt;1),0,1)</f>
      </c>
      <c r="AN44" s="225">
        <f>IF($AM44=1,SUM($AM$6:$AM44),"")</f>
      </c>
      <c r="AO44" s="225">
        <f>IF(OR($A44="",$V44="Đã xử lý",N($U44)=0),0,IF(TDBC&lt;=$U44,0,MAX(1,MIN(4,IF((TDBC-$U44)*24&lt;24,1,IF((TDBC-$U44)*24&lt;72,2,IF((TDBC-$U44)*24&lt;168,3,4)))+IFERROR(INDEX({2,1,0,-1},MATCH($J44,{"Khẩn cấp","Cao","Trung bình","Thấp"},0)),0)))))</f>
      </c>
    </row>
    <row r="45">
      <c r="A45" s="216"/>
      <c r="B45" s="217"/>
      <c r="C45" s="218"/>
      <c r="D45" s="218"/>
      <c r="E45" s="218"/>
      <c r="F45" s="218"/>
      <c r="G45" s="216"/>
      <c r="H45" s="218"/>
      <c r="I45" s="218"/>
      <c r="J45" s="216"/>
      <c r="K45" s="218"/>
      <c r="L45" s="218"/>
      <c r="M45" s="218"/>
      <c r="N45" s="218"/>
      <c r="O45" s="219"/>
      <c r="P45" s="216"/>
      <c r="Q45" s="217"/>
      <c r="R45" s="216"/>
      <c r="S45" s="218"/>
      <c r="T45" s="218"/>
      <c r="U45" s="220">
        <f>IF($A45="","",IF(N($Q45)&gt;0,IF(MOD($Q45,1)=0,$Q45+1-1/1440,$Q45),IF(N($B45)=0,"",$B45+IF(N($AH45)&gt;0,$AH45,IFERROR(INDEX(DM_SLA_Gio,MATCH($J45,DM_SLA_Cap,0)),168))/24)))</f>
      </c>
      <c r="V45" s="221">
        <f>IF($A45="","",IF(N($AJ45)=0,"Mới tiếp nhận",INDEX('Nhật ký tiến độ'!$E:$E,$AJ45)))</f>
      </c>
      <c r="W45" s="222">
        <f>IF($A45="","",IF($V45="Đã xử lý",1,IF(N($AJ45)=0,0,N(INDEX('Nhật ký tiến độ'!$D:$D,$AJ45)))))</f>
      </c>
      <c r="X45" s="222">
        <f>IF(OR($A45="",$V45="Đã xử lý",N($U45)=0,N($B45)=0),"",IF(TDBC&lt;=$B45,0,IF(TDBC&gt;=$U45,1,(TDBC-$B45)/($U45-$B45))))</f>
      </c>
      <c r="Y45" s="223">
        <f>IF($A45="","",IF($V45="Đã xử lý","Hoàn thành",IF(N($U45)=0,"Chưa đặt hạn",IF(TDBC&gt;$U45,"Quá hạn",IF(ROUND((N($X45)-$W45)*100,0)&gt;=20,"Chậm tiến độ",IF($U45-TDBC&lt;=1,"Sắp đến hạn","Đúng tiến độ"))))))</f>
      </c>
      <c r="Z45" s="223">
        <f>IF(OR($A45="",$V45="Đã xử lý",N($U45)=0),"",IF(TDBC&gt;$U45,"Quá "&amp;IF(((TDBC-$U45)*24)&lt;1,MAX(1,ROUND(((TDBC-$U45)*24)*60,0))&amp;" phút",IF(ROUND(((TDBC-$U45)*24),0)&lt;24,ROUND(((TDBC-$U45)*24),0)&amp;" giờ",INT(ROUND(((TDBC-$U45)*24),0)/24)&amp;" ngày"&amp;IF(MOD(ROUND(((TDBC-$U45)*24),0),24)&gt;0," "&amp;MOD(ROUND(((TDBC-$U45)*24),0),24)&amp;" giờ",""))),"Còn "&amp;IF((($U45-TDBC)*24)&lt;1,MAX(1,ROUND((($U45-TDBC)*24)*60,0))&amp;" phút",IF(ROUND((($U45-TDBC)*24),0)&lt;24,ROUND((($U45-TDBC)*24),0)&amp;" giờ",INT(ROUND((($U45-TDBC)*24),0)/24)&amp;" ngày"&amp;IF(MOD(ROUND((($U45-TDBC)*24),0),24)&gt;0," "&amp;MOD(ROUND((($U45-TDBC)*24),0),24)&amp;" giờ","")))))</f>
      </c>
      <c r="AA45" s="220">
        <f>IF($V45="Đã xử lý",_xlfn.MAXIFS('Nhật ký tiến độ'!$B$6:$B$3005,'Nhật ký tiến độ'!$C$6:$C$3005,$A45,'Nhật ký tiến độ'!$E$6:$E$3005,"Đã xử lý"),"")</f>
      </c>
      <c r="AB45" s="223">
        <f>IF($AI45="","",IF($AI45&lt;1,MAX(1,ROUND($AI45*60,0))&amp;" phút",IF(ROUND($AI45,0)&lt;24,ROUND($AI45,0)&amp;" giờ",INT(ROUND($AI45,0)/24)&amp;" ngày"&amp;IF(MOD(ROUND($AI45,0),24)&gt;0," "&amp;MOD(ROUND($AI45,0),24)&amp;" giờ",""))))</f>
      </c>
      <c r="AC45" s="223">
        <f>IF(OR($A45="",N($AH45)=0),"",IF($AI45&lt;&gt;"",IF($AI45&lt;=$AH45,"Trong ước tính","Vượt "&amp;IF(($AI45-$AH45)&lt;1,MAX(1,ROUND(($AI45-$AH45)*60,0))&amp;" phút",IF(ROUND(($AI45-$AH45),0)&lt;24,ROUND(($AI45-$AH45),0)&amp;" giờ",INT(ROUND(($AI45-$AH45),0)/24)&amp;" ngày"&amp;IF(MOD(ROUND(($AI45-$AH45),0),24)&gt;0," "&amp;MOD(ROUND(($AI45-$AH45),0),24)&amp;" giờ","")))),IF(OR($V45="Đã xử lý",N($B45)=0),"",IF((TDBC-$B45)*24&gt;$AH45,"Đã vượt ước tính","Đã dùng "&amp;TEXT((TDBC-$B45)*24/$AH45,"0%")))))</f>
      </c>
      <c r="AD45" s="223">
        <f>IF(N($AO45)=0,"",CHOOSE($AO45,"Nhắc nhở","Cảnh báo","Báo động","Báo động đỏ"))</f>
      </c>
      <c r="AE45" s="223">
        <f>IF(OR(N($AA45)=0,N($U45)=0),"",IF($AA45&lt;=$U45,"Đúng hạn","Trễ hạn"))</f>
      </c>
      <c r="AF45" s="220">
        <f>IF($A45="","",_xlfn.MAXIFS('Nhật ký tiến độ'!$B$6:$B$3005,'Nhật ký tiến độ'!$C$6:$C$3005,$A45))</f>
      </c>
      <c r="AG45" s="223">
        <f>IF($A45="","",IF(COUNTIF('Kế hoạch'!$M$6:$M$305,$A45)=0,"",COUNTIF('Kế hoạch'!$M$6:$M$305,$A45)&amp;" việc"))</f>
      </c>
      <c r="AH45" s="224">
        <f>IF(OR($A45="",N($O45)&lt;=0),"",IF($P45="Giờ",$O45,$O45*24))</f>
      </c>
      <c r="AI45" s="224">
        <f>IF(OR(N($AA45)=0,N($B45)=0),"",IF($AA45&lt;$B45,"",($AA45-$B45)*24))</f>
      </c>
      <c r="AJ45" s="225">
        <f>IF($A45="","",IF(COUNTIF('Nhật ký tiến độ'!$C$6:$C$3005,$A45)=0,0,_xlfn.MAXIFS('Nhật ký tiến độ'!$N$6:$N$3005,'Nhật ký tiến độ'!$C$6:$C$3005,$A45,'Nhật ký tiến độ'!$B$6:$B$3005,_xlfn.MAXIFS('Nhật ký tiến độ'!$B$6:$B$3005,'Nhật ký tiến độ'!$C$6:$C$3005,$A45))))</f>
      </c>
      <c r="AK45" s="225">
        <f>IF(OR($A45="",$V45="Đã xử lý"),"",IF(N($AO45)&gt;0,5-$AO45,IF($J45="Khẩn cấp",5,IF($Y45="Chậm tiến độ",6,IF(OR($Y45="Sắp đến hạn",$J45="Cao"),7,"")))))</f>
      </c>
      <c r="AL45" s="225">
        <f>IF($AK45="","",$AK45*100000+IF(N($U45)=0,99999,INT($U45))+ROW()/100000)</f>
      </c>
      <c r="AM45" s="225">
        <f>IF(OR($A45="",TRIM($K45)="",COUNTIF($K$6:$K45,$K45)&gt;1),0,1)</f>
      </c>
      <c r="AN45" s="225">
        <f>IF($AM45=1,SUM($AM$6:$AM45),"")</f>
      </c>
      <c r="AO45" s="225">
        <f>IF(OR($A45="",$V45="Đã xử lý",N($U45)=0),0,IF(TDBC&lt;=$U45,0,MAX(1,MIN(4,IF((TDBC-$U45)*24&lt;24,1,IF((TDBC-$U45)*24&lt;72,2,IF((TDBC-$U45)*24&lt;168,3,4)))+IFERROR(INDEX({2,1,0,-1},MATCH($J45,{"Khẩn cấp","Cao","Trung bình","Thấp"},0)),0)))))</f>
      </c>
    </row>
    <row r="46">
      <c r="A46" s="216"/>
      <c r="B46" s="217"/>
      <c r="C46" s="218"/>
      <c r="D46" s="218"/>
      <c r="E46" s="218"/>
      <c r="F46" s="218"/>
      <c r="G46" s="216"/>
      <c r="H46" s="218"/>
      <c r="I46" s="218"/>
      <c r="J46" s="216"/>
      <c r="K46" s="218"/>
      <c r="L46" s="218"/>
      <c r="M46" s="218"/>
      <c r="N46" s="218"/>
      <c r="O46" s="219"/>
      <c r="P46" s="216"/>
      <c r="Q46" s="217"/>
      <c r="R46" s="216"/>
      <c r="S46" s="218"/>
      <c r="T46" s="218"/>
      <c r="U46" s="220">
        <f>IF($A46="","",IF(N($Q46)&gt;0,IF(MOD($Q46,1)=0,$Q46+1-1/1440,$Q46),IF(N($B46)=0,"",$B46+IF(N($AH46)&gt;0,$AH46,IFERROR(INDEX(DM_SLA_Gio,MATCH($J46,DM_SLA_Cap,0)),168))/24)))</f>
      </c>
      <c r="V46" s="221">
        <f>IF($A46="","",IF(N($AJ46)=0,"Mới tiếp nhận",INDEX('Nhật ký tiến độ'!$E:$E,$AJ46)))</f>
      </c>
      <c r="W46" s="222">
        <f>IF($A46="","",IF($V46="Đã xử lý",1,IF(N($AJ46)=0,0,N(INDEX('Nhật ký tiến độ'!$D:$D,$AJ46)))))</f>
      </c>
      <c r="X46" s="222">
        <f>IF(OR($A46="",$V46="Đã xử lý",N($U46)=0,N($B46)=0),"",IF(TDBC&lt;=$B46,0,IF(TDBC&gt;=$U46,1,(TDBC-$B46)/($U46-$B46))))</f>
      </c>
      <c r="Y46" s="223">
        <f>IF($A46="","",IF($V46="Đã xử lý","Hoàn thành",IF(N($U46)=0,"Chưa đặt hạn",IF(TDBC&gt;$U46,"Quá hạn",IF(ROUND((N($X46)-$W46)*100,0)&gt;=20,"Chậm tiến độ",IF($U46-TDBC&lt;=1,"Sắp đến hạn","Đúng tiến độ"))))))</f>
      </c>
      <c r="Z46" s="223">
        <f>IF(OR($A46="",$V46="Đã xử lý",N($U46)=0),"",IF(TDBC&gt;$U46,"Quá "&amp;IF(((TDBC-$U46)*24)&lt;1,MAX(1,ROUND(((TDBC-$U46)*24)*60,0))&amp;" phút",IF(ROUND(((TDBC-$U46)*24),0)&lt;24,ROUND(((TDBC-$U46)*24),0)&amp;" giờ",INT(ROUND(((TDBC-$U46)*24),0)/24)&amp;" ngày"&amp;IF(MOD(ROUND(((TDBC-$U46)*24),0),24)&gt;0," "&amp;MOD(ROUND(((TDBC-$U46)*24),0),24)&amp;" giờ",""))),"Còn "&amp;IF((($U46-TDBC)*24)&lt;1,MAX(1,ROUND((($U46-TDBC)*24)*60,0))&amp;" phút",IF(ROUND((($U46-TDBC)*24),0)&lt;24,ROUND((($U46-TDBC)*24),0)&amp;" giờ",INT(ROUND((($U46-TDBC)*24),0)/24)&amp;" ngày"&amp;IF(MOD(ROUND((($U46-TDBC)*24),0),24)&gt;0," "&amp;MOD(ROUND((($U46-TDBC)*24),0),24)&amp;" giờ","")))))</f>
      </c>
      <c r="AA46" s="220">
        <f>IF($V46="Đã xử lý",_xlfn.MAXIFS('Nhật ký tiến độ'!$B$6:$B$3005,'Nhật ký tiến độ'!$C$6:$C$3005,$A46,'Nhật ký tiến độ'!$E$6:$E$3005,"Đã xử lý"),"")</f>
      </c>
      <c r="AB46" s="223">
        <f>IF($AI46="","",IF($AI46&lt;1,MAX(1,ROUND($AI46*60,0))&amp;" phút",IF(ROUND($AI46,0)&lt;24,ROUND($AI46,0)&amp;" giờ",INT(ROUND($AI46,0)/24)&amp;" ngày"&amp;IF(MOD(ROUND($AI46,0),24)&gt;0," "&amp;MOD(ROUND($AI46,0),24)&amp;" giờ",""))))</f>
      </c>
      <c r="AC46" s="223">
        <f>IF(OR($A46="",N($AH46)=0),"",IF($AI46&lt;&gt;"",IF($AI46&lt;=$AH46,"Trong ước tính","Vượt "&amp;IF(($AI46-$AH46)&lt;1,MAX(1,ROUND(($AI46-$AH46)*60,0))&amp;" phút",IF(ROUND(($AI46-$AH46),0)&lt;24,ROUND(($AI46-$AH46),0)&amp;" giờ",INT(ROUND(($AI46-$AH46),0)/24)&amp;" ngày"&amp;IF(MOD(ROUND(($AI46-$AH46),0),24)&gt;0," "&amp;MOD(ROUND(($AI46-$AH46),0),24)&amp;" giờ","")))),IF(OR($V46="Đã xử lý",N($B46)=0),"",IF((TDBC-$B46)*24&gt;$AH46,"Đã vượt ước tính","Đã dùng "&amp;TEXT((TDBC-$B46)*24/$AH46,"0%")))))</f>
      </c>
      <c r="AD46" s="223">
        <f>IF(N($AO46)=0,"",CHOOSE($AO46,"Nhắc nhở","Cảnh báo","Báo động","Báo động đỏ"))</f>
      </c>
      <c r="AE46" s="223">
        <f>IF(OR(N($AA46)=0,N($U46)=0),"",IF($AA46&lt;=$U46,"Đúng hạn","Trễ hạn"))</f>
      </c>
      <c r="AF46" s="220">
        <f>IF($A46="","",_xlfn.MAXIFS('Nhật ký tiến độ'!$B$6:$B$3005,'Nhật ký tiến độ'!$C$6:$C$3005,$A46))</f>
      </c>
      <c r="AG46" s="223">
        <f>IF($A46="","",IF(COUNTIF('Kế hoạch'!$M$6:$M$305,$A46)=0,"",COUNTIF('Kế hoạch'!$M$6:$M$305,$A46)&amp;" việc"))</f>
      </c>
      <c r="AH46" s="224">
        <f>IF(OR($A46="",N($O46)&lt;=0),"",IF($P46="Giờ",$O46,$O46*24))</f>
      </c>
      <c r="AI46" s="224">
        <f>IF(OR(N($AA46)=0,N($B46)=0),"",IF($AA46&lt;$B46,"",($AA46-$B46)*24))</f>
      </c>
      <c r="AJ46" s="225">
        <f>IF($A46="","",IF(COUNTIF('Nhật ký tiến độ'!$C$6:$C$3005,$A46)=0,0,_xlfn.MAXIFS('Nhật ký tiến độ'!$N$6:$N$3005,'Nhật ký tiến độ'!$C$6:$C$3005,$A46,'Nhật ký tiến độ'!$B$6:$B$3005,_xlfn.MAXIFS('Nhật ký tiến độ'!$B$6:$B$3005,'Nhật ký tiến độ'!$C$6:$C$3005,$A46))))</f>
      </c>
      <c r="AK46" s="225">
        <f>IF(OR($A46="",$V46="Đã xử lý"),"",IF(N($AO46)&gt;0,5-$AO46,IF($J46="Khẩn cấp",5,IF($Y46="Chậm tiến độ",6,IF(OR($Y46="Sắp đến hạn",$J46="Cao"),7,"")))))</f>
      </c>
      <c r="AL46" s="225">
        <f>IF($AK46="","",$AK46*100000+IF(N($U46)=0,99999,INT($U46))+ROW()/100000)</f>
      </c>
      <c r="AM46" s="225">
        <f>IF(OR($A46="",TRIM($K46)="",COUNTIF($K$6:$K46,$K46)&gt;1),0,1)</f>
      </c>
      <c r="AN46" s="225">
        <f>IF($AM46=1,SUM($AM$6:$AM46),"")</f>
      </c>
      <c r="AO46" s="225">
        <f>IF(OR($A46="",$V46="Đã xử lý",N($U46)=0),0,IF(TDBC&lt;=$U46,0,MAX(1,MIN(4,IF((TDBC-$U46)*24&lt;24,1,IF((TDBC-$U46)*24&lt;72,2,IF((TDBC-$U46)*24&lt;168,3,4)))+IFERROR(INDEX({2,1,0,-1},MATCH($J46,{"Khẩn cấp","Cao","Trung bình","Thấp"},0)),0)))))</f>
      </c>
    </row>
    <row r="47">
      <c r="A47" s="216"/>
      <c r="B47" s="217"/>
      <c r="C47" s="218"/>
      <c r="D47" s="218"/>
      <c r="E47" s="218"/>
      <c r="F47" s="218"/>
      <c r="G47" s="216"/>
      <c r="H47" s="218"/>
      <c r="I47" s="218"/>
      <c r="J47" s="216"/>
      <c r="K47" s="218"/>
      <c r="L47" s="218"/>
      <c r="M47" s="218"/>
      <c r="N47" s="218"/>
      <c r="O47" s="219"/>
      <c r="P47" s="216"/>
      <c r="Q47" s="217"/>
      <c r="R47" s="216"/>
      <c r="S47" s="218"/>
      <c r="T47" s="218"/>
      <c r="U47" s="220">
        <f>IF($A47="","",IF(N($Q47)&gt;0,IF(MOD($Q47,1)=0,$Q47+1-1/1440,$Q47),IF(N($B47)=0,"",$B47+IF(N($AH47)&gt;0,$AH47,IFERROR(INDEX(DM_SLA_Gio,MATCH($J47,DM_SLA_Cap,0)),168))/24)))</f>
      </c>
      <c r="V47" s="221">
        <f>IF($A47="","",IF(N($AJ47)=0,"Mới tiếp nhận",INDEX('Nhật ký tiến độ'!$E:$E,$AJ47)))</f>
      </c>
      <c r="W47" s="222">
        <f>IF($A47="","",IF($V47="Đã xử lý",1,IF(N($AJ47)=0,0,N(INDEX('Nhật ký tiến độ'!$D:$D,$AJ47)))))</f>
      </c>
      <c r="X47" s="222">
        <f>IF(OR($A47="",$V47="Đã xử lý",N($U47)=0,N($B47)=0),"",IF(TDBC&lt;=$B47,0,IF(TDBC&gt;=$U47,1,(TDBC-$B47)/($U47-$B47))))</f>
      </c>
      <c r="Y47" s="223">
        <f>IF($A47="","",IF($V47="Đã xử lý","Hoàn thành",IF(N($U47)=0,"Chưa đặt hạn",IF(TDBC&gt;$U47,"Quá hạn",IF(ROUND((N($X47)-$W47)*100,0)&gt;=20,"Chậm tiến độ",IF($U47-TDBC&lt;=1,"Sắp đến hạn","Đúng tiến độ"))))))</f>
      </c>
      <c r="Z47" s="223">
        <f>IF(OR($A47="",$V47="Đã xử lý",N($U47)=0),"",IF(TDBC&gt;$U47,"Quá "&amp;IF(((TDBC-$U47)*24)&lt;1,MAX(1,ROUND(((TDBC-$U47)*24)*60,0))&amp;" phút",IF(ROUND(((TDBC-$U47)*24),0)&lt;24,ROUND(((TDBC-$U47)*24),0)&amp;" giờ",INT(ROUND(((TDBC-$U47)*24),0)/24)&amp;" ngày"&amp;IF(MOD(ROUND(((TDBC-$U47)*24),0),24)&gt;0," "&amp;MOD(ROUND(((TDBC-$U47)*24),0),24)&amp;" giờ",""))),"Còn "&amp;IF((($U47-TDBC)*24)&lt;1,MAX(1,ROUND((($U47-TDBC)*24)*60,0))&amp;" phút",IF(ROUND((($U47-TDBC)*24),0)&lt;24,ROUND((($U47-TDBC)*24),0)&amp;" giờ",INT(ROUND((($U47-TDBC)*24),0)/24)&amp;" ngày"&amp;IF(MOD(ROUND((($U47-TDBC)*24),0),24)&gt;0," "&amp;MOD(ROUND((($U47-TDBC)*24),0),24)&amp;" giờ","")))))</f>
      </c>
      <c r="AA47" s="220">
        <f>IF($V47="Đã xử lý",_xlfn.MAXIFS('Nhật ký tiến độ'!$B$6:$B$3005,'Nhật ký tiến độ'!$C$6:$C$3005,$A47,'Nhật ký tiến độ'!$E$6:$E$3005,"Đã xử lý"),"")</f>
      </c>
      <c r="AB47" s="223">
        <f>IF($AI47="","",IF($AI47&lt;1,MAX(1,ROUND($AI47*60,0))&amp;" phút",IF(ROUND($AI47,0)&lt;24,ROUND($AI47,0)&amp;" giờ",INT(ROUND($AI47,0)/24)&amp;" ngày"&amp;IF(MOD(ROUND($AI47,0),24)&gt;0," "&amp;MOD(ROUND($AI47,0),24)&amp;" giờ",""))))</f>
      </c>
      <c r="AC47" s="223">
        <f>IF(OR($A47="",N($AH47)=0),"",IF($AI47&lt;&gt;"",IF($AI47&lt;=$AH47,"Trong ước tính","Vượt "&amp;IF(($AI47-$AH47)&lt;1,MAX(1,ROUND(($AI47-$AH47)*60,0))&amp;" phút",IF(ROUND(($AI47-$AH47),0)&lt;24,ROUND(($AI47-$AH47),0)&amp;" giờ",INT(ROUND(($AI47-$AH47),0)/24)&amp;" ngày"&amp;IF(MOD(ROUND(($AI47-$AH47),0),24)&gt;0," "&amp;MOD(ROUND(($AI47-$AH47),0),24)&amp;" giờ","")))),IF(OR($V47="Đã xử lý",N($B47)=0),"",IF((TDBC-$B47)*24&gt;$AH47,"Đã vượt ước tính","Đã dùng "&amp;TEXT((TDBC-$B47)*24/$AH47,"0%")))))</f>
      </c>
      <c r="AD47" s="223">
        <f>IF(N($AO47)=0,"",CHOOSE($AO47,"Nhắc nhở","Cảnh báo","Báo động","Báo động đỏ"))</f>
      </c>
      <c r="AE47" s="223">
        <f>IF(OR(N($AA47)=0,N($U47)=0),"",IF($AA47&lt;=$U47,"Đúng hạn","Trễ hạn"))</f>
      </c>
      <c r="AF47" s="220">
        <f>IF($A47="","",_xlfn.MAXIFS('Nhật ký tiến độ'!$B$6:$B$3005,'Nhật ký tiến độ'!$C$6:$C$3005,$A47))</f>
      </c>
      <c r="AG47" s="223">
        <f>IF($A47="","",IF(COUNTIF('Kế hoạch'!$M$6:$M$305,$A47)=0,"",COUNTIF('Kế hoạch'!$M$6:$M$305,$A47)&amp;" việc"))</f>
      </c>
      <c r="AH47" s="224">
        <f>IF(OR($A47="",N($O47)&lt;=0),"",IF($P47="Giờ",$O47,$O47*24))</f>
      </c>
      <c r="AI47" s="224">
        <f>IF(OR(N($AA47)=0,N($B47)=0),"",IF($AA47&lt;$B47,"",($AA47-$B47)*24))</f>
      </c>
      <c r="AJ47" s="225">
        <f>IF($A47="","",IF(COUNTIF('Nhật ký tiến độ'!$C$6:$C$3005,$A47)=0,0,_xlfn.MAXIFS('Nhật ký tiến độ'!$N$6:$N$3005,'Nhật ký tiến độ'!$C$6:$C$3005,$A47,'Nhật ký tiến độ'!$B$6:$B$3005,_xlfn.MAXIFS('Nhật ký tiến độ'!$B$6:$B$3005,'Nhật ký tiến độ'!$C$6:$C$3005,$A47))))</f>
      </c>
      <c r="AK47" s="225">
        <f>IF(OR($A47="",$V47="Đã xử lý"),"",IF(N($AO47)&gt;0,5-$AO47,IF($J47="Khẩn cấp",5,IF($Y47="Chậm tiến độ",6,IF(OR($Y47="Sắp đến hạn",$J47="Cao"),7,"")))))</f>
      </c>
      <c r="AL47" s="225">
        <f>IF($AK47="","",$AK47*100000+IF(N($U47)=0,99999,INT($U47))+ROW()/100000)</f>
      </c>
      <c r="AM47" s="225">
        <f>IF(OR($A47="",TRIM($K47)="",COUNTIF($K$6:$K47,$K47)&gt;1),0,1)</f>
      </c>
      <c r="AN47" s="225">
        <f>IF($AM47=1,SUM($AM$6:$AM47),"")</f>
      </c>
      <c r="AO47" s="225">
        <f>IF(OR($A47="",$V47="Đã xử lý",N($U47)=0),0,IF(TDBC&lt;=$U47,0,MAX(1,MIN(4,IF((TDBC-$U47)*24&lt;24,1,IF((TDBC-$U47)*24&lt;72,2,IF((TDBC-$U47)*24&lt;168,3,4)))+IFERROR(INDEX({2,1,0,-1},MATCH($J47,{"Khẩn cấp","Cao","Trung bình","Thấp"},0)),0)))))</f>
      </c>
    </row>
    <row r="48">
      <c r="A48" s="216"/>
      <c r="B48" s="217"/>
      <c r="C48" s="218"/>
      <c r="D48" s="218"/>
      <c r="E48" s="218"/>
      <c r="F48" s="218"/>
      <c r="G48" s="216"/>
      <c r="H48" s="218"/>
      <c r="I48" s="218"/>
      <c r="J48" s="216"/>
      <c r="K48" s="218"/>
      <c r="L48" s="218"/>
      <c r="M48" s="218"/>
      <c r="N48" s="218"/>
      <c r="O48" s="219"/>
      <c r="P48" s="216"/>
      <c r="Q48" s="217"/>
      <c r="R48" s="216"/>
      <c r="S48" s="218"/>
      <c r="T48" s="218"/>
      <c r="U48" s="220">
        <f>IF($A48="","",IF(N($Q48)&gt;0,IF(MOD($Q48,1)=0,$Q48+1-1/1440,$Q48),IF(N($B48)=0,"",$B48+IF(N($AH48)&gt;0,$AH48,IFERROR(INDEX(DM_SLA_Gio,MATCH($J48,DM_SLA_Cap,0)),168))/24)))</f>
      </c>
      <c r="V48" s="221">
        <f>IF($A48="","",IF(N($AJ48)=0,"Mới tiếp nhận",INDEX('Nhật ký tiến độ'!$E:$E,$AJ48)))</f>
      </c>
      <c r="W48" s="222">
        <f>IF($A48="","",IF($V48="Đã xử lý",1,IF(N($AJ48)=0,0,N(INDEX('Nhật ký tiến độ'!$D:$D,$AJ48)))))</f>
      </c>
      <c r="X48" s="222">
        <f>IF(OR($A48="",$V48="Đã xử lý",N($U48)=0,N($B48)=0),"",IF(TDBC&lt;=$B48,0,IF(TDBC&gt;=$U48,1,(TDBC-$B48)/($U48-$B48))))</f>
      </c>
      <c r="Y48" s="223">
        <f>IF($A48="","",IF($V48="Đã xử lý","Hoàn thành",IF(N($U48)=0,"Chưa đặt hạn",IF(TDBC&gt;$U48,"Quá hạn",IF(ROUND((N($X48)-$W48)*100,0)&gt;=20,"Chậm tiến độ",IF($U48-TDBC&lt;=1,"Sắp đến hạn","Đúng tiến độ"))))))</f>
      </c>
      <c r="Z48" s="223">
        <f>IF(OR($A48="",$V48="Đã xử lý",N($U48)=0),"",IF(TDBC&gt;$U48,"Quá "&amp;IF(((TDBC-$U48)*24)&lt;1,MAX(1,ROUND(((TDBC-$U48)*24)*60,0))&amp;" phút",IF(ROUND(((TDBC-$U48)*24),0)&lt;24,ROUND(((TDBC-$U48)*24),0)&amp;" giờ",INT(ROUND(((TDBC-$U48)*24),0)/24)&amp;" ngày"&amp;IF(MOD(ROUND(((TDBC-$U48)*24),0),24)&gt;0," "&amp;MOD(ROUND(((TDBC-$U48)*24),0),24)&amp;" giờ",""))),"Còn "&amp;IF((($U48-TDBC)*24)&lt;1,MAX(1,ROUND((($U48-TDBC)*24)*60,0))&amp;" phút",IF(ROUND((($U48-TDBC)*24),0)&lt;24,ROUND((($U48-TDBC)*24),0)&amp;" giờ",INT(ROUND((($U48-TDBC)*24),0)/24)&amp;" ngày"&amp;IF(MOD(ROUND((($U48-TDBC)*24),0),24)&gt;0," "&amp;MOD(ROUND((($U48-TDBC)*24),0),24)&amp;" giờ","")))))</f>
      </c>
      <c r="AA48" s="220">
        <f>IF($V48="Đã xử lý",_xlfn.MAXIFS('Nhật ký tiến độ'!$B$6:$B$3005,'Nhật ký tiến độ'!$C$6:$C$3005,$A48,'Nhật ký tiến độ'!$E$6:$E$3005,"Đã xử lý"),"")</f>
      </c>
      <c r="AB48" s="223">
        <f>IF($AI48="","",IF($AI48&lt;1,MAX(1,ROUND($AI48*60,0))&amp;" phút",IF(ROUND($AI48,0)&lt;24,ROUND($AI48,0)&amp;" giờ",INT(ROUND($AI48,0)/24)&amp;" ngày"&amp;IF(MOD(ROUND($AI48,0),24)&gt;0," "&amp;MOD(ROUND($AI48,0),24)&amp;" giờ",""))))</f>
      </c>
      <c r="AC48" s="223">
        <f>IF(OR($A48="",N($AH48)=0),"",IF($AI48&lt;&gt;"",IF($AI48&lt;=$AH48,"Trong ước tính","Vượt "&amp;IF(($AI48-$AH48)&lt;1,MAX(1,ROUND(($AI48-$AH48)*60,0))&amp;" phút",IF(ROUND(($AI48-$AH48),0)&lt;24,ROUND(($AI48-$AH48),0)&amp;" giờ",INT(ROUND(($AI48-$AH48),0)/24)&amp;" ngày"&amp;IF(MOD(ROUND(($AI48-$AH48),0),24)&gt;0," "&amp;MOD(ROUND(($AI48-$AH48),0),24)&amp;" giờ","")))),IF(OR($V48="Đã xử lý",N($B48)=0),"",IF((TDBC-$B48)*24&gt;$AH48,"Đã vượt ước tính","Đã dùng "&amp;TEXT((TDBC-$B48)*24/$AH48,"0%")))))</f>
      </c>
      <c r="AD48" s="223">
        <f>IF(N($AO48)=0,"",CHOOSE($AO48,"Nhắc nhở","Cảnh báo","Báo động","Báo động đỏ"))</f>
      </c>
      <c r="AE48" s="223">
        <f>IF(OR(N($AA48)=0,N($U48)=0),"",IF($AA48&lt;=$U48,"Đúng hạn","Trễ hạn"))</f>
      </c>
      <c r="AF48" s="220">
        <f>IF($A48="","",_xlfn.MAXIFS('Nhật ký tiến độ'!$B$6:$B$3005,'Nhật ký tiến độ'!$C$6:$C$3005,$A48))</f>
      </c>
      <c r="AG48" s="223">
        <f>IF($A48="","",IF(COUNTIF('Kế hoạch'!$M$6:$M$305,$A48)=0,"",COUNTIF('Kế hoạch'!$M$6:$M$305,$A48)&amp;" việc"))</f>
      </c>
      <c r="AH48" s="224">
        <f>IF(OR($A48="",N($O48)&lt;=0),"",IF($P48="Giờ",$O48,$O48*24))</f>
      </c>
      <c r="AI48" s="224">
        <f>IF(OR(N($AA48)=0,N($B48)=0),"",IF($AA48&lt;$B48,"",($AA48-$B48)*24))</f>
      </c>
      <c r="AJ48" s="225">
        <f>IF($A48="","",IF(COUNTIF('Nhật ký tiến độ'!$C$6:$C$3005,$A48)=0,0,_xlfn.MAXIFS('Nhật ký tiến độ'!$N$6:$N$3005,'Nhật ký tiến độ'!$C$6:$C$3005,$A48,'Nhật ký tiến độ'!$B$6:$B$3005,_xlfn.MAXIFS('Nhật ký tiến độ'!$B$6:$B$3005,'Nhật ký tiến độ'!$C$6:$C$3005,$A48))))</f>
      </c>
      <c r="AK48" s="225">
        <f>IF(OR($A48="",$V48="Đã xử lý"),"",IF(N($AO48)&gt;0,5-$AO48,IF($J48="Khẩn cấp",5,IF($Y48="Chậm tiến độ",6,IF(OR($Y48="Sắp đến hạn",$J48="Cao"),7,"")))))</f>
      </c>
      <c r="AL48" s="225">
        <f>IF($AK48="","",$AK48*100000+IF(N($U48)=0,99999,INT($U48))+ROW()/100000)</f>
      </c>
      <c r="AM48" s="225">
        <f>IF(OR($A48="",TRIM($K48)="",COUNTIF($K$6:$K48,$K48)&gt;1),0,1)</f>
      </c>
      <c r="AN48" s="225">
        <f>IF($AM48=1,SUM($AM$6:$AM48),"")</f>
      </c>
      <c r="AO48" s="225">
        <f>IF(OR($A48="",$V48="Đã xử lý",N($U48)=0),0,IF(TDBC&lt;=$U48,0,MAX(1,MIN(4,IF((TDBC-$U48)*24&lt;24,1,IF((TDBC-$U48)*24&lt;72,2,IF((TDBC-$U48)*24&lt;168,3,4)))+IFERROR(INDEX({2,1,0,-1},MATCH($J48,{"Khẩn cấp","Cao","Trung bình","Thấp"},0)),0)))))</f>
      </c>
    </row>
    <row r="49">
      <c r="A49" s="216"/>
      <c r="B49" s="217"/>
      <c r="C49" s="218"/>
      <c r="D49" s="218"/>
      <c r="E49" s="218"/>
      <c r="F49" s="218"/>
      <c r="G49" s="216"/>
      <c r="H49" s="218"/>
      <c r="I49" s="218"/>
      <c r="J49" s="216"/>
      <c r="K49" s="218"/>
      <c r="L49" s="218"/>
      <c r="M49" s="218"/>
      <c r="N49" s="218"/>
      <c r="O49" s="219"/>
      <c r="P49" s="216"/>
      <c r="Q49" s="217"/>
      <c r="R49" s="216"/>
      <c r="S49" s="218"/>
      <c r="T49" s="218"/>
      <c r="U49" s="220">
        <f>IF($A49="","",IF(N($Q49)&gt;0,IF(MOD($Q49,1)=0,$Q49+1-1/1440,$Q49),IF(N($B49)=0,"",$B49+IF(N($AH49)&gt;0,$AH49,IFERROR(INDEX(DM_SLA_Gio,MATCH($J49,DM_SLA_Cap,0)),168))/24)))</f>
      </c>
      <c r="V49" s="221">
        <f>IF($A49="","",IF(N($AJ49)=0,"Mới tiếp nhận",INDEX('Nhật ký tiến độ'!$E:$E,$AJ49)))</f>
      </c>
      <c r="W49" s="222">
        <f>IF($A49="","",IF($V49="Đã xử lý",1,IF(N($AJ49)=0,0,N(INDEX('Nhật ký tiến độ'!$D:$D,$AJ49)))))</f>
      </c>
      <c r="X49" s="222">
        <f>IF(OR($A49="",$V49="Đã xử lý",N($U49)=0,N($B49)=0),"",IF(TDBC&lt;=$B49,0,IF(TDBC&gt;=$U49,1,(TDBC-$B49)/($U49-$B49))))</f>
      </c>
      <c r="Y49" s="223">
        <f>IF($A49="","",IF($V49="Đã xử lý","Hoàn thành",IF(N($U49)=0,"Chưa đặt hạn",IF(TDBC&gt;$U49,"Quá hạn",IF(ROUND((N($X49)-$W49)*100,0)&gt;=20,"Chậm tiến độ",IF($U49-TDBC&lt;=1,"Sắp đến hạn","Đúng tiến độ"))))))</f>
      </c>
      <c r="Z49" s="223">
        <f>IF(OR($A49="",$V49="Đã xử lý",N($U49)=0),"",IF(TDBC&gt;$U49,"Quá "&amp;IF(((TDBC-$U49)*24)&lt;1,MAX(1,ROUND(((TDBC-$U49)*24)*60,0))&amp;" phút",IF(ROUND(((TDBC-$U49)*24),0)&lt;24,ROUND(((TDBC-$U49)*24),0)&amp;" giờ",INT(ROUND(((TDBC-$U49)*24),0)/24)&amp;" ngày"&amp;IF(MOD(ROUND(((TDBC-$U49)*24),0),24)&gt;0," "&amp;MOD(ROUND(((TDBC-$U49)*24),0),24)&amp;" giờ",""))),"Còn "&amp;IF((($U49-TDBC)*24)&lt;1,MAX(1,ROUND((($U49-TDBC)*24)*60,0))&amp;" phút",IF(ROUND((($U49-TDBC)*24),0)&lt;24,ROUND((($U49-TDBC)*24),0)&amp;" giờ",INT(ROUND((($U49-TDBC)*24),0)/24)&amp;" ngày"&amp;IF(MOD(ROUND((($U49-TDBC)*24),0),24)&gt;0," "&amp;MOD(ROUND((($U49-TDBC)*24),0),24)&amp;" giờ","")))))</f>
      </c>
      <c r="AA49" s="220">
        <f>IF($V49="Đã xử lý",_xlfn.MAXIFS('Nhật ký tiến độ'!$B$6:$B$3005,'Nhật ký tiến độ'!$C$6:$C$3005,$A49,'Nhật ký tiến độ'!$E$6:$E$3005,"Đã xử lý"),"")</f>
      </c>
      <c r="AB49" s="223">
        <f>IF($AI49="","",IF($AI49&lt;1,MAX(1,ROUND($AI49*60,0))&amp;" phút",IF(ROUND($AI49,0)&lt;24,ROUND($AI49,0)&amp;" giờ",INT(ROUND($AI49,0)/24)&amp;" ngày"&amp;IF(MOD(ROUND($AI49,0),24)&gt;0," "&amp;MOD(ROUND($AI49,0),24)&amp;" giờ",""))))</f>
      </c>
      <c r="AC49" s="223">
        <f>IF(OR($A49="",N($AH49)=0),"",IF($AI49&lt;&gt;"",IF($AI49&lt;=$AH49,"Trong ước tính","Vượt "&amp;IF(($AI49-$AH49)&lt;1,MAX(1,ROUND(($AI49-$AH49)*60,0))&amp;" phút",IF(ROUND(($AI49-$AH49),0)&lt;24,ROUND(($AI49-$AH49),0)&amp;" giờ",INT(ROUND(($AI49-$AH49),0)/24)&amp;" ngày"&amp;IF(MOD(ROUND(($AI49-$AH49),0),24)&gt;0," "&amp;MOD(ROUND(($AI49-$AH49),0),24)&amp;" giờ","")))),IF(OR($V49="Đã xử lý",N($B49)=0),"",IF((TDBC-$B49)*24&gt;$AH49,"Đã vượt ước tính","Đã dùng "&amp;TEXT((TDBC-$B49)*24/$AH49,"0%")))))</f>
      </c>
      <c r="AD49" s="223">
        <f>IF(N($AO49)=0,"",CHOOSE($AO49,"Nhắc nhở","Cảnh báo","Báo động","Báo động đỏ"))</f>
      </c>
      <c r="AE49" s="223">
        <f>IF(OR(N($AA49)=0,N($U49)=0),"",IF($AA49&lt;=$U49,"Đúng hạn","Trễ hạn"))</f>
      </c>
      <c r="AF49" s="220">
        <f>IF($A49="","",_xlfn.MAXIFS('Nhật ký tiến độ'!$B$6:$B$3005,'Nhật ký tiến độ'!$C$6:$C$3005,$A49))</f>
      </c>
      <c r="AG49" s="223">
        <f>IF($A49="","",IF(COUNTIF('Kế hoạch'!$M$6:$M$305,$A49)=0,"",COUNTIF('Kế hoạch'!$M$6:$M$305,$A49)&amp;" việc"))</f>
      </c>
      <c r="AH49" s="224">
        <f>IF(OR($A49="",N($O49)&lt;=0),"",IF($P49="Giờ",$O49,$O49*24))</f>
      </c>
      <c r="AI49" s="224">
        <f>IF(OR(N($AA49)=0,N($B49)=0),"",IF($AA49&lt;$B49,"",($AA49-$B49)*24))</f>
      </c>
      <c r="AJ49" s="225">
        <f>IF($A49="","",IF(COUNTIF('Nhật ký tiến độ'!$C$6:$C$3005,$A49)=0,0,_xlfn.MAXIFS('Nhật ký tiến độ'!$N$6:$N$3005,'Nhật ký tiến độ'!$C$6:$C$3005,$A49,'Nhật ký tiến độ'!$B$6:$B$3005,_xlfn.MAXIFS('Nhật ký tiến độ'!$B$6:$B$3005,'Nhật ký tiến độ'!$C$6:$C$3005,$A49))))</f>
      </c>
      <c r="AK49" s="225">
        <f>IF(OR($A49="",$V49="Đã xử lý"),"",IF(N($AO49)&gt;0,5-$AO49,IF($J49="Khẩn cấp",5,IF($Y49="Chậm tiến độ",6,IF(OR($Y49="Sắp đến hạn",$J49="Cao"),7,"")))))</f>
      </c>
      <c r="AL49" s="225">
        <f>IF($AK49="","",$AK49*100000+IF(N($U49)=0,99999,INT($U49))+ROW()/100000)</f>
      </c>
      <c r="AM49" s="225">
        <f>IF(OR($A49="",TRIM($K49)="",COUNTIF($K$6:$K49,$K49)&gt;1),0,1)</f>
      </c>
      <c r="AN49" s="225">
        <f>IF($AM49=1,SUM($AM$6:$AM49),"")</f>
      </c>
      <c r="AO49" s="225">
        <f>IF(OR($A49="",$V49="Đã xử lý",N($U49)=0),0,IF(TDBC&lt;=$U49,0,MAX(1,MIN(4,IF((TDBC-$U49)*24&lt;24,1,IF((TDBC-$U49)*24&lt;72,2,IF((TDBC-$U49)*24&lt;168,3,4)))+IFERROR(INDEX({2,1,0,-1},MATCH($J49,{"Khẩn cấp","Cao","Trung bình","Thấp"},0)),0)))))</f>
      </c>
    </row>
    <row r="50">
      <c r="A50" s="216"/>
      <c r="B50" s="217"/>
      <c r="C50" s="218"/>
      <c r="D50" s="218"/>
      <c r="E50" s="218"/>
      <c r="F50" s="218"/>
      <c r="G50" s="216"/>
      <c r="H50" s="218"/>
      <c r="I50" s="218"/>
      <c r="J50" s="216"/>
      <c r="K50" s="218"/>
      <c r="L50" s="218"/>
      <c r="M50" s="218"/>
      <c r="N50" s="218"/>
      <c r="O50" s="219"/>
      <c r="P50" s="216"/>
      <c r="Q50" s="217"/>
      <c r="R50" s="216"/>
      <c r="S50" s="218"/>
      <c r="T50" s="218"/>
      <c r="U50" s="220">
        <f>IF($A50="","",IF(N($Q50)&gt;0,IF(MOD($Q50,1)=0,$Q50+1-1/1440,$Q50),IF(N($B50)=0,"",$B50+IF(N($AH50)&gt;0,$AH50,IFERROR(INDEX(DM_SLA_Gio,MATCH($J50,DM_SLA_Cap,0)),168))/24)))</f>
      </c>
      <c r="V50" s="221">
        <f>IF($A50="","",IF(N($AJ50)=0,"Mới tiếp nhận",INDEX('Nhật ký tiến độ'!$E:$E,$AJ50)))</f>
      </c>
      <c r="W50" s="222">
        <f>IF($A50="","",IF($V50="Đã xử lý",1,IF(N($AJ50)=0,0,N(INDEX('Nhật ký tiến độ'!$D:$D,$AJ50)))))</f>
      </c>
      <c r="X50" s="222">
        <f>IF(OR($A50="",$V50="Đã xử lý",N($U50)=0,N($B50)=0),"",IF(TDBC&lt;=$B50,0,IF(TDBC&gt;=$U50,1,(TDBC-$B50)/($U50-$B50))))</f>
      </c>
      <c r="Y50" s="223">
        <f>IF($A50="","",IF($V50="Đã xử lý","Hoàn thành",IF(N($U50)=0,"Chưa đặt hạn",IF(TDBC&gt;$U50,"Quá hạn",IF(ROUND((N($X50)-$W50)*100,0)&gt;=20,"Chậm tiến độ",IF($U50-TDBC&lt;=1,"Sắp đến hạn","Đúng tiến độ"))))))</f>
      </c>
      <c r="Z50" s="223">
        <f>IF(OR($A50="",$V50="Đã xử lý",N($U50)=0),"",IF(TDBC&gt;$U50,"Quá "&amp;IF(((TDBC-$U50)*24)&lt;1,MAX(1,ROUND(((TDBC-$U50)*24)*60,0))&amp;" phút",IF(ROUND(((TDBC-$U50)*24),0)&lt;24,ROUND(((TDBC-$U50)*24),0)&amp;" giờ",INT(ROUND(((TDBC-$U50)*24),0)/24)&amp;" ngày"&amp;IF(MOD(ROUND(((TDBC-$U50)*24),0),24)&gt;0," "&amp;MOD(ROUND(((TDBC-$U50)*24),0),24)&amp;" giờ",""))),"Còn "&amp;IF((($U50-TDBC)*24)&lt;1,MAX(1,ROUND((($U50-TDBC)*24)*60,0))&amp;" phút",IF(ROUND((($U50-TDBC)*24),0)&lt;24,ROUND((($U50-TDBC)*24),0)&amp;" giờ",INT(ROUND((($U50-TDBC)*24),0)/24)&amp;" ngày"&amp;IF(MOD(ROUND((($U50-TDBC)*24),0),24)&gt;0," "&amp;MOD(ROUND((($U50-TDBC)*24),0),24)&amp;" giờ","")))))</f>
      </c>
      <c r="AA50" s="220">
        <f>IF($V50="Đã xử lý",_xlfn.MAXIFS('Nhật ký tiến độ'!$B$6:$B$3005,'Nhật ký tiến độ'!$C$6:$C$3005,$A50,'Nhật ký tiến độ'!$E$6:$E$3005,"Đã xử lý"),"")</f>
      </c>
      <c r="AB50" s="223">
        <f>IF($AI50="","",IF($AI50&lt;1,MAX(1,ROUND($AI50*60,0))&amp;" phút",IF(ROUND($AI50,0)&lt;24,ROUND($AI50,0)&amp;" giờ",INT(ROUND($AI50,0)/24)&amp;" ngày"&amp;IF(MOD(ROUND($AI50,0),24)&gt;0," "&amp;MOD(ROUND($AI50,0),24)&amp;" giờ",""))))</f>
      </c>
      <c r="AC50" s="223">
        <f>IF(OR($A50="",N($AH50)=0),"",IF($AI50&lt;&gt;"",IF($AI50&lt;=$AH50,"Trong ước tính","Vượt "&amp;IF(($AI50-$AH50)&lt;1,MAX(1,ROUND(($AI50-$AH50)*60,0))&amp;" phút",IF(ROUND(($AI50-$AH50),0)&lt;24,ROUND(($AI50-$AH50),0)&amp;" giờ",INT(ROUND(($AI50-$AH50),0)/24)&amp;" ngày"&amp;IF(MOD(ROUND(($AI50-$AH50),0),24)&gt;0," "&amp;MOD(ROUND(($AI50-$AH50),0),24)&amp;" giờ","")))),IF(OR($V50="Đã xử lý",N($B50)=0),"",IF((TDBC-$B50)*24&gt;$AH50,"Đã vượt ước tính","Đã dùng "&amp;TEXT((TDBC-$B50)*24/$AH50,"0%")))))</f>
      </c>
      <c r="AD50" s="223">
        <f>IF(N($AO50)=0,"",CHOOSE($AO50,"Nhắc nhở","Cảnh báo","Báo động","Báo động đỏ"))</f>
      </c>
      <c r="AE50" s="223">
        <f>IF(OR(N($AA50)=0,N($U50)=0),"",IF($AA50&lt;=$U50,"Đúng hạn","Trễ hạn"))</f>
      </c>
      <c r="AF50" s="220">
        <f>IF($A50="","",_xlfn.MAXIFS('Nhật ký tiến độ'!$B$6:$B$3005,'Nhật ký tiến độ'!$C$6:$C$3005,$A50))</f>
      </c>
      <c r="AG50" s="223">
        <f>IF($A50="","",IF(COUNTIF('Kế hoạch'!$M$6:$M$305,$A50)=0,"",COUNTIF('Kế hoạch'!$M$6:$M$305,$A50)&amp;" việc"))</f>
      </c>
      <c r="AH50" s="224">
        <f>IF(OR($A50="",N($O50)&lt;=0),"",IF($P50="Giờ",$O50,$O50*24))</f>
      </c>
      <c r="AI50" s="224">
        <f>IF(OR(N($AA50)=0,N($B50)=0),"",IF($AA50&lt;$B50,"",($AA50-$B50)*24))</f>
      </c>
      <c r="AJ50" s="225">
        <f>IF($A50="","",IF(COUNTIF('Nhật ký tiến độ'!$C$6:$C$3005,$A50)=0,0,_xlfn.MAXIFS('Nhật ký tiến độ'!$N$6:$N$3005,'Nhật ký tiến độ'!$C$6:$C$3005,$A50,'Nhật ký tiến độ'!$B$6:$B$3005,_xlfn.MAXIFS('Nhật ký tiến độ'!$B$6:$B$3005,'Nhật ký tiến độ'!$C$6:$C$3005,$A50))))</f>
      </c>
      <c r="AK50" s="225">
        <f>IF(OR($A50="",$V50="Đã xử lý"),"",IF(N($AO50)&gt;0,5-$AO50,IF($J50="Khẩn cấp",5,IF($Y50="Chậm tiến độ",6,IF(OR($Y50="Sắp đến hạn",$J50="Cao"),7,"")))))</f>
      </c>
      <c r="AL50" s="225">
        <f>IF($AK50="","",$AK50*100000+IF(N($U50)=0,99999,INT($U50))+ROW()/100000)</f>
      </c>
      <c r="AM50" s="225">
        <f>IF(OR($A50="",TRIM($K50)="",COUNTIF($K$6:$K50,$K50)&gt;1),0,1)</f>
      </c>
      <c r="AN50" s="225">
        <f>IF($AM50=1,SUM($AM$6:$AM50),"")</f>
      </c>
      <c r="AO50" s="225">
        <f>IF(OR($A50="",$V50="Đã xử lý",N($U50)=0),0,IF(TDBC&lt;=$U50,0,MAX(1,MIN(4,IF((TDBC-$U50)*24&lt;24,1,IF((TDBC-$U50)*24&lt;72,2,IF((TDBC-$U50)*24&lt;168,3,4)))+IFERROR(INDEX({2,1,0,-1},MATCH($J50,{"Khẩn cấp","Cao","Trung bình","Thấp"},0)),0)))))</f>
      </c>
    </row>
    <row r="51">
      <c r="A51" s="216"/>
      <c r="B51" s="217"/>
      <c r="C51" s="218"/>
      <c r="D51" s="218"/>
      <c r="E51" s="218"/>
      <c r="F51" s="218"/>
      <c r="G51" s="216"/>
      <c r="H51" s="218"/>
      <c r="I51" s="218"/>
      <c r="J51" s="216"/>
      <c r="K51" s="218"/>
      <c r="L51" s="218"/>
      <c r="M51" s="218"/>
      <c r="N51" s="218"/>
      <c r="O51" s="219"/>
      <c r="P51" s="216"/>
      <c r="Q51" s="217"/>
      <c r="R51" s="216"/>
      <c r="S51" s="218"/>
      <c r="T51" s="218"/>
      <c r="U51" s="220">
        <f>IF($A51="","",IF(N($Q51)&gt;0,IF(MOD($Q51,1)=0,$Q51+1-1/1440,$Q51),IF(N($B51)=0,"",$B51+IF(N($AH51)&gt;0,$AH51,IFERROR(INDEX(DM_SLA_Gio,MATCH($J51,DM_SLA_Cap,0)),168))/24)))</f>
      </c>
      <c r="V51" s="221">
        <f>IF($A51="","",IF(N($AJ51)=0,"Mới tiếp nhận",INDEX('Nhật ký tiến độ'!$E:$E,$AJ51)))</f>
      </c>
      <c r="W51" s="222">
        <f>IF($A51="","",IF($V51="Đã xử lý",1,IF(N($AJ51)=0,0,N(INDEX('Nhật ký tiến độ'!$D:$D,$AJ51)))))</f>
      </c>
      <c r="X51" s="222">
        <f>IF(OR($A51="",$V51="Đã xử lý",N($U51)=0,N($B51)=0),"",IF(TDBC&lt;=$B51,0,IF(TDBC&gt;=$U51,1,(TDBC-$B51)/($U51-$B51))))</f>
      </c>
      <c r="Y51" s="223">
        <f>IF($A51="","",IF($V51="Đã xử lý","Hoàn thành",IF(N($U51)=0,"Chưa đặt hạn",IF(TDBC&gt;$U51,"Quá hạn",IF(ROUND((N($X51)-$W51)*100,0)&gt;=20,"Chậm tiến độ",IF($U51-TDBC&lt;=1,"Sắp đến hạn","Đúng tiến độ"))))))</f>
      </c>
      <c r="Z51" s="223">
        <f>IF(OR($A51="",$V51="Đã xử lý",N($U51)=0),"",IF(TDBC&gt;$U51,"Quá "&amp;IF(((TDBC-$U51)*24)&lt;1,MAX(1,ROUND(((TDBC-$U51)*24)*60,0))&amp;" phút",IF(ROUND(((TDBC-$U51)*24),0)&lt;24,ROUND(((TDBC-$U51)*24),0)&amp;" giờ",INT(ROUND(((TDBC-$U51)*24),0)/24)&amp;" ngày"&amp;IF(MOD(ROUND(((TDBC-$U51)*24),0),24)&gt;0," "&amp;MOD(ROUND(((TDBC-$U51)*24),0),24)&amp;" giờ",""))),"Còn "&amp;IF((($U51-TDBC)*24)&lt;1,MAX(1,ROUND((($U51-TDBC)*24)*60,0))&amp;" phút",IF(ROUND((($U51-TDBC)*24),0)&lt;24,ROUND((($U51-TDBC)*24),0)&amp;" giờ",INT(ROUND((($U51-TDBC)*24),0)/24)&amp;" ngày"&amp;IF(MOD(ROUND((($U51-TDBC)*24),0),24)&gt;0," "&amp;MOD(ROUND((($U51-TDBC)*24),0),24)&amp;" giờ","")))))</f>
      </c>
      <c r="AA51" s="220">
        <f>IF($V51="Đã xử lý",_xlfn.MAXIFS('Nhật ký tiến độ'!$B$6:$B$3005,'Nhật ký tiến độ'!$C$6:$C$3005,$A51,'Nhật ký tiến độ'!$E$6:$E$3005,"Đã xử lý"),"")</f>
      </c>
      <c r="AB51" s="223">
        <f>IF($AI51="","",IF($AI51&lt;1,MAX(1,ROUND($AI51*60,0))&amp;" phút",IF(ROUND($AI51,0)&lt;24,ROUND($AI51,0)&amp;" giờ",INT(ROUND($AI51,0)/24)&amp;" ngày"&amp;IF(MOD(ROUND($AI51,0),24)&gt;0," "&amp;MOD(ROUND($AI51,0),24)&amp;" giờ",""))))</f>
      </c>
      <c r="AC51" s="223">
        <f>IF(OR($A51="",N($AH51)=0),"",IF($AI51&lt;&gt;"",IF($AI51&lt;=$AH51,"Trong ước tính","Vượt "&amp;IF(($AI51-$AH51)&lt;1,MAX(1,ROUND(($AI51-$AH51)*60,0))&amp;" phút",IF(ROUND(($AI51-$AH51),0)&lt;24,ROUND(($AI51-$AH51),0)&amp;" giờ",INT(ROUND(($AI51-$AH51),0)/24)&amp;" ngày"&amp;IF(MOD(ROUND(($AI51-$AH51),0),24)&gt;0," "&amp;MOD(ROUND(($AI51-$AH51),0),24)&amp;" giờ","")))),IF(OR($V51="Đã xử lý",N($B51)=0),"",IF((TDBC-$B51)*24&gt;$AH51,"Đã vượt ước tính","Đã dùng "&amp;TEXT((TDBC-$B51)*24/$AH51,"0%")))))</f>
      </c>
      <c r="AD51" s="223">
        <f>IF(N($AO51)=0,"",CHOOSE($AO51,"Nhắc nhở","Cảnh báo","Báo động","Báo động đỏ"))</f>
      </c>
      <c r="AE51" s="223">
        <f>IF(OR(N($AA51)=0,N($U51)=0),"",IF($AA51&lt;=$U51,"Đúng hạn","Trễ hạn"))</f>
      </c>
      <c r="AF51" s="220">
        <f>IF($A51="","",_xlfn.MAXIFS('Nhật ký tiến độ'!$B$6:$B$3005,'Nhật ký tiến độ'!$C$6:$C$3005,$A51))</f>
      </c>
      <c r="AG51" s="223">
        <f>IF($A51="","",IF(COUNTIF('Kế hoạch'!$M$6:$M$305,$A51)=0,"",COUNTIF('Kế hoạch'!$M$6:$M$305,$A51)&amp;" việc"))</f>
      </c>
      <c r="AH51" s="224">
        <f>IF(OR($A51="",N($O51)&lt;=0),"",IF($P51="Giờ",$O51,$O51*24))</f>
      </c>
      <c r="AI51" s="224">
        <f>IF(OR(N($AA51)=0,N($B51)=0),"",IF($AA51&lt;$B51,"",($AA51-$B51)*24))</f>
      </c>
      <c r="AJ51" s="225">
        <f>IF($A51="","",IF(COUNTIF('Nhật ký tiến độ'!$C$6:$C$3005,$A51)=0,0,_xlfn.MAXIFS('Nhật ký tiến độ'!$N$6:$N$3005,'Nhật ký tiến độ'!$C$6:$C$3005,$A51,'Nhật ký tiến độ'!$B$6:$B$3005,_xlfn.MAXIFS('Nhật ký tiến độ'!$B$6:$B$3005,'Nhật ký tiến độ'!$C$6:$C$3005,$A51))))</f>
      </c>
      <c r="AK51" s="225">
        <f>IF(OR($A51="",$V51="Đã xử lý"),"",IF(N($AO51)&gt;0,5-$AO51,IF($J51="Khẩn cấp",5,IF($Y51="Chậm tiến độ",6,IF(OR($Y51="Sắp đến hạn",$J51="Cao"),7,"")))))</f>
      </c>
      <c r="AL51" s="225">
        <f>IF($AK51="","",$AK51*100000+IF(N($U51)=0,99999,INT($U51))+ROW()/100000)</f>
      </c>
      <c r="AM51" s="225">
        <f>IF(OR($A51="",TRIM($K51)="",COUNTIF($K$6:$K51,$K51)&gt;1),0,1)</f>
      </c>
      <c r="AN51" s="225">
        <f>IF($AM51=1,SUM($AM$6:$AM51),"")</f>
      </c>
      <c r="AO51" s="225">
        <f>IF(OR($A51="",$V51="Đã xử lý",N($U51)=0),0,IF(TDBC&lt;=$U51,0,MAX(1,MIN(4,IF((TDBC-$U51)*24&lt;24,1,IF((TDBC-$U51)*24&lt;72,2,IF((TDBC-$U51)*24&lt;168,3,4)))+IFERROR(INDEX({2,1,0,-1},MATCH($J51,{"Khẩn cấp","Cao","Trung bình","Thấp"},0)),0)))))</f>
      </c>
    </row>
    <row r="52">
      <c r="A52" s="216"/>
      <c r="B52" s="217"/>
      <c r="C52" s="218"/>
      <c r="D52" s="218"/>
      <c r="E52" s="218"/>
      <c r="F52" s="218"/>
      <c r="G52" s="216"/>
      <c r="H52" s="218"/>
      <c r="I52" s="218"/>
      <c r="J52" s="216"/>
      <c r="K52" s="218"/>
      <c r="L52" s="218"/>
      <c r="M52" s="218"/>
      <c r="N52" s="218"/>
      <c r="O52" s="219"/>
      <c r="P52" s="216"/>
      <c r="Q52" s="217"/>
      <c r="R52" s="216"/>
      <c r="S52" s="218"/>
      <c r="T52" s="218"/>
      <c r="U52" s="220">
        <f>IF($A52="","",IF(N($Q52)&gt;0,IF(MOD($Q52,1)=0,$Q52+1-1/1440,$Q52),IF(N($B52)=0,"",$B52+IF(N($AH52)&gt;0,$AH52,IFERROR(INDEX(DM_SLA_Gio,MATCH($J52,DM_SLA_Cap,0)),168))/24)))</f>
      </c>
      <c r="V52" s="221">
        <f>IF($A52="","",IF(N($AJ52)=0,"Mới tiếp nhận",INDEX('Nhật ký tiến độ'!$E:$E,$AJ52)))</f>
      </c>
      <c r="W52" s="222">
        <f>IF($A52="","",IF($V52="Đã xử lý",1,IF(N($AJ52)=0,0,N(INDEX('Nhật ký tiến độ'!$D:$D,$AJ52)))))</f>
      </c>
      <c r="X52" s="222">
        <f>IF(OR($A52="",$V52="Đã xử lý",N($U52)=0,N($B52)=0),"",IF(TDBC&lt;=$B52,0,IF(TDBC&gt;=$U52,1,(TDBC-$B52)/($U52-$B52))))</f>
      </c>
      <c r="Y52" s="223">
        <f>IF($A52="","",IF($V52="Đã xử lý","Hoàn thành",IF(N($U52)=0,"Chưa đặt hạn",IF(TDBC&gt;$U52,"Quá hạn",IF(ROUND((N($X52)-$W52)*100,0)&gt;=20,"Chậm tiến độ",IF($U52-TDBC&lt;=1,"Sắp đến hạn","Đúng tiến độ"))))))</f>
      </c>
      <c r="Z52" s="223">
        <f>IF(OR($A52="",$V52="Đã xử lý",N($U52)=0),"",IF(TDBC&gt;$U52,"Quá "&amp;IF(((TDBC-$U52)*24)&lt;1,MAX(1,ROUND(((TDBC-$U52)*24)*60,0))&amp;" phút",IF(ROUND(((TDBC-$U52)*24),0)&lt;24,ROUND(((TDBC-$U52)*24),0)&amp;" giờ",INT(ROUND(((TDBC-$U52)*24),0)/24)&amp;" ngày"&amp;IF(MOD(ROUND(((TDBC-$U52)*24),0),24)&gt;0," "&amp;MOD(ROUND(((TDBC-$U52)*24),0),24)&amp;" giờ",""))),"Còn "&amp;IF((($U52-TDBC)*24)&lt;1,MAX(1,ROUND((($U52-TDBC)*24)*60,0))&amp;" phút",IF(ROUND((($U52-TDBC)*24),0)&lt;24,ROUND((($U52-TDBC)*24),0)&amp;" giờ",INT(ROUND((($U52-TDBC)*24),0)/24)&amp;" ngày"&amp;IF(MOD(ROUND((($U52-TDBC)*24),0),24)&gt;0," "&amp;MOD(ROUND((($U52-TDBC)*24),0),24)&amp;" giờ","")))))</f>
      </c>
      <c r="AA52" s="220">
        <f>IF($V52="Đã xử lý",_xlfn.MAXIFS('Nhật ký tiến độ'!$B$6:$B$3005,'Nhật ký tiến độ'!$C$6:$C$3005,$A52,'Nhật ký tiến độ'!$E$6:$E$3005,"Đã xử lý"),"")</f>
      </c>
      <c r="AB52" s="223">
        <f>IF($AI52="","",IF($AI52&lt;1,MAX(1,ROUND($AI52*60,0))&amp;" phút",IF(ROUND($AI52,0)&lt;24,ROUND($AI52,0)&amp;" giờ",INT(ROUND($AI52,0)/24)&amp;" ngày"&amp;IF(MOD(ROUND($AI52,0),24)&gt;0," "&amp;MOD(ROUND($AI52,0),24)&amp;" giờ",""))))</f>
      </c>
      <c r="AC52" s="223">
        <f>IF(OR($A52="",N($AH52)=0),"",IF($AI52&lt;&gt;"",IF($AI52&lt;=$AH52,"Trong ước tính","Vượt "&amp;IF(($AI52-$AH52)&lt;1,MAX(1,ROUND(($AI52-$AH52)*60,0))&amp;" phút",IF(ROUND(($AI52-$AH52),0)&lt;24,ROUND(($AI52-$AH52),0)&amp;" giờ",INT(ROUND(($AI52-$AH52),0)/24)&amp;" ngày"&amp;IF(MOD(ROUND(($AI52-$AH52),0),24)&gt;0," "&amp;MOD(ROUND(($AI52-$AH52),0),24)&amp;" giờ","")))),IF(OR($V52="Đã xử lý",N($B52)=0),"",IF((TDBC-$B52)*24&gt;$AH52,"Đã vượt ước tính","Đã dùng "&amp;TEXT((TDBC-$B52)*24/$AH52,"0%")))))</f>
      </c>
      <c r="AD52" s="223">
        <f>IF(N($AO52)=0,"",CHOOSE($AO52,"Nhắc nhở","Cảnh báo","Báo động","Báo động đỏ"))</f>
      </c>
      <c r="AE52" s="223">
        <f>IF(OR(N($AA52)=0,N($U52)=0),"",IF($AA52&lt;=$U52,"Đúng hạn","Trễ hạn"))</f>
      </c>
      <c r="AF52" s="220">
        <f>IF($A52="","",_xlfn.MAXIFS('Nhật ký tiến độ'!$B$6:$B$3005,'Nhật ký tiến độ'!$C$6:$C$3005,$A52))</f>
      </c>
      <c r="AG52" s="223">
        <f>IF($A52="","",IF(COUNTIF('Kế hoạch'!$M$6:$M$305,$A52)=0,"",COUNTIF('Kế hoạch'!$M$6:$M$305,$A52)&amp;" việc"))</f>
      </c>
      <c r="AH52" s="224">
        <f>IF(OR($A52="",N($O52)&lt;=0),"",IF($P52="Giờ",$O52,$O52*24))</f>
      </c>
      <c r="AI52" s="224">
        <f>IF(OR(N($AA52)=0,N($B52)=0),"",IF($AA52&lt;$B52,"",($AA52-$B52)*24))</f>
      </c>
      <c r="AJ52" s="225">
        <f>IF($A52="","",IF(COUNTIF('Nhật ký tiến độ'!$C$6:$C$3005,$A52)=0,0,_xlfn.MAXIFS('Nhật ký tiến độ'!$N$6:$N$3005,'Nhật ký tiến độ'!$C$6:$C$3005,$A52,'Nhật ký tiến độ'!$B$6:$B$3005,_xlfn.MAXIFS('Nhật ký tiến độ'!$B$6:$B$3005,'Nhật ký tiến độ'!$C$6:$C$3005,$A52))))</f>
      </c>
      <c r="AK52" s="225">
        <f>IF(OR($A52="",$V52="Đã xử lý"),"",IF(N($AO52)&gt;0,5-$AO52,IF($J52="Khẩn cấp",5,IF($Y52="Chậm tiến độ",6,IF(OR($Y52="Sắp đến hạn",$J52="Cao"),7,"")))))</f>
      </c>
      <c r="AL52" s="225">
        <f>IF($AK52="","",$AK52*100000+IF(N($U52)=0,99999,INT($U52))+ROW()/100000)</f>
      </c>
      <c r="AM52" s="225">
        <f>IF(OR($A52="",TRIM($K52)="",COUNTIF($K$6:$K52,$K52)&gt;1),0,1)</f>
      </c>
      <c r="AN52" s="225">
        <f>IF($AM52=1,SUM($AM$6:$AM52),"")</f>
      </c>
      <c r="AO52" s="225">
        <f>IF(OR($A52="",$V52="Đã xử lý",N($U52)=0),0,IF(TDBC&lt;=$U52,0,MAX(1,MIN(4,IF((TDBC-$U52)*24&lt;24,1,IF((TDBC-$U52)*24&lt;72,2,IF((TDBC-$U52)*24&lt;168,3,4)))+IFERROR(INDEX({2,1,0,-1},MATCH($J52,{"Khẩn cấp","Cao","Trung bình","Thấp"},0)),0)))))</f>
      </c>
    </row>
    <row r="53">
      <c r="A53" s="216"/>
      <c r="B53" s="217"/>
      <c r="C53" s="218"/>
      <c r="D53" s="218"/>
      <c r="E53" s="218"/>
      <c r="F53" s="218"/>
      <c r="G53" s="216"/>
      <c r="H53" s="218"/>
      <c r="I53" s="218"/>
      <c r="J53" s="216"/>
      <c r="K53" s="218"/>
      <c r="L53" s="218"/>
      <c r="M53" s="218"/>
      <c r="N53" s="218"/>
      <c r="O53" s="219"/>
      <c r="P53" s="216"/>
      <c r="Q53" s="217"/>
      <c r="R53" s="216"/>
      <c r="S53" s="218"/>
      <c r="T53" s="218"/>
      <c r="U53" s="220">
        <f>IF($A53="","",IF(N($Q53)&gt;0,IF(MOD($Q53,1)=0,$Q53+1-1/1440,$Q53),IF(N($B53)=0,"",$B53+IF(N($AH53)&gt;0,$AH53,IFERROR(INDEX(DM_SLA_Gio,MATCH($J53,DM_SLA_Cap,0)),168))/24)))</f>
      </c>
      <c r="V53" s="221">
        <f>IF($A53="","",IF(N($AJ53)=0,"Mới tiếp nhận",INDEX('Nhật ký tiến độ'!$E:$E,$AJ53)))</f>
      </c>
      <c r="W53" s="222">
        <f>IF($A53="","",IF($V53="Đã xử lý",1,IF(N($AJ53)=0,0,N(INDEX('Nhật ký tiến độ'!$D:$D,$AJ53)))))</f>
      </c>
      <c r="X53" s="222">
        <f>IF(OR($A53="",$V53="Đã xử lý",N($U53)=0,N($B53)=0),"",IF(TDBC&lt;=$B53,0,IF(TDBC&gt;=$U53,1,(TDBC-$B53)/($U53-$B53))))</f>
      </c>
      <c r="Y53" s="223">
        <f>IF($A53="","",IF($V53="Đã xử lý","Hoàn thành",IF(N($U53)=0,"Chưa đặt hạn",IF(TDBC&gt;$U53,"Quá hạn",IF(ROUND((N($X53)-$W53)*100,0)&gt;=20,"Chậm tiến độ",IF($U53-TDBC&lt;=1,"Sắp đến hạn","Đúng tiến độ"))))))</f>
      </c>
      <c r="Z53" s="223">
        <f>IF(OR($A53="",$V53="Đã xử lý",N($U53)=0),"",IF(TDBC&gt;$U53,"Quá "&amp;IF(((TDBC-$U53)*24)&lt;1,MAX(1,ROUND(((TDBC-$U53)*24)*60,0))&amp;" phút",IF(ROUND(((TDBC-$U53)*24),0)&lt;24,ROUND(((TDBC-$U53)*24),0)&amp;" giờ",INT(ROUND(((TDBC-$U53)*24),0)/24)&amp;" ngày"&amp;IF(MOD(ROUND(((TDBC-$U53)*24),0),24)&gt;0," "&amp;MOD(ROUND(((TDBC-$U53)*24),0),24)&amp;" giờ",""))),"Còn "&amp;IF((($U53-TDBC)*24)&lt;1,MAX(1,ROUND((($U53-TDBC)*24)*60,0))&amp;" phút",IF(ROUND((($U53-TDBC)*24),0)&lt;24,ROUND((($U53-TDBC)*24),0)&amp;" giờ",INT(ROUND((($U53-TDBC)*24),0)/24)&amp;" ngày"&amp;IF(MOD(ROUND((($U53-TDBC)*24),0),24)&gt;0," "&amp;MOD(ROUND((($U53-TDBC)*24),0),24)&amp;" giờ","")))))</f>
      </c>
      <c r="AA53" s="220">
        <f>IF($V53="Đã xử lý",_xlfn.MAXIFS('Nhật ký tiến độ'!$B$6:$B$3005,'Nhật ký tiến độ'!$C$6:$C$3005,$A53,'Nhật ký tiến độ'!$E$6:$E$3005,"Đã xử lý"),"")</f>
      </c>
      <c r="AB53" s="223">
        <f>IF($AI53="","",IF($AI53&lt;1,MAX(1,ROUND($AI53*60,0))&amp;" phút",IF(ROUND($AI53,0)&lt;24,ROUND($AI53,0)&amp;" giờ",INT(ROUND($AI53,0)/24)&amp;" ngày"&amp;IF(MOD(ROUND($AI53,0),24)&gt;0," "&amp;MOD(ROUND($AI53,0),24)&amp;" giờ",""))))</f>
      </c>
      <c r="AC53" s="223">
        <f>IF(OR($A53="",N($AH53)=0),"",IF($AI53&lt;&gt;"",IF($AI53&lt;=$AH53,"Trong ước tính","Vượt "&amp;IF(($AI53-$AH53)&lt;1,MAX(1,ROUND(($AI53-$AH53)*60,0))&amp;" phút",IF(ROUND(($AI53-$AH53),0)&lt;24,ROUND(($AI53-$AH53),0)&amp;" giờ",INT(ROUND(($AI53-$AH53),0)/24)&amp;" ngày"&amp;IF(MOD(ROUND(($AI53-$AH53),0),24)&gt;0," "&amp;MOD(ROUND(($AI53-$AH53),0),24)&amp;" giờ","")))),IF(OR($V53="Đã xử lý",N($B53)=0),"",IF((TDBC-$B53)*24&gt;$AH53,"Đã vượt ước tính","Đã dùng "&amp;TEXT((TDBC-$B53)*24/$AH53,"0%")))))</f>
      </c>
      <c r="AD53" s="223">
        <f>IF(N($AO53)=0,"",CHOOSE($AO53,"Nhắc nhở","Cảnh báo","Báo động","Báo động đỏ"))</f>
      </c>
      <c r="AE53" s="223">
        <f>IF(OR(N($AA53)=0,N($U53)=0),"",IF($AA53&lt;=$U53,"Đúng hạn","Trễ hạn"))</f>
      </c>
      <c r="AF53" s="220">
        <f>IF($A53="","",_xlfn.MAXIFS('Nhật ký tiến độ'!$B$6:$B$3005,'Nhật ký tiến độ'!$C$6:$C$3005,$A53))</f>
      </c>
      <c r="AG53" s="223">
        <f>IF($A53="","",IF(COUNTIF('Kế hoạch'!$M$6:$M$305,$A53)=0,"",COUNTIF('Kế hoạch'!$M$6:$M$305,$A53)&amp;" việc"))</f>
      </c>
      <c r="AH53" s="224">
        <f>IF(OR($A53="",N($O53)&lt;=0),"",IF($P53="Giờ",$O53,$O53*24))</f>
      </c>
      <c r="AI53" s="224">
        <f>IF(OR(N($AA53)=0,N($B53)=0),"",IF($AA53&lt;$B53,"",($AA53-$B53)*24))</f>
      </c>
      <c r="AJ53" s="225">
        <f>IF($A53="","",IF(COUNTIF('Nhật ký tiến độ'!$C$6:$C$3005,$A53)=0,0,_xlfn.MAXIFS('Nhật ký tiến độ'!$N$6:$N$3005,'Nhật ký tiến độ'!$C$6:$C$3005,$A53,'Nhật ký tiến độ'!$B$6:$B$3005,_xlfn.MAXIFS('Nhật ký tiến độ'!$B$6:$B$3005,'Nhật ký tiến độ'!$C$6:$C$3005,$A53))))</f>
      </c>
      <c r="AK53" s="225">
        <f>IF(OR($A53="",$V53="Đã xử lý"),"",IF(N($AO53)&gt;0,5-$AO53,IF($J53="Khẩn cấp",5,IF($Y53="Chậm tiến độ",6,IF(OR($Y53="Sắp đến hạn",$J53="Cao"),7,"")))))</f>
      </c>
      <c r="AL53" s="225">
        <f>IF($AK53="","",$AK53*100000+IF(N($U53)=0,99999,INT($U53))+ROW()/100000)</f>
      </c>
      <c r="AM53" s="225">
        <f>IF(OR($A53="",TRIM($K53)="",COUNTIF($K$6:$K53,$K53)&gt;1),0,1)</f>
      </c>
      <c r="AN53" s="225">
        <f>IF($AM53=1,SUM($AM$6:$AM53),"")</f>
      </c>
      <c r="AO53" s="225">
        <f>IF(OR($A53="",$V53="Đã xử lý",N($U53)=0),0,IF(TDBC&lt;=$U53,0,MAX(1,MIN(4,IF((TDBC-$U53)*24&lt;24,1,IF((TDBC-$U53)*24&lt;72,2,IF((TDBC-$U53)*24&lt;168,3,4)))+IFERROR(INDEX({2,1,0,-1},MATCH($J53,{"Khẩn cấp","Cao","Trung bình","Thấp"},0)),0)))))</f>
      </c>
    </row>
    <row r="54">
      <c r="A54" s="216"/>
      <c r="B54" s="217"/>
      <c r="C54" s="218"/>
      <c r="D54" s="218"/>
      <c r="E54" s="218"/>
      <c r="F54" s="218"/>
      <c r="G54" s="216"/>
      <c r="H54" s="218"/>
      <c r="I54" s="218"/>
      <c r="J54" s="216"/>
      <c r="K54" s="218"/>
      <c r="L54" s="218"/>
      <c r="M54" s="218"/>
      <c r="N54" s="218"/>
      <c r="O54" s="219"/>
      <c r="P54" s="216"/>
      <c r="Q54" s="217"/>
      <c r="R54" s="216"/>
      <c r="S54" s="218"/>
      <c r="T54" s="218"/>
      <c r="U54" s="220">
        <f>IF($A54="","",IF(N($Q54)&gt;0,IF(MOD($Q54,1)=0,$Q54+1-1/1440,$Q54),IF(N($B54)=0,"",$B54+IF(N($AH54)&gt;0,$AH54,IFERROR(INDEX(DM_SLA_Gio,MATCH($J54,DM_SLA_Cap,0)),168))/24)))</f>
      </c>
      <c r="V54" s="221">
        <f>IF($A54="","",IF(N($AJ54)=0,"Mới tiếp nhận",INDEX('Nhật ký tiến độ'!$E:$E,$AJ54)))</f>
      </c>
      <c r="W54" s="222">
        <f>IF($A54="","",IF($V54="Đã xử lý",1,IF(N($AJ54)=0,0,N(INDEX('Nhật ký tiến độ'!$D:$D,$AJ54)))))</f>
      </c>
      <c r="X54" s="222">
        <f>IF(OR($A54="",$V54="Đã xử lý",N($U54)=0,N($B54)=0),"",IF(TDBC&lt;=$B54,0,IF(TDBC&gt;=$U54,1,(TDBC-$B54)/($U54-$B54))))</f>
      </c>
      <c r="Y54" s="223">
        <f>IF($A54="","",IF($V54="Đã xử lý","Hoàn thành",IF(N($U54)=0,"Chưa đặt hạn",IF(TDBC&gt;$U54,"Quá hạn",IF(ROUND((N($X54)-$W54)*100,0)&gt;=20,"Chậm tiến độ",IF($U54-TDBC&lt;=1,"Sắp đến hạn","Đúng tiến độ"))))))</f>
      </c>
      <c r="Z54" s="223">
        <f>IF(OR($A54="",$V54="Đã xử lý",N($U54)=0),"",IF(TDBC&gt;$U54,"Quá "&amp;IF(((TDBC-$U54)*24)&lt;1,MAX(1,ROUND(((TDBC-$U54)*24)*60,0))&amp;" phút",IF(ROUND(((TDBC-$U54)*24),0)&lt;24,ROUND(((TDBC-$U54)*24),0)&amp;" giờ",INT(ROUND(((TDBC-$U54)*24),0)/24)&amp;" ngày"&amp;IF(MOD(ROUND(((TDBC-$U54)*24),0),24)&gt;0," "&amp;MOD(ROUND(((TDBC-$U54)*24),0),24)&amp;" giờ",""))),"Còn "&amp;IF((($U54-TDBC)*24)&lt;1,MAX(1,ROUND((($U54-TDBC)*24)*60,0))&amp;" phút",IF(ROUND((($U54-TDBC)*24),0)&lt;24,ROUND((($U54-TDBC)*24),0)&amp;" giờ",INT(ROUND((($U54-TDBC)*24),0)/24)&amp;" ngày"&amp;IF(MOD(ROUND((($U54-TDBC)*24),0),24)&gt;0," "&amp;MOD(ROUND((($U54-TDBC)*24),0),24)&amp;" giờ","")))))</f>
      </c>
      <c r="AA54" s="220">
        <f>IF($V54="Đã xử lý",_xlfn.MAXIFS('Nhật ký tiến độ'!$B$6:$B$3005,'Nhật ký tiến độ'!$C$6:$C$3005,$A54,'Nhật ký tiến độ'!$E$6:$E$3005,"Đã xử lý"),"")</f>
      </c>
      <c r="AB54" s="223">
        <f>IF($AI54="","",IF($AI54&lt;1,MAX(1,ROUND($AI54*60,0))&amp;" phút",IF(ROUND($AI54,0)&lt;24,ROUND($AI54,0)&amp;" giờ",INT(ROUND($AI54,0)/24)&amp;" ngày"&amp;IF(MOD(ROUND($AI54,0),24)&gt;0," "&amp;MOD(ROUND($AI54,0),24)&amp;" giờ",""))))</f>
      </c>
      <c r="AC54" s="223">
        <f>IF(OR($A54="",N($AH54)=0),"",IF($AI54&lt;&gt;"",IF($AI54&lt;=$AH54,"Trong ước tính","Vượt "&amp;IF(($AI54-$AH54)&lt;1,MAX(1,ROUND(($AI54-$AH54)*60,0))&amp;" phút",IF(ROUND(($AI54-$AH54),0)&lt;24,ROUND(($AI54-$AH54),0)&amp;" giờ",INT(ROUND(($AI54-$AH54),0)/24)&amp;" ngày"&amp;IF(MOD(ROUND(($AI54-$AH54),0),24)&gt;0," "&amp;MOD(ROUND(($AI54-$AH54),0),24)&amp;" giờ","")))),IF(OR($V54="Đã xử lý",N($B54)=0),"",IF((TDBC-$B54)*24&gt;$AH54,"Đã vượt ước tính","Đã dùng "&amp;TEXT((TDBC-$B54)*24/$AH54,"0%")))))</f>
      </c>
      <c r="AD54" s="223">
        <f>IF(N($AO54)=0,"",CHOOSE($AO54,"Nhắc nhở","Cảnh báo","Báo động","Báo động đỏ"))</f>
      </c>
      <c r="AE54" s="223">
        <f>IF(OR(N($AA54)=0,N($U54)=0),"",IF($AA54&lt;=$U54,"Đúng hạn","Trễ hạn"))</f>
      </c>
      <c r="AF54" s="220">
        <f>IF($A54="","",_xlfn.MAXIFS('Nhật ký tiến độ'!$B$6:$B$3005,'Nhật ký tiến độ'!$C$6:$C$3005,$A54))</f>
      </c>
      <c r="AG54" s="223">
        <f>IF($A54="","",IF(COUNTIF('Kế hoạch'!$M$6:$M$305,$A54)=0,"",COUNTIF('Kế hoạch'!$M$6:$M$305,$A54)&amp;" việc"))</f>
      </c>
      <c r="AH54" s="224">
        <f>IF(OR($A54="",N($O54)&lt;=0),"",IF($P54="Giờ",$O54,$O54*24))</f>
      </c>
      <c r="AI54" s="224">
        <f>IF(OR(N($AA54)=0,N($B54)=0),"",IF($AA54&lt;$B54,"",($AA54-$B54)*24))</f>
      </c>
      <c r="AJ54" s="225">
        <f>IF($A54="","",IF(COUNTIF('Nhật ký tiến độ'!$C$6:$C$3005,$A54)=0,0,_xlfn.MAXIFS('Nhật ký tiến độ'!$N$6:$N$3005,'Nhật ký tiến độ'!$C$6:$C$3005,$A54,'Nhật ký tiến độ'!$B$6:$B$3005,_xlfn.MAXIFS('Nhật ký tiến độ'!$B$6:$B$3005,'Nhật ký tiến độ'!$C$6:$C$3005,$A54))))</f>
      </c>
      <c r="AK54" s="225">
        <f>IF(OR($A54="",$V54="Đã xử lý"),"",IF(N($AO54)&gt;0,5-$AO54,IF($J54="Khẩn cấp",5,IF($Y54="Chậm tiến độ",6,IF(OR($Y54="Sắp đến hạn",$J54="Cao"),7,"")))))</f>
      </c>
      <c r="AL54" s="225">
        <f>IF($AK54="","",$AK54*100000+IF(N($U54)=0,99999,INT($U54))+ROW()/100000)</f>
      </c>
      <c r="AM54" s="225">
        <f>IF(OR($A54="",TRIM($K54)="",COUNTIF($K$6:$K54,$K54)&gt;1),0,1)</f>
      </c>
      <c r="AN54" s="225">
        <f>IF($AM54=1,SUM($AM$6:$AM54),"")</f>
      </c>
      <c r="AO54" s="225">
        <f>IF(OR($A54="",$V54="Đã xử lý",N($U54)=0),0,IF(TDBC&lt;=$U54,0,MAX(1,MIN(4,IF((TDBC-$U54)*24&lt;24,1,IF((TDBC-$U54)*24&lt;72,2,IF((TDBC-$U54)*24&lt;168,3,4)))+IFERROR(INDEX({2,1,0,-1},MATCH($J54,{"Khẩn cấp","Cao","Trung bình","Thấp"},0)),0)))))</f>
      </c>
    </row>
    <row r="55">
      <c r="A55" s="216"/>
      <c r="B55" s="217"/>
      <c r="C55" s="218"/>
      <c r="D55" s="218"/>
      <c r="E55" s="218"/>
      <c r="F55" s="218"/>
      <c r="G55" s="216"/>
      <c r="H55" s="218"/>
      <c r="I55" s="218"/>
      <c r="J55" s="216"/>
      <c r="K55" s="218"/>
      <c r="L55" s="218"/>
      <c r="M55" s="218"/>
      <c r="N55" s="218"/>
      <c r="O55" s="219"/>
      <c r="P55" s="216"/>
      <c r="Q55" s="217"/>
      <c r="R55" s="216"/>
      <c r="S55" s="218"/>
      <c r="T55" s="218"/>
      <c r="U55" s="220">
        <f>IF($A55="","",IF(N($Q55)&gt;0,IF(MOD($Q55,1)=0,$Q55+1-1/1440,$Q55),IF(N($B55)=0,"",$B55+IF(N($AH55)&gt;0,$AH55,IFERROR(INDEX(DM_SLA_Gio,MATCH($J55,DM_SLA_Cap,0)),168))/24)))</f>
      </c>
      <c r="V55" s="221">
        <f>IF($A55="","",IF(N($AJ55)=0,"Mới tiếp nhận",INDEX('Nhật ký tiến độ'!$E:$E,$AJ55)))</f>
      </c>
      <c r="W55" s="222">
        <f>IF($A55="","",IF($V55="Đã xử lý",1,IF(N($AJ55)=0,0,N(INDEX('Nhật ký tiến độ'!$D:$D,$AJ55)))))</f>
      </c>
      <c r="X55" s="222">
        <f>IF(OR($A55="",$V55="Đã xử lý",N($U55)=0,N($B55)=0),"",IF(TDBC&lt;=$B55,0,IF(TDBC&gt;=$U55,1,(TDBC-$B55)/($U55-$B55))))</f>
      </c>
      <c r="Y55" s="223">
        <f>IF($A55="","",IF($V55="Đã xử lý","Hoàn thành",IF(N($U55)=0,"Chưa đặt hạn",IF(TDBC&gt;$U55,"Quá hạn",IF(ROUND((N($X55)-$W55)*100,0)&gt;=20,"Chậm tiến độ",IF($U55-TDBC&lt;=1,"Sắp đến hạn","Đúng tiến độ"))))))</f>
      </c>
      <c r="Z55" s="223">
        <f>IF(OR($A55="",$V55="Đã xử lý",N($U55)=0),"",IF(TDBC&gt;$U55,"Quá "&amp;IF(((TDBC-$U55)*24)&lt;1,MAX(1,ROUND(((TDBC-$U55)*24)*60,0))&amp;" phút",IF(ROUND(((TDBC-$U55)*24),0)&lt;24,ROUND(((TDBC-$U55)*24),0)&amp;" giờ",INT(ROUND(((TDBC-$U55)*24),0)/24)&amp;" ngày"&amp;IF(MOD(ROUND(((TDBC-$U55)*24),0),24)&gt;0," "&amp;MOD(ROUND(((TDBC-$U55)*24),0),24)&amp;" giờ",""))),"Còn "&amp;IF((($U55-TDBC)*24)&lt;1,MAX(1,ROUND((($U55-TDBC)*24)*60,0))&amp;" phút",IF(ROUND((($U55-TDBC)*24),0)&lt;24,ROUND((($U55-TDBC)*24),0)&amp;" giờ",INT(ROUND((($U55-TDBC)*24),0)/24)&amp;" ngày"&amp;IF(MOD(ROUND((($U55-TDBC)*24),0),24)&gt;0," "&amp;MOD(ROUND((($U55-TDBC)*24),0),24)&amp;" giờ","")))))</f>
      </c>
      <c r="AA55" s="220">
        <f>IF($V55="Đã xử lý",_xlfn.MAXIFS('Nhật ký tiến độ'!$B$6:$B$3005,'Nhật ký tiến độ'!$C$6:$C$3005,$A55,'Nhật ký tiến độ'!$E$6:$E$3005,"Đã xử lý"),"")</f>
      </c>
      <c r="AB55" s="223">
        <f>IF($AI55="","",IF($AI55&lt;1,MAX(1,ROUND($AI55*60,0))&amp;" phút",IF(ROUND($AI55,0)&lt;24,ROUND($AI55,0)&amp;" giờ",INT(ROUND($AI55,0)/24)&amp;" ngày"&amp;IF(MOD(ROUND($AI55,0),24)&gt;0," "&amp;MOD(ROUND($AI55,0),24)&amp;" giờ",""))))</f>
      </c>
      <c r="AC55" s="223">
        <f>IF(OR($A55="",N($AH55)=0),"",IF($AI55&lt;&gt;"",IF($AI55&lt;=$AH55,"Trong ước tính","Vượt "&amp;IF(($AI55-$AH55)&lt;1,MAX(1,ROUND(($AI55-$AH55)*60,0))&amp;" phút",IF(ROUND(($AI55-$AH55),0)&lt;24,ROUND(($AI55-$AH55),0)&amp;" giờ",INT(ROUND(($AI55-$AH55),0)/24)&amp;" ngày"&amp;IF(MOD(ROUND(($AI55-$AH55),0),24)&gt;0," "&amp;MOD(ROUND(($AI55-$AH55),0),24)&amp;" giờ","")))),IF(OR($V55="Đã xử lý",N($B55)=0),"",IF((TDBC-$B55)*24&gt;$AH55,"Đã vượt ước tính","Đã dùng "&amp;TEXT((TDBC-$B55)*24/$AH55,"0%")))))</f>
      </c>
      <c r="AD55" s="223">
        <f>IF(N($AO55)=0,"",CHOOSE($AO55,"Nhắc nhở","Cảnh báo","Báo động","Báo động đỏ"))</f>
      </c>
      <c r="AE55" s="223">
        <f>IF(OR(N($AA55)=0,N($U55)=0),"",IF($AA55&lt;=$U55,"Đúng hạn","Trễ hạn"))</f>
      </c>
      <c r="AF55" s="220">
        <f>IF($A55="","",_xlfn.MAXIFS('Nhật ký tiến độ'!$B$6:$B$3005,'Nhật ký tiến độ'!$C$6:$C$3005,$A55))</f>
      </c>
      <c r="AG55" s="223">
        <f>IF($A55="","",IF(COUNTIF('Kế hoạch'!$M$6:$M$305,$A55)=0,"",COUNTIF('Kế hoạch'!$M$6:$M$305,$A55)&amp;" việc"))</f>
      </c>
      <c r="AH55" s="224">
        <f>IF(OR($A55="",N($O55)&lt;=0),"",IF($P55="Giờ",$O55,$O55*24))</f>
      </c>
      <c r="AI55" s="224">
        <f>IF(OR(N($AA55)=0,N($B55)=0),"",IF($AA55&lt;$B55,"",($AA55-$B55)*24))</f>
      </c>
      <c r="AJ55" s="225">
        <f>IF($A55="","",IF(COUNTIF('Nhật ký tiến độ'!$C$6:$C$3005,$A55)=0,0,_xlfn.MAXIFS('Nhật ký tiến độ'!$N$6:$N$3005,'Nhật ký tiến độ'!$C$6:$C$3005,$A55,'Nhật ký tiến độ'!$B$6:$B$3005,_xlfn.MAXIFS('Nhật ký tiến độ'!$B$6:$B$3005,'Nhật ký tiến độ'!$C$6:$C$3005,$A55))))</f>
      </c>
      <c r="AK55" s="225">
        <f>IF(OR($A55="",$V55="Đã xử lý"),"",IF(N($AO55)&gt;0,5-$AO55,IF($J55="Khẩn cấp",5,IF($Y55="Chậm tiến độ",6,IF(OR($Y55="Sắp đến hạn",$J55="Cao"),7,"")))))</f>
      </c>
      <c r="AL55" s="225">
        <f>IF($AK55="","",$AK55*100000+IF(N($U55)=0,99999,INT($U55))+ROW()/100000)</f>
      </c>
      <c r="AM55" s="225">
        <f>IF(OR($A55="",TRIM($K55)="",COUNTIF($K$6:$K55,$K55)&gt;1),0,1)</f>
      </c>
      <c r="AN55" s="225">
        <f>IF($AM55=1,SUM($AM$6:$AM55),"")</f>
      </c>
      <c r="AO55" s="225">
        <f>IF(OR($A55="",$V55="Đã xử lý",N($U55)=0),0,IF(TDBC&lt;=$U55,0,MAX(1,MIN(4,IF((TDBC-$U55)*24&lt;24,1,IF((TDBC-$U55)*24&lt;72,2,IF((TDBC-$U55)*24&lt;168,3,4)))+IFERROR(INDEX({2,1,0,-1},MATCH($J55,{"Khẩn cấp","Cao","Trung bình","Thấp"},0)),0)))))</f>
      </c>
    </row>
    <row r="56">
      <c r="A56" s="216"/>
      <c r="B56" s="217"/>
      <c r="C56" s="218"/>
      <c r="D56" s="218"/>
      <c r="E56" s="218"/>
      <c r="F56" s="218"/>
      <c r="G56" s="216"/>
      <c r="H56" s="218"/>
      <c r="I56" s="218"/>
      <c r="J56" s="216"/>
      <c r="K56" s="218"/>
      <c r="L56" s="218"/>
      <c r="M56" s="218"/>
      <c r="N56" s="218"/>
      <c r="O56" s="219"/>
      <c r="P56" s="216"/>
      <c r="Q56" s="217"/>
      <c r="R56" s="216"/>
      <c r="S56" s="218"/>
      <c r="T56" s="218"/>
      <c r="U56" s="220">
        <f>IF($A56="","",IF(N($Q56)&gt;0,IF(MOD($Q56,1)=0,$Q56+1-1/1440,$Q56),IF(N($B56)=0,"",$B56+IF(N($AH56)&gt;0,$AH56,IFERROR(INDEX(DM_SLA_Gio,MATCH($J56,DM_SLA_Cap,0)),168))/24)))</f>
      </c>
      <c r="V56" s="221">
        <f>IF($A56="","",IF(N($AJ56)=0,"Mới tiếp nhận",INDEX('Nhật ký tiến độ'!$E:$E,$AJ56)))</f>
      </c>
      <c r="W56" s="222">
        <f>IF($A56="","",IF($V56="Đã xử lý",1,IF(N($AJ56)=0,0,N(INDEX('Nhật ký tiến độ'!$D:$D,$AJ56)))))</f>
      </c>
      <c r="X56" s="222">
        <f>IF(OR($A56="",$V56="Đã xử lý",N($U56)=0,N($B56)=0),"",IF(TDBC&lt;=$B56,0,IF(TDBC&gt;=$U56,1,(TDBC-$B56)/($U56-$B56))))</f>
      </c>
      <c r="Y56" s="223">
        <f>IF($A56="","",IF($V56="Đã xử lý","Hoàn thành",IF(N($U56)=0,"Chưa đặt hạn",IF(TDBC&gt;$U56,"Quá hạn",IF(ROUND((N($X56)-$W56)*100,0)&gt;=20,"Chậm tiến độ",IF($U56-TDBC&lt;=1,"Sắp đến hạn","Đúng tiến độ"))))))</f>
      </c>
      <c r="Z56" s="223">
        <f>IF(OR($A56="",$V56="Đã xử lý",N($U56)=0),"",IF(TDBC&gt;$U56,"Quá "&amp;IF(((TDBC-$U56)*24)&lt;1,MAX(1,ROUND(((TDBC-$U56)*24)*60,0))&amp;" phút",IF(ROUND(((TDBC-$U56)*24),0)&lt;24,ROUND(((TDBC-$U56)*24),0)&amp;" giờ",INT(ROUND(((TDBC-$U56)*24),0)/24)&amp;" ngày"&amp;IF(MOD(ROUND(((TDBC-$U56)*24),0),24)&gt;0," "&amp;MOD(ROUND(((TDBC-$U56)*24),0),24)&amp;" giờ",""))),"Còn "&amp;IF((($U56-TDBC)*24)&lt;1,MAX(1,ROUND((($U56-TDBC)*24)*60,0))&amp;" phút",IF(ROUND((($U56-TDBC)*24),0)&lt;24,ROUND((($U56-TDBC)*24),0)&amp;" giờ",INT(ROUND((($U56-TDBC)*24),0)/24)&amp;" ngày"&amp;IF(MOD(ROUND((($U56-TDBC)*24),0),24)&gt;0," "&amp;MOD(ROUND((($U56-TDBC)*24),0),24)&amp;" giờ","")))))</f>
      </c>
      <c r="AA56" s="220">
        <f>IF($V56="Đã xử lý",_xlfn.MAXIFS('Nhật ký tiến độ'!$B$6:$B$3005,'Nhật ký tiến độ'!$C$6:$C$3005,$A56,'Nhật ký tiến độ'!$E$6:$E$3005,"Đã xử lý"),"")</f>
      </c>
      <c r="AB56" s="223">
        <f>IF($AI56="","",IF($AI56&lt;1,MAX(1,ROUND($AI56*60,0))&amp;" phút",IF(ROUND($AI56,0)&lt;24,ROUND($AI56,0)&amp;" giờ",INT(ROUND($AI56,0)/24)&amp;" ngày"&amp;IF(MOD(ROUND($AI56,0),24)&gt;0," "&amp;MOD(ROUND($AI56,0),24)&amp;" giờ",""))))</f>
      </c>
      <c r="AC56" s="223">
        <f>IF(OR($A56="",N($AH56)=0),"",IF($AI56&lt;&gt;"",IF($AI56&lt;=$AH56,"Trong ước tính","Vượt "&amp;IF(($AI56-$AH56)&lt;1,MAX(1,ROUND(($AI56-$AH56)*60,0))&amp;" phút",IF(ROUND(($AI56-$AH56),0)&lt;24,ROUND(($AI56-$AH56),0)&amp;" giờ",INT(ROUND(($AI56-$AH56),0)/24)&amp;" ngày"&amp;IF(MOD(ROUND(($AI56-$AH56),0),24)&gt;0," "&amp;MOD(ROUND(($AI56-$AH56),0),24)&amp;" giờ","")))),IF(OR($V56="Đã xử lý",N($B56)=0),"",IF((TDBC-$B56)*24&gt;$AH56,"Đã vượt ước tính","Đã dùng "&amp;TEXT((TDBC-$B56)*24/$AH56,"0%")))))</f>
      </c>
      <c r="AD56" s="223">
        <f>IF(N($AO56)=0,"",CHOOSE($AO56,"Nhắc nhở","Cảnh báo","Báo động","Báo động đỏ"))</f>
      </c>
      <c r="AE56" s="223">
        <f>IF(OR(N($AA56)=0,N($U56)=0),"",IF($AA56&lt;=$U56,"Đúng hạn","Trễ hạn"))</f>
      </c>
      <c r="AF56" s="220">
        <f>IF($A56="","",_xlfn.MAXIFS('Nhật ký tiến độ'!$B$6:$B$3005,'Nhật ký tiến độ'!$C$6:$C$3005,$A56))</f>
      </c>
      <c r="AG56" s="223">
        <f>IF($A56="","",IF(COUNTIF('Kế hoạch'!$M$6:$M$305,$A56)=0,"",COUNTIF('Kế hoạch'!$M$6:$M$305,$A56)&amp;" việc"))</f>
      </c>
      <c r="AH56" s="224">
        <f>IF(OR($A56="",N($O56)&lt;=0),"",IF($P56="Giờ",$O56,$O56*24))</f>
      </c>
      <c r="AI56" s="224">
        <f>IF(OR(N($AA56)=0,N($B56)=0),"",IF($AA56&lt;$B56,"",($AA56-$B56)*24))</f>
      </c>
      <c r="AJ56" s="225">
        <f>IF($A56="","",IF(COUNTIF('Nhật ký tiến độ'!$C$6:$C$3005,$A56)=0,0,_xlfn.MAXIFS('Nhật ký tiến độ'!$N$6:$N$3005,'Nhật ký tiến độ'!$C$6:$C$3005,$A56,'Nhật ký tiến độ'!$B$6:$B$3005,_xlfn.MAXIFS('Nhật ký tiến độ'!$B$6:$B$3005,'Nhật ký tiến độ'!$C$6:$C$3005,$A56))))</f>
      </c>
      <c r="AK56" s="225">
        <f>IF(OR($A56="",$V56="Đã xử lý"),"",IF(N($AO56)&gt;0,5-$AO56,IF($J56="Khẩn cấp",5,IF($Y56="Chậm tiến độ",6,IF(OR($Y56="Sắp đến hạn",$J56="Cao"),7,"")))))</f>
      </c>
      <c r="AL56" s="225">
        <f>IF($AK56="","",$AK56*100000+IF(N($U56)=0,99999,INT($U56))+ROW()/100000)</f>
      </c>
      <c r="AM56" s="225">
        <f>IF(OR($A56="",TRIM($K56)="",COUNTIF($K$6:$K56,$K56)&gt;1),0,1)</f>
      </c>
      <c r="AN56" s="225">
        <f>IF($AM56=1,SUM($AM$6:$AM56),"")</f>
      </c>
      <c r="AO56" s="225">
        <f>IF(OR($A56="",$V56="Đã xử lý",N($U56)=0),0,IF(TDBC&lt;=$U56,0,MAX(1,MIN(4,IF((TDBC-$U56)*24&lt;24,1,IF((TDBC-$U56)*24&lt;72,2,IF((TDBC-$U56)*24&lt;168,3,4)))+IFERROR(INDEX({2,1,0,-1},MATCH($J56,{"Khẩn cấp","Cao","Trung bình","Thấp"},0)),0)))))</f>
      </c>
    </row>
    <row r="57">
      <c r="A57" s="216"/>
      <c r="B57" s="217"/>
      <c r="C57" s="218"/>
      <c r="D57" s="218"/>
      <c r="E57" s="218"/>
      <c r="F57" s="218"/>
      <c r="G57" s="216"/>
      <c r="H57" s="218"/>
      <c r="I57" s="218"/>
      <c r="J57" s="216"/>
      <c r="K57" s="218"/>
      <c r="L57" s="218"/>
      <c r="M57" s="218"/>
      <c r="N57" s="218"/>
      <c r="O57" s="219"/>
      <c r="P57" s="216"/>
      <c r="Q57" s="217"/>
      <c r="R57" s="216"/>
      <c r="S57" s="218"/>
      <c r="T57" s="218"/>
      <c r="U57" s="220">
        <f>IF($A57="","",IF(N($Q57)&gt;0,IF(MOD($Q57,1)=0,$Q57+1-1/1440,$Q57),IF(N($B57)=0,"",$B57+IF(N($AH57)&gt;0,$AH57,IFERROR(INDEX(DM_SLA_Gio,MATCH($J57,DM_SLA_Cap,0)),168))/24)))</f>
      </c>
      <c r="V57" s="221">
        <f>IF($A57="","",IF(N($AJ57)=0,"Mới tiếp nhận",INDEX('Nhật ký tiến độ'!$E:$E,$AJ57)))</f>
      </c>
      <c r="W57" s="222">
        <f>IF($A57="","",IF($V57="Đã xử lý",1,IF(N($AJ57)=0,0,N(INDEX('Nhật ký tiến độ'!$D:$D,$AJ57)))))</f>
      </c>
      <c r="X57" s="222">
        <f>IF(OR($A57="",$V57="Đã xử lý",N($U57)=0,N($B57)=0),"",IF(TDBC&lt;=$B57,0,IF(TDBC&gt;=$U57,1,(TDBC-$B57)/($U57-$B57))))</f>
      </c>
      <c r="Y57" s="223">
        <f>IF($A57="","",IF($V57="Đã xử lý","Hoàn thành",IF(N($U57)=0,"Chưa đặt hạn",IF(TDBC&gt;$U57,"Quá hạn",IF(ROUND((N($X57)-$W57)*100,0)&gt;=20,"Chậm tiến độ",IF($U57-TDBC&lt;=1,"Sắp đến hạn","Đúng tiến độ"))))))</f>
      </c>
      <c r="Z57" s="223">
        <f>IF(OR($A57="",$V57="Đã xử lý",N($U57)=0),"",IF(TDBC&gt;$U57,"Quá "&amp;IF(((TDBC-$U57)*24)&lt;1,MAX(1,ROUND(((TDBC-$U57)*24)*60,0))&amp;" phút",IF(ROUND(((TDBC-$U57)*24),0)&lt;24,ROUND(((TDBC-$U57)*24),0)&amp;" giờ",INT(ROUND(((TDBC-$U57)*24),0)/24)&amp;" ngày"&amp;IF(MOD(ROUND(((TDBC-$U57)*24),0),24)&gt;0," "&amp;MOD(ROUND(((TDBC-$U57)*24),0),24)&amp;" giờ",""))),"Còn "&amp;IF((($U57-TDBC)*24)&lt;1,MAX(1,ROUND((($U57-TDBC)*24)*60,0))&amp;" phút",IF(ROUND((($U57-TDBC)*24),0)&lt;24,ROUND((($U57-TDBC)*24),0)&amp;" giờ",INT(ROUND((($U57-TDBC)*24),0)/24)&amp;" ngày"&amp;IF(MOD(ROUND((($U57-TDBC)*24),0),24)&gt;0," "&amp;MOD(ROUND((($U57-TDBC)*24),0),24)&amp;" giờ","")))))</f>
      </c>
      <c r="AA57" s="220">
        <f>IF($V57="Đã xử lý",_xlfn.MAXIFS('Nhật ký tiến độ'!$B$6:$B$3005,'Nhật ký tiến độ'!$C$6:$C$3005,$A57,'Nhật ký tiến độ'!$E$6:$E$3005,"Đã xử lý"),"")</f>
      </c>
      <c r="AB57" s="223">
        <f>IF($AI57="","",IF($AI57&lt;1,MAX(1,ROUND($AI57*60,0))&amp;" phút",IF(ROUND($AI57,0)&lt;24,ROUND($AI57,0)&amp;" giờ",INT(ROUND($AI57,0)/24)&amp;" ngày"&amp;IF(MOD(ROUND($AI57,0),24)&gt;0," "&amp;MOD(ROUND($AI57,0),24)&amp;" giờ",""))))</f>
      </c>
      <c r="AC57" s="223">
        <f>IF(OR($A57="",N($AH57)=0),"",IF($AI57&lt;&gt;"",IF($AI57&lt;=$AH57,"Trong ước tính","Vượt "&amp;IF(($AI57-$AH57)&lt;1,MAX(1,ROUND(($AI57-$AH57)*60,0))&amp;" phút",IF(ROUND(($AI57-$AH57),0)&lt;24,ROUND(($AI57-$AH57),0)&amp;" giờ",INT(ROUND(($AI57-$AH57),0)/24)&amp;" ngày"&amp;IF(MOD(ROUND(($AI57-$AH57),0),24)&gt;0," "&amp;MOD(ROUND(($AI57-$AH57),0),24)&amp;" giờ","")))),IF(OR($V57="Đã xử lý",N($B57)=0),"",IF((TDBC-$B57)*24&gt;$AH57,"Đã vượt ước tính","Đã dùng "&amp;TEXT((TDBC-$B57)*24/$AH57,"0%")))))</f>
      </c>
      <c r="AD57" s="223">
        <f>IF(N($AO57)=0,"",CHOOSE($AO57,"Nhắc nhở","Cảnh báo","Báo động","Báo động đỏ"))</f>
      </c>
      <c r="AE57" s="223">
        <f>IF(OR(N($AA57)=0,N($U57)=0),"",IF($AA57&lt;=$U57,"Đúng hạn","Trễ hạn"))</f>
      </c>
      <c r="AF57" s="220">
        <f>IF($A57="","",_xlfn.MAXIFS('Nhật ký tiến độ'!$B$6:$B$3005,'Nhật ký tiến độ'!$C$6:$C$3005,$A57))</f>
      </c>
      <c r="AG57" s="223">
        <f>IF($A57="","",IF(COUNTIF('Kế hoạch'!$M$6:$M$305,$A57)=0,"",COUNTIF('Kế hoạch'!$M$6:$M$305,$A57)&amp;" việc"))</f>
      </c>
      <c r="AH57" s="224">
        <f>IF(OR($A57="",N($O57)&lt;=0),"",IF($P57="Giờ",$O57,$O57*24))</f>
      </c>
      <c r="AI57" s="224">
        <f>IF(OR(N($AA57)=0,N($B57)=0),"",IF($AA57&lt;$B57,"",($AA57-$B57)*24))</f>
      </c>
      <c r="AJ57" s="225">
        <f>IF($A57="","",IF(COUNTIF('Nhật ký tiến độ'!$C$6:$C$3005,$A57)=0,0,_xlfn.MAXIFS('Nhật ký tiến độ'!$N$6:$N$3005,'Nhật ký tiến độ'!$C$6:$C$3005,$A57,'Nhật ký tiến độ'!$B$6:$B$3005,_xlfn.MAXIFS('Nhật ký tiến độ'!$B$6:$B$3005,'Nhật ký tiến độ'!$C$6:$C$3005,$A57))))</f>
      </c>
      <c r="AK57" s="225">
        <f>IF(OR($A57="",$V57="Đã xử lý"),"",IF(N($AO57)&gt;0,5-$AO57,IF($J57="Khẩn cấp",5,IF($Y57="Chậm tiến độ",6,IF(OR($Y57="Sắp đến hạn",$J57="Cao"),7,"")))))</f>
      </c>
      <c r="AL57" s="225">
        <f>IF($AK57="","",$AK57*100000+IF(N($U57)=0,99999,INT($U57))+ROW()/100000)</f>
      </c>
      <c r="AM57" s="225">
        <f>IF(OR($A57="",TRIM($K57)="",COUNTIF($K$6:$K57,$K57)&gt;1),0,1)</f>
      </c>
      <c r="AN57" s="225">
        <f>IF($AM57=1,SUM($AM$6:$AM57),"")</f>
      </c>
      <c r="AO57" s="225">
        <f>IF(OR($A57="",$V57="Đã xử lý",N($U57)=0),0,IF(TDBC&lt;=$U57,0,MAX(1,MIN(4,IF((TDBC-$U57)*24&lt;24,1,IF((TDBC-$U57)*24&lt;72,2,IF((TDBC-$U57)*24&lt;168,3,4)))+IFERROR(INDEX({2,1,0,-1},MATCH($J57,{"Khẩn cấp","Cao","Trung bình","Thấp"},0)),0)))))</f>
      </c>
    </row>
    <row r="58">
      <c r="A58" s="216"/>
      <c r="B58" s="217"/>
      <c r="C58" s="218"/>
      <c r="D58" s="218"/>
      <c r="E58" s="218"/>
      <c r="F58" s="218"/>
      <c r="G58" s="216"/>
      <c r="H58" s="218"/>
      <c r="I58" s="218"/>
      <c r="J58" s="216"/>
      <c r="K58" s="218"/>
      <c r="L58" s="218"/>
      <c r="M58" s="218"/>
      <c r="N58" s="218"/>
      <c r="O58" s="219"/>
      <c r="P58" s="216"/>
      <c r="Q58" s="217"/>
      <c r="R58" s="216"/>
      <c r="S58" s="218"/>
      <c r="T58" s="218"/>
      <c r="U58" s="220">
        <f>IF($A58="","",IF(N($Q58)&gt;0,IF(MOD($Q58,1)=0,$Q58+1-1/1440,$Q58),IF(N($B58)=0,"",$B58+IF(N($AH58)&gt;0,$AH58,IFERROR(INDEX(DM_SLA_Gio,MATCH($J58,DM_SLA_Cap,0)),168))/24)))</f>
      </c>
      <c r="V58" s="221">
        <f>IF($A58="","",IF(N($AJ58)=0,"Mới tiếp nhận",INDEX('Nhật ký tiến độ'!$E:$E,$AJ58)))</f>
      </c>
      <c r="W58" s="222">
        <f>IF($A58="","",IF($V58="Đã xử lý",1,IF(N($AJ58)=0,0,N(INDEX('Nhật ký tiến độ'!$D:$D,$AJ58)))))</f>
      </c>
      <c r="X58" s="222">
        <f>IF(OR($A58="",$V58="Đã xử lý",N($U58)=0,N($B58)=0),"",IF(TDBC&lt;=$B58,0,IF(TDBC&gt;=$U58,1,(TDBC-$B58)/($U58-$B58))))</f>
      </c>
      <c r="Y58" s="223">
        <f>IF($A58="","",IF($V58="Đã xử lý","Hoàn thành",IF(N($U58)=0,"Chưa đặt hạn",IF(TDBC&gt;$U58,"Quá hạn",IF(ROUND((N($X58)-$W58)*100,0)&gt;=20,"Chậm tiến độ",IF($U58-TDBC&lt;=1,"Sắp đến hạn","Đúng tiến độ"))))))</f>
      </c>
      <c r="Z58" s="223">
        <f>IF(OR($A58="",$V58="Đã xử lý",N($U58)=0),"",IF(TDBC&gt;$U58,"Quá "&amp;IF(((TDBC-$U58)*24)&lt;1,MAX(1,ROUND(((TDBC-$U58)*24)*60,0))&amp;" phút",IF(ROUND(((TDBC-$U58)*24),0)&lt;24,ROUND(((TDBC-$U58)*24),0)&amp;" giờ",INT(ROUND(((TDBC-$U58)*24),0)/24)&amp;" ngày"&amp;IF(MOD(ROUND(((TDBC-$U58)*24),0),24)&gt;0," "&amp;MOD(ROUND(((TDBC-$U58)*24),0),24)&amp;" giờ",""))),"Còn "&amp;IF((($U58-TDBC)*24)&lt;1,MAX(1,ROUND((($U58-TDBC)*24)*60,0))&amp;" phút",IF(ROUND((($U58-TDBC)*24),0)&lt;24,ROUND((($U58-TDBC)*24),0)&amp;" giờ",INT(ROUND((($U58-TDBC)*24),0)/24)&amp;" ngày"&amp;IF(MOD(ROUND((($U58-TDBC)*24),0),24)&gt;0," "&amp;MOD(ROUND((($U58-TDBC)*24),0),24)&amp;" giờ","")))))</f>
      </c>
      <c r="AA58" s="220">
        <f>IF($V58="Đã xử lý",_xlfn.MAXIFS('Nhật ký tiến độ'!$B$6:$B$3005,'Nhật ký tiến độ'!$C$6:$C$3005,$A58,'Nhật ký tiến độ'!$E$6:$E$3005,"Đã xử lý"),"")</f>
      </c>
      <c r="AB58" s="223">
        <f>IF($AI58="","",IF($AI58&lt;1,MAX(1,ROUND($AI58*60,0))&amp;" phút",IF(ROUND($AI58,0)&lt;24,ROUND($AI58,0)&amp;" giờ",INT(ROUND($AI58,0)/24)&amp;" ngày"&amp;IF(MOD(ROUND($AI58,0),24)&gt;0," "&amp;MOD(ROUND($AI58,0),24)&amp;" giờ",""))))</f>
      </c>
      <c r="AC58" s="223">
        <f>IF(OR($A58="",N($AH58)=0),"",IF($AI58&lt;&gt;"",IF($AI58&lt;=$AH58,"Trong ước tính","Vượt "&amp;IF(($AI58-$AH58)&lt;1,MAX(1,ROUND(($AI58-$AH58)*60,0))&amp;" phút",IF(ROUND(($AI58-$AH58),0)&lt;24,ROUND(($AI58-$AH58),0)&amp;" giờ",INT(ROUND(($AI58-$AH58),0)/24)&amp;" ngày"&amp;IF(MOD(ROUND(($AI58-$AH58),0),24)&gt;0," "&amp;MOD(ROUND(($AI58-$AH58),0),24)&amp;" giờ","")))),IF(OR($V58="Đã xử lý",N($B58)=0),"",IF((TDBC-$B58)*24&gt;$AH58,"Đã vượt ước tính","Đã dùng "&amp;TEXT((TDBC-$B58)*24/$AH58,"0%")))))</f>
      </c>
      <c r="AD58" s="223">
        <f>IF(N($AO58)=0,"",CHOOSE($AO58,"Nhắc nhở","Cảnh báo","Báo động","Báo động đỏ"))</f>
      </c>
      <c r="AE58" s="223">
        <f>IF(OR(N($AA58)=0,N($U58)=0),"",IF($AA58&lt;=$U58,"Đúng hạn","Trễ hạn"))</f>
      </c>
      <c r="AF58" s="220">
        <f>IF($A58="","",_xlfn.MAXIFS('Nhật ký tiến độ'!$B$6:$B$3005,'Nhật ký tiến độ'!$C$6:$C$3005,$A58))</f>
      </c>
      <c r="AG58" s="223">
        <f>IF($A58="","",IF(COUNTIF('Kế hoạch'!$M$6:$M$305,$A58)=0,"",COUNTIF('Kế hoạch'!$M$6:$M$305,$A58)&amp;" việc"))</f>
      </c>
      <c r="AH58" s="224">
        <f>IF(OR($A58="",N($O58)&lt;=0),"",IF($P58="Giờ",$O58,$O58*24))</f>
      </c>
      <c r="AI58" s="224">
        <f>IF(OR(N($AA58)=0,N($B58)=0),"",IF($AA58&lt;$B58,"",($AA58-$B58)*24))</f>
      </c>
      <c r="AJ58" s="225">
        <f>IF($A58="","",IF(COUNTIF('Nhật ký tiến độ'!$C$6:$C$3005,$A58)=0,0,_xlfn.MAXIFS('Nhật ký tiến độ'!$N$6:$N$3005,'Nhật ký tiến độ'!$C$6:$C$3005,$A58,'Nhật ký tiến độ'!$B$6:$B$3005,_xlfn.MAXIFS('Nhật ký tiến độ'!$B$6:$B$3005,'Nhật ký tiến độ'!$C$6:$C$3005,$A58))))</f>
      </c>
      <c r="AK58" s="225">
        <f>IF(OR($A58="",$V58="Đã xử lý"),"",IF(N($AO58)&gt;0,5-$AO58,IF($J58="Khẩn cấp",5,IF($Y58="Chậm tiến độ",6,IF(OR($Y58="Sắp đến hạn",$J58="Cao"),7,"")))))</f>
      </c>
      <c r="AL58" s="225">
        <f>IF($AK58="","",$AK58*100000+IF(N($U58)=0,99999,INT($U58))+ROW()/100000)</f>
      </c>
      <c r="AM58" s="225">
        <f>IF(OR($A58="",TRIM($K58)="",COUNTIF($K$6:$K58,$K58)&gt;1),0,1)</f>
      </c>
      <c r="AN58" s="225">
        <f>IF($AM58=1,SUM($AM$6:$AM58),"")</f>
      </c>
      <c r="AO58" s="225">
        <f>IF(OR($A58="",$V58="Đã xử lý",N($U58)=0),0,IF(TDBC&lt;=$U58,0,MAX(1,MIN(4,IF((TDBC-$U58)*24&lt;24,1,IF((TDBC-$U58)*24&lt;72,2,IF((TDBC-$U58)*24&lt;168,3,4)))+IFERROR(INDEX({2,1,0,-1},MATCH($J58,{"Khẩn cấp","Cao","Trung bình","Thấp"},0)),0)))))</f>
      </c>
    </row>
    <row r="59">
      <c r="A59" s="216"/>
      <c r="B59" s="217"/>
      <c r="C59" s="218"/>
      <c r="D59" s="218"/>
      <c r="E59" s="218"/>
      <c r="F59" s="218"/>
      <c r="G59" s="216"/>
      <c r="H59" s="218"/>
      <c r="I59" s="218"/>
      <c r="J59" s="216"/>
      <c r="K59" s="218"/>
      <c r="L59" s="218"/>
      <c r="M59" s="218"/>
      <c r="N59" s="218"/>
      <c r="O59" s="219"/>
      <c r="P59" s="216"/>
      <c r="Q59" s="217"/>
      <c r="R59" s="216"/>
      <c r="S59" s="218"/>
      <c r="T59" s="218"/>
      <c r="U59" s="220">
        <f>IF($A59="","",IF(N($Q59)&gt;0,IF(MOD($Q59,1)=0,$Q59+1-1/1440,$Q59),IF(N($B59)=0,"",$B59+IF(N($AH59)&gt;0,$AH59,IFERROR(INDEX(DM_SLA_Gio,MATCH($J59,DM_SLA_Cap,0)),168))/24)))</f>
      </c>
      <c r="V59" s="221">
        <f>IF($A59="","",IF(N($AJ59)=0,"Mới tiếp nhận",INDEX('Nhật ký tiến độ'!$E:$E,$AJ59)))</f>
      </c>
      <c r="W59" s="222">
        <f>IF($A59="","",IF($V59="Đã xử lý",1,IF(N($AJ59)=0,0,N(INDEX('Nhật ký tiến độ'!$D:$D,$AJ59)))))</f>
      </c>
      <c r="X59" s="222">
        <f>IF(OR($A59="",$V59="Đã xử lý",N($U59)=0,N($B59)=0),"",IF(TDBC&lt;=$B59,0,IF(TDBC&gt;=$U59,1,(TDBC-$B59)/($U59-$B59))))</f>
      </c>
      <c r="Y59" s="223">
        <f>IF($A59="","",IF($V59="Đã xử lý","Hoàn thành",IF(N($U59)=0,"Chưa đặt hạn",IF(TDBC&gt;$U59,"Quá hạn",IF(ROUND((N($X59)-$W59)*100,0)&gt;=20,"Chậm tiến độ",IF($U59-TDBC&lt;=1,"Sắp đến hạn","Đúng tiến độ"))))))</f>
      </c>
      <c r="Z59" s="223">
        <f>IF(OR($A59="",$V59="Đã xử lý",N($U59)=0),"",IF(TDBC&gt;$U59,"Quá "&amp;IF(((TDBC-$U59)*24)&lt;1,MAX(1,ROUND(((TDBC-$U59)*24)*60,0))&amp;" phút",IF(ROUND(((TDBC-$U59)*24),0)&lt;24,ROUND(((TDBC-$U59)*24),0)&amp;" giờ",INT(ROUND(((TDBC-$U59)*24),0)/24)&amp;" ngày"&amp;IF(MOD(ROUND(((TDBC-$U59)*24),0),24)&gt;0," "&amp;MOD(ROUND(((TDBC-$U59)*24),0),24)&amp;" giờ",""))),"Còn "&amp;IF((($U59-TDBC)*24)&lt;1,MAX(1,ROUND((($U59-TDBC)*24)*60,0))&amp;" phút",IF(ROUND((($U59-TDBC)*24),0)&lt;24,ROUND((($U59-TDBC)*24),0)&amp;" giờ",INT(ROUND((($U59-TDBC)*24),0)/24)&amp;" ngày"&amp;IF(MOD(ROUND((($U59-TDBC)*24),0),24)&gt;0," "&amp;MOD(ROUND((($U59-TDBC)*24),0),24)&amp;" giờ","")))))</f>
      </c>
      <c r="AA59" s="220">
        <f>IF($V59="Đã xử lý",_xlfn.MAXIFS('Nhật ký tiến độ'!$B$6:$B$3005,'Nhật ký tiến độ'!$C$6:$C$3005,$A59,'Nhật ký tiến độ'!$E$6:$E$3005,"Đã xử lý"),"")</f>
      </c>
      <c r="AB59" s="223">
        <f>IF($AI59="","",IF($AI59&lt;1,MAX(1,ROUND($AI59*60,0))&amp;" phút",IF(ROUND($AI59,0)&lt;24,ROUND($AI59,0)&amp;" giờ",INT(ROUND($AI59,0)/24)&amp;" ngày"&amp;IF(MOD(ROUND($AI59,0),24)&gt;0," "&amp;MOD(ROUND($AI59,0),24)&amp;" giờ",""))))</f>
      </c>
      <c r="AC59" s="223">
        <f>IF(OR($A59="",N($AH59)=0),"",IF($AI59&lt;&gt;"",IF($AI59&lt;=$AH59,"Trong ước tính","Vượt "&amp;IF(($AI59-$AH59)&lt;1,MAX(1,ROUND(($AI59-$AH59)*60,0))&amp;" phút",IF(ROUND(($AI59-$AH59),0)&lt;24,ROUND(($AI59-$AH59),0)&amp;" giờ",INT(ROUND(($AI59-$AH59),0)/24)&amp;" ngày"&amp;IF(MOD(ROUND(($AI59-$AH59),0),24)&gt;0," "&amp;MOD(ROUND(($AI59-$AH59),0),24)&amp;" giờ","")))),IF(OR($V59="Đã xử lý",N($B59)=0),"",IF((TDBC-$B59)*24&gt;$AH59,"Đã vượt ước tính","Đã dùng "&amp;TEXT((TDBC-$B59)*24/$AH59,"0%")))))</f>
      </c>
      <c r="AD59" s="223">
        <f>IF(N($AO59)=0,"",CHOOSE($AO59,"Nhắc nhở","Cảnh báo","Báo động","Báo động đỏ"))</f>
      </c>
      <c r="AE59" s="223">
        <f>IF(OR(N($AA59)=0,N($U59)=0),"",IF($AA59&lt;=$U59,"Đúng hạn","Trễ hạn"))</f>
      </c>
      <c r="AF59" s="220">
        <f>IF($A59="","",_xlfn.MAXIFS('Nhật ký tiến độ'!$B$6:$B$3005,'Nhật ký tiến độ'!$C$6:$C$3005,$A59))</f>
      </c>
      <c r="AG59" s="223">
        <f>IF($A59="","",IF(COUNTIF('Kế hoạch'!$M$6:$M$305,$A59)=0,"",COUNTIF('Kế hoạch'!$M$6:$M$305,$A59)&amp;" việc"))</f>
      </c>
      <c r="AH59" s="224">
        <f>IF(OR($A59="",N($O59)&lt;=0),"",IF($P59="Giờ",$O59,$O59*24))</f>
      </c>
      <c r="AI59" s="224">
        <f>IF(OR(N($AA59)=0,N($B59)=0),"",IF($AA59&lt;$B59,"",($AA59-$B59)*24))</f>
      </c>
      <c r="AJ59" s="225">
        <f>IF($A59="","",IF(COUNTIF('Nhật ký tiến độ'!$C$6:$C$3005,$A59)=0,0,_xlfn.MAXIFS('Nhật ký tiến độ'!$N$6:$N$3005,'Nhật ký tiến độ'!$C$6:$C$3005,$A59,'Nhật ký tiến độ'!$B$6:$B$3005,_xlfn.MAXIFS('Nhật ký tiến độ'!$B$6:$B$3005,'Nhật ký tiến độ'!$C$6:$C$3005,$A59))))</f>
      </c>
      <c r="AK59" s="225">
        <f>IF(OR($A59="",$V59="Đã xử lý"),"",IF(N($AO59)&gt;0,5-$AO59,IF($J59="Khẩn cấp",5,IF($Y59="Chậm tiến độ",6,IF(OR($Y59="Sắp đến hạn",$J59="Cao"),7,"")))))</f>
      </c>
      <c r="AL59" s="225">
        <f>IF($AK59="","",$AK59*100000+IF(N($U59)=0,99999,INT($U59))+ROW()/100000)</f>
      </c>
      <c r="AM59" s="225">
        <f>IF(OR($A59="",TRIM($K59)="",COUNTIF($K$6:$K59,$K59)&gt;1),0,1)</f>
      </c>
      <c r="AN59" s="225">
        <f>IF($AM59=1,SUM($AM$6:$AM59),"")</f>
      </c>
      <c r="AO59" s="225">
        <f>IF(OR($A59="",$V59="Đã xử lý",N($U59)=0),0,IF(TDBC&lt;=$U59,0,MAX(1,MIN(4,IF((TDBC-$U59)*24&lt;24,1,IF((TDBC-$U59)*24&lt;72,2,IF((TDBC-$U59)*24&lt;168,3,4)))+IFERROR(INDEX({2,1,0,-1},MATCH($J59,{"Khẩn cấp","Cao","Trung bình","Thấp"},0)),0)))))</f>
      </c>
    </row>
    <row r="60">
      <c r="A60" s="216"/>
      <c r="B60" s="217"/>
      <c r="C60" s="218"/>
      <c r="D60" s="218"/>
      <c r="E60" s="218"/>
      <c r="F60" s="218"/>
      <c r="G60" s="216"/>
      <c r="H60" s="218"/>
      <c r="I60" s="218"/>
      <c r="J60" s="216"/>
      <c r="K60" s="218"/>
      <c r="L60" s="218"/>
      <c r="M60" s="218"/>
      <c r="N60" s="218"/>
      <c r="O60" s="219"/>
      <c r="P60" s="216"/>
      <c r="Q60" s="217"/>
      <c r="R60" s="216"/>
      <c r="S60" s="218"/>
      <c r="T60" s="218"/>
      <c r="U60" s="220">
        <f>IF($A60="","",IF(N($Q60)&gt;0,IF(MOD($Q60,1)=0,$Q60+1-1/1440,$Q60),IF(N($B60)=0,"",$B60+IF(N($AH60)&gt;0,$AH60,IFERROR(INDEX(DM_SLA_Gio,MATCH($J60,DM_SLA_Cap,0)),168))/24)))</f>
      </c>
      <c r="V60" s="221">
        <f>IF($A60="","",IF(N($AJ60)=0,"Mới tiếp nhận",INDEX('Nhật ký tiến độ'!$E:$E,$AJ60)))</f>
      </c>
      <c r="W60" s="222">
        <f>IF($A60="","",IF($V60="Đã xử lý",1,IF(N($AJ60)=0,0,N(INDEX('Nhật ký tiến độ'!$D:$D,$AJ60)))))</f>
      </c>
      <c r="X60" s="222">
        <f>IF(OR($A60="",$V60="Đã xử lý",N($U60)=0,N($B60)=0),"",IF(TDBC&lt;=$B60,0,IF(TDBC&gt;=$U60,1,(TDBC-$B60)/($U60-$B60))))</f>
      </c>
      <c r="Y60" s="223">
        <f>IF($A60="","",IF($V60="Đã xử lý","Hoàn thành",IF(N($U60)=0,"Chưa đặt hạn",IF(TDBC&gt;$U60,"Quá hạn",IF(ROUND((N($X60)-$W60)*100,0)&gt;=20,"Chậm tiến độ",IF($U60-TDBC&lt;=1,"Sắp đến hạn","Đúng tiến độ"))))))</f>
      </c>
      <c r="Z60" s="223">
        <f>IF(OR($A60="",$V60="Đã xử lý",N($U60)=0),"",IF(TDBC&gt;$U60,"Quá "&amp;IF(((TDBC-$U60)*24)&lt;1,MAX(1,ROUND(((TDBC-$U60)*24)*60,0))&amp;" phút",IF(ROUND(((TDBC-$U60)*24),0)&lt;24,ROUND(((TDBC-$U60)*24),0)&amp;" giờ",INT(ROUND(((TDBC-$U60)*24),0)/24)&amp;" ngày"&amp;IF(MOD(ROUND(((TDBC-$U60)*24),0),24)&gt;0," "&amp;MOD(ROUND(((TDBC-$U60)*24),0),24)&amp;" giờ",""))),"Còn "&amp;IF((($U60-TDBC)*24)&lt;1,MAX(1,ROUND((($U60-TDBC)*24)*60,0))&amp;" phút",IF(ROUND((($U60-TDBC)*24),0)&lt;24,ROUND((($U60-TDBC)*24),0)&amp;" giờ",INT(ROUND((($U60-TDBC)*24),0)/24)&amp;" ngày"&amp;IF(MOD(ROUND((($U60-TDBC)*24),0),24)&gt;0," "&amp;MOD(ROUND((($U60-TDBC)*24),0),24)&amp;" giờ","")))))</f>
      </c>
      <c r="AA60" s="220">
        <f>IF($V60="Đã xử lý",_xlfn.MAXIFS('Nhật ký tiến độ'!$B$6:$B$3005,'Nhật ký tiến độ'!$C$6:$C$3005,$A60,'Nhật ký tiến độ'!$E$6:$E$3005,"Đã xử lý"),"")</f>
      </c>
      <c r="AB60" s="223">
        <f>IF($AI60="","",IF($AI60&lt;1,MAX(1,ROUND($AI60*60,0))&amp;" phút",IF(ROUND($AI60,0)&lt;24,ROUND($AI60,0)&amp;" giờ",INT(ROUND($AI60,0)/24)&amp;" ngày"&amp;IF(MOD(ROUND($AI60,0),24)&gt;0," "&amp;MOD(ROUND($AI60,0),24)&amp;" giờ",""))))</f>
      </c>
      <c r="AC60" s="223">
        <f>IF(OR($A60="",N($AH60)=0),"",IF($AI60&lt;&gt;"",IF($AI60&lt;=$AH60,"Trong ước tính","Vượt "&amp;IF(($AI60-$AH60)&lt;1,MAX(1,ROUND(($AI60-$AH60)*60,0))&amp;" phút",IF(ROUND(($AI60-$AH60),0)&lt;24,ROUND(($AI60-$AH60),0)&amp;" giờ",INT(ROUND(($AI60-$AH60),0)/24)&amp;" ngày"&amp;IF(MOD(ROUND(($AI60-$AH60),0),24)&gt;0," "&amp;MOD(ROUND(($AI60-$AH60),0),24)&amp;" giờ","")))),IF(OR($V60="Đã xử lý",N($B60)=0),"",IF((TDBC-$B60)*24&gt;$AH60,"Đã vượt ước tính","Đã dùng "&amp;TEXT((TDBC-$B60)*24/$AH60,"0%")))))</f>
      </c>
      <c r="AD60" s="223">
        <f>IF(N($AO60)=0,"",CHOOSE($AO60,"Nhắc nhở","Cảnh báo","Báo động","Báo động đỏ"))</f>
      </c>
      <c r="AE60" s="223">
        <f>IF(OR(N($AA60)=0,N($U60)=0),"",IF($AA60&lt;=$U60,"Đúng hạn","Trễ hạn"))</f>
      </c>
      <c r="AF60" s="220">
        <f>IF($A60="","",_xlfn.MAXIFS('Nhật ký tiến độ'!$B$6:$B$3005,'Nhật ký tiến độ'!$C$6:$C$3005,$A60))</f>
      </c>
      <c r="AG60" s="223">
        <f>IF($A60="","",IF(COUNTIF('Kế hoạch'!$M$6:$M$305,$A60)=0,"",COUNTIF('Kế hoạch'!$M$6:$M$305,$A60)&amp;" việc"))</f>
      </c>
      <c r="AH60" s="224">
        <f>IF(OR($A60="",N($O60)&lt;=0),"",IF($P60="Giờ",$O60,$O60*24))</f>
      </c>
      <c r="AI60" s="224">
        <f>IF(OR(N($AA60)=0,N($B60)=0),"",IF($AA60&lt;$B60,"",($AA60-$B60)*24))</f>
      </c>
      <c r="AJ60" s="225">
        <f>IF($A60="","",IF(COUNTIF('Nhật ký tiến độ'!$C$6:$C$3005,$A60)=0,0,_xlfn.MAXIFS('Nhật ký tiến độ'!$N$6:$N$3005,'Nhật ký tiến độ'!$C$6:$C$3005,$A60,'Nhật ký tiến độ'!$B$6:$B$3005,_xlfn.MAXIFS('Nhật ký tiến độ'!$B$6:$B$3005,'Nhật ký tiến độ'!$C$6:$C$3005,$A60))))</f>
      </c>
      <c r="AK60" s="225">
        <f>IF(OR($A60="",$V60="Đã xử lý"),"",IF(N($AO60)&gt;0,5-$AO60,IF($J60="Khẩn cấp",5,IF($Y60="Chậm tiến độ",6,IF(OR($Y60="Sắp đến hạn",$J60="Cao"),7,"")))))</f>
      </c>
      <c r="AL60" s="225">
        <f>IF($AK60="","",$AK60*100000+IF(N($U60)=0,99999,INT($U60))+ROW()/100000)</f>
      </c>
      <c r="AM60" s="225">
        <f>IF(OR($A60="",TRIM($K60)="",COUNTIF($K$6:$K60,$K60)&gt;1),0,1)</f>
      </c>
      <c r="AN60" s="225">
        <f>IF($AM60=1,SUM($AM$6:$AM60),"")</f>
      </c>
      <c r="AO60" s="225">
        <f>IF(OR($A60="",$V60="Đã xử lý",N($U60)=0),0,IF(TDBC&lt;=$U60,0,MAX(1,MIN(4,IF((TDBC-$U60)*24&lt;24,1,IF((TDBC-$U60)*24&lt;72,2,IF((TDBC-$U60)*24&lt;168,3,4)))+IFERROR(INDEX({2,1,0,-1},MATCH($J60,{"Khẩn cấp","Cao","Trung bình","Thấp"},0)),0)))))</f>
      </c>
    </row>
    <row r="61">
      <c r="A61" s="216"/>
      <c r="B61" s="217"/>
      <c r="C61" s="218"/>
      <c r="D61" s="218"/>
      <c r="E61" s="218"/>
      <c r="F61" s="218"/>
      <c r="G61" s="216"/>
      <c r="H61" s="218"/>
      <c r="I61" s="218"/>
      <c r="J61" s="216"/>
      <c r="K61" s="218"/>
      <c r="L61" s="218"/>
      <c r="M61" s="218"/>
      <c r="N61" s="218"/>
      <c r="O61" s="219"/>
      <c r="P61" s="216"/>
      <c r="Q61" s="217"/>
      <c r="R61" s="216"/>
      <c r="S61" s="218"/>
      <c r="T61" s="218"/>
      <c r="U61" s="220">
        <f>IF($A61="","",IF(N($Q61)&gt;0,IF(MOD($Q61,1)=0,$Q61+1-1/1440,$Q61),IF(N($B61)=0,"",$B61+IF(N($AH61)&gt;0,$AH61,IFERROR(INDEX(DM_SLA_Gio,MATCH($J61,DM_SLA_Cap,0)),168))/24)))</f>
      </c>
      <c r="V61" s="221">
        <f>IF($A61="","",IF(N($AJ61)=0,"Mới tiếp nhận",INDEX('Nhật ký tiến độ'!$E:$E,$AJ61)))</f>
      </c>
      <c r="W61" s="222">
        <f>IF($A61="","",IF($V61="Đã xử lý",1,IF(N($AJ61)=0,0,N(INDEX('Nhật ký tiến độ'!$D:$D,$AJ61)))))</f>
      </c>
      <c r="X61" s="222">
        <f>IF(OR($A61="",$V61="Đã xử lý",N($U61)=0,N($B61)=0),"",IF(TDBC&lt;=$B61,0,IF(TDBC&gt;=$U61,1,(TDBC-$B61)/($U61-$B61))))</f>
      </c>
      <c r="Y61" s="223">
        <f>IF($A61="","",IF($V61="Đã xử lý","Hoàn thành",IF(N($U61)=0,"Chưa đặt hạn",IF(TDBC&gt;$U61,"Quá hạn",IF(ROUND((N($X61)-$W61)*100,0)&gt;=20,"Chậm tiến độ",IF($U61-TDBC&lt;=1,"Sắp đến hạn","Đúng tiến độ"))))))</f>
      </c>
      <c r="Z61" s="223">
        <f>IF(OR($A61="",$V61="Đã xử lý",N($U61)=0),"",IF(TDBC&gt;$U61,"Quá "&amp;IF(((TDBC-$U61)*24)&lt;1,MAX(1,ROUND(((TDBC-$U61)*24)*60,0))&amp;" phút",IF(ROUND(((TDBC-$U61)*24),0)&lt;24,ROUND(((TDBC-$U61)*24),0)&amp;" giờ",INT(ROUND(((TDBC-$U61)*24),0)/24)&amp;" ngày"&amp;IF(MOD(ROUND(((TDBC-$U61)*24),0),24)&gt;0," "&amp;MOD(ROUND(((TDBC-$U61)*24),0),24)&amp;" giờ",""))),"Còn "&amp;IF((($U61-TDBC)*24)&lt;1,MAX(1,ROUND((($U61-TDBC)*24)*60,0))&amp;" phút",IF(ROUND((($U61-TDBC)*24),0)&lt;24,ROUND((($U61-TDBC)*24),0)&amp;" giờ",INT(ROUND((($U61-TDBC)*24),0)/24)&amp;" ngày"&amp;IF(MOD(ROUND((($U61-TDBC)*24),0),24)&gt;0," "&amp;MOD(ROUND((($U61-TDBC)*24),0),24)&amp;" giờ","")))))</f>
      </c>
      <c r="AA61" s="220">
        <f>IF($V61="Đã xử lý",_xlfn.MAXIFS('Nhật ký tiến độ'!$B$6:$B$3005,'Nhật ký tiến độ'!$C$6:$C$3005,$A61,'Nhật ký tiến độ'!$E$6:$E$3005,"Đã xử lý"),"")</f>
      </c>
      <c r="AB61" s="223">
        <f>IF($AI61="","",IF($AI61&lt;1,MAX(1,ROUND($AI61*60,0))&amp;" phút",IF(ROUND($AI61,0)&lt;24,ROUND($AI61,0)&amp;" giờ",INT(ROUND($AI61,0)/24)&amp;" ngày"&amp;IF(MOD(ROUND($AI61,0),24)&gt;0," "&amp;MOD(ROUND($AI61,0),24)&amp;" giờ",""))))</f>
      </c>
      <c r="AC61" s="223">
        <f>IF(OR($A61="",N($AH61)=0),"",IF($AI61&lt;&gt;"",IF($AI61&lt;=$AH61,"Trong ước tính","Vượt "&amp;IF(($AI61-$AH61)&lt;1,MAX(1,ROUND(($AI61-$AH61)*60,0))&amp;" phút",IF(ROUND(($AI61-$AH61),0)&lt;24,ROUND(($AI61-$AH61),0)&amp;" giờ",INT(ROUND(($AI61-$AH61),0)/24)&amp;" ngày"&amp;IF(MOD(ROUND(($AI61-$AH61),0),24)&gt;0," "&amp;MOD(ROUND(($AI61-$AH61),0),24)&amp;" giờ","")))),IF(OR($V61="Đã xử lý",N($B61)=0),"",IF((TDBC-$B61)*24&gt;$AH61,"Đã vượt ước tính","Đã dùng "&amp;TEXT((TDBC-$B61)*24/$AH61,"0%")))))</f>
      </c>
      <c r="AD61" s="223">
        <f>IF(N($AO61)=0,"",CHOOSE($AO61,"Nhắc nhở","Cảnh báo","Báo động","Báo động đỏ"))</f>
      </c>
      <c r="AE61" s="223">
        <f>IF(OR(N($AA61)=0,N($U61)=0),"",IF($AA61&lt;=$U61,"Đúng hạn","Trễ hạn"))</f>
      </c>
      <c r="AF61" s="220">
        <f>IF($A61="","",_xlfn.MAXIFS('Nhật ký tiến độ'!$B$6:$B$3005,'Nhật ký tiến độ'!$C$6:$C$3005,$A61))</f>
      </c>
      <c r="AG61" s="223">
        <f>IF($A61="","",IF(COUNTIF('Kế hoạch'!$M$6:$M$305,$A61)=0,"",COUNTIF('Kế hoạch'!$M$6:$M$305,$A61)&amp;" việc"))</f>
      </c>
      <c r="AH61" s="224">
        <f>IF(OR($A61="",N($O61)&lt;=0),"",IF($P61="Giờ",$O61,$O61*24))</f>
      </c>
      <c r="AI61" s="224">
        <f>IF(OR(N($AA61)=0,N($B61)=0),"",IF($AA61&lt;$B61,"",($AA61-$B61)*24))</f>
      </c>
      <c r="AJ61" s="225">
        <f>IF($A61="","",IF(COUNTIF('Nhật ký tiến độ'!$C$6:$C$3005,$A61)=0,0,_xlfn.MAXIFS('Nhật ký tiến độ'!$N$6:$N$3005,'Nhật ký tiến độ'!$C$6:$C$3005,$A61,'Nhật ký tiến độ'!$B$6:$B$3005,_xlfn.MAXIFS('Nhật ký tiến độ'!$B$6:$B$3005,'Nhật ký tiến độ'!$C$6:$C$3005,$A61))))</f>
      </c>
      <c r="AK61" s="225">
        <f>IF(OR($A61="",$V61="Đã xử lý"),"",IF(N($AO61)&gt;0,5-$AO61,IF($J61="Khẩn cấp",5,IF($Y61="Chậm tiến độ",6,IF(OR($Y61="Sắp đến hạn",$J61="Cao"),7,"")))))</f>
      </c>
      <c r="AL61" s="225">
        <f>IF($AK61="","",$AK61*100000+IF(N($U61)=0,99999,INT($U61))+ROW()/100000)</f>
      </c>
      <c r="AM61" s="225">
        <f>IF(OR($A61="",TRIM($K61)="",COUNTIF($K$6:$K61,$K61)&gt;1),0,1)</f>
      </c>
      <c r="AN61" s="225">
        <f>IF($AM61=1,SUM($AM$6:$AM61),"")</f>
      </c>
      <c r="AO61" s="225">
        <f>IF(OR($A61="",$V61="Đã xử lý",N($U61)=0),0,IF(TDBC&lt;=$U61,0,MAX(1,MIN(4,IF((TDBC-$U61)*24&lt;24,1,IF((TDBC-$U61)*24&lt;72,2,IF((TDBC-$U61)*24&lt;168,3,4)))+IFERROR(INDEX({2,1,0,-1},MATCH($J61,{"Khẩn cấp","Cao","Trung bình","Thấp"},0)),0)))))</f>
      </c>
    </row>
    <row r="62">
      <c r="A62" s="216"/>
      <c r="B62" s="217"/>
      <c r="C62" s="218"/>
      <c r="D62" s="218"/>
      <c r="E62" s="218"/>
      <c r="F62" s="218"/>
      <c r="G62" s="216"/>
      <c r="H62" s="218"/>
      <c r="I62" s="218"/>
      <c r="J62" s="216"/>
      <c r="K62" s="218"/>
      <c r="L62" s="218"/>
      <c r="M62" s="218"/>
      <c r="N62" s="218"/>
      <c r="O62" s="219"/>
      <c r="P62" s="216"/>
      <c r="Q62" s="217"/>
      <c r="R62" s="216"/>
      <c r="S62" s="218"/>
      <c r="T62" s="218"/>
      <c r="U62" s="220">
        <f>IF($A62="","",IF(N($Q62)&gt;0,IF(MOD($Q62,1)=0,$Q62+1-1/1440,$Q62),IF(N($B62)=0,"",$B62+IF(N($AH62)&gt;0,$AH62,IFERROR(INDEX(DM_SLA_Gio,MATCH($J62,DM_SLA_Cap,0)),168))/24)))</f>
      </c>
      <c r="V62" s="221">
        <f>IF($A62="","",IF(N($AJ62)=0,"Mới tiếp nhận",INDEX('Nhật ký tiến độ'!$E:$E,$AJ62)))</f>
      </c>
      <c r="W62" s="222">
        <f>IF($A62="","",IF($V62="Đã xử lý",1,IF(N($AJ62)=0,0,N(INDEX('Nhật ký tiến độ'!$D:$D,$AJ62)))))</f>
      </c>
      <c r="X62" s="222">
        <f>IF(OR($A62="",$V62="Đã xử lý",N($U62)=0,N($B62)=0),"",IF(TDBC&lt;=$B62,0,IF(TDBC&gt;=$U62,1,(TDBC-$B62)/($U62-$B62))))</f>
      </c>
      <c r="Y62" s="223">
        <f>IF($A62="","",IF($V62="Đã xử lý","Hoàn thành",IF(N($U62)=0,"Chưa đặt hạn",IF(TDBC&gt;$U62,"Quá hạn",IF(ROUND((N($X62)-$W62)*100,0)&gt;=20,"Chậm tiến độ",IF($U62-TDBC&lt;=1,"Sắp đến hạn","Đúng tiến độ"))))))</f>
      </c>
      <c r="Z62" s="223">
        <f>IF(OR($A62="",$V62="Đã xử lý",N($U62)=0),"",IF(TDBC&gt;$U62,"Quá "&amp;IF(((TDBC-$U62)*24)&lt;1,MAX(1,ROUND(((TDBC-$U62)*24)*60,0))&amp;" phút",IF(ROUND(((TDBC-$U62)*24),0)&lt;24,ROUND(((TDBC-$U62)*24),0)&amp;" giờ",INT(ROUND(((TDBC-$U62)*24),0)/24)&amp;" ngày"&amp;IF(MOD(ROUND(((TDBC-$U62)*24),0),24)&gt;0," "&amp;MOD(ROUND(((TDBC-$U62)*24),0),24)&amp;" giờ",""))),"Còn "&amp;IF((($U62-TDBC)*24)&lt;1,MAX(1,ROUND((($U62-TDBC)*24)*60,0))&amp;" phút",IF(ROUND((($U62-TDBC)*24),0)&lt;24,ROUND((($U62-TDBC)*24),0)&amp;" giờ",INT(ROUND((($U62-TDBC)*24),0)/24)&amp;" ngày"&amp;IF(MOD(ROUND((($U62-TDBC)*24),0),24)&gt;0," "&amp;MOD(ROUND((($U62-TDBC)*24),0),24)&amp;" giờ","")))))</f>
      </c>
      <c r="AA62" s="220">
        <f>IF($V62="Đã xử lý",_xlfn.MAXIFS('Nhật ký tiến độ'!$B$6:$B$3005,'Nhật ký tiến độ'!$C$6:$C$3005,$A62,'Nhật ký tiến độ'!$E$6:$E$3005,"Đã xử lý"),"")</f>
      </c>
      <c r="AB62" s="223">
        <f>IF($AI62="","",IF($AI62&lt;1,MAX(1,ROUND($AI62*60,0))&amp;" phút",IF(ROUND($AI62,0)&lt;24,ROUND($AI62,0)&amp;" giờ",INT(ROUND($AI62,0)/24)&amp;" ngày"&amp;IF(MOD(ROUND($AI62,0),24)&gt;0," "&amp;MOD(ROUND($AI62,0),24)&amp;" giờ",""))))</f>
      </c>
      <c r="AC62" s="223">
        <f>IF(OR($A62="",N($AH62)=0),"",IF($AI62&lt;&gt;"",IF($AI62&lt;=$AH62,"Trong ước tính","Vượt "&amp;IF(($AI62-$AH62)&lt;1,MAX(1,ROUND(($AI62-$AH62)*60,0))&amp;" phút",IF(ROUND(($AI62-$AH62),0)&lt;24,ROUND(($AI62-$AH62),0)&amp;" giờ",INT(ROUND(($AI62-$AH62),0)/24)&amp;" ngày"&amp;IF(MOD(ROUND(($AI62-$AH62),0),24)&gt;0," "&amp;MOD(ROUND(($AI62-$AH62),0),24)&amp;" giờ","")))),IF(OR($V62="Đã xử lý",N($B62)=0),"",IF((TDBC-$B62)*24&gt;$AH62,"Đã vượt ước tính","Đã dùng "&amp;TEXT((TDBC-$B62)*24/$AH62,"0%")))))</f>
      </c>
      <c r="AD62" s="223">
        <f>IF(N($AO62)=0,"",CHOOSE($AO62,"Nhắc nhở","Cảnh báo","Báo động","Báo động đỏ"))</f>
      </c>
      <c r="AE62" s="223">
        <f>IF(OR(N($AA62)=0,N($U62)=0),"",IF($AA62&lt;=$U62,"Đúng hạn","Trễ hạn"))</f>
      </c>
      <c r="AF62" s="220">
        <f>IF($A62="","",_xlfn.MAXIFS('Nhật ký tiến độ'!$B$6:$B$3005,'Nhật ký tiến độ'!$C$6:$C$3005,$A62))</f>
      </c>
      <c r="AG62" s="223">
        <f>IF($A62="","",IF(COUNTIF('Kế hoạch'!$M$6:$M$305,$A62)=0,"",COUNTIF('Kế hoạch'!$M$6:$M$305,$A62)&amp;" việc"))</f>
      </c>
      <c r="AH62" s="224">
        <f>IF(OR($A62="",N($O62)&lt;=0),"",IF($P62="Giờ",$O62,$O62*24))</f>
      </c>
      <c r="AI62" s="224">
        <f>IF(OR(N($AA62)=0,N($B62)=0),"",IF($AA62&lt;$B62,"",($AA62-$B62)*24))</f>
      </c>
      <c r="AJ62" s="225">
        <f>IF($A62="","",IF(COUNTIF('Nhật ký tiến độ'!$C$6:$C$3005,$A62)=0,0,_xlfn.MAXIFS('Nhật ký tiến độ'!$N$6:$N$3005,'Nhật ký tiến độ'!$C$6:$C$3005,$A62,'Nhật ký tiến độ'!$B$6:$B$3005,_xlfn.MAXIFS('Nhật ký tiến độ'!$B$6:$B$3005,'Nhật ký tiến độ'!$C$6:$C$3005,$A62))))</f>
      </c>
      <c r="AK62" s="225">
        <f>IF(OR($A62="",$V62="Đã xử lý"),"",IF(N($AO62)&gt;0,5-$AO62,IF($J62="Khẩn cấp",5,IF($Y62="Chậm tiến độ",6,IF(OR($Y62="Sắp đến hạn",$J62="Cao"),7,"")))))</f>
      </c>
      <c r="AL62" s="225">
        <f>IF($AK62="","",$AK62*100000+IF(N($U62)=0,99999,INT($U62))+ROW()/100000)</f>
      </c>
      <c r="AM62" s="225">
        <f>IF(OR($A62="",TRIM($K62)="",COUNTIF($K$6:$K62,$K62)&gt;1),0,1)</f>
      </c>
      <c r="AN62" s="225">
        <f>IF($AM62=1,SUM($AM$6:$AM62),"")</f>
      </c>
      <c r="AO62" s="225">
        <f>IF(OR($A62="",$V62="Đã xử lý",N($U62)=0),0,IF(TDBC&lt;=$U62,0,MAX(1,MIN(4,IF((TDBC-$U62)*24&lt;24,1,IF((TDBC-$U62)*24&lt;72,2,IF((TDBC-$U62)*24&lt;168,3,4)))+IFERROR(INDEX({2,1,0,-1},MATCH($J62,{"Khẩn cấp","Cao","Trung bình","Thấp"},0)),0)))))</f>
      </c>
    </row>
    <row r="63">
      <c r="A63" s="216"/>
      <c r="B63" s="217"/>
      <c r="C63" s="218"/>
      <c r="D63" s="218"/>
      <c r="E63" s="218"/>
      <c r="F63" s="218"/>
      <c r="G63" s="216"/>
      <c r="H63" s="218"/>
      <c r="I63" s="218"/>
      <c r="J63" s="216"/>
      <c r="K63" s="218"/>
      <c r="L63" s="218"/>
      <c r="M63" s="218"/>
      <c r="N63" s="218"/>
      <c r="O63" s="219"/>
      <c r="P63" s="216"/>
      <c r="Q63" s="217"/>
      <c r="R63" s="216"/>
      <c r="S63" s="218"/>
      <c r="T63" s="218"/>
      <c r="U63" s="220">
        <f>IF($A63="","",IF(N($Q63)&gt;0,IF(MOD($Q63,1)=0,$Q63+1-1/1440,$Q63),IF(N($B63)=0,"",$B63+IF(N($AH63)&gt;0,$AH63,IFERROR(INDEX(DM_SLA_Gio,MATCH($J63,DM_SLA_Cap,0)),168))/24)))</f>
      </c>
      <c r="V63" s="221">
        <f>IF($A63="","",IF(N($AJ63)=0,"Mới tiếp nhận",INDEX('Nhật ký tiến độ'!$E:$E,$AJ63)))</f>
      </c>
      <c r="W63" s="222">
        <f>IF($A63="","",IF($V63="Đã xử lý",1,IF(N($AJ63)=0,0,N(INDEX('Nhật ký tiến độ'!$D:$D,$AJ63)))))</f>
      </c>
      <c r="X63" s="222">
        <f>IF(OR($A63="",$V63="Đã xử lý",N($U63)=0,N($B63)=0),"",IF(TDBC&lt;=$B63,0,IF(TDBC&gt;=$U63,1,(TDBC-$B63)/($U63-$B63))))</f>
      </c>
      <c r="Y63" s="223">
        <f>IF($A63="","",IF($V63="Đã xử lý","Hoàn thành",IF(N($U63)=0,"Chưa đặt hạn",IF(TDBC&gt;$U63,"Quá hạn",IF(ROUND((N($X63)-$W63)*100,0)&gt;=20,"Chậm tiến độ",IF($U63-TDBC&lt;=1,"Sắp đến hạn","Đúng tiến độ"))))))</f>
      </c>
      <c r="Z63" s="223">
        <f>IF(OR($A63="",$V63="Đã xử lý",N($U63)=0),"",IF(TDBC&gt;$U63,"Quá "&amp;IF(((TDBC-$U63)*24)&lt;1,MAX(1,ROUND(((TDBC-$U63)*24)*60,0))&amp;" phút",IF(ROUND(((TDBC-$U63)*24),0)&lt;24,ROUND(((TDBC-$U63)*24),0)&amp;" giờ",INT(ROUND(((TDBC-$U63)*24),0)/24)&amp;" ngày"&amp;IF(MOD(ROUND(((TDBC-$U63)*24),0),24)&gt;0," "&amp;MOD(ROUND(((TDBC-$U63)*24),0),24)&amp;" giờ",""))),"Còn "&amp;IF((($U63-TDBC)*24)&lt;1,MAX(1,ROUND((($U63-TDBC)*24)*60,0))&amp;" phút",IF(ROUND((($U63-TDBC)*24),0)&lt;24,ROUND((($U63-TDBC)*24),0)&amp;" giờ",INT(ROUND((($U63-TDBC)*24),0)/24)&amp;" ngày"&amp;IF(MOD(ROUND((($U63-TDBC)*24),0),24)&gt;0," "&amp;MOD(ROUND((($U63-TDBC)*24),0),24)&amp;" giờ","")))))</f>
      </c>
      <c r="AA63" s="220">
        <f>IF($V63="Đã xử lý",_xlfn.MAXIFS('Nhật ký tiến độ'!$B$6:$B$3005,'Nhật ký tiến độ'!$C$6:$C$3005,$A63,'Nhật ký tiến độ'!$E$6:$E$3005,"Đã xử lý"),"")</f>
      </c>
      <c r="AB63" s="223">
        <f>IF($AI63="","",IF($AI63&lt;1,MAX(1,ROUND($AI63*60,0))&amp;" phút",IF(ROUND($AI63,0)&lt;24,ROUND($AI63,0)&amp;" giờ",INT(ROUND($AI63,0)/24)&amp;" ngày"&amp;IF(MOD(ROUND($AI63,0),24)&gt;0," "&amp;MOD(ROUND($AI63,0),24)&amp;" giờ",""))))</f>
      </c>
      <c r="AC63" s="223">
        <f>IF(OR($A63="",N($AH63)=0),"",IF($AI63&lt;&gt;"",IF($AI63&lt;=$AH63,"Trong ước tính","Vượt "&amp;IF(($AI63-$AH63)&lt;1,MAX(1,ROUND(($AI63-$AH63)*60,0))&amp;" phút",IF(ROUND(($AI63-$AH63),0)&lt;24,ROUND(($AI63-$AH63),0)&amp;" giờ",INT(ROUND(($AI63-$AH63),0)/24)&amp;" ngày"&amp;IF(MOD(ROUND(($AI63-$AH63),0),24)&gt;0," "&amp;MOD(ROUND(($AI63-$AH63),0),24)&amp;" giờ","")))),IF(OR($V63="Đã xử lý",N($B63)=0),"",IF((TDBC-$B63)*24&gt;$AH63,"Đã vượt ước tính","Đã dùng "&amp;TEXT((TDBC-$B63)*24/$AH63,"0%")))))</f>
      </c>
      <c r="AD63" s="223">
        <f>IF(N($AO63)=0,"",CHOOSE($AO63,"Nhắc nhở","Cảnh báo","Báo động","Báo động đỏ"))</f>
      </c>
      <c r="AE63" s="223">
        <f>IF(OR(N($AA63)=0,N($U63)=0),"",IF($AA63&lt;=$U63,"Đúng hạn","Trễ hạn"))</f>
      </c>
      <c r="AF63" s="220">
        <f>IF($A63="","",_xlfn.MAXIFS('Nhật ký tiến độ'!$B$6:$B$3005,'Nhật ký tiến độ'!$C$6:$C$3005,$A63))</f>
      </c>
      <c r="AG63" s="223">
        <f>IF($A63="","",IF(COUNTIF('Kế hoạch'!$M$6:$M$305,$A63)=0,"",COUNTIF('Kế hoạch'!$M$6:$M$305,$A63)&amp;" việc"))</f>
      </c>
      <c r="AH63" s="224">
        <f>IF(OR($A63="",N($O63)&lt;=0),"",IF($P63="Giờ",$O63,$O63*24))</f>
      </c>
      <c r="AI63" s="224">
        <f>IF(OR(N($AA63)=0,N($B63)=0),"",IF($AA63&lt;$B63,"",($AA63-$B63)*24))</f>
      </c>
      <c r="AJ63" s="225">
        <f>IF($A63="","",IF(COUNTIF('Nhật ký tiến độ'!$C$6:$C$3005,$A63)=0,0,_xlfn.MAXIFS('Nhật ký tiến độ'!$N$6:$N$3005,'Nhật ký tiến độ'!$C$6:$C$3005,$A63,'Nhật ký tiến độ'!$B$6:$B$3005,_xlfn.MAXIFS('Nhật ký tiến độ'!$B$6:$B$3005,'Nhật ký tiến độ'!$C$6:$C$3005,$A63))))</f>
      </c>
      <c r="AK63" s="225">
        <f>IF(OR($A63="",$V63="Đã xử lý"),"",IF(N($AO63)&gt;0,5-$AO63,IF($J63="Khẩn cấp",5,IF($Y63="Chậm tiến độ",6,IF(OR($Y63="Sắp đến hạn",$J63="Cao"),7,"")))))</f>
      </c>
      <c r="AL63" s="225">
        <f>IF($AK63="","",$AK63*100000+IF(N($U63)=0,99999,INT($U63))+ROW()/100000)</f>
      </c>
      <c r="AM63" s="225">
        <f>IF(OR($A63="",TRIM($K63)="",COUNTIF($K$6:$K63,$K63)&gt;1),0,1)</f>
      </c>
      <c r="AN63" s="225">
        <f>IF($AM63=1,SUM($AM$6:$AM63),"")</f>
      </c>
      <c r="AO63" s="225">
        <f>IF(OR($A63="",$V63="Đã xử lý",N($U63)=0),0,IF(TDBC&lt;=$U63,0,MAX(1,MIN(4,IF((TDBC-$U63)*24&lt;24,1,IF((TDBC-$U63)*24&lt;72,2,IF((TDBC-$U63)*24&lt;168,3,4)))+IFERROR(INDEX({2,1,0,-1},MATCH($J63,{"Khẩn cấp","Cao","Trung bình","Thấp"},0)),0)))))</f>
      </c>
    </row>
    <row r="64">
      <c r="A64" s="216"/>
      <c r="B64" s="217"/>
      <c r="C64" s="218"/>
      <c r="D64" s="218"/>
      <c r="E64" s="218"/>
      <c r="F64" s="218"/>
      <c r="G64" s="216"/>
      <c r="H64" s="218"/>
      <c r="I64" s="218"/>
      <c r="J64" s="216"/>
      <c r="K64" s="218"/>
      <c r="L64" s="218"/>
      <c r="M64" s="218"/>
      <c r="N64" s="218"/>
      <c r="O64" s="219"/>
      <c r="P64" s="216"/>
      <c r="Q64" s="217"/>
      <c r="R64" s="216"/>
      <c r="S64" s="218"/>
      <c r="T64" s="218"/>
      <c r="U64" s="220">
        <f>IF($A64="","",IF(N($Q64)&gt;0,IF(MOD($Q64,1)=0,$Q64+1-1/1440,$Q64),IF(N($B64)=0,"",$B64+IF(N($AH64)&gt;0,$AH64,IFERROR(INDEX(DM_SLA_Gio,MATCH($J64,DM_SLA_Cap,0)),168))/24)))</f>
      </c>
      <c r="V64" s="221">
        <f>IF($A64="","",IF(N($AJ64)=0,"Mới tiếp nhận",INDEX('Nhật ký tiến độ'!$E:$E,$AJ64)))</f>
      </c>
      <c r="W64" s="222">
        <f>IF($A64="","",IF($V64="Đã xử lý",1,IF(N($AJ64)=0,0,N(INDEX('Nhật ký tiến độ'!$D:$D,$AJ64)))))</f>
      </c>
      <c r="X64" s="222">
        <f>IF(OR($A64="",$V64="Đã xử lý",N($U64)=0,N($B64)=0),"",IF(TDBC&lt;=$B64,0,IF(TDBC&gt;=$U64,1,(TDBC-$B64)/($U64-$B64))))</f>
      </c>
      <c r="Y64" s="223">
        <f>IF($A64="","",IF($V64="Đã xử lý","Hoàn thành",IF(N($U64)=0,"Chưa đặt hạn",IF(TDBC&gt;$U64,"Quá hạn",IF(ROUND((N($X64)-$W64)*100,0)&gt;=20,"Chậm tiến độ",IF($U64-TDBC&lt;=1,"Sắp đến hạn","Đúng tiến độ"))))))</f>
      </c>
      <c r="Z64" s="223">
        <f>IF(OR($A64="",$V64="Đã xử lý",N($U64)=0),"",IF(TDBC&gt;$U64,"Quá "&amp;IF(((TDBC-$U64)*24)&lt;1,MAX(1,ROUND(((TDBC-$U64)*24)*60,0))&amp;" phút",IF(ROUND(((TDBC-$U64)*24),0)&lt;24,ROUND(((TDBC-$U64)*24),0)&amp;" giờ",INT(ROUND(((TDBC-$U64)*24),0)/24)&amp;" ngày"&amp;IF(MOD(ROUND(((TDBC-$U64)*24),0),24)&gt;0," "&amp;MOD(ROUND(((TDBC-$U64)*24),0),24)&amp;" giờ",""))),"Còn "&amp;IF((($U64-TDBC)*24)&lt;1,MAX(1,ROUND((($U64-TDBC)*24)*60,0))&amp;" phút",IF(ROUND((($U64-TDBC)*24),0)&lt;24,ROUND((($U64-TDBC)*24),0)&amp;" giờ",INT(ROUND((($U64-TDBC)*24),0)/24)&amp;" ngày"&amp;IF(MOD(ROUND((($U64-TDBC)*24),0),24)&gt;0," "&amp;MOD(ROUND((($U64-TDBC)*24),0),24)&amp;" giờ","")))))</f>
      </c>
      <c r="AA64" s="220">
        <f>IF($V64="Đã xử lý",_xlfn.MAXIFS('Nhật ký tiến độ'!$B$6:$B$3005,'Nhật ký tiến độ'!$C$6:$C$3005,$A64,'Nhật ký tiến độ'!$E$6:$E$3005,"Đã xử lý"),"")</f>
      </c>
      <c r="AB64" s="223">
        <f>IF($AI64="","",IF($AI64&lt;1,MAX(1,ROUND($AI64*60,0))&amp;" phút",IF(ROUND($AI64,0)&lt;24,ROUND($AI64,0)&amp;" giờ",INT(ROUND($AI64,0)/24)&amp;" ngày"&amp;IF(MOD(ROUND($AI64,0),24)&gt;0," "&amp;MOD(ROUND($AI64,0),24)&amp;" giờ",""))))</f>
      </c>
      <c r="AC64" s="223">
        <f>IF(OR($A64="",N($AH64)=0),"",IF($AI64&lt;&gt;"",IF($AI64&lt;=$AH64,"Trong ước tính","Vượt "&amp;IF(($AI64-$AH64)&lt;1,MAX(1,ROUND(($AI64-$AH64)*60,0))&amp;" phút",IF(ROUND(($AI64-$AH64),0)&lt;24,ROUND(($AI64-$AH64),0)&amp;" giờ",INT(ROUND(($AI64-$AH64),0)/24)&amp;" ngày"&amp;IF(MOD(ROUND(($AI64-$AH64),0),24)&gt;0," "&amp;MOD(ROUND(($AI64-$AH64),0),24)&amp;" giờ","")))),IF(OR($V64="Đã xử lý",N($B64)=0),"",IF((TDBC-$B64)*24&gt;$AH64,"Đã vượt ước tính","Đã dùng "&amp;TEXT((TDBC-$B64)*24/$AH64,"0%")))))</f>
      </c>
      <c r="AD64" s="223">
        <f>IF(N($AO64)=0,"",CHOOSE($AO64,"Nhắc nhở","Cảnh báo","Báo động","Báo động đỏ"))</f>
      </c>
      <c r="AE64" s="223">
        <f>IF(OR(N($AA64)=0,N($U64)=0),"",IF($AA64&lt;=$U64,"Đúng hạn","Trễ hạn"))</f>
      </c>
      <c r="AF64" s="220">
        <f>IF($A64="","",_xlfn.MAXIFS('Nhật ký tiến độ'!$B$6:$B$3005,'Nhật ký tiến độ'!$C$6:$C$3005,$A64))</f>
      </c>
      <c r="AG64" s="223">
        <f>IF($A64="","",IF(COUNTIF('Kế hoạch'!$M$6:$M$305,$A64)=0,"",COUNTIF('Kế hoạch'!$M$6:$M$305,$A64)&amp;" việc"))</f>
      </c>
      <c r="AH64" s="224">
        <f>IF(OR($A64="",N($O64)&lt;=0),"",IF($P64="Giờ",$O64,$O64*24))</f>
      </c>
      <c r="AI64" s="224">
        <f>IF(OR(N($AA64)=0,N($B64)=0),"",IF($AA64&lt;$B64,"",($AA64-$B64)*24))</f>
      </c>
      <c r="AJ64" s="225">
        <f>IF($A64="","",IF(COUNTIF('Nhật ký tiến độ'!$C$6:$C$3005,$A64)=0,0,_xlfn.MAXIFS('Nhật ký tiến độ'!$N$6:$N$3005,'Nhật ký tiến độ'!$C$6:$C$3005,$A64,'Nhật ký tiến độ'!$B$6:$B$3005,_xlfn.MAXIFS('Nhật ký tiến độ'!$B$6:$B$3005,'Nhật ký tiến độ'!$C$6:$C$3005,$A64))))</f>
      </c>
      <c r="AK64" s="225">
        <f>IF(OR($A64="",$V64="Đã xử lý"),"",IF(N($AO64)&gt;0,5-$AO64,IF($J64="Khẩn cấp",5,IF($Y64="Chậm tiến độ",6,IF(OR($Y64="Sắp đến hạn",$J64="Cao"),7,"")))))</f>
      </c>
      <c r="AL64" s="225">
        <f>IF($AK64="","",$AK64*100000+IF(N($U64)=0,99999,INT($U64))+ROW()/100000)</f>
      </c>
      <c r="AM64" s="225">
        <f>IF(OR($A64="",TRIM($K64)="",COUNTIF($K$6:$K64,$K64)&gt;1),0,1)</f>
      </c>
      <c r="AN64" s="225">
        <f>IF($AM64=1,SUM($AM$6:$AM64),"")</f>
      </c>
      <c r="AO64" s="225">
        <f>IF(OR($A64="",$V64="Đã xử lý",N($U64)=0),0,IF(TDBC&lt;=$U64,0,MAX(1,MIN(4,IF((TDBC-$U64)*24&lt;24,1,IF((TDBC-$U64)*24&lt;72,2,IF((TDBC-$U64)*24&lt;168,3,4)))+IFERROR(INDEX({2,1,0,-1},MATCH($J64,{"Khẩn cấp","Cao","Trung bình","Thấp"},0)),0)))))</f>
      </c>
    </row>
    <row r="65">
      <c r="A65" s="216"/>
      <c r="B65" s="217"/>
      <c r="C65" s="218"/>
      <c r="D65" s="218"/>
      <c r="E65" s="218"/>
      <c r="F65" s="218"/>
      <c r="G65" s="216"/>
      <c r="H65" s="218"/>
      <c r="I65" s="218"/>
      <c r="J65" s="216"/>
      <c r="K65" s="218"/>
      <c r="L65" s="218"/>
      <c r="M65" s="218"/>
      <c r="N65" s="218"/>
      <c r="O65" s="219"/>
      <c r="P65" s="216"/>
      <c r="Q65" s="217"/>
      <c r="R65" s="216"/>
      <c r="S65" s="218"/>
      <c r="T65" s="218"/>
      <c r="U65" s="220">
        <f>IF($A65="","",IF(N($Q65)&gt;0,IF(MOD($Q65,1)=0,$Q65+1-1/1440,$Q65),IF(N($B65)=0,"",$B65+IF(N($AH65)&gt;0,$AH65,IFERROR(INDEX(DM_SLA_Gio,MATCH($J65,DM_SLA_Cap,0)),168))/24)))</f>
      </c>
      <c r="V65" s="221">
        <f>IF($A65="","",IF(N($AJ65)=0,"Mới tiếp nhận",INDEX('Nhật ký tiến độ'!$E:$E,$AJ65)))</f>
      </c>
      <c r="W65" s="222">
        <f>IF($A65="","",IF($V65="Đã xử lý",1,IF(N($AJ65)=0,0,N(INDEX('Nhật ký tiến độ'!$D:$D,$AJ65)))))</f>
      </c>
      <c r="X65" s="222">
        <f>IF(OR($A65="",$V65="Đã xử lý",N($U65)=0,N($B65)=0),"",IF(TDBC&lt;=$B65,0,IF(TDBC&gt;=$U65,1,(TDBC-$B65)/($U65-$B65))))</f>
      </c>
      <c r="Y65" s="223">
        <f>IF($A65="","",IF($V65="Đã xử lý","Hoàn thành",IF(N($U65)=0,"Chưa đặt hạn",IF(TDBC&gt;$U65,"Quá hạn",IF(ROUND((N($X65)-$W65)*100,0)&gt;=20,"Chậm tiến độ",IF($U65-TDBC&lt;=1,"Sắp đến hạn","Đúng tiến độ"))))))</f>
      </c>
      <c r="Z65" s="223">
        <f>IF(OR($A65="",$V65="Đã xử lý",N($U65)=0),"",IF(TDBC&gt;$U65,"Quá "&amp;IF(((TDBC-$U65)*24)&lt;1,MAX(1,ROUND(((TDBC-$U65)*24)*60,0))&amp;" phút",IF(ROUND(((TDBC-$U65)*24),0)&lt;24,ROUND(((TDBC-$U65)*24),0)&amp;" giờ",INT(ROUND(((TDBC-$U65)*24),0)/24)&amp;" ngày"&amp;IF(MOD(ROUND(((TDBC-$U65)*24),0),24)&gt;0," "&amp;MOD(ROUND(((TDBC-$U65)*24),0),24)&amp;" giờ",""))),"Còn "&amp;IF((($U65-TDBC)*24)&lt;1,MAX(1,ROUND((($U65-TDBC)*24)*60,0))&amp;" phút",IF(ROUND((($U65-TDBC)*24),0)&lt;24,ROUND((($U65-TDBC)*24),0)&amp;" giờ",INT(ROUND((($U65-TDBC)*24),0)/24)&amp;" ngày"&amp;IF(MOD(ROUND((($U65-TDBC)*24),0),24)&gt;0," "&amp;MOD(ROUND((($U65-TDBC)*24),0),24)&amp;" giờ","")))))</f>
      </c>
      <c r="AA65" s="220">
        <f>IF($V65="Đã xử lý",_xlfn.MAXIFS('Nhật ký tiến độ'!$B$6:$B$3005,'Nhật ký tiến độ'!$C$6:$C$3005,$A65,'Nhật ký tiến độ'!$E$6:$E$3005,"Đã xử lý"),"")</f>
      </c>
      <c r="AB65" s="223">
        <f>IF($AI65="","",IF($AI65&lt;1,MAX(1,ROUND($AI65*60,0))&amp;" phút",IF(ROUND($AI65,0)&lt;24,ROUND($AI65,0)&amp;" giờ",INT(ROUND($AI65,0)/24)&amp;" ngày"&amp;IF(MOD(ROUND($AI65,0),24)&gt;0," "&amp;MOD(ROUND($AI65,0),24)&amp;" giờ",""))))</f>
      </c>
      <c r="AC65" s="223">
        <f>IF(OR($A65="",N($AH65)=0),"",IF($AI65&lt;&gt;"",IF($AI65&lt;=$AH65,"Trong ước tính","Vượt "&amp;IF(($AI65-$AH65)&lt;1,MAX(1,ROUND(($AI65-$AH65)*60,0))&amp;" phút",IF(ROUND(($AI65-$AH65),0)&lt;24,ROUND(($AI65-$AH65),0)&amp;" giờ",INT(ROUND(($AI65-$AH65),0)/24)&amp;" ngày"&amp;IF(MOD(ROUND(($AI65-$AH65),0),24)&gt;0," "&amp;MOD(ROUND(($AI65-$AH65),0),24)&amp;" giờ","")))),IF(OR($V65="Đã xử lý",N($B65)=0),"",IF((TDBC-$B65)*24&gt;$AH65,"Đã vượt ước tính","Đã dùng "&amp;TEXT((TDBC-$B65)*24/$AH65,"0%")))))</f>
      </c>
      <c r="AD65" s="223">
        <f>IF(N($AO65)=0,"",CHOOSE($AO65,"Nhắc nhở","Cảnh báo","Báo động","Báo động đỏ"))</f>
      </c>
      <c r="AE65" s="223">
        <f>IF(OR(N($AA65)=0,N($U65)=0),"",IF($AA65&lt;=$U65,"Đúng hạn","Trễ hạn"))</f>
      </c>
      <c r="AF65" s="220">
        <f>IF($A65="","",_xlfn.MAXIFS('Nhật ký tiến độ'!$B$6:$B$3005,'Nhật ký tiến độ'!$C$6:$C$3005,$A65))</f>
      </c>
      <c r="AG65" s="223">
        <f>IF($A65="","",IF(COUNTIF('Kế hoạch'!$M$6:$M$305,$A65)=0,"",COUNTIF('Kế hoạch'!$M$6:$M$305,$A65)&amp;" việc"))</f>
      </c>
      <c r="AH65" s="224">
        <f>IF(OR($A65="",N($O65)&lt;=0),"",IF($P65="Giờ",$O65,$O65*24))</f>
      </c>
      <c r="AI65" s="224">
        <f>IF(OR(N($AA65)=0,N($B65)=0),"",IF($AA65&lt;$B65,"",($AA65-$B65)*24))</f>
      </c>
      <c r="AJ65" s="225">
        <f>IF($A65="","",IF(COUNTIF('Nhật ký tiến độ'!$C$6:$C$3005,$A65)=0,0,_xlfn.MAXIFS('Nhật ký tiến độ'!$N$6:$N$3005,'Nhật ký tiến độ'!$C$6:$C$3005,$A65,'Nhật ký tiến độ'!$B$6:$B$3005,_xlfn.MAXIFS('Nhật ký tiến độ'!$B$6:$B$3005,'Nhật ký tiến độ'!$C$6:$C$3005,$A65))))</f>
      </c>
      <c r="AK65" s="225">
        <f>IF(OR($A65="",$V65="Đã xử lý"),"",IF(N($AO65)&gt;0,5-$AO65,IF($J65="Khẩn cấp",5,IF($Y65="Chậm tiến độ",6,IF(OR($Y65="Sắp đến hạn",$J65="Cao"),7,"")))))</f>
      </c>
      <c r="AL65" s="225">
        <f>IF($AK65="","",$AK65*100000+IF(N($U65)=0,99999,INT($U65))+ROW()/100000)</f>
      </c>
      <c r="AM65" s="225">
        <f>IF(OR($A65="",TRIM($K65)="",COUNTIF($K$6:$K65,$K65)&gt;1),0,1)</f>
      </c>
      <c r="AN65" s="225">
        <f>IF($AM65=1,SUM($AM$6:$AM65),"")</f>
      </c>
      <c r="AO65" s="225">
        <f>IF(OR($A65="",$V65="Đã xử lý",N($U65)=0),0,IF(TDBC&lt;=$U65,0,MAX(1,MIN(4,IF((TDBC-$U65)*24&lt;24,1,IF((TDBC-$U65)*24&lt;72,2,IF((TDBC-$U65)*24&lt;168,3,4)))+IFERROR(INDEX({2,1,0,-1},MATCH($J65,{"Khẩn cấp","Cao","Trung bình","Thấp"},0)),0)))))</f>
      </c>
    </row>
    <row r="66">
      <c r="A66" s="216"/>
      <c r="B66" s="217"/>
      <c r="C66" s="218"/>
      <c r="D66" s="218"/>
      <c r="E66" s="218"/>
      <c r="F66" s="218"/>
      <c r="G66" s="216"/>
      <c r="H66" s="218"/>
      <c r="I66" s="218"/>
      <c r="J66" s="216"/>
      <c r="K66" s="218"/>
      <c r="L66" s="218"/>
      <c r="M66" s="218"/>
      <c r="N66" s="218"/>
      <c r="O66" s="219"/>
      <c r="P66" s="216"/>
      <c r="Q66" s="217"/>
      <c r="R66" s="216"/>
      <c r="S66" s="218"/>
      <c r="T66" s="218"/>
      <c r="U66" s="220">
        <f>IF($A66="","",IF(N($Q66)&gt;0,IF(MOD($Q66,1)=0,$Q66+1-1/1440,$Q66),IF(N($B66)=0,"",$B66+IF(N($AH66)&gt;0,$AH66,IFERROR(INDEX(DM_SLA_Gio,MATCH($J66,DM_SLA_Cap,0)),168))/24)))</f>
      </c>
      <c r="V66" s="221">
        <f>IF($A66="","",IF(N($AJ66)=0,"Mới tiếp nhận",INDEX('Nhật ký tiến độ'!$E:$E,$AJ66)))</f>
      </c>
      <c r="W66" s="222">
        <f>IF($A66="","",IF($V66="Đã xử lý",1,IF(N($AJ66)=0,0,N(INDEX('Nhật ký tiến độ'!$D:$D,$AJ66)))))</f>
      </c>
      <c r="X66" s="222">
        <f>IF(OR($A66="",$V66="Đã xử lý",N($U66)=0,N($B66)=0),"",IF(TDBC&lt;=$B66,0,IF(TDBC&gt;=$U66,1,(TDBC-$B66)/($U66-$B66))))</f>
      </c>
      <c r="Y66" s="223">
        <f>IF($A66="","",IF($V66="Đã xử lý","Hoàn thành",IF(N($U66)=0,"Chưa đặt hạn",IF(TDBC&gt;$U66,"Quá hạn",IF(ROUND((N($X66)-$W66)*100,0)&gt;=20,"Chậm tiến độ",IF($U66-TDBC&lt;=1,"Sắp đến hạn","Đúng tiến độ"))))))</f>
      </c>
      <c r="Z66" s="223">
        <f>IF(OR($A66="",$V66="Đã xử lý",N($U66)=0),"",IF(TDBC&gt;$U66,"Quá "&amp;IF(((TDBC-$U66)*24)&lt;1,MAX(1,ROUND(((TDBC-$U66)*24)*60,0))&amp;" phút",IF(ROUND(((TDBC-$U66)*24),0)&lt;24,ROUND(((TDBC-$U66)*24),0)&amp;" giờ",INT(ROUND(((TDBC-$U66)*24),0)/24)&amp;" ngày"&amp;IF(MOD(ROUND(((TDBC-$U66)*24),0),24)&gt;0," "&amp;MOD(ROUND(((TDBC-$U66)*24),0),24)&amp;" giờ",""))),"Còn "&amp;IF((($U66-TDBC)*24)&lt;1,MAX(1,ROUND((($U66-TDBC)*24)*60,0))&amp;" phút",IF(ROUND((($U66-TDBC)*24),0)&lt;24,ROUND((($U66-TDBC)*24),0)&amp;" giờ",INT(ROUND((($U66-TDBC)*24),0)/24)&amp;" ngày"&amp;IF(MOD(ROUND((($U66-TDBC)*24),0),24)&gt;0," "&amp;MOD(ROUND((($U66-TDBC)*24),0),24)&amp;" giờ","")))))</f>
      </c>
      <c r="AA66" s="220">
        <f>IF($V66="Đã xử lý",_xlfn.MAXIFS('Nhật ký tiến độ'!$B$6:$B$3005,'Nhật ký tiến độ'!$C$6:$C$3005,$A66,'Nhật ký tiến độ'!$E$6:$E$3005,"Đã xử lý"),"")</f>
      </c>
      <c r="AB66" s="223">
        <f>IF($AI66="","",IF($AI66&lt;1,MAX(1,ROUND($AI66*60,0))&amp;" phút",IF(ROUND($AI66,0)&lt;24,ROUND($AI66,0)&amp;" giờ",INT(ROUND($AI66,0)/24)&amp;" ngày"&amp;IF(MOD(ROUND($AI66,0),24)&gt;0," "&amp;MOD(ROUND($AI66,0),24)&amp;" giờ",""))))</f>
      </c>
      <c r="AC66" s="223">
        <f>IF(OR($A66="",N($AH66)=0),"",IF($AI66&lt;&gt;"",IF($AI66&lt;=$AH66,"Trong ước tính","Vượt "&amp;IF(($AI66-$AH66)&lt;1,MAX(1,ROUND(($AI66-$AH66)*60,0))&amp;" phút",IF(ROUND(($AI66-$AH66),0)&lt;24,ROUND(($AI66-$AH66),0)&amp;" giờ",INT(ROUND(($AI66-$AH66),0)/24)&amp;" ngày"&amp;IF(MOD(ROUND(($AI66-$AH66),0),24)&gt;0," "&amp;MOD(ROUND(($AI66-$AH66),0),24)&amp;" giờ","")))),IF(OR($V66="Đã xử lý",N($B66)=0),"",IF((TDBC-$B66)*24&gt;$AH66,"Đã vượt ước tính","Đã dùng "&amp;TEXT((TDBC-$B66)*24/$AH66,"0%")))))</f>
      </c>
      <c r="AD66" s="223">
        <f>IF(N($AO66)=0,"",CHOOSE($AO66,"Nhắc nhở","Cảnh báo","Báo động","Báo động đỏ"))</f>
      </c>
      <c r="AE66" s="223">
        <f>IF(OR(N($AA66)=0,N($U66)=0),"",IF($AA66&lt;=$U66,"Đúng hạn","Trễ hạn"))</f>
      </c>
      <c r="AF66" s="220">
        <f>IF($A66="","",_xlfn.MAXIFS('Nhật ký tiến độ'!$B$6:$B$3005,'Nhật ký tiến độ'!$C$6:$C$3005,$A66))</f>
      </c>
      <c r="AG66" s="223">
        <f>IF($A66="","",IF(COUNTIF('Kế hoạch'!$M$6:$M$305,$A66)=0,"",COUNTIF('Kế hoạch'!$M$6:$M$305,$A66)&amp;" việc"))</f>
      </c>
      <c r="AH66" s="224">
        <f>IF(OR($A66="",N($O66)&lt;=0),"",IF($P66="Giờ",$O66,$O66*24))</f>
      </c>
      <c r="AI66" s="224">
        <f>IF(OR(N($AA66)=0,N($B66)=0),"",IF($AA66&lt;$B66,"",($AA66-$B66)*24))</f>
      </c>
      <c r="AJ66" s="225">
        <f>IF($A66="","",IF(COUNTIF('Nhật ký tiến độ'!$C$6:$C$3005,$A66)=0,0,_xlfn.MAXIFS('Nhật ký tiến độ'!$N$6:$N$3005,'Nhật ký tiến độ'!$C$6:$C$3005,$A66,'Nhật ký tiến độ'!$B$6:$B$3005,_xlfn.MAXIFS('Nhật ký tiến độ'!$B$6:$B$3005,'Nhật ký tiến độ'!$C$6:$C$3005,$A66))))</f>
      </c>
      <c r="AK66" s="225">
        <f>IF(OR($A66="",$V66="Đã xử lý"),"",IF(N($AO66)&gt;0,5-$AO66,IF($J66="Khẩn cấp",5,IF($Y66="Chậm tiến độ",6,IF(OR($Y66="Sắp đến hạn",$J66="Cao"),7,"")))))</f>
      </c>
      <c r="AL66" s="225">
        <f>IF($AK66="","",$AK66*100000+IF(N($U66)=0,99999,INT($U66))+ROW()/100000)</f>
      </c>
      <c r="AM66" s="225">
        <f>IF(OR($A66="",TRIM($K66)="",COUNTIF($K$6:$K66,$K66)&gt;1),0,1)</f>
      </c>
      <c r="AN66" s="225">
        <f>IF($AM66=1,SUM($AM$6:$AM66),"")</f>
      </c>
      <c r="AO66" s="225">
        <f>IF(OR($A66="",$V66="Đã xử lý",N($U66)=0),0,IF(TDBC&lt;=$U66,0,MAX(1,MIN(4,IF((TDBC-$U66)*24&lt;24,1,IF((TDBC-$U66)*24&lt;72,2,IF((TDBC-$U66)*24&lt;168,3,4)))+IFERROR(INDEX({2,1,0,-1},MATCH($J66,{"Khẩn cấp","Cao","Trung bình","Thấp"},0)),0)))))</f>
      </c>
    </row>
    <row r="67">
      <c r="A67" s="216"/>
      <c r="B67" s="217"/>
      <c r="C67" s="218"/>
      <c r="D67" s="218"/>
      <c r="E67" s="218"/>
      <c r="F67" s="218"/>
      <c r="G67" s="216"/>
      <c r="H67" s="218"/>
      <c r="I67" s="218"/>
      <c r="J67" s="216"/>
      <c r="K67" s="218"/>
      <c r="L67" s="218"/>
      <c r="M67" s="218"/>
      <c r="N67" s="218"/>
      <c r="O67" s="219"/>
      <c r="P67" s="216"/>
      <c r="Q67" s="217"/>
      <c r="R67" s="216"/>
      <c r="S67" s="218"/>
      <c r="T67" s="218"/>
      <c r="U67" s="220">
        <f>IF($A67="","",IF(N($Q67)&gt;0,IF(MOD($Q67,1)=0,$Q67+1-1/1440,$Q67),IF(N($B67)=0,"",$B67+IF(N($AH67)&gt;0,$AH67,IFERROR(INDEX(DM_SLA_Gio,MATCH($J67,DM_SLA_Cap,0)),168))/24)))</f>
      </c>
      <c r="V67" s="221">
        <f>IF($A67="","",IF(N($AJ67)=0,"Mới tiếp nhận",INDEX('Nhật ký tiến độ'!$E:$E,$AJ67)))</f>
      </c>
      <c r="W67" s="222">
        <f>IF($A67="","",IF($V67="Đã xử lý",1,IF(N($AJ67)=0,0,N(INDEX('Nhật ký tiến độ'!$D:$D,$AJ67)))))</f>
      </c>
      <c r="X67" s="222">
        <f>IF(OR($A67="",$V67="Đã xử lý",N($U67)=0,N($B67)=0),"",IF(TDBC&lt;=$B67,0,IF(TDBC&gt;=$U67,1,(TDBC-$B67)/($U67-$B67))))</f>
      </c>
      <c r="Y67" s="223">
        <f>IF($A67="","",IF($V67="Đã xử lý","Hoàn thành",IF(N($U67)=0,"Chưa đặt hạn",IF(TDBC&gt;$U67,"Quá hạn",IF(ROUND((N($X67)-$W67)*100,0)&gt;=20,"Chậm tiến độ",IF($U67-TDBC&lt;=1,"Sắp đến hạn","Đúng tiến độ"))))))</f>
      </c>
      <c r="Z67" s="223">
        <f>IF(OR($A67="",$V67="Đã xử lý",N($U67)=0),"",IF(TDBC&gt;$U67,"Quá "&amp;IF(((TDBC-$U67)*24)&lt;1,MAX(1,ROUND(((TDBC-$U67)*24)*60,0))&amp;" phút",IF(ROUND(((TDBC-$U67)*24),0)&lt;24,ROUND(((TDBC-$U67)*24),0)&amp;" giờ",INT(ROUND(((TDBC-$U67)*24),0)/24)&amp;" ngày"&amp;IF(MOD(ROUND(((TDBC-$U67)*24),0),24)&gt;0," "&amp;MOD(ROUND(((TDBC-$U67)*24),0),24)&amp;" giờ",""))),"Còn "&amp;IF((($U67-TDBC)*24)&lt;1,MAX(1,ROUND((($U67-TDBC)*24)*60,0))&amp;" phút",IF(ROUND((($U67-TDBC)*24),0)&lt;24,ROUND((($U67-TDBC)*24),0)&amp;" giờ",INT(ROUND((($U67-TDBC)*24),0)/24)&amp;" ngày"&amp;IF(MOD(ROUND((($U67-TDBC)*24),0),24)&gt;0," "&amp;MOD(ROUND((($U67-TDBC)*24),0),24)&amp;" giờ","")))))</f>
      </c>
      <c r="AA67" s="220">
        <f>IF($V67="Đã xử lý",_xlfn.MAXIFS('Nhật ký tiến độ'!$B$6:$B$3005,'Nhật ký tiến độ'!$C$6:$C$3005,$A67,'Nhật ký tiến độ'!$E$6:$E$3005,"Đã xử lý"),"")</f>
      </c>
      <c r="AB67" s="223">
        <f>IF($AI67="","",IF($AI67&lt;1,MAX(1,ROUND($AI67*60,0))&amp;" phút",IF(ROUND($AI67,0)&lt;24,ROUND($AI67,0)&amp;" giờ",INT(ROUND($AI67,0)/24)&amp;" ngày"&amp;IF(MOD(ROUND($AI67,0),24)&gt;0," "&amp;MOD(ROUND($AI67,0),24)&amp;" giờ",""))))</f>
      </c>
      <c r="AC67" s="223">
        <f>IF(OR($A67="",N($AH67)=0),"",IF($AI67&lt;&gt;"",IF($AI67&lt;=$AH67,"Trong ước tính","Vượt "&amp;IF(($AI67-$AH67)&lt;1,MAX(1,ROUND(($AI67-$AH67)*60,0))&amp;" phút",IF(ROUND(($AI67-$AH67),0)&lt;24,ROUND(($AI67-$AH67),0)&amp;" giờ",INT(ROUND(($AI67-$AH67),0)/24)&amp;" ngày"&amp;IF(MOD(ROUND(($AI67-$AH67),0),24)&gt;0," "&amp;MOD(ROUND(($AI67-$AH67),0),24)&amp;" giờ","")))),IF(OR($V67="Đã xử lý",N($B67)=0),"",IF((TDBC-$B67)*24&gt;$AH67,"Đã vượt ước tính","Đã dùng "&amp;TEXT((TDBC-$B67)*24/$AH67,"0%")))))</f>
      </c>
      <c r="AD67" s="223">
        <f>IF(N($AO67)=0,"",CHOOSE($AO67,"Nhắc nhở","Cảnh báo","Báo động","Báo động đỏ"))</f>
      </c>
      <c r="AE67" s="223">
        <f>IF(OR(N($AA67)=0,N($U67)=0),"",IF($AA67&lt;=$U67,"Đúng hạn","Trễ hạn"))</f>
      </c>
      <c r="AF67" s="220">
        <f>IF($A67="","",_xlfn.MAXIFS('Nhật ký tiến độ'!$B$6:$B$3005,'Nhật ký tiến độ'!$C$6:$C$3005,$A67))</f>
      </c>
      <c r="AG67" s="223">
        <f>IF($A67="","",IF(COUNTIF('Kế hoạch'!$M$6:$M$305,$A67)=0,"",COUNTIF('Kế hoạch'!$M$6:$M$305,$A67)&amp;" việc"))</f>
      </c>
      <c r="AH67" s="224">
        <f>IF(OR($A67="",N($O67)&lt;=0),"",IF($P67="Giờ",$O67,$O67*24))</f>
      </c>
      <c r="AI67" s="224">
        <f>IF(OR(N($AA67)=0,N($B67)=0),"",IF($AA67&lt;$B67,"",($AA67-$B67)*24))</f>
      </c>
      <c r="AJ67" s="225">
        <f>IF($A67="","",IF(COUNTIF('Nhật ký tiến độ'!$C$6:$C$3005,$A67)=0,0,_xlfn.MAXIFS('Nhật ký tiến độ'!$N$6:$N$3005,'Nhật ký tiến độ'!$C$6:$C$3005,$A67,'Nhật ký tiến độ'!$B$6:$B$3005,_xlfn.MAXIFS('Nhật ký tiến độ'!$B$6:$B$3005,'Nhật ký tiến độ'!$C$6:$C$3005,$A67))))</f>
      </c>
      <c r="AK67" s="225">
        <f>IF(OR($A67="",$V67="Đã xử lý"),"",IF(N($AO67)&gt;0,5-$AO67,IF($J67="Khẩn cấp",5,IF($Y67="Chậm tiến độ",6,IF(OR($Y67="Sắp đến hạn",$J67="Cao"),7,"")))))</f>
      </c>
      <c r="AL67" s="225">
        <f>IF($AK67="","",$AK67*100000+IF(N($U67)=0,99999,INT($U67))+ROW()/100000)</f>
      </c>
      <c r="AM67" s="225">
        <f>IF(OR($A67="",TRIM($K67)="",COUNTIF($K$6:$K67,$K67)&gt;1),0,1)</f>
      </c>
      <c r="AN67" s="225">
        <f>IF($AM67=1,SUM($AM$6:$AM67),"")</f>
      </c>
      <c r="AO67" s="225">
        <f>IF(OR($A67="",$V67="Đã xử lý",N($U67)=0),0,IF(TDBC&lt;=$U67,0,MAX(1,MIN(4,IF((TDBC-$U67)*24&lt;24,1,IF((TDBC-$U67)*24&lt;72,2,IF((TDBC-$U67)*24&lt;168,3,4)))+IFERROR(INDEX({2,1,0,-1},MATCH($J67,{"Khẩn cấp","Cao","Trung bình","Thấp"},0)),0)))))</f>
      </c>
    </row>
    <row r="68">
      <c r="A68" s="216"/>
      <c r="B68" s="217"/>
      <c r="C68" s="218"/>
      <c r="D68" s="218"/>
      <c r="E68" s="218"/>
      <c r="F68" s="218"/>
      <c r="G68" s="216"/>
      <c r="H68" s="218"/>
      <c r="I68" s="218"/>
      <c r="J68" s="216"/>
      <c r="K68" s="218"/>
      <c r="L68" s="218"/>
      <c r="M68" s="218"/>
      <c r="N68" s="218"/>
      <c r="O68" s="219"/>
      <c r="P68" s="216"/>
      <c r="Q68" s="217"/>
      <c r="R68" s="216"/>
      <c r="S68" s="218"/>
      <c r="T68" s="218"/>
      <c r="U68" s="220">
        <f>IF($A68="","",IF(N($Q68)&gt;0,IF(MOD($Q68,1)=0,$Q68+1-1/1440,$Q68),IF(N($B68)=0,"",$B68+IF(N($AH68)&gt;0,$AH68,IFERROR(INDEX(DM_SLA_Gio,MATCH($J68,DM_SLA_Cap,0)),168))/24)))</f>
      </c>
      <c r="V68" s="221">
        <f>IF($A68="","",IF(N($AJ68)=0,"Mới tiếp nhận",INDEX('Nhật ký tiến độ'!$E:$E,$AJ68)))</f>
      </c>
      <c r="W68" s="222">
        <f>IF($A68="","",IF($V68="Đã xử lý",1,IF(N($AJ68)=0,0,N(INDEX('Nhật ký tiến độ'!$D:$D,$AJ68)))))</f>
      </c>
      <c r="X68" s="222">
        <f>IF(OR($A68="",$V68="Đã xử lý",N($U68)=0,N($B68)=0),"",IF(TDBC&lt;=$B68,0,IF(TDBC&gt;=$U68,1,(TDBC-$B68)/($U68-$B68))))</f>
      </c>
      <c r="Y68" s="223">
        <f>IF($A68="","",IF($V68="Đã xử lý","Hoàn thành",IF(N($U68)=0,"Chưa đặt hạn",IF(TDBC&gt;$U68,"Quá hạn",IF(ROUND((N($X68)-$W68)*100,0)&gt;=20,"Chậm tiến độ",IF($U68-TDBC&lt;=1,"Sắp đến hạn","Đúng tiến độ"))))))</f>
      </c>
      <c r="Z68" s="223">
        <f>IF(OR($A68="",$V68="Đã xử lý",N($U68)=0),"",IF(TDBC&gt;$U68,"Quá "&amp;IF(((TDBC-$U68)*24)&lt;1,MAX(1,ROUND(((TDBC-$U68)*24)*60,0))&amp;" phút",IF(ROUND(((TDBC-$U68)*24),0)&lt;24,ROUND(((TDBC-$U68)*24),0)&amp;" giờ",INT(ROUND(((TDBC-$U68)*24),0)/24)&amp;" ngày"&amp;IF(MOD(ROUND(((TDBC-$U68)*24),0),24)&gt;0," "&amp;MOD(ROUND(((TDBC-$U68)*24),0),24)&amp;" giờ",""))),"Còn "&amp;IF((($U68-TDBC)*24)&lt;1,MAX(1,ROUND((($U68-TDBC)*24)*60,0))&amp;" phút",IF(ROUND((($U68-TDBC)*24),0)&lt;24,ROUND((($U68-TDBC)*24),0)&amp;" giờ",INT(ROUND((($U68-TDBC)*24),0)/24)&amp;" ngày"&amp;IF(MOD(ROUND((($U68-TDBC)*24),0),24)&gt;0," "&amp;MOD(ROUND((($U68-TDBC)*24),0),24)&amp;" giờ","")))))</f>
      </c>
      <c r="AA68" s="220">
        <f>IF($V68="Đã xử lý",_xlfn.MAXIFS('Nhật ký tiến độ'!$B$6:$B$3005,'Nhật ký tiến độ'!$C$6:$C$3005,$A68,'Nhật ký tiến độ'!$E$6:$E$3005,"Đã xử lý"),"")</f>
      </c>
      <c r="AB68" s="223">
        <f>IF($AI68="","",IF($AI68&lt;1,MAX(1,ROUND($AI68*60,0))&amp;" phút",IF(ROUND($AI68,0)&lt;24,ROUND($AI68,0)&amp;" giờ",INT(ROUND($AI68,0)/24)&amp;" ngày"&amp;IF(MOD(ROUND($AI68,0),24)&gt;0," "&amp;MOD(ROUND($AI68,0),24)&amp;" giờ",""))))</f>
      </c>
      <c r="AC68" s="223">
        <f>IF(OR($A68="",N($AH68)=0),"",IF($AI68&lt;&gt;"",IF($AI68&lt;=$AH68,"Trong ước tính","Vượt "&amp;IF(($AI68-$AH68)&lt;1,MAX(1,ROUND(($AI68-$AH68)*60,0))&amp;" phút",IF(ROUND(($AI68-$AH68),0)&lt;24,ROUND(($AI68-$AH68),0)&amp;" giờ",INT(ROUND(($AI68-$AH68),0)/24)&amp;" ngày"&amp;IF(MOD(ROUND(($AI68-$AH68),0),24)&gt;0," "&amp;MOD(ROUND(($AI68-$AH68),0),24)&amp;" giờ","")))),IF(OR($V68="Đã xử lý",N($B68)=0),"",IF((TDBC-$B68)*24&gt;$AH68,"Đã vượt ước tính","Đã dùng "&amp;TEXT((TDBC-$B68)*24/$AH68,"0%")))))</f>
      </c>
      <c r="AD68" s="223">
        <f>IF(N($AO68)=0,"",CHOOSE($AO68,"Nhắc nhở","Cảnh báo","Báo động","Báo động đỏ"))</f>
      </c>
      <c r="AE68" s="223">
        <f>IF(OR(N($AA68)=0,N($U68)=0),"",IF($AA68&lt;=$U68,"Đúng hạn","Trễ hạn"))</f>
      </c>
      <c r="AF68" s="220">
        <f>IF($A68="","",_xlfn.MAXIFS('Nhật ký tiến độ'!$B$6:$B$3005,'Nhật ký tiến độ'!$C$6:$C$3005,$A68))</f>
      </c>
      <c r="AG68" s="223">
        <f>IF($A68="","",IF(COUNTIF('Kế hoạch'!$M$6:$M$305,$A68)=0,"",COUNTIF('Kế hoạch'!$M$6:$M$305,$A68)&amp;" việc"))</f>
      </c>
      <c r="AH68" s="224">
        <f>IF(OR($A68="",N($O68)&lt;=0),"",IF($P68="Giờ",$O68,$O68*24))</f>
      </c>
      <c r="AI68" s="224">
        <f>IF(OR(N($AA68)=0,N($B68)=0),"",IF($AA68&lt;$B68,"",($AA68-$B68)*24))</f>
      </c>
      <c r="AJ68" s="225">
        <f>IF($A68="","",IF(COUNTIF('Nhật ký tiến độ'!$C$6:$C$3005,$A68)=0,0,_xlfn.MAXIFS('Nhật ký tiến độ'!$N$6:$N$3005,'Nhật ký tiến độ'!$C$6:$C$3005,$A68,'Nhật ký tiến độ'!$B$6:$B$3005,_xlfn.MAXIFS('Nhật ký tiến độ'!$B$6:$B$3005,'Nhật ký tiến độ'!$C$6:$C$3005,$A68))))</f>
      </c>
      <c r="AK68" s="225">
        <f>IF(OR($A68="",$V68="Đã xử lý"),"",IF(N($AO68)&gt;0,5-$AO68,IF($J68="Khẩn cấp",5,IF($Y68="Chậm tiến độ",6,IF(OR($Y68="Sắp đến hạn",$J68="Cao"),7,"")))))</f>
      </c>
      <c r="AL68" s="225">
        <f>IF($AK68="","",$AK68*100000+IF(N($U68)=0,99999,INT($U68))+ROW()/100000)</f>
      </c>
      <c r="AM68" s="225">
        <f>IF(OR($A68="",TRIM($K68)="",COUNTIF($K$6:$K68,$K68)&gt;1),0,1)</f>
      </c>
      <c r="AN68" s="225">
        <f>IF($AM68=1,SUM($AM$6:$AM68),"")</f>
      </c>
      <c r="AO68" s="225">
        <f>IF(OR($A68="",$V68="Đã xử lý",N($U68)=0),0,IF(TDBC&lt;=$U68,0,MAX(1,MIN(4,IF((TDBC-$U68)*24&lt;24,1,IF((TDBC-$U68)*24&lt;72,2,IF((TDBC-$U68)*24&lt;168,3,4)))+IFERROR(INDEX({2,1,0,-1},MATCH($J68,{"Khẩn cấp","Cao","Trung bình","Thấp"},0)),0)))))</f>
      </c>
    </row>
    <row r="69">
      <c r="A69" s="216"/>
      <c r="B69" s="217"/>
      <c r="C69" s="218"/>
      <c r="D69" s="218"/>
      <c r="E69" s="218"/>
      <c r="F69" s="218"/>
      <c r="G69" s="216"/>
      <c r="H69" s="218"/>
      <c r="I69" s="218"/>
      <c r="J69" s="216"/>
      <c r="K69" s="218"/>
      <c r="L69" s="218"/>
      <c r="M69" s="218"/>
      <c r="N69" s="218"/>
      <c r="O69" s="219"/>
      <c r="P69" s="216"/>
      <c r="Q69" s="217"/>
      <c r="R69" s="216"/>
      <c r="S69" s="218"/>
      <c r="T69" s="218"/>
      <c r="U69" s="220">
        <f>IF($A69="","",IF(N($Q69)&gt;0,IF(MOD($Q69,1)=0,$Q69+1-1/1440,$Q69),IF(N($B69)=0,"",$B69+IF(N($AH69)&gt;0,$AH69,IFERROR(INDEX(DM_SLA_Gio,MATCH($J69,DM_SLA_Cap,0)),168))/24)))</f>
      </c>
      <c r="V69" s="221">
        <f>IF($A69="","",IF(N($AJ69)=0,"Mới tiếp nhận",INDEX('Nhật ký tiến độ'!$E:$E,$AJ69)))</f>
      </c>
      <c r="W69" s="222">
        <f>IF($A69="","",IF($V69="Đã xử lý",1,IF(N($AJ69)=0,0,N(INDEX('Nhật ký tiến độ'!$D:$D,$AJ69)))))</f>
      </c>
      <c r="X69" s="222">
        <f>IF(OR($A69="",$V69="Đã xử lý",N($U69)=0,N($B69)=0),"",IF(TDBC&lt;=$B69,0,IF(TDBC&gt;=$U69,1,(TDBC-$B69)/($U69-$B69))))</f>
      </c>
      <c r="Y69" s="223">
        <f>IF($A69="","",IF($V69="Đã xử lý","Hoàn thành",IF(N($U69)=0,"Chưa đặt hạn",IF(TDBC&gt;$U69,"Quá hạn",IF(ROUND((N($X69)-$W69)*100,0)&gt;=20,"Chậm tiến độ",IF($U69-TDBC&lt;=1,"Sắp đến hạn","Đúng tiến độ"))))))</f>
      </c>
      <c r="Z69" s="223">
        <f>IF(OR($A69="",$V69="Đã xử lý",N($U69)=0),"",IF(TDBC&gt;$U69,"Quá "&amp;IF(((TDBC-$U69)*24)&lt;1,MAX(1,ROUND(((TDBC-$U69)*24)*60,0))&amp;" phút",IF(ROUND(((TDBC-$U69)*24),0)&lt;24,ROUND(((TDBC-$U69)*24),0)&amp;" giờ",INT(ROUND(((TDBC-$U69)*24),0)/24)&amp;" ngày"&amp;IF(MOD(ROUND(((TDBC-$U69)*24),0),24)&gt;0," "&amp;MOD(ROUND(((TDBC-$U69)*24),0),24)&amp;" giờ",""))),"Còn "&amp;IF((($U69-TDBC)*24)&lt;1,MAX(1,ROUND((($U69-TDBC)*24)*60,0))&amp;" phút",IF(ROUND((($U69-TDBC)*24),0)&lt;24,ROUND((($U69-TDBC)*24),0)&amp;" giờ",INT(ROUND((($U69-TDBC)*24),0)/24)&amp;" ngày"&amp;IF(MOD(ROUND((($U69-TDBC)*24),0),24)&gt;0," "&amp;MOD(ROUND((($U69-TDBC)*24),0),24)&amp;" giờ","")))))</f>
      </c>
      <c r="AA69" s="220">
        <f>IF($V69="Đã xử lý",_xlfn.MAXIFS('Nhật ký tiến độ'!$B$6:$B$3005,'Nhật ký tiến độ'!$C$6:$C$3005,$A69,'Nhật ký tiến độ'!$E$6:$E$3005,"Đã xử lý"),"")</f>
      </c>
      <c r="AB69" s="223">
        <f>IF($AI69="","",IF($AI69&lt;1,MAX(1,ROUND($AI69*60,0))&amp;" phút",IF(ROUND($AI69,0)&lt;24,ROUND($AI69,0)&amp;" giờ",INT(ROUND($AI69,0)/24)&amp;" ngày"&amp;IF(MOD(ROUND($AI69,0),24)&gt;0," "&amp;MOD(ROUND($AI69,0),24)&amp;" giờ",""))))</f>
      </c>
      <c r="AC69" s="223">
        <f>IF(OR($A69="",N($AH69)=0),"",IF($AI69&lt;&gt;"",IF($AI69&lt;=$AH69,"Trong ước tính","Vượt "&amp;IF(($AI69-$AH69)&lt;1,MAX(1,ROUND(($AI69-$AH69)*60,0))&amp;" phút",IF(ROUND(($AI69-$AH69),0)&lt;24,ROUND(($AI69-$AH69),0)&amp;" giờ",INT(ROUND(($AI69-$AH69),0)/24)&amp;" ngày"&amp;IF(MOD(ROUND(($AI69-$AH69),0),24)&gt;0," "&amp;MOD(ROUND(($AI69-$AH69),0),24)&amp;" giờ","")))),IF(OR($V69="Đã xử lý",N($B69)=0),"",IF((TDBC-$B69)*24&gt;$AH69,"Đã vượt ước tính","Đã dùng "&amp;TEXT((TDBC-$B69)*24/$AH69,"0%")))))</f>
      </c>
      <c r="AD69" s="223">
        <f>IF(N($AO69)=0,"",CHOOSE($AO69,"Nhắc nhở","Cảnh báo","Báo động","Báo động đỏ"))</f>
      </c>
      <c r="AE69" s="223">
        <f>IF(OR(N($AA69)=0,N($U69)=0),"",IF($AA69&lt;=$U69,"Đúng hạn","Trễ hạn"))</f>
      </c>
      <c r="AF69" s="220">
        <f>IF($A69="","",_xlfn.MAXIFS('Nhật ký tiến độ'!$B$6:$B$3005,'Nhật ký tiến độ'!$C$6:$C$3005,$A69))</f>
      </c>
      <c r="AG69" s="223">
        <f>IF($A69="","",IF(COUNTIF('Kế hoạch'!$M$6:$M$305,$A69)=0,"",COUNTIF('Kế hoạch'!$M$6:$M$305,$A69)&amp;" việc"))</f>
      </c>
      <c r="AH69" s="224">
        <f>IF(OR($A69="",N($O69)&lt;=0),"",IF($P69="Giờ",$O69,$O69*24))</f>
      </c>
      <c r="AI69" s="224">
        <f>IF(OR(N($AA69)=0,N($B69)=0),"",IF($AA69&lt;$B69,"",($AA69-$B69)*24))</f>
      </c>
      <c r="AJ69" s="225">
        <f>IF($A69="","",IF(COUNTIF('Nhật ký tiến độ'!$C$6:$C$3005,$A69)=0,0,_xlfn.MAXIFS('Nhật ký tiến độ'!$N$6:$N$3005,'Nhật ký tiến độ'!$C$6:$C$3005,$A69,'Nhật ký tiến độ'!$B$6:$B$3005,_xlfn.MAXIFS('Nhật ký tiến độ'!$B$6:$B$3005,'Nhật ký tiến độ'!$C$6:$C$3005,$A69))))</f>
      </c>
      <c r="AK69" s="225">
        <f>IF(OR($A69="",$V69="Đã xử lý"),"",IF(N($AO69)&gt;0,5-$AO69,IF($J69="Khẩn cấp",5,IF($Y69="Chậm tiến độ",6,IF(OR($Y69="Sắp đến hạn",$J69="Cao"),7,"")))))</f>
      </c>
      <c r="AL69" s="225">
        <f>IF($AK69="","",$AK69*100000+IF(N($U69)=0,99999,INT($U69))+ROW()/100000)</f>
      </c>
      <c r="AM69" s="225">
        <f>IF(OR($A69="",TRIM($K69)="",COUNTIF($K$6:$K69,$K69)&gt;1),0,1)</f>
      </c>
      <c r="AN69" s="225">
        <f>IF($AM69=1,SUM($AM$6:$AM69),"")</f>
      </c>
      <c r="AO69" s="225">
        <f>IF(OR($A69="",$V69="Đã xử lý",N($U69)=0),0,IF(TDBC&lt;=$U69,0,MAX(1,MIN(4,IF((TDBC-$U69)*24&lt;24,1,IF((TDBC-$U69)*24&lt;72,2,IF((TDBC-$U69)*24&lt;168,3,4)))+IFERROR(INDEX({2,1,0,-1},MATCH($J69,{"Khẩn cấp","Cao","Trung bình","Thấp"},0)),0)))))</f>
      </c>
    </row>
    <row r="70">
      <c r="A70" s="216"/>
      <c r="B70" s="217"/>
      <c r="C70" s="218"/>
      <c r="D70" s="218"/>
      <c r="E70" s="218"/>
      <c r="F70" s="218"/>
      <c r="G70" s="216"/>
      <c r="H70" s="218"/>
      <c r="I70" s="218"/>
      <c r="J70" s="216"/>
      <c r="K70" s="218"/>
      <c r="L70" s="218"/>
      <c r="M70" s="218"/>
      <c r="N70" s="218"/>
      <c r="O70" s="219"/>
      <c r="P70" s="216"/>
      <c r="Q70" s="217"/>
      <c r="R70" s="216"/>
      <c r="S70" s="218"/>
      <c r="T70" s="218"/>
      <c r="U70" s="220">
        <f>IF($A70="","",IF(N($Q70)&gt;0,IF(MOD($Q70,1)=0,$Q70+1-1/1440,$Q70),IF(N($B70)=0,"",$B70+IF(N($AH70)&gt;0,$AH70,IFERROR(INDEX(DM_SLA_Gio,MATCH($J70,DM_SLA_Cap,0)),168))/24)))</f>
      </c>
      <c r="V70" s="221">
        <f>IF($A70="","",IF(N($AJ70)=0,"Mới tiếp nhận",INDEX('Nhật ký tiến độ'!$E:$E,$AJ70)))</f>
      </c>
      <c r="W70" s="222">
        <f>IF($A70="","",IF($V70="Đã xử lý",1,IF(N($AJ70)=0,0,N(INDEX('Nhật ký tiến độ'!$D:$D,$AJ70)))))</f>
      </c>
      <c r="X70" s="222">
        <f>IF(OR($A70="",$V70="Đã xử lý",N($U70)=0,N($B70)=0),"",IF(TDBC&lt;=$B70,0,IF(TDBC&gt;=$U70,1,(TDBC-$B70)/($U70-$B70))))</f>
      </c>
      <c r="Y70" s="223">
        <f>IF($A70="","",IF($V70="Đã xử lý","Hoàn thành",IF(N($U70)=0,"Chưa đặt hạn",IF(TDBC&gt;$U70,"Quá hạn",IF(ROUND((N($X70)-$W70)*100,0)&gt;=20,"Chậm tiến độ",IF($U70-TDBC&lt;=1,"Sắp đến hạn","Đúng tiến độ"))))))</f>
      </c>
      <c r="Z70" s="223">
        <f>IF(OR($A70="",$V70="Đã xử lý",N($U70)=0),"",IF(TDBC&gt;$U70,"Quá "&amp;IF(((TDBC-$U70)*24)&lt;1,MAX(1,ROUND(((TDBC-$U70)*24)*60,0))&amp;" phút",IF(ROUND(((TDBC-$U70)*24),0)&lt;24,ROUND(((TDBC-$U70)*24),0)&amp;" giờ",INT(ROUND(((TDBC-$U70)*24),0)/24)&amp;" ngày"&amp;IF(MOD(ROUND(((TDBC-$U70)*24),0),24)&gt;0," "&amp;MOD(ROUND(((TDBC-$U70)*24),0),24)&amp;" giờ",""))),"Còn "&amp;IF((($U70-TDBC)*24)&lt;1,MAX(1,ROUND((($U70-TDBC)*24)*60,0))&amp;" phút",IF(ROUND((($U70-TDBC)*24),0)&lt;24,ROUND((($U70-TDBC)*24),0)&amp;" giờ",INT(ROUND((($U70-TDBC)*24),0)/24)&amp;" ngày"&amp;IF(MOD(ROUND((($U70-TDBC)*24),0),24)&gt;0," "&amp;MOD(ROUND((($U70-TDBC)*24),0),24)&amp;" giờ","")))))</f>
      </c>
      <c r="AA70" s="220">
        <f>IF($V70="Đã xử lý",_xlfn.MAXIFS('Nhật ký tiến độ'!$B$6:$B$3005,'Nhật ký tiến độ'!$C$6:$C$3005,$A70,'Nhật ký tiến độ'!$E$6:$E$3005,"Đã xử lý"),"")</f>
      </c>
      <c r="AB70" s="223">
        <f>IF($AI70="","",IF($AI70&lt;1,MAX(1,ROUND($AI70*60,0))&amp;" phút",IF(ROUND($AI70,0)&lt;24,ROUND($AI70,0)&amp;" giờ",INT(ROUND($AI70,0)/24)&amp;" ngày"&amp;IF(MOD(ROUND($AI70,0),24)&gt;0," "&amp;MOD(ROUND($AI70,0),24)&amp;" giờ",""))))</f>
      </c>
      <c r="AC70" s="223">
        <f>IF(OR($A70="",N($AH70)=0),"",IF($AI70&lt;&gt;"",IF($AI70&lt;=$AH70,"Trong ước tính","Vượt "&amp;IF(($AI70-$AH70)&lt;1,MAX(1,ROUND(($AI70-$AH70)*60,0))&amp;" phút",IF(ROUND(($AI70-$AH70),0)&lt;24,ROUND(($AI70-$AH70),0)&amp;" giờ",INT(ROUND(($AI70-$AH70),0)/24)&amp;" ngày"&amp;IF(MOD(ROUND(($AI70-$AH70),0),24)&gt;0," "&amp;MOD(ROUND(($AI70-$AH70),0),24)&amp;" giờ","")))),IF(OR($V70="Đã xử lý",N($B70)=0),"",IF((TDBC-$B70)*24&gt;$AH70,"Đã vượt ước tính","Đã dùng "&amp;TEXT((TDBC-$B70)*24/$AH70,"0%")))))</f>
      </c>
      <c r="AD70" s="223">
        <f>IF(N($AO70)=0,"",CHOOSE($AO70,"Nhắc nhở","Cảnh báo","Báo động","Báo động đỏ"))</f>
      </c>
      <c r="AE70" s="223">
        <f>IF(OR(N($AA70)=0,N($U70)=0),"",IF($AA70&lt;=$U70,"Đúng hạn","Trễ hạn"))</f>
      </c>
      <c r="AF70" s="220">
        <f>IF($A70="","",_xlfn.MAXIFS('Nhật ký tiến độ'!$B$6:$B$3005,'Nhật ký tiến độ'!$C$6:$C$3005,$A70))</f>
      </c>
      <c r="AG70" s="223">
        <f>IF($A70="","",IF(COUNTIF('Kế hoạch'!$M$6:$M$305,$A70)=0,"",COUNTIF('Kế hoạch'!$M$6:$M$305,$A70)&amp;" việc"))</f>
      </c>
      <c r="AH70" s="224">
        <f>IF(OR($A70="",N($O70)&lt;=0),"",IF($P70="Giờ",$O70,$O70*24))</f>
      </c>
      <c r="AI70" s="224">
        <f>IF(OR(N($AA70)=0,N($B70)=0),"",IF($AA70&lt;$B70,"",($AA70-$B70)*24))</f>
      </c>
      <c r="AJ70" s="225">
        <f>IF($A70="","",IF(COUNTIF('Nhật ký tiến độ'!$C$6:$C$3005,$A70)=0,0,_xlfn.MAXIFS('Nhật ký tiến độ'!$N$6:$N$3005,'Nhật ký tiến độ'!$C$6:$C$3005,$A70,'Nhật ký tiến độ'!$B$6:$B$3005,_xlfn.MAXIFS('Nhật ký tiến độ'!$B$6:$B$3005,'Nhật ký tiến độ'!$C$6:$C$3005,$A70))))</f>
      </c>
      <c r="AK70" s="225">
        <f>IF(OR($A70="",$V70="Đã xử lý"),"",IF(N($AO70)&gt;0,5-$AO70,IF($J70="Khẩn cấp",5,IF($Y70="Chậm tiến độ",6,IF(OR($Y70="Sắp đến hạn",$J70="Cao"),7,"")))))</f>
      </c>
      <c r="AL70" s="225">
        <f>IF($AK70="","",$AK70*100000+IF(N($U70)=0,99999,INT($U70))+ROW()/100000)</f>
      </c>
      <c r="AM70" s="225">
        <f>IF(OR($A70="",TRIM($K70)="",COUNTIF($K$6:$K70,$K70)&gt;1),0,1)</f>
      </c>
      <c r="AN70" s="225">
        <f>IF($AM70=1,SUM($AM$6:$AM70),"")</f>
      </c>
      <c r="AO70" s="225">
        <f>IF(OR($A70="",$V70="Đã xử lý",N($U70)=0),0,IF(TDBC&lt;=$U70,0,MAX(1,MIN(4,IF((TDBC-$U70)*24&lt;24,1,IF((TDBC-$U70)*24&lt;72,2,IF((TDBC-$U70)*24&lt;168,3,4)))+IFERROR(INDEX({2,1,0,-1},MATCH($J70,{"Khẩn cấp","Cao","Trung bình","Thấp"},0)),0)))))</f>
      </c>
    </row>
    <row r="71">
      <c r="A71" s="216"/>
      <c r="B71" s="217"/>
      <c r="C71" s="218"/>
      <c r="D71" s="218"/>
      <c r="E71" s="218"/>
      <c r="F71" s="218"/>
      <c r="G71" s="216"/>
      <c r="H71" s="218"/>
      <c r="I71" s="218"/>
      <c r="J71" s="216"/>
      <c r="K71" s="218"/>
      <c r="L71" s="218"/>
      <c r="M71" s="218"/>
      <c r="N71" s="218"/>
      <c r="O71" s="219"/>
      <c r="P71" s="216"/>
      <c r="Q71" s="217"/>
      <c r="R71" s="216"/>
      <c r="S71" s="218"/>
      <c r="T71" s="218"/>
      <c r="U71" s="220">
        <f>IF($A71="","",IF(N($Q71)&gt;0,IF(MOD($Q71,1)=0,$Q71+1-1/1440,$Q71),IF(N($B71)=0,"",$B71+IF(N($AH71)&gt;0,$AH71,IFERROR(INDEX(DM_SLA_Gio,MATCH($J71,DM_SLA_Cap,0)),168))/24)))</f>
      </c>
      <c r="V71" s="221">
        <f>IF($A71="","",IF(N($AJ71)=0,"Mới tiếp nhận",INDEX('Nhật ký tiến độ'!$E:$E,$AJ71)))</f>
      </c>
      <c r="W71" s="222">
        <f>IF($A71="","",IF($V71="Đã xử lý",1,IF(N($AJ71)=0,0,N(INDEX('Nhật ký tiến độ'!$D:$D,$AJ71)))))</f>
      </c>
      <c r="X71" s="222">
        <f>IF(OR($A71="",$V71="Đã xử lý",N($U71)=0,N($B71)=0),"",IF(TDBC&lt;=$B71,0,IF(TDBC&gt;=$U71,1,(TDBC-$B71)/($U71-$B71))))</f>
      </c>
      <c r="Y71" s="223">
        <f>IF($A71="","",IF($V71="Đã xử lý","Hoàn thành",IF(N($U71)=0,"Chưa đặt hạn",IF(TDBC&gt;$U71,"Quá hạn",IF(ROUND((N($X71)-$W71)*100,0)&gt;=20,"Chậm tiến độ",IF($U71-TDBC&lt;=1,"Sắp đến hạn","Đúng tiến độ"))))))</f>
      </c>
      <c r="Z71" s="223">
        <f>IF(OR($A71="",$V71="Đã xử lý",N($U71)=0),"",IF(TDBC&gt;$U71,"Quá "&amp;IF(((TDBC-$U71)*24)&lt;1,MAX(1,ROUND(((TDBC-$U71)*24)*60,0))&amp;" phút",IF(ROUND(((TDBC-$U71)*24),0)&lt;24,ROUND(((TDBC-$U71)*24),0)&amp;" giờ",INT(ROUND(((TDBC-$U71)*24),0)/24)&amp;" ngày"&amp;IF(MOD(ROUND(((TDBC-$U71)*24),0),24)&gt;0," "&amp;MOD(ROUND(((TDBC-$U71)*24),0),24)&amp;" giờ",""))),"Còn "&amp;IF((($U71-TDBC)*24)&lt;1,MAX(1,ROUND((($U71-TDBC)*24)*60,0))&amp;" phút",IF(ROUND((($U71-TDBC)*24),0)&lt;24,ROUND((($U71-TDBC)*24),0)&amp;" giờ",INT(ROUND((($U71-TDBC)*24),0)/24)&amp;" ngày"&amp;IF(MOD(ROUND((($U71-TDBC)*24),0),24)&gt;0," "&amp;MOD(ROUND((($U71-TDBC)*24),0),24)&amp;" giờ","")))))</f>
      </c>
      <c r="AA71" s="220">
        <f>IF($V71="Đã xử lý",_xlfn.MAXIFS('Nhật ký tiến độ'!$B$6:$B$3005,'Nhật ký tiến độ'!$C$6:$C$3005,$A71,'Nhật ký tiến độ'!$E$6:$E$3005,"Đã xử lý"),"")</f>
      </c>
      <c r="AB71" s="223">
        <f>IF($AI71="","",IF($AI71&lt;1,MAX(1,ROUND($AI71*60,0))&amp;" phút",IF(ROUND($AI71,0)&lt;24,ROUND($AI71,0)&amp;" giờ",INT(ROUND($AI71,0)/24)&amp;" ngày"&amp;IF(MOD(ROUND($AI71,0),24)&gt;0," "&amp;MOD(ROUND($AI71,0),24)&amp;" giờ",""))))</f>
      </c>
      <c r="AC71" s="223">
        <f>IF(OR($A71="",N($AH71)=0),"",IF($AI71&lt;&gt;"",IF($AI71&lt;=$AH71,"Trong ước tính","Vượt "&amp;IF(($AI71-$AH71)&lt;1,MAX(1,ROUND(($AI71-$AH71)*60,0))&amp;" phút",IF(ROUND(($AI71-$AH71),0)&lt;24,ROUND(($AI71-$AH71),0)&amp;" giờ",INT(ROUND(($AI71-$AH71),0)/24)&amp;" ngày"&amp;IF(MOD(ROUND(($AI71-$AH71),0),24)&gt;0," "&amp;MOD(ROUND(($AI71-$AH71),0),24)&amp;" giờ","")))),IF(OR($V71="Đã xử lý",N($B71)=0),"",IF((TDBC-$B71)*24&gt;$AH71,"Đã vượt ước tính","Đã dùng "&amp;TEXT((TDBC-$B71)*24/$AH71,"0%")))))</f>
      </c>
      <c r="AD71" s="223">
        <f>IF(N($AO71)=0,"",CHOOSE($AO71,"Nhắc nhở","Cảnh báo","Báo động","Báo động đỏ"))</f>
      </c>
      <c r="AE71" s="223">
        <f>IF(OR(N($AA71)=0,N($U71)=0),"",IF($AA71&lt;=$U71,"Đúng hạn","Trễ hạn"))</f>
      </c>
      <c r="AF71" s="220">
        <f>IF($A71="","",_xlfn.MAXIFS('Nhật ký tiến độ'!$B$6:$B$3005,'Nhật ký tiến độ'!$C$6:$C$3005,$A71))</f>
      </c>
      <c r="AG71" s="223">
        <f>IF($A71="","",IF(COUNTIF('Kế hoạch'!$M$6:$M$305,$A71)=0,"",COUNTIF('Kế hoạch'!$M$6:$M$305,$A71)&amp;" việc"))</f>
      </c>
      <c r="AH71" s="224">
        <f>IF(OR($A71="",N($O71)&lt;=0),"",IF($P71="Giờ",$O71,$O71*24))</f>
      </c>
      <c r="AI71" s="224">
        <f>IF(OR(N($AA71)=0,N($B71)=0),"",IF($AA71&lt;$B71,"",($AA71-$B71)*24))</f>
      </c>
      <c r="AJ71" s="225">
        <f>IF($A71="","",IF(COUNTIF('Nhật ký tiến độ'!$C$6:$C$3005,$A71)=0,0,_xlfn.MAXIFS('Nhật ký tiến độ'!$N$6:$N$3005,'Nhật ký tiến độ'!$C$6:$C$3005,$A71,'Nhật ký tiến độ'!$B$6:$B$3005,_xlfn.MAXIFS('Nhật ký tiến độ'!$B$6:$B$3005,'Nhật ký tiến độ'!$C$6:$C$3005,$A71))))</f>
      </c>
      <c r="AK71" s="225">
        <f>IF(OR($A71="",$V71="Đã xử lý"),"",IF(N($AO71)&gt;0,5-$AO71,IF($J71="Khẩn cấp",5,IF($Y71="Chậm tiến độ",6,IF(OR($Y71="Sắp đến hạn",$J71="Cao"),7,"")))))</f>
      </c>
      <c r="AL71" s="225">
        <f>IF($AK71="","",$AK71*100000+IF(N($U71)=0,99999,INT($U71))+ROW()/100000)</f>
      </c>
      <c r="AM71" s="225">
        <f>IF(OR($A71="",TRIM($K71)="",COUNTIF($K$6:$K71,$K71)&gt;1),0,1)</f>
      </c>
      <c r="AN71" s="225">
        <f>IF($AM71=1,SUM($AM$6:$AM71),"")</f>
      </c>
      <c r="AO71" s="225">
        <f>IF(OR($A71="",$V71="Đã xử lý",N($U71)=0),0,IF(TDBC&lt;=$U71,0,MAX(1,MIN(4,IF((TDBC-$U71)*24&lt;24,1,IF((TDBC-$U71)*24&lt;72,2,IF((TDBC-$U71)*24&lt;168,3,4)))+IFERROR(INDEX({2,1,0,-1},MATCH($J71,{"Khẩn cấp","Cao","Trung bình","Thấp"},0)),0)))))</f>
      </c>
    </row>
    <row r="72">
      <c r="A72" s="216"/>
      <c r="B72" s="217"/>
      <c r="C72" s="218"/>
      <c r="D72" s="218"/>
      <c r="E72" s="218"/>
      <c r="F72" s="218"/>
      <c r="G72" s="216"/>
      <c r="H72" s="218"/>
      <c r="I72" s="218"/>
      <c r="J72" s="216"/>
      <c r="K72" s="218"/>
      <c r="L72" s="218"/>
      <c r="M72" s="218"/>
      <c r="N72" s="218"/>
      <c r="O72" s="219"/>
      <c r="P72" s="216"/>
      <c r="Q72" s="217"/>
      <c r="R72" s="216"/>
      <c r="S72" s="218"/>
      <c r="T72" s="218"/>
      <c r="U72" s="220">
        <f>IF($A72="","",IF(N($Q72)&gt;0,IF(MOD($Q72,1)=0,$Q72+1-1/1440,$Q72),IF(N($B72)=0,"",$B72+IF(N($AH72)&gt;0,$AH72,IFERROR(INDEX(DM_SLA_Gio,MATCH($J72,DM_SLA_Cap,0)),168))/24)))</f>
      </c>
      <c r="V72" s="221">
        <f>IF($A72="","",IF(N($AJ72)=0,"Mới tiếp nhận",INDEX('Nhật ký tiến độ'!$E:$E,$AJ72)))</f>
      </c>
      <c r="W72" s="222">
        <f>IF($A72="","",IF($V72="Đã xử lý",1,IF(N($AJ72)=0,0,N(INDEX('Nhật ký tiến độ'!$D:$D,$AJ72)))))</f>
      </c>
      <c r="X72" s="222">
        <f>IF(OR($A72="",$V72="Đã xử lý",N($U72)=0,N($B72)=0),"",IF(TDBC&lt;=$B72,0,IF(TDBC&gt;=$U72,1,(TDBC-$B72)/($U72-$B72))))</f>
      </c>
      <c r="Y72" s="223">
        <f>IF($A72="","",IF($V72="Đã xử lý","Hoàn thành",IF(N($U72)=0,"Chưa đặt hạn",IF(TDBC&gt;$U72,"Quá hạn",IF(ROUND((N($X72)-$W72)*100,0)&gt;=20,"Chậm tiến độ",IF($U72-TDBC&lt;=1,"Sắp đến hạn","Đúng tiến độ"))))))</f>
      </c>
      <c r="Z72" s="223">
        <f>IF(OR($A72="",$V72="Đã xử lý",N($U72)=0),"",IF(TDBC&gt;$U72,"Quá "&amp;IF(((TDBC-$U72)*24)&lt;1,MAX(1,ROUND(((TDBC-$U72)*24)*60,0))&amp;" phút",IF(ROUND(((TDBC-$U72)*24),0)&lt;24,ROUND(((TDBC-$U72)*24),0)&amp;" giờ",INT(ROUND(((TDBC-$U72)*24),0)/24)&amp;" ngày"&amp;IF(MOD(ROUND(((TDBC-$U72)*24),0),24)&gt;0," "&amp;MOD(ROUND(((TDBC-$U72)*24),0),24)&amp;" giờ",""))),"Còn "&amp;IF((($U72-TDBC)*24)&lt;1,MAX(1,ROUND((($U72-TDBC)*24)*60,0))&amp;" phút",IF(ROUND((($U72-TDBC)*24),0)&lt;24,ROUND((($U72-TDBC)*24),0)&amp;" giờ",INT(ROUND((($U72-TDBC)*24),0)/24)&amp;" ngày"&amp;IF(MOD(ROUND((($U72-TDBC)*24),0),24)&gt;0," "&amp;MOD(ROUND((($U72-TDBC)*24),0),24)&amp;" giờ","")))))</f>
      </c>
      <c r="AA72" s="220">
        <f>IF($V72="Đã xử lý",_xlfn.MAXIFS('Nhật ký tiến độ'!$B$6:$B$3005,'Nhật ký tiến độ'!$C$6:$C$3005,$A72,'Nhật ký tiến độ'!$E$6:$E$3005,"Đã xử lý"),"")</f>
      </c>
      <c r="AB72" s="223">
        <f>IF($AI72="","",IF($AI72&lt;1,MAX(1,ROUND($AI72*60,0))&amp;" phút",IF(ROUND($AI72,0)&lt;24,ROUND($AI72,0)&amp;" giờ",INT(ROUND($AI72,0)/24)&amp;" ngày"&amp;IF(MOD(ROUND($AI72,0),24)&gt;0," "&amp;MOD(ROUND($AI72,0),24)&amp;" giờ",""))))</f>
      </c>
      <c r="AC72" s="223">
        <f>IF(OR($A72="",N($AH72)=0),"",IF($AI72&lt;&gt;"",IF($AI72&lt;=$AH72,"Trong ước tính","Vượt "&amp;IF(($AI72-$AH72)&lt;1,MAX(1,ROUND(($AI72-$AH72)*60,0))&amp;" phút",IF(ROUND(($AI72-$AH72),0)&lt;24,ROUND(($AI72-$AH72),0)&amp;" giờ",INT(ROUND(($AI72-$AH72),0)/24)&amp;" ngày"&amp;IF(MOD(ROUND(($AI72-$AH72),0),24)&gt;0," "&amp;MOD(ROUND(($AI72-$AH72),0),24)&amp;" giờ","")))),IF(OR($V72="Đã xử lý",N($B72)=0),"",IF((TDBC-$B72)*24&gt;$AH72,"Đã vượt ước tính","Đã dùng "&amp;TEXT((TDBC-$B72)*24/$AH72,"0%")))))</f>
      </c>
      <c r="AD72" s="223">
        <f>IF(N($AO72)=0,"",CHOOSE($AO72,"Nhắc nhở","Cảnh báo","Báo động","Báo động đỏ"))</f>
      </c>
      <c r="AE72" s="223">
        <f>IF(OR(N($AA72)=0,N($U72)=0),"",IF($AA72&lt;=$U72,"Đúng hạn","Trễ hạn"))</f>
      </c>
      <c r="AF72" s="220">
        <f>IF($A72="","",_xlfn.MAXIFS('Nhật ký tiến độ'!$B$6:$B$3005,'Nhật ký tiến độ'!$C$6:$C$3005,$A72))</f>
      </c>
      <c r="AG72" s="223">
        <f>IF($A72="","",IF(COUNTIF('Kế hoạch'!$M$6:$M$305,$A72)=0,"",COUNTIF('Kế hoạch'!$M$6:$M$305,$A72)&amp;" việc"))</f>
      </c>
      <c r="AH72" s="224">
        <f>IF(OR($A72="",N($O72)&lt;=0),"",IF($P72="Giờ",$O72,$O72*24))</f>
      </c>
      <c r="AI72" s="224">
        <f>IF(OR(N($AA72)=0,N($B72)=0),"",IF($AA72&lt;$B72,"",($AA72-$B72)*24))</f>
      </c>
      <c r="AJ72" s="225">
        <f>IF($A72="","",IF(COUNTIF('Nhật ký tiến độ'!$C$6:$C$3005,$A72)=0,0,_xlfn.MAXIFS('Nhật ký tiến độ'!$N$6:$N$3005,'Nhật ký tiến độ'!$C$6:$C$3005,$A72,'Nhật ký tiến độ'!$B$6:$B$3005,_xlfn.MAXIFS('Nhật ký tiến độ'!$B$6:$B$3005,'Nhật ký tiến độ'!$C$6:$C$3005,$A72))))</f>
      </c>
      <c r="AK72" s="225">
        <f>IF(OR($A72="",$V72="Đã xử lý"),"",IF(N($AO72)&gt;0,5-$AO72,IF($J72="Khẩn cấp",5,IF($Y72="Chậm tiến độ",6,IF(OR($Y72="Sắp đến hạn",$J72="Cao"),7,"")))))</f>
      </c>
      <c r="AL72" s="225">
        <f>IF($AK72="","",$AK72*100000+IF(N($U72)=0,99999,INT($U72))+ROW()/100000)</f>
      </c>
      <c r="AM72" s="225">
        <f>IF(OR($A72="",TRIM($K72)="",COUNTIF($K$6:$K72,$K72)&gt;1),0,1)</f>
      </c>
      <c r="AN72" s="225">
        <f>IF($AM72=1,SUM($AM$6:$AM72),"")</f>
      </c>
      <c r="AO72" s="225">
        <f>IF(OR($A72="",$V72="Đã xử lý",N($U72)=0),0,IF(TDBC&lt;=$U72,0,MAX(1,MIN(4,IF((TDBC-$U72)*24&lt;24,1,IF((TDBC-$U72)*24&lt;72,2,IF((TDBC-$U72)*24&lt;168,3,4)))+IFERROR(INDEX({2,1,0,-1},MATCH($J72,{"Khẩn cấp","Cao","Trung bình","Thấp"},0)),0)))))</f>
      </c>
    </row>
    <row r="73">
      <c r="A73" s="216"/>
      <c r="B73" s="217"/>
      <c r="C73" s="218"/>
      <c r="D73" s="218"/>
      <c r="E73" s="218"/>
      <c r="F73" s="218"/>
      <c r="G73" s="216"/>
      <c r="H73" s="218"/>
      <c r="I73" s="218"/>
      <c r="J73" s="216"/>
      <c r="K73" s="218"/>
      <c r="L73" s="218"/>
      <c r="M73" s="218"/>
      <c r="N73" s="218"/>
      <c r="O73" s="219"/>
      <c r="P73" s="216"/>
      <c r="Q73" s="217"/>
      <c r="R73" s="216"/>
      <c r="S73" s="218"/>
      <c r="T73" s="218"/>
      <c r="U73" s="220">
        <f>IF($A73="","",IF(N($Q73)&gt;0,IF(MOD($Q73,1)=0,$Q73+1-1/1440,$Q73),IF(N($B73)=0,"",$B73+IF(N($AH73)&gt;0,$AH73,IFERROR(INDEX(DM_SLA_Gio,MATCH($J73,DM_SLA_Cap,0)),168))/24)))</f>
      </c>
      <c r="V73" s="221">
        <f>IF($A73="","",IF(N($AJ73)=0,"Mới tiếp nhận",INDEX('Nhật ký tiến độ'!$E:$E,$AJ73)))</f>
      </c>
      <c r="W73" s="222">
        <f>IF($A73="","",IF($V73="Đã xử lý",1,IF(N($AJ73)=0,0,N(INDEX('Nhật ký tiến độ'!$D:$D,$AJ73)))))</f>
      </c>
      <c r="X73" s="222">
        <f>IF(OR($A73="",$V73="Đã xử lý",N($U73)=0,N($B73)=0),"",IF(TDBC&lt;=$B73,0,IF(TDBC&gt;=$U73,1,(TDBC-$B73)/($U73-$B73))))</f>
      </c>
      <c r="Y73" s="223">
        <f>IF($A73="","",IF($V73="Đã xử lý","Hoàn thành",IF(N($U73)=0,"Chưa đặt hạn",IF(TDBC&gt;$U73,"Quá hạn",IF(ROUND((N($X73)-$W73)*100,0)&gt;=20,"Chậm tiến độ",IF($U73-TDBC&lt;=1,"Sắp đến hạn","Đúng tiến độ"))))))</f>
      </c>
      <c r="Z73" s="223">
        <f>IF(OR($A73="",$V73="Đã xử lý",N($U73)=0),"",IF(TDBC&gt;$U73,"Quá "&amp;IF(((TDBC-$U73)*24)&lt;1,MAX(1,ROUND(((TDBC-$U73)*24)*60,0))&amp;" phút",IF(ROUND(((TDBC-$U73)*24),0)&lt;24,ROUND(((TDBC-$U73)*24),0)&amp;" giờ",INT(ROUND(((TDBC-$U73)*24),0)/24)&amp;" ngày"&amp;IF(MOD(ROUND(((TDBC-$U73)*24),0),24)&gt;0," "&amp;MOD(ROUND(((TDBC-$U73)*24),0),24)&amp;" giờ",""))),"Còn "&amp;IF((($U73-TDBC)*24)&lt;1,MAX(1,ROUND((($U73-TDBC)*24)*60,0))&amp;" phút",IF(ROUND((($U73-TDBC)*24),0)&lt;24,ROUND((($U73-TDBC)*24),0)&amp;" giờ",INT(ROUND((($U73-TDBC)*24),0)/24)&amp;" ngày"&amp;IF(MOD(ROUND((($U73-TDBC)*24),0),24)&gt;0," "&amp;MOD(ROUND((($U73-TDBC)*24),0),24)&amp;" giờ","")))))</f>
      </c>
      <c r="AA73" s="220">
        <f>IF($V73="Đã xử lý",_xlfn.MAXIFS('Nhật ký tiến độ'!$B$6:$B$3005,'Nhật ký tiến độ'!$C$6:$C$3005,$A73,'Nhật ký tiến độ'!$E$6:$E$3005,"Đã xử lý"),"")</f>
      </c>
      <c r="AB73" s="223">
        <f>IF($AI73="","",IF($AI73&lt;1,MAX(1,ROUND($AI73*60,0))&amp;" phút",IF(ROUND($AI73,0)&lt;24,ROUND($AI73,0)&amp;" giờ",INT(ROUND($AI73,0)/24)&amp;" ngày"&amp;IF(MOD(ROUND($AI73,0),24)&gt;0," "&amp;MOD(ROUND($AI73,0),24)&amp;" giờ",""))))</f>
      </c>
      <c r="AC73" s="223">
        <f>IF(OR($A73="",N($AH73)=0),"",IF($AI73&lt;&gt;"",IF($AI73&lt;=$AH73,"Trong ước tính","Vượt "&amp;IF(($AI73-$AH73)&lt;1,MAX(1,ROUND(($AI73-$AH73)*60,0))&amp;" phút",IF(ROUND(($AI73-$AH73),0)&lt;24,ROUND(($AI73-$AH73),0)&amp;" giờ",INT(ROUND(($AI73-$AH73),0)/24)&amp;" ngày"&amp;IF(MOD(ROUND(($AI73-$AH73),0),24)&gt;0," "&amp;MOD(ROUND(($AI73-$AH73),0),24)&amp;" giờ","")))),IF(OR($V73="Đã xử lý",N($B73)=0),"",IF((TDBC-$B73)*24&gt;$AH73,"Đã vượt ước tính","Đã dùng "&amp;TEXT((TDBC-$B73)*24/$AH73,"0%")))))</f>
      </c>
      <c r="AD73" s="223">
        <f>IF(N($AO73)=0,"",CHOOSE($AO73,"Nhắc nhở","Cảnh báo","Báo động","Báo động đỏ"))</f>
      </c>
      <c r="AE73" s="223">
        <f>IF(OR(N($AA73)=0,N($U73)=0),"",IF($AA73&lt;=$U73,"Đúng hạn","Trễ hạn"))</f>
      </c>
      <c r="AF73" s="220">
        <f>IF($A73="","",_xlfn.MAXIFS('Nhật ký tiến độ'!$B$6:$B$3005,'Nhật ký tiến độ'!$C$6:$C$3005,$A73))</f>
      </c>
      <c r="AG73" s="223">
        <f>IF($A73="","",IF(COUNTIF('Kế hoạch'!$M$6:$M$305,$A73)=0,"",COUNTIF('Kế hoạch'!$M$6:$M$305,$A73)&amp;" việc"))</f>
      </c>
      <c r="AH73" s="224">
        <f>IF(OR($A73="",N($O73)&lt;=0),"",IF($P73="Giờ",$O73,$O73*24))</f>
      </c>
      <c r="AI73" s="224">
        <f>IF(OR(N($AA73)=0,N($B73)=0),"",IF($AA73&lt;$B73,"",($AA73-$B73)*24))</f>
      </c>
      <c r="AJ73" s="225">
        <f>IF($A73="","",IF(COUNTIF('Nhật ký tiến độ'!$C$6:$C$3005,$A73)=0,0,_xlfn.MAXIFS('Nhật ký tiến độ'!$N$6:$N$3005,'Nhật ký tiến độ'!$C$6:$C$3005,$A73,'Nhật ký tiến độ'!$B$6:$B$3005,_xlfn.MAXIFS('Nhật ký tiến độ'!$B$6:$B$3005,'Nhật ký tiến độ'!$C$6:$C$3005,$A73))))</f>
      </c>
      <c r="AK73" s="225">
        <f>IF(OR($A73="",$V73="Đã xử lý"),"",IF(N($AO73)&gt;0,5-$AO73,IF($J73="Khẩn cấp",5,IF($Y73="Chậm tiến độ",6,IF(OR($Y73="Sắp đến hạn",$J73="Cao"),7,"")))))</f>
      </c>
      <c r="AL73" s="225">
        <f>IF($AK73="","",$AK73*100000+IF(N($U73)=0,99999,INT($U73))+ROW()/100000)</f>
      </c>
      <c r="AM73" s="225">
        <f>IF(OR($A73="",TRIM($K73)="",COUNTIF($K$6:$K73,$K73)&gt;1),0,1)</f>
      </c>
      <c r="AN73" s="225">
        <f>IF($AM73=1,SUM($AM$6:$AM73),"")</f>
      </c>
      <c r="AO73" s="225">
        <f>IF(OR($A73="",$V73="Đã xử lý",N($U73)=0),0,IF(TDBC&lt;=$U73,0,MAX(1,MIN(4,IF((TDBC-$U73)*24&lt;24,1,IF((TDBC-$U73)*24&lt;72,2,IF((TDBC-$U73)*24&lt;168,3,4)))+IFERROR(INDEX({2,1,0,-1},MATCH($J73,{"Khẩn cấp","Cao","Trung bình","Thấp"},0)),0)))))</f>
      </c>
    </row>
    <row r="74">
      <c r="A74" s="216"/>
      <c r="B74" s="217"/>
      <c r="C74" s="218"/>
      <c r="D74" s="218"/>
      <c r="E74" s="218"/>
      <c r="F74" s="218"/>
      <c r="G74" s="216"/>
      <c r="H74" s="218"/>
      <c r="I74" s="218"/>
      <c r="J74" s="216"/>
      <c r="K74" s="218"/>
      <c r="L74" s="218"/>
      <c r="M74" s="218"/>
      <c r="N74" s="218"/>
      <c r="O74" s="219"/>
      <c r="P74" s="216"/>
      <c r="Q74" s="217"/>
      <c r="R74" s="216"/>
      <c r="S74" s="218"/>
      <c r="T74" s="218"/>
      <c r="U74" s="220">
        <f>IF($A74="","",IF(N($Q74)&gt;0,IF(MOD($Q74,1)=0,$Q74+1-1/1440,$Q74),IF(N($B74)=0,"",$B74+IF(N($AH74)&gt;0,$AH74,IFERROR(INDEX(DM_SLA_Gio,MATCH($J74,DM_SLA_Cap,0)),168))/24)))</f>
      </c>
      <c r="V74" s="221">
        <f>IF($A74="","",IF(N($AJ74)=0,"Mới tiếp nhận",INDEX('Nhật ký tiến độ'!$E:$E,$AJ74)))</f>
      </c>
      <c r="W74" s="222">
        <f>IF($A74="","",IF($V74="Đã xử lý",1,IF(N($AJ74)=0,0,N(INDEX('Nhật ký tiến độ'!$D:$D,$AJ74)))))</f>
      </c>
      <c r="X74" s="222">
        <f>IF(OR($A74="",$V74="Đã xử lý",N($U74)=0,N($B74)=0),"",IF(TDBC&lt;=$B74,0,IF(TDBC&gt;=$U74,1,(TDBC-$B74)/($U74-$B74))))</f>
      </c>
      <c r="Y74" s="223">
        <f>IF($A74="","",IF($V74="Đã xử lý","Hoàn thành",IF(N($U74)=0,"Chưa đặt hạn",IF(TDBC&gt;$U74,"Quá hạn",IF(ROUND((N($X74)-$W74)*100,0)&gt;=20,"Chậm tiến độ",IF($U74-TDBC&lt;=1,"Sắp đến hạn","Đúng tiến độ"))))))</f>
      </c>
      <c r="Z74" s="223">
        <f>IF(OR($A74="",$V74="Đã xử lý",N($U74)=0),"",IF(TDBC&gt;$U74,"Quá "&amp;IF(((TDBC-$U74)*24)&lt;1,MAX(1,ROUND(((TDBC-$U74)*24)*60,0))&amp;" phút",IF(ROUND(((TDBC-$U74)*24),0)&lt;24,ROUND(((TDBC-$U74)*24),0)&amp;" giờ",INT(ROUND(((TDBC-$U74)*24),0)/24)&amp;" ngày"&amp;IF(MOD(ROUND(((TDBC-$U74)*24),0),24)&gt;0," "&amp;MOD(ROUND(((TDBC-$U74)*24),0),24)&amp;" giờ",""))),"Còn "&amp;IF((($U74-TDBC)*24)&lt;1,MAX(1,ROUND((($U74-TDBC)*24)*60,0))&amp;" phút",IF(ROUND((($U74-TDBC)*24),0)&lt;24,ROUND((($U74-TDBC)*24),0)&amp;" giờ",INT(ROUND((($U74-TDBC)*24),0)/24)&amp;" ngày"&amp;IF(MOD(ROUND((($U74-TDBC)*24),0),24)&gt;0," "&amp;MOD(ROUND((($U74-TDBC)*24),0),24)&amp;" giờ","")))))</f>
      </c>
      <c r="AA74" s="220">
        <f>IF($V74="Đã xử lý",_xlfn.MAXIFS('Nhật ký tiến độ'!$B$6:$B$3005,'Nhật ký tiến độ'!$C$6:$C$3005,$A74,'Nhật ký tiến độ'!$E$6:$E$3005,"Đã xử lý"),"")</f>
      </c>
      <c r="AB74" s="223">
        <f>IF($AI74="","",IF($AI74&lt;1,MAX(1,ROUND($AI74*60,0))&amp;" phút",IF(ROUND($AI74,0)&lt;24,ROUND($AI74,0)&amp;" giờ",INT(ROUND($AI74,0)/24)&amp;" ngày"&amp;IF(MOD(ROUND($AI74,0),24)&gt;0," "&amp;MOD(ROUND($AI74,0),24)&amp;" giờ",""))))</f>
      </c>
      <c r="AC74" s="223">
        <f>IF(OR($A74="",N($AH74)=0),"",IF($AI74&lt;&gt;"",IF($AI74&lt;=$AH74,"Trong ước tính","Vượt "&amp;IF(($AI74-$AH74)&lt;1,MAX(1,ROUND(($AI74-$AH74)*60,0))&amp;" phút",IF(ROUND(($AI74-$AH74),0)&lt;24,ROUND(($AI74-$AH74),0)&amp;" giờ",INT(ROUND(($AI74-$AH74),0)/24)&amp;" ngày"&amp;IF(MOD(ROUND(($AI74-$AH74),0),24)&gt;0," "&amp;MOD(ROUND(($AI74-$AH74),0),24)&amp;" giờ","")))),IF(OR($V74="Đã xử lý",N($B74)=0),"",IF((TDBC-$B74)*24&gt;$AH74,"Đã vượt ước tính","Đã dùng "&amp;TEXT((TDBC-$B74)*24/$AH74,"0%")))))</f>
      </c>
      <c r="AD74" s="223">
        <f>IF(N($AO74)=0,"",CHOOSE($AO74,"Nhắc nhở","Cảnh báo","Báo động","Báo động đỏ"))</f>
      </c>
      <c r="AE74" s="223">
        <f>IF(OR(N($AA74)=0,N($U74)=0),"",IF($AA74&lt;=$U74,"Đúng hạn","Trễ hạn"))</f>
      </c>
      <c r="AF74" s="220">
        <f>IF($A74="","",_xlfn.MAXIFS('Nhật ký tiến độ'!$B$6:$B$3005,'Nhật ký tiến độ'!$C$6:$C$3005,$A74))</f>
      </c>
      <c r="AG74" s="223">
        <f>IF($A74="","",IF(COUNTIF('Kế hoạch'!$M$6:$M$305,$A74)=0,"",COUNTIF('Kế hoạch'!$M$6:$M$305,$A74)&amp;" việc"))</f>
      </c>
      <c r="AH74" s="224">
        <f>IF(OR($A74="",N($O74)&lt;=0),"",IF($P74="Giờ",$O74,$O74*24))</f>
      </c>
      <c r="AI74" s="224">
        <f>IF(OR(N($AA74)=0,N($B74)=0),"",IF($AA74&lt;$B74,"",($AA74-$B74)*24))</f>
      </c>
      <c r="AJ74" s="225">
        <f>IF($A74="","",IF(COUNTIF('Nhật ký tiến độ'!$C$6:$C$3005,$A74)=0,0,_xlfn.MAXIFS('Nhật ký tiến độ'!$N$6:$N$3005,'Nhật ký tiến độ'!$C$6:$C$3005,$A74,'Nhật ký tiến độ'!$B$6:$B$3005,_xlfn.MAXIFS('Nhật ký tiến độ'!$B$6:$B$3005,'Nhật ký tiến độ'!$C$6:$C$3005,$A74))))</f>
      </c>
      <c r="AK74" s="225">
        <f>IF(OR($A74="",$V74="Đã xử lý"),"",IF(N($AO74)&gt;0,5-$AO74,IF($J74="Khẩn cấp",5,IF($Y74="Chậm tiến độ",6,IF(OR($Y74="Sắp đến hạn",$J74="Cao"),7,"")))))</f>
      </c>
      <c r="AL74" s="225">
        <f>IF($AK74="","",$AK74*100000+IF(N($U74)=0,99999,INT($U74))+ROW()/100000)</f>
      </c>
      <c r="AM74" s="225">
        <f>IF(OR($A74="",TRIM($K74)="",COUNTIF($K$6:$K74,$K74)&gt;1),0,1)</f>
      </c>
      <c r="AN74" s="225">
        <f>IF($AM74=1,SUM($AM$6:$AM74),"")</f>
      </c>
      <c r="AO74" s="225">
        <f>IF(OR($A74="",$V74="Đã xử lý",N($U74)=0),0,IF(TDBC&lt;=$U74,0,MAX(1,MIN(4,IF((TDBC-$U74)*24&lt;24,1,IF((TDBC-$U74)*24&lt;72,2,IF((TDBC-$U74)*24&lt;168,3,4)))+IFERROR(INDEX({2,1,0,-1},MATCH($J74,{"Khẩn cấp","Cao","Trung bình","Thấp"},0)),0)))))</f>
      </c>
    </row>
    <row r="75">
      <c r="A75" s="216"/>
      <c r="B75" s="217"/>
      <c r="C75" s="218"/>
      <c r="D75" s="218"/>
      <c r="E75" s="218"/>
      <c r="F75" s="218"/>
      <c r="G75" s="216"/>
      <c r="H75" s="218"/>
      <c r="I75" s="218"/>
      <c r="J75" s="216"/>
      <c r="K75" s="218"/>
      <c r="L75" s="218"/>
      <c r="M75" s="218"/>
      <c r="N75" s="218"/>
      <c r="O75" s="219"/>
      <c r="P75" s="216"/>
      <c r="Q75" s="217"/>
      <c r="R75" s="216"/>
      <c r="S75" s="218"/>
      <c r="T75" s="218"/>
      <c r="U75" s="220">
        <f>IF($A75="","",IF(N($Q75)&gt;0,IF(MOD($Q75,1)=0,$Q75+1-1/1440,$Q75),IF(N($B75)=0,"",$B75+IF(N($AH75)&gt;0,$AH75,IFERROR(INDEX(DM_SLA_Gio,MATCH($J75,DM_SLA_Cap,0)),168))/24)))</f>
      </c>
      <c r="V75" s="221">
        <f>IF($A75="","",IF(N($AJ75)=0,"Mới tiếp nhận",INDEX('Nhật ký tiến độ'!$E:$E,$AJ75)))</f>
      </c>
      <c r="W75" s="222">
        <f>IF($A75="","",IF($V75="Đã xử lý",1,IF(N($AJ75)=0,0,N(INDEX('Nhật ký tiến độ'!$D:$D,$AJ75)))))</f>
      </c>
      <c r="X75" s="222">
        <f>IF(OR($A75="",$V75="Đã xử lý",N($U75)=0,N($B75)=0),"",IF(TDBC&lt;=$B75,0,IF(TDBC&gt;=$U75,1,(TDBC-$B75)/($U75-$B75))))</f>
      </c>
      <c r="Y75" s="223">
        <f>IF($A75="","",IF($V75="Đã xử lý","Hoàn thành",IF(N($U75)=0,"Chưa đặt hạn",IF(TDBC&gt;$U75,"Quá hạn",IF(ROUND((N($X75)-$W75)*100,0)&gt;=20,"Chậm tiến độ",IF($U75-TDBC&lt;=1,"Sắp đến hạn","Đúng tiến độ"))))))</f>
      </c>
      <c r="Z75" s="223">
        <f>IF(OR($A75="",$V75="Đã xử lý",N($U75)=0),"",IF(TDBC&gt;$U75,"Quá "&amp;IF(((TDBC-$U75)*24)&lt;1,MAX(1,ROUND(((TDBC-$U75)*24)*60,0))&amp;" phút",IF(ROUND(((TDBC-$U75)*24),0)&lt;24,ROUND(((TDBC-$U75)*24),0)&amp;" giờ",INT(ROUND(((TDBC-$U75)*24),0)/24)&amp;" ngày"&amp;IF(MOD(ROUND(((TDBC-$U75)*24),0),24)&gt;0," "&amp;MOD(ROUND(((TDBC-$U75)*24),0),24)&amp;" giờ",""))),"Còn "&amp;IF((($U75-TDBC)*24)&lt;1,MAX(1,ROUND((($U75-TDBC)*24)*60,0))&amp;" phút",IF(ROUND((($U75-TDBC)*24),0)&lt;24,ROUND((($U75-TDBC)*24),0)&amp;" giờ",INT(ROUND((($U75-TDBC)*24),0)/24)&amp;" ngày"&amp;IF(MOD(ROUND((($U75-TDBC)*24),0),24)&gt;0," "&amp;MOD(ROUND((($U75-TDBC)*24),0),24)&amp;" giờ","")))))</f>
      </c>
      <c r="AA75" s="220">
        <f>IF($V75="Đã xử lý",_xlfn.MAXIFS('Nhật ký tiến độ'!$B$6:$B$3005,'Nhật ký tiến độ'!$C$6:$C$3005,$A75,'Nhật ký tiến độ'!$E$6:$E$3005,"Đã xử lý"),"")</f>
      </c>
      <c r="AB75" s="223">
        <f>IF($AI75="","",IF($AI75&lt;1,MAX(1,ROUND($AI75*60,0))&amp;" phút",IF(ROUND($AI75,0)&lt;24,ROUND($AI75,0)&amp;" giờ",INT(ROUND($AI75,0)/24)&amp;" ngày"&amp;IF(MOD(ROUND($AI75,0),24)&gt;0," "&amp;MOD(ROUND($AI75,0),24)&amp;" giờ",""))))</f>
      </c>
      <c r="AC75" s="223">
        <f>IF(OR($A75="",N($AH75)=0),"",IF($AI75&lt;&gt;"",IF($AI75&lt;=$AH75,"Trong ước tính","Vượt "&amp;IF(($AI75-$AH75)&lt;1,MAX(1,ROUND(($AI75-$AH75)*60,0))&amp;" phút",IF(ROUND(($AI75-$AH75),0)&lt;24,ROUND(($AI75-$AH75),0)&amp;" giờ",INT(ROUND(($AI75-$AH75),0)/24)&amp;" ngày"&amp;IF(MOD(ROUND(($AI75-$AH75),0),24)&gt;0," "&amp;MOD(ROUND(($AI75-$AH75),0),24)&amp;" giờ","")))),IF(OR($V75="Đã xử lý",N($B75)=0),"",IF((TDBC-$B75)*24&gt;$AH75,"Đã vượt ước tính","Đã dùng "&amp;TEXT((TDBC-$B75)*24/$AH75,"0%")))))</f>
      </c>
      <c r="AD75" s="223">
        <f>IF(N($AO75)=0,"",CHOOSE($AO75,"Nhắc nhở","Cảnh báo","Báo động","Báo động đỏ"))</f>
      </c>
      <c r="AE75" s="223">
        <f>IF(OR(N($AA75)=0,N($U75)=0),"",IF($AA75&lt;=$U75,"Đúng hạn","Trễ hạn"))</f>
      </c>
      <c r="AF75" s="220">
        <f>IF($A75="","",_xlfn.MAXIFS('Nhật ký tiến độ'!$B$6:$B$3005,'Nhật ký tiến độ'!$C$6:$C$3005,$A75))</f>
      </c>
      <c r="AG75" s="223">
        <f>IF($A75="","",IF(COUNTIF('Kế hoạch'!$M$6:$M$305,$A75)=0,"",COUNTIF('Kế hoạch'!$M$6:$M$305,$A75)&amp;" việc"))</f>
      </c>
      <c r="AH75" s="224">
        <f>IF(OR($A75="",N($O75)&lt;=0),"",IF($P75="Giờ",$O75,$O75*24))</f>
      </c>
      <c r="AI75" s="224">
        <f>IF(OR(N($AA75)=0,N($B75)=0),"",IF($AA75&lt;$B75,"",($AA75-$B75)*24))</f>
      </c>
      <c r="AJ75" s="225">
        <f>IF($A75="","",IF(COUNTIF('Nhật ký tiến độ'!$C$6:$C$3005,$A75)=0,0,_xlfn.MAXIFS('Nhật ký tiến độ'!$N$6:$N$3005,'Nhật ký tiến độ'!$C$6:$C$3005,$A75,'Nhật ký tiến độ'!$B$6:$B$3005,_xlfn.MAXIFS('Nhật ký tiến độ'!$B$6:$B$3005,'Nhật ký tiến độ'!$C$6:$C$3005,$A75))))</f>
      </c>
      <c r="AK75" s="225">
        <f>IF(OR($A75="",$V75="Đã xử lý"),"",IF(N($AO75)&gt;0,5-$AO75,IF($J75="Khẩn cấp",5,IF($Y75="Chậm tiến độ",6,IF(OR($Y75="Sắp đến hạn",$J75="Cao"),7,"")))))</f>
      </c>
      <c r="AL75" s="225">
        <f>IF($AK75="","",$AK75*100000+IF(N($U75)=0,99999,INT($U75))+ROW()/100000)</f>
      </c>
      <c r="AM75" s="225">
        <f>IF(OR($A75="",TRIM($K75)="",COUNTIF($K$6:$K75,$K75)&gt;1),0,1)</f>
      </c>
      <c r="AN75" s="225">
        <f>IF($AM75=1,SUM($AM$6:$AM75),"")</f>
      </c>
      <c r="AO75" s="225">
        <f>IF(OR($A75="",$V75="Đã xử lý",N($U75)=0),0,IF(TDBC&lt;=$U75,0,MAX(1,MIN(4,IF((TDBC-$U75)*24&lt;24,1,IF((TDBC-$U75)*24&lt;72,2,IF((TDBC-$U75)*24&lt;168,3,4)))+IFERROR(INDEX({2,1,0,-1},MATCH($J75,{"Khẩn cấp","Cao","Trung bình","Thấp"},0)),0)))))</f>
      </c>
    </row>
    <row r="76">
      <c r="A76" s="216"/>
      <c r="B76" s="217"/>
      <c r="C76" s="218"/>
      <c r="D76" s="218"/>
      <c r="E76" s="218"/>
      <c r="F76" s="218"/>
      <c r="G76" s="216"/>
      <c r="H76" s="218"/>
      <c r="I76" s="218"/>
      <c r="J76" s="216"/>
      <c r="K76" s="218"/>
      <c r="L76" s="218"/>
      <c r="M76" s="218"/>
      <c r="N76" s="218"/>
      <c r="O76" s="219"/>
      <c r="P76" s="216"/>
      <c r="Q76" s="217"/>
      <c r="R76" s="216"/>
      <c r="S76" s="218"/>
      <c r="T76" s="218"/>
      <c r="U76" s="220">
        <f>IF($A76="","",IF(N($Q76)&gt;0,IF(MOD($Q76,1)=0,$Q76+1-1/1440,$Q76),IF(N($B76)=0,"",$B76+IF(N($AH76)&gt;0,$AH76,IFERROR(INDEX(DM_SLA_Gio,MATCH($J76,DM_SLA_Cap,0)),168))/24)))</f>
      </c>
      <c r="V76" s="221">
        <f>IF($A76="","",IF(N($AJ76)=0,"Mới tiếp nhận",INDEX('Nhật ký tiến độ'!$E:$E,$AJ76)))</f>
      </c>
      <c r="W76" s="222">
        <f>IF($A76="","",IF($V76="Đã xử lý",1,IF(N($AJ76)=0,0,N(INDEX('Nhật ký tiến độ'!$D:$D,$AJ76)))))</f>
      </c>
      <c r="X76" s="222">
        <f>IF(OR($A76="",$V76="Đã xử lý",N($U76)=0,N($B76)=0),"",IF(TDBC&lt;=$B76,0,IF(TDBC&gt;=$U76,1,(TDBC-$B76)/($U76-$B76))))</f>
      </c>
      <c r="Y76" s="223">
        <f>IF($A76="","",IF($V76="Đã xử lý","Hoàn thành",IF(N($U76)=0,"Chưa đặt hạn",IF(TDBC&gt;$U76,"Quá hạn",IF(ROUND((N($X76)-$W76)*100,0)&gt;=20,"Chậm tiến độ",IF($U76-TDBC&lt;=1,"Sắp đến hạn","Đúng tiến độ"))))))</f>
      </c>
      <c r="Z76" s="223">
        <f>IF(OR($A76="",$V76="Đã xử lý",N($U76)=0),"",IF(TDBC&gt;$U76,"Quá "&amp;IF(((TDBC-$U76)*24)&lt;1,MAX(1,ROUND(((TDBC-$U76)*24)*60,0))&amp;" phút",IF(ROUND(((TDBC-$U76)*24),0)&lt;24,ROUND(((TDBC-$U76)*24),0)&amp;" giờ",INT(ROUND(((TDBC-$U76)*24),0)/24)&amp;" ngày"&amp;IF(MOD(ROUND(((TDBC-$U76)*24),0),24)&gt;0," "&amp;MOD(ROUND(((TDBC-$U76)*24),0),24)&amp;" giờ",""))),"Còn "&amp;IF((($U76-TDBC)*24)&lt;1,MAX(1,ROUND((($U76-TDBC)*24)*60,0))&amp;" phút",IF(ROUND((($U76-TDBC)*24),0)&lt;24,ROUND((($U76-TDBC)*24),0)&amp;" giờ",INT(ROUND((($U76-TDBC)*24),0)/24)&amp;" ngày"&amp;IF(MOD(ROUND((($U76-TDBC)*24),0),24)&gt;0," "&amp;MOD(ROUND((($U76-TDBC)*24),0),24)&amp;" giờ","")))))</f>
      </c>
      <c r="AA76" s="220">
        <f>IF($V76="Đã xử lý",_xlfn.MAXIFS('Nhật ký tiến độ'!$B$6:$B$3005,'Nhật ký tiến độ'!$C$6:$C$3005,$A76,'Nhật ký tiến độ'!$E$6:$E$3005,"Đã xử lý"),"")</f>
      </c>
      <c r="AB76" s="223">
        <f>IF($AI76="","",IF($AI76&lt;1,MAX(1,ROUND($AI76*60,0))&amp;" phút",IF(ROUND($AI76,0)&lt;24,ROUND($AI76,0)&amp;" giờ",INT(ROUND($AI76,0)/24)&amp;" ngày"&amp;IF(MOD(ROUND($AI76,0),24)&gt;0," "&amp;MOD(ROUND($AI76,0),24)&amp;" giờ",""))))</f>
      </c>
      <c r="AC76" s="223">
        <f>IF(OR($A76="",N($AH76)=0),"",IF($AI76&lt;&gt;"",IF($AI76&lt;=$AH76,"Trong ước tính","Vượt "&amp;IF(($AI76-$AH76)&lt;1,MAX(1,ROUND(($AI76-$AH76)*60,0))&amp;" phút",IF(ROUND(($AI76-$AH76),0)&lt;24,ROUND(($AI76-$AH76),0)&amp;" giờ",INT(ROUND(($AI76-$AH76),0)/24)&amp;" ngày"&amp;IF(MOD(ROUND(($AI76-$AH76),0),24)&gt;0," "&amp;MOD(ROUND(($AI76-$AH76),0),24)&amp;" giờ","")))),IF(OR($V76="Đã xử lý",N($B76)=0),"",IF((TDBC-$B76)*24&gt;$AH76,"Đã vượt ước tính","Đã dùng "&amp;TEXT((TDBC-$B76)*24/$AH76,"0%")))))</f>
      </c>
      <c r="AD76" s="223">
        <f>IF(N($AO76)=0,"",CHOOSE($AO76,"Nhắc nhở","Cảnh báo","Báo động","Báo động đỏ"))</f>
      </c>
      <c r="AE76" s="223">
        <f>IF(OR(N($AA76)=0,N($U76)=0),"",IF($AA76&lt;=$U76,"Đúng hạn","Trễ hạn"))</f>
      </c>
      <c r="AF76" s="220">
        <f>IF($A76="","",_xlfn.MAXIFS('Nhật ký tiến độ'!$B$6:$B$3005,'Nhật ký tiến độ'!$C$6:$C$3005,$A76))</f>
      </c>
      <c r="AG76" s="223">
        <f>IF($A76="","",IF(COUNTIF('Kế hoạch'!$M$6:$M$305,$A76)=0,"",COUNTIF('Kế hoạch'!$M$6:$M$305,$A76)&amp;" việc"))</f>
      </c>
      <c r="AH76" s="224">
        <f>IF(OR($A76="",N($O76)&lt;=0),"",IF($P76="Giờ",$O76,$O76*24))</f>
      </c>
      <c r="AI76" s="224">
        <f>IF(OR(N($AA76)=0,N($B76)=0),"",IF($AA76&lt;$B76,"",($AA76-$B76)*24))</f>
      </c>
      <c r="AJ76" s="225">
        <f>IF($A76="","",IF(COUNTIF('Nhật ký tiến độ'!$C$6:$C$3005,$A76)=0,0,_xlfn.MAXIFS('Nhật ký tiến độ'!$N$6:$N$3005,'Nhật ký tiến độ'!$C$6:$C$3005,$A76,'Nhật ký tiến độ'!$B$6:$B$3005,_xlfn.MAXIFS('Nhật ký tiến độ'!$B$6:$B$3005,'Nhật ký tiến độ'!$C$6:$C$3005,$A76))))</f>
      </c>
      <c r="AK76" s="225">
        <f>IF(OR($A76="",$V76="Đã xử lý"),"",IF(N($AO76)&gt;0,5-$AO76,IF($J76="Khẩn cấp",5,IF($Y76="Chậm tiến độ",6,IF(OR($Y76="Sắp đến hạn",$J76="Cao"),7,"")))))</f>
      </c>
      <c r="AL76" s="225">
        <f>IF($AK76="","",$AK76*100000+IF(N($U76)=0,99999,INT($U76))+ROW()/100000)</f>
      </c>
      <c r="AM76" s="225">
        <f>IF(OR($A76="",TRIM($K76)="",COUNTIF($K$6:$K76,$K76)&gt;1),0,1)</f>
      </c>
      <c r="AN76" s="225">
        <f>IF($AM76=1,SUM($AM$6:$AM76),"")</f>
      </c>
      <c r="AO76" s="225">
        <f>IF(OR($A76="",$V76="Đã xử lý",N($U76)=0),0,IF(TDBC&lt;=$U76,0,MAX(1,MIN(4,IF((TDBC-$U76)*24&lt;24,1,IF((TDBC-$U76)*24&lt;72,2,IF((TDBC-$U76)*24&lt;168,3,4)))+IFERROR(INDEX({2,1,0,-1},MATCH($J76,{"Khẩn cấp","Cao","Trung bình","Thấp"},0)),0)))))</f>
      </c>
    </row>
    <row r="77">
      <c r="A77" s="216"/>
      <c r="B77" s="217"/>
      <c r="C77" s="218"/>
      <c r="D77" s="218"/>
      <c r="E77" s="218"/>
      <c r="F77" s="218"/>
      <c r="G77" s="216"/>
      <c r="H77" s="218"/>
      <c r="I77" s="218"/>
      <c r="J77" s="216"/>
      <c r="K77" s="218"/>
      <c r="L77" s="218"/>
      <c r="M77" s="218"/>
      <c r="N77" s="218"/>
      <c r="O77" s="219"/>
      <c r="P77" s="216"/>
      <c r="Q77" s="217"/>
      <c r="R77" s="216"/>
      <c r="S77" s="218"/>
      <c r="T77" s="218"/>
      <c r="U77" s="220">
        <f>IF($A77="","",IF(N($Q77)&gt;0,IF(MOD($Q77,1)=0,$Q77+1-1/1440,$Q77),IF(N($B77)=0,"",$B77+IF(N($AH77)&gt;0,$AH77,IFERROR(INDEX(DM_SLA_Gio,MATCH($J77,DM_SLA_Cap,0)),168))/24)))</f>
      </c>
      <c r="V77" s="221">
        <f>IF($A77="","",IF(N($AJ77)=0,"Mới tiếp nhận",INDEX('Nhật ký tiến độ'!$E:$E,$AJ77)))</f>
      </c>
      <c r="W77" s="222">
        <f>IF($A77="","",IF($V77="Đã xử lý",1,IF(N($AJ77)=0,0,N(INDEX('Nhật ký tiến độ'!$D:$D,$AJ77)))))</f>
      </c>
      <c r="X77" s="222">
        <f>IF(OR($A77="",$V77="Đã xử lý",N($U77)=0,N($B77)=0),"",IF(TDBC&lt;=$B77,0,IF(TDBC&gt;=$U77,1,(TDBC-$B77)/($U77-$B77))))</f>
      </c>
      <c r="Y77" s="223">
        <f>IF($A77="","",IF($V77="Đã xử lý","Hoàn thành",IF(N($U77)=0,"Chưa đặt hạn",IF(TDBC&gt;$U77,"Quá hạn",IF(ROUND((N($X77)-$W77)*100,0)&gt;=20,"Chậm tiến độ",IF($U77-TDBC&lt;=1,"Sắp đến hạn","Đúng tiến độ"))))))</f>
      </c>
      <c r="Z77" s="223">
        <f>IF(OR($A77="",$V77="Đã xử lý",N($U77)=0),"",IF(TDBC&gt;$U77,"Quá "&amp;IF(((TDBC-$U77)*24)&lt;1,MAX(1,ROUND(((TDBC-$U77)*24)*60,0))&amp;" phút",IF(ROUND(((TDBC-$U77)*24),0)&lt;24,ROUND(((TDBC-$U77)*24),0)&amp;" giờ",INT(ROUND(((TDBC-$U77)*24),0)/24)&amp;" ngày"&amp;IF(MOD(ROUND(((TDBC-$U77)*24),0),24)&gt;0," "&amp;MOD(ROUND(((TDBC-$U77)*24),0),24)&amp;" giờ",""))),"Còn "&amp;IF((($U77-TDBC)*24)&lt;1,MAX(1,ROUND((($U77-TDBC)*24)*60,0))&amp;" phút",IF(ROUND((($U77-TDBC)*24),0)&lt;24,ROUND((($U77-TDBC)*24),0)&amp;" giờ",INT(ROUND((($U77-TDBC)*24),0)/24)&amp;" ngày"&amp;IF(MOD(ROUND((($U77-TDBC)*24),0),24)&gt;0," "&amp;MOD(ROUND((($U77-TDBC)*24),0),24)&amp;" giờ","")))))</f>
      </c>
      <c r="AA77" s="220">
        <f>IF($V77="Đã xử lý",_xlfn.MAXIFS('Nhật ký tiến độ'!$B$6:$B$3005,'Nhật ký tiến độ'!$C$6:$C$3005,$A77,'Nhật ký tiến độ'!$E$6:$E$3005,"Đã xử lý"),"")</f>
      </c>
      <c r="AB77" s="223">
        <f>IF($AI77="","",IF($AI77&lt;1,MAX(1,ROUND($AI77*60,0))&amp;" phút",IF(ROUND($AI77,0)&lt;24,ROUND($AI77,0)&amp;" giờ",INT(ROUND($AI77,0)/24)&amp;" ngày"&amp;IF(MOD(ROUND($AI77,0),24)&gt;0," "&amp;MOD(ROUND($AI77,0),24)&amp;" giờ",""))))</f>
      </c>
      <c r="AC77" s="223">
        <f>IF(OR($A77="",N($AH77)=0),"",IF($AI77&lt;&gt;"",IF($AI77&lt;=$AH77,"Trong ước tính","Vượt "&amp;IF(($AI77-$AH77)&lt;1,MAX(1,ROUND(($AI77-$AH77)*60,0))&amp;" phút",IF(ROUND(($AI77-$AH77),0)&lt;24,ROUND(($AI77-$AH77),0)&amp;" giờ",INT(ROUND(($AI77-$AH77),0)/24)&amp;" ngày"&amp;IF(MOD(ROUND(($AI77-$AH77),0),24)&gt;0," "&amp;MOD(ROUND(($AI77-$AH77),0),24)&amp;" giờ","")))),IF(OR($V77="Đã xử lý",N($B77)=0),"",IF((TDBC-$B77)*24&gt;$AH77,"Đã vượt ước tính","Đã dùng "&amp;TEXT((TDBC-$B77)*24/$AH77,"0%")))))</f>
      </c>
      <c r="AD77" s="223">
        <f>IF(N($AO77)=0,"",CHOOSE($AO77,"Nhắc nhở","Cảnh báo","Báo động","Báo động đỏ"))</f>
      </c>
      <c r="AE77" s="223">
        <f>IF(OR(N($AA77)=0,N($U77)=0),"",IF($AA77&lt;=$U77,"Đúng hạn","Trễ hạn"))</f>
      </c>
      <c r="AF77" s="220">
        <f>IF($A77="","",_xlfn.MAXIFS('Nhật ký tiến độ'!$B$6:$B$3005,'Nhật ký tiến độ'!$C$6:$C$3005,$A77))</f>
      </c>
      <c r="AG77" s="223">
        <f>IF($A77="","",IF(COUNTIF('Kế hoạch'!$M$6:$M$305,$A77)=0,"",COUNTIF('Kế hoạch'!$M$6:$M$305,$A77)&amp;" việc"))</f>
      </c>
      <c r="AH77" s="224">
        <f>IF(OR($A77="",N($O77)&lt;=0),"",IF($P77="Giờ",$O77,$O77*24))</f>
      </c>
      <c r="AI77" s="224">
        <f>IF(OR(N($AA77)=0,N($B77)=0),"",IF($AA77&lt;$B77,"",($AA77-$B77)*24))</f>
      </c>
      <c r="AJ77" s="225">
        <f>IF($A77="","",IF(COUNTIF('Nhật ký tiến độ'!$C$6:$C$3005,$A77)=0,0,_xlfn.MAXIFS('Nhật ký tiến độ'!$N$6:$N$3005,'Nhật ký tiến độ'!$C$6:$C$3005,$A77,'Nhật ký tiến độ'!$B$6:$B$3005,_xlfn.MAXIFS('Nhật ký tiến độ'!$B$6:$B$3005,'Nhật ký tiến độ'!$C$6:$C$3005,$A77))))</f>
      </c>
      <c r="AK77" s="225">
        <f>IF(OR($A77="",$V77="Đã xử lý"),"",IF(N($AO77)&gt;0,5-$AO77,IF($J77="Khẩn cấp",5,IF($Y77="Chậm tiến độ",6,IF(OR($Y77="Sắp đến hạn",$J77="Cao"),7,"")))))</f>
      </c>
      <c r="AL77" s="225">
        <f>IF($AK77="","",$AK77*100000+IF(N($U77)=0,99999,INT($U77))+ROW()/100000)</f>
      </c>
      <c r="AM77" s="225">
        <f>IF(OR($A77="",TRIM($K77)="",COUNTIF($K$6:$K77,$K77)&gt;1),0,1)</f>
      </c>
      <c r="AN77" s="225">
        <f>IF($AM77=1,SUM($AM$6:$AM77),"")</f>
      </c>
      <c r="AO77" s="225">
        <f>IF(OR($A77="",$V77="Đã xử lý",N($U77)=0),0,IF(TDBC&lt;=$U77,0,MAX(1,MIN(4,IF((TDBC-$U77)*24&lt;24,1,IF((TDBC-$U77)*24&lt;72,2,IF((TDBC-$U77)*24&lt;168,3,4)))+IFERROR(INDEX({2,1,0,-1},MATCH($J77,{"Khẩn cấp","Cao","Trung bình","Thấp"},0)),0)))))</f>
      </c>
    </row>
    <row r="78">
      <c r="A78" s="216"/>
      <c r="B78" s="217"/>
      <c r="C78" s="218"/>
      <c r="D78" s="218"/>
      <c r="E78" s="218"/>
      <c r="F78" s="218"/>
      <c r="G78" s="216"/>
      <c r="H78" s="218"/>
      <c r="I78" s="218"/>
      <c r="J78" s="216"/>
      <c r="K78" s="218"/>
      <c r="L78" s="218"/>
      <c r="M78" s="218"/>
      <c r="N78" s="218"/>
      <c r="O78" s="219"/>
      <c r="P78" s="216"/>
      <c r="Q78" s="217"/>
      <c r="R78" s="216"/>
      <c r="S78" s="218"/>
      <c r="T78" s="218"/>
      <c r="U78" s="220">
        <f>IF($A78="","",IF(N($Q78)&gt;0,IF(MOD($Q78,1)=0,$Q78+1-1/1440,$Q78),IF(N($B78)=0,"",$B78+IF(N($AH78)&gt;0,$AH78,IFERROR(INDEX(DM_SLA_Gio,MATCH($J78,DM_SLA_Cap,0)),168))/24)))</f>
      </c>
      <c r="V78" s="221">
        <f>IF($A78="","",IF(N($AJ78)=0,"Mới tiếp nhận",INDEX('Nhật ký tiến độ'!$E:$E,$AJ78)))</f>
      </c>
      <c r="W78" s="222">
        <f>IF($A78="","",IF($V78="Đã xử lý",1,IF(N($AJ78)=0,0,N(INDEX('Nhật ký tiến độ'!$D:$D,$AJ78)))))</f>
      </c>
      <c r="X78" s="222">
        <f>IF(OR($A78="",$V78="Đã xử lý",N($U78)=0,N($B78)=0),"",IF(TDBC&lt;=$B78,0,IF(TDBC&gt;=$U78,1,(TDBC-$B78)/($U78-$B78))))</f>
      </c>
      <c r="Y78" s="223">
        <f>IF($A78="","",IF($V78="Đã xử lý","Hoàn thành",IF(N($U78)=0,"Chưa đặt hạn",IF(TDBC&gt;$U78,"Quá hạn",IF(ROUND((N($X78)-$W78)*100,0)&gt;=20,"Chậm tiến độ",IF($U78-TDBC&lt;=1,"Sắp đến hạn","Đúng tiến độ"))))))</f>
      </c>
      <c r="Z78" s="223">
        <f>IF(OR($A78="",$V78="Đã xử lý",N($U78)=0),"",IF(TDBC&gt;$U78,"Quá "&amp;IF(((TDBC-$U78)*24)&lt;1,MAX(1,ROUND(((TDBC-$U78)*24)*60,0))&amp;" phút",IF(ROUND(((TDBC-$U78)*24),0)&lt;24,ROUND(((TDBC-$U78)*24),0)&amp;" giờ",INT(ROUND(((TDBC-$U78)*24),0)/24)&amp;" ngày"&amp;IF(MOD(ROUND(((TDBC-$U78)*24),0),24)&gt;0," "&amp;MOD(ROUND(((TDBC-$U78)*24),0),24)&amp;" giờ",""))),"Còn "&amp;IF((($U78-TDBC)*24)&lt;1,MAX(1,ROUND((($U78-TDBC)*24)*60,0))&amp;" phút",IF(ROUND((($U78-TDBC)*24),0)&lt;24,ROUND((($U78-TDBC)*24),0)&amp;" giờ",INT(ROUND((($U78-TDBC)*24),0)/24)&amp;" ngày"&amp;IF(MOD(ROUND((($U78-TDBC)*24),0),24)&gt;0," "&amp;MOD(ROUND((($U78-TDBC)*24),0),24)&amp;" giờ","")))))</f>
      </c>
      <c r="AA78" s="220">
        <f>IF($V78="Đã xử lý",_xlfn.MAXIFS('Nhật ký tiến độ'!$B$6:$B$3005,'Nhật ký tiến độ'!$C$6:$C$3005,$A78,'Nhật ký tiến độ'!$E$6:$E$3005,"Đã xử lý"),"")</f>
      </c>
      <c r="AB78" s="223">
        <f>IF($AI78="","",IF($AI78&lt;1,MAX(1,ROUND($AI78*60,0))&amp;" phút",IF(ROUND($AI78,0)&lt;24,ROUND($AI78,0)&amp;" giờ",INT(ROUND($AI78,0)/24)&amp;" ngày"&amp;IF(MOD(ROUND($AI78,0),24)&gt;0," "&amp;MOD(ROUND($AI78,0),24)&amp;" giờ",""))))</f>
      </c>
      <c r="AC78" s="223">
        <f>IF(OR($A78="",N($AH78)=0),"",IF($AI78&lt;&gt;"",IF($AI78&lt;=$AH78,"Trong ước tính","Vượt "&amp;IF(($AI78-$AH78)&lt;1,MAX(1,ROUND(($AI78-$AH78)*60,0))&amp;" phút",IF(ROUND(($AI78-$AH78),0)&lt;24,ROUND(($AI78-$AH78),0)&amp;" giờ",INT(ROUND(($AI78-$AH78),0)/24)&amp;" ngày"&amp;IF(MOD(ROUND(($AI78-$AH78),0),24)&gt;0," "&amp;MOD(ROUND(($AI78-$AH78),0),24)&amp;" giờ","")))),IF(OR($V78="Đã xử lý",N($B78)=0),"",IF((TDBC-$B78)*24&gt;$AH78,"Đã vượt ước tính","Đã dùng "&amp;TEXT((TDBC-$B78)*24/$AH78,"0%")))))</f>
      </c>
      <c r="AD78" s="223">
        <f>IF(N($AO78)=0,"",CHOOSE($AO78,"Nhắc nhở","Cảnh báo","Báo động","Báo động đỏ"))</f>
      </c>
      <c r="AE78" s="223">
        <f>IF(OR(N($AA78)=0,N($U78)=0),"",IF($AA78&lt;=$U78,"Đúng hạn","Trễ hạn"))</f>
      </c>
      <c r="AF78" s="220">
        <f>IF($A78="","",_xlfn.MAXIFS('Nhật ký tiến độ'!$B$6:$B$3005,'Nhật ký tiến độ'!$C$6:$C$3005,$A78))</f>
      </c>
      <c r="AG78" s="223">
        <f>IF($A78="","",IF(COUNTIF('Kế hoạch'!$M$6:$M$305,$A78)=0,"",COUNTIF('Kế hoạch'!$M$6:$M$305,$A78)&amp;" việc"))</f>
      </c>
      <c r="AH78" s="224">
        <f>IF(OR($A78="",N($O78)&lt;=0),"",IF($P78="Giờ",$O78,$O78*24))</f>
      </c>
      <c r="AI78" s="224">
        <f>IF(OR(N($AA78)=0,N($B78)=0),"",IF($AA78&lt;$B78,"",($AA78-$B78)*24))</f>
      </c>
      <c r="AJ78" s="225">
        <f>IF($A78="","",IF(COUNTIF('Nhật ký tiến độ'!$C$6:$C$3005,$A78)=0,0,_xlfn.MAXIFS('Nhật ký tiến độ'!$N$6:$N$3005,'Nhật ký tiến độ'!$C$6:$C$3005,$A78,'Nhật ký tiến độ'!$B$6:$B$3005,_xlfn.MAXIFS('Nhật ký tiến độ'!$B$6:$B$3005,'Nhật ký tiến độ'!$C$6:$C$3005,$A78))))</f>
      </c>
      <c r="AK78" s="225">
        <f>IF(OR($A78="",$V78="Đã xử lý"),"",IF(N($AO78)&gt;0,5-$AO78,IF($J78="Khẩn cấp",5,IF($Y78="Chậm tiến độ",6,IF(OR($Y78="Sắp đến hạn",$J78="Cao"),7,"")))))</f>
      </c>
      <c r="AL78" s="225">
        <f>IF($AK78="","",$AK78*100000+IF(N($U78)=0,99999,INT($U78))+ROW()/100000)</f>
      </c>
      <c r="AM78" s="225">
        <f>IF(OR($A78="",TRIM($K78)="",COUNTIF($K$6:$K78,$K78)&gt;1),0,1)</f>
      </c>
      <c r="AN78" s="225">
        <f>IF($AM78=1,SUM($AM$6:$AM78),"")</f>
      </c>
      <c r="AO78" s="225">
        <f>IF(OR($A78="",$V78="Đã xử lý",N($U78)=0),0,IF(TDBC&lt;=$U78,0,MAX(1,MIN(4,IF((TDBC-$U78)*24&lt;24,1,IF((TDBC-$U78)*24&lt;72,2,IF((TDBC-$U78)*24&lt;168,3,4)))+IFERROR(INDEX({2,1,0,-1},MATCH($J78,{"Khẩn cấp","Cao","Trung bình","Thấp"},0)),0)))))</f>
      </c>
    </row>
    <row r="79">
      <c r="A79" s="216"/>
      <c r="B79" s="217"/>
      <c r="C79" s="218"/>
      <c r="D79" s="218"/>
      <c r="E79" s="218"/>
      <c r="F79" s="218"/>
      <c r="G79" s="216"/>
      <c r="H79" s="218"/>
      <c r="I79" s="218"/>
      <c r="J79" s="216"/>
      <c r="K79" s="218"/>
      <c r="L79" s="218"/>
      <c r="M79" s="218"/>
      <c r="N79" s="218"/>
      <c r="O79" s="219"/>
      <c r="P79" s="216"/>
      <c r="Q79" s="217"/>
      <c r="R79" s="216"/>
      <c r="S79" s="218"/>
      <c r="T79" s="218"/>
      <c r="U79" s="220">
        <f>IF($A79="","",IF(N($Q79)&gt;0,IF(MOD($Q79,1)=0,$Q79+1-1/1440,$Q79),IF(N($B79)=0,"",$B79+IF(N($AH79)&gt;0,$AH79,IFERROR(INDEX(DM_SLA_Gio,MATCH($J79,DM_SLA_Cap,0)),168))/24)))</f>
      </c>
      <c r="V79" s="221">
        <f>IF($A79="","",IF(N($AJ79)=0,"Mới tiếp nhận",INDEX('Nhật ký tiến độ'!$E:$E,$AJ79)))</f>
      </c>
      <c r="W79" s="222">
        <f>IF($A79="","",IF($V79="Đã xử lý",1,IF(N($AJ79)=0,0,N(INDEX('Nhật ký tiến độ'!$D:$D,$AJ79)))))</f>
      </c>
      <c r="X79" s="222">
        <f>IF(OR($A79="",$V79="Đã xử lý",N($U79)=0,N($B79)=0),"",IF(TDBC&lt;=$B79,0,IF(TDBC&gt;=$U79,1,(TDBC-$B79)/($U79-$B79))))</f>
      </c>
      <c r="Y79" s="223">
        <f>IF($A79="","",IF($V79="Đã xử lý","Hoàn thành",IF(N($U79)=0,"Chưa đặt hạn",IF(TDBC&gt;$U79,"Quá hạn",IF(ROUND((N($X79)-$W79)*100,0)&gt;=20,"Chậm tiến độ",IF($U79-TDBC&lt;=1,"Sắp đến hạn","Đúng tiến độ"))))))</f>
      </c>
      <c r="Z79" s="223">
        <f>IF(OR($A79="",$V79="Đã xử lý",N($U79)=0),"",IF(TDBC&gt;$U79,"Quá "&amp;IF(((TDBC-$U79)*24)&lt;1,MAX(1,ROUND(((TDBC-$U79)*24)*60,0))&amp;" phút",IF(ROUND(((TDBC-$U79)*24),0)&lt;24,ROUND(((TDBC-$U79)*24),0)&amp;" giờ",INT(ROUND(((TDBC-$U79)*24),0)/24)&amp;" ngày"&amp;IF(MOD(ROUND(((TDBC-$U79)*24),0),24)&gt;0," "&amp;MOD(ROUND(((TDBC-$U79)*24),0),24)&amp;" giờ",""))),"Còn "&amp;IF((($U79-TDBC)*24)&lt;1,MAX(1,ROUND((($U79-TDBC)*24)*60,0))&amp;" phút",IF(ROUND((($U79-TDBC)*24),0)&lt;24,ROUND((($U79-TDBC)*24),0)&amp;" giờ",INT(ROUND((($U79-TDBC)*24),0)/24)&amp;" ngày"&amp;IF(MOD(ROUND((($U79-TDBC)*24),0),24)&gt;0," "&amp;MOD(ROUND((($U79-TDBC)*24),0),24)&amp;" giờ","")))))</f>
      </c>
      <c r="AA79" s="220">
        <f>IF($V79="Đã xử lý",_xlfn.MAXIFS('Nhật ký tiến độ'!$B$6:$B$3005,'Nhật ký tiến độ'!$C$6:$C$3005,$A79,'Nhật ký tiến độ'!$E$6:$E$3005,"Đã xử lý"),"")</f>
      </c>
      <c r="AB79" s="223">
        <f>IF($AI79="","",IF($AI79&lt;1,MAX(1,ROUND($AI79*60,0))&amp;" phút",IF(ROUND($AI79,0)&lt;24,ROUND($AI79,0)&amp;" giờ",INT(ROUND($AI79,0)/24)&amp;" ngày"&amp;IF(MOD(ROUND($AI79,0),24)&gt;0," "&amp;MOD(ROUND($AI79,0),24)&amp;" giờ",""))))</f>
      </c>
      <c r="AC79" s="223">
        <f>IF(OR($A79="",N($AH79)=0),"",IF($AI79&lt;&gt;"",IF($AI79&lt;=$AH79,"Trong ước tính","Vượt "&amp;IF(($AI79-$AH79)&lt;1,MAX(1,ROUND(($AI79-$AH79)*60,0))&amp;" phút",IF(ROUND(($AI79-$AH79),0)&lt;24,ROUND(($AI79-$AH79),0)&amp;" giờ",INT(ROUND(($AI79-$AH79),0)/24)&amp;" ngày"&amp;IF(MOD(ROUND(($AI79-$AH79),0),24)&gt;0," "&amp;MOD(ROUND(($AI79-$AH79),0),24)&amp;" giờ","")))),IF(OR($V79="Đã xử lý",N($B79)=0),"",IF((TDBC-$B79)*24&gt;$AH79,"Đã vượt ước tính","Đã dùng "&amp;TEXT((TDBC-$B79)*24/$AH79,"0%")))))</f>
      </c>
      <c r="AD79" s="223">
        <f>IF(N($AO79)=0,"",CHOOSE($AO79,"Nhắc nhở","Cảnh báo","Báo động","Báo động đỏ"))</f>
      </c>
      <c r="AE79" s="223">
        <f>IF(OR(N($AA79)=0,N($U79)=0),"",IF($AA79&lt;=$U79,"Đúng hạn","Trễ hạn"))</f>
      </c>
      <c r="AF79" s="220">
        <f>IF($A79="","",_xlfn.MAXIFS('Nhật ký tiến độ'!$B$6:$B$3005,'Nhật ký tiến độ'!$C$6:$C$3005,$A79))</f>
      </c>
      <c r="AG79" s="223">
        <f>IF($A79="","",IF(COUNTIF('Kế hoạch'!$M$6:$M$305,$A79)=0,"",COUNTIF('Kế hoạch'!$M$6:$M$305,$A79)&amp;" việc"))</f>
      </c>
      <c r="AH79" s="224">
        <f>IF(OR($A79="",N($O79)&lt;=0),"",IF($P79="Giờ",$O79,$O79*24))</f>
      </c>
      <c r="AI79" s="224">
        <f>IF(OR(N($AA79)=0,N($B79)=0),"",IF($AA79&lt;$B79,"",($AA79-$B79)*24))</f>
      </c>
      <c r="AJ79" s="225">
        <f>IF($A79="","",IF(COUNTIF('Nhật ký tiến độ'!$C$6:$C$3005,$A79)=0,0,_xlfn.MAXIFS('Nhật ký tiến độ'!$N$6:$N$3005,'Nhật ký tiến độ'!$C$6:$C$3005,$A79,'Nhật ký tiến độ'!$B$6:$B$3005,_xlfn.MAXIFS('Nhật ký tiến độ'!$B$6:$B$3005,'Nhật ký tiến độ'!$C$6:$C$3005,$A79))))</f>
      </c>
      <c r="AK79" s="225">
        <f>IF(OR($A79="",$V79="Đã xử lý"),"",IF(N($AO79)&gt;0,5-$AO79,IF($J79="Khẩn cấp",5,IF($Y79="Chậm tiến độ",6,IF(OR($Y79="Sắp đến hạn",$J79="Cao"),7,"")))))</f>
      </c>
      <c r="AL79" s="225">
        <f>IF($AK79="","",$AK79*100000+IF(N($U79)=0,99999,INT($U79))+ROW()/100000)</f>
      </c>
      <c r="AM79" s="225">
        <f>IF(OR($A79="",TRIM($K79)="",COUNTIF($K$6:$K79,$K79)&gt;1),0,1)</f>
      </c>
      <c r="AN79" s="225">
        <f>IF($AM79=1,SUM($AM$6:$AM79),"")</f>
      </c>
      <c r="AO79" s="225">
        <f>IF(OR($A79="",$V79="Đã xử lý",N($U79)=0),0,IF(TDBC&lt;=$U79,0,MAX(1,MIN(4,IF((TDBC-$U79)*24&lt;24,1,IF((TDBC-$U79)*24&lt;72,2,IF((TDBC-$U79)*24&lt;168,3,4)))+IFERROR(INDEX({2,1,0,-1},MATCH($J79,{"Khẩn cấp","Cao","Trung bình","Thấp"},0)),0)))))</f>
      </c>
    </row>
    <row r="80">
      <c r="A80" s="216"/>
      <c r="B80" s="217"/>
      <c r="C80" s="218"/>
      <c r="D80" s="218"/>
      <c r="E80" s="218"/>
      <c r="F80" s="218"/>
      <c r="G80" s="216"/>
      <c r="H80" s="218"/>
      <c r="I80" s="218"/>
      <c r="J80" s="216"/>
      <c r="K80" s="218"/>
      <c r="L80" s="218"/>
      <c r="M80" s="218"/>
      <c r="N80" s="218"/>
      <c r="O80" s="219"/>
      <c r="P80" s="216"/>
      <c r="Q80" s="217"/>
      <c r="R80" s="216"/>
      <c r="S80" s="218"/>
      <c r="T80" s="218"/>
      <c r="U80" s="220">
        <f>IF($A80="","",IF(N($Q80)&gt;0,IF(MOD($Q80,1)=0,$Q80+1-1/1440,$Q80),IF(N($B80)=0,"",$B80+IF(N($AH80)&gt;0,$AH80,IFERROR(INDEX(DM_SLA_Gio,MATCH($J80,DM_SLA_Cap,0)),168))/24)))</f>
      </c>
      <c r="V80" s="221">
        <f>IF($A80="","",IF(N($AJ80)=0,"Mới tiếp nhận",INDEX('Nhật ký tiến độ'!$E:$E,$AJ80)))</f>
      </c>
      <c r="W80" s="222">
        <f>IF($A80="","",IF($V80="Đã xử lý",1,IF(N($AJ80)=0,0,N(INDEX('Nhật ký tiến độ'!$D:$D,$AJ80)))))</f>
      </c>
      <c r="X80" s="222">
        <f>IF(OR($A80="",$V80="Đã xử lý",N($U80)=0,N($B80)=0),"",IF(TDBC&lt;=$B80,0,IF(TDBC&gt;=$U80,1,(TDBC-$B80)/($U80-$B80))))</f>
      </c>
      <c r="Y80" s="223">
        <f>IF($A80="","",IF($V80="Đã xử lý","Hoàn thành",IF(N($U80)=0,"Chưa đặt hạn",IF(TDBC&gt;$U80,"Quá hạn",IF(ROUND((N($X80)-$W80)*100,0)&gt;=20,"Chậm tiến độ",IF($U80-TDBC&lt;=1,"Sắp đến hạn","Đúng tiến độ"))))))</f>
      </c>
      <c r="Z80" s="223">
        <f>IF(OR($A80="",$V80="Đã xử lý",N($U80)=0),"",IF(TDBC&gt;$U80,"Quá "&amp;IF(((TDBC-$U80)*24)&lt;1,MAX(1,ROUND(((TDBC-$U80)*24)*60,0))&amp;" phút",IF(ROUND(((TDBC-$U80)*24),0)&lt;24,ROUND(((TDBC-$U80)*24),0)&amp;" giờ",INT(ROUND(((TDBC-$U80)*24),0)/24)&amp;" ngày"&amp;IF(MOD(ROUND(((TDBC-$U80)*24),0),24)&gt;0," "&amp;MOD(ROUND(((TDBC-$U80)*24),0),24)&amp;" giờ",""))),"Còn "&amp;IF((($U80-TDBC)*24)&lt;1,MAX(1,ROUND((($U80-TDBC)*24)*60,0))&amp;" phút",IF(ROUND((($U80-TDBC)*24),0)&lt;24,ROUND((($U80-TDBC)*24),0)&amp;" giờ",INT(ROUND((($U80-TDBC)*24),0)/24)&amp;" ngày"&amp;IF(MOD(ROUND((($U80-TDBC)*24),0),24)&gt;0," "&amp;MOD(ROUND((($U80-TDBC)*24),0),24)&amp;" giờ","")))))</f>
      </c>
      <c r="AA80" s="220">
        <f>IF($V80="Đã xử lý",_xlfn.MAXIFS('Nhật ký tiến độ'!$B$6:$B$3005,'Nhật ký tiến độ'!$C$6:$C$3005,$A80,'Nhật ký tiến độ'!$E$6:$E$3005,"Đã xử lý"),"")</f>
      </c>
      <c r="AB80" s="223">
        <f>IF($AI80="","",IF($AI80&lt;1,MAX(1,ROUND($AI80*60,0))&amp;" phút",IF(ROUND($AI80,0)&lt;24,ROUND($AI80,0)&amp;" giờ",INT(ROUND($AI80,0)/24)&amp;" ngày"&amp;IF(MOD(ROUND($AI80,0),24)&gt;0," "&amp;MOD(ROUND($AI80,0),24)&amp;" giờ",""))))</f>
      </c>
      <c r="AC80" s="223">
        <f>IF(OR($A80="",N($AH80)=0),"",IF($AI80&lt;&gt;"",IF($AI80&lt;=$AH80,"Trong ước tính","Vượt "&amp;IF(($AI80-$AH80)&lt;1,MAX(1,ROUND(($AI80-$AH80)*60,0))&amp;" phút",IF(ROUND(($AI80-$AH80),0)&lt;24,ROUND(($AI80-$AH80),0)&amp;" giờ",INT(ROUND(($AI80-$AH80),0)/24)&amp;" ngày"&amp;IF(MOD(ROUND(($AI80-$AH80),0),24)&gt;0," "&amp;MOD(ROUND(($AI80-$AH80),0),24)&amp;" giờ","")))),IF(OR($V80="Đã xử lý",N($B80)=0),"",IF((TDBC-$B80)*24&gt;$AH80,"Đã vượt ước tính","Đã dùng "&amp;TEXT((TDBC-$B80)*24/$AH80,"0%")))))</f>
      </c>
      <c r="AD80" s="223">
        <f>IF(N($AO80)=0,"",CHOOSE($AO80,"Nhắc nhở","Cảnh báo","Báo động","Báo động đỏ"))</f>
      </c>
      <c r="AE80" s="223">
        <f>IF(OR(N($AA80)=0,N($U80)=0),"",IF($AA80&lt;=$U80,"Đúng hạn","Trễ hạn"))</f>
      </c>
      <c r="AF80" s="220">
        <f>IF($A80="","",_xlfn.MAXIFS('Nhật ký tiến độ'!$B$6:$B$3005,'Nhật ký tiến độ'!$C$6:$C$3005,$A80))</f>
      </c>
      <c r="AG80" s="223">
        <f>IF($A80="","",IF(COUNTIF('Kế hoạch'!$M$6:$M$305,$A80)=0,"",COUNTIF('Kế hoạch'!$M$6:$M$305,$A80)&amp;" việc"))</f>
      </c>
      <c r="AH80" s="224">
        <f>IF(OR($A80="",N($O80)&lt;=0),"",IF($P80="Giờ",$O80,$O80*24))</f>
      </c>
      <c r="AI80" s="224">
        <f>IF(OR(N($AA80)=0,N($B80)=0),"",IF($AA80&lt;$B80,"",($AA80-$B80)*24))</f>
      </c>
      <c r="AJ80" s="225">
        <f>IF($A80="","",IF(COUNTIF('Nhật ký tiến độ'!$C$6:$C$3005,$A80)=0,0,_xlfn.MAXIFS('Nhật ký tiến độ'!$N$6:$N$3005,'Nhật ký tiến độ'!$C$6:$C$3005,$A80,'Nhật ký tiến độ'!$B$6:$B$3005,_xlfn.MAXIFS('Nhật ký tiến độ'!$B$6:$B$3005,'Nhật ký tiến độ'!$C$6:$C$3005,$A80))))</f>
      </c>
      <c r="AK80" s="225">
        <f>IF(OR($A80="",$V80="Đã xử lý"),"",IF(N($AO80)&gt;0,5-$AO80,IF($J80="Khẩn cấp",5,IF($Y80="Chậm tiến độ",6,IF(OR($Y80="Sắp đến hạn",$J80="Cao"),7,"")))))</f>
      </c>
      <c r="AL80" s="225">
        <f>IF($AK80="","",$AK80*100000+IF(N($U80)=0,99999,INT($U80))+ROW()/100000)</f>
      </c>
      <c r="AM80" s="225">
        <f>IF(OR($A80="",TRIM($K80)="",COUNTIF($K$6:$K80,$K80)&gt;1),0,1)</f>
      </c>
      <c r="AN80" s="225">
        <f>IF($AM80=1,SUM($AM$6:$AM80),"")</f>
      </c>
      <c r="AO80" s="225">
        <f>IF(OR($A80="",$V80="Đã xử lý",N($U80)=0),0,IF(TDBC&lt;=$U80,0,MAX(1,MIN(4,IF((TDBC-$U80)*24&lt;24,1,IF((TDBC-$U80)*24&lt;72,2,IF((TDBC-$U80)*24&lt;168,3,4)))+IFERROR(INDEX({2,1,0,-1},MATCH($J80,{"Khẩn cấp","Cao","Trung bình","Thấp"},0)),0)))))</f>
      </c>
    </row>
    <row r="81">
      <c r="A81" s="216"/>
      <c r="B81" s="217"/>
      <c r="C81" s="218"/>
      <c r="D81" s="218"/>
      <c r="E81" s="218"/>
      <c r="F81" s="218"/>
      <c r="G81" s="216"/>
      <c r="H81" s="218"/>
      <c r="I81" s="218"/>
      <c r="J81" s="216"/>
      <c r="K81" s="218"/>
      <c r="L81" s="218"/>
      <c r="M81" s="218"/>
      <c r="N81" s="218"/>
      <c r="O81" s="219"/>
      <c r="P81" s="216"/>
      <c r="Q81" s="217"/>
      <c r="R81" s="216"/>
      <c r="S81" s="218"/>
      <c r="T81" s="218"/>
      <c r="U81" s="220">
        <f>IF($A81="","",IF(N($Q81)&gt;0,IF(MOD($Q81,1)=0,$Q81+1-1/1440,$Q81),IF(N($B81)=0,"",$B81+IF(N($AH81)&gt;0,$AH81,IFERROR(INDEX(DM_SLA_Gio,MATCH($J81,DM_SLA_Cap,0)),168))/24)))</f>
      </c>
      <c r="V81" s="221">
        <f>IF($A81="","",IF(N($AJ81)=0,"Mới tiếp nhận",INDEX('Nhật ký tiến độ'!$E:$E,$AJ81)))</f>
      </c>
      <c r="W81" s="222">
        <f>IF($A81="","",IF($V81="Đã xử lý",1,IF(N($AJ81)=0,0,N(INDEX('Nhật ký tiến độ'!$D:$D,$AJ81)))))</f>
      </c>
      <c r="X81" s="222">
        <f>IF(OR($A81="",$V81="Đã xử lý",N($U81)=0,N($B81)=0),"",IF(TDBC&lt;=$B81,0,IF(TDBC&gt;=$U81,1,(TDBC-$B81)/($U81-$B81))))</f>
      </c>
      <c r="Y81" s="223">
        <f>IF($A81="","",IF($V81="Đã xử lý","Hoàn thành",IF(N($U81)=0,"Chưa đặt hạn",IF(TDBC&gt;$U81,"Quá hạn",IF(ROUND((N($X81)-$W81)*100,0)&gt;=20,"Chậm tiến độ",IF($U81-TDBC&lt;=1,"Sắp đến hạn","Đúng tiến độ"))))))</f>
      </c>
      <c r="Z81" s="223">
        <f>IF(OR($A81="",$V81="Đã xử lý",N($U81)=0),"",IF(TDBC&gt;$U81,"Quá "&amp;IF(((TDBC-$U81)*24)&lt;1,MAX(1,ROUND(((TDBC-$U81)*24)*60,0))&amp;" phút",IF(ROUND(((TDBC-$U81)*24),0)&lt;24,ROUND(((TDBC-$U81)*24),0)&amp;" giờ",INT(ROUND(((TDBC-$U81)*24),0)/24)&amp;" ngày"&amp;IF(MOD(ROUND(((TDBC-$U81)*24),0),24)&gt;0," "&amp;MOD(ROUND(((TDBC-$U81)*24),0),24)&amp;" giờ",""))),"Còn "&amp;IF((($U81-TDBC)*24)&lt;1,MAX(1,ROUND((($U81-TDBC)*24)*60,0))&amp;" phút",IF(ROUND((($U81-TDBC)*24),0)&lt;24,ROUND((($U81-TDBC)*24),0)&amp;" giờ",INT(ROUND((($U81-TDBC)*24),0)/24)&amp;" ngày"&amp;IF(MOD(ROUND((($U81-TDBC)*24),0),24)&gt;0," "&amp;MOD(ROUND((($U81-TDBC)*24),0),24)&amp;" giờ","")))))</f>
      </c>
      <c r="AA81" s="220">
        <f>IF($V81="Đã xử lý",_xlfn.MAXIFS('Nhật ký tiến độ'!$B$6:$B$3005,'Nhật ký tiến độ'!$C$6:$C$3005,$A81,'Nhật ký tiến độ'!$E$6:$E$3005,"Đã xử lý"),"")</f>
      </c>
      <c r="AB81" s="223">
        <f>IF($AI81="","",IF($AI81&lt;1,MAX(1,ROUND($AI81*60,0))&amp;" phút",IF(ROUND($AI81,0)&lt;24,ROUND($AI81,0)&amp;" giờ",INT(ROUND($AI81,0)/24)&amp;" ngày"&amp;IF(MOD(ROUND($AI81,0),24)&gt;0," "&amp;MOD(ROUND($AI81,0),24)&amp;" giờ",""))))</f>
      </c>
      <c r="AC81" s="223">
        <f>IF(OR($A81="",N($AH81)=0),"",IF($AI81&lt;&gt;"",IF($AI81&lt;=$AH81,"Trong ước tính","Vượt "&amp;IF(($AI81-$AH81)&lt;1,MAX(1,ROUND(($AI81-$AH81)*60,0))&amp;" phút",IF(ROUND(($AI81-$AH81),0)&lt;24,ROUND(($AI81-$AH81),0)&amp;" giờ",INT(ROUND(($AI81-$AH81),0)/24)&amp;" ngày"&amp;IF(MOD(ROUND(($AI81-$AH81),0),24)&gt;0," "&amp;MOD(ROUND(($AI81-$AH81),0),24)&amp;" giờ","")))),IF(OR($V81="Đã xử lý",N($B81)=0),"",IF((TDBC-$B81)*24&gt;$AH81,"Đã vượt ước tính","Đã dùng "&amp;TEXT((TDBC-$B81)*24/$AH81,"0%")))))</f>
      </c>
      <c r="AD81" s="223">
        <f>IF(N($AO81)=0,"",CHOOSE($AO81,"Nhắc nhở","Cảnh báo","Báo động","Báo động đỏ"))</f>
      </c>
      <c r="AE81" s="223">
        <f>IF(OR(N($AA81)=0,N($U81)=0),"",IF($AA81&lt;=$U81,"Đúng hạn","Trễ hạn"))</f>
      </c>
      <c r="AF81" s="220">
        <f>IF($A81="","",_xlfn.MAXIFS('Nhật ký tiến độ'!$B$6:$B$3005,'Nhật ký tiến độ'!$C$6:$C$3005,$A81))</f>
      </c>
      <c r="AG81" s="223">
        <f>IF($A81="","",IF(COUNTIF('Kế hoạch'!$M$6:$M$305,$A81)=0,"",COUNTIF('Kế hoạch'!$M$6:$M$305,$A81)&amp;" việc"))</f>
      </c>
      <c r="AH81" s="224">
        <f>IF(OR($A81="",N($O81)&lt;=0),"",IF($P81="Giờ",$O81,$O81*24))</f>
      </c>
      <c r="AI81" s="224">
        <f>IF(OR(N($AA81)=0,N($B81)=0),"",IF($AA81&lt;$B81,"",($AA81-$B81)*24))</f>
      </c>
      <c r="AJ81" s="225">
        <f>IF($A81="","",IF(COUNTIF('Nhật ký tiến độ'!$C$6:$C$3005,$A81)=0,0,_xlfn.MAXIFS('Nhật ký tiến độ'!$N$6:$N$3005,'Nhật ký tiến độ'!$C$6:$C$3005,$A81,'Nhật ký tiến độ'!$B$6:$B$3005,_xlfn.MAXIFS('Nhật ký tiến độ'!$B$6:$B$3005,'Nhật ký tiến độ'!$C$6:$C$3005,$A81))))</f>
      </c>
      <c r="AK81" s="225">
        <f>IF(OR($A81="",$V81="Đã xử lý"),"",IF(N($AO81)&gt;0,5-$AO81,IF($J81="Khẩn cấp",5,IF($Y81="Chậm tiến độ",6,IF(OR($Y81="Sắp đến hạn",$J81="Cao"),7,"")))))</f>
      </c>
      <c r="AL81" s="225">
        <f>IF($AK81="","",$AK81*100000+IF(N($U81)=0,99999,INT($U81))+ROW()/100000)</f>
      </c>
      <c r="AM81" s="225">
        <f>IF(OR($A81="",TRIM($K81)="",COUNTIF($K$6:$K81,$K81)&gt;1),0,1)</f>
      </c>
      <c r="AN81" s="225">
        <f>IF($AM81=1,SUM($AM$6:$AM81),"")</f>
      </c>
      <c r="AO81" s="225">
        <f>IF(OR($A81="",$V81="Đã xử lý",N($U81)=0),0,IF(TDBC&lt;=$U81,0,MAX(1,MIN(4,IF((TDBC-$U81)*24&lt;24,1,IF((TDBC-$U81)*24&lt;72,2,IF((TDBC-$U81)*24&lt;168,3,4)))+IFERROR(INDEX({2,1,0,-1},MATCH($J81,{"Khẩn cấp","Cao","Trung bình","Thấp"},0)),0)))))</f>
      </c>
    </row>
    <row r="82">
      <c r="A82" s="216"/>
      <c r="B82" s="217"/>
      <c r="C82" s="218"/>
      <c r="D82" s="218"/>
      <c r="E82" s="218"/>
      <c r="F82" s="218"/>
      <c r="G82" s="216"/>
      <c r="H82" s="218"/>
      <c r="I82" s="218"/>
      <c r="J82" s="216"/>
      <c r="K82" s="218"/>
      <c r="L82" s="218"/>
      <c r="M82" s="218"/>
      <c r="N82" s="218"/>
      <c r="O82" s="219"/>
      <c r="P82" s="216"/>
      <c r="Q82" s="217"/>
      <c r="R82" s="216"/>
      <c r="S82" s="218"/>
      <c r="T82" s="218"/>
      <c r="U82" s="220">
        <f>IF($A82="","",IF(N($Q82)&gt;0,IF(MOD($Q82,1)=0,$Q82+1-1/1440,$Q82),IF(N($B82)=0,"",$B82+IF(N($AH82)&gt;0,$AH82,IFERROR(INDEX(DM_SLA_Gio,MATCH($J82,DM_SLA_Cap,0)),168))/24)))</f>
      </c>
      <c r="V82" s="221">
        <f>IF($A82="","",IF(N($AJ82)=0,"Mới tiếp nhận",INDEX('Nhật ký tiến độ'!$E:$E,$AJ82)))</f>
      </c>
      <c r="W82" s="222">
        <f>IF($A82="","",IF($V82="Đã xử lý",1,IF(N($AJ82)=0,0,N(INDEX('Nhật ký tiến độ'!$D:$D,$AJ82)))))</f>
      </c>
      <c r="X82" s="222">
        <f>IF(OR($A82="",$V82="Đã xử lý",N($U82)=0,N($B82)=0),"",IF(TDBC&lt;=$B82,0,IF(TDBC&gt;=$U82,1,(TDBC-$B82)/($U82-$B82))))</f>
      </c>
      <c r="Y82" s="223">
        <f>IF($A82="","",IF($V82="Đã xử lý","Hoàn thành",IF(N($U82)=0,"Chưa đặt hạn",IF(TDBC&gt;$U82,"Quá hạn",IF(ROUND((N($X82)-$W82)*100,0)&gt;=20,"Chậm tiến độ",IF($U82-TDBC&lt;=1,"Sắp đến hạn","Đúng tiến độ"))))))</f>
      </c>
      <c r="Z82" s="223">
        <f>IF(OR($A82="",$V82="Đã xử lý",N($U82)=0),"",IF(TDBC&gt;$U82,"Quá "&amp;IF(((TDBC-$U82)*24)&lt;1,MAX(1,ROUND(((TDBC-$U82)*24)*60,0))&amp;" phút",IF(ROUND(((TDBC-$U82)*24),0)&lt;24,ROUND(((TDBC-$U82)*24),0)&amp;" giờ",INT(ROUND(((TDBC-$U82)*24),0)/24)&amp;" ngày"&amp;IF(MOD(ROUND(((TDBC-$U82)*24),0),24)&gt;0," "&amp;MOD(ROUND(((TDBC-$U82)*24),0),24)&amp;" giờ",""))),"Còn "&amp;IF((($U82-TDBC)*24)&lt;1,MAX(1,ROUND((($U82-TDBC)*24)*60,0))&amp;" phút",IF(ROUND((($U82-TDBC)*24),0)&lt;24,ROUND((($U82-TDBC)*24),0)&amp;" giờ",INT(ROUND((($U82-TDBC)*24),0)/24)&amp;" ngày"&amp;IF(MOD(ROUND((($U82-TDBC)*24),0),24)&gt;0," "&amp;MOD(ROUND((($U82-TDBC)*24),0),24)&amp;" giờ","")))))</f>
      </c>
      <c r="AA82" s="220">
        <f>IF($V82="Đã xử lý",_xlfn.MAXIFS('Nhật ký tiến độ'!$B$6:$B$3005,'Nhật ký tiến độ'!$C$6:$C$3005,$A82,'Nhật ký tiến độ'!$E$6:$E$3005,"Đã xử lý"),"")</f>
      </c>
      <c r="AB82" s="223">
        <f>IF($AI82="","",IF($AI82&lt;1,MAX(1,ROUND($AI82*60,0))&amp;" phút",IF(ROUND($AI82,0)&lt;24,ROUND($AI82,0)&amp;" giờ",INT(ROUND($AI82,0)/24)&amp;" ngày"&amp;IF(MOD(ROUND($AI82,0),24)&gt;0," "&amp;MOD(ROUND($AI82,0),24)&amp;" giờ",""))))</f>
      </c>
      <c r="AC82" s="223">
        <f>IF(OR($A82="",N($AH82)=0),"",IF($AI82&lt;&gt;"",IF($AI82&lt;=$AH82,"Trong ước tính","Vượt "&amp;IF(($AI82-$AH82)&lt;1,MAX(1,ROUND(($AI82-$AH82)*60,0))&amp;" phút",IF(ROUND(($AI82-$AH82),0)&lt;24,ROUND(($AI82-$AH82),0)&amp;" giờ",INT(ROUND(($AI82-$AH82),0)/24)&amp;" ngày"&amp;IF(MOD(ROUND(($AI82-$AH82),0),24)&gt;0," "&amp;MOD(ROUND(($AI82-$AH82),0),24)&amp;" giờ","")))),IF(OR($V82="Đã xử lý",N($B82)=0),"",IF((TDBC-$B82)*24&gt;$AH82,"Đã vượt ước tính","Đã dùng "&amp;TEXT((TDBC-$B82)*24/$AH82,"0%")))))</f>
      </c>
      <c r="AD82" s="223">
        <f>IF(N($AO82)=0,"",CHOOSE($AO82,"Nhắc nhở","Cảnh báo","Báo động","Báo động đỏ"))</f>
      </c>
      <c r="AE82" s="223">
        <f>IF(OR(N($AA82)=0,N($U82)=0),"",IF($AA82&lt;=$U82,"Đúng hạn","Trễ hạn"))</f>
      </c>
      <c r="AF82" s="220">
        <f>IF($A82="","",_xlfn.MAXIFS('Nhật ký tiến độ'!$B$6:$B$3005,'Nhật ký tiến độ'!$C$6:$C$3005,$A82))</f>
      </c>
      <c r="AG82" s="223">
        <f>IF($A82="","",IF(COUNTIF('Kế hoạch'!$M$6:$M$305,$A82)=0,"",COUNTIF('Kế hoạch'!$M$6:$M$305,$A82)&amp;" việc"))</f>
      </c>
      <c r="AH82" s="224">
        <f>IF(OR($A82="",N($O82)&lt;=0),"",IF($P82="Giờ",$O82,$O82*24))</f>
      </c>
      <c r="AI82" s="224">
        <f>IF(OR(N($AA82)=0,N($B82)=0),"",IF($AA82&lt;$B82,"",($AA82-$B82)*24))</f>
      </c>
      <c r="AJ82" s="225">
        <f>IF($A82="","",IF(COUNTIF('Nhật ký tiến độ'!$C$6:$C$3005,$A82)=0,0,_xlfn.MAXIFS('Nhật ký tiến độ'!$N$6:$N$3005,'Nhật ký tiến độ'!$C$6:$C$3005,$A82,'Nhật ký tiến độ'!$B$6:$B$3005,_xlfn.MAXIFS('Nhật ký tiến độ'!$B$6:$B$3005,'Nhật ký tiến độ'!$C$6:$C$3005,$A82))))</f>
      </c>
      <c r="AK82" s="225">
        <f>IF(OR($A82="",$V82="Đã xử lý"),"",IF(N($AO82)&gt;0,5-$AO82,IF($J82="Khẩn cấp",5,IF($Y82="Chậm tiến độ",6,IF(OR($Y82="Sắp đến hạn",$J82="Cao"),7,"")))))</f>
      </c>
      <c r="AL82" s="225">
        <f>IF($AK82="","",$AK82*100000+IF(N($U82)=0,99999,INT($U82))+ROW()/100000)</f>
      </c>
      <c r="AM82" s="225">
        <f>IF(OR($A82="",TRIM($K82)="",COUNTIF($K$6:$K82,$K82)&gt;1),0,1)</f>
      </c>
      <c r="AN82" s="225">
        <f>IF($AM82=1,SUM($AM$6:$AM82),"")</f>
      </c>
      <c r="AO82" s="225">
        <f>IF(OR($A82="",$V82="Đã xử lý",N($U82)=0),0,IF(TDBC&lt;=$U82,0,MAX(1,MIN(4,IF((TDBC-$U82)*24&lt;24,1,IF((TDBC-$U82)*24&lt;72,2,IF((TDBC-$U82)*24&lt;168,3,4)))+IFERROR(INDEX({2,1,0,-1},MATCH($J82,{"Khẩn cấp","Cao","Trung bình","Thấp"},0)),0)))))</f>
      </c>
    </row>
    <row r="83">
      <c r="A83" s="216"/>
      <c r="B83" s="217"/>
      <c r="C83" s="218"/>
      <c r="D83" s="218"/>
      <c r="E83" s="218"/>
      <c r="F83" s="218"/>
      <c r="G83" s="216"/>
      <c r="H83" s="218"/>
      <c r="I83" s="218"/>
      <c r="J83" s="216"/>
      <c r="K83" s="218"/>
      <c r="L83" s="218"/>
      <c r="M83" s="218"/>
      <c r="N83" s="218"/>
      <c r="O83" s="219"/>
      <c r="P83" s="216"/>
      <c r="Q83" s="217"/>
      <c r="R83" s="216"/>
      <c r="S83" s="218"/>
      <c r="T83" s="218"/>
      <c r="U83" s="220">
        <f>IF($A83="","",IF(N($Q83)&gt;0,IF(MOD($Q83,1)=0,$Q83+1-1/1440,$Q83),IF(N($B83)=0,"",$B83+IF(N($AH83)&gt;0,$AH83,IFERROR(INDEX(DM_SLA_Gio,MATCH($J83,DM_SLA_Cap,0)),168))/24)))</f>
      </c>
      <c r="V83" s="221">
        <f>IF($A83="","",IF(N($AJ83)=0,"Mới tiếp nhận",INDEX('Nhật ký tiến độ'!$E:$E,$AJ83)))</f>
      </c>
      <c r="W83" s="222">
        <f>IF($A83="","",IF($V83="Đã xử lý",1,IF(N($AJ83)=0,0,N(INDEX('Nhật ký tiến độ'!$D:$D,$AJ83)))))</f>
      </c>
      <c r="X83" s="222">
        <f>IF(OR($A83="",$V83="Đã xử lý",N($U83)=0,N($B83)=0),"",IF(TDBC&lt;=$B83,0,IF(TDBC&gt;=$U83,1,(TDBC-$B83)/($U83-$B83))))</f>
      </c>
      <c r="Y83" s="223">
        <f>IF($A83="","",IF($V83="Đã xử lý","Hoàn thành",IF(N($U83)=0,"Chưa đặt hạn",IF(TDBC&gt;$U83,"Quá hạn",IF(ROUND((N($X83)-$W83)*100,0)&gt;=20,"Chậm tiến độ",IF($U83-TDBC&lt;=1,"Sắp đến hạn","Đúng tiến độ"))))))</f>
      </c>
      <c r="Z83" s="223">
        <f>IF(OR($A83="",$V83="Đã xử lý",N($U83)=0),"",IF(TDBC&gt;$U83,"Quá "&amp;IF(((TDBC-$U83)*24)&lt;1,MAX(1,ROUND(((TDBC-$U83)*24)*60,0))&amp;" phút",IF(ROUND(((TDBC-$U83)*24),0)&lt;24,ROUND(((TDBC-$U83)*24),0)&amp;" giờ",INT(ROUND(((TDBC-$U83)*24),0)/24)&amp;" ngày"&amp;IF(MOD(ROUND(((TDBC-$U83)*24),0),24)&gt;0," "&amp;MOD(ROUND(((TDBC-$U83)*24),0),24)&amp;" giờ",""))),"Còn "&amp;IF((($U83-TDBC)*24)&lt;1,MAX(1,ROUND((($U83-TDBC)*24)*60,0))&amp;" phút",IF(ROUND((($U83-TDBC)*24),0)&lt;24,ROUND((($U83-TDBC)*24),0)&amp;" giờ",INT(ROUND((($U83-TDBC)*24),0)/24)&amp;" ngày"&amp;IF(MOD(ROUND((($U83-TDBC)*24),0),24)&gt;0," "&amp;MOD(ROUND((($U83-TDBC)*24),0),24)&amp;" giờ","")))))</f>
      </c>
      <c r="AA83" s="220">
        <f>IF($V83="Đã xử lý",_xlfn.MAXIFS('Nhật ký tiến độ'!$B$6:$B$3005,'Nhật ký tiến độ'!$C$6:$C$3005,$A83,'Nhật ký tiến độ'!$E$6:$E$3005,"Đã xử lý"),"")</f>
      </c>
      <c r="AB83" s="223">
        <f>IF($AI83="","",IF($AI83&lt;1,MAX(1,ROUND($AI83*60,0))&amp;" phút",IF(ROUND($AI83,0)&lt;24,ROUND($AI83,0)&amp;" giờ",INT(ROUND($AI83,0)/24)&amp;" ngày"&amp;IF(MOD(ROUND($AI83,0),24)&gt;0," "&amp;MOD(ROUND($AI83,0),24)&amp;" giờ",""))))</f>
      </c>
      <c r="AC83" s="223">
        <f>IF(OR($A83="",N($AH83)=0),"",IF($AI83&lt;&gt;"",IF($AI83&lt;=$AH83,"Trong ước tính","Vượt "&amp;IF(($AI83-$AH83)&lt;1,MAX(1,ROUND(($AI83-$AH83)*60,0))&amp;" phút",IF(ROUND(($AI83-$AH83),0)&lt;24,ROUND(($AI83-$AH83),0)&amp;" giờ",INT(ROUND(($AI83-$AH83),0)/24)&amp;" ngày"&amp;IF(MOD(ROUND(($AI83-$AH83),0),24)&gt;0," "&amp;MOD(ROUND(($AI83-$AH83),0),24)&amp;" giờ","")))),IF(OR($V83="Đã xử lý",N($B83)=0),"",IF((TDBC-$B83)*24&gt;$AH83,"Đã vượt ước tính","Đã dùng "&amp;TEXT((TDBC-$B83)*24/$AH83,"0%")))))</f>
      </c>
      <c r="AD83" s="223">
        <f>IF(N($AO83)=0,"",CHOOSE($AO83,"Nhắc nhở","Cảnh báo","Báo động","Báo động đỏ"))</f>
      </c>
      <c r="AE83" s="223">
        <f>IF(OR(N($AA83)=0,N($U83)=0),"",IF($AA83&lt;=$U83,"Đúng hạn","Trễ hạn"))</f>
      </c>
      <c r="AF83" s="220">
        <f>IF($A83="","",_xlfn.MAXIFS('Nhật ký tiến độ'!$B$6:$B$3005,'Nhật ký tiến độ'!$C$6:$C$3005,$A83))</f>
      </c>
      <c r="AG83" s="223">
        <f>IF($A83="","",IF(COUNTIF('Kế hoạch'!$M$6:$M$305,$A83)=0,"",COUNTIF('Kế hoạch'!$M$6:$M$305,$A83)&amp;" việc"))</f>
      </c>
      <c r="AH83" s="224">
        <f>IF(OR($A83="",N($O83)&lt;=0),"",IF($P83="Giờ",$O83,$O83*24))</f>
      </c>
      <c r="AI83" s="224">
        <f>IF(OR(N($AA83)=0,N($B83)=0),"",IF($AA83&lt;$B83,"",($AA83-$B83)*24))</f>
      </c>
      <c r="AJ83" s="225">
        <f>IF($A83="","",IF(COUNTIF('Nhật ký tiến độ'!$C$6:$C$3005,$A83)=0,0,_xlfn.MAXIFS('Nhật ký tiến độ'!$N$6:$N$3005,'Nhật ký tiến độ'!$C$6:$C$3005,$A83,'Nhật ký tiến độ'!$B$6:$B$3005,_xlfn.MAXIFS('Nhật ký tiến độ'!$B$6:$B$3005,'Nhật ký tiến độ'!$C$6:$C$3005,$A83))))</f>
      </c>
      <c r="AK83" s="225">
        <f>IF(OR($A83="",$V83="Đã xử lý"),"",IF(N($AO83)&gt;0,5-$AO83,IF($J83="Khẩn cấp",5,IF($Y83="Chậm tiến độ",6,IF(OR($Y83="Sắp đến hạn",$J83="Cao"),7,"")))))</f>
      </c>
      <c r="AL83" s="225">
        <f>IF($AK83="","",$AK83*100000+IF(N($U83)=0,99999,INT($U83))+ROW()/100000)</f>
      </c>
      <c r="AM83" s="225">
        <f>IF(OR($A83="",TRIM($K83)="",COUNTIF($K$6:$K83,$K83)&gt;1),0,1)</f>
      </c>
      <c r="AN83" s="225">
        <f>IF($AM83=1,SUM($AM$6:$AM83),"")</f>
      </c>
      <c r="AO83" s="225">
        <f>IF(OR($A83="",$V83="Đã xử lý",N($U83)=0),0,IF(TDBC&lt;=$U83,0,MAX(1,MIN(4,IF((TDBC-$U83)*24&lt;24,1,IF((TDBC-$U83)*24&lt;72,2,IF((TDBC-$U83)*24&lt;168,3,4)))+IFERROR(INDEX({2,1,0,-1},MATCH($J83,{"Khẩn cấp","Cao","Trung bình","Thấp"},0)),0)))))</f>
      </c>
    </row>
    <row r="84">
      <c r="A84" s="216"/>
      <c r="B84" s="217"/>
      <c r="C84" s="218"/>
      <c r="D84" s="218"/>
      <c r="E84" s="218"/>
      <c r="F84" s="218"/>
      <c r="G84" s="216"/>
      <c r="H84" s="218"/>
      <c r="I84" s="218"/>
      <c r="J84" s="216"/>
      <c r="K84" s="218"/>
      <c r="L84" s="218"/>
      <c r="M84" s="218"/>
      <c r="N84" s="218"/>
      <c r="O84" s="219"/>
      <c r="P84" s="216"/>
      <c r="Q84" s="217"/>
      <c r="R84" s="216"/>
      <c r="S84" s="218"/>
      <c r="T84" s="218"/>
      <c r="U84" s="220">
        <f>IF($A84="","",IF(N($Q84)&gt;0,IF(MOD($Q84,1)=0,$Q84+1-1/1440,$Q84),IF(N($B84)=0,"",$B84+IF(N($AH84)&gt;0,$AH84,IFERROR(INDEX(DM_SLA_Gio,MATCH($J84,DM_SLA_Cap,0)),168))/24)))</f>
      </c>
      <c r="V84" s="221">
        <f>IF($A84="","",IF(N($AJ84)=0,"Mới tiếp nhận",INDEX('Nhật ký tiến độ'!$E:$E,$AJ84)))</f>
      </c>
      <c r="W84" s="222">
        <f>IF($A84="","",IF($V84="Đã xử lý",1,IF(N($AJ84)=0,0,N(INDEX('Nhật ký tiến độ'!$D:$D,$AJ84)))))</f>
      </c>
      <c r="X84" s="222">
        <f>IF(OR($A84="",$V84="Đã xử lý",N($U84)=0,N($B84)=0),"",IF(TDBC&lt;=$B84,0,IF(TDBC&gt;=$U84,1,(TDBC-$B84)/($U84-$B84))))</f>
      </c>
      <c r="Y84" s="223">
        <f>IF($A84="","",IF($V84="Đã xử lý","Hoàn thành",IF(N($U84)=0,"Chưa đặt hạn",IF(TDBC&gt;$U84,"Quá hạn",IF(ROUND((N($X84)-$W84)*100,0)&gt;=20,"Chậm tiến độ",IF($U84-TDBC&lt;=1,"Sắp đến hạn","Đúng tiến độ"))))))</f>
      </c>
      <c r="Z84" s="223">
        <f>IF(OR($A84="",$V84="Đã xử lý",N($U84)=0),"",IF(TDBC&gt;$U84,"Quá "&amp;IF(((TDBC-$U84)*24)&lt;1,MAX(1,ROUND(((TDBC-$U84)*24)*60,0))&amp;" phút",IF(ROUND(((TDBC-$U84)*24),0)&lt;24,ROUND(((TDBC-$U84)*24),0)&amp;" giờ",INT(ROUND(((TDBC-$U84)*24),0)/24)&amp;" ngày"&amp;IF(MOD(ROUND(((TDBC-$U84)*24),0),24)&gt;0," "&amp;MOD(ROUND(((TDBC-$U84)*24),0),24)&amp;" giờ",""))),"Còn "&amp;IF((($U84-TDBC)*24)&lt;1,MAX(1,ROUND((($U84-TDBC)*24)*60,0))&amp;" phút",IF(ROUND((($U84-TDBC)*24),0)&lt;24,ROUND((($U84-TDBC)*24),0)&amp;" giờ",INT(ROUND((($U84-TDBC)*24),0)/24)&amp;" ngày"&amp;IF(MOD(ROUND((($U84-TDBC)*24),0),24)&gt;0," "&amp;MOD(ROUND((($U84-TDBC)*24),0),24)&amp;" giờ","")))))</f>
      </c>
      <c r="AA84" s="220">
        <f>IF($V84="Đã xử lý",_xlfn.MAXIFS('Nhật ký tiến độ'!$B$6:$B$3005,'Nhật ký tiến độ'!$C$6:$C$3005,$A84,'Nhật ký tiến độ'!$E$6:$E$3005,"Đã xử lý"),"")</f>
      </c>
      <c r="AB84" s="223">
        <f>IF($AI84="","",IF($AI84&lt;1,MAX(1,ROUND($AI84*60,0))&amp;" phút",IF(ROUND($AI84,0)&lt;24,ROUND($AI84,0)&amp;" giờ",INT(ROUND($AI84,0)/24)&amp;" ngày"&amp;IF(MOD(ROUND($AI84,0),24)&gt;0," "&amp;MOD(ROUND($AI84,0),24)&amp;" giờ",""))))</f>
      </c>
      <c r="AC84" s="223">
        <f>IF(OR($A84="",N($AH84)=0),"",IF($AI84&lt;&gt;"",IF($AI84&lt;=$AH84,"Trong ước tính","Vượt "&amp;IF(($AI84-$AH84)&lt;1,MAX(1,ROUND(($AI84-$AH84)*60,0))&amp;" phút",IF(ROUND(($AI84-$AH84),0)&lt;24,ROUND(($AI84-$AH84),0)&amp;" giờ",INT(ROUND(($AI84-$AH84),0)/24)&amp;" ngày"&amp;IF(MOD(ROUND(($AI84-$AH84),0),24)&gt;0," "&amp;MOD(ROUND(($AI84-$AH84),0),24)&amp;" giờ","")))),IF(OR($V84="Đã xử lý",N($B84)=0),"",IF((TDBC-$B84)*24&gt;$AH84,"Đã vượt ước tính","Đã dùng "&amp;TEXT((TDBC-$B84)*24/$AH84,"0%")))))</f>
      </c>
      <c r="AD84" s="223">
        <f>IF(N($AO84)=0,"",CHOOSE($AO84,"Nhắc nhở","Cảnh báo","Báo động","Báo động đỏ"))</f>
      </c>
      <c r="AE84" s="223">
        <f>IF(OR(N($AA84)=0,N($U84)=0),"",IF($AA84&lt;=$U84,"Đúng hạn","Trễ hạn"))</f>
      </c>
      <c r="AF84" s="220">
        <f>IF($A84="","",_xlfn.MAXIFS('Nhật ký tiến độ'!$B$6:$B$3005,'Nhật ký tiến độ'!$C$6:$C$3005,$A84))</f>
      </c>
      <c r="AG84" s="223">
        <f>IF($A84="","",IF(COUNTIF('Kế hoạch'!$M$6:$M$305,$A84)=0,"",COUNTIF('Kế hoạch'!$M$6:$M$305,$A84)&amp;" việc"))</f>
      </c>
      <c r="AH84" s="224">
        <f>IF(OR($A84="",N($O84)&lt;=0),"",IF($P84="Giờ",$O84,$O84*24))</f>
      </c>
      <c r="AI84" s="224">
        <f>IF(OR(N($AA84)=0,N($B84)=0),"",IF($AA84&lt;$B84,"",($AA84-$B84)*24))</f>
      </c>
      <c r="AJ84" s="225">
        <f>IF($A84="","",IF(COUNTIF('Nhật ký tiến độ'!$C$6:$C$3005,$A84)=0,0,_xlfn.MAXIFS('Nhật ký tiến độ'!$N$6:$N$3005,'Nhật ký tiến độ'!$C$6:$C$3005,$A84,'Nhật ký tiến độ'!$B$6:$B$3005,_xlfn.MAXIFS('Nhật ký tiến độ'!$B$6:$B$3005,'Nhật ký tiến độ'!$C$6:$C$3005,$A84))))</f>
      </c>
      <c r="AK84" s="225">
        <f>IF(OR($A84="",$V84="Đã xử lý"),"",IF(N($AO84)&gt;0,5-$AO84,IF($J84="Khẩn cấp",5,IF($Y84="Chậm tiến độ",6,IF(OR($Y84="Sắp đến hạn",$J84="Cao"),7,"")))))</f>
      </c>
      <c r="AL84" s="225">
        <f>IF($AK84="","",$AK84*100000+IF(N($U84)=0,99999,INT($U84))+ROW()/100000)</f>
      </c>
      <c r="AM84" s="225">
        <f>IF(OR($A84="",TRIM($K84)="",COUNTIF($K$6:$K84,$K84)&gt;1),0,1)</f>
      </c>
      <c r="AN84" s="225">
        <f>IF($AM84=1,SUM($AM$6:$AM84),"")</f>
      </c>
      <c r="AO84" s="225">
        <f>IF(OR($A84="",$V84="Đã xử lý",N($U84)=0),0,IF(TDBC&lt;=$U84,0,MAX(1,MIN(4,IF((TDBC-$U84)*24&lt;24,1,IF((TDBC-$U84)*24&lt;72,2,IF((TDBC-$U84)*24&lt;168,3,4)))+IFERROR(INDEX({2,1,0,-1},MATCH($J84,{"Khẩn cấp","Cao","Trung bình","Thấp"},0)),0)))))</f>
      </c>
    </row>
    <row r="85">
      <c r="A85" s="216"/>
      <c r="B85" s="217"/>
      <c r="C85" s="218"/>
      <c r="D85" s="218"/>
      <c r="E85" s="218"/>
      <c r="F85" s="218"/>
      <c r="G85" s="216"/>
      <c r="H85" s="218"/>
      <c r="I85" s="218"/>
      <c r="J85" s="216"/>
      <c r="K85" s="218"/>
      <c r="L85" s="218"/>
      <c r="M85" s="218"/>
      <c r="N85" s="218"/>
      <c r="O85" s="219"/>
      <c r="P85" s="216"/>
      <c r="Q85" s="217"/>
      <c r="R85" s="216"/>
      <c r="S85" s="218"/>
      <c r="T85" s="218"/>
      <c r="U85" s="220">
        <f>IF($A85="","",IF(N($Q85)&gt;0,IF(MOD($Q85,1)=0,$Q85+1-1/1440,$Q85),IF(N($B85)=0,"",$B85+IF(N($AH85)&gt;0,$AH85,IFERROR(INDEX(DM_SLA_Gio,MATCH($J85,DM_SLA_Cap,0)),168))/24)))</f>
      </c>
      <c r="V85" s="221">
        <f>IF($A85="","",IF(N($AJ85)=0,"Mới tiếp nhận",INDEX('Nhật ký tiến độ'!$E:$E,$AJ85)))</f>
      </c>
      <c r="W85" s="222">
        <f>IF($A85="","",IF($V85="Đã xử lý",1,IF(N($AJ85)=0,0,N(INDEX('Nhật ký tiến độ'!$D:$D,$AJ85)))))</f>
      </c>
      <c r="X85" s="222">
        <f>IF(OR($A85="",$V85="Đã xử lý",N($U85)=0,N($B85)=0),"",IF(TDBC&lt;=$B85,0,IF(TDBC&gt;=$U85,1,(TDBC-$B85)/($U85-$B85))))</f>
      </c>
      <c r="Y85" s="223">
        <f>IF($A85="","",IF($V85="Đã xử lý","Hoàn thành",IF(N($U85)=0,"Chưa đặt hạn",IF(TDBC&gt;$U85,"Quá hạn",IF(ROUND((N($X85)-$W85)*100,0)&gt;=20,"Chậm tiến độ",IF($U85-TDBC&lt;=1,"Sắp đến hạn","Đúng tiến độ"))))))</f>
      </c>
      <c r="Z85" s="223">
        <f>IF(OR($A85="",$V85="Đã xử lý",N($U85)=0),"",IF(TDBC&gt;$U85,"Quá "&amp;IF(((TDBC-$U85)*24)&lt;1,MAX(1,ROUND(((TDBC-$U85)*24)*60,0))&amp;" phút",IF(ROUND(((TDBC-$U85)*24),0)&lt;24,ROUND(((TDBC-$U85)*24),0)&amp;" giờ",INT(ROUND(((TDBC-$U85)*24),0)/24)&amp;" ngày"&amp;IF(MOD(ROUND(((TDBC-$U85)*24),0),24)&gt;0," "&amp;MOD(ROUND(((TDBC-$U85)*24),0),24)&amp;" giờ",""))),"Còn "&amp;IF((($U85-TDBC)*24)&lt;1,MAX(1,ROUND((($U85-TDBC)*24)*60,0))&amp;" phút",IF(ROUND((($U85-TDBC)*24),0)&lt;24,ROUND((($U85-TDBC)*24),0)&amp;" giờ",INT(ROUND((($U85-TDBC)*24),0)/24)&amp;" ngày"&amp;IF(MOD(ROUND((($U85-TDBC)*24),0),24)&gt;0," "&amp;MOD(ROUND((($U85-TDBC)*24),0),24)&amp;" giờ","")))))</f>
      </c>
      <c r="AA85" s="220">
        <f>IF($V85="Đã xử lý",_xlfn.MAXIFS('Nhật ký tiến độ'!$B$6:$B$3005,'Nhật ký tiến độ'!$C$6:$C$3005,$A85,'Nhật ký tiến độ'!$E$6:$E$3005,"Đã xử lý"),"")</f>
      </c>
      <c r="AB85" s="223">
        <f>IF($AI85="","",IF($AI85&lt;1,MAX(1,ROUND($AI85*60,0))&amp;" phút",IF(ROUND($AI85,0)&lt;24,ROUND($AI85,0)&amp;" giờ",INT(ROUND($AI85,0)/24)&amp;" ngày"&amp;IF(MOD(ROUND($AI85,0),24)&gt;0," "&amp;MOD(ROUND($AI85,0),24)&amp;" giờ",""))))</f>
      </c>
      <c r="AC85" s="223">
        <f>IF(OR($A85="",N($AH85)=0),"",IF($AI85&lt;&gt;"",IF($AI85&lt;=$AH85,"Trong ước tính","Vượt "&amp;IF(($AI85-$AH85)&lt;1,MAX(1,ROUND(($AI85-$AH85)*60,0))&amp;" phút",IF(ROUND(($AI85-$AH85),0)&lt;24,ROUND(($AI85-$AH85),0)&amp;" giờ",INT(ROUND(($AI85-$AH85),0)/24)&amp;" ngày"&amp;IF(MOD(ROUND(($AI85-$AH85),0),24)&gt;0," "&amp;MOD(ROUND(($AI85-$AH85),0),24)&amp;" giờ","")))),IF(OR($V85="Đã xử lý",N($B85)=0),"",IF((TDBC-$B85)*24&gt;$AH85,"Đã vượt ước tính","Đã dùng "&amp;TEXT((TDBC-$B85)*24/$AH85,"0%")))))</f>
      </c>
      <c r="AD85" s="223">
        <f>IF(N($AO85)=0,"",CHOOSE($AO85,"Nhắc nhở","Cảnh báo","Báo động","Báo động đỏ"))</f>
      </c>
      <c r="AE85" s="223">
        <f>IF(OR(N($AA85)=0,N($U85)=0),"",IF($AA85&lt;=$U85,"Đúng hạn","Trễ hạn"))</f>
      </c>
      <c r="AF85" s="220">
        <f>IF($A85="","",_xlfn.MAXIFS('Nhật ký tiến độ'!$B$6:$B$3005,'Nhật ký tiến độ'!$C$6:$C$3005,$A85))</f>
      </c>
      <c r="AG85" s="223">
        <f>IF($A85="","",IF(COUNTIF('Kế hoạch'!$M$6:$M$305,$A85)=0,"",COUNTIF('Kế hoạch'!$M$6:$M$305,$A85)&amp;" việc"))</f>
      </c>
      <c r="AH85" s="224">
        <f>IF(OR($A85="",N($O85)&lt;=0),"",IF($P85="Giờ",$O85,$O85*24))</f>
      </c>
      <c r="AI85" s="224">
        <f>IF(OR(N($AA85)=0,N($B85)=0),"",IF($AA85&lt;$B85,"",($AA85-$B85)*24))</f>
      </c>
      <c r="AJ85" s="225">
        <f>IF($A85="","",IF(COUNTIF('Nhật ký tiến độ'!$C$6:$C$3005,$A85)=0,0,_xlfn.MAXIFS('Nhật ký tiến độ'!$N$6:$N$3005,'Nhật ký tiến độ'!$C$6:$C$3005,$A85,'Nhật ký tiến độ'!$B$6:$B$3005,_xlfn.MAXIFS('Nhật ký tiến độ'!$B$6:$B$3005,'Nhật ký tiến độ'!$C$6:$C$3005,$A85))))</f>
      </c>
      <c r="AK85" s="225">
        <f>IF(OR($A85="",$V85="Đã xử lý"),"",IF(N($AO85)&gt;0,5-$AO85,IF($J85="Khẩn cấp",5,IF($Y85="Chậm tiến độ",6,IF(OR($Y85="Sắp đến hạn",$J85="Cao"),7,"")))))</f>
      </c>
      <c r="AL85" s="225">
        <f>IF($AK85="","",$AK85*100000+IF(N($U85)=0,99999,INT($U85))+ROW()/100000)</f>
      </c>
      <c r="AM85" s="225">
        <f>IF(OR($A85="",TRIM($K85)="",COUNTIF($K$6:$K85,$K85)&gt;1),0,1)</f>
      </c>
      <c r="AN85" s="225">
        <f>IF($AM85=1,SUM($AM$6:$AM85),"")</f>
      </c>
      <c r="AO85" s="225">
        <f>IF(OR($A85="",$V85="Đã xử lý",N($U85)=0),0,IF(TDBC&lt;=$U85,0,MAX(1,MIN(4,IF((TDBC-$U85)*24&lt;24,1,IF((TDBC-$U85)*24&lt;72,2,IF((TDBC-$U85)*24&lt;168,3,4)))+IFERROR(INDEX({2,1,0,-1},MATCH($J85,{"Khẩn cấp","Cao","Trung bình","Thấp"},0)),0)))))</f>
      </c>
    </row>
    <row r="86">
      <c r="A86" s="216"/>
      <c r="B86" s="217"/>
      <c r="C86" s="218"/>
      <c r="D86" s="218"/>
      <c r="E86" s="218"/>
      <c r="F86" s="218"/>
      <c r="G86" s="216"/>
      <c r="H86" s="218"/>
      <c r="I86" s="218"/>
      <c r="J86" s="216"/>
      <c r="K86" s="218"/>
      <c r="L86" s="218"/>
      <c r="M86" s="218"/>
      <c r="N86" s="218"/>
      <c r="O86" s="219"/>
      <c r="P86" s="216"/>
      <c r="Q86" s="217"/>
      <c r="R86" s="216"/>
      <c r="S86" s="218"/>
      <c r="T86" s="218"/>
      <c r="U86" s="220">
        <f>IF($A86="","",IF(N($Q86)&gt;0,IF(MOD($Q86,1)=0,$Q86+1-1/1440,$Q86),IF(N($B86)=0,"",$B86+IF(N($AH86)&gt;0,$AH86,IFERROR(INDEX(DM_SLA_Gio,MATCH($J86,DM_SLA_Cap,0)),168))/24)))</f>
      </c>
      <c r="V86" s="221">
        <f>IF($A86="","",IF(N($AJ86)=0,"Mới tiếp nhận",INDEX('Nhật ký tiến độ'!$E:$E,$AJ86)))</f>
      </c>
      <c r="W86" s="222">
        <f>IF($A86="","",IF($V86="Đã xử lý",1,IF(N($AJ86)=0,0,N(INDEX('Nhật ký tiến độ'!$D:$D,$AJ86)))))</f>
      </c>
      <c r="X86" s="222">
        <f>IF(OR($A86="",$V86="Đã xử lý",N($U86)=0,N($B86)=0),"",IF(TDBC&lt;=$B86,0,IF(TDBC&gt;=$U86,1,(TDBC-$B86)/($U86-$B86))))</f>
      </c>
      <c r="Y86" s="223">
        <f>IF($A86="","",IF($V86="Đã xử lý","Hoàn thành",IF(N($U86)=0,"Chưa đặt hạn",IF(TDBC&gt;$U86,"Quá hạn",IF(ROUND((N($X86)-$W86)*100,0)&gt;=20,"Chậm tiến độ",IF($U86-TDBC&lt;=1,"Sắp đến hạn","Đúng tiến độ"))))))</f>
      </c>
      <c r="Z86" s="223">
        <f>IF(OR($A86="",$V86="Đã xử lý",N($U86)=0),"",IF(TDBC&gt;$U86,"Quá "&amp;IF(((TDBC-$U86)*24)&lt;1,MAX(1,ROUND(((TDBC-$U86)*24)*60,0))&amp;" phút",IF(ROUND(((TDBC-$U86)*24),0)&lt;24,ROUND(((TDBC-$U86)*24),0)&amp;" giờ",INT(ROUND(((TDBC-$U86)*24),0)/24)&amp;" ngày"&amp;IF(MOD(ROUND(((TDBC-$U86)*24),0),24)&gt;0," "&amp;MOD(ROUND(((TDBC-$U86)*24),0),24)&amp;" giờ",""))),"Còn "&amp;IF((($U86-TDBC)*24)&lt;1,MAX(1,ROUND((($U86-TDBC)*24)*60,0))&amp;" phút",IF(ROUND((($U86-TDBC)*24),0)&lt;24,ROUND((($U86-TDBC)*24),0)&amp;" giờ",INT(ROUND((($U86-TDBC)*24),0)/24)&amp;" ngày"&amp;IF(MOD(ROUND((($U86-TDBC)*24),0),24)&gt;0," "&amp;MOD(ROUND((($U86-TDBC)*24),0),24)&amp;" giờ","")))))</f>
      </c>
      <c r="AA86" s="220">
        <f>IF($V86="Đã xử lý",_xlfn.MAXIFS('Nhật ký tiến độ'!$B$6:$B$3005,'Nhật ký tiến độ'!$C$6:$C$3005,$A86,'Nhật ký tiến độ'!$E$6:$E$3005,"Đã xử lý"),"")</f>
      </c>
      <c r="AB86" s="223">
        <f>IF($AI86="","",IF($AI86&lt;1,MAX(1,ROUND($AI86*60,0))&amp;" phút",IF(ROUND($AI86,0)&lt;24,ROUND($AI86,0)&amp;" giờ",INT(ROUND($AI86,0)/24)&amp;" ngày"&amp;IF(MOD(ROUND($AI86,0),24)&gt;0," "&amp;MOD(ROUND($AI86,0),24)&amp;" giờ",""))))</f>
      </c>
      <c r="AC86" s="223">
        <f>IF(OR($A86="",N($AH86)=0),"",IF($AI86&lt;&gt;"",IF($AI86&lt;=$AH86,"Trong ước tính","Vượt "&amp;IF(($AI86-$AH86)&lt;1,MAX(1,ROUND(($AI86-$AH86)*60,0))&amp;" phút",IF(ROUND(($AI86-$AH86),0)&lt;24,ROUND(($AI86-$AH86),0)&amp;" giờ",INT(ROUND(($AI86-$AH86),0)/24)&amp;" ngày"&amp;IF(MOD(ROUND(($AI86-$AH86),0),24)&gt;0," "&amp;MOD(ROUND(($AI86-$AH86),0),24)&amp;" giờ","")))),IF(OR($V86="Đã xử lý",N($B86)=0),"",IF((TDBC-$B86)*24&gt;$AH86,"Đã vượt ước tính","Đã dùng "&amp;TEXT((TDBC-$B86)*24/$AH86,"0%")))))</f>
      </c>
      <c r="AD86" s="223">
        <f>IF(N($AO86)=0,"",CHOOSE($AO86,"Nhắc nhở","Cảnh báo","Báo động","Báo động đỏ"))</f>
      </c>
      <c r="AE86" s="223">
        <f>IF(OR(N($AA86)=0,N($U86)=0),"",IF($AA86&lt;=$U86,"Đúng hạn","Trễ hạn"))</f>
      </c>
      <c r="AF86" s="220">
        <f>IF($A86="","",_xlfn.MAXIFS('Nhật ký tiến độ'!$B$6:$B$3005,'Nhật ký tiến độ'!$C$6:$C$3005,$A86))</f>
      </c>
      <c r="AG86" s="223">
        <f>IF($A86="","",IF(COUNTIF('Kế hoạch'!$M$6:$M$305,$A86)=0,"",COUNTIF('Kế hoạch'!$M$6:$M$305,$A86)&amp;" việc"))</f>
      </c>
      <c r="AH86" s="224">
        <f>IF(OR($A86="",N($O86)&lt;=0),"",IF($P86="Giờ",$O86,$O86*24))</f>
      </c>
      <c r="AI86" s="224">
        <f>IF(OR(N($AA86)=0,N($B86)=0),"",IF($AA86&lt;$B86,"",($AA86-$B86)*24))</f>
      </c>
      <c r="AJ86" s="225">
        <f>IF($A86="","",IF(COUNTIF('Nhật ký tiến độ'!$C$6:$C$3005,$A86)=0,0,_xlfn.MAXIFS('Nhật ký tiến độ'!$N$6:$N$3005,'Nhật ký tiến độ'!$C$6:$C$3005,$A86,'Nhật ký tiến độ'!$B$6:$B$3005,_xlfn.MAXIFS('Nhật ký tiến độ'!$B$6:$B$3005,'Nhật ký tiến độ'!$C$6:$C$3005,$A86))))</f>
      </c>
      <c r="AK86" s="225">
        <f>IF(OR($A86="",$V86="Đã xử lý"),"",IF(N($AO86)&gt;0,5-$AO86,IF($J86="Khẩn cấp",5,IF($Y86="Chậm tiến độ",6,IF(OR($Y86="Sắp đến hạn",$J86="Cao"),7,"")))))</f>
      </c>
      <c r="AL86" s="225">
        <f>IF($AK86="","",$AK86*100000+IF(N($U86)=0,99999,INT($U86))+ROW()/100000)</f>
      </c>
      <c r="AM86" s="225">
        <f>IF(OR($A86="",TRIM($K86)="",COUNTIF($K$6:$K86,$K86)&gt;1),0,1)</f>
      </c>
      <c r="AN86" s="225">
        <f>IF($AM86=1,SUM($AM$6:$AM86),"")</f>
      </c>
      <c r="AO86" s="225">
        <f>IF(OR($A86="",$V86="Đã xử lý",N($U86)=0),0,IF(TDBC&lt;=$U86,0,MAX(1,MIN(4,IF((TDBC-$U86)*24&lt;24,1,IF((TDBC-$U86)*24&lt;72,2,IF((TDBC-$U86)*24&lt;168,3,4)))+IFERROR(INDEX({2,1,0,-1},MATCH($J86,{"Khẩn cấp","Cao","Trung bình","Thấp"},0)),0)))))</f>
      </c>
    </row>
    <row r="87">
      <c r="A87" s="216"/>
      <c r="B87" s="217"/>
      <c r="C87" s="218"/>
      <c r="D87" s="218"/>
      <c r="E87" s="218"/>
      <c r="F87" s="218"/>
      <c r="G87" s="216"/>
      <c r="H87" s="218"/>
      <c r="I87" s="218"/>
      <c r="J87" s="216"/>
      <c r="K87" s="218"/>
      <c r="L87" s="218"/>
      <c r="M87" s="218"/>
      <c r="N87" s="218"/>
      <c r="O87" s="219"/>
      <c r="P87" s="216"/>
      <c r="Q87" s="217"/>
      <c r="R87" s="216"/>
      <c r="S87" s="218"/>
      <c r="T87" s="218"/>
      <c r="U87" s="220">
        <f>IF($A87="","",IF(N($Q87)&gt;0,IF(MOD($Q87,1)=0,$Q87+1-1/1440,$Q87),IF(N($B87)=0,"",$B87+IF(N($AH87)&gt;0,$AH87,IFERROR(INDEX(DM_SLA_Gio,MATCH($J87,DM_SLA_Cap,0)),168))/24)))</f>
      </c>
      <c r="V87" s="221">
        <f>IF($A87="","",IF(N($AJ87)=0,"Mới tiếp nhận",INDEX('Nhật ký tiến độ'!$E:$E,$AJ87)))</f>
      </c>
      <c r="W87" s="222">
        <f>IF($A87="","",IF($V87="Đã xử lý",1,IF(N($AJ87)=0,0,N(INDEX('Nhật ký tiến độ'!$D:$D,$AJ87)))))</f>
      </c>
      <c r="X87" s="222">
        <f>IF(OR($A87="",$V87="Đã xử lý",N($U87)=0,N($B87)=0),"",IF(TDBC&lt;=$B87,0,IF(TDBC&gt;=$U87,1,(TDBC-$B87)/($U87-$B87))))</f>
      </c>
      <c r="Y87" s="223">
        <f>IF($A87="","",IF($V87="Đã xử lý","Hoàn thành",IF(N($U87)=0,"Chưa đặt hạn",IF(TDBC&gt;$U87,"Quá hạn",IF(ROUND((N($X87)-$W87)*100,0)&gt;=20,"Chậm tiến độ",IF($U87-TDBC&lt;=1,"Sắp đến hạn","Đúng tiến độ"))))))</f>
      </c>
      <c r="Z87" s="223">
        <f>IF(OR($A87="",$V87="Đã xử lý",N($U87)=0),"",IF(TDBC&gt;$U87,"Quá "&amp;IF(((TDBC-$U87)*24)&lt;1,MAX(1,ROUND(((TDBC-$U87)*24)*60,0))&amp;" phút",IF(ROUND(((TDBC-$U87)*24),0)&lt;24,ROUND(((TDBC-$U87)*24),0)&amp;" giờ",INT(ROUND(((TDBC-$U87)*24),0)/24)&amp;" ngày"&amp;IF(MOD(ROUND(((TDBC-$U87)*24),0),24)&gt;0," "&amp;MOD(ROUND(((TDBC-$U87)*24),0),24)&amp;" giờ",""))),"Còn "&amp;IF((($U87-TDBC)*24)&lt;1,MAX(1,ROUND((($U87-TDBC)*24)*60,0))&amp;" phút",IF(ROUND((($U87-TDBC)*24),0)&lt;24,ROUND((($U87-TDBC)*24),0)&amp;" giờ",INT(ROUND((($U87-TDBC)*24),0)/24)&amp;" ngày"&amp;IF(MOD(ROUND((($U87-TDBC)*24),0),24)&gt;0," "&amp;MOD(ROUND((($U87-TDBC)*24),0),24)&amp;" giờ","")))))</f>
      </c>
      <c r="AA87" s="220">
        <f>IF($V87="Đã xử lý",_xlfn.MAXIFS('Nhật ký tiến độ'!$B$6:$B$3005,'Nhật ký tiến độ'!$C$6:$C$3005,$A87,'Nhật ký tiến độ'!$E$6:$E$3005,"Đã xử lý"),"")</f>
      </c>
      <c r="AB87" s="223">
        <f>IF($AI87="","",IF($AI87&lt;1,MAX(1,ROUND($AI87*60,0))&amp;" phút",IF(ROUND($AI87,0)&lt;24,ROUND($AI87,0)&amp;" giờ",INT(ROUND($AI87,0)/24)&amp;" ngày"&amp;IF(MOD(ROUND($AI87,0),24)&gt;0," "&amp;MOD(ROUND($AI87,0),24)&amp;" giờ",""))))</f>
      </c>
      <c r="AC87" s="223">
        <f>IF(OR($A87="",N($AH87)=0),"",IF($AI87&lt;&gt;"",IF($AI87&lt;=$AH87,"Trong ước tính","Vượt "&amp;IF(($AI87-$AH87)&lt;1,MAX(1,ROUND(($AI87-$AH87)*60,0))&amp;" phút",IF(ROUND(($AI87-$AH87),0)&lt;24,ROUND(($AI87-$AH87),0)&amp;" giờ",INT(ROUND(($AI87-$AH87),0)/24)&amp;" ngày"&amp;IF(MOD(ROUND(($AI87-$AH87),0),24)&gt;0," "&amp;MOD(ROUND(($AI87-$AH87),0),24)&amp;" giờ","")))),IF(OR($V87="Đã xử lý",N($B87)=0),"",IF((TDBC-$B87)*24&gt;$AH87,"Đã vượt ước tính","Đã dùng "&amp;TEXT((TDBC-$B87)*24/$AH87,"0%")))))</f>
      </c>
      <c r="AD87" s="223">
        <f>IF(N($AO87)=0,"",CHOOSE($AO87,"Nhắc nhở","Cảnh báo","Báo động","Báo động đỏ"))</f>
      </c>
      <c r="AE87" s="223">
        <f>IF(OR(N($AA87)=0,N($U87)=0),"",IF($AA87&lt;=$U87,"Đúng hạn","Trễ hạn"))</f>
      </c>
      <c r="AF87" s="220">
        <f>IF($A87="","",_xlfn.MAXIFS('Nhật ký tiến độ'!$B$6:$B$3005,'Nhật ký tiến độ'!$C$6:$C$3005,$A87))</f>
      </c>
      <c r="AG87" s="223">
        <f>IF($A87="","",IF(COUNTIF('Kế hoạch'!$M$6:$M$305,$A87)=0,"",COUNTIF('Kế hoạch'!$M$6:$M$305,$A87)&amp;" việc"))</f>
      </c>
      <c r="AH87" s="224">
        <f>IF(OR($A87="",N($O87)&lt;=0),"",IF($P87="Giờ",$O87,$O87*24))</f>
      </c>
      <c r="AI87" s="224">
        <f>IF(OR(N($AA87)=0,N($B87)=0),"",IF($AA87&lt;$B87,"",($AA87-$B87)*24))</f>
      </c>
      <c r="AJ87" s="225">
        <f>IF($A87="","",IF(COUNTIF('Nhật ký tiến độ'!$C$6:$C$3005,$A87)=0,0,_xlfn.MAXIFS('Nhật ký tiến độ'!$N$6:$N$3005,'Nhật ký tiến độ'!$C$6:$C$3005,$A87,'Nhật ký tiến độ'!$B$6:$B$3005,_xlfn.MAXIFS('Nhật ký tiến độ'!$B$6:$B$3005,'Nhật ký tiến độ'!$C$6:$C$3005,$A87))))</f>
      </c>
      <c r="AK87" s="225">
        <f>IF(OR($A87="",$V87="Đã xử lý"),"",IF(N($AO87)&gt;0,5-$AO87,IF($J87="Khẩn cấp",5,IF($Y87="Chậm tiến độ",6,IF(OR($Y87="Sắp đến hạn",$J87="Cao"),7,"")))))</f>
      </c>
      <c r="AL87" s="225">
        <f>IF($AK87="","",$AK87*100000+IF(N($U87)=0,99999,INT($U87))+ROW()/100000)</f>
      </c>
      <c r="AM87" s="225">
        <f>IF(OR($A87="",TRIM($K87)="",COUNTIF($K$6:$K87,$K87)&gt;1),0,1)</f>
      </c>
      <c r="AN87" s="225">
        <f>IF($AM87=1,SUM($AM$6:$AM87),"")</f>
      </c>
      <c r="AO87" s="225">
        <f>IF(OR($A87="",$V87="Đã xử lý",N($U87)=0),0,IF(TDBC&lt;=$U87,0,MAX(1,MIN(4,IF((TDBC-$U87)*24&lt;24,1,IF((TDBC-$U87)*24&lt;72,2,IF((TDBC-$U87)*24&lt;168,3,4)))+IFERROR(INDEX({2,1,0,-1},MATCH($J87,{"Khẩn cấp","Cao","Trung bình","Thấp"},0)),0)))))</f>
      </c>
    </row>
    <row r="88">
      <c r="A88" s="216"/>
      <c r="B88" s="217"/>
      <c r="C88" s="218"/>
      <c r="D88" s="218"/>
      <c r="E88" s="218"/>
      <c r="F88" s="218"/>
      <c r="G88" s="216"/>
      <c r="H88" s="218"/>
      <c r="I88" s="218"/>
      <c r="J88" s="216"/>
      <c r="K88" s="218"/>
      <c r="L88" s="218"/>
      <c r="M88" s="218"/>
      <c r="N88" s="218"/>
      <c r="O88" s="219"/>
      <c r="P88" s="216"/>
      <c r="Q88" s="217"/>
      <c r="R88" s="216"/>
      <c r="S88" s="218"/>
      <c r="T88" s="218"/>
      <c r="U88" s="220">
        <f>IF($A88="","",IF(N($Q88)&gt;0,IF(MOD($Q88,1)=0,$Q88+1-1/1440,$Q88),IF(N($B88)=0,"",$B88+IF(N($AH88)&gt;0,$AH88,IFERROR(INDEX(DM_SLA_Gio,MATCH($J88,DM_SLA_Cap,0)),168))/24)))</f>
      </c>
      <c r="V88" s="221">
        <f>IF($A88="","",IF(N($AJ88)=0,"Mới tiếp nhận",INDEX('Nhật ký tiến độ'!$E:$E,$AJ88)))</f>
      </c>
      <c r="W88" s="222">
        <f>IF($A88="","",IF($V88="Đã xử lý",1,IF(N($AJ88)=0,0,N(INDEX('Nhật ký tiến độ'!$D:$D,$AJ88)))))</f>
      </c>
      <c r="X88" s="222">
        <f>IF(OR($A88="",$V88="Đã xử lý",N($U88)=0,N($B88)=0),"",IF(TDBC&lt;=$B88,0,IF(TDBC&gt;=$U88,1,(TDBC-$B88)/($U88-$B88))))</f>
      </c>
      <c r="Y88" s="223">
        <f>IF($A88="","",IF($V88="Đã xử lý","Hoàn thành",IF(N($U88)=0,"Chưa đặt hạn",IF(TDBC&gt;$U88,"Quá hạn",IF(ROUND((N($X88)-$W88)*100,0)&gt;=20,"Chậm tiến độ",IF($U88-TDBC&lt;=1,"Sắp đến hạn","Đúng tiến độ"))))))</f>
      </c>
      <c r="Z88" s="223">
        <f>IF(OR($A88="",$V88="Đã xử lý",N($U88)=0),"",IF(TDBC&gt;$U88,"Quá "&amp;IF(((TDBC-$U88)*24)&lt;1,MAX(1,ROUND(((TDBC-$U88)*24)*60,0))&amp;" phút",IF(ROUND(((TDBC-$U88)*24),0)&lt;24,ROUND(((TDBC-$U88)*24),0)&amp;" giờ",INT(ROUND(((TDBC-$U88)*24),0)/24)&amp;" ngày"&amp;IF(MOD(ROUND(((TDBC-$U88)*24),0),24)&gt;0," "&amp;MOD(ROUND(((TDBC-$U88)*24),0),24)&amp;" giờ",""))),"Còn "&amp;IF((($U88-TDBC)*24)&lt;1,MAX(1,ROUND((($U88-TDBC)*24)*60,0))&amp;" phút",IF(ROUND((($U88-TDBC)*24),0)&lt;24,ROUND((($U88-TDBC)*24),0)&amp;" giờ",INT(ROUND((($U88-TDBC)*24),0)/24)&amp;" ngày"&amp;IF(MOD(ROUND((($U88-TDBC)*24),0),24)&gt;0," "&amp;MOD(ROUND((($U88-TDBC)*24),0),24)&amp;" giờ","")))))</f>
      </c>
      <c r="AA88" s="220">
        <f>IF($V88="Đã xử lý",_xlfn.MAXIFS('Nhật ký tiến độ'!$B$6:$B$3005,'Nhật ký tiến độ'!$C$6:$C$3005,$A88,'Nhật ký tiến độ'!$E$6:$E$3005,"Đã xử lý"),"")</f>
      </c>
      <c r="AB88" s="223">
        <f>IF($AI88="","",IF($AI88&lt;1,MAX(1,ROUND($AI88*60,0))&amp;" phút",IF(ROUND($AI88,0)&lt;24,ROUND($AI88,0)&amp;" giờ",INT(ROUND($AI88,0)/24)&amp;" ngày"&amp;IF(MOD(ROUND($AI88,0),24)&gt;0," "&amp;MOD(ROUND($AI88,0),24)&amp;" giờ",""))))</f>
      </c>
      <c r="AC88" s="223">
        <f>IF(OR($A88="",N($AH88)=0),"",IF($AI88&lt;&gt;"",IF($AI88&lt;=$AH88,"Trong ước tính","Vượt "&amp;IF(($AI88-$AH88)&lt;1,MAX(1,ROUND(($AI88-$AH88)*60,0))&amp;" phút",IF(ROUND(($AI88-$AH88),0)&lt;24,ROUND(($AI88-$AH88),0)&amp;" giờ",INT(ROUND(($AI88-$AH88),0)/24)&amp;" ngày"&amp;IF(MOD(ROUND(($AI88-$AH88),0),24)&gt;0," "&amp;MOD(ROUND(($AI88-$AH88),0),24)&amp;" giờ","")))),IF(OR($V88="Đã xử lý",N($B88)=0),"",IF((TDBC-$B88)*24&gt;$AH88,"Đã vượt ước tính","Đã dùng "&amp;TEXT((TDBC-$B88)*24/$AH88,"0%")))))</f>
      </c>
      <c r="AD88" s="223">
        <f>IF(N($AO88)=0,"",CHOOSE($AO88,"Nhắc nhở","Cảnh báo","Báo động","Báo động đỏ"))</f>
      </c>
      <c r="AE88" s="223">
        <f>IF(OR(N($AA88)=0,N($U88)=0),"",IF($AA88&lt;=$U88,"Đúng hạn","Trễ hạn"))</f>
      </c>
      <c r="AF88" s="220">
        <f>IF($A88="","",_xlfn.MAXIFS('Nhật ký tiến độ'!$B$6:$B$3005,'Nhật ký tiến độ'!$C$6:$C$3005,$A88))</f>
      </c>
      <c r="AG88" s="223">
        <f>IF($A88="","",IF(COUNTIF('Kế hoạch'!$M$6:$M$305,$A88)=0,"",COUNTIF('Kế hoạch'!$M$6:$M$305,$A88)&amp;" việc"))</f>
      </c>
      <c r="AH88" s="224">
        <f>IF(OR($A88="",N($O88)&lt;=0),"",IF($P88="Giờ",$O88,$O88*24))</f>
      </c>
      <c r="AI88" s="224">
        <f>IF(OR(N($AA88)=0,N($B88)=0),"",IF($AA88&lt;$B88,"",($AA88-$B88)*24))</f>
      </c>
      <c r="AJ88" s="225">
        <f>IF($A88="","",IF(COUNTIF('Nhật ký tiến độ'!$C$6:$C$3005,$A88)=0,0,_xlfn.MAXIFS('Nhật ký tiến độ'!$N$6:$N$3005,'Nhật ký tiến độ'!$C$6:$C$3005,$A88,'Nhật ký tiến độ'!$B$6:$B$3005,_xlfn.MAXIFS('Nhật ký tiến độ'!$B$6:$B$3005,'Nhật ký tiến độ'!$C$6:$C$3005,$A88))))</f>
      </c>
      <c r="AK88" s="225">
        <f>IF(OR($A88="",$V88="Đã xử lý"),"",IF(N($AO88)&gt;0,5-$AO88,IF($J88="Khẩn cấp",5,IF($Y88="Chậm tiến độ",6,IF(OR($Y88="Sắp đến hạn",$J88="Cao"),7,"")))))</f>
      </c>
      <c r="AL88" s="225">
        <f>IF($AK88="","",$AK88*100000+IF(N($U88)=0,99999,INT($U88))+ROW()/100000)</f>
      </c>
      <c r="AM88" s="225">
        <f>IF(OR($A88="",TRIM($K88)="",COUNTIF($K$6:$K88,$K88)&gt;1),0,1)</f>
      </c>
      <c r="AN88" s="225">
        <f>IF($AM88=1,SUM($AM$6:$AM88),"")</f>
      </c>
      <c r="AO88" s="225">
        <f>IF(OR($A88="",$V88="Đã xử lý",N($U88)=0),0,IF(TDBC&lt;=$U88,0,MAX(1,MIN(4,IF((TDBC-$U88)*24&lt;24,1,IF((TDBC-$U88)*24&lt;72,2,IF((TDBC-$U88)*24&lt;168,3,4)))+IFERROR(INDEX({2,1,0,-1},MATCH($J88,{"Khẩn cấp","Cao","Trung bình","Thấp"},0)),0)))))</f>
      </c>
    </row>
    <row r="89">
      <c r="A89" s="216"/>
      <c r="B89" s="217"/>
      <c r="C89" s="218"/>
      <c r="D89" s="218"/>
      <c r="E89" s="218"/>
      <c r="F89" s="218"/>
      <c r="G89" s="216"/>
      <c r="H89" s="218"/>
      <c r="I89" s="218"/>
      <c r="J89" s="216"/>
      <c r="K89" s="218"/>
      <c r="L89" s="218"/>
      <c r="M89" s="218"/>
      <c r="N89" s="218"/>
      <c r="O89" s="219"/>
      <c r="P89" s="216"/>
      <c r="Q89" s="217"/>
      <c r="R89" s="216"/>
      <c r="S89" s="218"/>
      <c r="T89" s="218"/>
      <c r="U89" s="220">
        <f>IF($A89="","",IF(N($Q89)&gt;0,IF(MOD($Q89,1)=0,$Q89+1-1/1440,$Q89),IF(N($B89)=0,"",$B89+IF(N($AH89)&gt;0,$AH89,IFERROR(INDEX(DM_SLA_Gio,MATCH($J89,DM_SLA_Cap,0)),168))/24)))</f>
      </c>
      <c r="V89" s="221">
        <f>IF($A89="","",IF(N($AJ89)=0,"Mới tiếp nhận",INDEX('Nhật ký tiến độ'!$E:$E,$AJ89)))</f>
      </c>
      <c r="W89" s="222">
        <f>IF($A89="","",IF($V89="Đã xử lý",1,IF(N($AJ89)=0,0,N(INDEX('Nhật ký tiến độ'!$D:$D,$AJ89)))))</f>
      </c>
      <c r="X89" s="222">
        <f>IF(OR($A89="",$V89="Đã xử lý",N($U89)=0,N($B89)=0),"",IF(TDBC&lt;=$B89,0,IF(TDBC&gt;=$U89,1,(TDBC-$B89)/($U89-$B89))))</f>
      </c>
      <c r="Y89" s="223">
        <f>IF($A89="","",IF($V89="Đã xử lý","Hoàn thành",IF(N($U89)=0,"Chưa đặt hạn",IF(TDBC&gt;$U89,"Quá hạn",IF(ROUND((N($X89)-$W89)*100,0)&gt;=20,"Chậm tiến độ",IF($U89-TDBC&lt;=1,"Sắp đến hạn","Đúng tiến độ"))))))</f>
      </c>
      <c r="Z89" s="223">
        <f>IF(OR($A89="",$V89="Đã xử lý",N($U89)=0),"",IF(TDBC&gt;$U89,"Quá "&amp;IF(((TDBC-$U89)*24)&lt;1,MAX(1,ROUND(((TDBC-$U89)*24)*60,0))&amp;" phút",IF(ROUND(((TDBC-$U89)*24),0)&lt;24,ROUND(((TDBC-$U89)*24),0)&amp;" giờ",INT(ROUND(((TDBC-$U89)*24),0)/24)&amp;" ngày"&amp;IF(MOD(ROUND(((TDBC-$U89)*24),0),24)&gt;0," "&amp;MOD(ROUND(((TDBC-$U89)*24),0),24)&amp;" giờ",""))),"Còn "&amp;IF((($U89-TDBC)*24)&lt;1,MAX(1,ROUND((($U89-TDBC)*24)*60,0))&amp;" phút",IF(ROUND((($U89-TDBC)*24),0)&lt;24,ROUND((($U89-TDBC)*24),0)&amp;" giờ",INT(ROUND((($U89-TDBC)*24),0)/24)&amp;" ngày"&amp;IF(MOD(ROUND((($U89-TDBC)*24),0),24)&gt;0," "&amp;MOD(ROUND((($U89-TDBC)*24),0),24)&amp;" giờ","")))))</f>
      </c>
      <c r="AA89" s="220">
        <f>IF($V89="Đã xử lý",_xlfn.MAXIFS('Nhật ký tiến độ'!$B$6:$B$3005,'Nhật ký tiến độ'!$C$6:$C$3005,$A89,'Nhật ký tiến độ'!$E$6:$E$3005,"Đã xử lý"),"")</f>
      </c>
      <c r="AB89" s="223">
        <f>IF($AI89="","",IF($AI89&lt;1,MAX(1,ROUND($AI89*60,0))&amp;" phút",IF(ROUND($AI89,0)&lt;24,ROUND($AI89,0)&amp;" giờ",INT(ROUND($AI89,0)/24)&amp;" ngày"&amp;IF(MOD(ROUND($AI89,0),24)&gt;0," "&amp;MOD(ROUND($AI89,0),24)&amp;" giờ",""))))</f>
      </c>
      <c r="AC89" s="223">
        <f>IF(OR($A89="",N($AH89)=0),"",IF($AI89&lt;&gt;"",IF($AI89&lt;=$AH89,"Trong ước tính","Vượt "&amp;IF(($AI89-$AH89)&lt;1,MAX(1,ROUND(($AI89-$AH89)*60,0))&amp;" phút",IF(ROUND(($AI89-$AH89),0)&lt;24,ROUND(($AI89-$AH89),0)&amp;" giờ",INT(ROUND(($AI89-$AH89),0)/24)&amp;" ngày"&amp;IF(MOD(ROUND(($AI89-$AH89),0),24)&gt;0," "&amp;MOD(ROUND(($AI89-$AH89),0),24)&amp;" giờ","")))),IF(OR($V89="Đã xử lý",N($B89)=0),"",IF((TDBC-$B89)*24&gt;$AH89,"Đã vượt ước tính","Đã dùng "&amp;TEXT((TDBC-$B89)*24/$AH89,"0%")))))</f>
      </c>
      <c r="AD89" s="223">
        <f>IF(N($AO89)=0,"",CHOOSE($AO89,"Nhắc nhở","Cảnh báo","Báo động","Báo động đỏ"))</f>
      </c>
      <c r="AE89" s="223">
        <f>IF(OR(N($AA89)=0,N($U89)=0),"",IF($AA89&lt;=$U89,"Đúng hạn","Trễ hạn"))</f>
      </c>
      <c r="AF89" s="220">
        <f>IF($A89="","",_xlfn.MAXIFS('Nhật ký tiến độ'!$B$6:$B$3005,'Nhật ký tiến độ'!$C$6:$C$3005,$A89))</f>
      </c>
      <c r="AG89" s="223">
        <f>IF($A89="","",IF(COUNTIF('Kế hoạch'!$M$6:$M$305,$A89)=0,"",COUNTIF('Kế hoạch'!$M$6:$M$305,$A89)&amp;" việc"))</f>
      </c>
      <c r="AH89" s="224">
        <f>IF(OR($A89="",N($O89)&lt;=0),"",IF($P89="Giờ",$O89,$O89*24))</f>
      </c>
      <c r="AI89" s="224">
        <f>IF(OR(N($AA89)=0,N($B89)=0),"",IF($AA89&lt;$B89,"",($AA89-$B89)*24))</f>
      </c>
      <c r="AJ89" s="225">
        <f>IF($A89="","",IF(COUNTIF('Nhật ký tiến độ'!$C$6:$C$3005,$A89)=0,0,_xlfn.MAXIFS('Nhật ký tiến độ'!$N$6:$N$3005,'Nhật ký tiến độ'!$C$6:$C$3005,$A89,'Nhật ký tiến độ'!$B$6:$B$3005,_xlfn.MAXIFS('Nhật ký tiến độ'!$B$6:$B$3005,'Nhật ký tiến độ'!$C$6:$C$3005,$A89))))</f>
      </c>
      <c r="AK89" s="225">
        <f>IF(OR($A89="",$V89="Đã xử lý"),"",IF(N($AO89)&gt;0,5-$AO89,IF($J89="Khẩn cấp",5,IF($Y89="Chậm tiến độ",6,IF(OR($Y89="Sắp đến hạn",$J89="Cao"),7,"")))))</f>
      </c>
      <c r="AL89" s="225">
        <f>IF($AK89="","",$AK89*100000+IF(N($U89)=0,99999,INT($U89))+ROW()/100000)</f>
      </c>
      <c r="AM89" s="225">
        <f>IF(OR($A89="",TRIM($K89)="",COUNTIF($K$6:$K89,$K89)&gt;1),0,1)</f>
      </c>
      <c r="AN89" s="225">
        <f>IF($AM89=1,SUM($AM$6:$AM89),"")</f>
      </c>
      <c r="AO89" s="225">
        <f>IF(OR($A89="",$V89="Đã xử lý",N($U89)=0),0,IF(TDBC&lt;=$U89,0,MAX(1,MIN(4,IF((TDBC-$U89)*24&lt;24,1,IF((TDBC-$U89)*24&lt;72,2,IF((TDBC-$U89)*24&lt;168,3,4)))+IFERROR(INDEX({2,1,0,-1},MATCH($J89,{"Khẩn cấp","Cao","Trung bình","Thấp"},0)),0)))))</f>
      </c>
    </row>
    <row r="90">
      <c r="A90" s="216"/>
      <c r="B90" s="217"/>
      <c r="C90" s="218"/>
      <c r="D90" s="218"/>
      <c r="E90" s="218"/>
      <c r="F90" s="218"/>
      <c r="G90" s="216"/>
      <c r="H90" s="218"/>
      <c r="I90" s="218"/>
      <c r="J90" s="216"/>
      <c r="K90" s="218"/>
      <c r="L90" s="218"/>
      <c r="M90" s="218"/>
      <c r="N90" s="218"/>
      <c r="O90" s="219"/>
      <c r="P90" s="216"/>
      <c r="Q90" s="217"/>
      <c r="R90" s="216"/>
      <c r="S90" s="218"/>
      <c r="T90" s="218"/>
      <c r="U90" s="220">
        <f>IF($A90="","",IF(N($Q90)&gt;0,IF(MOD($Q90,1)=0,$Q90+1-1/1440,$Q90),IF(N($B90)=0,"",$B90+IF(N($AH90)&gt;0,$AH90,IFERROR(INDEX(DM_SLA_Gio,MATCH($J90,DM_SLA_Cap,0)),168))/24)))</f>
      </c>
      <c r="V90" s="221">
        <f>IF($A90="","",IF(N($AJ90)=0,"Mới tiếp nhận",INDEX('Nhật ký tiến độ'!$E:$E,$AJ90)))</f>
      </c>
      <c r="W90" s="222">
        <f>IF($A90="","",IF($V90="Đã xử lý",1,IF(N($AJ90)=0,0,N(INDEX('Nhật ký tiến độ'!$D:$D,$AJ90)))))</f>
      </c>
      <c r="X90" s="222">
        <f>IF(OR($A90="",$V90="Đã xử lý",N($U90)=0,N($B90)=0),"",IF(TDBC&lt;=$B90,0,IF(TDBC&gt;=$U90,1,(TDBC-$B90)/($U90-$B90))))</f>
      </c>
      <c r="Y90" s="223">
        <f>IF($A90="","",IF($V90="Đã xử lý","Hoàn thành",IF(N($U90)=0,"Chưa đặt hạn",IF(TDBC&gt;$U90,"Quá hạn",IF(ROUND((N($X90)-$W90)*100,0)&gt;=20,"Chậm tiến độ",IF($U90-TDBC&lt;=1,"Sắp đến hạn","Đúng tiến độ"))))))</f>
      </c>
      <c r="Z90" s="223">
        <f>IF(OR($A90="",$V90="Đã xử lý",N($U90)=0),"",IF(TDBC&gt;$U90,"Quá "&amp;IF(((TDBC-$U90)*24)&lt;1,MAX(1,ROUND(((TDBC-$U90)*24)*60,0))&amp;" phút",IF(ROUND(((TDBC-$U90)*24),0)&lt;24,ROUND(((TDBC-$U90)*24),0)&amp;" giờ",INT(ROUND(((TDBC-$U90)*24),0)/24)&amp;" ngày"&amp;IF(MOD(ROUND(((TDBC-$U90)*24),0),24)&gt;0," "&amp;MOD(ROUND(((TDBC-$U90)*24),0),24)&amp;" giờ",""))),"Còn "&amp;IF((($U90-TDBC)*24)&lt;1,MAX(1,ROUND((($U90-TDBC)*24)*60,0))&amp;" phút",IF(ROUND((($U90-TDBC)*24),0)&lt;24,ROUND((($U90-TDBC)*24),0)&amp;" giờ",INT(ROUND((($U90-TDBC)*24),0)/24)&amp;" ngày"&amp;IF(MOD(ROUND((($U90-TDBC)*24),0),24)&gt;0," "&amp;MOD(ROUND((($U90-TDBC)*24),0),24)&amp;" giờ","")))))</f>
      </c>
      <c r="AA90" s="220">
        <f>IF($V90="Đã xử lý",_xlfn.MAXIFS('Nhật ký tiến độ'!$B$6:$B$3005,'Nhật ký tiến độ'!$C$6:$C$3005,$A90,'Nhật ký tiến độ'!$E$6:$E$3005,"Đã xử lý"),"")</f>
      </c>
      <c r="AB90" s="223">
        <f>IF($AI90="","",IF($AI90&lt;1,MAX(1,ROUND($AI90*60,0))&amp;" phút",IF(ROUND($AI90,0)&lt;24,ROUND($AI90,0)&amp;" giờ",INT(ROUND($AI90,0)/24)&amp;" ngày"&amp;IF(MOD(ROUND($AI90,0),24)&gt;0," "&amp;MOD(ROUND($AI90,0),24)&amp;" giờ",""))))</f>
      </c>
      <c r="AC90" s="223">
        <f>IF(OR($A90="",N($AH90)=0),"",IF($AI90&lt;&gt;"",IF($AI90&lt;=$AH90,"Trong ước tính","Vượt "&amp;IF(($AI90-$AH90)&lt;1,MAX(1,ROUND(($AI90-$AH90)*60,0))&amp;" phút",IF(ROUND(($AI90-$AH90),0)&lt;24,ROUND(($AI90-$AH90),0)&amp;" giờ",INT(ROUND(($AI90-$AH90),0)/24)&amp;" ngày"&amp;IF(MOD(ROUND(($AI90-$AH90),0),24)&gt;0," "&amp;MOD(ROUND(($AI90-$AH90),0),24)&amp;" giờ","")))),IF(OR($V90="Đã xử lý",N($B90)=0),"",IF((TDBC-$B90)*24&gt;$AH90,"Đã vượt ước tính","Đã dùng "&amp;TEXT((TDBC-$B90)*24/$AH90,"0%")))))</f>
      </c>
      <c r="AD90" s="223">
        <f>IF(N($AO90)=0,"",CHOOSE($AO90,"Nhắc nhở","Cảnh báo","Báo động","Báo động đỏ"))</f>
      </c>
      <c r="AE90" s="223">
        <f>IF(OR(N($AA90)=0,N($U90)=0),"",IF($AA90&lt;=$U90,"Đúng hạn","Trễ hạn"))</f>
      </c>
      <c r="AF90" s="220">
        <f>IF($A90="","",_xlfn.MAXIFS('Nhật ký tiến độ'!$B$6:$B$3005,'Nhật ký tiến độ'!$C$6:$C$3005,$A90))</f>
      </c>
      <c r="AG90" s="223">
        <f>IF($A90="","",IF(COUNTIF('Kế hoạch'!$M$6:$M$305,$A90)=0,"",COUNTIF('Kế hoạch'!$M$6:$M$305,$A90)&amp;" việc"))</f>
      </c>
      <c r="AH90" s="224">
        <f>IF(OR($A90="",N($O90)&lt;=0),"",IF($P90="Giờ",$O90,$O90*24))</f>
      </c>
      <c r="AI90" s="224">
        <f>IF(OR(N($AA90)=0,N($B90)=0),"",IF($AA90&lt;$B90,"",($AA90-$B90)*24))</f>
      </c>
      <c r="AJ90" s="225">
        <f>IF($A90="","",IF(COUNTIF('Nhật ký tiến độ'!$C$6:$C$3005,$A90)=0,0,_xlfn.MAXIFS('Nhật ký tiến độ'!$N$6:$N$3005,'Nhật ký tiến độ'!$C$6:$C$3005,$A90,'Nhật ký tiến độ'!$B$6:$B$3005,_xlfn.MAXIFS('Nhật ký tiến độ'!$B$6:$B$3005,'Nhật ký tiến độ'!$C$6:$C$3005,$A90))))</f>
      </c>
      <c r="AK90" s="225">
        <f>IF(OR($A90="",$V90="Đã xử lý"),"",IF(N($AO90)&gt;0,5-$AO90,IF($J90="Khẩn cấp",5,IF($Y90="Chậm tiến độ",6,IF(OR($Y90="Sắp đến hạn",$J90="Cao"),7,"")))))</f>
      </c>
      <c r="AL90" s="225">
        <f>IF($AK90="","",$AK90*100000+IF(N($U90)=0,99999,INT($U90))+ROW()/100000)</f>
      </c>
      <c r="AM90" s="225">
        <f>IF(OR($A90="",TRIM($K90)="",COUNTIF($K$6:$K90,$K90)&gt;1),0,1)</f>
      </c>
      <c r="AN90" s="225">
        <f>IF($AM90=1,SUM($AM$6:$AM90),"")</f>
      </c>
      <c r="AO90" s="225">
        <f>IF(OR($A90="",$V90="Đã xử lý",N($U90)=0),0,IF(TDBC&lt;=$U90,0,MAX(1,MIN(4,IF((TDBC-$U90)*24&lt;24,1,IF((TDBC-$U90)*24&lt;72,2,IF((TDBC-$U90)*24&lt;168,3,4)))+IFERROR(INDEX({2,1,0,-1},MATCH($J90,{"Khẩn cấp","Cao","Trung bình","Thấp"},0)),0)))))</f>
      </c>
    </row>
    <row r="91">
      <c r="A91" s="216"/>
      <c r="B91" s="217"/>
      <c r="C91" s="218"/>
      <c r="D91" s="218"/>
      <c r="E91" s="218"/>
      <c r="F91" s="218"/>
      <c r="G91" s="216"/>
      <c r="H91" s="218"/>
      <c r="I91" s="218"/>
      <c r="J91" s="216"/>
      <c r="K91" s="218"/>
      <c r="L91" s="218"/>
      <c r="M91" s="218"/>
      <c r="N91" s="218"/>
      <c r="O91" s="219"/>
      <c r="P91" s="216"/>
      <c r="Q91" s="217"/>
      <c r="R91" s="216"/>
      <c r="S91" s="218"/>
      <c r="T91" s="218"/>
      <c r="U91" s="220">
        <f>IF($A91="","",IF(N($Q91)&gt;0,IF(MOD($Q91,1)=0,$Q91+1-1/1440,$Q91),IF(N($B91)=0,"",$B91+IF(N($AH91)&gt;0,$AH91,IFERROR(INDEX(DM_SLA_Gio,MATCH($J91,DM_SLA_Cap,0)),168))/24)))</f>
      </c>
      <c r="V91" s="221">
        <f>IF($A91="","",IF(N($AJ91)=0,"Mới tiếp nhận",INDEX('Nhật ký tiến độ'!$E:$E,$AJ91)))</f>
      </c>
      <c r="W91" s="222">
        <f>IF($A91="","",IF($V91="Đã xử lý",1,IF(N($AJ91)=0,0,N(INDEX('Nhật ký tiến độ'!$D:$D,$AJ91)))))</f>
      </c>
      <c r="X91" s="222">
        <f>IF(OR($A91="",$V91="Đã xử lý",N($U91)=0,N($B91)=0),"",IF(TDBC&lt;=$B91,0,IF(TDBC&gt;=$U91,1,(TDBC-$B91)/($U91-$B91))))</f>
      </c>
      <c r="Y91" s="223">
        <f>IF($A91="","",IF($V91="Đã xử lý","Hoàn thành",IF(N($U91)=0,"Chưa đặt hạn",IF(TDBC&gt;$U91,"Quá hạn",IF(ROUND((N($X91)-$W91)*100,0)&gt;=20,"Chậm tiến độ",IF($U91-TDBC&lt;=1,"Sắp đến hạn","Đúng tiến độ"))))))</f>
      </c>
      <c r="Z91" s="223">
        <f>IF(OR($A91="",$V91="Đã xử lý",N($U91)=0),"",IF(TDBC&gt;$U91,"Quá "&amp;IF(((TDBC-$U91)*24)&lt;1,MAX(1,ROUND(((TDBC-$U91)*24)*60,0))&amp;" phút",IF(ROUND(((TDBC-$U91)*24),0)&lt;24,ROUND(((TDBC-$U91)*24),0)&amp;" giờ",INT(ROUND(((TDBC-$U91)*24),0)/24)&amp;" ngày"&amp;IF(MOD(ROUND(((TDBC-$U91)*24),0),24)&gt;0," "&amp;MOD(ROUND(((TDBC-$U91)*24),0),24)&amp;" giờ",""))),"Còn "&amp;IF((($U91-TDBC)*24)&lt;1,MAX(1,ROUND((($U91-TDBC)*24)*60,0))&amp;" phút",IF(ROUND((($U91-TDBC)*24),0)&lt;24,ROUND((($U91-TDBC)*24),0)&amp;" giờ",INT(ROUND((($U91-TDBC)*24),0)/24)&amp;" ngày"&amp;IF(MOD(ROUND((($U91-TDBC)*24),0),24)&gt;0," "&amp;MOD(ROUND((($U91-TDBC)*24),0),24)&amp;" giờ","")))))</f>
      </c>
      <c r="AA91" s="220">
        <f>IF($V91="Đã xử lý",_xlfn.MAXIFS('Nhật ký tiến độ'!$B$6:$B$3005,'Nhật ký tiến độ'!$C$6:$C$3005,$A91,'Nhật ký tiến độ'!$E$6:$E$3005,"Đã xử lý"),"")</f>
      </c>
      <c r="AB91" s="223">
        <f>IF($AI91="","",IF($AI91&lt;1,MAX(1,ROUND($AI91*60,0))&amp;" phút",IF(ROUND($AI91,0)&lt;24,ROUND($AI91,0)&amp;" giờ",INT(ROUND($AI91,0)/24)&amp;" ngày"&amp;IF(MOD(ROUND($AI91,0),24)&gt;0," "&amp;MOD(ROUND($AI91,0),24)&amp;" giờ",""))))</f>
      </c>
      <c r="AC91" s="223">
        <f>IF(OR($A91="",N($AH91)=0),"",IF($AI91&lt;&gt;"",IF($AI91&lt;=$AH91,"Trong ước tính","Vượt "&amp;IF(($AI91-$AH91)&lt;1,MAX(1,ROUND(($AI91-$AH91)*60,0))&amp;" phút",IF(ROUND(($AI91-$AH91),0)&lt;24,ROUND(($AI91-$AH91),0)&amp;" giờ",INT(ROUND(($AI91-$AH91),0)/24)&amp;" ngày"&amp;IF(MOD(ROUND(($AI91-$AH91),0),24)&gt;0," "&amp;MOD(ROUND(($AI91-$AH91),0),24)&amp;" giờ","")))),IF(OR($V91="Đã xử lý",N($B91)=0),"",IF((TDBC-$B91)*24&gt;$AH91,"Đã vượt ước tính","Đã dùng "&amp;TEXT((TDBC-$B91)*24/$AH91,"0%")))))</f>
      </c>
      <c r="AD91" s="223">
        <f>IF(N($AO91)=0,"",CHOOSE($AO91,"Nhắc nhở","Cảnh báo","Báo động","Báo động đỏ"))</f>
      </c>
      <c r="AE91" s="223">
        <f>IF(OR(N($AA91)=0,N($U91)=0),"",IF($AA91&lt;=$U91,"Đúng hạn","Trễ hạn"))</f>
      </c>
      <c r="AF91" s="220">
        <f>IF($A91="","",_xlfn.MAXIFS('Nhật ký tiến độ'!$B$6:$B$3005,'Nhật ký tiến độ'!$C$6:$C$3005,$A91))</f>
      </c>
      <c r="AG91" s="223">
        <f>IF($A91="","",IF(COUNTIF('Kế hoạch'!$M$6:$M$305,$A91)=0,"",COUNTIF('Kế hoạch'!$M$6:$M$305,$A91)&amp;" việc"))</f>
      </c>
      <c r="AH91" s="224">
        <f>IF(OR($A91="",N($O91)&lt;=0),"",IF($P91="Giờ",$O91,$O91*24))</f>
      </c>
      <c r="AI91" s="224">
        <f>IF(OR(N($AA91)=0,N($B91)=0),"",IF($AA91&lt;$B91,"",($AA91-$B91)*24))</f>
      </c>
      <c r="AJ91" s="225">
        <f>IF($A91="","",IF(COUNTIF('Nhật ký tiến độ'!$C$6:$C$3005,$A91)=0,0,_xlfn.MAXIFS('Nhật ký tiến độ'!$N$6:$N$3005,'Nhật ký tiến độ'!$C$6:$C$3005,$A91,'Nhật ký tiến độ'!$B$6:$B$3005,_xlfn.MAXIFS('Nhật ký tiến độ'!$B$6:$B$3005,'Nhật ký tiến độ'!$C$6:$C$3005,$A91))))</f>
      </c>
      <c r="AK91" s="225">
        <f>IF(OR($A91="",$V91="Đã xử lý"),"",IF(N($AO91)&gt;0,5-$AO91,IF($J91="Khẩn cấp",5,IF($Y91="Chậm tiến độ",6,IF(OR($Y91="Sắp đến hạn",$J91="Cao"),7,"")))))</f>
      </c>
      <c r="AL91" s="225">
        <f>IF($AK91="","",$AK91*100000+IF(N($U91)=0,99999,INT($U91))+ROW()/100000)</f>
      </c>
      <c r="AM91" s="225">
        <f>IF(OR($A91="",TRIM($K91)="",COUNTIF($K$6:$K91,$K91)&gt;1),0,1)</f>
      </c>
      <c r="AN91" s="225">
        <f>IF($AM91=1,SUM($AM$6:$AM91),"")</f>
      </c>
      <c r="AO91" s="225">
        <f>IF(OR($A91="",$V91="Đã xử lý",N($U91)=0),0,IF(TDBC&lt;=$U91,0,MAX(1,MIN(4,IF((TDBC-$U91)*24&lt;24,1,IF((TDBC-$U91)*24&lt;72,2,IF((TDBC-$U91)*24&lt;168,3,4)))+IFERROR(INDEX({2,1,0,-1},MATCH($J91,{"Khẩn cấp","Cao","Trung bình","Thấp"},0)),0)))))</f>
      </c>
    </row>
    <row r="92">
      <c r="A92" s="216"/>
      <c r="B92" s="217"/>
      <c r="C92" s="218"/>
      <c r="D92" s="218"/>
      <c r="E92" s="218"/>
      <c r="F92" s="218"/>
      <c r="G92" s="216"/>
      <c r="H92" s="218"/>
      <c r="I92" s="218"/>
      <c r="J92" s="216"/>
      <c r="K92" s="218"/>
      <c r="L92" s="218"/>
      <c r="M92" s="218"/>
      <c r="N92" s="218"/>
      <c r="O92" s="219"/>
      <c r="P92" s="216"/>
      <c r="Q92" s="217"/>
      <c r="R92" s="216"/>
      <c r="S92" s="218"/>
      <c r="T92" s="218"/>
      <c r="U92" s="220">
        <f>IF($A92="","",IF(N($Q92)&gt;0,IF(MOD($Q92,1)=0,$Q92+1-1/1440,$Q92),IF(N($B92)=0,"",$B92+IF(N($AH92)&gt;0,$AH92,IFERROR(INDEX(DM_SLA_Gio,MATCH($J92,DM_SLA_Cap,0)),168))/24)))</f>
      </c>
      <c r="V92" s="221">
        <f>IF($A92="","",IF(N($AJ92)=0,"Mới tiếp nhận",INDEX('Nhật ký tiến độ'!$E:$E,$AJ92)))</f>
      </c>
      <c r="W92" s="222">
        <f>IF($A92="","",IF($V92="Đã xử lý",1,IF(N($AJ92)=0,0,N(INDEX('Nhật ký tiến độ'!$D:$D,$AJ92)))))</f>
      </c>
      <c r="X92" s="222">
        <f>IF(OR($A92="",$V92="Đã xử lý",N($U92)=0,N($B92)=0),"",IF(TDBC&lt;=$B92,0,IF(TDBC&gt;=$U92,1,(TDBC-$B92)/($U92-$B92))))</f>
      </c>
      <c r="Y92" s="223">
        <f>IF($A92="","",IF($V92="Đã xử lý","Hoàn thành",IF(N($U92)=0,"Chưa đặt hạn",IF(TDBC&gt;$U92,"Quá hạn",IF(ROUND((N($X92)-$W92)*100,0)&gt;=20,"Chậm tiến độ",IF($U92-TDBC&lt;=1,"Sắp đến hạn","Đúng tiến độ"))))))</f>
      </c>
      <c r="Z92" s="223">
        <f>IF(OR($A92="",$V92="Đã xử lý",N($U92)=0),"",IF(TDBC&gt;$U92,"Quá "&amp;IF(((TDBC-$U92)*24)&lt;1,MAX(1,ROUND(((TDBC-$U92)*24)*60,0))&amp;" phút",IF(ROUND(((TDBC-$U92)*24),0)&lt;24,ROUND(((TDBC-$U92)*24),0)&amp;" giờ",INT(ROUND(((TDBC-$U92)*24),0)/24)&amp;" ngày"&amp;IF(MOD(ROUND(((TDBC-$U92)*24),0),24)&gt;0," "&amp;MOD(ROUND(((TDBC-$U92)*24),0),24)&amp;" giờ",""))),"Còn "&amp;IF((($U92-TDBC)*24)&lt;1,MAX(1,ROUND((($U92-TDBC)*24)*60,0))&amp;" phút",IF(ROUND((($U92-TDBC)*24),0)&lt;24,ROUND((($U92-TDBC)*24),0)&amp;" giờ",INT(ROUND((($U92-TDBC)*24),0)/24)&amp;" ngày"&amp;IF(MOD(ROUND((($U92-TDBC)*24),0),24)&gt;0," "&amp;MOD(ROUND((($U92-TDBC)*24),0),24)&amp;" giờ","")))))</f>
      </c>
      <c r="AA92" s="220">
        <f>IF($V92="Đã xử lý",_xlfn.MAXIFS('Nhật ký tiến độ'!$B$6:$B$3005,'Nhật ký tiến độ'!$C$6:$C$3005,$A92,'Nhật ký tiến độ'!$E$6:$E$3005,"Đã xử lý"),"")</f>
      </c>
      <c r="AB92" s="223">
        <f>IF($AI92="","",IF($AI92&lt;1,MAX(1,ROUND($AI92*60,0))&amp;" phút",IF(ROUND($AI92,0)&lt;24,ROUND($AI92,0)&amp;" giờ",INT(ROUND($AI92,0)/24)&amp;" ngày"&amp;IF(MOD(ROUND($AI92,0),24)&gt;0," "&amp;MOD(ROUND($AI92,0),24)&amp;" giờ",""))))</f>
      </c>
      <c r="AC92" s="223">
        <f>IF(OR($A92="",N($AH92)=0),"",IF($AI92&lt;&gt;"",IF($AI92&lt;=$AH92,"Trong ước tính","Vượt "&amp;IF(($AI92-$AH92)&lt;1,MAX(1,ROUND(($AI92-$AH92)*60,0))&amp;" phút",IF(ROUND(($AI92-$AH92),0)&lt;24,ROUND(($AI92-$AH92),0)&amp;" giờ",INT(ROUND(($AI92-$AH92),0)/24)&amp;" ngày"&amp;IF(MOD(ROUND(($AI92-$AH92),0),24)&gt;0," "&amp;MOD(ROUND(($AI92-$AH92),0),24)&amp;" giờ","")))),IF(OR($V92="Đã xử lý",N($B92)=0),"",IF((TDBC-$B92)*24&gt;$AH92,"Đã vượt ước tính","Đã dùng "&amp;TEXT((TDBC-$B92)*24/$AH92,"0%")))))</f>
      </c>
      <c r="AD92" s="223">
        <f>IF(N($AO92)=0,"",CHOOSE($AO92,"Nhắc nhở","Cảnh báo","Báo động","Báo động đỏ"))</f>
      </c>
      <c r="AE92" s="223">
        <f>IF(OR(N($AA92)=0,N($U92)=0),"",IF($AA92&lt;=$U92,"Đúng hạn","Trễ hạn"))</f>
      </c>
      <c r="AF92" s="220">
        <f>IF($A92="","",_xlfn.MAXIFS('Nhật ký tiến độ'!$B$6:$B$3005,'Nhật ký tiến độ'!$C$6:$C$3005,$A92))</f>
      </c>
      <c r="AG92" s="223">
        <f>IF($A92="","",IF(COUNTIF('Kế hoạch'!$M$6:$M$305,$A92)=0,"",COUNTIF('Kế hoạch'!$M$6:$M$305,$A92)&amp;" việc"))</f>
      </c>
      <c r="AH92" s="224">
        <f>IF(OR($A92="",N($O92)&lt;=0),"",IF($P92="Giờ",$O92,$O92*24))</f>
      </c>
      <c r="AI92" s="224">
        <f>IF(OR(N($AA92)=0,N($B92)=0),"",IF($AA92&lt;$B92,"",($AA92-$B92)*24))</f>
      </c>
      <c r="AJ92" s="225">
        <f>IF($A92="","",IF(COUNTIF('Nhật ký tiến độ'!$C$6:$C$3005,$A92)=0,0,_xlfn.MAXIFS('Nhật ký tiến độ'!$N$6:$N$3005,'Nhật ký tiến độ'!$C$6:$C$3005,$A92,'Nhật ký tiến độ'!$B$6:$B$3005,_xlfn.MAXIFS('Nhật ký tiến độ'!$B$6:$B$3005,'Nhật ký tiến độ'!$C$6:$C$3005,$A92))))</f>
      </c>
      <c r="AK92" s="225">
        <f>IF(OR($A92="",$V92="Đã xử lý"),"",IF(N($AO92)&gt;0,5-$AO92,IF($J92="Khẩn cấp",5,IF($Y92="Chậm tiến độ",6,IF(OR($Y92="Sắp đến hạn",$J92="Cao"),7,"")))))</f>
      </c>
      <c r="AL92" s="225">
        <f>IF($AK92="","",$AK92*100000+IF(N($U92)=0,99999,INT($U92))+ROW()/100000)</f>
      </c>
      <c r="AM92" s="225">
        <f>IF(OR($A92="",TRIM($K92)="",COUNTIF($K$6:$K92,$K92)&gt;1),0,1)</f>
      </c>
      <c r="AN92" s="225">
        <f>IF($AM92=1,SUM($AM$6:$AM92),"")</f>
      </c>
      <c r="AO92" s="225">
        <f>IF(OR($A92="",$V92="Đã xử lý",N($U92)=0),0,IF(TDBC&lt;=$U92,0,MAX(1,MIN(4,IF((TDBC-$U92)*24&lt;24,1,IF((TDBC-$U92)*24&lt;72,2,IF((TDBC-$U92)*24&lt;168,3,4)))+IFERROR(INDEX({2,1,0,-1},MATCH($J92,{"Khẩn cấp","Cao","Trung bình","Thấp"},0)),0)))))</f>
      </c>
    </row>
    <row r="93">
      <c r="A93" s="216"/>
      <c r="B93" s="217"/>
      <c r="C93" s="218"/>
      <c r="D93" s="218"/>
      <c r="E93" s="218"/>
      <c r="F93" s="218"/>
      <c r="G93" s="216"/>
      <c r="H93" s="218"/>
      <c r="I93" s="218"/>
      <c r="J93" s="216"/>
      <c r="K93" s="218"/>
      <c r="L93" s="218"/>
      <c r="M93" s="218"/>
      <c r="N93" s="218"/>
      <c r="O93" s="219"/>
      <c r="P93" s="216"/>
      <c r="Q93" s="217"/>
      <c r="R93" s="216"/>
      <c r="S93" s="218"/>
      <c r="T93" s="218"/>
      <c r="U93" s="220">
        <f>IF($A93="","",IF(N($Q93)&gt;0,IF(MOD($Q93,1)=0,$Q93+1-1/1440,$Q93),IF(N($B93)=0,"",$B93+IF(N($AH93)&gt;0,$AH93,IFERROR(INDEX(DM_SLA_Gio,MATCH($J93,DM_SLA_Cap,0)),168))/24)))</f>
      </c>
      <c r="V93" s="221">
        <f>IF($A93="","",IF(N($AJ93)=0,"Mới tiếp nhận",INDEX('Nhật ký tiến độ'!$E:$E,$AJ93)))</f>
      </c>
      <c r="W93" s="222">
        <f>IF($A93="","",IF($V93="Đã xử lý",1,IF(N($AJ93)=0,0,N(INDEX('Nhật ký tiến độ'!$D:$D,$AJ93)))))</f>
      </c>
      <c r="X93" s="222">
        <f>IF(OR($A93="",$V93="Đã xử lý",N($U93)=0,N($B93)=0),"",IF(TDBC&lt;=$B93,0,IF(TDBC&gt;=$U93,1,(TDBC-$B93)/($U93-$B93))))</f>
      </c>
      <c r="Y93" s="223">
        <f>IF($A93="","",IF($V93="Đã xử lý","Hoàn thành",IF(N($U93)=0,"Chưa đặt hạn",IF(TDBC&gt;$U93,"Quá hạn",IF(ROUND((N($X93)-$W93)*100,0)&gt;=20,"Chậm tiến độ",IF($U93-TDBC&lt;=1,"Sắp đến hạn","Đúng tiến độ"))))))</f>
      </c>
      <c r="Z93" s="223">
        <f>IF(OR($A93="",$V93="Đã xử lý",N($U93)=0),"",IF(TDBC&gt;$U93,"Quá "&amp;IF(((TDBC-$U93)*24)&lt;1,MAX(1,ROUND(((TDBC-$U93)*24)*60,0))&amp;" phút",IF(ROUND(((TDBC-$U93)*24),0)&lt;24,ROUND(((TDBC-$U93)*24),0)&amp;" giờ",INT(ROUND(((TDBC-$U93)*24),0)/24)&amp;" ngày"&amp;IF(MOD(ROUND(((TDBC-$U93)*24),0),24)&gt;0," "&amp;MOD(ROUND(((TDBC-$U93)*24),0),24)&amp;" giờ",""))),"Còn "&amp;IF((($U93-TDBC)*24)&lt;1,MAX(1,ROUND((($U93-TDBC)*24)*60,0))&amp;" phút",IF(ROUND((($U93-TDBC)*24),0)&lt;24,ROUND((($U93-TDBC)*24),0)&amp;" giờ",INT(ROUND((($U93-TDBC)*24),0)/24)&amp;" ngày"&amp;IF(MOD(ROUND((($U93-TDBC)*24),0),24)&gt;0," "&amp;MOD(ROUND((($U93-TDBC)*24),0),24)&amp;" giờ","")))))</f>
      </c>
      <c r="AA93" s="220">
        <f>IF($V93="Đã xử lý",_xlfn.MAXIFS('Nhật ký tiến độ'!$B$6:$B$3005,'Nhật ký tiến độ'!$C$6:$C$3005,$A93,'Nhật ký tiến độ'!$E$6:$E$3005,"Đã xử lý"),"")</f>
      </c>
      <c r="AB93" s="223">
        <f>IF($AI93="","",IF($AI93&lt;1,MAX(1,ROUND($AI93*60,0))&amp;" phút",IF(ROUND($AI93,0)&lt;24,ROUND($AI93,0)&amp;" giờ",INT(ROUND($AI93,0)/24)&amp;" ngày"&amp;IF(MOD(ROUND($AI93,0),24)&gt;0," "&amp;MOD(ROUND($AI93,0),24)&amp;" giờ",""))))</f>
      </c>
      <c r="AC93" s="223">
        <f>IF(OR($A93="",N($AH93)=0),"",IF($AI93&lt;&gt;"",IF($AI93&lt;=$AH93,"Trong ước tính","Vượt "&amp;IF(($AI93-$AH93)&lt;1,MAX(1,ROUND(($AI93-$AH93)*60,0))&amp;" phút",IF(ROUND(($AI93-$AH93),0)&lt;24,ROUND(($AI93-$AH93),0)&amp;" giờ",INT(ROUND(($AI93-$AH93),0)/24)&amp;" ngày"&amp;IF(MOD(ROUND(($AI93-$AH93),0),24)&gt;0," "&amp;MOD(ROUND(($AI93-$AH93),0),24)&amp;" giờ","")))),IF(OR($V93="Đã xử lý",N($B93)=0),"",IF((TDBC-$B93)*24&gt;$AH93,"Đã vượt ước tính","Đã dùng "&amp;TEXT((TDBC-$B93)*24/$AH93,"0%")))))</f>
      </c>
      <c r="AD93" s="223">
        <f>IF(N($AO93)=0,"",CHOOSE($AO93,"Nhắc nhở","Cảnh báo","Báo động","Báo động đỏ"))</f>
      </c>
      <c r="AE93" s="223">
        <f>IF(OR(N($AA93)=0,N($U93)=0),"",IF($AA93&lt;=$U93,"Đúng hạn","Trễ hạn"))</f>
      </c>
      <c r="AF93" s="220">
        <f>IF($A93="","",_xlfn.MAXIFS('Nhật ký tiến độ'!$B$6:$B$3005,'Nhật ký tiến độ'!$C$6:$C$3005,$A93))</f>
      </c>
      <c r="AG93" s="223">
        <f>IF($A93="","",IF(COUNTIF('Kế hoạch'!$M$6:$M$305,$A93)=0,"",COUNTIF('Kế hoạch'!$M$6:$M$305,$A93)&amp;" việc"))</f>
      </c>
      <c r="AH93" s="224">
        <f>IF(OR($A93="",N($O93)&lt;=0),"",IF($P93="Giờ",$O93,$O93*24))</f>
      </c>
      <c r="AI93" s="224">
        <f>IF(OR(N($AA93)=0,N($B93)=0),"",IF($AA93&lt;$B93,"",($AA93-$B93)*24))</f>
      </c>
      <c r="AJ93" s="225">
        <f>IF($A93="","",IF(COUNTIF('Nhật ký tiến độ'!$C$6:$C$3005,$A93)=0,0,_xlfn.MAXIFS('Nhật ký tiến độ'!$N$6:$N$3005,'Nhật ký tiến độ'!$C$6:$C$3005,$A93,'Nhật ký tiến độ'!$B$6:$B$3005,_xlfn.MAXIFS('Nhật ký tiến độ'!$B$6:$B$3005,'Nhật ký tiến độ'!$C$6:$C$3005,$A93))))</f>
      </c>
      <c r="AK93" s="225">
        <f>IF(OR($A93="",$V93="Đã xử lý"),"",IF(N($AO93)&gt;0,5-$AO93,IF($J93="Khẩn cấp",5,IF($Y93="Chậm tiến độ",6,IF(OR($Y93="Sắp đến hạn",$J93="Cao"),7,"")))))</f>
      </c>
      <c r="AL93" s="225">
        <f>IF($AK93="","",$AK93*100000+IF(N($U93)=0,99999,INT($U93))+ROW()/100000)</f>
      </c>
      <c r="AM93" s="225">
        <f>IF(OR($A93="",TRIM($K93)="",COUNTIF($K$6:$K93,$K93)&gt;1),0,1)</f>
      </c>
      <c r="AN93" s="225">
        <f>IF($AM93=1,SUM($AM$6:$AM93),"")</f>
      </c>
      <c r="AO93" s="225">
        <f>IF(OR($A93="",$V93="Đã xử lý",N($U93)=0),0,IF(TDBC&lt;=$U93,0,MAX(1,MIN(4,IF((TDBC-$U93)*24&lt;24,1,IF((TDBC-$U93)*24&lt;72,2,IF((TDBC-$U93)*24&lt;168,3,4)))+IFERROR(INDEX({2,1,0,-1},MATCH($J93,{"Khẩn cấp","Cao","Trung bình","Thấp"},0)),0)))))</f>
      </c>
    </row>
    <row r="94">
      <c r="A94" s="216"/>
      <c r="B94" s="217"/>
      <c r="C94" s="218"/>
      <c r="D94" s="218"/>
      <c r="E94" s="218"/>
      <c r="F94" s="218"/>
      <c r="G94" s="216"/>
      <c r="H94" s="218"/>
      <c r="I94" s="218"/>
      <c r="J94" s="216"/>
      <c r="K94" s="218"/>
      <c r="L94" s="218"/>
      <c r="M94" s="218"/>
      <c r="N94" s="218"/>
      <c r="O94" s="219"/>
      <c r="P94" s="216"/>
      <c r="Q94" s="217"/>
      <c r="R94" s="216"/>
      <c r="S94" s="218"/>
      <c r="T94" s="218"/>
      <c r="U94" s="220">
        <f>IF($A94="","",IF(N($Q94)&gt;0,IF(MOD($Q94,1)=0,$Q94+1-1/1440,$Q94),IF(N($B94)=0,"",$B94+IF(N($AH94)&gt;0,$AH94,IFERROR(INDEX(DM_SLA_Gio,MATCH($J94,DM_SLA_Cap,0)),168))/24)))</f>
      </c>
      <c r="V94" s="221">
        <f>IF($A94="","",IF(N($AJ94)=0,"Mới tiếp nhận",INDEX('Nhật ký tiến độ'!$E:$E,$AJ94)))</f>
      </c>
      <c r="W94" s="222">
        <f>IF($A94="","",IF($V94="Đã xử lý",1,IF(N($AJ94)=0,0,N(INDEX('Nhật ký tiến độ'!$D:$D,$AJ94)))))</f>
      </c>
      <c r="X94" s="222">
        <f>IF(OR($A94="",$V94="Đã xử lý",N($U94)=0,N($B94)=0),"",IF(TDBC&lt;=$B94,0,IF(TDBC&gt;=$U94,1,(TDBC-$B94)/($U94-$B94))))</f>
      </c>
      <c r="Y94" s="223">
        <f>IF($A94="","",IF($V94="Đã xử lý","Hoàn thành",IF(N($U94)=0,"Chưa đặt hạn",IF(TDBC&gt;$U94,"Quá hạn",IF(ROUND((N($X94)-$W94)*100,0)&gt;=20,"Chậm tiến độ",IF($U94-TDBC&lt;=1,"Sắp đến hạn","Đúng tiến độ"))))))</f>
      </c>
      <c r="Z94" s="223">
        <f>IF(OR($A94="",$V94="Đã xử lý",N($U94)=0),"",IF(TDBC&gt;$U94,"Quá "&amp;IF(((TDBC-$U94)*24)&lt;1,MAX(1,ROUND(((TDBC-$U94)*24)*60,0))&amp;" phút",IF(ROUND(((TDBC-$U94)*24),0)&lt;24,ROUND(((TDBC-$U94)*24),0)&amp;" giờ",INT(ROUND(((TDBC-$U94)*24),0)/24)&amp;" ngày"&amp;IF(MOD(ROUND(((TDBC-$U94)*24),0),24)&gt;0," "&amp;MOD(ROUND(((TDBC-$U94)*24),0),24)&amp;" giờ",""))),"Còn "&amp;IF((($U94-TDBC)*24)&lt;1,MAX(1,ROUND((($U94-TDBC)*24)*60,0))&amp;" phút",IF(ROUND((($U94-TDBC)*24),0)&lt;24,ROUND((($U94-TDBC)*24),0)&amp;" giờ",INT(ROUND((($U94-TDBC)*24),0)/24)&amp;" ngày"&amp;IF(MOD(ROUND((($U94-TDBC)*24),0),24)&gt;0," "&amp;MOD(ROUND((($U94-TDBC)*24),0),24)&amp;" giờ","")))))</f>
      </c>
      <c r="AA94" s="220">
        <f>IF($V94="Đã xử lý",_xlfn.MAXIFS('Nhật ký tiến độ'!$B$6:$B$3005,'Nhật ký tiến độ'!$C$6:$C$3005,$A94,'Nhật ký tiến độ'!$E$6:$E$3005,"Đã xử lý"),"")</f>
      </c>
      <c r="AB94" s="223">
        <f>IF($AI94="","",IF($AI94&lt;1,MAX(1,ROUND($AI94*60,0))&amp;" phút",IF(ROUND($AI94,0)&lt;24,ROUND($AI94,0)&amp;" giờ",INT(ROUND($AI94,0)/24)&amp;" ngày"&amp;IF(MOD(ROUND($AI94,0),24)&gt;0," "&amp;MOD(ROUND($AI94,0),24)&amp;" giờ",""))))</f>
      </c>
      <c r="AC94" s="223">
        <f>IF(OR($A94="",N($AH94)=0),"",IF($AI94&lt;&gt;"",IF($AI94&lt;=$AH94,"Trong ước tính","Vượt "&amp;IF(($AI94-$AH94)&lt;1,MAX(1,ROUND(($AI94-$AH94)*60,0))&amp;" phút",IF(ROUND(($AI94-$AH94),0)&lt;24,ROUND(($AI94-$AH94),0)&amp;" giờ",INT(ROUND(($AI94-$AH94),0)/24)&amp;" ngày"&amp;IF(MOD(ROUND(($AI94-$AH94),0),24)&gt;0," "&amp;MOD(ROUND(($AI94-$AH94),0),24)&amp;" giờ","")))),IF(OR($V94="Đã xử lý",N($B94)=0),"",IF((TDBC-$B94)*24&gt;$AH94,"Đã vượt ước tính","Đã dùng "&amp;TEXT((TDBC-$B94)*24/$AH94,"0%")))))</f>
      </c>
      <c r="AD94" s="223">
        <f>IF(N($AO94)=0,"",CHOOSE($AO94,"Nhắc nhở","Cảnh báo","Báo động","Báo động đỏ"))</f>
      </c>
      <c r="AE94" s="223">
        <f>IF(OR(N($AA94)=0,N($U94)=0),"",IF($AA94&lt;=$U94,"Đúng hạn","Trễ hạn"))</f>
      </c>
      <c r="AF94" s="220">
        <f>IF($A94="","",_xlfn.MAXIFS('Nhật ký tiến độ'!$B$6:$B$3005,'Nhật ký tiến độ'!$C$6:$C$3005,$A94))</f>
      </c>
      <c r="AG94" s="223">
        <f>IF($A94="","",IF(COUNTIF('Kế hoạch'!$M$6:$M$305,$A94)=0,"",COUNTIF('Kế hoạch'!$M$6:$M$305,$A94)&amp;" việc"))</f>
      </c>
      <c r="AH94" s="224">
        <f>IF(OR($A94="",N($O94)&lt;=0),"",IF($P94="Giờ",$O94,$O94*24))</f>
      </c>
      <c r="AI94" s="224">
        <f>IF(OR(N($AA94)=0,N($B94)=0),"",IF($AA94&lt;$B94,"",($AA94-$B94)*24))</f>
      </c>
      <c r="AJ94" s="225">
        <f>IF($A94="","",IF(COUNTIF('Nhật ký tiến độ'!$C$6:$C$3005,$A94)=0,0,_xlfn.MAXIFS('Nhật ký tiến độ'!$N$6:$N$3005,'Nhật ký tiến độ'!$C$6:$C$3005,$A94,'Nhật ký tiến độ'!$B$6:$B$3005,_xlfn.MAXIFS('Nhật ký tiến độ'!$B$6:$B$3005,'Nhật ký tiến độ'!$C$6:$C$3005,$A94))))</f>
      </c>
      <c r="AK94" s="225">
        <f>IF(OR($A94="",$V94="Đã xử lý"),"",IF(N($AO94)&gt;0,5-$AO94,IF($J94="Khẩn cấp",5,IF($Y94="Chậm tiến độ",6,IF(OR($Y94="Sắp đến hạn",$J94="Cao"),7,"")))))</f>
      </c>
      <c r="AL94" s="225">
        <f>IF($AK94="","",$AK94*100000+IF(N($U94)=0,99999,INT($U94))+ROW()/100000)</f>
      </c>
      <c r="AM94" s="225">
        <f>IF(OR($A94="",TRIM($K94)="",COUNTIF($K$6:$K94,$K94)&gt;1),0,1)</f>
      </c>
      <c r="AN94" s="225">
        <f>IF($AM94=1,SUM($AM$6:$AM94),"")</f>
      </c>
      <c r="AO94" s="225">
        <f>IF(OR($A94="",$V94="Đã xử lý",N($U94)=0),0,IF(TDBC&lt;=$U94,0,MAX(1,MIN(4,IF((TDBC-$U94)*24&lt;24,1,IF((TDBC-$U94)*24&lt;72,2,IF((TDBC-$U94)*24&lt;168,3,4)))+IFERROR(INDEX({2,1,0,-1},MATCH($J94,{"Khẩn cấp","Cao","Trung bình","Thấp"},0)),0)))))</f>
      </c>
    </row>
    <row r="95">
      <c r="A95" s="216"/>
      <c r="B95" s="217"/>
      <c r="C95" s="218"/>
      <c r="D95" s="218"/>
      <c r="E95" s="218"/>
      <c r="F95" s="218"/>
      <c r="G95" s="216"/>
      <c r="H95" s="218"/>
      <c r="I95" s="218"/>
      <c r="J95" s="216"/>
      <c r="K95" s="218"/>
      <c r="L95" s="218"/>
      <c r="M95" s="218"/>
      <c r="N95" s="218"/>
      <c r="O95" s="219"/>
      <c r="P95" s="216"/>
      <c r="Q95" s="217"/>
      <c r="R95" s="216"/>
      <c r="S95" s="218"/>
      <c r="T95" s="218"/>
      <c r="U95" s="220">
        <f>IF($A95="","",IF(N($Q95)&gt;0,IF(MOD($Q95,1)=0,$Q95+1-1/1440,$Q95),IF(N($B95)=0,"",$B95+IF(N($AH95)&gt;0,$AH95,IFERROR(INDEX(DM_SLA_Gio,MATCH($J95,DM_SLA_Cap,0)),168))/24)))</f>
      </c>
      <c r="V95" s="221">
        <f>IF($A95="","",IF(N($AJ95)=0,"Mới tiếp nhận",INDEX('Nhật ký tiến độ'!$E:$E,$AJ95)))</f>
      </c>
      <c r="W95" s="222">
        <f>IF($A95="","",IF($V95="Đã xử lý",1,IF(N($AJ95)=0,0,N(INDEX('Nhật ký tiến độ'!$D:$D,$AJ95)))))</f>
      </c>
      <c r="X95" s="222">
        <f>IF(OR($A95="",$V95="Đã xử lý",N($U95)=0,N($B95)=0),"",IF(TDBC&lt;=$B95,0,IF(TDBC&gt;=$U95,1,(TDBC-$B95)/($U95-$B95))))</f>
      </c>
      <c r="Y95" s="223">
        <f>IF($A95="","",IF($V95="Đã xử lý","Hoàn thành",IF(N($U95)=0,"Chưa đặt hạn",IF(TDBC&gt;$U95,"Quá hạn",IF(ROUND((N($X95)-$W95)*100,0)&gt;=20,"Chậm tiến độ",IF($U95-TDBC&lt;=1,"Sắp đến hạn","Đúng tiến độ"))))))</f>
      </c>
      <c r="Z95" s="223">
        <f>IF(OR($A95="",$V95="Đã xử lý",N($U95)=0),"",IF(TDBC&gt;$U95,"Quá "&amp;IF(((TDBC-$U95)*24)&lt;1,MAX(1,ROUND(((TDBC-$U95)*24)*60,0))&amp;" phút",IF(ROUND(((TDBC-$U95)*24),0)&lt;24,ROUND(((TDBC-$U95)*24),0)&amp;" giờ",INT(ROUND(((TDBC-$U95)*24),0)/24)&amp;" ngày"&amp;IF(MOD(ROUND(((TDBC-$U95)*24),0),24)&gt;0," "&amp;MOD(ROUND(((TDBC-$U95)*24),0),24)&amp;" giờ",""))),"Còn "&amp;IF((($U95-TDBC)*24)&lt;1,MAX(1,ROUND((($U95-TDBC)*24)*60,0))&amp;" phút",IF(ROUND((($U95-TDBC)*24),0)&lt;24,ROUND((($U95-TDBC)*24),0)&amp;" giờ",INT(ROUND((($U95-TDBC)*24),0)/24)&amp;" ngày"&amp;IF(MOD(ROUND((($U95-TDBC)*24),0),24)&gt;0," "&amp;MOD(ROUND((($U95-TDBC)*24),0),24)&amp;" giờ","")))))</f>
      </c>
      <c r="AA95" s="220">
        <f>IF($V95="Đã xử lý",_xlfn.MAXIFS('Nhật ký tiến độ'!$B$6:$B$3005,'Nhật ký tiến độ'!$C$6:$C$3005,$A95,'Nhật ký tiến độ'!$E$6:$E$3005,"Đã xử lý"),"")</f>
      </c>
      <c r="AB95" s="223">
        <f>IF($AI95="","",IF($AI95&lt;1,MAX(1,ROUND($AI95*60,0))&amp;" phút",IF(ROUND($AI95,0)&lt;24,ROUND($AI95,0)&amp;" giờ",INT(ROUND($AI95,0)/24)&amp;" ngày"&amp;IF(MOD(ROUND($AI95,0),24)&gt;0," "&amp;MOD(ROUND($AI95,0),24)&amp;" giờ",""))))</f>
      </c>
      <c r="AC95" s="223">
        <f>IF(OR($A95="",N($AH95)=0),"",IF($AI95&lt;&gt;"",IF($AI95&lt;=$AH95,"Trong ước tính","Vượt "&amp;IF(($AI95-$AH95)&lt;1,MAX(1,ROUND(($AI95-$AH95)*60,0))&amp;" phút",IF(ROUND(($AI95-$AH95),0)&lt;24,ROUND(($AI95-$AH95),0)&amp;" giờ",INT(ROUND(($AI95-$AH95),0)/24)&amp;" ngày"&amp;IF(MOD(ROUND(($AI95-$AH95),0),24)&gt;0," "&amp;MOD(ROUND(($AI95-$AH95),0),24)&amp;" giờ","")))),IF(OR($V95="Đã xử lý",N($B95)=0),"",IF((TDBC-$B95)*24&gt;$AH95,"Đã vượt ước tính","Đã dùng "&amp;TEXT((TDBC-$B95)*24/$AH95,"0%")))))</f>
      </c>
      <c r="AD95" s="223">
        <f>IF(N($AO95)=0,"",CHOOSE($AO95,"Nhắc nhở","Cảnh báo","Báo động","Báo động đỏ"))</f>
      </c>
      <c r="AE95" s="223">
        <f>IF(OR(N($AA95)=0,N($U95)=0),"",IF($AA95&lt;=$U95,"Đúng hạn","Trễ hạn"))</f>
      </c>
      <c r="AF95" s="220">
        <f>IF($A95="","",_xlfn.MAXIFS('Nhật ký tiến độ'!$B$6:$B$3005,'Nhật ký tiến độ'!$C$6:$C$3005,$A95))</f>
      </c>
      <c r="AG95" s="223">
        <f>IF($A95="","",IF(COUNTIF('Kế hoạch'!$M$6:$M$305,$A95)=0,"",COUNTIF('Kế hoạch'!$M$6:$M$305,$A95)&amp;" việc"))</f>
      </c>
      <c r="AH95" s="224">
        <f>IF(OR($A95="",N($O95)&lt;=0),"",IF($P95="Giờ",$O95,$O95*24))</f>
      </c>
      <c r="AI95" s="224">
        <f>IF(OR(N($AA95)=0,N($B95)=0),"",IF($AA95&lt;$B95,"",($AA95-$B95)*24))</f>
      </c>
      <c r="AJ95" s="225">
        <f>IF($A95="","",IF(COUNTIF('Nhật ký tiến độ'!$C$6:$C$3005,$A95)=0,0,_xlfn.MAXIFS('Nhật ký tiến độ'!$N$6:$N$3005,'Nhật ký tiến độ'!$C$6:$C$3005,$A95,'Nhật ký tiến độ'!$B$6:$B$3005,_xlfn.MAXIFS('Nhật ký tiến độ'!$B$6:$B$3005,'Nhật ký tiến độ'!$C$6:$C$3005,$A95))))</f>
      </c>
      <c r="AK95" s="225">
        <f>IF(OR($A95="",$V95="Đã xử lý"),"",IF(N($AO95)&gt;0,5-$AO95,IF($J95="Khẩn cấp",5,IF($Y95="Chậm tiến độ",6,IF(OR($Y95="Sắp đến hạn",$J95="Cao"),7,"")))))</f>
      </c>
      <c r="AL95" s="225">
        <f>IF($AK95="","",$AK95*100000+IF(N($U95)=0,99999,INT($U95))+ROW()/100000)</f>
      </c>
      <c r="AM95" s="225">
        <f>IF(OR($A95="",TRIM($K95)="",COUNTIF($K$6:$K95,$K95)&gt;1),0,1)</f>
      </c>
      <c r="AN95" s="225">
        <f>IF($AM95=1,SUM($AM$6:$AM95),"")</f>
      </c>
      <c r="AO95" s="225">
        <f>IF(OR($A95="",$V95="Đã xử lý",N($U95)=0),0,IF(TDBC&lt;=$U95,0,MAX(1,MIN(4,IF((TDBC-$U95)*24&lt;24,1,IF((TDBC-$U95)*24&lt;72,2,IF((TDBC-$U95)*24&lt;168,3,4)))+IFERROR(INDEX({2,1,0,-1},MATCH($J95,{"Khẩn cấp","Cao","Trung bình","Thấp"},0)),0)))))</f>
      </c>
    </row>
    <row r="96">
      <c r="A96" s="216"/>
      <c r="B96" s="217"/>
      <c r="C96" s="218"/>
      <c r="D96" s="218"/>
      <c r="E96" s="218"/>
      <c r="F96" s="218"/>
      <c r="G96" s="216"/>
      <c r="H96" s="218"/>
      <c r="I96" s="218"/>
      <c r="J96" s="216"/>
      <c r="K96" s="218"/>
      <c r="L96" s="218"/>
      <c r="M96" s="218"/>
      <c r="N96" s="218"/>
      <c r="O96" s="219"/>
      <c r="P96" s="216"/>
      <c r="Q96" s="217"/>
      <c r="R96" s="216"/>
      <c r="S96" s="218"/>
      <c r="T96" s="218"/>
      <c r="U96" s="220">
        <f>IF($A96="","",IF(N($Q96)&gt;0,IF(MOD($Q96,1)=0,$Q96+1-1/1440,$Q96),IF(N($B96)=0,"",$B96+IF(N($AH96)&gt;0,$AH96,IFERROR(INDEX(DM_SLA_Gio,MATCH($J96,DM_SLA_Cap,0)),168))/24)))</f>
      </c>
      <c r="V96" s="221">
        <f>IF($A96="","",IF(N($AJ96)=0,"Mới tiếp nhận",INDEX('Nhật ký tiến độ'!$E:$E,$AJ96)))</f>
      </c>
      <c r="W96" s="222">
        <f>IF($A96="","",IF($V96="Đã xử lý",1,IF(N($AJ96)=0,0,N(INDEX('Nhật ký tiến độ'!$D:$D,$AJ96)))))</f>
      </c>
      <c r="X96" s="222">
        <f>IF(OR($A96="",$V96="Đã xử lý",N($U96)=0,N($B96)=0),"",IF(TDBC&lt;=$B96,0,IF(TDBC&gt;=$U96,1,(TDBC-$B96)/($U96-$B96))))</f>
      </c>
      <c r="Y96" s="223">
        <f>IF($A96="","",IF($V96="Đã xử lý","Hoàn thành",IF(N($U96)=0,"Chưa đặt hạn",IF(TDBC&gt;$U96,"Quá hạn",IF(ROUND((N($X96)-$W96)*100,0)&gt;=20,"Chậm tiến độ",IF($U96-TDBC&lt;=1,"Sắp đến hạn","Đúng tiến độ"))))))</f>
      </c>
      <c r="Z96" s="223">
        <f>IF(OR($A96="",$V96="Đã xử lý",N($U96)=0),"",IF(TDBC&gt;$U96,"Quá "&amp;IF(((TDBC-$U96)*24)&lt;1,MAX(1,ROUND(((TDBC-$U96)*24)*60,0))&amp;" phút",IF(ROUND(((TDBC-$U96)*24),0)&lt;24,ROUND(((TDBC-$U96)*24),0)&amp;" giờ",INT(ROUND(((TDBC-$U96)*24),0)/24)&amp;" ngày"&amp;IF(MOD(ROUND(((TDBC-$U96)*24),0),24)&gt;0," "&amp;MOD(ROUND(((TDBC-$U96)*24),0),24)&amp;" giờ",""))),"Còn "&amp;IF((($U96-TDBC)*24)&lt;1,MAX(1,ROUND((($U96-TDBC)*24)*60,0))&amp;" phút",IF(ROUND((($U96-TDBC)*24),0)&lt;24,ROUND((($U96-TDBC)*24),0)&amp;" giờ",INT(ROUND((($U96-TDBC)*24),0)/24)&amp;" ngày"&amp;IF(MOD(ROUND((($U96-TDBC)*24),0),24)&gt;0," "&amp;MOD(ROUND((($U96-TDBC)*24),0),24)&amp;" giờ","")))))</f>
      </c>
      <c r="AA96" s="220">
        <f>IF($V96="Đã xử lý",_xlfn.MAXIFS('Nhật ký tiến độ'!$B$6:$B$3005,'Nhật ký tiến độ'!$C$6:$C$3005,$A96,'Nhật ký tiến độ'!$E$6:$E$3005,"Đã xử lý"),"")</f>
      </c>
      <c r="AB96" s="223">
        <f>IF($AI96="","",IF($AI96&lt;1,MAX(1,ROUND($AI96*60,0))&amp;" phút",IF(ROUND($AI96,0)&lt;24,ROUND($AI96,0)&amp;" giờ",INT(ROUND($AI96,0)/24)&amp;" ngày"&amp;IF(MOD(ROUND($AI96,0),24)&gt;0," "&amp;MOD(ROUND($AI96,0),24)&amp;" giờ",""))))</f>
      </c>
      <c r="AC96" s="223">
        <f>IF(OR($A96="",N($AH96)=0),"",IF($AI96&lt;&gt;"",IF($AI96&lt;=$AH96,"Trong ước tính","Vượt "&amp;IF(($AI96-$AH96)&lt;1,MAX(1,ROUND(($AI96-$AH96)*60,0))&amp;" phút",IF(ROUND(($AI96-$AH96),0)&lt;24,ROUND(($AI96-$AH96),0)&amp;" giờ",INT(ROUND(($AI96-$AH96),0)/24)&amp;" ngày"&amp;IF(MOD(ROUND(($AI96-$AH96),0),24)&gt;0," "&amp;MOD(ROUND(($AI96-$AH96),0),24)&amp;" giờ","")))),IF(OR($V96="Đã xử lý",N($B96)=0),"",IF((TDBC-$B96)*24&gt;$AH96,"Đã vượt ước tính","Đã dùng "&amp;TEXT((TDBC-$B96)*24/$AH96,"0%")))))</f>
      </c>
      <c r="AD96" s="223">
        <f>IF(N($AO96)=0,"",CHOOSE($AO96,"Nhắc nhở","Cảnh báo","Báo động","Báo động đỏ"))</f>
      </c>
      <c r="AE96" s="223">
        <f>IF(OR(N($AA96)=0,N($U96)=0),"",IF($AA96&lt;=$U96,"Đúng hạn","Trễ hạn"))</f>
      </c>
      <c r="AF96" s="220">
        <f>IF($A96="","",_xlfn.MAXIFS('Nhật ký tiến độ'!$B$6:$B$3005,'Nhật ký tiến độ'!$C$6:$C$3005,$A96))</f>
      </c>
      <c r="AG96" s="223">
        <f>IF($A96="","",IF(COUNTIF('Kế hoạch'!$M$6:$M$305,$A96)=0,"",COUNTIF('Kế hoạch'!$M$6:$M$305,$A96)&amp;" việc"))</f>
      </c>
      <c r="AH96" s="224">
        <f>IF(OR($A96="",N($O96)&lt;=0),"",IF($P96="Giờ",$O96,$O96*24))</f>
      </c>
      <c r="AI96" s="224">
        <f>IF(OR(N($AA96)=0,N($B96)=0),"",IF($AA96&lt;$B96,"",($AA96-$B96)*24))</f>
      </c>
      <c r="AJ96" s="225">
        <f>IF($A96="","",IF(COUNTIF('Nhật ký tiến độ'!$C$6:$C$3005,$A96)=0,0,_xlfn.MAXIFS('Nhật ký tiến độ'!$N$6:$N$3005,'Nhật ký tiến độ'!$C$6:$C$3005,$A96,'Nhật ký tiến độ'!$B$6:$B$3005,_xlfn.MAXIFS('Nhật ký tiến độ'!$B$6:$B$3005,'Nhật ký tiến độ'!$C$6:$C$3005,$A96))))</f>
      </c>
      <c r="AK96" s="225">
        <f>IF(OR($A96="",$V96="Đã xử lý"),"",IF(N($AO96)&gt;0,5-$AO96,IF($J96="Khẩn cấp",5,IF($Y96="Chậm tiến độ",6,IF(OR($Y96="Sắp đến hạn",$J96="Cao"),7,"")))))</f>
      </c>
      <c r="AL96" s="225">
        <f>IF($AK96="","",$AK96*100000+IF(N($U96)=0,99999,INT($U96))+ROW()/100000)</f>
      </c>
      <c r="AM96" s="225">
        <f>IF(OR($A96="",TRIM($K96)="",COUNTIF($K$6:$K96,$K96)&gt;1),0,1)</f>
      </c>
      <c r="AN96" s="225">
        <f>IF($AM96=1,SUM($AM$6:$AM96),"")</f>
      </c>
      <c r="AO96" s="225">
        <f>IF(OR($A96="",$V96="Đã xử lý",N($U96)=0),0,IF(TDBC&lt;=$U96,0,MAX(1,MIN(4,IF((TDBC-$U96)*24&lt;24,1,IF((TDBC-$U96)*24&lt;72,2,IF((TDBC-$U96)*24&lt;168,3,4)))+IFERROR(INDEX({2,1,0,-1},MATCH($J96,{"Khẩn cấp","Cao","Trung bình","Thấp"},0)),0)))))</f>
      </c>
    </row>
    <row r="97">
      <c r="A97" s="216"/>
      <c r="B97" s="217"/>
      <c r="C97" s="218"/>
      <c r="D97" s="218"/>
      <c r="E97" s="218"/>
      <c r="F97" s="218"/>
      <c r="G97" s="216"/>
      <c r="H97" s="218"/>
      <c r="I97" s="218"/>
      <c r="J97" s="216"/>
      <c r="K97" s="218"/>
      <c r="L97" s="218"/>
      <c r="M97" s="218"/>
      <c r="N97" s="218"/>
      <c r="O97" s="219"/>
      <c r="P97" s="216"/>
      <c r="Q97" s="217"/>
      <c r="R97" s="216"/>
      <c r="S97" s="218"/>
      <c r="T97" s="218"/>
      <c r="U97" s="220">
        <f>IF($A97="","",IF(N($Q97)&gt;0,IF(MOD($Q97,1)=0,$Q97+1-1/1440,$Q97),IF(N($B97)=0,"",$B97+IF(N($AH97)&gt;0,$AH97,IFERROR(INDEX(DM_SLA_Gio,MATCH($J97,DM_SLA_Cap,0)),168))/24)))</f>
      </c>
      <c r="V97" s="221">
        <f>IF($A97="","",IF(N($AJ97)=0,"Mới tiếp nhận",INDEX('Nhật ký tiến độ'!$E:$E,$AJ97)))</f>
      </c>
      <c r="W97" s="222">
        <f>IF($A97="","",IF($V97="Đã xử lý",1,IF(N($AJ97)=0,0,N(INDEX('Nhật ký tiến độ'!$D:$D,$AJ97)))))</f>
      </c>
      <c r="X97" s="222">
        <f>IF(OR($A97="",$V97="Đã xử lý",N($U97)=0,N($B97)=0),"",IF(TDBC&lt;=$B97,0,IF(TDBC&gt;=$U97,1,(TDBC-$B97)/($U97-$B97))))</f>
      </c>
      <c r="Y97" s="223">
        <f>IF($A97="","",IF($V97="Đã xử lý","Hoàn thành",IF(N($U97)=0,"Chưa đặt hạn",IF(TDBC&gt;$U97,"Quá hạn",IF(ROUND((N($X97)-$W97)*100,0)&gt;=20,"Chậm tiến độ",IF($U97-TDBC&lt;=1,"Sắp đến hạn","Đúng tiến độ"))))))</f>
      </c>
      <c r="Z97" s="223">
        <f>IF(OR($A97="",$V97="Đã xử lý",N($U97)=0),"",IF(TDBC&gt;$U97,"Quá "&amp;IF(((TDBC-$U97)*24)&lt;1,MAX(1,ROUND(((TDBC-$U97)*24)*60,0))&amp;" phút",IF(ROUND(((TDBC-$U97)*24),0)&lt;24,ROUND(((TDBC-$U97)*24),0)&amp;" giờ",INT(ROUND(((TDBC-$U97)*24),0)/24)&amp;" ngày"&amp;IF(MOD(ROUND(((TDBC-$U97)*24),0),24)&gt;0," "&amp;MOD(ROUND(((TDBC-$U97)*24),0),24)&amp;" giờ",""))),"Còn "&amp;IF((($U97-TDBC)*24)&lt;1,MAX(1,ROUND((($U97-TDBC)*24)*60,0))&amp;" phút",IF(ROUND((($U97-TDBC)*24),0)&lt;24,ROUND((($U97-TDBC)*24),0)&amp;" giờ",INT(ROUND((($U97-TDBC)*24),0)/24)&amp;" ngày"&amp;IF(MOD(ROUND((($U97-TDBC)*24),0),24)&gt;0," "&amp;MOD(ROUND((($U97-TDBC)*24),0),24)&amp;" giờ","")))))</f>
      </c>
      <c r="AA97" s="220">
        <f>IF($V97="Đã xử lý",_xlfn.MAXIFS('Nhật ký tiến độ'!$B$6:$B$3005,'Nhật ký tiến độ'!$C$6:$C$3005,$A97,'Nhật ký tiến độ'!$E$6:$E$3005,"Đã xử lý"),"")</f>
      </c>
      <c r="AB97" s="223">
        <f>IF($AI97="","",IF($AI97&lt;1,MAX(1,ROUND($AI97*60,0))&amp;" phút",IF(ROUND($AI97,0)&lt;24,ROUND($AI97,0)&amp;" giờ",INT(ROUND($AI97,0)/24)&amp;" ngày"&amp;IF(MOD(ROUND($AI97,0),24)&gt;0," "&amp;MOD(ROUND($AI97,0),24)&amp;" giờ",""))))</f>
      </c>
      <c r="AC97" s="223">
        <f>IF(OR($A97="",N($AH97)=0),"",IF($AI97&lt;&gt;"",IF($AI97&lt;=$AH97,"Trong ước tính","Vượt "&amp;IF(($AI97-$AH97)&lt;1,MAX(1,ROUND(($AI97-$AH97)*60,0))&amp;" phút",IF(ROUND(($AI97-$AH97),0)&lt;24,ROUND(($AI97-$AH97),0)&amp;" giờ",INT(ROUND(($AI97-$AH97),0)/24)&amp;" ngày"&amp;IF(MOD(ROUND(($AI97-$AH97),0),24)&gt;0," "&amp;MOD(ROUND(($AI97-$AH97),0),24)&amp;" giờ","")))),IF(OR($V97="Đã xử lý",N($B97)=0),"",IF((TDBC-$B97)*24&gt;$AH97,"Đã vượt ước tính","Đã dùng "&amp;TEXT((TDBC-$B97)*24/$AH97,"0%")))))</f>
      </c>
      <c r="AD97" s="223">
        <f>IF(N($AO97)=0,"",CHOOSE($AO97,"Nhắc nhở","Cảnh báo","Báo động","Báo động đỏ"))</f>
      </c>
      <c r="AE97" s="223">
        <f>IF(OR(N($AA97)=0,N($U97)=0),"",IF($AA97&lt;=$U97,"Đúng hạn","Trễ hạn"))</f>
      </c>
      <c r="AF97" s="220">
        <f>IF($A97="","",_xlfn.MAXIFS('Nhật ký tiến độ'!$B$6:$B$3005,'Nhật ký tiến độ'!$C$6:$C$3005,$A97))</f>
      </c>
      <c r="AG97" s="223">
        <f>IF($A97="","",IF(COUNTIF('Kế hoạch'!$M$6:$M$305,$A97)=0,"",COUNTIF('Kế hoạch'!$M$6:$M$305,$A97)&amp;" việc"))</f>
      </c>
      <c r="AH97" s="224">
        <f>IF(OR($A97="",N($O97)&lt;=0),"",IF($P97="Giờ",$O97,$O97*24))</f>
      </c>
      <c r="AI97" s="224">
        <f>IF(OR(N($AA97)=0,N($B97)=0),"",IF($AA97&lt;$B97,"",($AA97-$B97)*24))</f>
      </c>
      <c r="AJ97" s="225">
        <f>IF($A97="","",IF(COUNTIF('Nhật ký tiến độ'!$C$6:$C$3005,$A97)=0,0,_xlfn.MAXIFS('Nhật ký tiến độ'!$N$6:$N$3005,'Nhật ký tiến độ'!$C$6:$C$3005,$A97,'Nhật ký tiến độ'!$B$6:$B$3005,_xlfn.MAXIFS('Nhật ký tiến độ'!$B$6:$B$3005,'Nhật ký tiến độ'!$C$6:$C$3005,$A97))))</f>
      </c>
      <c r="AK97" s="225">
        <f>IF(OR($A97="",$V97="Đã xử lý"),"",IF(N($AO97)&gt;0,5-$AO97,IF($J97="Khẩn cấp",5,IF($Y97="Chậm tiến độ",6,IF(OR($Y97="Sắp đến hạn",$J97="Cao"),7,"")))))</f>
      </c>
      <c r="AL97" s="225">
        <f>IF($AK97="","",$AK97*100000+IF(N($U97)=0,99999,INT($U97))+ROW()/100000)</f>
      </c>
      <c r="AM97" s="225">
        <f>IF(OR($A97="",TRIM($K97)="",COUNTIF($K$6:$K97,$K97)&gt;1),0,1)</f>
      </c>
      <c r="AN97" s="225">
        <f>IF($AM97=1,SUM($AM$6:$AM97),"")</f>
      </c>
      <c r="AO97" s="225">
        <f>IF(OR($A97="",$V97="Đã xử lý",N($U97)=0),0,IF(TDBC&lt;=$U97,0,MAX(1,MIN(4,IF((TDBC-$U97)*24&lt;24,1,IF((TDBC-$U97)*24&lt;72,2,IF((TDBC-$U97)*24&lt;168,3,4)))+IFERROR(INDEX({2,1,0,-1},MATCH($J97,{"Khẩn cấp","Cao","Trung bình","Thấp"},0)),0)))))</f>
      </c>
    </row>
    <row r="98">
      <c r="A98" s="216"/>
      <c r="B98" s="217"/>
      <c r="C98" s="218"/>
      <c r="D98" s="218"/>
      <c r="E98" s="218"/>
      <c r="F98" s="218"/>
      <c r="G98" s="216"/>
      <c r="H98" s="218"/>
      <c r="I98" s="218"/>
      <c r="J98" s="216"/>
      <c r="K98" s="218"/>
      <c r="L98" s="218"/>
      <c r="M98" s="218"/>
      <c r="N98" s="218"/>
      <c r="O98" s="219"/>
      <c r="P98" s="216"/>
      <c r="Q98" s="217"/>
      <c r="R98" s="216"/>
      <c r="S98" s="218"/>
      <c r="T98" s="218"/>
      <c r="U98" s="220">
        <f>IF($A98="","",IF(N($Q98)&gt;0,IF(MOD($Q98,1)=0,$Q98+1-1/1440,$Q98),IF(N($B98)=0,"",$B98+IF(N($AH98)&gt;0,$AH98,IFERROR(INDEX(DM_SLA_Gio,MATCH($J98,DM_SLA_Cap,0)),168))/24)))</f>
      </c>
      <c r="V98" s="221">
        <f>IF($A98="","",IF(N($AJ98)=0,"Mới tiếp nhận",INDEX('Nhật ký tiến độ'!$E:$E,$AJ98)))</f>
      </c>
      <c r="W98" s="222">
        <f>IF($A98="","",IF($V98="Đã xử lý",1,IF(N($AJ98)=0,0,N(INDEX('Nhật ký tiến độ'!$D:$D,$AJ98)))))</f>
      </c>
      <c r="X98" s="222">
        <f>IF(OR($A98="",$V98="Đã xử lý",N($U98)=0,N($B98)=0),"",IF(TDBC&lt;=$B98,0,IF(TDBC&gt;=$U98,1,(TDBC-$B98)/($U98-$B98))))</f>
      </c>
      <c r="Y98" s="223">
        <f>IF($A98="","",IF($V98="Đã xử lý","Hoàn thành",IF(N($U98)=0,"Chưa đặt hạn",IF(TDBC&gt;$U98,"Quá hạn",IF(ROUND((N($X98)-$W98)*100,0)&gt;=20,"Chậm tiến độ",IF($U98-TDBC&lt;=1,"Sắp đến hạn","Đúng tiến độ"))))))</f>
      </c>
      <c r="Z98" s="223">
        <f>IF(OR($A98="",$V98="Đã xử lý",N($U98)=0),"",IF(TDBC&gt;$U98,"Quá "&amp;IF(((TDBC-$U98)*24)&lt;1,MAX(1,ROUND(((TDBC-$U98)*24)*60,0))&amp;" phút",IF(ROUND(((TDBC-$U98)*24),0)&lt;24,ROUND(((TDBC-$U98)*24),0)&amp;" giờ",INT(ROUND(((TDBC-$U98)*24),0)/24)&amp;" ngày"&amp;IF(MOD(ROUND(((TDBC-$U98)*24),0),24)&gt;0," "&amp;MOD(ROUND(((TDBC-$U98)*24),0),24)&amp;" giờ",""))),"Còn "&amp;IF((($U98-TDBC)*24)&lt;1,MAX(1,ROUND((($U98-TDBC)*24)*60,0))&amp;" phút",IF(ROUND((($U98-TDBC)*24),0)&lt;24,ROUND((($U98-TDBC)*24),0)&amp;" giờ",INT(ROUND((($U98-TDBC)*24),0)/24)&amp;" ngày"&amp;IF(MOD(ROUND((($U98-TDBC)*24),0),24)&gt;0," "&amp;MOD(ROUND((($U98-TDBC)*24),0),24)&amp;" giờ","")))))</f>
      </c>
      <c r="AA98" s="220">
        <f>IF($V98="Đã xử lý",_xlfn.MAXIFS('Nhật ký tiến độ'!$B$6:$B$3005,'Nhật ký tiến độ'!$C$6:$C$3005,$A98,'Nhật ký tiến độ'!$E$6:$E$3005,"Đã xử lý"),"")</f>
      </c>
      <c r="AB98" s="223">
        <f>IF($AI98="","",IF($AI98&lt;1,MAX(1,ROUND($AI98*60,0))&amp;" phút",IF(ROUND($AI98,0)&lt;24,ROUND($AI98,0)&amp;" giờ",INT(ROUND($AI98,0)/24)&amp;" ngày"&amp;IF(MOD(ROUND($AI98,0),24)&gt;0," "&amp;MOD(ROUND($AI98,0),24)&amp;" giờ",""))))</f>
      </c>
      <c r="AC98" s="223">
        <f>IF(OR($A98="",N($AH98)=0),"",IF($AI98&lt;&gt;"",IF($AI98&lt;=$AH98,"Trong ước tính","Vượt "&amp;IF(($AI98-$AH98)&lt;1,MAX(1,ROUND(($AI98-$AH98)*60,0))&amp;" phút",IF(ROUND(($AI98-$AH98),0)&lt;24,ROUND(($AI98-$AH98),0)&amp;" giờ",INT(ROUND(($AI98-$AH98),0)/24)&amp;" ngày"&amp;IF(MOD(ROUND(($AI98-$AH98),0),24)&gt;0," "&amp;MOD(ROUND(($AI98-$AH98),0),24)&amp;" giờ","")))),IF(OR($V98="Đã xử lý",N($B98)=0),"",IF((TDBC-$B98)*24&gt;$AH98,"Đã vượt ước tính","Đã dùng "&amp;TEXT((TDBC-$B98)*24/$AH98,"0%")))))</f>
      </c>
      <c r="AD98" s="223">
        <f>IF(N($AO98)=0,"",CHOOSE($AO98,"Nhắc nhở","Cảnh báo","Báo động","Báo động đỏ"))</f>
      </c>
      <c r="AE98" s="223">
        <f>IF(OR(N($AA98)=0,N($U98)=0),"",IF($AA98&lt;=$U98,"Đúng hạn","Trễ hạn"))</f>
      </c>
      <c r="AF98" s="220">
        <f>IF($A98="","",_xlfn.MAXIFS('Nhật ký tiến độ'!$B$6:$B$3005,'Nhật ký tiến độ'!$C$6:$C$3005,$A98))</f>
      </c>
      <c r="AG98" s="223">
        <f>IF($A98="","",IF(COUNTIF('Kế hoạch'!$M$6:$M$305,$A98)=0,"",COUNTIF('Kế hoạch'!$M$6:$M$305,$A98)&amp;" việc"))</f>
      </c>
      <c r="AH98" s="224">
        <f>IF(OR($A98="",N($O98)&lt;=0),"",IF($P98="Giờ",$O98,$O98*24))</f>
      </c>
      <c r="AI98" s="224">
        <f>IF(OR(N($AA98)=0,N($B98)=0),"",IF($AA98&lt;$B98,"",($AA98-$B98)*24))</f>
      </c>
      <c r="AJ98" s="225">
        <f>IF($A98="","",IF(COUNTIF('Nhật ký tiến độ'!$C$6:$C$3005,$A98)=0,0,_xlfn.MAXIFS('Nhật ký tiến độ'!$N$6:$N$3005,'Nhật ký tiến độ'!$C$6:$C$3005,$A98,'Nhật ký tiến độ'!$B$6:$B$3005,_xlfn.MAXIFS('Nhật ký tiến độ'!$B$6:$B$3005,'Nhật ký tiến độ'!$C$6:$C$3005,$A98))))</f>
      </c>
      <c r="AK98" s="225">
        <f>IF(OR($A98="",$V98="Đã xử lý"),"",IF(N($AO98)&gt;0,5-$AO98,IF($J98="Khẩn cấp",5,IF($Y98="Chậm tiến độ",6,IF(OR($Y98="Sắp đến hạn",$J98="Cao"),7,"")))))</f>
      </c>
      <c r="AL98" s="225">
        <f>IF($AK98="","",$AK98*100000+IF(N($U98)=0,99999,INT($U98))+ROW()/100000)</f>
      </c>
      <c r="AM98" s="225">
        <f>IF(OR($A98="",TRIM($K98)="",COUNTIF($K$6:$K98,$K98)&gt;1),0,1)</f>
      </c>
      <c r="AN98" s="225">
        <f>IF($AM98=1,SUM($AM$6:$AM98),"")</f>
      </c>
      <c r="AO98" s="225">
        <f>IF(OR($A98="",$V98="Đã xử lý",N($U98)=0),0,IF(TDBC&lt;=$U98,0,MAX(1,MIN(4,IF((TDBC-$U98)*24&lt;24,1,IF((TDBC-$U98)*24&lt;72,2,IF((TDBC-$U98)*24&lt;168,3,4)))+IFERROR(INDEX({2,1,0,-1},MATCH($J98,{"Khẩn cấp","Cao","Trung bình","Thấp"},0)),0)))))</f>
      </c>
    </row>
    <row r="99">
      <c r="A99" s="216"/>
      <c r="B99" s="217"/>
      <c r="C99" s="218"/>
      <c r="D99" s="218"/>
      <c r="E99" s="218"/>
      <c r="F99" s="218"/>
      <c r="G99" s="216"/>
      <c r="H99" s="218"/>
      <c r="I99" s="218"/>
      <c r="J99" s="216"/>
      <c r="K99" s="218"/>
      <c r="L99" s="218"/>
      <c r="M99" s="218"/>
      <c r="N99" s="218"/>
      <c r="O99" s="219"/>
      <c r="P99" s="216"/>
      <c r="Q99" s="217"/>
      <c r="R99" s="216"/>
      <c r="S99" s="218"/>
      <c r="T99" s="218"/>
      <c r="U99" s="220">
        <f>IF($A99="","",IF(N($Q99)&gt;0,IF(MOD($Q99,1)=0,$Q99+1-1/1440,$Q99),IF(N($B99)=0,"",$B99+IF(N($AH99)&gt;0,$AH99,IFERROR(INDEX(DM_SLA_Gio,MATCH($J99,DM_SLA_Cap,0)),168))/24)))</f>
      </c>
      <c r="V99" s="221">
        <f>IF($A99="","",IF(N($AJ99)=0,"Mới tiếp nhận",INDEX('Nhật ký tiến độ'!$E:$E,$AJ99)))</f>
      </c>
      <c r="W99" s="222">
        <f>IF($A99="","",IF($V99="Đã xử lý",1,IF(N($AJ99)=0,0,N(INDEX('Nhật ký tiến độ'!$D:$D,$AJ99)))))</f>
      </c>
      <c r="X99" s="222">
        <f>IF(OR($A99="",$V99="Đã xử lý",N($U99)=0,N($B99)=0),"",IF(TDBC&lt;=$B99,0,IF(TDBC&gt;=$U99,1,(TDBC-$B99)/($U99-$B99))))</f>
      </c>
      <c r="Y99" s="223">
        <f>IF($A99="","",IF($V99="Đã xử lý","Hoàn thành",IF(N($U99)=0,"Chưa đặt hạn",IF(TDBC&gt;$U99,"Quá hạn",IF(ROUND((N($X99)-$W99)*100,0)&gt;=20,"Chậm tiến độ",IF($U99-TDBC&lt;=1,"Sắp đến hạn","Đúng tiến độ"))))))</f>
      </c>
      <c r="Z99" s="223">
        <f>IF(OR($A99="",$V99="Đã xử lý",N($U99)=0),"",IF(TDBC&gt;$U99,"Quá "&amp;IF(((TDBC-$U99)*24)&lt;1,MAX(1,ROUND(((TDBC-$U99)*24)*60,0))&amp;" phút",IF(ROUND(((TDBC-$U99)*24),0)&lt;24,ROUND(((TDBC-$U99)*24),0)&amp;" giờ",INT(ROUND(((TDBC-$U99)*24),0)/24)&amp;" ngày"&amp;IF(MOD(ROUND(((TDBC-$U99)*24),0),24)&gt;0," "&amp;MOD(ROUND(((TDBC-$U99)*24),0),24)&amp;" giờ",""))),"Còn "&amp;IF((($U99-TDBC)*24)&lt;1,MAX(1,ROUND((($U99-TDBC)*24)*60,0))&amp;" phút",IF(ROUND((($U99-TDBC)*24),0)&lt;24,ROUND((($U99-TDBC)*24),0)&amp;" giờ",INT(ROUND((($U99-TDBC)*24),0)/24)&amp;" ngày"&amp;IF(MOD(ROUND((($U99-TDBC)*24),0),24)&gt;0," "&amp;MOD(ROUND((($U99-TDBC)*24),0),24)&amp;" giờ","")))))</f>
      </c>
      <c r="AA99" s="220">
        <f>IF($V99="Đã xử lý",_xlfn.MAXIFS('Nhật ký tiến độ'!$B$6:$B$3005,'Nhật ký tiến độ'!$C$6:$C$3005,$A99,'Nhật ký tiến độ'!$E$6:$E$3005,"Đã xử lý"),"")</f>
      </c>
      <c r="AB99" s="223">
        <f>IF($AI99="","",IF($AI99&lt;1,MAX(1,ROUND($AI99*60,0))&amp;" phút",IF(ROUND($AI99,0)&lt;24,ROUND($AI99,0)&amp;" giờ",INT(ROUND($AI99,0)/24)&amp;" ngày"&amp;IF(MOD(ROUND($AI99,0),24)&gt;0," "&amp;MOD(ROUND($AI99,0),24)&amp;" giờ",""))))</f>
      </c>
      <c r="AC99" s="223">
        <f>IF(OR($A99="",N($AH99)=0),"",IF($AI99&lt;&gt;"",IF($AI99&lt;=$AH99,"Trong ước tính","Vượt "&amp;IF(($AI99-$AH99)&lt;1,MAX(1,ROUND(($AI99-$AH99)*60,0))&amp;" phút",IF(ROUND(($AI99-$AH99),0)&lt;24,ROUND(($AI99-$AH99),0)&amp;" giờ",INT(ROUND(($AI99-$AH99),0)/24)&amp;" ngày"&amp;IF(MOD(ROUND(($AI99-$AH99),0),24)&gt;0," "&amp;MOD(ROUND(($AI99-$AH99),0),24)&amp;" giờ","")))),IF(OR($V99="Đã xử lý",N($B99)=0),"",IF((TDBC-$B99)*24&gt;$AH99,"Đã vượt ước tính","Đã dùng "&amp;TEXT((TDBC-$B99)*24/$AH99,"0%")))))</f>
      </c>
      <c r="AD99" s="223">
        <f>IF(N($AO99)=0,"",CHOOSE($AO99,"Nhắc nhở","Cảnh báo","Báo động","Báo động đỏ"))</f>
      </c>
      <c r="AE99" s="223">
        <f>IF(OR(N($AA99)=0,N($U99)=0),"",IF($AA99&lt;=$U99,"Đúng hạn","Trễ hạn"))</f>
      </c>
      <c r="AF99" s="220">
        <f>IF($A99="","",_xlfn.MAXIFS('Nhật ký tiến độ'!$B$6:$B$3005,'Nhật ký tiến độ'!$C$6:$C$3005,$A99))</f>
      </c>
      <c r="AG99" s="223">
        <f>IF($A99="","",IF(COUNTIF('Kế hoạch'!$M$6:$M$305,$A99)=0,"",COUNTIF('Kế hoạch'!$M$6:$M$305,$A99)&amp;" việc"))</f>
      </c>
      <c r="AH99" s="224">
        <f>IF(OR($A99="",N($O99)&lt;=0),"",IF($P99="Giờ",$O99,$O99*24))</f>
      </c>
      <c r="AI99" s="224">
        <f>IF(OR(N($AA99)=0,N($B99)=0),"",IF($AA99&lt;$B99,"",($AA99-$B99)*24))</f>
      </c>
      <c r="AJ99" s="225">
        <f>IF($A99="","",IF(COUNTIF('Nhật ký tiến độ'!$C$6:$C$3005,$A99)=0,0,_xlfn.MAXIFS('Nhật ký tiến độ'!$N$6:$N$3005,'Nhật ký tiến độ'!$C$6:$C$3005,$A99,'Nhật ký tiến độ'!$B$6:$B$3005,_xlfn.MAXIFS('Nhật ký tiến độ'!$B$6:$B$3005,'Nhật ký tiến độ'!$C$6:$C$3005,$A99))))</f>
      </c>
      <c r="AK99" s="225">
        <f>IF(OR($A99="",$V99="Đã xử lý"),"",IF(N($AO99)&gt;0,5-$AO99,IF($J99="Khẩn cấp",5,IF($Y99="Chậm tiến độ",6,IF(OR($Y99="Sắp đến hạn",$J99="Cao"),7,"")))))</f>
      </c>
      <c r="AL99" s="225">
        <f>IF($AK99="","",$AK99*100000+IF(N($U99)=0,99999,INT($U99))+ROW()/100000)</f>
      </c>
      <c r="AM99" s="225">
        <f>IF(OR($A99="",TRIM($K99)="",COUNTIF($K$6:$K99,$K99)&gt;1),0,1)</f>
      </c>
      <c r="AN99" s="225">
        <f>IF($AM99=1,SUM($AM$6:$AM99),"")</f>
      </c>
      <c r="AO99" s="225">
        <f>IF(OR($A99="",$V99="Đã xử lý",N($U99)=0),0,IF(TDBC&lt;=$U99,0,MAX(1,MIN(4,IF((TDBC-$U99)*24&lt;24,1,IF((TDBC-$U99)*24&lt;72,2,IF((TDBC-$U99)*24&lt;168,3,4)))+IFERROR(INDEX({2,1,0,-1},MATCH($J99,{"Khẩn cấp","Cao","Trung bình","Thấp"},0)),0)))))</f>
      </c>
    </row>
    <row r="100">
      <c r="A100" s="216"/>
      <c r="B100" s="217"/>
      <c r="C100" s="218"/>
      <c r="D100" s="218"/>
      <c r="E100" s="218"/>
      <c r="F100" s="218"/>
      <c r="G100" s="216"/>
      <c r="H100" s="218"/>
      <c r="I100" s="218"/>
      <c r="J100" s="216"/>
      <c r="K100" s="218"/>
      <c r="L100" s="218"/>
      <c r="M100" s="218"/>
      <c r="N100" s="218"/>
      <c r="O100" s="219"/>
      <c r="P100" s="216"/>
      <c r="Q100" s="217"/>
      <c r="R100" s="216"/>
      <c r="S100" s="218"/>
      <c r="T100" s="218"/>
      <c r="U100" s="220">
        <f>IF($A100="","",IF(N($Q100)&gt;0,IF(MOD($Q100,1)=0,$Q100+1-1/1440,$Q100),IF(N($B100)=0,"",$B100+IF(N($AH100)&gt;0,$AH100,IFERROR(INDEX(DM_SLA_Gio,MATCH($J100,DM_SLA_Cap,0)),168))/24)))</f>
      </c>
      <c r="V100" s="221">
        <f>IF($A100="","",IF(N($AJ100)=0,"Mới tiếp nhận",INDEX('Nhật ký tiến độ'!$E:$E,$AJ100)))</f>
      </c>
      <c r="W100" s="222">
        <f>IF($A100="","",IF($V100="Đã xử lý",1,IF(N($AJ100)=0,0,N(INDEX('Nhật ký tiến độ'!$D:$D,$AJ100)))))</f>
      </c>
      <c r="X100" s="222">
        <f>IF(OR($A100="",$V100="Đã xử lý",N($U100)=0,N($B100)=0),"",IF(TDBC&lt;=$B100,0,IF(TDBC&gt;=$U100,1,(TDBC-$B100)/($U100-$B100))))</f>
      </c>
      <c r="Y100" s="223">
        <f>IF($A100="","",IF($V100="Đã xử lý","Hoàn thành",IF(N($U100)=0,"Chưa đặt hạn",IF(TDBC&gt;$U100,"Quá hạn",IF(ROUND((N($X100)-$W100)*100,0)&gt;=20,"Chậm tiến độ",IF($U100-TDBC&lt;=1,"Sắp đến hạn","Đúng tiến độ"))))))</f>
      </c>
      <c r="Z100" s="223">
        <f>IF(OR($A100="",$V100="Đã xử lý",N($U100)=0),"",IF(TDBC&gt;$U100,"Quá "&amp;IF(((TDBC-$U100)*24)&lt;1,MAX(1,ROUND(((TDBC-$U100)*24)*60,0))&amp;" phút",IF(ROUND(((TDBC-$U100)*24),0)&lt;24,ROUND(((TDBC-$U100)*24),0)&amp;" giờ",INT(ROUND(((TDBC-$U100)*24),0)/24)&amp;" ngày"&amp;IF(MOD(ROUND(((TDBC-$U100)*24),0),24)&gt;0," "&amp;MOD(ROUND(((TDBC-$U100)*24),0),24)&amp;" giờ",""))),"Còn "&amp;IF((($U100-TDBC)*24)&lt;1,MAX(1,ROUND((($U100-TDBC)*24)*60,0))&amp;" phút",IF(ROUND((($U100-TDBC)*24),0)&lt;24,ROUND((($U100-TDBC)*24),0)&amp;" giờ",INT(ROUND((($U100-TDBC)*24),0)/24)&amp;" ngày"&amp;IF(MOD(ROUND((($U100-TDBC)*24),0),24)&gt;0," "&amp;MOD(ROUND((($U100-TDBC)*24),0),24)&amp;" giờ","")))))</f>
      </c>
      <c r="AA100" s="220">
        <f>IF($V100="Đã xử lý",_xlfn.MAXIFS('Nhật ký tiến độ'!$B$6:$B$3005,'Nhật ký tiến độ'!$C$6:$C$3005,$A100,'Nhật ký tiến độ'!$E$6:$E$3005,"Đã xử lý"),"")</f>
      </c>
      <c r="AB100" s="223">
        <f>IF($AI100="","",IF($AI100&lt;1,MAX(1,ROUND($AI100*60,0))&amp;" phút",IF(ROUND($AI100,0)&lt;24,ROUND($AI100,0)&amp;" giờ",INT(ROUND($AI100,0)/24)&amp;" ngày"&amp;IF(MOD(ROUND($AI100,0),24)&gt;0," "&amp;MOD(ROUND($AI100,0),24)&amp;" giờ",""))))</f>
      </c>
      <c r="AC100" s="223">
        <f>IF(OR($A100="",N($AH100)=0),"",IF($AI100&lt;&gt;"",IF($AI100&lt;=$AH100,"Trong ước tính","Vượt "&amp;IF(($AI100-$AH100)&lt;1,MAX(1,ROUND(($AI100-$AH100)*60,0))&amp;" phút",IF(ROUND(($AI100-$AH100),0)&lt;24,ROUND(($AI100-$AH100),0)&amp;" giờ",INT(ROUND(($AI100-$AH100),0)/24)&amp;" ngày"&amp;IF(MOD(ROUND(($AI100-$AH100),0),24)&gt;0," "&amp;MOD(ROUND(($AI100-$AH100),0),24)&amp;" giờ","")))),IF(OR($V100="Đã xử lý",N($B100)=0),"",IF((TDBC-$B100)*24&gt;$AH100,"Đã vượt ước tính","Đã dùng "&amp;TEXT((TDBC-$B100)*24/$AH100,"0%")))))</f>
      </c>
      <c r="AD100" s="223">
        <f>IF(N($AO100)=0,"",CHOOSE($AO100,"Nhắc nhở","Cảnh báo","Báo động","Báo động đỏ"))</f>
      </c>
      <c r="AE100" s="223">
        <f>IF(OR(N($AA100)=0,N($U100)=0),"",IF($AA100&lt;=$U100,"Đúng hạn","Trễ hạn"))</f>
      </c>
      <c r="AF100" s="220">
        <f>IF($A100="","",_xlfn.MAXIFS('Nhật ký tiến độ'!$B$6:$B$3005,'Nhật ký tiến độ'!$C$6:$C$3005,$A100))</f>
      </c>
      <c r="AG100" s="223">
        <f>IF($A100="","",IF(COUNTIF('Kế hoạch'!$M$6:$M$305,$A100)=0,"",COUNTIF('Kế hoạch'!$M$6:$M$305,$A100)&amp;" việc"))</f>
      </c>
      <c r="AH100" s="224">
        <f>IF(OR($A100="",N($O100)&lt;=0),"",IF($P100="Giờ",$O100,$O100*24))</f>
      </c>
      <c r="AI100" s="224">
        <f>IF(OR(N($AA100)=0,N($B100)=0),"",IF($AA100&lt;$B100,"",($AA100-$B100)*24))</f>
      </c>
      <c r="AJ100" s="225">
        <f>IF($A100="","",IF(COUNTIF('Nhật ký tiến độ'!$C$6:$C$3005,$A100)=0,0,_xlfn.MAXIFS('Nhật ký tiến độ'!$N$6:$N$3005,'Nhật ký tiến độ'!$C$6:$C$3005,$A100,'Nhật ký tiến độ'!$B$6:$B$3005,_xlfn.MAXIFS('Nhật ký tiến độ'!$B$6:$B$3005,'Nhật ký tiến độ'!$C$6:$C$3005,$A100))))</f>
      </c>
      <c r="AK100" s="225">
        <f>IF(OR($A100="",$V100="Đã xử lý"),"",IF(N($AO100)&gt;0,5-$AO100,IF($J100="Khẩn cấp",5,IF($Y100="Chậm tiến độ",6,IF(OR($Y100="Sắp đến hạn",$J100="Cao"),7,"")))))</f>
      </c>
      <c r="AL100" s="225">
        <f>IF($AK100="","",$AK100*100000+IF(N($U100)=0,99999,INT($U100))+ROW()/100000)</f>
      </c>
      <c r="AM100" s="225">
        <f>IF(OR($A100="",TRIM($K100)="",COUNTIF($K$6:$K100,$K100)&gt;1),0,1)</f>
      </c>
      <c r="AN100" s="225">
        <f>IF($AM100=1,SUM($AM$6:$AM100),"")</f>
      </c>
      <c r="AO100" s="225">
        <f>IF(OR($A100="",$V100="Đã xử lý",N($U100)=0),0,IF(TDBC&lt;=$U100,0,MAX(1,MIN(4,IF((TDBC-$U100)*24&lt;24,1,IF((TDBC-$U100)*24&lt;72,2,IF((TDBC-$U100)*24&lt;168,3,4)))+IFERROR(INDEX({2,1,0,-1},MATCH($J100,{"Khẩn cấp","Cao","Trung bình","Thấp"},0)),0)))))</f>
      </c>
    </row>
    <row r="101">
      <c r="A101" s="216"/>
      <c r="B101" s="217"/>
      <c r="C101" s="218"/>
      <c r="D101" s="218"/>
      <c r="E101" s="218"/>
      <c r="F101" s="218"/>
      <c r="G101" s="216"/>
      <c r="H101" s="218"/>
      <c r="I101" s="218"/>
      <c r="J101" s="216"/>
      <c r="K101" s="218"/>
      <c r="L101" s="218"/>
      <c r="M101" s="218"/>
      <c r="N101" s="218"/>
      <c r="O101" s="219"/>
      <c r="P101" s="216"/>
      <c r="Q101" s="217"/>
      <c r="R101" s="216"/>
      <c r="S101" s="218"/>
      <c r="T101" s="218"/>
      <c r="U101" s="220">
        <f>IF($A101="","",IF(N($Q101)&gt;0,IF(MOD($Q101,1)=0,$Q101+1-1/1440,$Q101),IF(N($B101)=0,"",$B101+IF(N($AH101)&gt;0,$AH101,IFERROR(INDEX(DM_SLA_Gio,MATCH($J101,DM_SLA_Cap,0)),168))/24)))</f>
      </c>
      <c r="V101" s="221">
        <f>IF($A101="","",IF(N($AJ101)=0,"Mới tiếp nhận",INDEX('Nhật ký tiến độ'!$E:$E,$AJ101)))</f>
      </c>
      <c r="W101" s="222">
        <f>IF($A101="","",IF($V101="Đã xử lý",1,IF(N($AJ101)=0,0,N(INDEX('Nhật ký tiến độ'!$D:$D,$AJ101)))))</f>
      </c>
      <c r="X101" s="222">
        <f>IF(OR($A101="",$V101="Đã xử lý",N($U101)=0,N($B101)=0),"",IF(TDBC&lt;=$B101,0,IF(TDBC&gt;=$U101,1,(TDBC-$B101)/($U101-$B101))))</f>
      </c>
      <c r="Y101" s="223">
        <f>IF($A101="","",IF($V101="Đã xử lý","Hoàn thành",IF(N($U101)=0,"Chưa đặt hạn",IF(TDBC&gt;$U101,"Quá hạn",IF(ROUND((N($X101)-$W101)*100,0)&gt;=20,"Chậm tiến độ",IF($U101-TDBC&lt;=1,"Sắp đến hạn","Đúng tiến độ"))))))</f>
      </c>
      <c r="Z101" s="223">
        <f>IF(OR($A101="",$V101="Đã xử lý",N($U101)=0),"",IF(TDBC&gt;$U101,"Quá "&amp;IF(((TDBC-$U101)*24)&lt;1,MAX(1,ROUND(((TDBC-$U101)*24)*60,0))&amp;" phút",IF(ROUND(((TDBC-$U101)*24),0)&lt;24,ROUND(((TDBC-$U101)*24),0)&amp;" giờ",INT(ROUND(((TDBC-$U101)*24),0)/24)&amp;" ngày"&amp;IF(MOD(ROUND(((TDBC-$U101)*24),0),24)&gt;0," "&amp;MOD(ROUND(((TDBC-$U101)*24),0),24)&amp;" giờ",""))),"Còn "&amp;IF((($U101-TDBC)*24)&lt;1,MAX(1,ROUND((($U101-TDBC)*24)*60,0))&amp;" phút",IF(ROUND((($U101-TDBC)*24),0)&lt;24,ROUND((($U101-TDBC)*24),0)&amp;" giờ",INT(ROUND((($U101-TDBC)*24),0)/24)&amp;" ngày"&amp;IF(MOD(ROUND((($U101-TDBC)*24),0),24)&gt;0," "&amp;MOD(ROUND((($U101-TDBC)*24),0),24)&amp;" giờ","")))))</f>
      </c>
      <c r="AA101" s="220">
        <f>IF($V101="Đã xử lý",_xlfn.MAXIFS('Nhật ký tiến độ'!$B$6:$B$3005,'Nhật ký tiến độ'!$C$6:$C$3005,$A101,'Nhật ký tiến độ'!$E$6:$E$3005,"Đã xử lý"),"")</f>
      </c>
      <c r="AB101" s="223">
        <f>IF($AI101="","",IF($AI101&lt;1,MAX(1,ROUND($AI101*60,0))&amp;" phút",IF(ROUND($AI101,0)&lt;24,ROUND($AI101,0)&amp;" giờ",INT(ROUND($AI101,0)/24)&amp;" ngày"&amp;IF(MOD(ROUND($AI101,0),24)&gt;0," "&amp;MOD(ROUND($AI101,0),24)&amp;" giờ",""))))</f>
      </c>
      <c r="AC101" s="223">
        <f>IF(OR($A101="",N($AH101)=0),"",IF($AI101&lt;&gt;"",IF($AI101&lt;=$AH101,"Trong ước tính","Vượt "&amp;IF(($AI101-$AH101)&lt;1,MAX(1,ROUND(($AI101-$AH101)*60,0))&amp;" phút",IF(ROUND(($AI101-$AH101),0)&lt;24,ROUND(($AI101-$AH101),0)&amp;" giờ",INT(ROUND(($AI101-$AH101),0)/24)&amp;" ngày"&amp;IF(MOD(ROUND(($AI101-$AH101),0),24)&gt;0," "&amp;MOD(ROUND(($AI101-$AH101),0),24)&amp;" giờ","")))),IF(OR($V101="Đã xử lý",N($B101)=0),"",IF((TDBC-$B101)*24&gt;$AH101,"Đã vượt ước tính","Đã dùng "&amp;TEXT((TDBC-$B101)*24/$AH101,"0%")))))</f>
      </c>
      <c r="AD101" s="223">
        <f>IF(N($AO101)=0,"",CHOOSE($AO101,"Nhắc nhở","Cảnh báo","Báo động","Báo động đỏ"))</f>
      </c>
      <c r="AE101" s="223">
        <f>IF(OR(N($AA101)=0,N($U101)=0),"",IF($AA101&lt;=$U101,"Đúng hạn","Trễ hạn"))</f>
      </c>
      <c r="AF101" s="220">
        <f>IF($A101="","",_xlfn.MAXIFS('Nhật ký tiến độ'!$B$6:$B$3005,'Nhật ký tiến độ'!$C$6:$C$3005,$A101))</f>
      </c>
      <c r="AG101" s="223">
        <f>IF($A101="","",IF(COUNTIF('Kế hoạch'!$M$6:$M$305,$A101)=0,"",COUNTIF('Kế hoạch'!$M$6:$M$305,$A101)&amp;" việc"))</f>
      </c>
      <c r="AH101" s="224">
        <f>IF(OR($A101="",N($O101)&lt;=0),"",IF($P101="Giờ",$O101,$O101*24))</f>
      </c>
      <c r="AI101" s="224">
        <f>IF(OR(N($AA101)=0,N($B101)=0),"",IF($AA101&lt;$B101,"",($AA101-$B101)*24))</f>
      </c>
      <c r="AJ101" s="225">
        <f>IF($A101="","",IF(COUNTIF('Nhật ký tiến độ'!$C$6:$C$3005,$A101)=0,0,_xlfn.MAXIFS('Nhật ký tiến độ'!$N$6:$N$3005,'Nhật ký tiến độ'!$C$6:$C$3005,$A101,'Nhật ký tiến độ'!$B$6:$B$3005,_xlfn.MAXIFS('Nhật ký tiến độ'!$B$6:$B$3005,'Nhật ký tiến độ'!$C$6:$C$3005,$A101))))</f>
      </c>
      <c r="AK101" s="225">
        <f>IF(OR($A101="",$V101="Đã xử lý"),"",IF(N($AO101)&gt;0,5-$AO101,IF($J101="Khẩn cấp",5,IF($Y101="Chậm tiến độ",6,IF(OR($Y101="Sắp đến hạn",$J101="Cao"),7,"")))))</f>
      </c>
      <c r="AL101" s="225">
        <f>IF($AK101="","",$AK101*100000+IF(N($U101)=0,99999,INT($U101))+ROW()/100000)</f>
      </c>
      <c r="AM101" s="225">
        <f>IF(OR($A101="",TRIM($K101)="",COUNTIF($K$6:$K101,$K101)&gt;1),0,1)</f>
      </c>
      <c r="AN101" s="225">
        <f>IF($AM101=1,SUM($AM$6:$AM101),"")</f>
      </c>
      <c r="AO101" s="225">
        <f>IF(OR($A101="",$V101="Đã xử lý",N($U101)=0),0,IF(TDBC&lt;=$U101,0,MAX(1,MIN(4,IF((TDBC-$U101)*24&lt;24,1,IF((TDBC-$U101)*24&lt;72,2,IF((TDBC-$U101)*24&lt;168,3,4)))+IFERROR(INDEX({2,1,0,-1},MATCH($J101,{"Khẩn cấp","Cao","Trung bình","Thấp"},0)),0)))))</f>
      </c>
    </row>
    <row r="102">
      <c r="A102" s="216"/>
      <c r="B102" s="217"/>
      <c r="C102" s="218"/>
      <c r="D102" s="218"/>
      <c r="E102" s="218"/>
      <c r="F102" s="218"/>
      <c r="G102" s="216"/>
      <c r="H102" s="218"/>
      <c r="I102" s="218"/>
      <c r="J102" s="216"/>
      <c r="K102" s="218"/>
      <c r="L102" s="218"/>
      <c r="M102" s="218"/>
      <c r="N102" s="218"/>
      <c r="O102" s="219"/>
      <c r="P102" s="216"/>
      <c r="Q102" s="217"/>
      <c r="R102" s="216"/>
      <c r="S102" s="218"/>
      <c r="T102" s="218"/>
      <c r="U102" s="220">
        <f>IF($A102="","",IF(N($Q102)&gt;0,IF(MOD($Q102,1)=0,$Q102+1-1/1440,$Q102),IF(N($B102)=0,"",$B102+IF(N($AH102)&gt;0,$AH102,IFERROR(INDEX(DM_SLA_Gio,MATCH($J102,DM_SLA_Cap,0)),168))/24)))</f>
      </c>
      <c r="V102" s="221">
        <f>IF($A102="","",IF(N($AJ102)=0,"Mới tiếp nhận",INDEX('Nhật ký tiến độ'!$E:$E,$AJ102)))</f>
      </c>
      <c r="W102" s="222">
        <f>IF($A102="","",IF($V102="Đã xử lý",1,IF(N($AJ102)=0,0,N(INDEX('Nhật ký tiến độ'!$D:$D,$AJ102)))))</f>
      </c>
      <c r="X102" s="222">
        <f>IF(OR($A102="",$V102="Đã xử lý",N($U102)=0,N($B102)=0),"",IF(TDBC&lt;=$B102,0,IF(TDBC&gt;=$U102,1,(TDBC-$B102)/($U102-$B102))))</f>
      </c>
      <c r="Y102" s="223">
        <f>IF($A102="","",IF($V102="Đã xử lý","Hoàn thành",IF(N($U102)=0,"Chưa đặt hạn",IF(TDBC&gt;$U102,"Quá hạn",IF(ROUND((N($X102)-$W102)*100,0)&gt;=20,"Chậm tiến độ",IF($U102-TDBC&lt;=1,"Sắp đến hạn","Đúng tiến độ"))))))</f>
      </c>
      <c r="Z102" s="223">
        <f>IF(OR($A102="",$V102="Đã xử lý",N($U102)=0),"",IF(TDBC&gt;$U102,"Quá "&amp;IF(((TDBC-$U102)*24)&lt;1,MAX(1,ROUND(((TDBC-$U102)*24)*60,0))&amp;" phút",IF(ROUND(((TDBC-$U102)*24),0)&lt;24,ROUND(((TDBC-$U102)*24),0)&amp;" giờ",INT(ROUND(((TDBC-$U102)*24),0)/24)&amp;" ngày"&amp;IF(MOD(ROUND(((TDBC-$U102)*24),0),24)&gt;0," "&amp;MOD(ROUND(((TDBC-$U102)*24),0),24)&amp;" giờ",""))),"Còn "&amp;IF((($U102-TDBC)*24)&lt;1,MAX(1,ROUND((($U102-TDBC)*24)*60,0))&amp;" phút",IF(ROUND((($U102-TDBC)*24),0)&lt;24,ROUND((($U102-TDBC)*24),0)&amp;" giờ",INT(ROUND((($U102-TDBC)*24),0)/24)&amp;" ngày"&amp;IF(MOD(ROUND((($U102-TDBC)*24),0),24)&gt;0," "&amp;MOD(ROUND((($U102-TDBC)*24),0),24)&amp;" giờ","")))))</f>
      </c>
      <c r="AA102" s="220">
        <f>IF($V102="Đã xử lý",_xlfn.MAXIFS('Nhật ký tiến độ'!$B$6:$B$3005,'Nhật ký tiến độ'!$C$6:$C$3005,$A102,'Nhật ký tiến độ'!$E$6:$E$3005,"Đã xử lý"),"")</f>
      </c>
      <c r="AB102" s="223">
        <f>IF($AI102="","",IF($AI102&lt;1,MAX(1,ROUND($AI102*60,0))&amp;" phút",IF(ROUND($AI102,0)&lt;24,ROUND($AI102,0)&amp;" giờ",INT(ROUND($AI102,0)/24)&amp;" ngày"&amp;IF(MOD(ROUND($AI102,0),24)&gt;0," "&amp;MOD(ROUND($AI102,0),24)&amp;" giờ",""))))</f>
      </c>
      <c r="AC102" s="223">
        <f>IF(OR($A102="",N($AH102)=0),"",IF($AI102&lt;&gt;"",IF($AI102&lt;=$AH102,"Trong ước tính","Vượt "&amp;IF(($AI102-$AH102)&lt;1,MAX(1,ROUND(($AI102-$AH102)*60,0))&amp;" phút",IF(ROUND(($AI102-$AH102),0)&lt;24,ROUND(($AI102-$AH102),0)&amp;" giờ",INT(ROUND(($AI102-$AH102),0)/24)&amp;" ngày"&amp;IF(MOD(ROUND(($AI102-$AH102),0),24)&gt;0," "&amp;MOD(ROUND(($AI102-$AH102),0),24)&amp;" giờ","")))),IF(OR($V102="Đã xử lý",N($B102)=0),"",IF((TDBC-$B102)*24&gt;$AH102,"Đã vượt ước tính","Đã dùng "&amp;TEXT((TDBC-$B102)*24/$AH102,"0%")))))</f>
      </c>
      <c r="AD102" s="223">
        <f>IF(N($AO102)=0,"",CHOOSE($AO102,"Nhắc nhở","Cảnh báo","Báo động","Báo động đỏ"))</f>
      </c>
      <c r="AE102" s="223">
        <f>IF(OR(N($AA102)=0,N($U102)=0),"",IF($AA102&lt;=$U102,"Đúng hạn","Trễ hạn"))</f>
      </c>
      <c r="AF102" s="220">
        <f>IF($A102="","",_xlfn.MAXIFS('Nhật ký tiến độ'!$B$6:$B$3005,'Nhật ký tiến độ'!$C$6:$C$3005,$A102))</f>
      </c>
      <c r="AG102" s="223">
        <f>IF($A102="","",IF(COUNTIF('Kế hoạch'!$M$6:$M$305,$A102)=0,"",COUNTIF('Kế hoạch'!$M$6:$M$305,$A102)&amp;" việc"))</f>
      </c>
      <c r="AH102" s="224">
        <f>IF(OR($A102="",N($O102)&lt;=0),"",IF($P102="Giờ",$O102,$O102*24))</f>
      </c>
      <c r="AI102" s="224">
        <f>IF(OR(N($AA102)=0,N($B102)=0),"",IF($AA102&lt;$B102,"",($AA102-$B102)*24))</f>
      </c>
      <c r="AJ102" s="225">
        <f>IF($A102="","",IF(COUNTIF('Nhật ký tiến độ'!$C$6:$C$3005,$A102)=0,0,_xlfn.MAXIFS('Nhật ký tiến độ'!$N$6:$N$3005,'Nhật ký tiến độ'!$C$6:$C$3005,$A102,'Nhật ký tiến độ'!$B$6:$B$3005,_xlfn.MAXIFS('Nhật ký tiến độ'!$B$6:$B$3005,'Nhật ký tiến độ'!$C$6:$C$3005,$A102))))</f>
      </c>
      <c r="AK102" s="225">
        <f>IF(OR($A102="",$V102="Đã xử lý"),"",IF(N($AO102)&gt;0,5-$AO102,IF($J102="Khẩn cấp",5,IF($Y102="Chậm tiến độ",6,IF(OR($Y102="Sắp đến hạn",$J102="Cao"),7,"")))))</f>
      </c>
      <c r="AL102" s="225">
        <f>IF($AK102="","",$AK102*100000+IF(N($U102)=0,99999,INT($U102))+ROW()/100000)</f>
      </c>
      <c r="AM102" s="225">
        <f>IF(OR($A102="",TRIM($K102)="",COUNTIF($K$6:$K102,$K102)&gt;1),0,1)</f>
      </c>
      <c r="AN102" s="225">
        <f>IF($AM102=1,SUM($AM$6:$AM102),"")</f>
      </c>
      <c r="AO102" s="225">
        <f>IF(OR($A102="",$V102="Đã xử lý",N($U102)=0),0,IF(TDBC&lt;=$U102,0,MAX(1,MIN(4,IF((TDBC-$U102)*24&lt;24,1,IF((TDBC-$U102)*24&lt;72,2,IF((TDBC-$U102)*24&lt;168,3,4)))+IFERROR(INDEX({2,1,0,-1},MATCH($J102,{"Khẩn cấp","Cao","Trung bình","Thấp"},0)),0)))))</f>
      </c>
    </row>
    <row r="103">
      <c r="A103" s="216"/>
      <c r="B103" s="217"/>
      <c r="C103" s="218"/>
      <c r="D103" s="218"/>
      <c r="E103" s="218"/>
      <c r="F103" s="218"/>
      <c r="G103" s="216"/>
      <c r="H103" s="218"/>
      <c r="I103" s="218"/>
      <c r="J103" s="216"/>
      <c r="K103" s="218"/>
      <c r="L103" s="218"/>
      <c r="M103" s="218"/>
      <c r="N103" s="218"/>
      <c r="O103" s="219"/>
      <c r="P103" s="216"/>
      <c r="Q103" s="217"/>
      <c r="R103" s="216"/>
      <c r="S103" s="218"/>
      <c r="T103" s="218"/>
      <c r="U103" s="220">
        <f>IF($A103="","",IF(N($Q103)&gt;0,IF(MOD($Q103,1)=0,$Q103+1-1/1440,$Q103),IF(N($B103)=0,"",$B103+IF(N($AH103)&gt;0,$AH103,IFERROR(INDEX(DM_SLA_Gio,MATCH($J103,DM_SLA_Cap,0)),168))/24)))</f>
      </c>
      <c r="V103" s="221">
        <f>IF($A103="","",IF(N($AJ103)=0,"Mới tiếp nhận",INDEX('Nhật ký tiến độ'!$E:$E,$AJ103)))</f>
      </c>
      <c r="W103" s="222">
        <f>IF($A103="","",IF($V103="Đã xử lý",1,IF(N($AJ103)=0,0,N(INDEX('Nhật ký tiến độ'!$D:$D,$AJ103)))))</f>
      </c>
      <c r="X103" s="222">
        <f>IF(OR($A103="",$V103="Đã xử lý",N($U103)=0,N($B103)=0),"",IF(TDBC&lt;=$B103,0,IF(TDBC&gt;=$U103,1,(TDBC-$B103)/($U103-$B103))))</f>
      </c>
      <c r="Y103" s="223">
        <f>IF($A103="","",IF($V103="Đã xử lý","Hoàn thành",IF(N($U103)=0,"Chưa đặt hạn",IF(TDBC&gt;$U103,"Quá hạn",IF(ROUND((N($X103)-$W103)*100,0)&gt;=20,"Chậm tiến độ",IF($U103-TDBC&lt;=1,"Sắp đến hạn","Đúng tiến độ"))))))</f>
      </c>
      <c r="Z103" s="223">
        <f>IF(OR($A103="",$V103="Đã xử lý",N($U103)=0),"",IF(TDBC&gt;$U103,"Quá "&amp;IF(((TDBC-$U103)*24)&lt;1,MAX(1,ROUND(((TDBC-$U103)*24)*60,0))&amp;" phút",IF(ROUND(((TDBC-$U103)*24),0)&lt;24,ROUND(((TDBC-$U103)*24),0)&amp;" giờ",INT(ROUND(((TDBC-$U103)*24),0)/24)&amp;" ngày"&amp;IF(MOD(ROUND(((TDBC-$U103)*24),0),24)&gt;0," "&amp;MOD(ROUND(((TDBC-$U103)*24),0),24)&amp;" giờ",""))),"Còn "&amp;IF((($U103-TDBC)*24)&lt;1,MAX(1,ROUND((($U103-TDBC)*24)*60,0))&amp;" phút",IF(ROUND((($U103-TDBC)*24),0)&lt;24,ROUND((($U103-TDBC)*24),0)&amp;" giờ",INT(ROUND((($U103-TDBC)*24),0)/24)&amp;" ngày"&amp;IF(MOD(ROUND((($U103-TDBC)*24),0),24)&gt;0," "&amp;MOD(ROUND((($U103-TDBC)*24),0),24)&amp;" giờ","")))))</f>
      </c>
      <c r="AA103" s="220">
        <f>IF($V103="Đã xử lý",_xlfn.MAXIFS('Nhật ký tiến độ'!$B$6:$B$3005,'Nhật ký tiến độ'!$C$6:$C$3005,$A103,'Nhật ký tiến độ'!$E$6:$E$3005,"Đã xử lý"),"")</f>
      </c>
      <c r="AB103" s="223">
        <f>IF($AI103="","",IF($AI103&lt;1,MAX(1,ROUND($AI103*60,0))&amp;" phút",IF(ROUND($AI103,0)&lt;24,ROUND($AI103,0)&amp;" giờ",INT(ROUND($AI103,0)/24)&amp;" ngày"&amp;IF(MOD(ROUND($AI103,0),24)&gt;0," "&amp;MOD(ROUND($AI103,0),24)&amp;" giờ",""))))</f>
      </c>
      <c r="AC103" s="223">
        <f>IF(OR($A103="",N($AH103)=0),"",IF($AI103&lt;&gt;"",IF($AI103&lt;=$AH103,"Trong ước tính","Vượt "&amp;IF(($AI103-$AH103)&lt;1,MAX(1,ROUND(($AI103-$AH103)*60,0))&amp;" phút",IF(ROUND(($AI103-$AH103),0)&lt;24,ROUND(($AI103-$AH103),0)&amp;" giờ",INT(ROUND(($AI103-$AH103),0)/24)&amp;" ngày"&amp;IF(MOD(ROUND(($AI103-$AH103),0),24)&gt;0," "&amp;MOD(ROUND(($AI103-$AH103),0),24)&amp;" giờ","")))),IF(OR($V103="Đã xử lý",N($B103)=0),"",IF((TDBC-$B103)*24&gt;$AH103,"Đã vượt ước tính","Đã dùng "&amp;TEXT((TDBC-$B103)*24/$AH103,"0%")))))</f>
      </c>
      <c r="AD103" s="223">
        <f>IF(N($AO103)=0,"",CHOOSE($AO103,"Nhắc nhở","Cảnh báo","Báo động","Báo động đỏ"))</f>
      </c>
      <c r="AE103" s="223">
        <f>IF(OR(N($AA103)=0,N($U103)=0),"",IF($AA103&lt;=$U103,"Đúng hạn","Trễ hạn"))</f>
      </c>
      <c r="AF103" s="220">
        <f>IF($A103="","",_xlfn.MAXIFS('Nhật ký tiến độ'!$B$6:$B$3005,'Nhật ký tiến độ'!$C$6:$C$3005,$A103))</f>
      </c>
      <c r="AG103" s="223">
        <f>IF($A103="","",IF(COUNTIF('Kế hoạch'!$M$6:$M$305,$A103)=0,"",COUNTIF('Kế hoạch'!$M$6:$M$305,$A103)&amp;" việc"))</f>
      </c>
      <c r="AH103" s="224">
        <f>IF(OR($A103="",N($O103)&lt;=0),"",IF($P103="Giờ",$O103,$O103*24))</f>
      </c>
      <c r="AI103" s="224">
        <f>IF(OR(N($AA103)=0,N($B103)=0),"",IF($AA103&lt;$B103,"",($AA103-$B103)*24))</f>
      </c>
      <c r="AJ103" s="225">
        <f>IF($A103="","",IF(COUNTIF('Nhật ký tiến độ'!$C$6:$C$3005,$A103)=0,0,_xlfn.MAXIFS('Nhật ký tiến độ'!$N$6:$N$3005,'Nhật ký tiến độ'!$C$6:$C$3005,$A103,'Nhật ký tiến độ'!$B$6:$B$3005,_xlfn.MAXIFS('Nhật ký tiến độ'!$B$6:$B$3005,'Nhật ký tiến độ'!$C$6:$C$3005,$A103))))</f>
      </c>
      <c r="AK103" s="225">
        <f>IF(OR($A103="",$V103="Đã xử lý"),"",IF(N($AO103)&gt;0,5-$AO103,IF($J103="Khẩn cấp",5,IF($Y103="Chậm tiến độ",6,IF(OR($Y103="Sắp đến hạn",$J103="Cao"),7,"")))))</f>
      </c>
      <c r="AL103" s="225">
        <f>IF($AK103="","",$AK103*100000+IF(N($U103)=0,99999,INT($U103))+ROW()/100000)</f>
      </c>
      <c r="AM103" s="225">
        <f>IF(OR($A103="",TRIM($K103)="",COUNTIF($K$6:$K103,$K103)&gt;1),0,1)</f>
      </c>
      <c r="AN103" s="225">
        <f>IF($AM103=1,SUM($AM$6:$AM103),"")</f>
      </c>
      <c r="AO103" s="225">
        <f>IF(OR($A103="",$V103="Đã xử lý",N($U103)=0),0,IF(TDBC&lt;=$U103,0,MAX(1,MIN(4,IF((TDBC-$U103)*24&lt;24,1,IF((TDBC-$U103)*24&lt;72,2,IF((TDBC-$U103)*24&lt;168,3,4)))+IFERROR(INDEX({2,1,0,-1},MATCH($J103,{"Khẩn cấp","Cao","Trung bình","Thấp"},0)),0)))))</f>
      </c>
    </row>
    <row r="104">
      <c r="A104" s="216"/>
      <c r="B104" s="217"/>
      <c r="C104" s="218"/>
      <c r="D104" s="218"/>
      <c r="E104" s="218"/>
      <c r="F104" s="218"/>
      <c r="G104" s="216"/>
      <c r="H104" s="218"/>
      <c r="I104" s="218"/>
      <c r="J104" s="216"/>
      <c r="K104" s="218"/>
      <c r="L104" s="218"/>
      <c r="M104" s="218"/>
      <c r="N104" s="218"/>
      <c r="O104" s="219"/>
      <c r="P104" s="216"/>
      <c r="Q104" s="217"/>
      <c r="R104" s="216"/>
      <c r="S104" s="218"/>
      <c r="T104" s="218"/>
      <c r="U104" s="220">
        <f>IF($A104="","",IF(N($Q104)&gt;0,IF(MOD($Q104,1)=0,$Q104+1-1/1440,$Q104),IF(N($B104)=0,"",$B104+IF(N($AH104)&gt;0,$AH104,IFERROR(INDEX(DM_SLA_Gio,MATCH($J104,DM_SLA_Cap,0)),168))/24)))</f>
      </c>
      <c r="V104" s="221">
        <f>IF($A104="","",IF(N($AJ104)=0,"Mới tiếp nhận",INDEX('Nhật ký tiến độ'!$E:$E,$AJ104)))</f>
      </c>
      <c r="W104" s="222">
        <f>IF($A104="","",IF($V104="Đã xử lý",1,IF(N($AJ104)=0,0,N(INDEX('Nhật ký tiến độ'!$D:$D,$AJ104)))))</f>
      </c>
      <c r="X104" s="222">
        <f>IF(OR($A104="",$V104="Đã xử lý",N($U104)=0,N($B104)=0),"",IF(TDBC&lt;=$B104,0,IF(TDBC&gt;=$U104,1,(TDBC-$B104)/($U104-$B104))))</f>
      </c>
      <c r="Y104" s="223">
        <f>IF($A104="","",IF($V104="Đã xử lý","Hoàn thành",IF(N($U104)=0,"Chưa đặt hạn",IF(TDBC&gt;$U104,"Quá hạn",IF(ROUND((N($X104)-$W104)*100,0)&gt;=20,"Chậm tiến độ",IF($U104-TDBC&lt;=1,"Sắp đến hạn","Đúng tiến độ"))))))</f>
      </c>
      <c r="Z104" s="223">
        <f>IF(OR($A104="",$V104="Đã xử lý",N($U104)=0),"",IF(TDBC&gt;$U104,"Quá "&amp;IF(((TDBC-$U104)*24)&lt;1,MAX(1,ROUND(((TDBC-$U104)*24)*60,0))&amp;" phút",IF(ROUND(((TDBC-$U104)*24),0)&lt;24,ROUND(((TDBC-$U104)*24),0)&amp;" giờ",INT(ROUND(((TDBC-$U104)*24),0)/24)&amp;" ngày"&amp;IF(MOD(ROUND(((TDBC-$U104)*24),0),24)&gt;0," "&amp;MOD(ROUND(((TDBC-$U104)*24),0),24)&amp;" giờ",""))),"Còn "&amp;IF((($U104-TDBC)*24)&lt;1,MAX(1,ROUND((($U104-TDBC)*24)*60,0))&amp;" phút",IF(ROUND((($U104-TDBC)*24),0)&lt;24,ROUND((($U104-TDBC)*24),0)&amp;" giờ",INT(ROUND((($U104-TDBC)*24),0)/24)&amp;" ngày"&amp;IF(MOD(ROUND((($U104-TDBC)*24),0),24)&gt;0," "&amp;MOD(ROUND((($U104-TDBC)*24),0),24)&amp;" giờ","")))))</f>
      </c>
      <c r="AA104" s="220">
        <f>IF($V104="Đã xử lý",_xlfn.MAXIFS('Nhật ký tiến độ'!$B$6:$B$3005,'Nhật ký tiến độ'!$C$6:$C$3005,$A104,'Nhật ký tiến độ'!$E$6:$E$3005,"Đã xử lý"),"")</f>
      </c>
      <c r="AB104" s="223">
        <f>IF($AI104="","",IF($AI104&lt;1,MAX(1,ROUND($AI104*60,0))&amp;" phút",IF(ROUND($AI104,0)&lt;24,ROUND($AI104,0)&amp;" giờ",INT(ROUND($AI104,0)/24)&amp;" ngày"&amp;IF(MOD(ROUND($AI104,0),24)&gt;0," "&amp;MOD(ROUND($AI104,0),24)&amp;" giờ",""))))</f>
      </c>
      <c r="AC104" s="223">
        <f>IF(OR($A104="",N($AH104)=0),"",IF($AI104&lt;&gt;"",IF($AI104&lt;=$AH104,"Trong ước tính","Vượt "&amp;IF(($AI104-$AH104)&lt;1,MAX(1,ROUND(($AI104-$AH104)*60,0))&amp;" phút",IF(ROUND(($AI104-$AH104),0)&lt;24,ROUND(($AI104-$AH104),0)&amp;" giờ",INT(ROUND(($AI104-$AH104),0)/24)&amp;" ngày"&amp;IF(MOD(ROUND(($AI104-$AH104),0),24)&gt;0," "&amp;MOD(ROUND(($AI104-$AH104),0),24)&amp;" giờ","")))),IF(OR($V104="Đã xử lý",N($B104)=0),"",IF((TDBC-$B104)*24&gt;$AH104,"Đã vượt ước tính","Đã dùng "&amp;TEXT((TDBC-$B104)*24/$AH104,"0%")))))</f>
      </c>
      <c r="AD104" s="223">
        <f>IF(N($AO104)=0,"",CHOOSE($AO104,"Nhắc nhở","Cảnh báo","Báo động","Báo động đỏ"))</f>
      </c>
      <c r="AE104" s="223">
        <f>IF(OR(N($AA104)=0,N($U104)=0),"",IF($AA104&lt;=$U104,"Đúng hạn","Trễ hạn"))</f>
      </c>
      <c r="AF104" s="220">
        <f>IF($A104="","",_xlfn.MAXIFS('Nhật ký tiến độ'!$B$6:$B$3005,'Nhật ký tiến độ'!$C$6:$C$3005,$A104))</f>
      </c>
      <c r="AG104" s="223">
        <f>IF($A104="","",IF(COUNTIF('Kế hoạch'!$M$6:$M$305,$A104)=0,"",COUNTIF('Kế hoạch'!$M$6:$M$305,$A104)&amp;" việc"))</f>
      </c>
      <c r="AH104" s="224">
        <f>IF(OR($A104="",N($O104)&lt;=0),"",IF($P104="Giờ",$O104,$O104*24))</f>
      </c>
      <c r="AI104" s="224">
        <f>IF(OR(N($AA104)=0,N($B104)=0),"",IF($AA104&lt;$B104,"",($AA104-$B104)*24))</f>
      </c>
      <c r="AJ104" s="225">
        <f>IF($A104="","",IF(COUNTIF('Nhật ký tiến độ'!$C$6:$C$3005,$A104)=0,0,_xlfn.MAXIFS('Nhật ký tiến độ'!$N$6:$N$3005,'Nhật ký tiến độ'!$C$6:$C$3005,$A104,'Nhật ký tiến độ'!$B$6:$B$3005,_xlfn.MAXIFS('Nhật ký tiến độ'!$B$6:$B$3005,'Nhật ký tiến độ'!$C$6:$C$3005,$A104))))</f>
      </c>
      <c r="AK104" s="225">
        <f>IF(OR($A104="",$V104="Đã xử lý"),"",IF(N($AO104)&gt;0,5-$AO104,IF($J104="Khẩn cấp",5,IF($Y104="Chậm tiến độ",6,IF(OR($Y104="Sắp đến hạn",$J104="Cao"),7,"")))))</f>
      </c>
      <c r="AL104" s="225">
        <f>IF($AK104="","",$AK104*100000+IF(N($U104)=0,99999,INT($U104))+ROW()/100000)</f>
      </c>
      <c r="AM104" s="225">
        <f>IF(OR($A104="",TRIM($K104)="",COUNTIF($K$6:$K104,$K104)&gt;1),0,1)</f>
      </c>
      <c r="AN104" s="225">
        <f>IF($AM104=1,SUM($AM$6:$AM104),"")</f>
      </c>
      <c r="AO104" s="225">
        <f>IF(OR($A104="",$V104="Đã xử lý",N($U104)=0),0,IF(TDBC&lt;=$U104,0,MAX(1,MIN(4,IF((TDBC-$U104)*24&lt;24,1,IF((TDBC-$U104)*24&lt;72,2,IF((TDBC-$U104)*24&lt;168,3,4)))+IFERROR(INDEX({2,1,0,-1},MATCH($J104,{"Khẩn cấp","Cao","Trung bình","Thấp"},0)),0)))))</f>
      </c>
    </row>
    <row r="105">
      <c r="A105" s="216"/>
      <c r="B105" s="217"/>
      <c r="C105" s="218"/>
      <c r="D105" s="218"/>
      <c r="E105" s="218"/>
      <c r="F105" s="218"/>
      <c r="G105" s="216"/>
      <c r="H105" s="218"/>
      <c r="I105" s="218"/>
      <c r="J105" s="216"/>
      <c r="K105" s="218"/>
      <c r="L105" s="218"/>
      <c r="M105" s="218"/>
      <c r="N105" s="218"/>
      <c r="O105" s="219"/>
      <c r="P105" s="216"/>
      <c r="Q105" s="217"/>
      <c r="R105" s="216"/>
      <c r="S105" s="218"/>
      <c r="T105" s="218"/>
      <c r="U105" s="220">
        <f>IF($A105="","",IF(N($Q105)&gt;0,IF(MOD($Q105,1)=0,$Q105+1-1/1440,$Q105),IF(N($B105)=0,"",$B105+IF(N($AH105)&gt;0,$AH105,IFERROR(INDEX(DM_SLA_Gio,MATCH($J105,DM_SLA_Cap,0)),168))/24)))</f>
      </c>
      <c r="V105" s="221">
        <f>IF($A105="","",IF(N($AJ105)=0,"Mới tiếp nhận",INDEX('Nhật ký tiến độ'!$E:$E,$AJ105)))</f>
      </c>
      <c r="W105" s="222">
        <f>IF($A105="","",IF($V105="Đã xử lý",1,IF(N($AJ105)=0,0,N(INDEX('Nhật ký tiến độ'!$D:$D,$AJ105)))))</f>
      </c>
      <c r="X105" s="222">
        <f>IF(OR($A105="",$V105="Đã xử lý",N($U105)=0,N($B105)=0),"",IF(TDBC&lt;=$B105,0,IF(TDBC&gt;=$U105,1,(TDBC-$B105)/($U105-$B105))))</f>
      </c>
      <c r="Y105" s="223">
        <f>IF($A105="","",IF($V105="Đã xử lý","Hoàn thành",IF(N($U105)=0,"Chưa đặt hạn",IF(TDBC&gt;$U105,"Quá hạn",IF(ROUND((N($X105)-$W105)*100,0)&gt;=20,"Chậm tiến độ",IF($U105-TDBC&lt;=1,"Sắp đến hạn","Đúng tiến độ"))))))</f>
      </c>
      <c r="Z105" s="223">
        <f>IF(OR($A105="",$V105="Đã xử lý",N($U105)=0),"",IF(TDBC&gt;$U105,"Quá "&amp;IF(((TDBC-$U105)*24)&lt;1,MAX(1,ROUND(((TDBC-$U105)*24)*60,0))&amp;" phút",IF(ROUND(((TDBC-$U105)*24),0)&lt;24,ROUND(((TDBC-$U105)*24),0)&amp;" giờ",INT(ROUND(((TDBC-$U105)*24),0)/24)&amp;" ngày"&amp;IF(MOD(ROUND(((TDBC-$U105)*24),0),24)&gt;0," "&amp;MOD(ROUND(((TDBC-$U105)*24),0),24)&amp;" giờ",""))),"Còn "&amp;IF((($U105-TDBC)*24)&lt;1,MAX(1,ROUND((($U105-TDBC)*24)*60,0))&amp;" phút",IF(ROUND((($U105-TDBC)*24),0)&lt;24,ROUND((($U105-TDBC)*24),0)&amp;" giờ",INT(ROUND((($U105-TDBC)*24),0)/24)&amp;" ngày"&amp;IF(MOD(ROUND((($U105-TDBC)*24),0),24)&gt;0," "&amp;MOD(ROUND((($U105-TDBC)*24),0),24)&amp;" giờ","")))))</f>
      </c>
      <c r="AA105" s="220">
        <f>IF($V105="Đã xử lý",_xlfn.MAXIFS('Nhật ký tiến độ'!$B$6:$B$3005,'Nhật ký tiến độ'!$C$6:$C$3005,$A105,'Nhật ký tiến độ'!$E$6:$E$3005,"Đã xử lý"),"")</f>
      </c>
      <c r="AB105" s="223">
        <f>IF($AI105="","",IF($AI105&lt;1,MAX(1,ROUND($AI105*60,0))&amp;" phút",IF(ROUND($AI105,0)&lt;24,ROUND($AI105,0)&amp;" giờ",INT(ROUND($AI105,0)/24)&amp;" ngày"&amp;IF(MOD(ROUND($AI105,0),24)&gt;0," "&amp;MOD(ROUND($AI105,0),24)&amp;" giờ",""))))</f>
      </c>
      <c r="AC105" s="223">
        <f>IF(OR($A105="",N($AH105)=0),"",IF($AI105&lt;&gt;"",IF($AI105&lt;=$AH105,"Trong ước tính","Vượt "&amp;IF(($AI105-$AH105)&lt;1,MAX(1,ROUND(($AI105-$AH105)*60,0))&amp;" phút",IF(ROUND(($AI105-$AH105),0)&lt;24,ROUND(($AI105-$AH105),0)&amp;" giờ",INT(ROUND(($AI105-$AH105),0)/24)&amp;" ngày"&amp;IF(MOD(ROUND(($AI105-$AH105),0),24)&gt;0," "&amp;MOD(ROUND(($AI105-$AH105),0),24)&amp;" giờ","")))),IF(OR($V105="Đã xử lý",N($B105)=0),"",IF((TDBC-$B105)*24&gt;$AH105,"Đã vượt ước tính","Đã dùng "&amp;TEXT((TDBC-$B105)*24/$AH105,"0%")))))</f>
      </c>
      <c r="AD105" s="223">
        <f>IF(N($AO105)=0,"",CHOOSE($AO105,"Nhắc nhở","Cảnh báo","Báo động","Báo động đỏ"))</f>
      </c>
      <c r="AE105" s="223">
        <f>IF(OR(N($AA105)=0,N($U105)=0),"",IF($AA105&lt;=$U105,"Đúng hạn","Trễ hạn"))</f>
      </c>
      <c r="AF105" s="220">
        <f>IF($A105="","",_xlfn.MAXIFS('Nhật ký tiến độ'!$B$6:$B$3005,'Nhật ký tiến độ'!$C$6:$C$3005,$A105))</f>
      </c>
      <c r="AG105" s="223">
        <f>IF($A105="","",IF(COUNTIF('Kế hoạch'!$M$6:$M$305,$A105)=0,"",COUNTIF('Kế hoạch'!$M$6:$M$305,$A105)&amp;" việc"))</f>
      </c>
      <c r="AH105" s="224">
        <f>IF(OR($A105="",N($O105)&lt;=0),"",IF($P105="Giờ",$O105,$O105*24))</f>
      </c>
      <c r="AI105" s="224">
        <f>IF(OR(N($AA105)=0,N($B105)=0),"",IF($AA105&lt;$B105,"",($AA105-$B105)*24))</f>
      </c>
      <c r="AJ105" s="225">
        <f>IF($A105="","",IF(COUNTIF('Nhật ký tiến độ'!$C$6:$C$3005,$A105)=0,0,_xlfn.MAXIFS('Nhật ký tiến độ'!$N$6:$N$3005,'Nhật ký tiến độ'!$C$6:$C$3005,$A105,'Nhật ký tiến độ'!$B$6:$B$3005,_xlfn.MAXIFS('Nhật ký tiến độ'!$B$6:$B$3005,'Nhật ký tiến độ'!$C$6:$C$3005,$A105))))</f>
      </c>
      <c r="AK105" s="225">
        <f>IF(OR($A105="",$V105="Đã xử lý"),"",IF(N($AO105)&gt;0,5-$AO105,IF($J105="Khẩn cấp",5,IF($Y105="Chậm tiến độ",6,IF(OR($Y105="Sắp đến hạn",$J105="Cao"),7,"")))))</f>
      </c>
      <c r="AL105" s="225">
        <f>IF($AK105="","",$AK105*100000+IF(N($U105)=0,99999,INT($U105))+ROW()/100000)</f>
      </c>
      <c r="AM105" s="225">
        <f>IF(OR($A105="",TRIM($K105)="",COUNTIF($K$6:$K105,$K105)&gt;1),0,1)</f>
      </c>
      <c r="AN105" s="225">
        <f>IF($AM105=1,SUM($AM$6:$AM105),"")</f>
      </c>
      <c r="AO105" s="225">
        <f>IF(OR($A105="",$V105="Đã xử lý",N($U105)=0),0,IF(TDBC&lt;=$U105,0,MAX(1,MIN(4,IF((TDBC-$U105)*24&lt;24,1,IF((TDBC-$U105)*24&lt;72,2,IF((TDBC-$U105)*24&lt;168,3,4)))+IFERROR(INDEX({2,1,0,-1},MATCH($J105,{"Khẩn cấp","Cao","Trung bình","Thấp"},0)),0)))))</f>
      </c>
    </row>
    <row r="106">
      <c r="A106" s="216"/>
      <c r="B106" s="217"/>
      <c r="C106" s="218"/>
      <c r="D106" s="218"/>
      <c r="E106" s="218"/>
      <c r="F106" s="218"/>
      <c r="G106" s="216"/>
      <c r="H106" s="218"/>
      <c r="I106" s="218"/>
      <c r="J106" s="216"/>
      <c r="K106" s="218"/>
      <c r="L106" s="218"/>
      <c r="M106" s="218"/>
      <c r="N106" s="218"/>
      <c r="O106" s="219"/>
      <c r="P106" s="216"/>
      <c r="Q106" s="217"/>
      <c r="R106" s="216"/>
      <c r="S106" s="218"/>
      <c r="T106" s="218"/>
      <c r="U106" s="220">
        <f>IF($A106="","",IF(N($Q106)&gt;0,IF(MOD($Q106,1)=0,$Q106+1-1/1440,$Q106),IF(N($B106)=0,"",$B106+IF(N($AH106)&gt;0,$AH106,IFERROR(INDEX(DM_SLA_Gio,MATCH($J106,DM_SLA_Cap,0)),168))/24)))</f>
      </c>
      <c r="V106" s="221">
        <f>IF($A106="","",IF(N($AJ106)=0,"Mới tiếp nhận",INDEX('Nhật ký tiến độ'!$E:$E,$AJ106)))</f>
      </c>
      <c r="W106" s="222">
        <f>IF($A106="","",IF($V106="Đã xử lý",1,IF(N($AJ106)=0,0,N(INDEX('Nhật ký tiến độ'!$D:$D,$AJ106)))))</f>
      </c>
      <c r="X106" s="222">
        <f>IF(OR($A106="",$V106="Đã xử lý",N($U106)=0,N($B106)=0),"",IF(TDBC&lt;=$B106,0,IF(TDBC&gt;=$U106,1,(TDBC-$B106)/($U106-$B106))))</f>
      </c>
      <c r="Y106" s="223">
        <f>IF($A106="","",IF($V106="Đã xử lý","Hoàn thành",IF(N($U106)=0,"Chưa đặt hạn",IF(TDBC&gt;$U106,"Quá hạn",IF(ROUND((N($X106)-$W106)*100,0)&gt;=20,"Chậm tiến độ",IF($U106-TDBC&lt;=1,"Sắp đến hạn","Đúng tiến độ"))))))</f>
      </c>
      <c r="Z106" s="223">
        <f>IF(OR($A106="",$V106="Đã xử lý",N($U106)=0),"",IF(TDBC&gt;$U106,"Quá "&amp;IF(((TDBC-$U106)*24)&lt;1,MAX(1,ROUND(((TDBC-$U106)*24)*60,0))&amp;" phút",IF(ROUND(((TDBC-$U106)*24),0)&lt;24,ROUND(((TDBC-$U106)*24),0)&amp;" giờ",INT(ROUND(((TDBC-$U106)*24),0)/24)&amp;" ngày"&amp;IF(MOD(ROUND(((TDBC-$U106)*24),0),24)&gt;0," "&amp;MOD(ROUND(((TDBC-$U106)*24),0),24)&amp;" giờ",""))),"Còn "&amp;IF((($U106-TDBC)*24)&lt;1,MAX(1,ROUND((($U106-TDBC)*24)*60,0))&amp;" phút",IF(ROUND((($U106-TDBC)*24),0)&lt;24,ROUND((($U106-TDBC)*24),0)&amp;" giờ",INT(ROUND((($U106-TDBC)*24),0)/24)&amp;" ngày"&amp;IF(MOD(ROUND((($U106-TDBC)*24),0),24)&gt;0," "&amp;MOD(ROUND((($U106-TDBC)*24),0),24)&amp;" giờ","")))))</f>
      </c>
      <c r="AA106" s="220">
        <f>IF($V106="Đã xử lý",_xlfn.MAXIFS('Nhật ký tiến độ'!$B$6:$B$3005,'Nhật ký tiến độ'!$C$6:$C$3005,$A106,'Nhật ký tiến độ'!$E$6:$E$3005,"Đã xử lý"),"")</f>
      </c>
      <c r="AB106" s="223">
        <f>IF($AI106="","",IF($AI106&lt;1,MAX(1,ROUND($AI106*60,0))&amp;" phút",IF(ROUND($AI106,0)&lt;24,ROUND($AI106,0)&amp;" giờ",INT(ROUND($AI106,0)/24)&amp;" ngày"&amp;IF(MOD(ROUND($AI106,0),24)&gt;0," "&amp;MOD(ROUND($AI106,0),24)&amp;" giờ",""))))</f>
      </c>
      <c r="AC106" s="223">
        <f>IF(OR($A106="",N($AH106)=0),"",IF($AI106&lt;&gt;"",IF($AI106&lt;=$AH106,"Trong ước tính","Vượt "&amp;IF(($AI106-$AH106)&lt;1,MAX(1,ROUND(($AI106-$AH106)*60,0))&amp;" phút",IF(ROUND(($AI106-$AH106),0)&lt;24,ROUND(($AI106-$AH106),0)&amp;" giờ",INT(ROUND(($AI106-$AH106),0)/24)&amp;" ngày"&amp;IF(MOD(ROUND(($AI106-$AH106),0),24)&gt;0," "&amp;MOD(ROUND(($AI106-$AH106),0),24)&amp;" giờ","")))),IF(OR($V106="Đã xử lý",N($B106)=0),"",IF((TDBC-$B106)*24&gt;$AH106,"Đã vượt ước tính","Đã dùng "&amp;TEXT((TDBC-$B106)*24/$AH106,"0%")))))</f>
      </c>
      <c r="AD106" s="223">
        <f>IF(N($AO106)=0,"",CHOOSE($AO106,"Nhắc nhở","Cảnh báo","Báo động","Báo động đỏ"))</f>
      </c>
      <c r="AE106" s="223">
        <f>IF(OR(N($AA106)=0,N($U106)=0),"",IF($AA106&lt;=$U106,"Đúng hạn","Trễ hạn"))</f>
      </c>
      <c r="AF106" s="220">
        <f>IF($A106="","",_xlfn.MAXIFS('Nhật ký tiến độ'!$B$6:$B$3005,'Nhật ký tiến độ'!$C$6:$C$3005,$A106))</f>
      </c>
      <c r="AG106" s="223">
        <f>IF($A106="","",IF(COUNTIF('Kế hoạch'!$M$6:$M$305,$A106)=0,"",COUNTIF('Kế hoạch'!$M$6:$M$305,$A106)&amp;" việc"))</f>
      </c>
      <c r="AH106" s="224">
        <f>IF(OR($A106="",N($O106)&lt;=0),"",IF($P106="Giờ",$O106,$O106*24))</f>
      </c>
      <c r="AI106" s="224">
        <f>IF(OR(N($AA106)=0,N($B106)=0),"",IF($AA106&lt;$B106,"",($AA106-$B106)*24))</f>
      </c>
      <c r="AJ106" s="225">
        <f>IF($A106="","",IF(COUNTIF('Nhật ký tiến độ'!$C$6:$C$3005,$A106)=0,0,_xlfn.MAXIFS('Nhật ký tiến độ'!$N$6:$N$3005,'Nhật ký tiến độ'!$C$6:$C$3005,$A106,'Nhật ký tiến độ'!$B$6:$B$3005,_xlfn.MAXIFS('Nhật ký tiến độ'!$B$6:$B$3005,'Nhật ký tiến độ'!$C$6:$C$3005,$A106))))</f>
      </c>
      <c r="AK106" s="225">
        <f>IF(OR($A106="",$V106="Đã xử lý"),"",IF(N($AO106)&gt;0,5-$AO106,IF($J106="Khẩn cấp",5,IF($Y106="Chậm tiến độ",6,IF(OR($Y106="Sắp đến hạn",$J106="Cao"),7,"")))))</f>
      </c>
      <c r="AL106" s="225">
        <f>IF($AK106="","",$AK106*100000+IF(N($U106)=0,99999,INT($U106))+ROW()/100000)</f>
      </c>
      <c r="AM106" s="225">
        <f>IF(OR($A106="",TRIM($K106)="",COUNTIF($K$6:$K106,$K106)&gt;1),0,1)</f>
      </c>
      <c r="AN106" s="225">
        <f>IF($AM106=1,SUM($AM$6:$AM106),"")</f>
      </c>
      <c r="AO106" s="225">
        <f>IF(OR($A106="",$V106="Đã xử lý",N($U106)=0),0,IF(TDBC&lt;=$U106,0,MAX(1,MIN(4,IF((TDBC-$U106)*24&lt;24,1,IF((TDBC-$U106)*24&lt;72,2,IF((TDBC-$U106)*24&lt;168,3,4)))+IFERROR(INDEX({2,1,0,-1},MATCH($J106,{"Khẩn cấp","Cao","Trung bình","Thấp"},0)),0)))))</f>
      </c>
    </row>
    <row r="107">
      <c r="A107" s="216"/>
      <c r="B107" s="217"/>
      <c r="C107" s="218"/>
      <c r="D107" s="218"/>
      <c r="E107" s="218"/>
      <c r="F107" s="218"/>
      <c r="G107" s="216"/>
      <c r="H107" s="218"/>
      <c r="I107" s="218"/>
      <c r="J107" s="216"/>
      <c r="K107" s="218"/>
      <c r="L107" s="218"/>
      <c r="M107" s="218"/>
      <c r="N107" s="218"/>
      <c r="O107" s="219"/>
      <c r="P107" s="216"/>
      <c r="Q107" s="217"/>
      <c r="R107" s="216"/>
      <c r="S107" s="218"/>
      <c r="T107" s="218"/>
      <c r="U107" s="220">
        <f>IF($A107="","",IF(N($Q107)&gt;0,IF(MOD($Q107,1)=0,$Q107+1-1/1440,$Q107),IF(N($B107)=0,"",$B107+IF(N($AH107)&gt;0,$AH107,IFERROR(INDEX(DM_SLA_Gio,MATCH($J107,DM_SLA_Cap,0)),168))/24)))</f>
      </c>
      <c r="V107" s="221">
        <f>IF($A107="","",IF(N($AJ107)=0,"Mới tiếp nhận",INDEX('Nhật ký tiến độ'!$E:$E,$AJ107)))</f>
      </c>
      <c r="W107" s="222">
        <f>IF($A107="","",IF($V107="Đã xử lý",1,IF(N($AJ107)=0,0,N(INDEX('Nhật ký tiến độ'!$D:$D,$AJ107)))))</f>
      </c>
      <c r="X107" s="222">
        <f>IF(OR($A107="",$V107="Đã xử lý",N($U107)=0,N($B107)=0),"",IF(TDBC&lt;=$B107,0,IF(TDBC&gt;=$U107,1,(TDBC-$B107)/($U107-$B107))))</f>
      </c>
      <c r="Y107" s="223">
        <f>IF($A107="","",IF($V107="Đã xử lý","Hoàn thành",IF(N($U107)=0,"Chưa đặt hạn",IF(TDBC&gt;$U107,"Quá hạn",IF(ROUND((N($X107)-$W107)*100,0)&gt;=20,"Chậm tiến độ",IF($U107-TDBC&lt;=1,"Sắp đến hạn","Đúng tiến độ"))))))</f>
      </c>
      <c r="Z107" s="223">
        <f>IF(OR($A107="",$V107="Đã xử lý",N($U107)=0),"",IF(TDBC&gt;$U107,"Quá "&amp;IF(((TDBC-$U107)*24)&lt;1,MAX(1,ROUND(((TDBC-$U107)*24)*60,0))&amp;" phút",IF(ROUND(((TDBC-$U107)*24),0)&lt;24,ROUND(((TDBC-$U107)*24),0)&amp;" giờ",INT(ROUND(((TDBC-$U107)*24),0)/24)&amp;" ngày"&amp;IF(MOD(ROUND(((TDBC-$U107)*24),0),24)&gt;0," "&amp;MOD(ROUND(((TDBC-$U107)*24),0),24)&amp;" giờ",""))),"Còn "&amp;IF((($U107-TDBC)*24)&lt;1,MAX(1,ROUND((($U107-TDBC)*24)*60,0))&amp;" phút",IF(ROUND((($U107-TDBC)*24),0)&lt;24,ROUND((($U107-TDBC)*24),0)&amp;" giờ",INT(ROUND((($U107-TDBC)*24),0)/24)&amp;" ngày"&amp;IF(MOD(ROUND((($U107-TDBC)*24),0),24)&gt;0," "&amp;MOD(ROUND((($U107-TDBC)*24),0),24)&amp;" giờ","")))))</f>
      </c>
      <c r="AA107" s="220">
        <f>IF($V107="Đã xử lý",_xlfn.MAXIFS('Nhật ký tiến độ'!$B$6:$B$3005,'Nhật ký tiến độ'!$C$6:$C$3005,$A107,'Nhật ký tiến độ'!$E$6:$E$3005,"Đã xử lý"),"")</f>
      </c>
      <c r="AB107" s="223">
        <f>IF($AI107="","",IF($AI107&lt;1,MAX(1,ROUND($AI107*60,0))&amp;" phút",IF(ROUND($AI107,0)&lt;24,ROUND($AI107,0)&amp;" giờ",INT(ROUND($AI107,0)/24)&amp;" ngày"&amp;IF(MOD(ROUND($AI107,0),24)&gt;0," "&amp;MOD(ROUND($AI107,0),24)&amp;" giờ",""))))</f>
      </c>
      <c r="AC107" s="223">
        <f>IF(OR($A107="",N($AH107)=0),"",IF($AI107&lt;&gt;"",IF($AI107&lt;=$AH107,"Trong ước tính","Vượt "&amp;IF(($AI107-$AH107)&lt;1,MAX(1,ROUND(($AI107-$AH107)*60,0))&amp;" phút",IF(ROUND(($AI107-$AH107),0)&lt;24,ROUND(($AI107-$AH107),0)&amp;" giờ",INT(ROUND(($AI107-$AH107),0)/24)&amp;" ngày"&amp;IF(MOD(ROUND(($AI107-$AH107),0),24)&gt;0," "&amp;MOD(ROUND(($AI107-$AH107),0),24)&amp;" giờ","")))),IF(OR($V107="Đã xử lý",N($B107)=0),"",IF((TDBC-$B107)*24&gt;$AH107,"Đã vượt ước tính","Đã dùng "&amp;TEXT((TDBC-$B107)*24/$AH107,"0%")))))</f>
      </c>
      <c r="AD107" s="223">
        <f>IF(N($AO107)=0,"",CHOOSE($AO107,"Nhắc nhở","Cảnh báo","Báo động","Báo động đỏ"))</f>
      </c>
      <c r="AE107" s="223">
        <f>IF(OR(N($AA107)=0,N($U107)=0),"",IF($AA107&lt;=$U107,"Đúng hạn","Trễ hạn"))</f>
      </c>
      <c r="AF107" s="220">
        <f>IF($A107="","",_xlfn.MAXIFS('Nhật ký tiến độ'!$B$6:$B$3005,'Nhật ký tiến độ'!$C$6:$C$3005,$A107))</f>
      </c>
      <c r="AG107" s="223">
        <f>IF($A107="","",IF(COUNTIF('Kế hoạch'!$M$6:$M$305,$A107)=0,"",COUNTIF('Kế hoạch'!$M$6:$M$305,$A107)&amp;" việc"))</f>
      </c>
      <c r="AH107" s="224">
        <f>IF(OR($A107="",N($O107)&lt;=0),"",IF($P107="Giờ",$O107,$O107*24))</f>
      </c>
      <c r="AI107" s="224">
        <f>IF(OR(N($AA107)=0,N($B107)=0),"",IF($AA107&lt;$B107,"",($AA107-$B107)*24))</f>
      </c>
      <c r="AJ107" s="225">
        <f>IF($A107="","",IF(COUNTIF('Nhật ký tiến độ'!$C$6:$C$3005,$A107)=0,0,_xlfn.MAXIFS('Nhật ký tiến độ'!$N$6:$N$3005,'Nhật ký tiến độ'!$C$6:$C$3005,$A107,'Nhật ký tiến độ'!$B$6:$B$3005,_xlfn.MAXIFS('Nhật ký tiến độ'!$B$6:$B$3005,'Nhật ký tiến độ'!$C$6:$C$3005,$A107))))</f>
      </c>
      <c r="AK107" s="225">
        <f>IF(OR($A107="",$V107="Đã xử lý"),"",IF(N($AO107)&gt;0,5-$AO107,IF($J107="Khẩn cấp",5,IF($Y107="Chậm tiến độ",6,IF(OR($Y107="Sắp đến hạn",$J107="Cao"),7,"")))))</f>
      </c>
      <c r="AL107" s="225">
        <f>IF($AK107="","",$AK107*100000+IF(N($U107)=0,99999,INT($U107))+ROW()/100000)</f>
      </c>
      <c r="AM107" s="225">
        <f>IF(OR($A107="",TRIM($K107)="",COUNTIF($K$6:$K107,$K107)&gt;1),0,1)</f>
      </c>
      <c r="AN107" s="225">
        <f>IF($AM107=1,SUM($AM$6:$AM107),"")</f>
      </c>
      <c r="AO107" s="225">
        <f>IF(OR($A107="",$V107="Đã xử lý",N($U107)=0),0,IF(TDBC&lt;=$U107,0,MAX(1,MIN(4,IF((TDBC-$U107)*24&lt;24,1,IF((TDBC-$U107)*24&lt;72,2,IF((TDBC-$U107)*24&lt;168,3,4)))+IFERROR(INDEX({2,1,0,-1},MATCH($J107,{"Khẩn cấp","Cao","Trung bình","Thấp"},0)),0)))))</f>
      </c>
    </row>
    <row r="108">
      <c r="A108" s="216"/>
      <c r="B108" s="217"/>
      <c r="C108" s="218"/>
      <c r="D108" s="218"/>
      <c r="E108" s="218"/>
      <c r="F108" s="218"/>
      <c r="G108" s="216"/>
      <c r="H108" s="218"/>
      <c r="I108" s="218"/>
      <c r="J108" s="216"/>
      <c r="K108" s="218"/>
      <c r="L108" s="218"/>
      <c r="M108" s="218"/>
      <c r="N108" s="218"/>
      <c r="O108" s="219"/>
      <c r="P108" s="216"/>
      <c r="Q108" s="217"/>
      <c r="R108" s="216"/>
      <c r="S108" s="218"/>
      <c r="T108" s="218"/>
      <c r="U108" s="220">
        <f>IF($A108="","",IF(N($Q108)&gt;0,IF(MOD($Q108,1)=0,$Q108+1-1/1440,$Q108),IF(N($B108)=0,"",$B108+IF(N($AH108)&gt;0,$AH108,IFERROR(INDEX(DM_SLA_Gio,MATCH($J108,DM_SLA_Cap,0)),168))/24)))</f>
      </c>
      <c r="V108" s="221">
        <f>IF($A108="","",IF(N($AJ108)=0,"Mới tiếp nhận",INDEX('Nhật ký tiến độ'!$E:$E,$AJ108)))</f>
      </c>
      <c r="W108" s="222">
        <f>IF($A108="","",IF($V108="Đã xử lý",1,IF(N($AJ108)=0,0,N(INDEX('Nhật ký tiến độ'!$D:$D,$AJ108)))))</f>
      </c>
      <c r="X108" s="222">
        <f>IF(OR($A108="",$V108="Đã xử lý",N($U108)=0,N($B108)=0),"",IF(TDBC&lt;=$B108,0,IF(TDBC&gt;=$U108,1,(TDBC-$B108)/($U108-$B108))))</f>
      </c>
      <c r="Y108" s="223">
        <f>IF($A108="","",IF($V108="Đã xử lý","Hoàn thành",IF(N($U108)=0,"Chưa đặt hạn",IF(TDBC&gt;$U108,"Quá hạn",IF(ROUND((N($X108)-$W108)*100,0)&gt;=20,"Chậm tiến độ",IF($U108-TDBC&lt;=1,"Sắp đến hạn","Đúng tiến độ"))))))</f>
      </c>
      <c r="Z108" s="223">
        <f>IF(OR($A108="",$V108="Đã xử lý",N($U108)=0),"",IF(TDBC&gt;$U108,"Quá "&amp;IF(((TDBC-$U108)*24)&lt;1,MAX(1,ROUND(((TDBC-$U108)*24)*60,0))&amp;" phút",IF(ROUND(((TDBC-$U108)*24),0)&lt;24,ROUND(((TDBC-$U108)*24),0)&amp;" giờ",INT(ROUND(((TDBC-$U108)*24),0)/24)&amp;" ngày"&amp;IF(MOD(ROUND(((TDBC-$U108)*24),0),24)&gt;0," "&amp;MOD(ROUND(((TDBC-$U108)*24),0),24)&amp;" giờ",""))),"Còn "&amp;IF((($U108-TDBC)*24)&lt;1,MAX(1,ROUND((($U108-TDBC)*24)*60,0))&amp;" phút",IF(ROUND((($U108-TDBC)*24),0)&lt;24,ROUND((($U108-TDBC)*24),0)&amp;" giờ",INT(ROUND((($U108-TDBC)*24),0)/24)&amp;" ngày"&amp;IF(MOD(ROUND((($U108-TDBC)*24),0),24)&gt;0," "&amp;MOD(ROUND((($U108-TDBC)*24),0),24)&amp;" giờ","")))))</f>
      </c>
      <c r="AA108" s="220">
        <f>IF($V108="Đã xử lý",_xlfn.MAXIFS('Nhật ký tiến độ'!$B$6:$B$3005,'Nhật ký tiến độ'!$C$6:$C$3005,$A108,'Nhật ký tiến độ'!$E$6:$E$3005,"Đã xử lý"),"")</f>
      </c>
      <c r="AB108" s="223">
        <f>IF($AI108="","",IF($AI108&lt;1,MAX(1,ROUND($AI108*60,0))&amp;" phút",IF(ROUND($AI108,0)&lt;24,ROUND($AI108,0)&amp;" giờ",INT(ROUND($AI108,0)/24)&amp;" ngày"&amp;IF(MOD(ROUND($AI108,0),24)&gt;0," "&amp;MOD(ROUND($AI108,0),24)&amp;" giờ",""))))</f>
      </c>
      <c r="AC108" s="223">
        <f>IF(OR($A108="",N($AH108)=0),"",IF($AI108&lt;&gt;"",IF($AI108&lt;=$AH108,"Trong ước tính","Vượt "&amp;IF(($AI108-$AH108)&lt;1,MAX(1,ROUND(($AI108-$AH108)*60,0))&amp;" phút",IF(ROUND(($AI108-$AH108),0)&lt;24,ROUND(($AI108-$AH108),0)&amp;" giờ",INT(ROUND(($AI108-$AH108),0)/24)&amp;" ngày"&amp;IF(MOD(ROUND(($AI108-$AH108),0),24)&gt;0," "&amp;MOD(ROUND(($AI108-$AH108),0),24)&amp;" giờ","")))),IF(OR($V108="Đã xử lý",N($B108)=0),"",IF((TDBC-$B108)*24&gt;$AH108,"Đã vượt ước tính","Đã dùng "&amp;TEXT((TDBC-$B108)*24/$AH108,"0%")))))</f>
      </c>
      <c r="AD108" s="223">
        <f>IF(N($AO108)=0,"",CHOOSE($AO108,"Nhắc nhở","Cảnh báo","Báo động","Báo động đỏ"))</f>
      </c>
      <c r="AE108" s="223">
        <f>IF(OR(N($AA108)=0,N($U108)=0),"",IF($AA108&lt;=$U108,"Đúng hạn","Trễ hạn"))</f>
      </c>
      <c r="AF108" s="220">
        <f>IF($A108="","",_xlfn.MAXIFS('Nhật ký tiến độ'!$B$6:$B$3005,'Nhật ký tiến độ'!$C$6:$C$3005,$A108))</f>
      </c>
      <c r="AG108" s="223">
        <f>IF($A108="","",IF(COUNTIF('Kế hoạch'!$M$6:$M$305,$A108)=0,"",COUNTIF('Kế hoạch'!$M$6:$M$305,$A108)&amp;" việc"))</f>
      </c>
      <c r="AH108" s="224">
        <f>IF(OR($A108="",N($O108)&lt;=0),"",IF($P108="Giờ",$O108,$O108*24))</f>
      </c>
      <c r="AI108" s="224">
        <f>IF(OR(N($AA108)=0,N($B108)=0),"",IF($AA108&lt;$B108,"",($AA108-$B108)*24))</f>
      </c>
      <c r="AJ108" s="225">
        <f>IF($A108="","",IF(COUNTIF('Nhật ký tiến độ'!$C$6:$C$3005,$A108)=0,0,_xlfn.MAXIFS('Nhật ký tiến độ'!$N$6:$N$3005,'Nhật ký tiến độ'!$C$6:$C$3005,$A108,'Nhật ký tiến độ'!$B$6:$B$3005,_xlfn.MAXIFS('Nhật ký tiến độ'!$B$6:$B$3005,'Nhật ký tiến độ'!$C$6:$C$3005,$A108))))</f>
      </c>
      <c r="AK108" s="225">
        <f>IF(OR($A108="",$V108="Đã xử lý"),"",IF(N($AO108)&gt;0,5-$AO108,IF($J108="Khẩn cấp",5,IF($Y108="Chậm tiến độ",6,IF(OR($Y108="Sắp đến hạn",$J108="Cao"),7,"")))))</f>
      </c>
      <c r="AL108" s="225">
        <f>IF($AK108="","",$AK108*100000+IF(N($U108)=0,99999,INT($U108))+ROW()/100000)</f>
      </c>
      <c r="AM108" s="225">
        <f>IF(OR($A108="",TRIM($K108)="",COUNTIF($K$6:$K108,$K108)&gt;1),0,1)</f>
      </c>
      <c r="AN108" s="225">
        <f>IF($AM108=1,SUM($AM$6:$AM108),"")</f>
      </c>
      <c r="AO108" s="225">
        <f>IF(OR($A108="",$V108="Đã xử lý",N($U108)=0),0,IF(TDBC&lt;=$U108,0,MAX(1,MIN(4,IF((TDBC-$U108)*24&lt;24,1,IF((TDBC-$U108)*24&lt;72,2,IF((TDBC-$U108)*24&lt;168,3,4)))+IFERROR(INDEX({2,1,0,-1},MATCH($J108,{"Khẩn cấp","Cao","Trung bình","Thấp"},0)),0)))))</f>
      </c>
    </row>
    <row r="109">
      <c r="A109" s="216"/>
      <c r="B109" s="217"/>
      <c r="C109" s="218"/>
      <c r="D109" s="218"/>
      <c r="E109" s="218"/>
      <c r="F109" s="218"/>
      <c r="G109" s="216"/>
      <c r="H109" s="218"/>
      <c r="I109" s="218"/>
      <c r="J109" s="216"/>
      <c r="K109" s="218"/>
      <c r="L109" s="218"/>
      <c r="M109" s="218"/>
      <c r="N109" s="218"/>
      <c r="O109" s="219"/>
      <c r="P109" s="216"/>
      <c r="Q109" s="217"/>
      <c r="R109" s="216"/>
      <c r="S109" s="218"/>
      <c r="T109" s="218"/>
      <c r="U109" s="220">
        <f>IF($A109="","",IF(N($Q109)&gt;0,IF(MOD($Q109,1)=0,$Q109+1-1/1440,$Q109),IF(N($B109)=0,"",$B109+IF(N($AH109)&gt;0,$AH109,IFERROR(INDEX(DM_SLA_Gio,MATCH($J109,DM_SLA_Cap,0)),168))/24)))</f>
      </c>
      <c r="V109" s="221">
        <f>IF($A109="","",IF(N($AJ109)=0,"Mới tiếp nhận",INDEX('Nhật ký tiến độ'!$E:$E,$AJ109)))</f>
      </c>
      <c r="W109" s="222">
        <f>IF($A109="","",IF($V109="Đã xử lý",1,IF(N($AJ109)=0,0,N(INDEX('Nhật ký tiến độ'!$D:$D,$AJ109)))))</f>
      </c>
      <c r="X109" s="222">
        <f>IF(OR($A109="",$V109="Đã xử lý",N($U109)=0,N($B109)=0),"",IF(TDBC&lt;=$B109,0,IF(TDBC&gt;=$U109,1,(TDBC-$B109)/($U109-$B109))))</f>
      </c>
      <c r="Y109" s="223">
        <f>IF($A109="","",IF($V109="Đã xử lý","Hoàn thành",IF(N($U109)=0,"Chưa đặt hạn",IF(TDBC&gt;$U109,"Quá hạn",IF(ROUND((N($X109)-$W109)*100,0)&gt;=20,"Chậm tiến độ",IF($U109-TDBC&lt;=1,"Sắp đến hạn","Đúng tiến độ"))))))</f>
      </c>
      <c r="Z109" s="223">
        <f>IF(OR($A109="",$V109="Đã xử lý",N($U109)=0),"",IF(TDBC&gt;$U109,"Quá "&amp;IF(((TDBC-$U109)*24)&lt;1,MAX(1,ROUND(((TDBC-$U109)*24)*60,0))&amp;" phút",IF(ROUND(((TDBC-$U109)*24),0)&lt;24,ROUND(((TDBC-$U109)*24),0)&amp;" giờ",INT(ROUND(((TDBC-$U109)*24),0)/24)&amp;" ngày"&amp;IF(MOD(ROUND(((TDBC-$U109)*24),0),24)&gt;0," "&amp;MOD(ROUND(((TDBC-$U109)*24),0),24)&amp;" giờ",""))),"Còn "&amp;IF((($U109-TDBC)*24)&lt;1,MAX(1,ROUND((($U109-TDBC)*24)*60,0))&amp;" phút",IF(ROUND((($U109-TDBC)*24),0)&lt;24,ROUND((($U109-TDBC)*24),0)&amp;" giờ",INT(ROUND((($U109-TDBC)*24),0)/24)&amp;" ngày"&amp;IF(MOD(ROUND((($U109-TDBC)*24),0),24)&gt;0," "&amp;MOD(ROUND((($U109-TDBC)*24),0),24)&amp;" giờ","")))))</f>
      </c>
      <c r="AA109" s="220">
        <f>IF($V109="Đã xử lý",_xlfn.MAXIFS('Nhật ký tiến độ'!$B$6:$B$3005,'Nhật ký tiến độ'!$C$6:$C$3005,$A109,'Nhật ký tiến độ'!$E$6:$E$3005,"Đã xử lý"),"")</f>
      </c>
      <c r="AB109" s="223">
        <f>IF($AI109="","",IF($AI109&lt;1,MAX(1,ROUND($AI109*60,0))&amp;" phút",IF(ROUND($AI109,0)&lt;24,ROUND($AI109,0)&amp;" giờ",INT(ROUND($AI109,0)/24)&amp;" ngày"&amp;IF(MOD(ROUND($AI109,0),24)&gt;0," "&amp;MOD(ROUND($AI109,0),24)&amp;" giờ",""))))</f>
      </c>
      <c r="AC109" s="223">
        <f>IF(OR($A109="",N($AH109)=0),"",IF($AI109&lt;&gt;"",IF($AI109&lt;=$AH109,"Trong ước tính","Vượt "&amp;IF(($AI109-$AH109)&lt;1,MAX(1,ROUND(($AI109-$AH109)*60,0))&amp;" phút",IF(ROUND(($AI109-$AH109),0)&lt;24,ROUND(($AI109-$AH109),0)&amp;" giờ",INT(ROUND(($AI109-$AH109),0)/24)&amp;" ngày"&amp;IF(MOD(ROUND(($AI109-$AH109),0),24)&gt;0," "&amp;MOD(ROUND(($AI109-$AH109),0),24)&amp;" giờ","")))),IF(OR($V109="Đã xử lý",N($B109)=0),"",IF((TDBC-$B109)*24&gt;$AH109,"Đã vượt ước tính","Đã dùng "&amp;TEXT((TDBC-$B109)*24/$AH109,"0%")))))</f>
      </c>
      <c r="AD109" s="223">
        <f>IF(N($AO109)=0,"",CHOOSE($AO109,"Nhắc nhở","Cảnh báo","Báo động","Báo động đỏ"))</f>
      </c>
      <c r="AE109" s="223">
        <f>IF(OR(N($AA109)=0,N($U109)=0),"",IF($AA109&lt;=$U109,"Đúng hạn","Trễ hạn"))</f>
      </c>
      <c r="AF109" s="220">
        <f>IF($A109="","",_xlfn.MAXIFS('Nhật ký tiến độ'!$B$6:$B$3005,'Nhật ký tiến độ'!$C$6:$C$3005,$A109))</f>
      </c>
      <c r="AG109" s="223">
        <f>IF($A109="","",IF(COUNTIF('Kế hoạch'!$M$6:$M$305,$A109)=0,"",COUNTIF('Kế hoạch'!$M$6:$M$305,$A109)&amp;" việc"))</f>
      </c>
      <c r="AH109" s="224">
        <f>IF(OR($A109="",N($O109)&lt;=0),"",IF($P109="Giờ",$O109,$O109*24))</f>
      </c>
      <c r="AI109" s="224">
        <f>IF(OR(N($AA109)=0,N($B109)=0),"",IF($AA109&lt;$B109,"",($AA109-$B109)*24))</f>
      </c>
      <c r="AJ109" s="225">
        <f>IF($A109="","",IF(COUNTIF('Nhật ký tiến độ'!$C$6:$C$3005,$A109)=0,0,_xlfn.MAXIFS('Nhật ký tiến độ'!$N$6:$N$3005,'Nhật ký tiến độ'!$C$6:$C$3005,$A109,'Nhật ký tiến độ'!$B$6:$B$3005,_xlfn.MAXIFS('Nhật ký tiến độ'!$B$6:$B$3005,'Nhật ký tiến độ'!$C$6:$C$3005,$A109))))</f>
      </c>
      <c r="AK109" s="225">
        <f>IF(OR($A109="",$V109="Đã xử lý"),"",IF(N($AO109)&gt;0,5-$AO109,IF($J109="Khẩn cấp",5,IF($Y109="Chậm tiến độ",6,IF(OR($Y109="Sắp đến hạn",$J109="Cao"),7,"")))))</f>
      </c>
      <c r="AL109" s="225">
        <f>IF($AK109="","",$AK109*100000+IF(N($U109)=0,99999,INT($U109))+ROW()/100000)</f>
      </c>
      <c r="AM109" s="225">
        <f>IF(OR($A109="",TRIM($K109)="",COUNTIF($K$6:$K109,$K109)&gt;1),0,1)</f>
      </c>
      <c r="AN109" s="225">
        <f>IF($AM109=1,SUM($AM$6:$AM109),"")</f>
      </c>
      <c r="AO109" s="225">
        <f>IF(OR($A109="",$V109="Đã xử lý",N($U109)=0),0,IF(TDBC&lt;=$U109,0,MAX(1,MIN(4,IF((TDBC-$U109)*24&lt;24,1,IF((TDBC-$U109)*24&lt;72,2,IF((TDBC-$U109)*24&lt;168,3,4)))+IFERROR(INDEX({2,1,0,-1},MATCH($J109,{"Khẩn cấp","Cao","Trung bình","Thấp"},0)),0)))))</f>
      </c>
    </row>
    <row r="110">
      <c r="A110" s="216"/>
      <c r="B110" s="217"/>
      <c r="C110" s="218"/>
      <c r="D110" s="218"/>
      <c r="E110" s="218"/>
      <c r="F110" s="218"/>
      <c r="G110" s="216"/>
      <c r="H110" s="218"/>
      <c r="I110" s="218"/>
      <c r="J110" s="216"/>
      <c r="K110" s="218"/>
      <c r="L110" s="218"/>
      <c r="M110" s="218"/>
      <c r="N110" s="218"/>
      <c r="O110" s="219"/>
      <c r="P110" s="216"/>
      <c r="Q110" s="217"/>
      <c r="R110" s="216"/>
      <c r="S110" s="218"/>
      <c r="T110" s="218"/>
      <c r="U110" s="220">
        <f>IF($A110="","",IF(N($Q110)&gt;0,IF(MOD($Q110,1)=0,$Q110+1-1/1440,$Q110),IF(N($B110)=0,"",$B110+IF(N($AH110)&gt;0,$AH110,IFERROR(INDEX(DM_SLA_Gio,MATCH($J110,DM_SLA_Cap,0)),168))/24)))</f>
      </c>
      <c r="V110" s="221">
        <f>IF($A110="","",IF(N($AJ110)=0,"Mới tiếp nhận",INDEX('Nhật ký tiến độ'!$E:$E,$AJ110)))</f>
      </c>
      <c r="W110" s="222">
        <f>IF($A110="","",IF($V110="Đã xử lý",1,IF(N($AJ110)=0,0,N(INDEX('Nhật ký tiến độ'!$D:$D,$AJ110)))))</f>
      </c>
      <c r="X110" s="222">
        <f>IF(OR($A110="",$V110="Đã xử lý",N($U110)=0,N($B110)=0),"",IF(TDBC&lt;=$B110,0,IF(TDBC&gt;=$U110,1,(TDBC-$B110)/($U110-$B110))))</f>
      </c>
      <c r="Y110" s="223">
        <f>IF($A110="","",IF($V110="Đã xử lý","Hoàn thành",IF(N($U110)=0,"Chưa đặt hạn",IF(TDBC&gt;$U110,"Quá hạn",IF(ROUND((N($X110)-$W110)*100,0)&gt;=20,"Chậm tiến độ",IF($U110-TDBC&lt;=1,"Sắp đến hạn","Đúng tiến độ"))))))</f>
      </c>
      <c r="Z110" s="223">
        <f>IF(OR($A110="",$V110="Đã xử lý",N($U110)=0),"",IF(TDBC&gt;$U110,"Quá "&amp;IF(((TDBC-$U110)*24)&lt;1,MAX(1,ROUND(((TDBC-$U110)*24)*60,0))&amp;" phút",IF(ROUND(((TDBC-$U110)*24),0)&lt;24,ROUND(((TDBC-$U110)*24),0)&amp;" giờ",INT(ROUND(((TDBC-$U110)*24),0)/24)&amp;" ngày"&amp;IF(MOD(ROUND(((TDBC-$U110)*24),0),24)&gt;0," "&amp;MOD(ROUND(((TDBC-$U110)*24),0),24)&amp;" giờ",""))),"Còn "&amp;IF((($U110-TDBC)*24)&lt;1,MAX(1,ROUND((($U110-TDBC)*24)*60,0))&amp;" phút",IF(ROUND((($U110-TDBC)*24),0)&lt;24,ROUND((($U110-TDBC)*24),0)&amp;" giờ",INT(ROUND((($U110-TDBC)*24),0)/24)&amp;" ngày"&amp;IF(MOD(ROUND((($U110-TDBC)*24),0),24)&gt;0," "&amp;MOD(ROUND((($U110-TDBC)*24),0),24)&amp;" giờ","")))))</f>
      </c>
      <c r="AA110" s="220">
        <f>IF($V110="Đã xử lý",_xlfn.MAXIFS('Nhật ký tiến độ'!$B$6:$B$3005,'Nhật ký tiến độ'!$C$6:$C$3005,$A110,'Nhật ký tiến độ'!$E$6:$E$3005,"Đã xử lý"),"")</f>
      </c>
      <c r="AB110" s="223">
        <f>IF($AI110="","",IF($AI110&lt;1,MAX(1,ROUND($AI110*60,0))&amp;" phút",IF(ROUND($AI110,0)&lt;24,ROUND($AI110,0)&amp;" giờ",INT(ROUND($AI110,0)/24)&amp;" ngày"&amp;IF(MOD(ROUND($AI110,0),24)&gt;0," "&amp;MOD(ROUND($AI110,0),24)&amp;" giờ",""))))</f>
      </c>
      <c r="AC110" s="223">
        <f>IF(OR($A110="",N($AH110)=0),"",IF($AI110&lt;&gt;"",IF($AI110&lt;=$AH110,"Trong ước tính","Vượt "&amp;IF(($AI110-$AH110)&lt;1,MAX(1,ROUND(($AI110-$AH110)*60,0))&amp;" phút",IF(ROUND(($AI110-$AH110),0)&lt;24,ROUND(($AI110-$AH110),0)&amp;" giờ",INT(ROUND(($AI110-$AH110),0)/24)&amp;" ngày"&amp;IF(MOD(ROUND(($AI110-$AH110),0),24)&gt;0," "&amp;MOD(ROUND(($AI110-$AH110),0),24)&amp;" giờ","")))),IF(OR($V110="Đã xử lý",N($B110)=0),"",IF((TDBC-$B110)*24&gt;$AH110,"Đã vượt ước tính","Đã dùng "&amp;TEXT((TDBC-$B110)*24/$AH110,"0%")))))</f>
      </c>
      <c r="AD110" s="223">
        <f>IF(N($AO110)=0,"",CHOOSE($AO110,"Nhắc nhở","Cảnh báo","Báo động","Báo động đỏ"))</f>
      </c>
      <c r="AE110" s="223">
        <f>IF(OR(N($AA110)=0,N($U110)=0),"",IF($AA110&lt;=$U110,"Đúng hạn","Trễ hạn"))</f>
      </c>
      <c r="AF110" s="220">
        <f>IF($A110="","",_xlfn.MAXIFS('Nhật ký tiến độ'!$B$6:$B$3005,'Nhật ký tiến độ'!$C$6:$C$3005,$A110))</f>
      </c>
      <c r="AG110" s="223">
        <f>IF($A110="","",IF(COUNTIF('Kế hoạch'!$M$6:$M$305,$A110)=0,"",COUNTIF('Kế hoạch'!$M$6:$M$305,$A110)&amp;" việc"))</f>
      </c>
      <c r="AH110" s="224">
        <f>IF(OR($A110="",N($O110)&lt;=0),"",IF($P110="Giờ",$O110,$O110*24))</f>
      </c>
      <c r="AI110" s="224">
        <f>IF(OR(N($AA110)=0,N($B110)=0),"",IF($AA110&lt;$B110,"",($AA110-$B110)*24))</f>
      </c>
      <c r="AJ110" s="225">
        <f>IF($A110="","",IF(COUNTIF('Nhật ký tiến độ'!$C$6:$C$3005,$A110)=0,0,_xlfn.MAXIFS('Nhật ký tiến độ'!$N$6:$N$3005,'Nhật ký tiến độ'!$C$6:$C$3005,$A110,'Nhật ký tiến độ'!$B$6:$B$3005,_xlfn.MAXIFS('Nhật ký tiến độ'!$B$6:$B$3005,'Nhật ký tiến độ'!$C$6:$C$3005,$A110))))</f>
      </c>
      <c r="AK110" s="225">
        <f>IF(OR($A110="",$V110="Đã xử lý"),"",IF(N($AO110)&gt;0,5-$AO110,IF($J110="Khẩn cấp",5,IF($Y110="Chậm tiến độ",6,IF(OR($Y110="Sắp đến hạn",$J110="Cao"),7,"")))))</f>
      </c>
      <c r="AL110" s="225">
        <f>IF($AK110="","",$AK110*100000+IF(N($U110)=0,99999,INT($U110))+ROW()/100000)</f>
      </c>
      <c r="AM110" s="225">
        <f>IF(OR($A110="",TRIM($K110)="",COUNTIF($K$6:$K110,$K110)&gt;1),0,1)</f>
      </c>
      <c r="AN110" s="225">
        <f>IF($AM110=1,SUM($AM$6:$AM110),"")</f>
      </c>
      <c r="AO110" s="225">
        <f>IF(OR($A110="",$V110="Đã xử lý",N($U110)=0),0,IF(TDBC&lt;=$U110,0,MAX(1,MIN(4,IF((TDBC-$U110)*24&lt;24,1,IF((TDBC-$U110)*24&lt;72,2,IF((TDBC-$U110)*24&lt;168,3,4)))+IFERROR(INDEX({2,1,0,-1},MATCH($J110,{"Khẩn cấp","Cao","Trung bình","Thấp"},0)),0)))))</f>
      </c>
    </row>
    <row r="111">
      <c r="A111" s="216"/>
      <c r="B111" s="217"/>
      <c r="C111" s="218"/>
      <c r="D111" s="218"/>
      <c r="E111" s="218"/>
      <c r="F111" s="218"/>
      <c r="G111" s="216"/>
      <c r="H111" s="218"/>
      <c r="I111" s="218"/>
      <c r="J111" s="216"/>
      <c r="K111" s="218"/>
      <c r="L111" s="218"/>
      <c r="M111" s="218"/>
      <c r="N111" s="218"/>
      <c r="O111" s="219"/>
      <c r="P111" s="216"/>
      <c r="Q111" s="217"/>
      <c r="R111" s="216"/>
      <c r="S111" s="218"/>
      <c r="T111" s="218"/>
      <c r="U111" s="220">
        <f>IF($A111="","",IF(N($Q111)&gt;0,IF(MOD($Q111,1)=0,$Q111+1-1/1440,$Q111),IF(N($B111)=0,"",$B111+IF(N($AH111)&gt;0,$AH111,IFERROR(INDEX(DM_SLA_Gio,MATCH($J111,DM_SLA_Cap,0)),168))/24)))</f>
      </c>
      <c r="V111" s="221">
        <f>IF($A111="","",IF(N($AJ111)=0,"Mới tiếp nhận",INDEX('Nhật ký tiến độ'!$E:$E,$AJ111)))</f>
      </c>
      <c r="W111" s="222">
        <f>IF($A111="","",IF($V111="Đã xử lý",1,IF(N($AJ111)=0,0,N(INDEX('Nhật ký tiến độ'!$D:$D,$AJ111)))))</f>
      </c>
      <c r="X111" s="222">
        <f>IF(OR($A111="",$V111="Đã xử lý",N($U111)=0,N($B111)=0),"",IF(TDBC&lt;=$B111,0,IF(TDBC&gt;=$U111,1,(TDBC-$B111)/($U111-$B111))))</f>
      </c>
      <c r="Y111" s="223">
        <f>IF($A111="","",IF($V111="Đã xử lý","Hoàn thành",IF(N($U111)=0,"Chưa đặt hạn",IF(TDBC&gt;$U111,"Quá hạn",IF(ROUND((N($X111)-$W111)*100,0)&gt;=20,"Chậm tiến độ",IF($U111-TDBC&lt;=1,"Sắp đến hạn","Đúng tiến độ"))))))</f>
      </c>
      <c r="Z111" s="223">
        <f>IF(OR($A111="",$V111="Đã xử lý",N($U111)=0),"",IF(TDBC&gt;$U111,"Quá "&amp;IF(((TDBC-$U111)*24)&lt;1,MAX(1,ROUND(((TDBC-$U111)*24)*60,0))&amp;" phút",IF(ROUND(((TDBC-$U111)*24),0)&lt;24,ROUND(((TDBC-$U111)*24),0)&amp;" giờ",INT(ROUND(((TDBC-$U111)*24),0)/24)&amp;" ngày"&amp;IF(MOD(ROUND(((TDBC-$U111)*24),0),24)&gt;0," "&amp;MOD(ROUND(((TDBC-$U111)*24),0),24)&amp;" giờ",""))),"Còn "&amp;IF((($U111-TDBC)*24)&lt;1,MAX(1,ROUND((($U111-TDBC)*24)*60,0))&amp;" phút",IF(ROUND((($U111-TDBC)*24),0)&lt;24,ROUND((($U111-TDBC)*24),0)&amp;" giờ",INT(ROUND((($U111-TDBC)*24),0)/24)&amp;" ngày"&amp;IF(MOD(ROUND((($U111-TDBC)*24),0),24)&gt;0," "&amp;MOD(ROUND((($U111-TDBC)*24),0),24)&amp;" giờ","")))))</f>
      </c>
      <c r="AA111" s="220">
        <f>IF($V111="Đã xử lý",_xlfn.MAXIFS('Nhật ký tiến độ'!$B$6:$B$3005,'Nhật ký tiến độ'!$C$6:$C$3005,$A111,'Nhật ký tiến độ'!$E$6:$E$3005,"Đã xử lý"),"")</f>
      </c>
      <c r="AB111" s="223">
        <f>IF($AI111="","",IF($AI111&lt;1,MAX(1,ROUND($AI111*60,0))&amp;" phút",IF(ROUND($AI111,0)&lt;24,ROUND($AI111,0)&amp;" giờ",INT(ROUND($AI111,0)/24)&amp;" ngày"&amp;IF(MOD(ROUND($AI111,0),24)&gt;0," "&amp;MOD(ROUND($AI111,0),24)&amp;" giờ",""))))</f>
      </c>
      <c r="AC111" s="223">
        <f>IF(OR($A111="",N($AH111)=0),"",IF($AI111&lt;&gt;"",IF($AI111&lt;=$AH111,"Trong ước tính","Vượt "&amp;IF(($AI111-$AH111)&lt;1,MAX(1,ROUND(($AI111-$AH111)*60,0))&amp;" phút",IF(ROUND(($AI111-$AH111),0)&lt;24,ROUND(($AI111-$AH111),0)&amp;" giờ",INT(ROUND(($AI111-$AH111),0)/24)&amp;" ngày"&amp;IF(MOD(ROUND(($AI111-$AH111),0),24)&gt;0," "&amp;MOD(ROUND(($AI111-$AH111),0),24)&amp;" giờ","")))),IF(OR($V111="Đã xử lý",N($B111)=0),"",IF((TDBC-$B111)*24&gt;$AH111,"Đã vượt ước tính","Đã dùng "&amp;TEXT((TDBC-$B111)*24/$AH111,"0%")))))</f>
      </c>
      <c r="AD111" s="223">
        <f>IF(N($AO111)=0,"",CHOOSE($AO111,"Nhắc nhở","Cảnh báo","Báo động","Báo động đỏ"))</f>
      </c>
      <c r="AE111" s="223">
        <f>IF(OR(N($AA111)=0,N($U111)=0),"",IF($AA111&lt;=$U111,"Đúng hạn","Trễ hạn"))</f>
      </c>
      <c r="AF111" s="220">
        <f>IF($A111="","",_xlfn.MAXIFS('Nhật ký tiến độ'!$B$6:$B$3005,'Nhật ký tiến độ'!$C$6:$C$3005,$A111))</f>
      </c>
      <c r="AG111" s="223">
        <f>IF($A111="","",IF(COUNTIF('Kế hoạch'!$M$6:$M$305,$A111)=0,"",COUNTIF('Kế hoạch'!$M$6:$M$305,$A111)&amp;" việc"))</f>
      </c>
      <c r="AH111" s="224">
        <f>IF(OR($A111="",N($O111)&lt;=0),"",IF($P111="Giờ",$O111,$O111*24))</f>
      </c>
      <c r="AI111" s="224">
        <f>IF(OR(N($AA111)=0,N($B111)=0),"",IF($AA111&lt;$B111,"",($AA111-$B111)*24))</f>
      </c>
      <c r="AJ111" s="225">
        <f>IF($A111="","",IF(COUNTIF('Nhật ký tiến độ'!$C$6:$C$3005,$A111)=0,0,_xlfn.MAXIFS('Nhật ký tiến độ'!$N$6:$N$3005,'Nhật ký tiến độ'!$C$6:$C$3005,$A111,'Nhật ký tiến độ'!$B$6:$B$3005,_xlfn.MAXIFS('Nhật ký tiến độ'!$B$6:$B$3005,'Nhật ký tiến độ'!$C$6:$C$3005,$A111))))</f>
      </c>
      <c r="AK111" s="225">
        <f>IF(OR($A111="",$V111="Đã xử lý"),"",IF(N($AO111)&gt;0,5-$AO111,IF($J111="Khẩn cấp",5,IF($Y111="Chậm tiến độ",6,IF(OR($Y111="Sắp đến hạn",$J111="Cao"),7,"")))))</f>
      </c>
      <c r="AL111" s="225">
        <f>IF($AK111="","",$AK111*100000+IF(N($U111)=0,99999,INT($U111))+ROW()/100000)</f>
      </c>
      <c r="AM111" s="225">
        <f>IF(OR($A111="",TRIM($K111)="",COUNTIF($K$6:$K111,$K111)&gt;1),0,1)</f>
      </c>
      <c r="AN111" s="225">
        <f>IF($AM111=1,SUM($AM$6:$AM111),"")</f>
      </c>
      <c r="AO111" s="225">
        <f>IF(OR($A111="",$V111="Đã xử lý",N($U111)=0),0,IF(TDBC&lt;=$U111,0,MAX(1,MIN(4,IF((TDBC-$U111)*24&lt;24,1,IF((TDBC-$U111)*24&lt;72,2,IF((TDBC-$U111)*24&lt;168,3,4)))+IFERROR(INDEX({2,1,0,-1},MATCH($J111,{"Khẩn cấp","Cao","Trung bình","Thấp"},0)),0)))))</f>
      </c>
    </row>
    <row r="112">
      <c r="A112" s="216"/>
      <c r="B112" s="217"/>
      <c r="C112" s="218"/>
      <c r="D112" s="218"/>
      <c r="E112" s="218"/>
      <c r="F112" s="218"/>
      <c r="G112" s="216"/>
      <c r="H112" s="218"/>
      <c r="I112" s="218"/>
      <c r="J112" s="216"/>
      <c r="K112" s="218"/>
      <c r="L112" s="218"/>
      <c r="M112" s="218"/>
      <c r="N112" s="218"/>
      <c r="O112" s="219"/>
      <c r="P112" s="216"/>
      <c r="Q112" s="217"/>
      <c r="R112" s="216"/>
      <c r="S112" s="218"/>
      <c r="T112" s="218"/>
      <c r="U112" s="220">
        <f>IF($A112="","",IF(N($Q112)&gt;0,IF(MOD($Q112,1)=0,$Q112+1-1/1440,$Q112),IF(N($B112)=0,"",$B112+IF(N($AH112)&gt;0,$AH112,IFERROR(INDEX(DM_SLA_Gio,MATCH($J112,DM_SLA_Cap,0)),168))/24)))</f>
      </c>
      <c r="V112" s="221">
        <f>IF($A112="","",IF(N($AJ112)=0,"Mới tiếp nhận",INDEX('Nhật ký tiến độ'!$E:$E,$AJ112)))</f>
      </c>
      <c r="W112" s="222">
        <f>IF($A112="","",IF($V112="Đã xử lý",1,IF(N($AJ112)=0,0,N(INDEX('Nhật ký tiến độ'!$D:$D,$AJ112)))))</f>
      </c>
      <c r="X112" s="222">
        <f>IF(OR($A112="",$V112="Đã xử lý",N($U112)=0,N($B112)=0),"",IF(TDBC&lt;=$B112,0,IF(TDBC&gt;=$U112,1,(TDBC-$B112)/($U112-$B112))))</f>
      </c>
      <c r="Y112" s="223">
        <f>IF($A112="","",IF($V112="Đã xử lý","Hoàn thành",IF(N($U112)=0,"Chưa đặt hạn",IF(TDBC&gt;$U112,"Quá hạn",IF(ROUND((N($X112)-$W112)*100,0)&gt;=20,"Chậm tiến độ",IF($U112-TDBC&lt;=1,"Sắp đến hạn","Đúng tiến độ"))))))</f>
      </c>
      <c r="Z112" s="223">
        <f>IF(OR($A112="",$V112="Đã xử lý",N($U112)=0),"",IF(TDBC&gt;$U112,"Quá "&amp;IF(((TDBC-$U112)*24)&lt;1,MAX(1,ROUND(((TDBC-$U112)*24)*60,0))&amp;" phút",IF(ROUND(((TDBC-$U112)*24),0)&lt;24,ROUND(((TDBC-$U112)*24),0)&amp;" giờ",INT(ROUND(((TDBC-$U112)*24),0)/24)&amp;" ngày"&amp;IF(MOD(ROUND(((TDBC-$U112)*24),0),24)&gt;0," "&amp;MOD(ROUND(((TDBC-$U112)*24),0),24)&amp;" giờ",""))),"Còn "&amp;IF((($U112-TDBC)*24)&lt;1,MAX(1,ROUND((($U112-TDBC)*24)*60,0))&amp;" phút",IF(ROUND((($U112-TDBC)*24),0)&lt;24,ROUND((($U112-TDBC)*24),0)&amp;" giờ",INT(ROUND((($U112-TDBC)*24),0)/24)&amp;" ngày"&amp;IF(MOD(ROUND((($U112-TDBC)*24),0),24)&gt;0," "&amp;MOD(ROUND((($U112-TDBC)*24),0),24)&amp;" giờ","")))))</f>
      </c>
      <c r="AA112" s="220">
        <f>IF($V112="Đã xử lý",_xlfn.MAXIFS('Nhật ký tiến độ'!$B$6:$B$3005,'Nhật ký tiến độ'!$C$6:$C$3005,$A112,'Nhật ký tiến độ'!$E$6:$E$3005,"Đã xử lý"),"")</f>
      </c>
      <c r="AB112" s="223">
        <f>IF($AI112="","",IF($AI112&lt;1,MAX(1,ROUND($AI112*60,0))&amp;" phút",IF(ROUND($AI112,0)&lt;24,ROUND($AI112,0)&amp;" giờ",INT(ROUND($AI112,0)/24)&amp;" ngày"&amp;IF(MOD(ROUND($AI112,0),24)&gt;0," "&amp;MOD(ROUND($AI112,0),24)&amp;" giờ",""))))</f>
      </c>
      <c r="AC112" s="223">
        <f>IF(OR($A112="",N($AH112)=0),"",IF($AI112&lt;&gt;"",IF($AI112&lt;=$AH112,"Trong ước tính","Vượt "&amp;IF(($AI112-$AH112)&lt;1,MAX(1,ROUND(($AI112-$AH112)*60,0))&amp;" phút",IF(ROUND(($AI112-$AH112),0)&lt;24,ROUND(($AI112-$AH112),0)&amp;" giờ",INT(ROUND(($AI112-$AH112),0)/24)&amp;" ngày"&amp;IF(MOD(ROUND(($AI112-$AH112),0),24)&gt;0," "&amp;MOD(ROUND(($AI112-$AH112),0),24)&amp;" giờ","")))),IF(OR($V112="Đã xử lý",N($B112)=0),"",IF((TDBC-$B112)*24&gt;$AH112,"Đã vượt ước tính","Đã dùng "&amp;TEXT((TDBC-$B112)*24/$AH112,"0%")))))</f>
      </c>
      <c r="AD112" s="223">
        <f>IF(N($AO112)=0,"",CHOOSE($AO112,"Nhắc nhở","Cảnh báo","Báo động","Báo động đỏ"))</f>
      </c>
      <c r="AE112" s="223">
        <f>IF(OR(N($AA112)=0,N($U112)=0),"",IF($AA112&lt;=$U112,"Đúng hạn","Trễ hạn"))</f>
      </c>
      <c r="AF112" s="220">
        <f>IF($A112="","",_xlfn.MAXIFS('Nhật ký tiến độ'!$B$6:$B$3005,'Nhật ký tiến độ'!$C$6:$C$3005,$A112))</f>
      </c>
      <c r="AG112" s="223">
        <f>IF($A112="","",IF(COUNTIF('Kế hoạch'!$M$6:$M$305,$A112)=0,"",COUNTIF('Kế hoạch'!$M$6:$M$305,$A112)&amp;" việc"))</f>
      </c>
      <c r="AH112" s="224">
        <f>IF(OR($A112="",N($O112)&lt;=0),"",IF($P112="Giờ",$O112,$O112*24))</f>
      </c>
      <c r="AI112" s="224">
        <f>IF(OR(N($AA112)=0,N($B112)=0),"",IF($AA112&lt;$B112,"",($AA112-$B112)*24))</f>
      </c>
      <c r="AJ112" s="225">
        <f>IF($A112="","",IF(COUNTIF('Nhật ký tiến độ'!$C$6:$C$3005,$A112)=0,0,_xlfn.MAXIFS('Nhật ký tiến độ'!$N$6:$N$3005,'Nhật ký tiến độ'!$C$6:$C$3005,$A112,'Nhật ký tiến độ'!$B$6:$B$3005,_xlfn.MAXIFS('Nhật ký tiến độ'!$B$6:$B$3005,'Nhật ký tiến độ'!$C$6:$C$3005,$A112))))</f>
      </c>
      <c r="AK112" s="225">
        <f>IF(OR($A112="",$V112="Đã xử lý"),"",IF(N($AO112)&gt;0,5-$AO112,IF($J112="Khẩn cấp",5,IF($Y112="Chậm tiến độ",6,IF(OR($Y112="Sắp đến hạn",$J112="Cao"),7,"")))))</f>
      </c>
      <c r="AL112" s="225">
        <f>IF($AK112="","",$AK112*100000+IF(N($U112)=0,99999,INT($U112))+ROW()/100000)</f>
      </c>
      <c r="AM112" s="225">
        <f>IF(OR($A112="",TRIM($K112)="",COUNTIF($K$6:$K112,$K112)&gt;1),0,1)</f>
      </c>
      <c r="AN112" s="225">
        <f>IF($AM112=1,SUM($AM$6:$AM112),"")</f>
      </c>
      <c r="AO112" s="225">
        <f>IF(OR($A112="",$V112="Đã xử lý",N($U112)=0),0,IF(TDBC&lt;=$U112,0,MAX(1,MIN(4,IF((TDBC-$U112)*24&lt;24,1,IF((TDBC-$U112)*24&lt;72,2,IF((TDBC-$U112)*24&lt;168,3,4)))+IFERROR(INDEX({2,1,0,-1},MATCH($J112,{"Khẩn cấp","Cao","Trung bình","Thấp"},0)),0)))))</f>
      </c>
    </row>
    <row r="113">
      <c r="A113" s="216"/>
      <c r="B113" s="217"/>
      <c r="C113" s="218"/>
      <c r="D113" s="218"/>
      <c r="E113" s="218"/>
      <c r="F113" s="218"/>
      <c r="G113" s="216"/>
      <c r="H113" s="218"/>
      <c r="I113" s="218"/>
      <c r="J113" s="216"/>
      <c r="K113" s="218"/>
      <c r="L113" s="218"/>
      <c r="M113" s="218"/>
      <c r="N113" s="218"/>
      <c r="O113" s="219"/>
      <c r="P113" s="216"/>
      <c r="Q113" s="217"/>
      <c r="R113" s="216"/>
      <c r="S113" s="218"/>
      <c r="T113" s="218"/>
      <c r="U113" s="220">
        <f>IF($A113="","",IF(N($Q113)&gt;0,IF(MOD($Q113,1)=0,$Q113+1-1/1440,$Q113),IF(N($B113)=0,"",$B113+IF(N($AH113)&gt;0,$AH113,IFERROR(INDEX(DM_SLA_Gio,MATCH($J113,DM_SLA_Cap,0)),168))/24)))</f>
      </c>
      <c r="V113" s="221">
        <f>IF($A113="","",IF(N($AJ113)=0,"Mới tiếp nhận",INDEX('Nhật ký tiến độ'!$E:$E,$AJ113)))</f>
      </c>
      <c r="W113" s="222">
        <f>IF($A113="","",IF($V113="Đã xử lý",1,IF(N($AJ113)=0,0,N(INDEX('Nhật ký tiến độ'!$D:$D,$AJ113)))))</f>
      </c>
      <c r="X113" s="222">
        <f>IF(OR($A113="",$V113="Đã xử lý",N($U113)=0,N($B113)=0),"",IF(TDBC&lt;=$B113,0,IF(TDBC&gt;=$U113,1,(TDBC-$B113)/($U113-$B113))))</f>
      </c>
      <c r="Y113" s="223">
        <f>IF($A113="","",IF($V113="Đã xử lý","Hoàn thành",IF(N($U113)=0,"Chưa đặt hạn",IF(TDBC&gt;$U113,"Quá hạn",IF(ROUND((N($X113)-$W113)*100,0)&gt;=20,"Chậm tiến độ",IF($U113-TDBC&lt;=1,"Sắp đến hạn","Đúng tiến độ"))))))</f>
      </c>
      <c r="Z113" s="223">
        <f>IF(OR($A113="",$V113="Đã xử lý",N($U113)=0),"",IF(TDBC&gt;$U113,"Quá "&amp;IF(((TDBC-$U113)*24)&lt;1,MAX(1,ROUND(((TDBC-$U113)*24)*60,0))&amp;" phút",IF(ROUND(((TDBC-$U113)*24),0)&lt;24,ROUND(((TDBC-$U113)*24),0)&amp;" giờ",INT(ROUND(((TDBC-$U113)*24),0)/24)&amp;" ngày"&amp;IF(MOD(ROUND(((TDBC-$U113)*24),0),24)&gt;0," "&amp;MOD(ROUND(((TDBC-$U113)*24),0),24)&amp;" giờ",""))),"Còn "&amp;IF((($U113-TDBC)*24)&lt;1,MAX(1,ROUND((($U113-TDBC)*24)*60,0))&amp;" phút",IF(ROUND((($U113-TDBC)*24),0)&lt;24,ROUND((($U113-TDBC)*24),0)&amp;" giờ",INT(ROUND((($U113-TDBC)*24),0)/24)&amp;" ngày"&amp;IF(MOD(ROUND((($U113-TDBC)*24),0),24)&gt;0," "&amp;MOD(ROUND((($U113-TDBC)*24),0),24)&amp;" giờ","")))))</f>
      </c>
      <c r="AA113" s="220">
        <f>IF($V113="Đã xử lý",_xlfn.MAXIFS('Nhật ký tiến độ'!$B$6:$B$3005,'Nhật ký tiến độ'!$C$6:$C$3005,$A113,'Nhật ký tiến độ'!$E$6:$E$3005,"Đã xử lý"),"")</f>
      </c>
      <c r="AB113" s="223">
        <f>IF($AI113="","",IF($AI113&lt;1,MAX(1,ROUND($AI113*60,0))&amp;" phút",IF(ROUND($AI113,0)&lt;24,ROUND($AI113,0)&amp;" giờ",INT(ROUND($AI113,0)/24)&amp;" ngày"&amp;IF(MOD(ROUND($AI113,0),24)&gt;0," "&amp;MOD(ROUND($AI113,0),24)&amp;" giờ",""))))</f>
      </c>
      <c r="AC113" s="223">
        <f>IF(OR($A113="",N($AH113)=0),"",IF($AI113&lt;&gt;"",IF($AI113&lt;=$AH113,"Trong ước tính","Vượt "&amp;IF(($AI113-$AH113)&lt;1,MAX(1,ROUND(($AI113-$AH113)*60,0))&amp;" phút",IF(ROUND(($AI113-$AH113),0)&lt;24,ROUND(($AI113-$AH113),0)&amp;" giờ",INT(ROUND(($AI113-$AH113),0)/24)&amp;" ngày"&amp;IF(MOD(ROUND(($AI113-$AH113),0),24)&gt;0," "&amp;MOD(ROUND(($AI113-$AH113),0),24)&amp;" giờ","")))),IF(OR($V113="Đã xử lý",N($B113)=0),"",IF((TDBC-$B113)*24&gt;$AH113,"Đã vượt ước tính","Đã dùng "&amp;TEXT((TDBC-$B113)*24/$AH113,"0%")))))</f>
      </c>
      <c r="AD113" s="223">
        <f>IF(N($AO113)=0,"",CHOOSE($AO113,"Nhắc nhở","Cảnh báo","Báo động","Báo động đỏ"))</f>
      </c>
      <c r="AE113" s="223">
        <f>IF(OR(N($AA113)=0,N($U113)=0),"",IF($AA113&lt;=$U113,"Đúng hạn","Trễ hạn"))</f>
      </c>
      <c r="AF113" s="220">
        <f>IF($A113="","",_xlfn.MAXIFS('Nhật ký tiến độ'!$B$6:$B$3005,'Nhật ký tiến độ'!$C$6:$C$3005,$A113))</f>
      </c>
      <c r="AG113" s="223">
        <f>IF($A113="","",IF(COUNTIF('Kế hoạch'!$M$6:$M$305,$A113)=0,"",COUNTIF('Kế hoạch'!$M$6:$M$305,$A113)&amp;" việc"))</f>
      </c>
      <c r="AH113" s="224">
        <f>IF(OR($A113="",N($O113)&lt;=0),"",IF($P113="Giờ",$O113,$O113*24))</f>
      </c>
      <c r="AI113" s="224">
        <f>IF(OR(N($AA113)=0,N($B113)=0),"",IF($AA113&lt;$B113,"",($AA113-$B113)*24))</f>
      </c>
      <c r="AJ113" s="225">
        <f>IF($A113="","",IF(COUNTIF('Nhật ký tiến độ'!$C$6:$C$3005,$A113)=0,0,_xlfn.MAXIFS('Nhật ký tiến độ'!$N$6:$N$3005,'Nhật ký tiến độ'!$C$6:$C$3005,$A113,'Nhật ký tiến độ'!$B$6:$B$3005,_xlfn.MAXIFS('Nhật ký tiến độ'!$B$6:$B$3005,'Nhật ký tiến độ'!$C$6:$C$3005,$A113))))</f>
      </c>
      <c r="AK113" s="225">
        <f>IF(OR($A113="",$V113="Đã xử lý"),"",IF(N($AO113)&gt;0,5-$AO113,IF($J113="Khẩn cấp",5,IF($Y113="Chậm tiến độ",6,IF(OR($Y113="Sắp đến hạn",$J113="Cao"),7,"")))))</f>
      </c>
      <c r="AL113" s="225">
        <f>IF($AK113="","",$AK113*100000+IF(N($U113)=0,99999,INT($U113))+ROW()/100000)</f>
      </c>
      <c r="AM113" s="225">
        <f>IF(OR($A113="",TRIM($K113)="",COUNTIF($K$6:$K113,$K113)&gt;1),0,1)</f>
      </c>
      <c r="AN113" s="225">
        <f>IF($AM113=1,SUM($AM$6:$AM113),"")</f>
      </c>
      <c r="AO113" s="225">
        <f>IF(OR($A113="",$V113="Đã xử lý",N($U113)=0),0,IF(TDBC&lt;=$U113,0,MAX(1,MIN(4,IF((TDBC-$U113)*24&lt;24,1,IF((TDBC-$U113)*24&lt;72,2,IF((TDBC-$U113)*24&lt;168,3,4)))+IFERROR(INDEX({2,1,0,-1},MATCH($J113,{"Khẩn cấp","Cao","Trung bình","Thấp"},0)),0)))))</f>
      </c>
    </row>
    <row r="114">
      <c r="A114" s="216"/>
      <c r="B114" s="217"/>
      <c r="C114" s="218"/>
      <c r="D114" s="218"/>
      <c r="E114" s="218"/>
      <c r="F114" s="218"/>
      <c r="G114" s="216"/>
      <c r="H114" s="218"/>
      <c r="I114" s="218"/>
      <c r="J114" s="216"/>
      <c r="K114" s="218"/>
      <c r="L114" s="218"/>
      <c r="M114" s="218"/>
      <c r="N114" s="218"/>
      <c r="O114" s="219"/>
      <c r="P114" s="216"/>
      <c r="Q114" s="217"/>
      <c r="R114" s="216"/>
      <c r="S114" s="218"/>
      <c r="T114" s="218"/>
      <c r="U114" s="220">
        <f>IF($A114="","",IF(N($Q114)&gt;0,IF(MOD($Q114,1)=0,$Q114+1-1/1440,$Q114),IF(N($B114)=0,"",$B114+IF(N($AH114)&gt;0,$AH114,IFERROR(INDEX(DM_SLA_Gio,MATCH($J114,DM_SLA_Cap,0)),168))/24)))</f>
      </c>
      <c r="V114" s="221">
        <f>IF($A114="","",IF(N($AJ114)=0,"Mới tiếp nhận",INDEX('Nhật ký tiến độ'!$E:$E,$AJ114)))</f>
      </c>
      <c r="W114" s="222">
        <f>IF($A114="","",IF($V114="Đã xử lý",1,IF(N($AJ114)=0,0,N(INDEX('Nhật ký tiến độ'!$D:$D,$AJ114)))))</f>
      </c>
      <c r="X114" s="222">
        <f>IF(OR($A114="",$V114="Đã xử lý",N($U114)=0,N($B114)=0),"",IF(TDBC&lt;=$B114,0,IF(TDBC&gt;=$U114,1,(TDBC-$B114)/($U114-$B114))))</f>
      </c>
      <c r="Y114" s="223">
        <f>IF($A114="","",IF($V114="Đã xử lý","Hoàn thành",IF(N($U114)=0,"Chưa đặt hạn",IF(TDBC&gt;$U114,"Quá hạn",IF(ROUND((N($X114)-$W114)*100,0)&gt;=20,"Chậm tiến độ",IF($U114-TDBC&lt;=1,"Sắp đến hạn","Đúng tiến độ"))))))</f>
      </c>
      <c r="Z114" s="223">
        <f>IF(OR($A114="",$V114="Đã xử lý",N($U114)=0),"",IF(TDBC&gt;$U114,"Quá "&amp;IF(((TDBC-$U114)*24)&lt;1,MAX(1,ROUND(((TDBC-$U114)*24)*60,0))&amp;" phút",IF(ROUND(((TDBC-$U114)*24),0)&lt;24,ROUND(((TDBC-$U114)*24),0)&amp;" giờ",INT(ROUND(((TDBC-$U114)*24),0)/24)&amp;" ngày"&amp;IF(MOD(ROUND(((TDBC-$U114)*24),0),24)&gt;0," "&amp;MOD(ROUND(((TDBC-$U114)*24),0),24)&amp;" giờ",""))),"Còn "&amp;IF((($U114-TDBC)*24)&lt;1,MAX(1,ROUND((($U114-TDBC)*24)*60,0))&amp;" phút",IF(ROUND((($U114-TDBC)*24),0)&lt;24,ROUND((($U114-TDBC)*24),0)&amp;" giờ",INT(ROUND((($U114-TDBC)*24),0)/24)&amp;" ngày"&amp;IF(MOD(ROUND((($U114-TDBC)*24),0),24)&gt;0," "&amp;MOD(ROUND((($U114-TDBC)*24),0),24)&amp;" giờ","")))))</f>
      </c>
      <c r="AA114" s="220">
        <f>IF($V114="Đã xử lý",_xlfn.MAXIFS('Nhật ký tiến độ'!$B$6:$B$3005,'Nhật ký tiến độ'!$C$6:$C$3005,$A114,'Nhật ký tiến độ'!$E$6:$E$3005,"Đã xử lý"),"")</f>
      </c>
      <c r="AB114" s="223">
        <f>IF($AI114="","",IF($AI114&lt;1,MAX(1,ROUND($AI114*60,0))&amp;" phút",IF(ROUND($AI114,0)&lt;24,ROUND($AI114,0)&amp;" giờ",INT(ROUND($AI114,0)/24)&amp;" ngày"&amp;IF(MOD(ROUND($AI114,0),24)&gt;0," "&amp;MOD(ROUND($AI114,0),24)&amp;" giờ",""))))</f>
      </c>
      <c r="AC114" s="223">
        <f>IF(OR($A114="",N($AH114)=0),"",IF($AI114&lt;&gt;"",IF($AI114&lt;=$AH114,"Trong ước tính","Vượt "&amp;IF(($AI114-$AH114)&lt;1,MAX(1,ROUND(($AI114-$AH114)*60,0))&amp;" phút",IF(ROUND(($AI114-$AH114),0)&lt;24,ROUND(($AI114-$AH114),0)&amp;" giờ",INT(ROUND(($AI114-$AH114),0)/24)&amp;" ngày"&amp;IF(MOD(ROUND(($AI114-$AH114),0),24)&gt;0," "&amp;MOD(ROUND(($AI114-$AH114),0),24)&amp;" giờ","")))),IF(OR($V114="Đã xử lý",N($B114)=0),"",IF((TDBC-$B114)*24&gt;$AH114,"Đã vượt ước tính","Đã dùng "&amp;TEXT((TDBC-$B114)*24/$AH114,"0%")))))</f>
      </c>
      <c r="AD114" s="223">
        <f>IF(N($AO114)=0,"",CHOOSE($AO114,"Nhắc nhở","Cảnh báo","Báo động","Báo động đỏ"))</f>
      </c>
      <c r="AE114" s="223">
        <f>IF(OR(N($AA114)=0,N($U114)=0),"",IF($AA114&lt;=$U114,"Đúng hạn","Trễ hạn"))</f>
      </c>
      <c r="AF114" s="220">
        <f>IF($A114="","",_xlfn.MAXIFS('Nhật ký tiến độ'!$B$6:$B$3005,'Nhật ký tiến độ'!$C$6:$C$3005,$A114))</f>
      </c>
      <c r="AG114" s="223">
        <f>IF($A114="","",IF(COUNTIF('Kế hoạch'!$M$6:$M$305,$A114)=0,"",COUNTIF('Kế hoạch'!$M$6:$M$305,$A114)&amp;" việc"))</f>
      </c>
      <c r="AH114" s="224">
        <f>IF(OR($A114="",N($O114)&lt;=0),"",IF($P114="Giờ",$O114,$O114*24))</f>
      </c>
      <c r="AI114" s="224">
        <f>IF(OR(N($AA114)=0,N($B114)=0),"",IF($AA114&lt;$B114,"",($AA114-$B114)*24))</f>
      </c>
      <c r="AJ114" s="225">
        <f>IF($A114="","",IF(COUNTIF('Nhật ký tiến độ'!$C$6:$C$3005,$A114)=0,0,_xlfn.MAXIFS('Nhật ký tiến độ'!$N$6:$N$3005,'Nhật ký tiến độ'!$C$6:$C$3005,$A114,'Nhật ký tiến độ'!$B$6:$B$3005,_xlfn.MAXIFS('Nhật ký tiến độ'!$B$6:$B$3005,'Nhật ký tiến độ'!$C$6:$C$3005,$A114))))</f>
      </c>
      <c r="AK114" s="225">
        <f>IF(OR($A114="",$V114="Đã xử lý"),"",IF(N($AO114)&gt;0,5-$AO114,IF($J114="Khẩn cấp",5,IF($Y114="Chậm tiến độ",6,IF(OR($Y114="Sắp đến hạn",$J114="Cao"),7,"")))))</f>
      </c>
      <c r="AL114" s="225">
        <f>IF($AK114="","",$AK114*100000+IF(N($U114)=0,99999,INT($U114))+ROW()/100000)</f>
      </c>
      <c r="AM114" s="225">
        <f>IF(OR($A114="",TRIM($K114)="",COUNTIF($K$6:$K114,$K114)&gt;1),0,1)</f>
      </c>
      <c r="AN114" s="225">
        <f>IF($AM114=1,SUM($AM$6:$AM114),"")</f>
      </c>
      <c r="AO114" s="225">
        <f>IF(OR($A114="",$V114="Đã xử lý",N($U114)=0),0,IF(TDBC&lt;=$U114,0,MAX(1,MIN(4,IF((TDBC-$U114)*24&lt;24,1,IF((TDBC-$U114)*24&lt;72,2,IF((TDBC-$U114)*24&lt;168,3,4)))+IFERROR(INDEX({2,1,0,-1},MATCH($J114,{"Khẩn cấp","Cao","Trung bình","Thấp"},0)),0)))))</f>
      </c>
    </row>
    <row r="115">
      <c r="A115" s="216"/>
      <c r="B115" s="217"/>
      <c r="C115" s="218"/>
      <c r="D115" s="218"/>
      <c r="E115" s="218"/>
      <c r="F115" s="218"/>
      <c r="G115" s="216"/>
      <c r="H115" s="218"/>
      <c r="I115" s="218"/>
      <c r="J115" s="216"/>
      <c r="K115" s="218"/>
      <c r="L115" s="218"/>
      <c r="M115" s="218"/>
      <c r="N115" s="218"/>
      <c r="O115" s="219"/>
      <c r="P115" s="216"/>
      <c r="Q115" s="217"/>
      <c r="R115" s="216"/>
      <c r="S115" s="218"/>
      <c r="T115" s="218"/>
      <c r="U115" s="220">
        <f>IF($A115="","",IF(N($Q115)&gt;0,IF(MOD($Q115,1)=0,$Q115+1-1/1440,$Q115),IF(N($B115)=0,"",$B115+IF(N($AH115)&gt;0,$AH115,IFERROR(INDEX(DM_SLA_Gio,MATCH($J115,DM_SLA_Cap,0)),168))/24)))</f>
      </c>
      <c r="V115" s="221">
        <f>IF($A115="","",IF(N($AJ115)=0,"Mới tiếp nhận",INDEX('Nhật ký tiến độ'!$E:$E,$AJ115)))</f>
      </c>
      <c r="W115" s="222">
        <f>IF($A115="","",IF($V115="Đã xử lý",1,IF(N($AJ115)=0,0,N(INDEX('Nhật ký tiến độ'!$D:$D,$AJ115)))))</f>
      </c>
      <c r="X115" s="222">
        <f>IF(OR($A115="",$V115="Đã xử lý",N($U115)=0,N($B115)=0),"",IF(TDBC&lt;=$B115,0,IF(TDBC&gt;=$U115,1,(TDBC-$B115)/($U115-$B115))))</f>
      </c>
      <c r="Y115" s="223">
        <f>IF($A115="","",IF($V115="Đã xử lý","Hoàn thành",IF(N($U115)=0,"Chưa đặt hạn",IF(TDBC&gt;$U115,"Quá hạn",IF(ROUND((N($X115)-$W115)*100,0)&gt;=20,"Chậm tiến độ",IF($U115-TDBC&lt;=1,"Sắp đến hạn","Đúng tiến độ"))))))</f>
      </c>
      <c r="Z115" s="223">
        <f>IF(OR($A115="",$V115="Đã xử lý",N($U115)=0),"",IF(TDBC&gt;$U115,"Quá "&amp;IF(((TDBC-$U115)*24)&lt;1,MAX(1,ROUND(((TDBC-$U115)*24)*60,0))&amp;" phút",IF(ROUND(((TDBC-$U115)*24),0)&lt;24,ROUND(((TDBC-$U115)*24),0)&amp;" giờ",INT(ROUND(((TDBC-$U115)*24),0)/24)&amp;" ngày"&amp;IF(MOD(ROUND(((TDBC-$U115)*24),0),24)&gt;0," "&amp;MOD(ROUND(((TDBC-$U115)*24),0),24)&amp;" giờ",""))),"Còn "&amp;IF((($U115-TDBC)*24)&lt;1,MAX(1,ROUND((($U115-TDBC)*24)*60,0))&amp;" phút",IF(ROUND((($U115-TDBC)*24),0)&lt;24,ROUND((($U115-TDBC)*24),0)&amp;" giờ",INT(ROUND((($U115-TDBC)*24),0)/24)&amp;" ngày"&amp;IF(MOD(ROUND((($U115-TDBC)*24),0),24)&gt;0," "&amp;MOD(ROUND((($U115-TDBC)*24),0),24)&amp;" giờ","")))))</f>
      </c>
      <c r="AA115" s="220">
        <f>IF($V115="Đã xử lý",_xlfn.MAXIFS('Nhật ký tiến độ'!$B$6:$B$3005,'Nhật ký tiến độ'!$C$6:$C$3005,$A115,'Nhật ký tiến độ'!$E$6:$E$3005,"Đã xử lý"),"")</f>
      </c>
      <c r="AB115" s="223">
        <f>IF($AI115="","",IF($AI115&lt;1,MAX(1,ROUND($AI115*60,0))&amp;" phút",IF(ROUND($AI115,0)&lt;24,ROUND($AI115,0)&amp;" giờ",INT(ROUND($AI115,0)/24)&amp;" ngày"&amp;IF(MOD(ROUND($AI115,0),24)&gt;0," "&amp;MOD(ROUND($AI115,0),24)&amp;" giờ",""))))</f>
      </c>
      <c r="AC115" s="223">
        <f>IF(OR($A115="",N($AH115)=0),"",IF($AI115&lt;&gt;"",IF($AI115&lt;=$AH115,"Trong ước tính","Vượt "&amp;IF(($AI115-$AH115)&lt;1,MAX(1,ROUND(($AI115-$AH115)*60,0))&amp;" phút",IF(ROUND(($AI115-$AH115),0)&lt;24,ROUND(($AI115-$AH115),0)&amp;" giờ",INT(ROUND(($AI115-$AH115),0)/24)&amp;" ngày"&amp;IF(MOD(ROUND(($AI115-$AH115),0),24)&gt;0," "&amp;MOD(ROUND(($AI115-$AH115),0),24)&amp;" giờ","")))),IF(OR($V115="Đã xử lý",N($B115)=0),"",IF((TDBC-$B115)*24&gt;$AH115,"Đã vượt ước tính","Đã dùng "&amp;TEXT((TDBC-$B115)*24/$AH115,"0%")))))</f>
      </c>
      <c r="AD115" s="223">
        <f>IF(N($AO115)=0,"",CHOOSE($AO115,"Nhắc nhở","Cảnh báo","Báo động","Báo động đỏ"))</f>
      </c>
      <c r="AE115" s="223">
        <f>IF(OR(N($AA115)=0,N($U115)=0),"",IF($AA115&lt;=$U115,"Đúng hạn","Trễ hạn"))</f>
      </c>
      <c r="AF115" s="220">
        <f>IF($A115="","",_xlfn.MAXIFS('Nhật ký tiến độ'!$B$6:$B$3005,'Nhật ký tiến độ'!$C$6:$C$3005,$A115))</f>
      </c>
      <c r="AG115" s="223">
        <f>IF($A115="","",IF(COUNTIF('Kế hoạch'!$M$6:$M$305,$A115)=0,"",COUNTIF('Kế hoạch'!$M$6:$M$305,$A115)&amp;" việc"))</f>
      </c>
      <c r="AH115" s="224">
        <f>IF(OR($A115="",N($O115)&lt;=0),"",IF($P115="Giờ",$O115,$O115*24))</f>
      </c>
      <c r="AI115" s="224">
        <f>IF(OR(N($AA115)=0,N($B115)=0),"",IF($AA115&lt;$B115,"",($AA115-$B115)*24))</f>
      </c>
      <c r="AJ115" s="225">
        <f>IF($A115="","",IF(COUNTIF('Nhật ký tiến độ'!$C$6:$C$3005,$A115)=0,0,_xlfn.MAXIFS('Nhật ký tiến độ'!$N$6:$N$3005,'Nhật ký tiến độ'!$C$6:$C$3005,$A115,'Nhật ký tiến độ'!$B$6:$B$3005,_xlfn.MAXIFS('Nhật ký tiến độ'!$B$6:$B$3005,'Nhật ký tiến độ'!$C$6:$C$3005,$A115))))</f>
      </c>
      <c r="AK115" s="225">
        <f>IF(OR($A115="",$V115="Đã xử lý"),"",IF(N($AO115)&gt;0,5-$AO115,IF($J115="Khẩn cấp",5,IF($Y115="Chậm tiến độ",6,IF(OR($Y115="Sắp đến hạn",$J115="Cao"),7,"")))))</f>
      </c>
      <c r="AL115" s="225">
        <f>IF($AK115="","",$AK115*100000+IF(N($U115)=0,99999,INT($U115))+ROW()/100000)</f>
      </c>
      <c r="AM115" s="225">
        <f>IF(OR($A115="",TRIM($K115)="",COUNTIF($K$6:$K115,$K115)&gt;1),0,1)</f>
      </c>
      <c r="AN115" s="225">
        <f>IF($AM115=1,SUM($AM$6:$AM115),"")</f>
      </c>
      <c r="AO115" s="225">
        <f>IF(OR($A115="",$V115="Đã xử lý",N($U115)=0),0,IF(TDBC&lt;=$U115,0,MAX(1,MIN(4,IF((TDBC-$U115)*24&lt;24,1,IF((TDBC-$U115)*24&lt;72,2,IF((TDBC-$U115)*24&lt;168,3,4)))+IFERROR(INDEX({2,1,0,-1},MATCH($J115,{"Khẩn cấp","Cao","Trung bình","Thấp"},0)),0)))))</f>
      </c>
    </row>
    <row r="116">
      <c r="A116" s="216"/>
      <c r="B116" s="217"/>
      <c r="C116" s="218"/>
      <c r="D116" s="218"/>
      <c r="E116" s="218"/>
      <c r="F116" s="218"/>
      <c r="G116" s="216"/>
      <c r="H116" s="218"/>
      <c r="I116" s="218"/>
      <c r="J116" s="216"/>
      <c r="K116" s="218"/>
      <c r="L116" s="218"/>
      <c r="M116" s="218"/>
      <c r="N116" s="218"/>
      <c r="O116" s="219"/>
      <c r="P116" s="216"/>
      <c r="Q116" s="217"/>
      <c r="R116" s="216"/>
      <c r="S116" s="218"/>
      <c r="T116" s="218"/>
      <c r="U116" s="220">
        <f>IF($A116="","",IF(N($Q116)&gt;0,IF(MOD($Q116,1)=0,$Q116+1-1/1440,$Q116),IF(N($B116)=0,"",$B116+IF(N($AH116)&gt;0,$AH116,IFERROR(INDEX(DM_SLA_Gio,MATCH($J116,DM_SLA_Cap,0)),168))/24)))</f>
      </c>
      <c r="V116" s="221">
        <f>IF($A116="","",IF(N($AJ116)=0,"Mới tiếp nhận",INDEX('Nhật ký tiến độ'!$E:$E,$AJ116)))</f>
      </c>
      <c r="W116" s="222">
        <f>IF($A116="","",IF($V116="Đã xử lý",1,IF(N($AJ116)=0,0,N(INDEX('Nhật ký tiến độ'!$D:$D,$AJ116)))))</f>
      </c>
      <c r="X116" s="222">
        <f>IF(OR($A116="",$V116="Đã xử lý",N($U116)=0,N($B116)=0),"",IF(TDBC&lt;=$B116,0,IF(TDBC&gt;=$U116,1,(TDBC-$B116)/($U116-$B116))))</f>
      </c>
      <c r="Y116" s="223">
        <f>IF($A116="","",IF($V116="Đã xử lý","Hoàn thành",IF(N($U116)=0,"Chưa đặt hạn",IF(TDBC&gt;$U116,"Quá hạn",IF(ROUND((N($X116)-$W116)*100,0)&gt;=20,"Chậm tiến độ",IF($U116-TDBC&lt;=1,"Sắp đến hạn","Đúng tiến độ"))))))</f>
      </c>
      <c r="Z116" s="223">
        <f>IF(OR($A116="",$V116="Đã xử lý",N($U116)=0),"",IF(TDBC&gt;$U116,"Quá "&amp;IF(((TDBC-$U116)*24)&lt;1,MAX(1,ROUND(((TDBC-$U116)*24)*60,0))&amp;" phút",IF(ROUND(((TDBC-$U116)*24),0)&lt;24,ROUND(((TDBC-$U116)*24),0)&amp;" giờ",INT(ROUND(((TDBC-$U116)*24),0)/24)&amp;" ngày"&amp;IF(MOD(ROUND(((TDBC-$U116)*24),0),24)&gt;0," "&amp;MOD(ROUND(((TDBC-$U116)*24),0),24)&amp;" giờ",""))),"Còn "&amp;IF((($U116-TDBC)*24)&lt;1,MAX(1,ROUND((($U116-TDBC)*24)*60,0))&amp;" phút",IF(ROUND((($U116-TDBC)*24),0)&lt;24,ROUND((($U116-TDBC)*24),0)&amp;" giờ",INT(ROUND((($U116-TDBC)*24),0)/24)&amp;" ngày"&amp;IF(MOD(ROUND((($U116-TDBC)*24),0),24)&gt;0," "&amp;MOD(ROUND((($U116-TDBC)*24),0),24)&amp;" giờ","")))))</f>
      </c>
      <c r="AA116" s="220">
        <f>IF($V116="Đã xử lý",_xlfn.MAXIFS('Nhật ký tiến độ'!$B$6:$B$3005,'Nhật ký tiến độ'!$C$6:$C$3005,$A116,'Nhật ký tiến độ'!$E$6:$E$3005,"Đã xử lý"),"")</f>
      </c>
      <c r="AB116" s="223">
        <f>IF($AI116="","",IF($AI116&lt;1,MAX(1,ROUND($AI116*60,0))&amp;" phút",IF(ROUND($AI116,0)&lt;24,ROUND($AI116,0)&amp;" giờ",INT(ROUND($AI116,0)/24)&amp;" ngày"&amp;IF(MOD(ROUND($AI116,0),24)&gt;0," "&amp;MOD(ROUND($AI116,0),24)&amp;" giờ",""))))</f>
      </c>
      <c r="AC116" s="223">
        <f>IF(OR($A116="",N($AH116)=0),"",IF($AI116&lt;&gt;"",IF($AI116&lt;=$AH116,"Trong ước tính","Vượt "&amp;IF(($AI116-$AH116)&lt;1,MAX(1,ROUND(($AI116-$AH116)*60,0))&amp;" phút",IF(ROUND(($AI116-$AH116),0)&lt;24,ROUND(($AI116-$AH116),0)&amp;" giờ",INT(ROUND(($AI116-$AH116),0)/24)&amp;" ngày"&amp;IF(MOD(ROUND(($AI116-$AH116),0),24)&gt;0," "&amp;MOD(ROUND(($AI116-$AH116),0),24)&amp;" giờ","")))),IF(OR($V116="Đã xử lý",N($B116)=0),"",IF((TDBC-$B116)*24&gt;$AH116,"Đã vượt ước tính","Đã dùng "&amp;TEXT((TDBC-$B116)*24/$AH116,"0%")))))</f>
      </c>
      <c r="AD116" s="223">
        <f>IF(N($AO116)=0,"",CHOOSE($AO116,"Nhắc nhở","Cảnh báo","Báo động","Báo động đỏ"))</f>
      </c>
      <c r="AE116" s="223">
        <f>IF(OR(N($AA116)=0,N($U116)=0),"",IF($AA116&lt;=$U116,"Đúng hạn","Trễ hạn"))</f>
      </c>
      <c r="AF116" s="220">
        <f>IF($A116="","",_xlfn.MAXIFS('Nhật ký tiến độ'!$B$6:$B$3005,'Nhật ký tiến độ'!$C$6:$C$3005,$A116))</f>
      </c>
      <c r="AG116" s="223">
        <f>IF($A116="","",IF(COUNTIF('Kế hoạch'!$M$6:$M$305,$A116)=0,"",COUNTIF('Kế hoạch'!$M$6:$M$305,$A116)&amp;" việc"))</f>
      </c>
      <c r="AH116" s="224">
        <f>IF(OR($A116="",N($O116)&lt;=0),"",IF($P116="Giờ",$O116,$O116*24))</f>
      </c>
      <c r="AI116" s="224">
        <f>IF(OR(N($AA116)=0,N($B116)=0),"",IF($AA116&lt;$B116,"",($AA116-$B116)*24))</f>
      </c>
      <c r="AJ116" s="225">
        <f>IF($A116="","",IF(COUNTIF('Nhật ký tiến độ'!$C$6:$C$3005,$A116)=0,0,_xlfn.MAXIFS('Nhật ký tiến độ'!$N$6:$N$3005,'Nhật ký tiến độ'!$C$6:$C$3005,$A116,'Nhật ký tiến độ'!$B$6:$B$3005,_xlfn.MAXIFS('Nhật ký tiến độ'!$B$6:$B$3005,'Nhật ký tiến độ'!$C$6:$C$3005,$A116))))</f>
      </c>
      <c r="AK116" s="225">
        <f>IF(OR($A116="",$V116="Đã xử lý"),"",IF(N($AO116)&gt;0,5-$AO116,IF($J116="Khẩn cấp",5,IF($Y116="Chậm tiến độ",6,IF(OR($Y116="Sắp đến hạn",$J116="Cao"),7,"")))))</f>
      </c>
      <c r="AL116" s="225">
        <f>IF($AK116="","",$AK116*100000+IF(N($U116)=0,99999,INT($U116))+ROW()/100000)</f>
      </c>
      <c r="AM116" s="225">
        <f>IF(OR($A116="",TRIM($K116)="",COUNTIF($K$6:$K116,$K116)&gt;1),0,1)</f>
      </c>
      <c r="AN116" s="225">
        <f>IF($AM116=1,SUM($AM$6:$AM116),"")</f>
      </c>
      <c r="AO116" s="225">
        <f>IF(OR($A116="",$V116="Đã xử lý",N($U116)=0),0,IF(TDBC&lt;=$U116,0,MAX(1,MIN(4,IF((TDBC-$U116)*24&lt;24,1,IF((TDBC-$U116)*24&lt;72,2,IF((TDBC-$U116)*24&lt;168,3,4)))+IFERROR(INDEX({2,1,0,-1},MATCH($J116,{"Khẩn cấp","Cao","Trung bình","Thấp"},0)),0)))))</f>
      </c>
    </row>
    <row r="117">
      <c r="A117" s="216"/>
      <c r="B117" s="217"/>
      <c r="C117" s="218"/>
      <c r="D117" s="218"/>
      <c r="E117" s="218"/>
      <c r="F117" s="218"/>
      <c r="G117" s="216"/>
      <c r="H117" s="218"/>
      <c r="I117" s="218"/>
      <c r="J117" s="216"/>
      <c r="K117" s="218"/>
      <c r="L117" s="218"/>
      <c r="M117" s="218"/>
      <c r="N117" s="218"/>
      <c r="O117" s="219"/>
      <c r="P117" s="216"/>
      <c r="Q117" s="217"/>
      <c r="R117" s="216"/>
      <c r="S117" s="218"/>
      <c r="T117" s="218"/>
      <c r="U117" s="220">
        <f>IF($A117="","",IF(N($Q117)&gt;0,IF(MOD($Q117,1)=0,$Q117+1-1/1440,$Q117),IF(N($B117)=0,"",$B117+IF(N($AH117)&gt;0,$AH117,IFERROR(INDEX(DM_SLA_Gio,MATCH($J117,DM_SLA_Cap,0)),168))/24)))</f>
      </c>
      <c r="V117" s="221">
        <f>IF($A117="","",IF(N($AJ117)=0,"Mới tiếp nhận",INDEX('Nhật ký tiến độ'!$E:$E,$AJ117)))</f>
      </c>
      <c r="W117" s="222">
        <f>IF($A117="","",IF($V117="Đã xử lý",1,IF(N($AJ117)=0,0,N(INDEX('Nhật ký tiến độ'!$D:$D,$AJ117)))))</f>
      </c>
      <c r="X117" s="222">
        <f>IF(OR($A117="",$V117="Đã xử lý",N($U117)=0,N($B117)=0),"",IF(TDBC&lt;=$B117,0,IF(TDBC&gt;=$U117,1,(TDBC-$B117)/($U117-$B117))))</f>
      </c>
      <c r="Y117" s="223">
        <f>IF($A117="","",IF($V117="Đã xử lý","Hoàn thành",IF(N($U117)=0,"Chưa đặt hạn",IF(TDBC&gt;$U117,"Quá hạn",IF(ROUND((N($X117)-$W117)*100,0)&gt;=20,"Chậm tiến độ",IF($U117-TDBC&lt;=1,"Sắp đến hạn","Đúng tiến độ"))))))</f>
      </c>
      <c r="Z117" s="223">
        <f>IF(OR($A117="",$V117="Đã xử lý",N($U117)=0),"",IF(TDBC&gt;$U117,"Quá "&amp;IF(((TDBC-$U117)*24)&lt;1,MAX(1,ROUND(((TDBC-$U117)*24)*60,0))&amp;" phút",IF(ROUND(((TDBC-$U117)*24),0)&lt;24,ROUND(((TDBC-$U117)*24),0)&amp;" giờ",INT(ROUND(((TDBC-$U117)*24),0)/24)&amp;" ngày"&amp;IF(MOD(ROUND(((TDBC-$U117)*24),0),24)&gt;0," "&amp;MOD(ROUND(((TDBC-$U117)*24),0),24)&amp;" giờ",""))),"Còn "&amp;IF((($U117-TDBC)*24)&lt;1,MAX(1,ROUND((($U117-TDBC)*24)*60,0))&amp;" phút",IF(ROUND((($U117-TDBC)*24),0)&lt;24,ROUND((($U117-TDBC)*24),0)&amp;" giờ",INT(ROUND((($U117-TDBC)*24),0)/24)&amp;" ngày"&amp;IF(MOD(ROUND((($U117-TDBC)*24),0),24)&gt;0," "&amp;MOD(ROUND((($U117-TDBC)*24),0),24)&amp;" giờ","")))))</f>
      </c>
      <c r="AA117" s="220">
        <f>IF($V117="Đã xử lý",_xlfn.MAXIFS('Nhật ký tiến độ'!$B$6:$B$3005,'Nhật ký tiến độ'!$C$6:$C$3005,$A117,'Nhật ký tiến độ'!$E$6:$E$3005,"Đã xử lý"),"")</f>
      </c>
      <c r="AB117" s="223">
        <f>IF($AI117="","",IF($AI117&lt;1,MAX(1,ROUND($AI117*60,0))&amp;" phút",IF(ROUND($AI117,0)&lt;24,ROUND($AI117,0)&amp;" giờ",INT(ROUND($AI117,0)/24)&amp;" ngày"&amp;IF(MOD(ROUND($AI117,0),24)&gt;0," "&amp;MOD(ROUND($AI117,0),24)&amp;" giờ",""))))</f>
      </c>
      <c r="AC117" s="223">
        <f>IF(OR($A117="",N($AH117)=0),"",IF($AI117&lt;&gt;"",IF($AI117&lt;=$AH117,"Trong ước tính","Vượt "&amp;IF(($AI117-$AH117)&lt;1,MAX(1,ROUND(($AI117-$AH117)*60,0))&amp;" phút",IF(ROUND(($AI117-$AH117),0)&lt;24,ROUND(($AI117-$AH117),0)&amp;" giờ",INT(ROUND(($AI117-$AH117),0)/24)&amp;" ngày"&amp;IF(MOD(ROUND(($AI117-$AH117),0),24)&gt;0," "&amp;MOD(ROUND(($AI117-$AH117),0),24)&amp;" giờ","")))),IF(OR($V117="Đã xử lý",N($B117)=0),"",IF((TDBC-$B117)*24&gt;$AH117,"Đã vượt ước tính","Đã dùng "&amp;TEXT((TDBC-$B117)*24/$AH117,"0%")))))</f>
      </c>
      <c r="AD117" s="223">
        <f>IF(N($AO117)=0,"",CHOOSE($AO117,"Nhắc nhở","Cảnh báo","Báo động","Báo động đỏ"))</f>
      </c>
      <c r="AE117" s="223">
        <f>IF(OR(N($AA117)=0,N($U117)=0),"",IF($AA117&lt;=$U117,"Đúng hạn","Trễ hạn"))</f>
      </c>
      <c r="AF117" s="220">
        <f>IF($A117="","",_xlfn.MAXIFS('Nhật ký tiến độ'!$B$6:$B$3005,'Nhật ký tiến độ'!$C$6:$C$3005,$A117))</f>
      </c>
      <c r="AG117" s="223">
        <f>IF($A117="","",IF(COUNTIF('Kế hoạch'!$M$6:$M$305,$A117)=0,"",COUNTIF('Kế hoạch'!$M$6:$M$305,$A117)&amp;" việc"))</f>
      </c>
      <c r="AH117" s="224">
        <f>IF(OR($A117="",N($O117)&lt;=0),"",IF($P117="Giờ",$O117,$O117*24))</f>
      </c>
      <c r="AI117" s="224">
        <f>IF(OR(N($AA117)=0,N($B117)=0),"",IF($AA117&lt;$B117,"",($AA117-$B117)*24))</f>
      </c>
      <c r="AJ117" s="225">
        <f>IF($A117="","",IF(COUNTIF('Nhật ký tiến độ'!$C$6:$C$3005,$A117)=0,0,_xlfn.MAXIFS('Nhật ký tiến độ'!$N$6:$N$3005,'Nhật ký tiến độ'!$C$6:$C$3005,$A117,'Nhật ký tiến độ'!$B$6:$B$3005,_xlfn.MAXIFS('Nhật ký tiến độ'!$B$6:$B$3005,'Nhật ký tiến độ'!$C$6:$C$3005,$A117))))</f>
      </c>
      <c r="AK117" s="225">
        <f>IF(OR($A117="",$V117="Đã xử lý"),"",IF(N($AO117)&gt;0,5-$AO117,IF($J117="Khẩn cấp",5,IF($Y117="Chậm tiến độ",6,IF(OR($Y117="Sắp đến hạn",$J117="Cao"),7,"")))))</f>
      </c>
      <c r="AL117" s="225">
        <f>IF($AK117="","",$AK117*100000+IF(N($U117)=0,99999,INT($U117))+ROW()/100000)</f>
      </c>
      <c r="AM117" s="225">
        <f>IF(OR($A117="",TRIM($K117)="",COUNTIF($K$6:$K117,$K117)&gt;1),0,1)</f>
      </c>
      <c r="AN117" s="225">
        <f>IF($AM117=1,SUM($AM$6:$AM117),"")</f>
      </c>
      <c r="AO117" s="225">
        <f>IF(OR($A117="",$V117="Đã xử lý",N($U117)=0),0,IF(TDBC&lt;=$U117,0,MAX(1,MIN(4,IF((TDBC-$U117)*24&lt;24,1,IF((TDBC-$U117)*24&lt;72,2,IF((TDBC-$U117)*24&lt;168,3,4)))+IFERROR(INDEX({2,1,0,-1},MATCH($J117,{"Khẩn cấp","Cao","Trung bình","Thấp"},0)),0)))))</f>
      </c>
    </row>
    <row r="118">
      <c r="A118" s="216"/>
      <c r="B118" s="217"/>
      <c r="C118" s="218"/>
      <c r="D118" s="218"/>
      <c r="E118" s="218"/>
      <c r="F118" s="218"/>
      <c r="G118" s="216"/>
      <c r="H118" s="218"/>
      <c r="I118" s="218"/>
      <c r="J118" s="216"/>
      <c r="K118" s="218"/>
      <c r="L118" s="218"/>
      <c r="M118" s="218"/>
      <c r="N118" s="218"/>
      <c r="O118" s="219"/>
      <c r="P118" s="216"/>
      <c r="Q118" s="217"/>
      <c r="R118" s="216"/>
      <c r="S118" s="218"/>
      <c r="T118" s="218"/>
      <c r="U118" s="220">
        <f>IF($A118="","",IF(N($Q118)&gt;0,IF(MOD($Q118,1)=0,$Q118+1-1/1440,$Q118),IF(N($B118)=0,"",$B118+IF(N($AH118)&gt;0,$AH118,IFERROR(INDEX(DM_SLA_Gio,MATCH($J118,DM_SLA_Cap,0)),168))/24)))</f>
      </c>
      <c r="V118" s="221">
        <f>IF($A118="","",IF(N($AJ118)=0,"Mới tiếp nhận",INDEX('Nhật ký tiến độ'!$E:$E,$AJ118)))</f>
      </c>
      <c r="W118" s="222">
        <f>IF($A118="","",IF($V118="Đã xử lý",1,IF(N($AJ118)=0,0,N(INDEX('Nhật ký tiến độ'!$D:$D,$AJ118)))))</f>
      </c>
      <c r="X118" s="222">
        <f>IF(OR($A118="",$V118="Đã xử lý",N($U118)=0,N($B118)=0),"",IF(TDBC&lt;=$B118,0,IF(TDBC&gt;=$U118,1,(TDBC-$B118)/($U118-$B118))))</f>
      </c>
      <c r="Y118" s="223">
        <f>IF($A118="","",IF($V118="Đã xử lý","Hoàn thành",IF(N($U118)=0,"Chưa đặt hạn",IF(TDBC&gt;$U118,"Quá hạn",IF(ROUND((N($X118)-$W118)*100,0)&gt;=20,"Chậm tiến độ",IF($U118-TDBC&lt;=1,"Sắp đến hạn","Đúng tiến độ"))))))</f>
      </c>
      <c r="Z118" s="223">
        <f>IF(OR($A118="",$V118="Đã xử lý",N($U118)=0),"",IF(TDBC&gt;$U118,"Quá "&amp;IF(((TDBC-$U118)*24)&lt;1,MAX(1,ROUND(((TDBC-$U118)*24)*60,0))&amp;" phút",IF(ROUND(((TDBC-$U118)*24),0)&lt;24,ROUND(((TDBC-$U118)*24),0)&amp;" giờ",INT(ROUND(((TDBC-$U118)*24),0)/24)&amp;" ngày"&amp;IF(MOD(ROUND(((TDBC-$U118)*24),0),24)&gt;0," "&amp;MOD(ROUND(((TDBC-$U118)*24),0),24)&amp;" giờ",""))),"Còn "&amp;IF((($U118-TDBC)*24)&lt;1,MAX(1,ROUND((($U118-TDBC)*24)*60,0))&amp;" phút",IF(ROUND((($U118-TDBC)*24),0)&lt;24,ROUND((($U118-TDBC)*24),0)&amp;" giờ",INT(ROUND((($U118-TDBC)*24),0)/24)&amp;" ngày"&amp;IF(MOD(ROUND((($U118-TDBC)*24),0),24)&gt;0," "&amp;MOD(ROUND((($U118-TDBC)*24),0),24)&amp;" giờ","")))))</f>
      </c>
      <c r="AA118" s="220">
        <f>IF($V118="Đã xử lý",_xlfn.MAXIFS('Nhật ký tiến độ'!$B$6:$B$3005,'Nhật ký tiến độ'!$C$6:$C$3005,$A118,'Nhật ký tiến độ'!$E$6:$E$3005,"Đã xử lý"),"")</f>
      </c>
      <c r="AB118" s="223">
        <f>IF($AI118="","",IF($AI118&lt;1,MAX(1,ROUND($AI118*60,0))&amp;" phút",IF(ROUND($AI118,0)&lt;24,ROUND($AI118,0)&amp;" giờ",INT(ROUND($AI118,0)/24)&amp;" ngày"&amp;IF(MOD(ROUND($AI118,0),24)&gt;0," "&amp;MOD(ROUND($AI118,0),24)&amp;" giờ",""))))</f>
      </c>
      <c r="AC118" s="223">
        <f>IF(OR($A118="",N($AH118)=0),"",IF($AI118&lt;&gt;"",IF($AI118&lt;=$AH118,"Trong ước tính","Vượt "&amp;IF(($AI118-$AH118)&lt;1,MAX(1,ROUND(($AI118-$AH118)*60,0))&amp;" phút",IF(ROUND(($AI118-$AH118),0)&lt;24,ROUND(($AI118-$AH118),0)&amp;" giờ",INT(ROUND(($AI118-$AH118),0)/24)&amp;" ngày"&amp;IF(MOD(ROUND(($AI118-$AH118),0),24)&gt;0," "&amp;MOD(ROUND(($AI118-$AH118),0),24)&amp;" giờ","")))),IF(OR($V118="Đã xử lý",N($B118)=0),"",IF((TDBC-$B118)*24&gt;$AH118,"Đã vượt ước tính","Đã dùng "&amp;TEXT((TDBC-$B118)*24/$AH118,"0%")))))</f>
      </c>
      <c r="AD118" s="223">
        <f>IF(N($AO118)=0,"",CHOOSE($AO118,"Nhắc nhở","Cảnh báo","Báo động","Báo động đỏ"))</f>
      </c>
      <c r="AE118" s="223">
        <f>IF(OR(N($AA118)=0,N($U118)=0),"",IF($AA118&lt;=$U118,"Đúng hạn","Trễ hạn"))</f>
      </c>
      <c r="AF118" s="220">
        <f>IF($A118="","",_xlfn.MAXIFS('Nhật ký tiến độ'!$B$6:$B$3005,'Nhật ký tiến độ'!$C$6:$C$3005,$A118))</f>
      </c>
      <c r="AG118" s="223">
        <f>IF($A118="","",IF(COUNTIF('Kế hoạch'!$M$6:$M$305,$A118)=0,"",COUNTIF('Kế hoạch'!$M$6:$M$305,$A118)&amp;" việc"))</f>
      </c>
      <c r="AH118" s="224">
        <f>IF(OR($A118="",N($O118)&lt;=0),"",IF($P118="Giờ",$O118,$O118*24))</f>
      </c>
      <c r="AI118" s="224">
        <f>IF(OR(N($AA118)=0,N($B118)=0),"",IF($AA118&lt;$B118,"",($AA118-$B118)*24))</f>
      </c>
      <c r="AJ118" s="225">
        <f>IF($A118="","",IF(COUNTIF('Nhật ký tiến độ'!$C$6:$C$3005,$A118)=0,0,_xlfn.MAXIFS('Nhật ký tiến độ'!$N$6:$N$3005,'Nhật ký tiến độ'!$C$6:$C$3005,$A118,'Nhật ký tiến độ'!$B$6:$B$3005,_xlfn.MAXIFS('Nhật ký tiến độ'!$B$6:$B$3005,'Nhật ký tiến độ'!$C$6:$C$3005,$A118))))</f>
      </c>
      <c r="AK118" s="225">
        <f>IF(OR($A118="",$V118="Đã xử lý"),"",IF(N($AO118)&gt;0,5-$AO118,IF($J118="Khẩn cấp",5,IF($Y118="Chậm tiến độ",6,IF(OR($Y118="Sắp đến hạn",$J118="Cao"),7,"")))))</f>
      </c>
      <c r="AL118" s="225">
        <f>IF($AK118="","",$AK118*100000+IF(N($U118)=0,99999,INT($U118))+ROW()/100000)</f>
      </c>
      <c r="AM118" s="225">
        <f>IF(OR($A118="",TRIM($K118)="",COUNTIF($K$6:$K118,$K118)&gt;1),0,1)</f>
      </c>
      <c r="AN118" s="225">
        <f>IF($AM118=1,SUM($AM$6:$AM118),"")</f>
      </c>
      <c r="AO118" s="225">
        <f>IF(OR($A118="",$V118="Đã xử lý",N($U118)=0),0,IF(TDBC&lt;=$U118,0,MAX(1,MIN(4,IF((TDBC-$U118)*24&lt;24,1,IF((TDBC-$U118)*24&lt;72,2,IF((TDBC-$U118)*24&lt;168,3,4)))+IFERROR(INDEX({2,1,0,-1},MATCH($J118,{"Khẩn cấp","Cao","Trung bình","Thấp"},0)),0)))))</f>
      </c>
    </row>
    <row r="119">
      <c r="A119" s="216"/>
      <c r="B119" s="217"/>
      <c r="C119" s="218"/>
      <c r="D119" s="218"/>
      <c r="E119" s="218"/>
      <c r="F119" s="218"/>
      <c r="G119" s="216"/>
      <c r="H119" s="218"/>
      <c r="I119" s="218"/>
      <c r="J119" s="216"/>
      <c r="K119" s="218"/>
      <c r="L119" s="218"/>
      <c r="M119" s="218"/>
      <c r="N119" s="218"/>
      <c r="O119" s="219"/>
      <c r="P119" s="216"/>
      <c r="Q119" s="217"/>
      <c r="R119" s="216"/>
      <c r="S119" s="218"/>
      <c r="T119" s="218"/>
      <c r="U119" s="220">
        <f>IF($A119="","",IF(N($Q119)&gt;0,IF(MOD($Q119,1)=0,$Q119+1-1/1440,$Q119),IF(N($B119)=0,"",$B119+IF(N($AH119)&gt;0,$AH119,IFERROR(INDEX(DM_SLA_Gio,MATCH($J119,DM_SLA_Cap,0)),168))/24)))</f>
      </c>
      <c r="V119" s="221">
        <f>IF($A119="","",IF(N($AJ119)=0,"Mới tiếp nhận",INDEX('Nhật ký tiến độ'!$E:$E,$AJ119)))</f>
      </c>
      <c r="W119" s="222">
        <f>IF($A119="","",IF($V119="Đã xử lý",1,IF(N($AJ119)=0,0,N(INDEX('Nhật ký tiến độ'!$D:$D,$AJ119)))))</f>
      </c>
      <c r="X119" s="222">
        <f>IF(OR($A119="",$V119="Đã xử lý",N($U119)=0,N($B119)=0),"",IF(TDBC&lt;=$B119,0,IF(TDBC&gt;=$U119,1,(TDBC-$B119)/($U119-$B119))))</f>
      </c>
      <c r="Y119" s="223">
        <f>IF($A119="","",IF($V119="Đã xử lý","Hoàn thành",IF(N($U119)=0,"Chưa đặt hạn",IF(TDBC&gt;$U119,"Quá hạn",IF(ROUND((N($X119)-$W119)*100,0)&gt;=20,"Chậm tiến độ",IF($U119-TDBC&lt;=1,"Sắp đến hạn","Đúng tiến độ"))))))</f>
      </c>
      <c r="Z119" s="223">
        <f>IF(OR($A119="",$V119="Đã xử lý",N($U119)=0),"",IF(TDBC&gt;$U119,"Quá "&amp;IF(((TDBC-$U119)*24)&lt;1,MAX(1,ROUND(((TDBC-$U119)*24)*60,0))&amp;" phút",IF(ROUND(((TDBC-$U119)*24),0)&lt;24,ROUND(((TDBC-$U119)*24),0)&amp;" giờ",INT(ROUND(((TDBC-$U119)*24),0)/24)&amp;" ngày"&amp;IF(MOD(ROUND(((TDBC-$U119)*24),0),24)&gt;0," "&amp;MOD(ROUND(((TDBC-$U119)*24),0),24)&amp;" giờ",""))),"Còn "&amp;IF((($U119-TDBC)*24)&lt;1,MAX(1,ROUND((($U119-TDBC)*24)*60,0))&amp;" phút",IF(ROUND((($U119-TDBC)*24),0)&lt;24,ROUND((($U119-TDBC)*24),0)&amp;" giờ",INT(ROUND((($U119-TDBC)*24),0)/24)&amp;" ngày"&amp;IF(MOD(ROUND((($U119-TDBC)*24),0),24)&gt;0," "&amp;MOD(ROUND((($U119-TDBC)*24),0),24)&amp;" giờ","")))))</f>
      </c>
      <c r="AA119" s="220">
        <f>IF($V119="Đã xử lý",_xlfn.MAXIFS('Nhật ký tiến độ'!$B$6:$B$3005,'Nhật ký tiến độ'!$C$6:$C$3005,$A119,'Nhật ký tiến độ'!$E$6:$E$3005,"Đã xử lý"),"")</f>
      </c>
      <c r="AB119" s="223">
        <f>IF($AI119="","",IF($AI119&lt;1,MAX(1,ROUND($AI119*60,0))&amp;" phút",IF(ROUND($AI119,0)&lt;24,ROUND($AI119,0)&amp;" giờ",INT(ROUND($AI119,0)/24)&amp;" ngày"&amp;IF(MOD(ROUND($AI119,0),24)&gt;0," "&amp;MOD(ROUND($AI119,0),24)&amp;" giờ",""))))</f>
      </c>
      <c r="AC119" s="223">
        <f>IF(OR($A119="",N($AH119)=0),"",IF($AI119&lt;&gt;"",IF($AI119&lt;=$AH119,"Trong ước tính","Vượt "&amp;IF(($AI119-$AH119)&lt;1,MAX(1,ROUND(($AI119-$AH119)*60,0))&amp;" phút",IF(ROUND(($AI119-$AH119),0)&lt;24,ROUND(($AI119-$AH119),0)&amp;" giờ",INT(ROUND(($AI119-$AH119),0)/24)&amp;" ngày"&amp;IF(MOD(ROUND(($AI119-$AH119),0),24)&gt;0," "&amp;MOD(ROUND(($AI119-$AH119),0),24)&amp;" giờ","")))),IF(OR($V119="Đã xử lý",N($B119)=0),"",IF((TDBC-$B119)*24&gt;$AH119,"Đã vượt ước tính","Đã dùng "&amp;TEXT((TDBC-$B119)*24/$AH119,"0%")))))</f>
      </c>
      <c r="AD119" s="223">
        <f>IF(N($AO119)=0,"",CHOOSE($AO119,"Nhắc nhở","Cảnh báo","Báo động","Báo động đỏ"))</f>
      </c>
      <c r="AE119" s="223">
        <f>IF(OR(N($AA119)=0,N($U119)=0),"",IF($AA119&lt;=$U119,"Đúng hạn","Trễ hạn"))</f>
      </c>
      <c r="AF119" s="220">
        <f>IF($A119="","",_xlfn.MAXIFS('Nhật ký tiến độ'!$B$6:$B$3005,'Nhật ký tiến độ'!$C$6:$C$3005,$A119))</f>
      </c>
      <c r="AG119" s="223">
        <f>IF($A119="","",IF(COUNTIF('Kế hoạch'!$M$6:$M$305,$A119)=0,"",COUNTIF('Kế hoạch'!$M$6:$M$305,$A119)&amp;" việc"))</f>
      </c>
      <c r="AH119" s="224">
        <f>IF(OR($A119="",N($O119)&lt;=0),"",IF($P119="Giờ",$O119,$O119*24))</f>
      </c>
      <c r="AI119" s="224">
        <f>IF(OR(N($AA119)=0,N($B119)=0),"",IF($AA119&lt;$B119,"",($AA119-$B119)*24))</f>
      </c>
      <c r="AJ119" s="225">
        <f>IF($A119="","",IF(COUNTIF('Nhật ký tiến độ'!$C$6:$C$3005,$A119)=0,0,_xlfn.MAXIFS('Nhật ký tiến độ'!$N$6:$N$3005,'Nhật ký tiến độ'!$C$6:$C$3005,$A119,'Nhật ký tiến độ'!$B$6:$B$3005,_xlfn.MAXIFS('Nhật ký tiến độ'!$B$6:$B$3005,'Nhật ký tiến độ'!$C$6:$C$3005,$A119))))</f>
      </c>
      <c r="AK119" s="225">
        <f>IF(OR($A119="",$V119="Đã xử lý"),"",IF(N($AO119)&gt;0,5-$AO119,IF($J119="Khẩn cấp",5,IF($Y119="Chậm tiến độ",6,IF(OR($Y119="Sắp đến hạn",$J119="Cao"),7,"")))))</f>
      </c>
      <c r="AL119" s="225">
        <f>IF($AK119="","",$AK119*100000+IF(N($U119)=0,99999,INT($U119))+ROW()/100000)</f>
      </c>
      <c r="AM119" s="225">
        <f>IF(OR($A119="",TRIM($K119)="",COUNTIF($K$6:$K119,$K119)&gt;1),0,1)</f>
      </c>
      <c r="AN119" s="225">
        <f>IF($AM119=1,SUM($AM$6:$AM119),"")</f>
      </c>
      <c r="AO119" s="225">
        <f>IF(OR($A119="",$V119="Đã xử lý",N($U119)=0),0,IF(TDBC&lt;=$U119,0,MAX(1,MIN(4,IF((TDBC-$U119)*24&lt;24,1,IF((TDBC-$U119)*24&lt;72,2,IF((TDBC-$U119)*24&lt;168,3,4)))+IFERROR(INDEX({2,1,0,-1},MATCH($J119,{"Khẩn cấp","Cao","Trung bình","Thấp"},0)),0)))))</f>
      </c>
    </row>
    <row r="120">
      <c r="A120" s="216"/>
      <c r="B120" s="217"/>
      <c r="C120" s="218"/>
      <c r="D120" s="218"/>
      <c r="E120" s="218"/>
      <c r="F120" s="218"/>
      <c r="G120" s="216"/>
      <c r="H120" s="218"/>
      <c r="I120" s="218"/>
      <c r="J120" s="216"/>
      <c r="K120" s="218"/>
      <c r="L120" s="218"/>
      <c r="M120" s="218"/>
      <c r="N120" s="218"/>
      <c r="O120" s="219"/>
      <c r="P120" s="216"/>
      <c r="Q120" s="217"/>
      <c r="R120" s="216"/>
      <c r="S120" s="218"/>
      <c r="T120" s="218"/>
      <c r="U120" s="220">
        <f>IF($A120="","",IF(N($Q120)&gt;0,IF(MOD($Q120,1)=0,$Q120+1-1/1440,$Q120),IF(N($B120)=0,"",$B120+IF(N($AH120)&gt;0,$AH120,IFERROR(INDEX(DM_SLA_Gio,MATCH($J120,DM_SLA_Cap,0)),168))/24)))</f>
      </c>
      <c r="V120" s="221">
        <f>IF($A120="","",IF(N($AJ120)=0,"Mới tiếp nhận",INDEX('Nhật ký tiến độ'!$E:$E,$AJ120)))</f>
      </c>
      <c r="W120" s="222">
        <f>IF($A120="","",IF($V120="Đã xử lý",1,IF(N($AJ120)=0,0,N(INDEX('Nhật ký tiến độ'!$D:$D,$AJ120)))))</f>
      </c>
      <c r="X120" s="222">
        <f>IF(OR($A120="",$V120="Đã xử lý",N($U120)=0,N($B120)=0),"",IF(TDBC&lt;=$B120,0,IF(TDBC&gt;=$U120,1,(TDBC-$B120)/($U120-$B120))))</f>
      </c>
      <c r="Y120" s="223">
        <f>IF($A120="","",IF($V120="Đã xử lý","Hoàn thành",IF(N($U120)=0,"Chưa đặt hạn",IF(TDBC&gt;$U120,"Quá hạn",IF(ROUND((N($X120)-$W120)*100,0)&gt;=20,"Chậm tiến độ",IF($U120-TDBC&lt;=1,"Sắp đến hạn","Đúng tiến độ"))))))</f>
      </c>
      <c r="Z120" s="223">
        <f>IF(OR($A120="",$V120="Đã xử lý",N($U120)=0),"",IF(TDBC&gt;$U120,"Quá "&amp;IF(((TDBC-$U120)*24)&lt;1,MAX(1,ROUND(((TDBC-$U120)*24)*60,0))&amp;" phút",IF(ROUND(((TDBC-$U120)*24),0)&lt;24,ROUND(((TDBC-$U120)*24),0)&amp;" giờ",INT(ROUND(((TDBC-$U120)*24),0)/24)&amp;" ngày"&amp;IF(MOD(ROUND(((TDBC-$U120)*24),0),24)&gt;0," "&amp;MOD(ROUND(((TDBC-$U120)*24),0),24)&amp;" giờ",""))),"Còn "&amp;IF((($U120-TDBC)*24)&lt;1,MAX(1,ROUND((($U120-TDBC)*24)*60,0))&amp;" phút",IF(ROUND((($U120-TDBC)*24),0)&lt;24,ROUND((($U120-TDBC)*24),0)&amp;" giờ",INT(ROUND((($U120-TDBC)*24),0)/24)&amp;" ngày"&amp;IF(MOD(ROUND((($U120-TDBC)*24),0),24)&gt;0," "&amp;MOD(ROUND((($U120-TDBC)*24),0),24)&amp;" giờ","")))))</f>
      </c>
      <c r="AA120" s="220">
        <f>IF($V120="Đã xử lý",_xlfn.MAXIFS('Nhật ký tiến độ'!$B$6:$B$3005,'Nhật ký tiến độ'!$C$6:$C$3005,$A120,'Nhật ký tiến độ'!$E$6:$E$3005,"Đã xử lý"),"")</f>
      </c>
      <c r="AB120" s="223">
        <f>IF($AI120="","",IF($AI120&lt;1,MAX(1,ROUND($AI120*60,0))&amp;" phút",IF(ROUND($AI120,0)&lt;24,ROUND($AI120,0)&amp;" giờ",INT(ROUND($AI120,0)/24)&amp;" ngày"&amp;IF(MOD(ROUND($AI120,0),24)&gt;0," "&amp;MOD(ROUND($AI120,0),24)&amp;" giờ",""))))</f>
      </c>
      <c r="AC120" s="223">
        <f>IF(OR($A120="",N($AH120)=0),"",IF($AI120&lt;&gt;"",IF($AI120&lt;=$AH120,"Trong ước tính","Vượt "&amp;IF(($AI120-$AH120)&lt;1,MAX(1,ROUND(($AI120-$AH120)*60,0))&amp;" phút",IF(ROUND(($AI120-$AH120),0)&lt;24,ROUND(($AI120-$AH120),0)&amp;" giờ",INT(ROUND(($AI120-$AH120),0)/24)&amp;" ngày"&amp;IF(MOD(ROUND(($AI120-$AH120),0),24)&gt;0," "&amp;MOD(ROUND(($AI120-$AH120),0),24)&amp;" giờ","")))),IF(OR($V120="Đã xử lý",N($B120)=0),"",IF((TDBC-$B120)*24&gt;$AH120,"Đã vượt ước tính","Đã dùng "&amp;TEXT((TDBC-$B120)*24/$AH120,"0%")))))</f>
      </c>
      <c r="AD120" s="223">
        <f>IF(N($AO120)=0,"",CHOOSE($AO120,"Nhắc nhở","Cảnh báo","Báo động","Báo động đỏ"))</f>
      </c>
      <c r="AE120" s="223">
        <f>IF(OR(N($AA120)=0,N($U120)=0),"",IF($AA120&lt;=$U120,"Đúng hạn","Trễ hạn"))</f>
      </c>
      <c r="AF120" s="220">
        <f>IF($A120="","",_xlfn.MAXIFS('Nhật ký tiến độ'!$B$6:$B$3005,'Nhật ký tiến độ'!$C$6:$C$3005,$A120))</f>
      </c>
      <c r="AG120" s="223">
        <f>IF($A120="","",IF(COUNTIF('Kế hoạch'!$M$6:$M$305,$A120)=0,"",COUNTIF('Kế hoạch'!$M$6:$M$305,$A120)&amp;" việc"))</f>
      </c>
      <c r="AH120" s="224">
        <f>IF(OR($A120="",N($O120)&lt;=0),"",IF($P120="Giờ",$O120,$O120*24))</f>
      </c>
      <c r="AI120" s="224">
        <f>IF(OR(N($AA120)=0,N($B120)=0),"",IF($AA120&lt;$B120,"",($AA120-$B120)*24))</f>
      </c>
      <c r="AJ120" s="225">
        <f>IF($A120="","",IF(COUNTIF('Nhật ký tiến độ'!$C$6:$C$3005,$A120)=0,0,_xlfn.MAXIFS('Nhật ký tiến độ'!$N$6:$N$3005,'Nhật ký tiến độ'!$C$6:$C$3005,$A120,'Nhật ký tiến độ'!$B$6:$B$3005,_xlfn.MAXIFS('Nhật ký tiến độ'!$B$6:$B$3005,'Nhật ký tiến độ'!$C$6:$C$3005,$A120))))</f>
      </c>
      <c r="AK120" s="225">
        <f>IF(OR($A120="",$V120="Đã xử lý"),"",IF(N($AO120)&gt;0,5-$AO120,IF($J120="Khẩn cấp",5,IF($Y120="Chậm tiến độ",6,IF(OR($Y120="Sắp đến hạn",$J120="Cao"),7,"")))))</f>
      </c>
      <c r="AL120" s="225">
        <f>IF($AK120="","",$AK120*100000+IF(N($U120)=0,99999,INT($U120))+ROW()/100000)</f>
      </c>
      <c r="AM120" s="225">
        <f>IF(OR($A120="",TRIM($K120)="",COUNTIF($K$6:$K120,$K120)&gt;1),0,1)</f>
      </c>
      <c r="AN120" s="225">
        <f>IF($AM120=1,SUM($AM$6:$AM120),"")</f>
      </c>
      <c r="AO120" s="225">
        <f>IF(OR($A120="",$V120="Đã xử lý",N($U120)=0),0,IF(TDBC&lt;=$U120,0,MAX(1,MIN(4,IF((TDBC-$U120)*24&lt;24,1,IF((TDBC-$U120)*24&lt;72,2,IF((TDBC-$U120)*24&lt;168,3,4)))+IFERROR(INDEX({2,1,0,-1},MATCH($J120,{"Khẩn cấp","Cao","Trung bình","Thấp"},0)),0)))))</f>
      </c>
    </row>
    <row r="121">
      <c r="A121" s="216"/>
      <c r="B121" s="217"/>
      <c r="C121" s="218"/>
      <c r="D121" s="218"/>
      <c r="E121" s="218"/>
      <c r="F121" s="218"/>
      <c r="G121" s="216"/>
      <c r="H121" s="218"/>
      <c r="I121" s="218"/>
      <c r="J121" s="216"/>
      <c r="K121" s="218"/>
      <c r="L121" s="218"/>
      <c r="M121" s="218"/>
      <c r="N121" s="218"/>
      <c r="O121" s="219"/>
      <c r="P121" s="216"/>
      <c r="Q121" s="217"/>
      <c r="R121" s="216"/>
      <c r="S121" s="218"/>
      <c r="T121" s="218"/>
      <c r="U121" s="220">
        <f>IF($A121="","",IF(N($Q121)&gt;0,IF(MOD($Q121,1)=0,$Q121+1-1/1440,$Q121),IF(N($B121)=0,"",$B121+IF(N($AH121)&gt;0,$AH121,IFERROR(INDEX(DM_SLA_Gio,MATCH($J121,DM_SLA_Cap,0)),168))/24)))</f>
      </c>
      <c r="V121" s="221">
        <f>IF($A121="","",IF(N($AJ121)=0,"Mới tiếp nhận",INDEX('Nhật ký tiến độ'!$E:$E,$AJ121)))</f>
      </c>
      <c r="W121" s="222">
        <f>IF($A121="","",IF($V121="Đã xử lý",1,IF(N($AJ121)=0,0,N(INDEX('Nhật ký tiến độ'!$D:$D,$AJ121)))))</f>
      </c>
      <c r="X121" s="222">
        <f>IF(OR($A121="",$V121="Đã xử lý",N($U121)=0,N($B121)=0),"",IF(TDBC&lt;=$B121,0,IF(TDBC&gt;=$U121,1,(TDBC-$B121)/($U121-$B121))))</f>
      </c>
      <c r="Y121" s="223">
        <f>IF($A121="","",IF($V121="Đã xử lý","Hoàn thành",IF(N($U121)=0,"Chưa đặt hạn",IF(TDBC&gt;$U121,"Quá hạn",IF(ROUND((N($X121)-$W121)*100,0)&gt;=20,"Chậm tiến độ",IF($U121-TDBC&lt;=1,"Sắp đến hạn","Đúng tiến độ"))))))</f>
      </c>
      <c r="Z121" s="223">
        <f>IF(OR($A121="",$V121="Đã xử lý",N($U121)=0),"",IF(TDBC&gt;$U121,"Quá "&amp;IF(((TDBC-$U121)*24)&lt;1,MAX(1,ROUND(((TDBC-$U121)*24)*60,0))&amp;" phút",IF(ROUND(((TDBC-$U121)*24),0)&lt;24,ROUND(((TDBC-$U121)*24),0)&amp;" giờ",INT(ROUND(((TDBC-$U121)*24),0)/24)&amp;" ngày"&amp;IF(MOD(ROUND(((TDBC-$U121)*24),0),24)&gt;0," "&amp;MOD(ROUND(((TDBC-$U121)*24),0),24)&amp;" giờ",""))),"Còn "&amp;IF((($U121-TDBC)*24)&lt;1,MAX(1,ROUND((($U121-TDBC)*24)*60,0))&amp;" phút",IF(ROUND((($U121-TDBC)*24),0)&lt;24,ROUND((($U121-TDBC)*24),0)&amp;" giờ",INT(ROUND((($U121-TDBC)*24),0)/24)&amp;" ngày"&amp;IF(MOD(ROUND((($U121-TDBC)*24),0),24)&gt;0," "&amp;MOD(ROUND((($U121-TDBC)*24),0),24)&amp;" giờ","")))))</f>
      </c>
      <c r="AA121" s="220">
        <f>IF($V121="Đã xử lý",_xlfn.MAXIFS('Nhật ký tiến độ'!$B$6:$B$3005,'Nhật ký tiến độ'!$C$6:$C$3005,$A121,'Nhật ký tiến độ'!$E$6:$E$3005,"Đã xử lý"),"")</f>
      </c>
      <c r="AB121" s="223">
        <f>IF($AI121="","",IF($AI121&lt;1,MAX(1,ROUND($AI121*60,0))&amp;" phút",IF(ROUND($AI121,0)&lt;24,ROUND($AI121,0)&amp;" giờ",INT(ROUND($AI121,0)/24)&amp;" ngày"&amp;IF(MOD(ROUND($AI121,0),24)&gt;0," "&amp;MOD(ROUND($AI121,0),24)&amp;" giờ",""))))</f>
      </c>
      <c r="AC121" s="223">
        <f>IF(OR($A121="",N($AH121)=0),"",IF($AI121&lt;&gt;"",IF($AI121&lt;=$AH121,"Trong ước tính","Vượt "&amp;IF(($AI121-$AH121)&lt;1,MAX(1,ROUND(($AI121-$AH121)*60,0))&amp;" phút",IF(ROUND(($AI121-$AH121),0)&lt;24,ROUND(($AI121-$AH121),0)&amp;" giờ",INT(ROUND(($AI121-$AH121),0)/24)&amp;" ngày"&amp;IF(MOD(ROUND(($AI121-$AH121),0),24)&gt;0," "&amp;MOD(ROUND(($AI121-$AH121),0),24)&amp;" giờ","")))),IF(OR($V121="Đã xử lý",N($B121)=0),"",IF((TDBC-$B121)*24&gt;$AH121,"Đã vượt ước tính","Đã dùng "&amp;TEXT((TDBC-$B121)*24/$AH121,"0%")))))</f>
      </c>
      <c r="AD121" s="223">
        <f>IF(N($AO121)=0,"",CHOOSE($AO121,"Nhắc nhở","Cảnh báo","Báo động","Báo động đỏ"))</f>
      </c>
      <c r="AE121" s="223">
        <f>IF(OR(N($AA121)=0,N($U121)=0),"",IF($AA121&lt;=$U121,"Đúng hạn","Trễ hạn"))</f>
      </c>
      <c r="AF121" s="220">
        <f>IF($A121="","",_xlfn.MAXIFS('Nhật ký tiến độ'!$B$6:$B$3005,'Nhật ký tiến độ'!$C$6:$C$3005,$A121))</f>
      </c>
      <c r="AG121" s="223">
        <f>IF($A121="","",IF(COUNTIF('Kế hoạch'!$M$6:$M$305,$A121)=0,"",COUNTIF('Kế hoạch'!$M$6:$M$305,$A121)&amp;" việc"))</f>
      </c>
      <c r="AH121" s="224">
        <f>IF(OR($A121="",N($O121)&lt;=0),"",IF($P121="Giờ",$O121,$O121*24))</f>
      </c>
      <c r="AI121" s="224">
        <f>IF(OR(N($AA121)=0,N($B121)=0),"",IF($AA121&lt;$B121,"",($AA121-$B121)*24))</f>
      </c>
      <c r="AJ121" s="225">
        <f>IF($A121="","",IF(COUNTIF('Nhật ký tiến độ'!$C$6:$C$3005,$A121)=0,0,_xlfn.MAXIFS('Nhật ký tiến độ'!$N$6:$N$3005,'Nhật ký tiến độ'!$C$6:$C$3005,$A121,'Nhật ký tiến độ'!$B$6:$B$3005,_xlfn.MAXIFS('Nhật ký tiến độ'!$B$6:$B$3005,'Nhật ký tiến độ'!$C$6:$C$3005,$A121))))</f>
      </c>
      <c r="AK121" s="225">
        <f>IF(OR($A121="",$V121="Đã xử lý"),"",IF(N($AO121)&gt;0,5-$AO121,IF($J121="Khẩn cấp",5,IF($Y121="Chậm tiến độ",6,IF(OR($Y121="Sắp đến hạn",$J121="Cao"),7,"")))))</f>
      </c>
      <c r="AL121" s="225">
        <f>IF($AK121="","",$AK121*100000+IF(N($U121)=0,99999,INT($U121))+ROW()/100000)</f>
      </c>
      <c r="AM121" s="225">
        <f>IF(OR($A121="",TRIM($K121)="",COUNTIF($K$6:$K121,$K121)&gt;1),0,1)</f>
      </c>
      <c r="AN121" s="225">
        <f>IF($AM121=1,SUM($AM$6:$AM121),"")</f>
      </c>
      <c r="AO121" s="225">
        <f>IF(OR($A121="",$V121="Đã xử lý",N($U121)=0),0,IF(TDBC&lt;=$U121,0,MAX(1,MIN(4,IF((TDBC-$U121)*24&lt;24,1,IF((TDBC-$U121)*24&lt;72,2,IF((TDBC-$U121)*24&lt;168,3,4)))+IFERROR(INDEX({2,1,0,-1},MATCH($J121,{"Khẩn cấp","Cao","Trung bình","Thấp"},0)),0)))))</f>
      </c>
    </row>
    <row r="122">
      <c r="A122" s="216"/>
      <c r="B122" s="217"/>
      <c r="C122" s="218"/>
      <c r="D122" s="218"/>
      <c r="E122" s="218"/>
      <c r="F122" s="218"/>
      <c r="G122" s="216"/>
      <c r="H122" s="218"/>
      <c r="I122" s="218"/>
      <c r="J122" s="216"/>
      <c r="K122" s="218"/>
      <c r="L122" s="218"/>
      <c r="M122" s="218"/>
      <c r="N122" s="218"/>
      <c r="O122" s="219"/>
      <c r="P122" s="216"/>
      <c r="Q122" s="217"/>
      <c r="R122" s="216"/>
      <c r="S122" s="218"/>
      <c r="T122" s="218"/>
      <c r="U122" s="220">
        <f>IF($A122="","",IF(N($Q122)&gt;0,IF(MOD($Q122,1)=0,$Q122+1-1/1440,$Q122),IF(N($B122)=0,"",$B122+IF(N($AH122)&gt;0,$AH122,IFERROR(INDEX(DM_SLA_Gio,MATCH($J122,DM_SLA_Cap,0)),168))/24)))</f>
      </c>
      <c r="V122" s="221">
        <f>IF($A122="","",IF(N($AJ122)=0,"Mới tiếp nhận",INDEX('Nhật ký tiến độ'!$E:$E,$AJ122)))</f>
      </c>
      <c r="W122" s="222">
        <f>IF($A122="","",IF($V122="Đã xử lý",1,IF(N($AJ122)=0,0,N(INDEX('Nhật ký tiến độ'!$D:$D,$AJ122)))))</f>
      </c>
      <c r="X122" s="222">
        <f>IF(OR($A122="",$V122="Đã xử lý",N($U122)=0,N($B122)=0),"",IF(TDBC&lt;=$B122,0,IF(TDBC&gt;=$U122,1,(TDBC-$B122)/($U122-$B122))))</f>
      </c>
      <c r="Y122" s="223">
        <f>IF($A122="","",IF($V122="Đã xử lý","Hoàn thành",IF(N($U122)=0,"Chưa đặt hạn",IF(TDBC&gt;$U122,"Quá hạn",IF(ROUND((N($X122)-$W122)*100,0)&gt;=20,"Chậm tiến độ",IF($U122-TDBC&lt;=1,"Sắp đến hạn","Đúng tiến độ"))))))</f>
      </c>
      <c r="Z122" s="223">
        <f>IF(OR($A122="",$V122="Đã xử lý",N($U122)=0),"",IF(TDBC&gt;$U122,"Quá "&amp;IF(((TDBC-$U122)*24)&lt;1,MAX(1,ROUND(((TDBC-$U122)*24)*60,0))&amp;" phút",IF(ROUND(((TDBC-$U122)*24),0)&lt;24,ROUND(((TDBC-$U122)*24),0)&amp;" giờ",INT(ROUND(((TDBC-$U122)*24),0)/24)&amp;" ngày"&amp;IF(MOD(ROUND(((TDBC-$U122)*24),0),24)&gt;0," "&amp;MOD(ROUND(((TDBC-$U122)*24),0),24)&amp;" giờ",""))),"Còn "&amp;IF((($U122-TDBC)*24)&lt;1,MAX(1,ROUND((($U122-TDBC)*24)*60,0))&amp;" phút",IF(ROUND((($U122-TDBC)*24),0)&lt;24,ROUND((($U122-TDBC)*24),0)&amp;" giờ",INT(ROUND((($U122-TDBC)*24),0)/24)&amp;" ngày"&amp;IF(MOD(ROUND((($U122-TDBC)*24),0),24)&gt;0," "&amp;MOD(ROUND((($U122-TDBC)*24),0),24)&amp;" giờ","")))))</f>
      </c>
      <c r="AA122" s="220">
        <f>IF($V122="Đã xử lý",_xlfn.MAXIFS('Nhật ký tiến độ'!$B$6:$B$3005,'Nhật ký tiến độ'!$C$6:$C$3005,$A122,'Nhật ký tiến độ'!$E$6:$E$3005,"Đã xử lý"),"")</f>
      </c>
      <c r="AB122" s="223">
        <f>IF($AI122="","",IF($AI122&lt;1,MAX(1,ROUND($AI122*60,0))&amp;" phút",IF(ROUND($AI122,0)&lt;24,ROUND($AI122,0)&amp;" giờ",INT(ROUND($AI122,0)/24)&amp;" ngày"&amp;IF(MOD(ROUND($AI122,0),24)&gt;0," "&amp;MOD(ROUND($AI122,0),24)&amp;" giờ",""))))</f>
      </c>
      <c r="AC122" s="223">
        <f>IF(OR($A122="",N($AH122)=0),"",IF($AI122&lt;&gt;"",IF($AI122&lt;=$AH122,"Trong ước tính","Vượt "&amp;IF(($AI122-$AH122)&lt;1,MAX(1,ROUND(($AI122-$AH122)*60,0))&amp;" phút",IF(ROUND(($AI122-$AH122),0)&lt;24,ROUND(($AI122-$AH122),0)&amp;" giờ",INT(ROUND(($AI122-$AH122),0)/24)&amp;" ngày"&amp;IF(MOD(ROUND(($AI122-$AH122),0),24)&gt;0," "&amp;MOD(ROUND(($AI122-$AH122),0),24)&amp;" giờ","")))),IF(OR($V122="Đã xử lý",N($B122)=0),"",IF((TDBC-$B122)*24&gt;$AH122,"Đã vượt ước tính","Đã dùng "&amp;TEXT((TDBC-$B122)*24/$AH122,"0%")))))</f>
      </c>
      <c r="AD122" s="223">
        <f>IF(N($AO122)=0,"",CHOOSE($AO122,"Nhắc nhở","Cảnh báo","Báo động","Báo động đỏ"))</f>
      </c>
      <c r="AE122" s="223">
        <f>IF(OR(N($AA122)=0,N($U122)=0),"",IF($AA122&lt;=$U122,"Đúng hạn","Trễ hạn"))</f>
      </c>
      <c r="AF122" s="220">
        <f>IF($A122="","",_xlfn.MAXIFS('Nhật ký tiến độ'!$B$6:$B$3005,'Nhật ký tiến độ'!$C$6:$C$3005,$A122))</f>
      </c>
      <c r="AG122" s="223">
        <f>IF($A122="","",IF(COUNTIF('Kế hoạch'!$M$6:$M$305,$A122)=0,"",COUNTIF('Kế hoạch'!$M$6:$M$305,$A122)&amp;" việc"))</f>
      </c>
      <c r="AH122" s="224">
        <f>IF(OR($A122="",N($O122)&lt;=0),"",IF($P122="Giờ",$O122,$O122*24))</f>
      </c>
      <c r="AI122" s="224">
        <f>IF(OR(N($AA122)=0,N($B122)=0),"",IF($AA122&lt;$B122,"",($AA122-$B122)*24))</f>
      </c>
      <c r="AJ122" s="225">
        <f>IF($A122="","",IF(COUNTIF('Nhật ký tiến độ'!$C$6:$C$3005,$A122)=0,0,_xlfn.MAXIFS('Nhật ký tiến độ'!$N$6:$N$3005,'Nhật ký tiến độ'!$C$6:$C$3005,$A122,'Nhật ký tiến độ'!$B$6:$B$3005,_xlfn.MAXIFS('Nhật ký tiến độ'!$B$6:$B$3005,'Nhật ký tiến độ'!$C$6:$C$3005,$A122))))</f>
      </c>
      <c r="AK122" s="225">
        <f>IF(OR($A122="",$V122="Đã xử lý"),"",IF(N($AO122)&gt;0,5-$AO122,IF($J122="Khẩn cấp",5,IF($Y122="Chậm tiến độ",6,IF(OR($Y122="Sắp đến hạn",$J122="Cao"),7,"")))))</f>
      </c>
      <c r="AL122" s="225">
        <f>IF($AK122="","",$AK122*100000+IF(N($U122)=0,99999,INT($U122))+ROW()/100000)</f>
      </c>
      <c r="AM122" s="225">
        <f>IF(OR($A122="",TRIM($K122)="",COUNTIF($K$6:$K122,$K122)&gt;1),0,1)</f>
      </c>
      <c r="AN122" s="225">
        <f>IF($AM122=1,SUM($AM$6:$AM122),"")</f>
      </c>
      <c r="AO122" s="225">
        <f>IF(OR($A122="",$V122="Đã xử lý",N($U122)=0),0,IF(TDBC&lt;=$U122,0,MAX(1,MIN(4,IF((TDBC-$U122)*24&lt;24,1,IF((TDBC-$U122)*24&lt;72,2,IF((TDBC-$U122)*24&lt;168,3,4)))+IFERROR(INDEX({2,1,0,-1},MATCH($J122,{"Khẩn cấp","Cao","Trung bình","Thấp"},0)),0)))))</f>
      </c>
    </row>
    <row r="123">
      <c r="A123" s="216"/>
      <c r="B123" s="217"/>
      <c r="C123" s="218"/>
      <c r="D123" s="218"/>
      <c r="E123" s="218"/>
      <c r="F123" s="218"/>
      <c r="G123" s="216"/>
      <c r="H123" s="218"/>
      <c r="I123" s="218"/>
      <c r="J123" s="216"/>
      <c r="K123" s="218"/>
      <c r="L123" s="218"/>
      <c r="M123" s="218"/>
      <c r="N123" s="218"/>
      <c r="O123" s="219"/>
      <c r="P123" s="216"/>
      <c r="Q123" s="217"/>
      <c r="R123" s="216"/>
      <c r="S123" s="218"/>
      <c r="T123" s="218"/>
      <c r="U123" s="220">
        <f>IF($A123="","",IF(N($Q123)&gt;0,IF(MOD($Q123,1)=0,$Q123+1-1/1440,$Q123),IF(N($B123)=0,"",$B123+IF(N($AH123)&gt;0,$AH123,IFERROR(INDEX(DM_SLA_Gio,MATCH($J123,DM_SLA_Cap,0)),168))/24)))</f>
      </c>
      <c r="V123" s="221">
        <f>IF($A123="","",IF(N($AJ123)=0,"Mới tiếp nhận",INDEX('Nhật ký tiến độ'!$E:$E,$AJ123)))</f>
      </c>
      <c r="W123" s="222">
        <f>IF($A123="","",IF($V123="Đã xử lý",1,IF(N($AJ123)=0,0,N(INDEX('Nhật ký tiến độ'!$D:$D,$AJ123)))))</f>
      </c>
      <c r="X123" s="222">
        <f>IF(OR($A123="",$V123="Đã xử lý",N($U123)=0,N($B123)=0),"",IF(TDBC&lt;=$B123,0,IF(TDBC&gt;=$U123,1,(TDBC-$B123)/($U123-$B123))))</f>
      </c>
      <c r="Y123" s="223">
        <f>IF($A123="","",IF($V123="Đã xử lý","Hoàn thành",IF(N($U123)=0,"Chưa đặt hạn",IF(TDBC&gt;$U123,"Quá hạn",IF(ROUND((N($X123)-$W123)*100,0)&gt;=20,"Chậm tiến độ",IF($U123-TDBC&lt;=1,"Sắp đến hạn","Đúng tiến độ"))))))</f>
      </c>
      <c r="Z123" s="223">
        <f>IF(OR($A123="",$V123="Đã xử lý",N($U123)=0),"",IF(TDBC&gt;$U123,"Quá "&amp;IF(((TDBC-$U123)*24)&lt;1,MAX(1,ROUND(((TDBC-$U123)*24)*60,0))&amp;" phút",IF(ROUND(((TDBC-$U123)*24),0)&lt;24,ROUND(((TDBC-$U123)*24),0)&amp;" giờ",INT(ROUND(((TDBC-$U123)*24),0)/24)&amp;" ngày"&amp;IF(MOD(ROUND(((TDBC-$U123)*24),0),24)&gt;0," "&amp;MOD(ROUND(((TDBC-$U123)*24),0),24)&amp;" giờ",""))),"Còn "&amp;IF((($U123-TDBC)*24)&lt;1,MAX(1,ROUND((($U123-TDBC)*24)*60,0))&amp;" phút",IF(ROUND((($U123-TDBC)*24),0)&lt;24,ROUND((($U123-TDBC)*24),0)&amp;" giờ",INT(ROUND((($U123-TDBC)*24),0)/24)&amp;" ngày"&amp;IF(MOD(ROUND((($U123-TDBC)*24),0),24)&gt;0," "&amp;MOD(ROUND((($U123-TDBC)*24),0),24)&amp;" giờ","")))))</f>
      </c>
      <c r="AA123" s="220">
        <f>IF($V123="Đã xử lý",_xlfn.MAXIFS('Nhật ký tiến độ'!$B$6:$B$3005,'Nhật ký tiến độ'!$C$6:$C$3005,$A123,'Nhật ký tiến độ'!$E$6:$E$3005,"Đã xử lý"),"")</f>
      </c>
      <c r="AB123" s="223">
        <f>IF($AI123="","",IF($AI123&lt;1,MAX(1,ROUND($AI123*60,0))&amp;" phút",IF(ROUND($AI123,0)&lt;24,ROUND($AI123,0)&amp;" giờ",INT(ROUND($AI123,0)/24)&amp;" ngày"&amp;IF(MOD(ROUND($AI123,0),24)&gt;0," "&amp;MOD(ROUND($AI123,0),24)&amp;" giờ",""))))</f>
      </c>
      <c r="AC123" s="223">
        <f>IF(OR($A123="",N($AH123)=0),"",IF($AI123&lt;&gt;"",IF($AI123&lt;=$AH123,"Trong ước tính","Vượt "&amp;IF(($AI123-$AH123)&lt;1,MAX(1,ROUND(($AI123-$AH123)*60,0))&amp;" phút",IF(ROUND(($AI123-$AH123),0)&lt;24,ROUND(($AI123-$AH123),0)&amp;" giờ",INT(ROUND(($AI123-$AH123),0)/24)&amp;" ngày"&amp;IF(MOD(ROUND(($AI123-$AH123),0),24)&gt;0," "&amp;MOD(ROUND(($AI123-$AH123),0),24)&amp;" giờ","")))),IF(OR($V123="Đã xử lý",N($B123)=0),"",IF((TDBC-$B123)*24&gt;$AH123,"Đã vượt ước tính","Đã dùng "&amp;TEXT((TDBC-$B123)*24/$AH123,"0%")))))</f>
      </c>
      <c r="AD123" s="223">
        <f>IF(N($AO123)=0,"",CHOOSE($AO123,"Nhắc nhở","Cảnh báo","Báo động","Báo động đỏ"))</f>
      </c>
      <c r="AE123" s="223">
        <f>IF(OR(N($AA123)=0,N($U123)=0),"",IF($AA123&lt;=$U123,"Đúng hạn","Trễ hạn"))</f>
      </c>
      <c r="AF123" s="220">
        <f>IF($A123="","",_xlfn.MAXIFS('Nhật ký tiến độ'!$B$6:$B$3005,'Nhật ký tiến độ'!$C$6:$C$3005,$A123))</f>
      </c>
      <c r="AG123" s="223">
        <f>IF($A123="","",IF(COUNTIF('Kế hoạch'!$M$6:$M$305,$A123)=0,"",COUNTIF('Kế hoạch'!$M$6:$M$305,$A123)&amp;" việc"))</f>
      </c>
      <c r="AH123" s="224">
        <f>IF(OR($A123="",N($O123)&lt;=0),"",IF($P123="Giờ",$O123,$O123*24))</f>
      </c>
      <c r="AI123" s="224">
        <f>IF(OR(N($AA123)=0,N($B123)=0),"",IF($AA123&lt;$B123,"",($AA123-$B123)*24))</f>
      </c>
      <c r="AJ123" s="225">
        <f>IF($A123="","",IF(COUNTIF('Nhật ký tiến độ'!$C$6:$C$3005,$A123)=0,0,_xlfn.MAXIFS('Nhật ký tiến độ'!$N$6:$N$3005,'Nhật ký tiến độ'!$C$6:$C$3005,$A123,'Nhật ký tiến độ'!$B$6:$B$3005,_xlfn.MAXIFS('Nhật ký tiến độ'!$B$6:$B$3005,'Nhật ký tiến độ'!$C$6:$C$3005,$A123))))</f>
      </c>
      <c r="AK123" s="225">
        <f>IF(OR($A123="",$V123="Đã xử lý"),"",IF(N($AO123)&gt;0,5-$AO123,IF($J123="Khẩn cấp",5,IF($Y123="Chậm tiến độ",6,IF(OR($Y123="Sắp đến hạn",$J123="Cao"),7,"")))))</f>
      </c>
      <c r="AL123" s="225">
        <f>IF($AK123="","",$AK123*100000+IF(N($U123)=0,99999,INT($U123))+ROW()/100000)</f>
      </c>
      <c r="AM123" s="225">
        <f>IF(OR($A123="",TRIM($K123)="",COUNTIF($K$6:$K123,$K123)&gt;1),0,1)</f>
      </c>
      <c r="AN123" s="225">
        <f>IF($AM123=1,SUM($AM$6:$AM123),"")</f>
      </c>
      <c r="AO123" s="225">
        <f>IF(OR($A123="",$V123="Đã xử lý",N($U123)=0),0,IF(TDBC&lt;=$U123,0,MAX(1,MIN(4,IF((TDBC-$U123)*24&lt;24,1,IF((TDBC-$U123)*24&lt;72,2,IF((TDBC-$U123)*24&lt;168,3,4)))+IFERROR(INDEX({2,1,0,-1},MATCH($J123,{"Khẩn cấp","Cao","Trung bình","Thấp"},0)),0)))))</f>
      </c>
    </row>
    <row r="124">
      <c r="A124" s="216"/>
      <c r="B124" s="217"/>
      <c r="C124" s="218"/>
      <c r="D124" s="218"/>
      <c r="E124" s="218"/>
      <c r="F124" s="218"/>
      <c r="G124" s="216"/>
      <c r="H124" s="218"/>
      <c r="I124" s="218"/>
      <c r="J124" s="216"/>
      <c r="K124" s="218"/>
      <c r="L124" s="218"/>
      <c r="M124" s="218"/>
      <c r="N124" s="218"/>
      <c r="O124" s="219"/>
      <c r="P124" s="216"/>
      <c r="Q124" s="217"/>
      <c r="R124" s="216"/>
      <c r="S124" s="218"/>
      <c r="T124" s="218"/>
      <c r="U124" s="220">
        <f>IF($A124="","",IF(N($Q124)&gt;0,IF(MOD($Q124,1)=0,$Q124+1-1/1440,$Q124),IF(N($B124)=0,"",$B124+IF(N($AH124)&gt;0,$AH124,IFERROR(INDEX(DM_SLA_Gio,MATCH($J124,DM_SLA_Cap,0)),168))/24)))</f>
      </c>
      <c r="V124" s="221">
        <f>IF($A124="","",IF(N($AJ124)=0,"Mới tiếp nhận",INDEX('Nhật ký tiến độ'!$E:$E,$AJ124)))</f>
      </c>
      <c r="W124" s="222">
        <f>IF($A124="","",IF($V124="Đã xử lý",1,IF(N($AJ124)=0,0,N(INDEX('Nhật ký tiến độ'!$D:$D,$AJ124)))))</f>
      </c>
      <c r="X124" s="222">
        <f>IF(OR($A124="",$V124="Đã xử lý",N($U124)=0,N($B124)=0),"",IF(TDBC&lt;=$B124,0,IF(TDBC&gt;=$U124,1,(TDBC-$B124)/($U124-$B124))))</f>
      </c>
      <c r="Y124" s="223">
        <f>IF($A124="","",IF($V124="Đã xử lý","Hoàn thành",IF(N($U124)=0,"Chưa đặt hạn",IF(TDBC&gt;$U124,"Quá hạn",IF(ROUND((N($X124)-$W124)*100,0)&gt;=20,"Chậm tiến độ",IF($U124-TDBC&lt;=1,"Sắp đến hạn","Đúng tiến độ"))))))</f>
      </c>
      <c r="Z124" s="223">
        <f>IF(OR($A124="",$V124="Đã xử lý",N($U124)=0),"",IF(TDBC&gt;$U124,"Quá "&amp;IF(((TDBC-$U124)*24)&lt;1,MAX(1,ROUND(((TDBC-$U124)*24)*60,0))&amp;" phút",IF(ROUND(((TDBC-$U124)*24),0)&lt;24,ROUND(((TDBC-$U124)*24),0)&amp;" giờ",INT(ROUND(((TDBC-$U124)*24),0)/24)&amp;" ngày"&amp;IF(MOD(ROUND(((TDBC-$U124)*24),0),24)&gt;0," "&amp;MOD(ROUND(((TDBC-$U124)*24),0),24)&amp;" giờ",""))),"Còn "&amp;IF((($U124-TDBC)*24)&lt;1,MAX(1,ROUND((($U124-TDBC)*24)*60,0))&amp;" phút",IF(ROUND((($U124-TDBC)*24),0)&lt;24,ROUND((($U124-TDBC)*24),0)&amp;" giờ",INT(ROUND((($U124-TDBC)*24),0)/24)&amp;" ngày"&amp;IF(MOD(ROUND((($U124-TDBC)*24),0),24)&gt;0," "&amp;MOD(ROUND((($U124-TDBC)*24),0),24)&amp;" giờ","")))))</f>
      </c>
      <c r="AA124" s="220">
        <f>IF($V124="Đã xử lý",_xlfn.MAXIFS('Nhật ký tiến độ'!$B$6:$B$3005,'Nhật ký tiến độ'!$C$6:$C$3005,$A124,'Nhật ký tiến độ'!$E$6:$E$3005,"Đã xử lý"),"")</f>
      </c>
      <c r="AB124" s="223">
        <f>IF($AI124="","",IF($AI124&lt;1,MAX(1,ROUND($AI124*60,0))&amp;" phút",IF(ROUND($AI124,0)&lt;24,ROUND($AI124,0)&amp;" giờ",INT(ROUND($AI124,0)/24)&amp;" ngày"&amp;IF(MOD(ROUND($AI124,0),24)&gt;0," "&amp;MOD(ROUND($AI124,0),24)&amp;" giờ",""))))</f>
      </c>
      <c r="AC124" s="223">
        <f>IF(OR($A124="",N($AH124)=0),"",IF($AI124&lt;&gt;"",IF($AI124&lt;=$AH124,"Trong ước tính","Vượt "&amp;IF(($AI124-$AH124)&lt;1,MAX(1,ROUND(($AI124-$AH124)*60,0))&amp;" phút",IF(ROUND(($AI124-$AH124),0)&lt;24,ROUND(($AI124-$AH124),0)&amp;" giờ",INT(ROUND(($AI124-$AH124),0)/24)&amp;" ngày"&amp;IF(MOD(ROUND(($AI124-$AH124),0),24)&gt;0," "&amp;MOD(ROUND(($AI124-$AH124),0),24)&amp;" giờ","")))),IF(OR($V124="Đã xử lý",N($B124)=0),"",IF((TDBC-$B124)*24&gt;$AH124,"Đã vượt ước tính","Đã dùng "&amp;TEXT((TDBC-$B124)*24/$AH124,"0%")))))</f>
      </c>
      <c r="AD124" s="223">
        <f>IF(N($AO124)=0,"",CHOOSE($AO124,"Nhắc nhở","Cảnh báo","Báo động","Báo động đỏ"))</f>
      </c>
      <c r="AE124" s="223">
        <f>IF(OR(N($AA124)=0,N($U124)=0),"",IF($AA124&lt;=$U124,"Đúng hạn","Trễ hạn"))</f>
      </c>
      <c r="AF124" s="220">
        <f>IF($A124="","",_xlfn.MAXIFS('Nhật ký tiến độ'!$B$6:$B$3005,'Nhật ký tiến độ'!$C$6:$C$3005,$A124))</f>
      </c>
      <c r="AG124" s="223">
        <f>IF($A124="","",IF(COUNTIF('Kế hoạch'!$M$6:$M$305,$A124)=0,"",COUNTIF('Kế hoạch'!$M$6:$M$305,$A124)&amp;" việc"))</f>
      </c>
      <c r="AH124" s="224">
        <f>IF(OR($A124="",N($O124)&lt;=0),"",IF($P124="Giờ",$O124,$O124*24))</f>
      </c>
      <c r="AI124" s="224">
        <f>IF(OR(N($AA124)=0,N($B124)=0),"",IF($AA124&lt;$B124,"",($AA124-$B124)*24))</f>
      </c>
      <c r="AJ124" s="225">
        <f>IF($A124="","",IF(COUNTIF('Nhật ký tiến độ'!$C$6:$C$3005,$A124)=0,0,_xlfn.MAXIFS('Nhật ký tiến độ'!$N$6:$N$3005,'Nhật ký tiến độ'!$C$6:$C$3005,$A124,'Nhật ký tiến độ'!$B$6:$B$3005,_xlfn.MAXIFS('Nhật ký tiến độ'!$B$6:$B$3005,'Nhật ký tiến độ'!$C$6:$C$3005,$A124))))</f>
      </c>
      <c r="AK124" s="225">
        <f>IF(OR($A124="",$V124="Đã xử lý"),"",IF(N($AO124)&gt;0,5-$AO124,IF($J124="Khẩn cấp",5,IF($Y124="Chậm tiến độ",6,IF(OR($Y124="Sắp đến hạn",$J124="Cao"),7,"")))))</f>
      </c>
      <c r="AL124" s="225">
        <f>IF($AK124="","",$AK124*100000+IF(N($U124)=0,99999,INT($U124))+ROW()/100000)</f>
      </c>
      <c r="AM124" s="225">
        <f>IF(OR($A124="",TRIM($K124)="",COUNTIF($K$6:$K124,$K124)&gt;1),0,1)</f>
      </c>
      <c r="AN124" s="225">
        <f>IF($AM124=1,SUM($AM$6:$AM124),"")</f>
      </c>
      <c r="AO124" s="225">
        <f>IF(OR($A124="",$V124="Đã xử lý",N($U124)=0),0,IF(TDBC&lt;=$U124,0,MAX(1,MIN(4,IF((TDBC-$U124)*24&lt;24,1,IF((TDBC-$U124)*24&lt;72,2,IF((TDBC-$U124)*24&lt;168,3,4)))+IFERROR(INDEX({2,1,0,-1},MATCH($J124,{"Khẩn cấp","Cao","Trung bình","Thấp"},0)),0)))))</f>
      </c>
    </row>
    <row r="125">
      <c r="A125" s="216"/>
      <c r="B125" s="217"/>
      <c r="C125" s="218"/>
      <c r="D125" s="218"/>
      <c r="E125" s="218"/>
      <c r="F125" s="218"/>
      <c r="G125" s="216"/>
      <c r="H125" s="218"/>
      <c r="I125" s="218"/>
      <c r="J125" s="216"/>
      <c r="K125" s="218"/>
      <c r="L125" s="218"/>
      <c r="M125" s="218"/>
      <c r="N125" s="218"/>
      <c r="O125" s="219"/>
      <c r="P125" s="216"/>
      <c r="Q125" s="217"/>
      <c r="R125" s="216"/>
      <c r="S125" s="218"/>
      <c r="T125" s="218"/>
      <c r="U125" s="220">
        <f>IF($A125="","",IF(N($Q125)&gt;0,IF(MOD($Q125,1)=0,$Q125+1-1/1440,$Q125),IF(N($B125)=0,"",$B125+IF(N($AH125)&gt;0,$AH125,IFERROR(INDEX(DM_SLA_Gio,MATCH($J125,DM_SLA_Cap,0)),168))/24)))</f>
      </c>
      <c r="V125" s="221">
        <f>IF($A125="","",IF(N($AJ125)=0,"Mới tiếp nhận",INDEX('Nhật ký tiến độ'!$E:$E,$AJ125)))</f>
      </c>
      <c r="W125" s="222">
        <f>IF($A125="","",IF($V125="Đã xử lý",1,IF(N($AJ125)=0,0,N(INDEX('Nhật ký tiến độ'!$D:$D,$AJ125)))))</f>
      </c>
      <c r="X125" s="222">
        <f>IF(OR($A125="",$V125="Đã xử lý",N($U125)=0,N($B125)=0),"",IF(TDBC&lt;=$B125,0,IF(TDBC&gt;=$U125,1,(TDBC-$B125)/($U125-$B125))))</f>
      </c>
      <c r="Y125" s="223">
        <f>IF($A125="","",IF($V125="Đã xử lý","Hoàn thành",IF(N($U125)=0,"Chưa đặt hạn",IF(TDBC&gt;$U125,"Quá hạn",IF(ROUND((N($X125)-$W125)*100,0)&gt;=20,"Chậm tiến độ",IF($U125-TDBC&lt;=1,"Sắp đến hạn","Đúng tiến độ"))))))</f>
      </c>
      <c r="Z125" s="223">
        <f>IF(OR($A125="",$V125="Đã xử lý",N($U125)=0),"",IF(TDBC&gt;$U125,"Quá "&amp;IF(((TDBC-$U125)*24)&lt;1,MAX(1,ROUND(((TDBC-$U125)*24)*60,0))&amp;" phút",IF(ROUND(((TDBC-$U125)*24),0)&lt;24,ROUND(((TDBC-$U125)*24),0)&amp;" giờ",INT(ROUND(((TDBC-$U125)*24),0)/24)&amp;" ngày"&amp;IF(MOD(ROUND(((TDBC-$U125)*24),0),24)&gt;0," "&amp;MOD(ROUND(((TDBC-$U125)*24),0),24)&amp;" giờ",""))),"Còn "&amp;IF((($U125-TDBC)*24)&lt;1,MAX(1,ROUND((($U125-TDBC)*24)*60,0))&amp;" phút",IF(ROUND((($U125-TDBC)*24),0)&lt;24,ROUND((($U125-TDBC)*24),0)&amp;" giờ",INT(ROUND((($U125-TDBC)*24),0)/24)&amp;" ngày"&amp;IF(MOD(ROUND((($U125-TDBC)*24),0),24)&gt;0," "&amp;MOD(ROUND((($U125-TDBC)*24),0),24)&amp;" giờ","")))))</f>
      </c>
      <c r="AA125" s="220">
        <f>IF($V125="Đã xử lý",_xlfn.MAXIFS('Nhật ký tiến độ'!$B$6:$B$3005,'Nhật ký tiến độ'!$C$6:$C$3005,$A125,'Nhật ký tiến độ'!$E$6:$E$3005,"Đã xử lý"),"")</f>
      </c>
      <c r="AB125" s="223">
        <f>IF($AI125="","",IF($AI125&lt;1,MAX(1,ROUND($AI125*60,0))&amp;" phút",IF(ROUND($AI125,0)&lt;24,ROUND($AI125,0)&amp;" giờ",INT(ROUND($AI125,0)/24)&amp;" ngày"&amp;IF(MOD(ROUND($AI125,0),24)&gt;0," "&amp;MOD(ROUND($AI125,0),24)&amp;" giờ",""))))</f>
      </c>
      <c r="AC125" s="223">
        <f>IF(OR($A125="",N($AH125)=0),"",IF($AI125&lt;&gt;"",IF($AI125&lt;=$AH125,"Trong ước tính","Vượt "&amp;IF(($AI125-$AH125)&lt;1,MAX(1,ROUND(($AI125-$AH125)*60,0))&amp;" phút",IF(ROUND(($AI125-$AH125),0)&lt;24,ROUND(($AI125-$AH125),0)&amp;" giờ",INT(ROUND(($AI125-$AH125),0)/24)&amp;" ngày"&amp;IF(MOD(ROUND(($AI125-$AH125),0),24)&gt;0," "&amp;MOD(ROUND(($AI125-$AH125),0),24)&amp;" giờ","")))),IF(OR($V125="Đã xử lý",N($B125)=0),"",IF((TDBC-$B125)*24&gt;$AH125,"Đã vượt ước tính","Đã dùng "&amp;TEXT((TDBC-$B125)*24/$AH125,"0%")))))</f>
      </c>
      <c r="AD125" s="223">
        <f>IF(N($AO125)=0,"",CHOOSE($AO125,"Nhắc nhở","Cảnh báo","Báo động","Báo động đỏ"))</f>
      </c>
      <c r="AE125" s="223">
        <f>IF(OR(N($AA125)=0,N($U125)=0),"",IF($AA125&lt;=$U125,"Đúng hạn","Trễ hạn"))</f>
      </c>
      <c r="AF125" s="220">
        <f>IF($A125="","",_xlfn.MAXIFS('Nhật ký tiến độ'!$B$6:$B$3005,'Nhật ký tiến độ'!$C$6:$C$3005,$A125))</f>
      </c>
      <c r="AG125" s="223">
        <f>IF($A125="","",IF(COUNTIF('Kế hoạch'!$M$6:$M$305,$A125)=0,"",COUNTIF('Kế hoạch'!$M$6:$M$305,$A125)&amp;" việc"))</f>
      </c>
      <c r="AH125" s="224">
        <f>IF(OR($A125="",N($O125)&lt;=0),"",IF($P125="Giờ",$O125,$O125*24))</f>
      </c>
      <c r="AI125" s="224">
        <f>IF(OR(N($AA125)=0,N($B125)=0),"",IF($AA125&lt;$B125,"",($AA125-$B125)*24))</f>
      </c>
      <c r="AJ125" s="225">
        <f>IF($A125="","",IF(COUNTIF('Nhật ký tiến độ'!$C$6:$C$3005,$A125)=0,0,_xlfn.MAXIFS('Nhật ký tiến độ'!$N$6:$N$3005,'Nhật ký tiến độ'!$C$6:$C$3005,$A125,'Nhật ký tiến độ'!$B$6:$B$3005,_xlfn.MAXIFS('Nhật ký tiến độ'!$B$6:$B$3005,'Nhật ký tiến độ'!$C$6:$C$3005,$A125))))</f>
      </c>
      <c r="AK125" s="225">
        <f>IF(OR($A125="",$V125="Đã xử lý"),"",IF(N($AO125)&gt;0,5-$AO125,IF($J125="Khẩn cấp",5,IF($Y125="Chậm tiến độ",6,IF(OR($Y125="Sắp đến hạn",$J125="Cao"),7,"")))))</f>
      </c>
      <c r="AL125" s="225">
        <f>IF($AK125="","",$AK125*100000+IF(N($U125)=0,99999,INT($U125))+ROW()/100000)</f>
      </c>
      <c r="AM125" s="225">
        <f>IF(OR($A125="",TRIM($K125)="",COUNTIF($K$6:$K125,$K125)&gt;1),0,1)</f>
      </c>
      <c r="AN125" s="225">
        <f>IF($AM125=1,SUM($AM$6:$AM125),"")</f>
      </c>
      <c r="AO125" s="225">
        <f>IF(OR($A125="",$V125="Đã xử lý",N($U125)=0),0,IF(TDBC&lt;=$U125,0,MAX(1,MIN(4,IF((TDBC-$U125)*24&lt;24,1,IF((TDBC-$U125)*24&lt;72,2,IF((TDBC-$U125)*24&lt;168,3,4)))+IFERROR(INDEX({2,1,0,-1},MATCH($J125,{"Khẩn cấp","Cao","Trung bình","Thấp"},0)),0)))))</f>
      </c>
    </row>
    <row r="126">
      <c r="A126" s="216"/>
      <c r="B126" s="217"/>
      <c r="C126" s="218"/>
      <c r="D126" s="218"/>
      <c r="E126" s="218"/>
      <c r="F126" s="218"/>
      <c r="G126" s="216"/>
      <c r="H126" s="218"/>
      <c r="I126" s="218"/>
      <c r="J126" s="216"/>
      <c r="K126" s="218"/>
      <c r="L126" s="218"/>
      <c r="M126" s="218"/>
      <c r="N126" s="218"/>
      <c r="O126" s="219"/>
      <c r="P126" s="216"/>
      <c r="Q126" s="217"/>
      <c r="R126" s="216"/>
      <c r="S126" s="218"/>
      <c r="T126" s="218"/>
      <c r="U126" s="220">
        <f>IF($A126="","",IF(N($Q126)&gt;0,IF(MOD($Q126,1)=0,$Q126+1-1/1440,$Q126),IF(N($B126)=0,"",$B126+IF(N($AH126)&gt;0,$AH126,IFERROR(INDEX(DM_SLA_Gio,MATCH($J126,DM_SLA_Cap,0)),168))/24)))</f>
      </c>
      <c r="V126" s="221">
        <f>IF($A126="","",IF(N($AJ126)=0,"Mới tiếp nhận",INDEX('Nhật ký tiến độ'!$E:$E,$AJ126)))</f>
      </c>
      <c r="W126" s="222">
        <f>IF($A126="","",IF($V126="Đã xử lý",1,IF(N($AJ126)=0,0,N(INDEX('Nhật ký tiến độ'!$D:$D,$AJ126)))))</f>
      </c>
      <c r="X126" s="222">
        <f>IF(OR($A126="",$V126="Đã xử lý",N($U126)=0,N($B126)=0),"",IF(TDBC&lt;=$B126,0,IF(TDBC&gt;=$U126,1,(TDBC-$B126)/($U126-$B126))))</f>
      </c>
      <c r="Y126" s="223">
        <f>IF($A126="","",IF($V126="Đã xử lý","Hoàn thành",IF(N($U126)=0,"Chưa đặt hạn",IF(TDBC&gt;$U126,"Quá hạn",IF(ROUND((N($X126)-$W126)*100,0)&gt;=20,"Chậm tiến độ",IF($U126-TDBC&lt;=1,"Sắp đến hạn","Đúng tiến độ"))))))</f>
      </c>
      <c r="Z126" s="223">
        <f>IF(OR($A126="",$V126="Đã xử lý",N($U126)=0),"",IF(TDBC&gt;$U126,"Quá "&amp;IF(((TDBC-$U126)*24)&lt;1,MAX(1,ROUND(((TDBC-$U126)*24)*60,0))&amp;" phút",IF(ROUND(((TDBC-$U126)*24),0)&lt;24,ROUND(((TDBC-$U126)*24),0)&amp;" giờ",INT(ROUND(((TDBC-$U126)*24),0)/24)&amp;" ngày"&amp;IF(MOD(ROUND(((TDBC-$U126)*24),0),24)&gt;0," "&amp;MOD(ROUND(((TDBC-$U126)*24),0),24)&amp;" giờ",""))),"Còn "&amp;IF((($U126-TDBC)*24)&lt;1,MAX(1,ROUND((($U126-TDBC)*24)*60,0))&amp;" phút",IF(ROUND((($U126-TDBC)*24),0)&lt;24,ROUND((($U126-TDBC)*24),0)&amp;" giờ",INT(ROUND((($U126-TDBC)*24),0)/24)&amp;" ngày"&amp;IF(MOD(ROUND((($U126-TDBC)*24),0),24)&gt;0," "&amp;MOD(ROUND((($U126-TDBC)*24),0),24)&amp;" giờ","")))))</f>
      </c>
      <c r="AA126" s="220">
        <f>IF($V126="Đã xử lý",_xlfn.MAXIFS('Nhật ký tiến độ'!$B$6:$B$3005,'Nhật ký tiến độ'!$C$6:$C$3005,$A126,'Nhật ký tiến độ'!$E$6:$E$3005,"Đã xử lý"),"")</f>
      </c>
      <c r="AB126" s="223">
        <f>IF($AI126="","",IF($AI126&lt;1,MAX(1,ROUND($AI126*60,0))&amp;" phút",IF(ROUND($AI126,0)&lt;24,ROUND($AI126,0)&amp;" giờ",INT(ROUND($AI126,0)/24)&amp;" ngày"&amp;IF(MOD(ROUND($AI126,0),24)&gt;0," "&amp;MOD(ROUND($AI126,0),24)&amp;" giờ",""))))</f>
      </c>
      <c r="AC126" s="223">
        <f>IF(OR($A126="",N($AH126)=0),"",IF($AI126&lt;&gt;"",IF($AI126&lt;=$AH126,"Trong ước tính","Vượt "&amp;IF(($AI126-$AH126)&lt;1,MAX(1,ROUND(($AI126-$AH126)*60,0))&amp;" phút",IF(ROUND(($AI126-$AH126),0)&lt;24,ROUND(($AI126-$AH126),0)&amp;" giờ",INT(ROUND(($AI126-$AH126),0)/24)&amp;" ngày"&amp;IF(MOD(ROUND(($AI126-$AH126),0),24)&gt;0," "&amp;MOD(ROUND(($AI126-$AH126),0),24)&amp;" giờ","")))),IF(OR($V126="Đã xử lý",N($B126)=0),"",IF((TDBC-$B126)*24&gt;$AH126,"Đã vượt ước tính","Đã dùng "&amp;TEXT((TDBC-$B126)*24/$AH126,"0%")))))</f>
      </c>
      <c r="AD126" s="223">
        <f>IF(N($AO126)=0,"",CHOOSE($AO126,"Nhắc nhở","Cảnh báo","Báo động","Báo động đỏ"))</f>
      </c>
      <c r="AE126" s="223">
        <f>IF(OR(N($AA126)=0,N($U126)=0),"",IF($AA126&lt;=$U126,"Đúng hạn","Trễ hạn"))</f>
      </c>
      <c r="AF126" s="220">
        <f>IF($A126="","",_xlfn.MAXIFS('Nhật ký tiến độ'!$B$6:$B$3005,'Nhật ký tiến độ'!$C$6:$C$3005,$A126))</f>
      </c>
      <c r="AG126" s="223">
        <f>IF($A126="","",IF(COUNTIF('Kế hoạch'!$M$6:$M$305,$A126)=0,"",COUNTIF('Kế hoạch'!$M$6:$M$305,$A126)&amp;" việc"))</f>
      </c>
      <c r="AH126" s="224">
        <f>IF(OR($A126="",N($O126)&lt;=0),"",IF($P126="Giờ",$O126,$O126*24))</f>
      </c>
      <c r="AI126" s="224">
        <f>IF(OR(N($AA126)=0,N($B126)=0),"",IF($AA126&lt;$B126,"",($AA126-$B126)*24))</f>
      </c>
      <c r="AJ126" s="225">
        <f>IF($A126="","",IF(COUNTIF('Nhật ký tiến độ'!$C$6:$C$3005,$A126)=0,0,_xlfn.MAXIFS('Nhật ký tiến độ'!$N$6:$N$3005,'Nhật ký tiến độ'!$C$6:$C$3005,$A126,'Nhật ký tiến độ'!$B$6:$B$3005,_xlfn.MAXIFS('Nhật ký tiến độ'!$B$6:$B$3005,'Nhật ký tiến độ'!$C$6:$C$3005,$A126))))</f>
      </c>
      <c r="AK126" s="225">
        <f>IF(OR($A126="",$V126="Đã xử lý"),"",IF(N($AO126)&gt;0,5-$AO126,IF($J126="Khẩn cấp",5,IF($Y126="Chậm tiến độ",6,IF(OR($Y126="Sắp đến hạn",$J126="Cao"),7,"")))))</f>
      </c>
      <c r="AL126" s="225">
        <f>IF($AK126="","",$AK126*100000+IF(N($U126)=0,99999,INT($U126))+ROW()/100000)</f>
      </c>
      <c r="AM126" s="225">
        <f>IF(OR($A126="",TRIM($K126)="",COUNTIF($K$6:$K126,$K126)&gt;1),0,1)</f>
      </c>
      <c r="AN126" s="225">
        <f>IF($AM126=1,SUM($AM$6:$AM126),"")</f>
      </c>
      <c r="AO126" s="225">
        <f>IF(OR($A126="",$V126="Đã xử lý",N($U126)=0),0,IF(TDBC&lt;=$U126,0,MAX(1,MIN(4,IF((TDBC-$U126)*24&lt;24,1,IF((TDBC-$U126)*24&lt;72,2,IF((TDBC-$U126)*24&lt;168,3,4)))+IFERROR(INDEX({2,1,0,-1},MATCH($J126,{"Khẩn cấp","Cao","Trung bình","Thấp"},0)),0)))))</f>
      </c>
    </row>
    <row r="127">
      <c r="A127" s="216"/>
      <c r="B127" s="217"/>
      <c r="C127" s="218"/>
      <c r="D127" s="218"/>
      <c r="E127" s="218"/>
      <c r="F127" s="218"/>
      <c r="G127" s="216"/>
      <c r="H127" s="218"/>
      <c r="I127" s="218"/>
      <c r="J127" s="216"/>
      <c r="K127" s="218"/>
      <c r="L127" s="218"/>
      <c r="M127" s="218"/>
      <c r="N127" s="218"/>
      <c r="O127" s="219"/>
      <c r="P127" s="216"/>
      <c r="Q127" s="217"/>
      <c r="R127" s="216"/>
      <c r="S127" s="218"/>
      <c r="T127" s="218"/>
      <c r="U127" s="220">
        <f>IF($A127="","",IF(N($Q127)&gt;0,IF(MOD($Q127,1)=0,$Q127+1-1/1440,$Q127),IF(N($B127)=0,"",$B127+IF(N($AH127)&gt;0,$AH127,IFERROR(INDEX(DM_SLA_Gio,MATCH($J127,DM_SLA_Cap,0)),168))/24)))</f>
      </c>
      <c r="V127" s="221">
        <f>IF($A127="","",IF(N($AJ127)=0,"Mới tiếp nhận",INDEX('Nhật ký tiến độ'!$E:$E,$AJ127)))</f>
      </c>
      <c r="W127" s="222">
        <f>IF($A127="","",IF($V127="Đã xử lý",1,IF(N($AJ127)=0,0,N(INDEX('Nhật ký tiến độ'!$D:$D,$AJ127)))))</f>
      </c>
      <c r="X127" s="222">
        <f>IF(OR($A127="",$V127="Đã xử lý",N($U127)=0,N($B127)=0),"",IF(TDBC&lt;=$B127,0,IF(TDBC&gt;=$U127,1,(TDBC-$B127)/($U127-$B127))))</f>
      </c>
      <c r="Y127" s="223">
        <f>IF($A127="","",IF($V127="Đã xử lý","Hoàn thành",IF(N($U127)=0,"Chưa đặt hạn",IF(TDBC&gt;$U127,"Quá hạn",IF(ROUND((N($X127)-$W127)*100,0)&gt;=20,"Chậm tiến độ",IF($U127-TDBC&lt;=1,"Sắp đến hạn","Đúng tiến độ"))))))</f>
      </c>
      <c r="Z127" s="223">
        <f>IF(OR($A127="",$V127="Đã xử lý",N($U127)=0),"",IF(TDBC&gt;$U127,"Quá "&amp;IF(((TDBC-$U127)*24)&lt;1,MAX(1,ROUND(((TDBC-$U127)*24)*60,0))&amp;" phút",IF(ROUND(((TDBC-$U127)*24),0)&lt;24,ROUND(((TDBC-$U127)*24),0)&amp;" giờ",INT(ROUND(((TDBC-$U127)*24),0)/24)&amp;" ngày"&amp;IF(MOD(ROUND(((TDBC-$U127)*24),0),24)&gt;0," "&amp;MOD(ROUND(((TDBC-$U127)*24),0),24)&amp;" giờ",""))),"Còn "&amp;IF((($U127-TDBC)*24)&lt;1,MAX(1,ROUND((($U127-TDBC)*24)*60,0))&amp;" phút",IF(ROUND((($U127-TDBC)*24),0)&lt;24,ROUND((($U127-TDBC)*24),0)&amp;" giờ",INT(ROUND((($U127-TDBC)*24),0)/24)&amp;" ngày"&amp;IF(MOD(ROUND((($U127-TDBC)*24),0),24)&gt;0," "&amp;MOD(ROUND((($U127-TDBC)*24),0),24)&amp;" giờ","")))))</f>
      </c>
      <c r="AA127" s="220">
        <f>IF($V127="Đã xử lý",_xlfn.MAXIFS('Nhật ký tiến độ'!$B$6:$B$3005,'Nhật ký tiến độ'!$C$6:$C$3005,$A127,'Nhật ký tiến độ'!$E$6:$E$3005,"Đã xử lý"),"")</f>
      </c>
      <c r="AB127" s="223">
        <f>IF($AI127="","",IF($AI127&lt;1,MAX(1,ROUND($AI127*60,0))&amp;" phút",IF(ROUND($AI127,0)&lt;24,ROUND($AI127,0)&amp;" giờ",INT(ROUND($AI127,0)/24)&amp;" ngày"&amp;IF(MOD(ROUND($AI127,0),24)&gt;0," "&amp;MOD(ROUND($AI127,0),24)&amp;" giờ",""))))</f>
      </c>
      <c r="AC127" s="223">
        <f>IF(OR($A127="",N($AH127)=0),"",IF($AI127&lt;&gt;"",IF($AI127&lt;=$AH127,"Trong ước tính","Vượt "&amp;IF(($AI127-$AH127)&lt;1,MAX(1,ROUND(($AI127-$AH127)*60,0))&amp;" phút",IF(ROUND(($AI127-$AH127),0)&lt;24,ROUND(($AI127-$AH127),0)&amp;" giờ",INT(ROUND(($AI127-$AH127),0)/24)&amp;" ngày"&amp;IF(MOD(ROUND(($AI127-$AH127),0),24)&gt;0," "&amp;MOD(ROUND(($AI127-$AH127),0),24)&amp;" giờ","")))),IF(OR($V127="Đã xử lý",N($B127)=0),"",IF((TDBC-$B127)*24&gt;$AH127,"Đã vượt ước tính","Đã dùng "&amp;TEXT((TDBC-$B127)*24/$AH127,"0%")))))</f>
      </c>
      <c r="AD127" s="223">
        <f>IF(N($AO127)=0,"",CHOOSE($AO127,"Nhắc nhở","Cảnh báo","Báo động","Báo động đỏ"))</f>
      </c>
      <c r="AE127" s="223">
        <f>IF(OR(N($AA127)=0,N($U127)=0),"",IF($AA127&lt;=$U127,"Đúng hạn","Trễ hạn"))</f>
      </c>
      <c r="AF127" s="220">
        <f>IF($A127="","",_xlfn.MAXIFS('Nhật ký tiến độ'!$B$6:$B$3005,'Nhật ký tiến độ'!$C$6:$C$3005,$A127))</f>
      </c>
      <c r="AG127" s="223">
        <f>IF($A127="","",IF(COUNTIF('Kế hoạch'!$M$6:$M$305,$A127)=0,"",COUNTIF('Kế hoạch'!$M$6:$M$305,$A127)&amp;" việc"))</f>
      </c>
      <c r="AH127" s="224">
        <f>IF(OR($A127="",N($O127)&lt;=0),"",IF($P127="Giờ",$O127,$O127*24))</f>
      </c>
      <c r="AI127" s="224">
        <f>IF(OR(N($AA127)=0,N($B127)=0),"",IF($AA127&lt;$B127,"",($AA127-$B127)*24))</f>
      </c>
      <c r="AJ127" s="225">
        <f>IF($A127="","",IF(COUNTIF('Nhật ký tiến độ'!$C$6:$C$3005,$A127)=0,0,_xlfn.MAXIFS('Nhật ký tiến độ'!$N$6:$N$3005,'Nhật ký tiến độ'!$C$6:$C$3005,$A127,'Nhật ký tiến độ'!$B$6:$B$3005,_xlfn.MAXIFS('Nhật ký tiến độ'!$B$6:$B$3005,'Nhật ký tiến độ'!$C$6:$C$3005,$A127))))</f>
      </c>
      <c r="AK127" s="225">
        <f>IF(OR($A127="",$V127="Đã xử lý"),"",IF(N($AO127)&gt;0,5-$AO127,IF($J127="Khẩn cấp",5,IF($Y127="Chậm tiến độ",6,IF(OR($Y127="Sắp đến hạn",$J127="Cao"),7,"")))))</f>
      </c>
      <c r="AL127" s="225">
        <f>IF($AK127="","",$AK127*100000+IF(N($U127)=0,99999,INT($U127))+ROW()/100000)</f>
      </c>
      <c r="AM127" s="225">
        <f>IF(OR($A127="",TRIM($K127)="",COUNTIF($K$6:$K127,$K127)&gt;1),0,1)</f>
      </c>
      <c r="AN127" s="225">
        <f>IF($AM127=1,SUM($AM$6:$AM127),"")</f>
      </c>
      <c r="AO127" s="225">
        <f>IF(OR($A127="",$V127="Đã xử lý",N($U127)=0),0,IF(TDBC&lt;=$U127,0,MAX(1,MIN(4,IF((TDBC-$U127)*24&lt;24,1,IF((TDBC-$U127)*24&lt;72,2,IF((TDBC-$U127)*24&lt;168,3,4)))+IFERROR(INDEX({2,1,0,-1},MATCH($J127,{"Khẩn cấp","Cao","Trung bình","Thấp"},0)),0)))))</f>
      </c>
    </row>
    <row r="128">
      <c r="A128" s="216"/>
      <c r="B128" s="217"/>
      <c r="C128" s="218"/>
      <c r="D128" s="218"/>
      <c r="E128" s="218"/>
      <c r="F128" s="218"/>
      <c r="G128" s="216"/>
      <c r="H128" s="218"/>
      <c r="I128" s="218"/>
      <c r="J128" s="216"/>
      <c r="K128" s="218"/>
      <c r="L128" s="218"/>
      <c r="M128" s="218"/>
      <c r="N128" s="218"/>
      <c r="O128" s="219"/>
      <c r="P128" s="216"/>
      <c r="Q128" s="217"/>
      <c r="R128" s="216"/>
      <c r="S128" s="218"/>
      <c r="T128" s="218"/>
      <c r="U128" s="220">
        <f>IF($A128="","",IF(N($Q128)&gt;0,IF(MOD($Q128,1)=0,$Q128+1-1/1440,$Q128),IF(N($B128)=0,"",$B128+IF(N($AH128)&gt;0,$AH128,IFERROR(INDEX(DM_SLA_Gio,MATCH($J128,DM_SLA_Cap,0)),168))/24)))</f>
      </c>
      <c r="V128" s="221">
        <f>IF($A128="","",IF(N($AJ128)=0,"Mới tiếp nhận",INDEX('Nhật ký tiến độ'!$E:$E,$AJ128)))</f>
      </c>
      <c r="W128" s="222">
        <f>IF($A128="","",IF($V128="Đã xử lý",1,IF(N($AJ128)=0,0,N(INDEX('Nhật ký tiến độ'!$D:$D,$AJ128)))))</f>
      </c>
      <c r="X128" s="222">
        <f>IF(OR($A128="",$V128="Đã xử lý",N($U128)=0,N($B128)=0),"",IF(TDBC&lt;=$B128,0,IF(TDBC&gt;=$U128,1,(TDBC-$B128)/($U128-$B128))))</f>
      </c>
      <c r="Y128" s="223">
        <f>IF($A128="","",IF($V128="Đã xử lý","Hoàn thành",IF(N($U128)=0,"Chưa đặt hạn",IF(TDBC&gt;$U128,"Quá hạn",IF(ROUND((N($X128)-$W128)*100,0)&gt;=20,"Chậm tiến độ",IF($U128-TDBC&lt;=1,"Sắp đến hạn","Đúng tiến độ"))))))</f>
      </c>
      <c r="Z128" s="223">
        <f>IF(OR($A128="",$V128="Đã xử lý",N($U128)=0),"",IF(TDBC&gt;$U128,"Quá "&amp;IF(((TDBC-$U128)*24)&lt;1,MAX(1,ROUND(((TDBC-$U128)*24)*60,0))&amp;" phút",IF(ROUND(((TDBC-$U128)*24),0)&lt;24,ROUND(((TDBC-$U128)*24),0)&amp;" giờ",INT(ROUND(((TDBC-$U128)*24),0)/24)&amp;" ngày"&amp;IF(MOD(ROUND(((TDBC-$U128)*24),0),24)&gt;0," "&amp;MOD(ROUND(((TDBC-$U128)*24),0),24)&amp;" giờ",""))),"Còn "&amp;IF((($U128-TDBC)*24)&lt;1,MAX(1,ROUND((($U128-TDBC)*24)*60,0))&amp;" phút",IF(ROUND((($U128-TDBC)*24),0)&lt;24,ROUND((($U128-TDBC)*24),0)&amp;" giờ",INT(ROUND((($U128-TDBC)*24),0)/24)&amp;" ngày"&amp;IF(MOD(ROUND((($U128-TDBC)*24),0),24)&gt;0," "&amp;MOD(ROUND((($U128-TDBC)*24),0),24)&amp;" giờ","")))))</f>
      </c>
      <c r="AA128" s="220">
        <f>IF($V128="Đã xử lý",_xlfn.MAXIFS('Nhật ký tiến độ'!$B$6:$B$3005,'Nhật ký tiến độ'!$C$6:$C$3005,$A128,'Nhật ký tiến độ'!$E$6:$E$3005,"Đã xử lý"),"")</f>
      </c>
      <c r="AB128" s="223">
        <f>IF($AI128="","",IF($AI128&lt;1,MAX(1,ROUND($AI128*60,0))&amp;" phút",IF(ROUND($AI128,0)&lt;24,ROUND($AI128,0)&amp;" giờ",INT(ROUND($AI128,0)/24)&amp;" ngày"&amp;IF(MOD(ROUND($AI128,0),24)&gt;0," "&amp;MOD(ROUND($AI128,0),24)&amp;" giờ",""))))</f>
      </c>
      <c r="AC128" s="223">
        <f>IF(OR($A128="",N($AH128)=0),"",IF($AI128&lt;&gt;"",IF($AI128&lt;=$AH128,"Trong ước tính","Vượt "&amp;IF(($AI128-$AH128)&lt;1,MAX(1,ROUND(($AI128-$AH128)*60,0))&amp;" phút",IF(ROUND(($AI128-$AH128),0)&lt;24,ROUND(($AI128-$AH128),0)&amp;" giờ",INT(ROUND(($AI128-$AH128),0)/24)&amp;" ngày"&amp;IF(MOD(ROUND(($AI128-$AH128),0),24)&gt;0," "&amp;MOD(ROUND(($AI128-$AH128),0),24)&amp;" giờ","")))),IF(OR($V128="Đã xử lý",N($B128)=0),"",IF((TDBC-$B128)*24&gt;$AH128,"Đã vượt ước tính","Đã dùng "&amp;TEXT((TDBC-$B128)*24/$AH128,"0%")))))</f>
      </c>
      <c r="AD128" s="223">
        <f>IF(N($AO128)=0,"",CHOOSE($AO128,"Nhắc nhở","Cảnh báo","Báo động","Báo động đỏ"))</f>
      </c>
      <c r="AE128" s="223">
        <f>IF(OR(N($AA128)=0,N($U128)=0),"",IF($AA128&lt;=$U128,"Đúng hạn","Trễ hạn"))</f>
      </c>
      <c r="AF128" s="220">
        <f>IF($A128="","",_xlfn.MAXIFS('Nhật ký tiến độ'!$B$6:$B$3005,'Nhật ký tiến độ'!$C$6:$C$3005,$A128))</f>
      </c>
      <c r="AG128" s="223">
        <f>IF($A128="","",IF(COUNTIF('Kế hoạch'!$M$6:$M$305,$A128)=0,"",COUNTIF('Kế hoạch'!$M$6:$M$305,$A128)&amp;" việc"))</f>
      </c>
      <c r="AH128" s="224">
        <f>IF(OR($A128="",N($O128)&lt;=0),"",IF($P128="Giờ",$O128,$O128*24))</f>
      </c>
      <c r="AI128" s="224">
        <f>IF(OR(N($AA128)=0,N($B128)=0),"",IF($AA128&lt;$B128,"",($AA128-$B128)*24))</f>
      </c>
      <c r="AJ128" s="225">
        <f>IF($A128="","",IF(COUNTIF('Nhật ký tiến độ'!$C$6:$C$3005,$A128)=0,0,_xlfn.MAXIFS('Nhật ký tiến độ'!$N$6:$N$3005,'Nhật ký tiến độ'!$C$6:$C$3005,$A128,'Nhật ký tiến độ'!$B$6:$B$3005,_xlfn.MAXIFS('Nhật ký tiến độ'!$B$6:$B$3005,'Nhật ký tiến độ'!$C$6:$C$3005,$A128))))</f>
      </c>
      <c r="AK128" s="225">
        <f>IF(OR($A128="",$V128="Đã xử lý"),"",IF(N($AO128)&gt;0,5-$AO128,IF($J128="Khẩn cấp",5,IF($Y128="Chậm tiến độ",6,IF(OR($Y128="Sắp đến hạn",$J128="Cao"),7,"")))))</f>
      </c>
      <c r="AL128" s="225">
        <f>IF($AK128="","",$AK128*100000+IF(N($U128)=0,99999,INT($U128))+ROW()/100000)</f>
      </c>
      <c r="AM128" s="225">
        <f>IF(OR($A128="",TRIM($K128)="",COUNTIF($K$6:$K128,$K128)&gt;1),0,1)</f>
      </c>
      <c r="AN128" s="225">
        <f>IF($AM128=1,SUM($AM$6:$AM128),"")</f>
      </c>
      <c r="AO128" s="225">
        <f>IF(OR($A128="",$V128="Đã xử lý",N($U128)=0),0,IF(TDBC&lt;=$U128,0,MAX(1,MIN(4,IF((TDBC-$U128)*24&lt;24,1,IF((TDBC-$U128)*24&lt;72,2,IF((TDBC-$U128)*24&lt;168,3,4)))+IFERROR(INDEX({2,1,0,-1},MATCH($J128,{"Khẩn cấp","Cao","Trung bình","Thấp"},0)),0)))))</f>
      </c>
    </row>
    <row r="129">
      <c r="A129" s="216"/>
      <c r="B129" s="217"/>
      <c r="C129" s="218"/>
      <c r="D129" s="218"/>
      <c r="E129" s="218"/>
      <c r="F129" s="218"/>
      <c r="G129" s="216"/>
      <c r="H129" s="218"/>
      <c r="I129" s="218"/>
      <c r="J129" s="216"/>
      <c r="K129" s="218"/>
      <c r="L129" s="218"/>
      <c r="M129" s="218"/>
      <c r="N129" s="218"/>
      <c r="O129" s="219"/>
      <c r="P129" s="216"/>
      <c r="Q129" s="217"/>
      <c r="R129" s="216"/>
      <c r="S129" s="218"/>
      <c r="T129" s="218"/>
      <c r="U129" s="220">
        <f>IF($A129="","",IF(N($Q129)&gt;0,IF(MOD($Q129,1)=0,$Q129+1-1/1440,$Q129),IF(N($B129)=0,"",$B129+IF(N($AH129)&gt;0,$AH129,IFERROR(INDEX(DM_SLA_Gio,MATCH($J129,DM_SLA_Cap,0)),168))/24)))</f>
      </c>
      <c r="V129" s="221">
        <f>IF($A129="","",IF(N($AJ129)=0,"Mới tiếp nhận",INDEX('Nhật ký tiến độ'!$E:$E,$AJ129)))</f>
      </c>
      <c r="W129" s="222">
        <f>IF($A129="","",IF($V129="Đã xử lý",1,IF(N($AJ129)=0,0,N(INDEX('Nhật ký tiến độ'!$D:$D,$AJ129)))))</f>
      </c>
      <c r="X129" s="222">
        <f>IF(OR($A129="",$V129="Đã xử lý",N($U129)=0,N($B129)=0),"",IF(TDBC&lt;=$B129,0,IF(TDBC&gt;=$U129,1,(TDBC-$B129)/($U129-$B129))))</f>
      </c>
      <c r="Y129" s="223">
        <f>IF($A129="","",IF($V129="Đã xử lý","Hoàn thành",IF(N($U129)=0,"Chưa đặt hạn",IF(TDBC&gt;$U129,"Quá hạn",IF(ROUND((N($X129)-$W129)*100,0)&gt;=20,"Chậm tiến độ",IF($U129-TDBC&lt;=1,"Sắp đến hạn","Đúng tiến độ"))))))</f>
      </c>
      <c r="Z129" s="223">
        <f>IF(OR($A129="",$V129="Đã xử lý",N($U129)=0),"",IF(TDBC&gt;$U129,"Quá "&amp;IF(((TDBC-$U129)*24)&lt;1,MAX(1,ROUND(((TDBC-$U129)*24)*60,0))&amp;" phút",IF(ROUND(((TDBC-$U129)*24),0)&lt;24,ROUND(((TDBC-$U129)*24),0)&amp;" giờ",INT(ROUND(((TDBC-$U129)*24),0)/24)&amp;" ngày"&amp;IF(MOD(ROUND(((TDBC-$U129)*24),0),24)&gt;0," "&amp;MOD(ROUND(((TDBC-$U129)*24),0),24)&amp;" giờ",""))),"Còn "&amp;IF((($U129-TDBC)*24)&lt;1,MAX(1,ROUND((($U129-TDBC)*24)*60,0))&amp;" phút",IF(ROUND((($U129-TDBC)*24),0)&lt;24,ROUND((($U129-TDBC)*24),0)&amp;" giờ",INT(ROUND((($U129-TDBC)*24),0)/24)&amp;" ngày"&amp;IF(MOD(ROUND((($U129-TDBC)*24),0),24)&gt;0," "&amp;MOD(ROUND((($U129-TDBC)*24),0),24)&amp;" giờ","")))))</f>
      </c>
      <c r="AA129" s="220">
        <f>IF($V129="Đã xử lý",_xlfn.MAXIFS('Nhật ký tiến độ'!$B$6:$B$3005,'Nhật ký tiến độ'!$C$6:$C$3005,$A129,'Nhật ký tiến độ'!$E$6:$E$3005,"Đã xử lý"),"")</f>
      </c>
      <c r="AB129" s="223">
        <f>IF($AI129="","",IF($AI129&lt;1,MAX(1,ROUND($AI129*60,0))&amp;" phút",IF(ROUND($AI129,0)&lt;24,ROUND($AI129,0)&amp;" giờ",INT(ROUND($AI129,0)/24)&amp;" ngày"&amp;IF(MOD(ROUND($AI129,0),24)&gt;0," "&amp;MOD(ROUND($AI129,0),24)&amp;" giờ",""))))</f>
      </c>
      <c r="AC129" s="223">
        <f>IF(OR($A129="",N($AH129)=0),"",IF($AI129&lt;&gt;"",IF($AI129&lt;=$AH129,"Trong ước tính","Vượt "&amp;IF(($AI129-$AH129)&lt;1,MAX(1,ROUND(($AI129-$AH129)*60,0))&amp;" phút",IF(ROUND(($AI129-$AH129),0)&lt;24,ROUND(($AI129-$AH129),0)&amp;" giờ",INT(ROUND(($AI129-$AH129),0)/24)&amp;" ngày"&amp;IF(MOD(ROUND(($AI129-$AH129),0),24)&gt;0," "&amp;MOD(ROUND(($AI129-$AH129),0),24)&amp;" giờ","")))),IF(OR($V129="Đã xử lý",N($B129)=0),"",IF((TDBC-$B129)*24&gt;$AH129,"Đã vượt ước tính","Đã dùng "&amp;TEXT((TDBC-$B129)*24/$AH129,"0%")))))</f>
      </c>
      <c r="AD129" s="223">
        <f>IF(N($AO129)=0,"",CHOOSE($AO129,"Nhắc nhở","Cảnh báo","Báo động","Báo động đỏ"))</f>
      </c>
      <c r="AE129" s="223">
        <f>IF(OR(N($AA129)=0,N($U129)=0),"",IF($AA129&lt;=$U129,"Đúng hạn","Trễ hạn"))</f>
      </c>
      <c r="AF129" s="220">
        <f>IF($A129="","",_xlfn.MAXIFS('Nhật ký tiến độ'!$B$6:$B$3005,'Nhật ký tiến độ'!$C$6:$C$3005,$A129))</f>
      </c>
      <c r="AG129" s="223">
        <f>IF($A129="","",IF(COUNTIF('Kế hoạch'!$M$6:$M$305,$A129)=0,"",COUNTIF('Kế hoạch'!$M$6:$M$305,$A129)&amp;" việc"))</f>
      </c>
      <c r="AH129" s="224">
        <f>IF(OR($A129="",N($O129)&lt;=0),"",IF($P129="Giờ",$O129,$O129*24))</f>
      </c>
      <c r="AI129" s="224">
        <f>IF(OR(N($AA129)=0,N($B129)=0),"",IF($AA129&lt;$B129,"",($AA129-$B129)*24))</f>
      </c>
      <c r="AJ129" s="225">
        <f>IF($A129="","",IF(COUNTIF('Nhật ký tiến độ'!$C$6:$C$3005,$A129)=0,0,_xlfn.MAXIFS('Nhật ký tiến độ'!$N$6:$N$3005,'Nhật ký tiến độ'!$C$6:$C$3005,$A129,'Nhật ký tiến độ'!$B$6:$B$3005,_xlfn.MAXIFS('Nhật ký tiến độ'!$B$6:$B$3005,'Nhật ký tiến độ'!$C$6:$C$3005,$A129))))</f>
      </c>
      <c r="AK129" s="225">
        <f>IF(OR($A129="",$V129="Đã xử lý"),"",IF(N($AO129)&gt;0,5-$AO129,IF($J129="Khẩn cấp",5,IF($Y129="Chậm tiến độ",6,IF(OR($Y129="Sắp đến hạn",$J129="Cao"),7,"")))))</f>
      </c>
      <c r="AL129" s="225">
        <f>IF($AK129="","",$AK129*100000+IF(N($U129)=0,99999,INT($U129))+ROW()/100000)</f>
      </c>
      <c r="AM129" s="225">
        <f>IF(OR($A129="",TRIM($K129)="",COUNTIF($K$6:$K129,$K129)&gt;1),0,1)</f>
      </c>
      <c r="AN129" s="225">
        <f>IF($AM129=1,SUM($AM$6:$AM129),"")</f>
      </c>
      <c r="AO129" s="225">
        <f>IF(OR($A129="",$V129="Đã xử lý",N($U129)=0),0,IF(TDBC&lt;=$U129,0,MAX(1,MIN(4,IF((TDBC-$U129)*24&lt;24,1,IF((TDBC-$U129)*24&lt;72,2,IF((TDBC-$U129)*24&lt;168,3,4)))+IFERROR(INDEX({2,1,0,-1},MATCH($J129,{"Khẩn cấp","Cao","Trung bình","Thấp"},0)),0)))))</f>
      </c>
    </row>
    <row r="130">
      <c r="A130" s="216"/>
      <c r="B130" s="217"/>
      <c r="C130" s="218"/>
      <c r="D130" s="218"/>
      <c r="E130" s="218"/>
      <c r="F130" s="218"/>
      <c r="G130" s="216"/>
      <c r="H130" s="218"/>
      <c r="I130" s="218"/>
      <c r="J130" s="216"/>
      <c r="K130" s="218"/>
      <c r="L130" s="218"/>
      <c r="M130" s="218"/>
      <c r="N130" s="218"/>
      <c r="O130" s="219"/>
      <c r="P130" s="216"/>
      <c r="Q130" s="217"/>
      <c r="R130" s="216"/>
      <c r="S130" s="218"/>
      <c r="T130" s="218"/>
      <c r="U130" s="220">
        <f>IF($A130="","",IF(N($Q130)&gt;0,IF(MOD($Q130,1)=0,$Q130+1-1/1440,$Q130),IF(N($B130)=0,"",$B130+IF(N($AH130)&gt;0,$AH130,IFERROR(INDEX(DM_SLA_Gio,MATCH($J130,DM_SLA_Cap,0)),168))/24)))</f>
      </c>
      <c r="V130" s="221">
        <f>IF($A130="","",IF(N($AJ130)=0,"Mới tiếp nhận",INDEX('Nhật ký tiến độ'!$E:$E,$AJ130)))</f>
      </c>
      <c r="W130" s="222">
        <f>IF($A130="","",IF($V130="Đã xử lý",1,IF(N($AJ130)=0,0,N(INDEX('Nhật ký tiến độ'!$D:$D,$AJ130)))))</f>
      </c>
      <c r="X130" s="222">
        <f>IF(OR($A130="",$V130="Đã xử lý",N($U130)=0,N($B130)=0),"",IF(TDBC&lt;=$B130,0,IF(TDBC&gt;=$U130,1,(TDBC-$B130)/($U130-$B130))))</f>
      </c>
      <c r="Y130" s="223">
        <f>IF($A130="","",IF($V130="Đã xử lý","Hoàn thành",IF(N($U130)=0,"Chưa đặt hạn",IF(TDBC&gt;$U130,"Quá hạn",IF(ROUND((N($X130)-$W130)*100,0)&gt;=20,"Chậm tiến độ",IF($U130-TDBC&lt;=1,"Sắp đến hạn","Đúng tiến độ"))))))</f>
      </c>
      <c r="Z130" s="223">
        <f>IF(OR($A130="",$V130="Đã xử lý",N($U130)=0),"",IF(TDBC&gt;$U130,"Quá "&amp;IF(((TDBC-$U130)*24)&lt;1,MAX(1,ROUND(((TDBC-$U130)*24)*60,0))&amp;" phút",IF(ROUND(((TDBC-$U130)*24),0)&lt;24,ROUND(((TDBC-$U130)*24),0)&amp;" giờ",INT(ROUND(((TDBC-$U130)*24),0)/24)&amp;" ngày"&amp;IF(MOD(ROUND(((TDBC-$U130)*24),0),24)&gt;0," "&amp;MOD(ROUND(((TDBC-$U130)*24),0),24)&amp;" giờ",""))),"Còn "&amp;IF((($U130-TDBC)*24)&lt;1,MAX(1,ROUND((($U130-TDBC)*24)*60,0))&amp;" phút",IF(ROUND((($U130-TDBC)*24),0)&lt;24,ROUND((($U130-TDBC)*24),0)&amp;" giờ",INT(ROUND((($U130-TDBC)*24),0)/24)&amp;" ngày"&amp;IF(MOD(ROUND((($U130-TDBC)*24),0),24)&gt;0," "&amp;MOD(ROUND((($U130-TDBC)*24),0),24)&amp;" giờ","")))))</f>
      </c>
      <c r="AA130" s="220">
        <f>IF($V130="Đã xử lý",_xlfn.MAXIFS('Nhật ký tiến độ'!$B$6:$B$3005,'Nhật ký tiến độ'!$C$6:$C$3005,$A130,'Nhật ký tiến độ'!$E$6:$E$3005,"Đã xử lý"),"")</f>
      </c>
      <c r="AB130" s="223">
        <f>IF($AI130="","",IF($AI130&lt;1,MAX(1,ROUND($AI130*60,0))&amp;" phút",IF(ROUND($AI130,0)&lt;24,ROUND($AI130,0)&amp;" giờ",INT(ROUND($AI130,0)/24)&amp;" ngày"&amp;IF(MOD(ROUND($AI130,0),24)&gt;0," "&amp;MOD(ROUND($AI130,0),24)&amp;" giờ",""))))</f>
      </c>
      <c r="AC130" s="223">
        <f>IF(OR($A130="",N($AH130)=0),"",IF($AI130&lt;&gt;"",IF($AI130&lt;=$AH130,"Trong ước tính","Vượt "&amp;IF(($AI130-$AH130)&lt;1,MAX(1,ROUND(($AI130-$AH130)*60,0))&amp;" phút",IF(ROUND(($AI130-$AH130),0)&lt;24,ROUND(($AI130-$AH130),0)&amp;" giờ",INT(ROUND(($AI130-$AH130),0)/24)&amp;" ngày"&amp;IF(MOD(ROUND(($AI130-$AH130),0),24)&gt;0," "&amp;MOD(ROUND(($AI130-$AH130),0),24)&amp;" giờ","")))),IF(OR($V130="Đã xử lý",N($B130)=0),"",IF((TDBC-$B130)*24&gt;$AH130,"Đã vượt ước tính","Đã dùng "&amp;TEXT((TDBC-$B130)*24/$AH130,"0%")))))</f>
      </c>
      <c r="AD130" s="223">
        <f>IF(N($AO130)=0,"",CHOOSE($AO130,"Nhắc nhở","Cảnh báo","Báo động","Báo động đỏ"))</f>
      </c>
      <c r="AE130" s="223">
        <f>IF(OR(N($AA130)=0,N($U130)=0),"",IF($AA130&lt;=$U130,"Đúng hạn","Trễ hạn"))</f>
      </c>
      <c r="AF130" s="220">
        <f>IF($A130="","",_xlfn.MAXIFS('Nhật ký tiến độ'!$B$6:$B$3005,'Nhật ký tiến độ'!$C$6:$C$3005,$A130))</f>
      </c>
      <c r="AG130" s="223">
        <f>IF($A130="","",IF(COUNTIF('Kế hoạch'!$M$6:$M$305,$A130)=0,"",COUNTIF('Kế hoạch'!$M$6:$M$305,$A130)&amp;" việc"))</f>
      </c>
      <c r="AH130" s="224">
        <f>IF(OR($A130="",N($O130)&lt;=0),"",IF($P130="Giờ",$O130,$O130*24))</f>
      </c>
      <c r="AI130" s="224">
        <f>IF(OR(N($AA130)=0,N($B130)=0),"",IF($AA130&lt;$B130,"",($AA130-$B130)*24))</f>
      </c>
      <c r="AJ130" s="225">
        <f>IF($A130="","",IF(COUNTIF('Nhật ký tiến độ'!$C$6:$C$3005,$A130)=0,0,_xlfn.MAXIFS('Nhật ký tiến độ'!$N$6:$N$3005,'Nhật ký tiến độ'!$C$6:$C$3005,$A130,'Nhật ký tiến độ'!$B$6:$B$3005,_xlfn.MAXIFS('Nhật ký tiến độ'!$B$6:$B$3005,'Nhật ký tiến độ'!$C$6:$C$3005,$A130))))</f>
      </c>
      <c r="AK130" s="225">
        <f>IF(OR($A130="",$V130="Đã xử lý"),"",IF(N($AO130)&gt;0,5-$AO130,IF($J130="Khẩn cấp",5,IF($Y130="Chậm tiến độ",6,IF(OR($Y130="Sắp đến hạn",$J130="Cao"),7,"")))))</f>
      </c>
      <c r="AL130" s="225">
        <f>IF($AK130="","",$AK130*100000+IF(N($U130)=0,99999,INT($U130))+ROW()/100000)</f>
      </c>
      <c r="AM130" s="225">
        <f>IF(OR($A130="",TRIM($K130)="",COUNTIF($K$6:$K130,$K130)&gt;1),0,1)</f>
      </c>
      <c r="AN130" s="225">
        <f>IF($AM130=1,SUM($AM$6:$AM130),"")</f>
      </c>
      <c r="AO130" s="225">
        <f>IF(OR($A130="",$V130="Đã xử lý",N($U130)=0),0,IF(TDBC&lt;=$U130,0,MAX(1,MIN(4,IF((TDBC-$U130)*24&lt;24,1,IF((TDBC-$U130)*24&lt;72,2,IF((TDBC-$U130)*24&lt;168,3,4)))+IFERROR(INDEX({2,1,0,-1},MATCH($J130,{"Khẩn cấp","Cao","Trung bình","Thấp"},0)),0)))))</f>
      </c>
    </row>
    <row r="131">
      <c r="A131" s="216"/>
      <c r="B131" s="217"/>
      <c r="C131" s="218"/>
      <c r="D131" s="218"/>
      <c r="E131" s="218"/>
      <c r="F131" s="218"/>
      <c r="G131" s="216"/>
      <c r="H131" s="218"/>
      <c r="I131" s="218"/>
      <c r="J131" s="216"/>
      <c r="K131" s="218"/>
      <c r="L131" s="218"/>
      <c r="M131" s="218"/>
      <c r="N131" s="218"/>
      <c r="O131" s="219"/>
      <c r="P131" s="216"/>
      <c r="Q131" s="217"/>
      <c r="R131" s="216"/>
      <c r="S131" s="218"/>
      <c r="T131" s="218"/>
      <c r="U131" s="220">
        <f>IF($A131="","",IF(N($Q131)&gt;0,IF(MOD($Q131,1)=0,$Q131+1-1/1440,$Q131),IF(N($B131)=0,"",$B131+IF(N($AH131)&gt;0,$AH131,IFERROR(INDEX(DM_SLA_Gio,MATCH($J131,DM_SLA_Cap,0)),168))/24)))</f>
      </c>
      <c r="V131" s="221">
        <f>IF($A131="","",IF(N($AJ131)=0,"Mới tiếp nhận",INDEX('Nhật ký tiến độ'!$E:$E,$AJ131)))</f>
      </c>
      <c r="W131" s="222">
        <f>IF($A131="","",IF($V131="Đã xử lý",1,IF(N($AJ131)=0,0,N(INDEX('Nhật ký tiến độ'!$D:$D,$AJ131)))))</f>
      </c>
      <c r="X131" s="222">
        <f>IF(OR($A131="",$V131="Đã xử lý",N($U131)=0,N($B131)=0),"",IF(TDBC&lt;=$B131,0,IF(TDBC&gt;=$U131,1,(TDBC-$B131)/($U131-$B131))))</f>
      </c>
      <c r="Y131" s="223">
        <f>IF($A131="","",IF($V131="Đã xử lý","Hoàn thành",IF(N($U131)=0,"Chưa đặt hạn",IF(TDBC&gt;$U131,"Quá hạn",IF(ROUND((N($X131)-$W131)*100,0)&gt;=20,"Chậm tiến độ",IF($U131-TDBC&lt;=1,"Sắp đến hạn","Đúng tiến độ"))))))</f>
      </c>
      <c r="Z131" s="223">
        <f>IF(OR($A131="",$V131="Đã xử lý",N($U131)=0),"",IF(TDBC&gt;$U131,"Quá "&amp;IF(((TDBC-$U131)*24)&lt;1,MAX(1,ROUND(((TDBC-$U131)*24)*60,0))&amp;" phút",IF(ROUND(((TDBC-$U131)*24),0)&lt;24,ROUND(((TDBC-$U131)*24),0)&amp;" giờ",INT(ROUND(((TDBC-$U131)*24),0)/24)&amp;" ngày"&amp;IF(MOD(ROUND(((TDBC-$U131)*24),0),24)&gt;0," "&amp;MOD(ROUND(((TDBC-$U131)*24),0),24)&amp;" giờ",""))),"Còn "&amp;IF((($U131-TDBC)*24)&lt;1,MAX(1,ROUND((($U131-TDBC)*24)*60,0))&amp;" phút",IF(ROUND((($U131-TDBC)*24),0)&lt;24,ROUND((($U131-TDBC)*24),0)&amp;" giờ",INT(ROUND((($U131-TDBC)*24),0)/24)&amp;" ngày"&amp;IF(MOD(ROUND((($U131-TDBC)*24),0),24)&gt;0," "&amp;MOD(ROUND((($U131-TDBC)*24),0),24)&amp;" giờ","")))))</f>
      </c>
      <c r="AA131" s="220">
        <f>IF($V131="Đã xử lý",_xlfn.MAXIFS('Nhật ký tiến độ'!$B$6:$B$3005,'Nhật ký tiến độ'!$C$6:$C$3005,$A131,'Nhật ký tiến độ'!$E$6:$E$3005,"Đã xử lý"),"")</f>
      </c>
      <c r="AB131" s="223">
        <f>IF($AI131="","",IF($AI131&lt;1,MAX(1,ROUND($AI131*60,0))&amp;" phút",IF(ROUND($AI131,0)&lt;24,ROUND($AI131,0)&amp;" giờ",INT(ROUND($AI131,0)/24)&amp;" ngày"&amp;IF(MOD(ROUND($AI131,0),24)&gt;0," "&amp;MOD(ROUND($AI131,0),24)&amp;" giờ",""))))</f>
      </c>
      <c r="AC131" s="223">
        <f>IF(OR($A131="",N($AH131)=0),"",IF($AI131&lt;&gt;"",IF($AI131&lt;=$AH131,"Trong ước tính","Vượt "&amp;IF(($AI131-$AH131)&lt;1,MAX(1,ROUND(($AI131-$AH131)*60,0))&amp;" phút",IF(ROUND(($AI131-$AH131),0)&lt;24,ROUND(($AI131-$AH131),0)&amp;" giờ",INT(ROUND(($AI131-$AH131),0)/24)&amp;" ngày"&amp;IF(MOD(ROUND(($AI131-$AH131),0),24)&gt;0," "&amp;MOD(ROUND(($AI131-$AH131),0),24)&amp;" giờ","")))),IF(OR($V131="Đã xử lý",N($B131)=0),"",IF((TDBC-$B131)*24&gt;$AH131,"Đã vượt ước tính","Đã dùng "&amp;TEXT((TDBC-$B131)*24/$AH131,"0%")))))</f>
      </c>
      <c r="AD131" s="223">
        <f>IF(N($AO131)=0,"",CHOOSE($AO131,"Nhắc nhở","Cảnh báo","Báo động","Báo động đỏ"))</f>
      </c>
      <c r="AE131" s="223">
        <f>IF(OR(N($AA131)=0,N($U131)=0),"",IF($AA131&lt;=$U131,"Đúng hạn","Trễ hạn"))</f>
      </c>
      <c r="AF131" s="220">
        <f>IF($A131="","",_xlfn.MAXIFS('Nhật ký tiến độ'!$B$6:$B$3005,'Nhật ký tiến độ'!$C$6:$C$3005,$A131))</f>
      </c>
      <c r="AG131" s="223">
        <f>IF($A131="","",IF(COUNTIF('Kế hoạch'!$M$6:$M$305,$A131)=0,"",COUNTIF('Kế hoạch'!$M$6:$M$305,$A131)&amp;" việc"))</f>
      </c>
      <c r="AH131" s="224">
        <f>IF(OR($A131="",N($O131)&lt;=0),"",IF($P131="Giờ",$O131,$O131*24))</f>
      </c>
      <c r="AI131" s="224">
        <f>IF(OR(N($AA131)=0,N($B131)=0),"",IF($AA131&lt;$B131,"",($AA131-$B131)*24))</f>
      </c>
      <c r="AJ131" s="225">
        <f>IF($A131="","",IF(COUNTIF('Nhật ký tiến độ'!$C$6:$C$3005,$A131)=0,0,_xlfn.MAXIFS('Nhật ký tiến độ'!$N$6:$N$3005,'Nhật ký tiến độ'!$C$6:$C$3005,$A131,'Nhật ký tiến độ'!$B$6:$B$3005,_xlfn.MAXIFS('Nhật ký tiến độ'!$B$6:$B$3005,'Nhật ký tiến độ'!$C$6:$C$3005,$A131))))</f>
      </c>
      <c r="AK131" s="225">
        <f>IF(OR($A131="",$V131="Đã xử lý"),"",IF(N($AO131)&gt;0,5-$AO131,IF($J131="Khẩn cấp",5,IF($Y131="Chậm tiến độ",6,IF(OR($Y131="Sắp đến hạn",$J131="Cao"),7,"")))))</f>
      </c>
      <c r="AL131" s="225">
        <f>IF($AK131="","",$AK131*100000+IF(N($U131)=0,99999,INT($U131))+ROW()/100000)</f>
      </c>
      <c r="AM131" s="225">
        <f>IF(OR($A131="",TRIM($K131)="",COUNTIF($K$6:$K131,$K131)&gt;1),0,1)</f>
      </c>
      <c r="AN131" s="225">
        <f>IF($AM131=1,SUM($AM$6:$AM131),"")</f>
      </c>
      <c r="AO131" s="225">
        <f>IF(OR($A131="",$V131="Đã xử lý",N($U131)=0),0,IF(TDBC&lt;=$U131,0,MAX(1,MIN(4,IF((TDBC-$U131)*24&lt;24,1,IF((TDBC-$U131)*24&lt;72,2,IF((TDBC-$U131)*24&lt;168,3,4)))+IFERROR(INDEX({2,1,0,-1},MATCH($J131,{"Khẩn cấp","Cao","Trung bình","Thấp"},0)),0)))))</f>
      </c>
    </row>
    <row r="132">
      <c r="A132" s="216"/>
      <c r="B132" s="217"/>
      <c r="C132" s="218"/>
      <c r="D132" s="218"/>
      <c r="E132" s="218"/>
      <c r="F132" s="218"/>
      <c r="G132" s="216"/>
      <c r="H132" s="218"/>
      <c r="I132" s="218"/>
      <c r="J132" s="216"/>
      <c r="K132" s="218"/>
      <c r="L132" s="218"/>
      <c r="M132" s="218"/>
      <c r="N132" s="218"/>
      <c r="O132" s="219"/>
      <c r="P132" s="216"/>
      <c r="Q132" s="217"/>
      <c r="R132" s="216"/>
      <c r="S132" s="218"/>
      <c r="T132" s="218"/>
      <c r="U132" s="220">
        <f>IF($A132="","",IF(N($Q132)&gt;0,IF(MOD($Q132,1)=0,$Q132+1-1/1440,$Q132),IF(N($B132)=0,"",$B132+IF(N($AH132)&gt;0,$AH132,IFERROR(INDEX(DM_SLA_Gio,MATCH($J132,DM_SLA_Cap,0)),168))/24)))</f>
      </c>
      <c r="V132" s="221">
        <f>IF($A132="","",IF(N($AJ132)=0,"Mới tiếp nhận",INDEX('Nhật ký tiến độ'!$E:$E,$AJ132)))</f>
      </c>
      <c r="W132" s="222">
        <f>IF($A132="","",IF($V132="Đã xử lý",1,IF(N($AJ132)=0,0,N(INDEX('Nhật ký tiến độ'!$D:$D,$AJ132)))))</f>
      </c>
      <c r="X132" s="222">
        <f>IF(OR($A132="",$V132="Đã xử lý",N($U132)=0,N($B132)=0),"",IF(TDBC&lt;=$B132,0,IF(TDBC&gt;=$U132,1,(TDBC-$B132)/($U132-$B132))))</f>
      </c>
      <c r="Y132" s="223">
        <f>IF($A132="","",IF($V132="Đã xử lý","Hoàn thành",IF(N($U132)=0,"Chưa đặt hạn",IF(TDBC&gt;$U132,"Quá hạn",IF(ROUND((N($X132)-$W132)*100,0)&gt;=20,"Chậm tiến độ",IF($U132-TDBC&lt;=1,"Sắp đến hạn","Đúng tiến độ"))))))</f>
      </c>
      <c r="Z132" s="223">
        <f>IF(OR($A132="",$V132="Đã xử lý",N($U132)=0),"",IF(TDBC&gt;$U132,"Quá "&amp;IF(((TDBC-$U132)*24)&lt;1,MAX(1,ROUND(((TDBC-$U132)*24)*60,0))&amp;" phút",IF(ROUND(((TDBC-$U132)*24),0)&lt;24,ROUND(((TDBC-$U132)*24),0)&amp;" giờ",INT(ROUND(((TDBC-$U132)*24),0)/24)&amp;" ngày"&amp;IF(MOD(ROUND(((TDBC-$U132)*24),0),24)&gt;0," "&amp;MOD(ROUND(((TDBC-$U132)*24),0),24)&amp;" giờ",""))),"Còn "&amp;IF((($U132-TDBC)*24)&lt;1,MAX(1,ROUND((($U132-TDBC)*24)*60,0))&amp;" phút",IF(ROUND((($U132-TDBC)*24),0)&lt;24,ROUND((($U132-TDBC)*24),0)&amp;" giờ",INT(ROUND((($U132-TDBC)*24),0)/24)&amp;" ngày"&amp;IF(MOD(ROUND((($U132-TDBC)*24),0),24)&gt;0," "&amp;MOD(ROUND((($U132-TDBC)*24),0),24)&amp;" giờ","")))))</f>
      </c>
      <c r="AA132" s="220">
        <f>IF($V132="Đã xử lý",_xlfn.MAXIFS('Nhật ký tiến độ'!$B$6:$B$3005,'Nhật ký tiến độ'!$C$6:$C$3005,$A132,'Nhật ký tiến độ'!$E$6:$E$3005,"Đã xử lý"),"")</f>
      </c>
      <c r="AB132" s="223">
        <f>IF($AI132="","",IF($AI132&lt;1,MAX(1,ROUND($AI132*60,0))&amp;" phút",IF(ROUND($AI132,0)&lt;24,ROUND($AI132,0)&amp;" giờ",INT(ROUND($AI132,0)/24)&amp;" ngày"&amp;IF(MOD(ROUND($AI132,0),24)&gt;0," "&amp;MOD(ROUND($AI132,0),24)&amp;" giờ",""))))</f>
      </c>
      <c r="AC132" s="223">
        <f>IF(OR($A132="",N($AH132)=0),"",IF($AI132&lt;&gt;"",IF($AI132&lt;=$AH132,"Trong ước tính","Vượt "&amp;IF(($AI132-$AH132)&lt;1,MAX(1,ROUND(($AI132-$AH132)*60,0))&amp;" phút",IF(ROUND(($AI132-$AH132),0)&lt;24,ROUND(($AI132-$AH132),0)&amp;" giờ",INT(ROUND(($AI132-$AH132),0)/24)&amp;" ngày"&amp;IF(MOD(ROUND(($AI132-$AH132),0),24)&gt;0," "&amp;MOD(ROUND(($AI132-$AH132),0),24)&amp;" giờ","")))),IF(OR($V132="Đã xử lý",N($B132)=0),"",IF((TDBC-$B132)*24&gt;$AH132,"Đã vượt ước tính","Đã dùng "&amp;TEXT((TDBC-$B132)*24/$AH132,"0%")))))</f>
      </c>
      <c r="AD132" s="223">
        <f>IF(N($AO132)=0,"",CHOOSE($AO132,"Nhắc nhở","Cảnh báo","Báo động","Báo động đỏ"))</f>
      </c>
      <c r="AE132" s="223">
        <f>IF(OR(N($AA132)=0,N($U132)=0),"",IF($AA132&lt;=$U132,"Đúng hạn","Trễ hạn"))</f>
      </c>
      <c r="AF132" s="220">
        <f>IF($A132="","",_xlfn.MAXIFS('Nhật ký tiến độ'!$B$6:$B$3005,'Nhật ký tiến độ'!$C$6:$C$3005,$A132))</f>
      </c>
      <c r="AG132" s="223">
        <f>IF($A132="","",IF(COUNTIF('Kế hoạch'!$M$6:$M$305,$A132)=0,"",COUNTIF('Kế hoạch'!$M$6:$M$305,$A132)&amp;" việc"))</f>
      </c>
      <c r="AH132" s="224">
        <f>IF(OR($A132="",N($O132)&lt;=0),"",IF($P132="Giờ",$O132,$O132*24))</f>
      </c>
      <c r="AI132" s="224">
        <f>IF(OR(N($AA132)=0,N($B132)=0),"",IF($AA132&lt;$B132,"",($AA132-$B132)*24))</f>
      </c>
      <c r="AJ132" s="225">
        <f>IF($A132="","",IF(COUNTIF('Nhật ký tiến độ'!$C$6:$C$3005,$A132)=0,0,_xlfn.MAXIFS('Nhật ký tiến độ'!$N$6:$N$3005,'Nhật ký tiến độ'!$C$6:$C$3005,$A132,'Nhật ký tiến độ'!$B$6:$B$3005,_xlfn.MAXIFS('Nhật ký tiến độ'!$B$6:$B$3005,'Nhật ký tiến độ'!$C$6:$C$3005,$A132))))</f>
      </c>
      <c r="AK132" s="225">
        <f>IF(OR($A132="",$V132="Đã xử lý"),"",IF(N($AO132)&gt;0,5-$AO132,IF($J132="Khẩn cấp",5,IF($Y132="Chậm tiến độ",6,IF(OR($Y132="Sắp đến hạn",$J132="Cao"),7,"")))))</f>
      </c>
      <c r="AL132" s="225">
        <f>IF($AK132="","",$AK132*100000+IF(N($U132)=0,99999,INT($U132))+ROW()/100000)</f>
      </c>
      <c r="AM132" s="225">
        <f>IF(OR($A132="",TRIM($K132)="",COUNTIF($K$6:$K132,$K132)&gt;1),0,1)</f>
      </c>
      <c r="AN132" s="225">
        <f>IF($AM132=1,SUM($AM$6:$AM132),"")</f>
      </c>
      <c r="AO132" s="225">
        <f>IF(OR($A132="",$V132="Đã xử lý",N($U132)=0),0,IF(TDBC&lt;=$U132,0,MAX(1,MIN(4,IF((TDBC-$U132)*24&lt;24,1,IF((TDBC-$U132)*24&lt;72,2,IF((TDBC-$U132)*24&lt;168,3,4)))+IFERROR(INDEX({2,1,0,-1},MATCH($J132,{"Khẩn cấp","Cao","Trung bình","Thấp"},0)),0)))))</f>
      </c>
    </row>
    <row r="133">
      <c r="A133" s="216"/>
      <c r="B133" s="217"/>
      <c r="C133" s="218"/>
      <c r="D133" s="218"/>
      <c r="E133" s="218"/>
      <c r="F133" s="218"/>
      <c r="G133" s="216"/>
      <c r="H133" s="218"/>
      <c r="I133" s="218"/>
      <c r="J133" s="216"/>
      <c r="K133" s="218"/>
      <c r="L133" s="218"/>
      <c r="M133" s="218"/>
      <c r="N133" s="218"/>
      <c r="O133" s="219"/>
      <c r="P133" s="216"/>
      <c r="Q133" s="217"/>
      <c r="R133" s="216"/>
      <c r="S133" s="218"/>
      <c r="T133" s="218"/>
      <c r="U133" s="220">
        <f>IF($A133="","",IF(N($Q133)&gt;0,IF(MOD($Q133,1)=0,$Q133+1-1/1440,$Q133),IF(N($B133)=0,"",$B133+IF(N($AH133)&gt;0,$AH133,IFERROR(INDEX(DM_SLA_Gio,MATCH($J133,DM_SLA_Cap,0)),168))/24)))</f>
      </c>
      <c r="V133" s="221">
        <f>IF($A133="","",IF(N($AJ133)=0,"Mới tiếp nhận",INDEX('Nhật ký tiến độ'!$E:$E,$AJ133)))</f>
      </c>
      <c r="W133" s="222">
        <f>IF($A133="","",IF($V133="Đã xử lý",1,IF(N($AJ133)=0,0,N(INDEX('Nhật ký tiến độ'!$D:$D,$AJ133)))))</f>
      </c>
      <c r="X133" s="222">
        <f>IF(OR($A133="",$V133="Đã xử lý",N($U133)=0,N($B133)=0),"",IF(TDBC&lt;=$B133,0,IF(TDBC&gt;=$U133,1,(TDBC-$B133)/($U133-$B133))))</f>
      </c>
      <c r="Y133" s="223">
        <f>IF($A133="","",IF($V133="Đã xử lý","Hoàn thành",IF(N($U133)=0,"Chưa đặt hạn",IF(TDBC&gt;$U133,"Quá hạn",IF(ROUND((N($X133)-$W133)*100,0)&gt;=20,"Chậm tiến độ",IF($U133-TDBC&lt;=1,"Sắp đến hạn","Đúng tiến độ"))))))</f>
      </c>
      <c r="Z133" s="223">
        <f>IF(OR($A133="",$V133="Đã xử lý",N($U133)=0),"",IF(TDBC&gt;$U133,"Quá "&amp;IF(((TDBC-$U133)*24)&lt;1,MAX(1,ROUND(((TDBC-$U133)*24)*60,0))&amp;" phút",IF(ROUND(((TDBC-$U133)*24),0)&lt;24,ROUND(((TDBC-$U133)*24),0)&amp;" giờ",INT(ROUND(((TDBC-$U133)*24),0)/24)&amp;" ngày"&amp;IF(MOD(ROUND(((TDBC-$U133)*24),0),24)&gt;0," "&amp;MOD(ROUND(((TDBC-$U133)*24),0),24)&amp;" giờ",""))),"Còn "&amp;IF((($U133-TDBC)*24)&lt;1,MAX(1,ROUND((($U133-TDBC)*24)*60,0))&amp;" phút",IF(ROUND((($U133-TDBC)*24),0)&lt;24,ROUND((($U133-TDBC)*24),0)&amp;" giờ",INT(ROUND((($U133-TDBC)*24),0)/24)&amp;" ngày"&amp;IF(MOD(ROUND((($U133-TDBC)*24),0),24)&gt;0," "&amp;MOD(ROUND((($U133-TDBC)*24),0),24)&amp;" giờ","")))))</f>
      </c>
      <c r="AA133" s="220">
        <f>IF($V133="Đã xử lý",_xlfn.MAXIFS('Nhật ký tiến độ'!$B$6:$B$3005,'Nhật ký tiến độ'!$C$6:$C$3005,$A133,'Nhật ký tiến độ'!$E$6:$E$3005,"Đã xử lý"),"")</f>
      </c>
      <c r="AB133" s="223">
        <f>IF($AI133="","",IF($AI133&lt;1,MAX(1,ROUND($AI133*60,0))&amp;" phút",IF(ROUND($AI133,0)&lt;24,ROUND($AI133,0)&amp;" giờ",INT(ROUND($AI133,0)/24)&amp;" ngày"&amp;IF(MOD(ROUND($AI133,0),24)&gt;0," "&amp;MOD(ROUND($AI133,0),24)&amp;" giờ",""))))</f>
      </c>
      <c r="AC133" s="223">
        <f>IF(OR($A133="",N($AH133)=0),"",IF($AI133&lt;&gt;"",IF($AI133&lt;=$AH133,"Trong ước tính","Vượt "&amp;IF(($AI133-$AH133)&lt;1,MAX(1,ROUND(($AI133-$AH133)*60,0))&amp;" phút",IF(ROUND(($AI133-$AH133),0)&lt;24,ROUND(($AI133-$AH133),0)&amp;" giờ",INT(ROUND(($AI133-$AH133),0)/24)&amp;" ngày"&amp;IF(MOD(ROUND(($AI133-$AH133),0),24)&gt;0," "&amp;MOD(ROUND(($AI133-$AH133),0),24)&amp;" giờ","")))),IF(OR($V133="Đã xử lý",N($B133)=0),"",IF((TDBC-$B133)*24&gt;$AH133,"Đã vượt ước tính","Đã dùng "&amp;TEXT((TDBC-$B133)*24/$AH133,"0%")))))</f>
      </c>
      <c r="AD133" s="223">
        <f>IF(N($AO133)=0,"",CHOOSE($AO133,"Nhắc nhở","Cảnh báo","Báo động","Báo động đỏ"))</f>
      </c>
      <c r="AE133" s="223">
        <f>IF(OR(N($AA133)=0,N($U133)=0),"",IF($AA133&lt;=$U133,"Đúng hạn","Trễ hạn"))</f>
      </c>
      <c r="AF133" s="220">
        <f>IF($A133="","",_xlfn.MAXIFS('Nhật ký tiến độ'!$B$6:$B$3005,'Nhật ký tiến độ'!$C$6:$C$3005,$A133))</f>
      </c>
      <c r="AG133" s="223">
        <f>IF($A133="","",IF(COUNTIF('Kế hoạch'!$M$6:$M$305,$A133)=0,"",COUNTIF('Kế hoạch'!$M$6:$M$305,$A133)&amp;" việc"))</f>
      </c>
      <c r="AH133" s="224">
        <f>IF(OR($A133="",N($O133)&lt;=0),"",IF($P133="Giờ",$O133,$O133*24))</f>
      </c>
      <c r="AI133" s="224">
        <f>IF(OR(N($AA133)=0,N($B133)=0),"",IF($AA133&lt;$B133,"",($AA133-$B133)*24))</f>
      </c>
      <c r="AJ133" s="225">
        <f>IF($A133="","",IF(COUNTIF('Nhật ký tiến độ'!$C$6:$C$3005,$A133)=0,0,_xlfn.MAXIFS('Nhật ký tiến độ'!$N$6:$N$3005,'Nhật ký tiến độ'!$C$6:$C$3005,$A133,'Nhật ký tiến độ'!$B$6:$B$3005,_xlfn.MAXIFS('Nhật ký tiến độ'!$B$6:$B$3005,'Nhật ký tiến độ'!$C$6:$C$3005,$A133))))</f>
      </c>
      <c r="AK133" s="225">
        <f>IF(OR($A133="",$V133="Đã xử lý"),"",IF(N($AO133)&gt;0,5-$AO133,IF($J133="Khẩn cấp",5,IF($Y133="Chậm tiến độ",6,IF(OR($Y133="Sắp đến hạn",$J133="Cao"),7,"")))))</f>
      </c>
      <c r="AL133" s="225">
        <f>IF($AK133="","",$AK133*100000+IF(N($U133)=0,99999,INT($U133))+ROW()/100000)</f>
      </c>
      <c r="AM133" s="225">
        <f>IF(OR($A133="",TRIM($K133)="",COUNTIF($K$6:$K133,$K133)&gt;1),0,1)</f>
      </c>
      <c r="AN133" s="225">
        <f>IF($AM133=1,SUM($AM$6:$AM133),"")</f>
      </c>
      <c r="AO133" s="225">
        <f>IF(OR($A133="",$V133="Đã xử lý",N($U133)=0),0,IF(TDBC&lt;=$U133,0,MAX(1,MIN(4,IF((TDBC-$U133)*24&lt;24,1,IF((TDBC-$U133)*24&lt;72,2,IF((TDBC-$U133)*24&lt;168,3,4)))+IFERROR(INDEX({2,1,0,-1},MATCH($J133,{"Khẩn cấp","Cao","Trung bình","Thấp"},0)),0)))))</f>
      </c>
    </row>
    <row r="134">
      <c r="A134" s="216"/>
      <c r="B134" s="217"/>
      <c r="C134" s="218"/>
      <c r="D134" s="218"/>
      <c r="E134" s="218"/>
      <c r="F134" s="218"/>
      <c r="G134" s="216"/>
      <c r="H134" s="218"/>
      <c r="I134" s="218"/>
      <c r="J134" s="216"/>
      <c r="K134" s="218"/>
      <c r="L134" s="218"/>
      <c r="M134" s="218"/>
      <c r="N134" s="218"/>
      <c r="O134" s="219"/>
      <c r="P134" s="216"/>
      <c r="Q134" s="217"/>
      <c r="R134" s="216"/>
      <c r="S134" s="218"/>
      <c r="T134" s="218"/>
      <c r="U134" s="220">
        <f>IF($A134="","",IF(N($Q134)&gt;0,IF(MOD($Q134,1)=0,$Q134+1-1/1440,$Q134),IF(N($B134)=0,"",$B134+IF(N($AH134)&gt;0,$AH134,IFERROR(INDEX(DM_SLA_Gio,MATCH($J134,DM_SLA_Cap,0)),168))/24)))</f>
      </c>
      <c r="V134" s="221">
        <f>IF($A134="","",IF(N($AJ134)=0,"Mới tiếp nhận",INDEX('Nhật ký tiến độ'!$E:$E,$AJ134)))</f>
      </c>
      <c r="W134" s="222">
        <f>IF($A134="","",IF($V134="Đã xử lý",1,IF(N($AJ134)=0,0,N(INDEX('Nhật ký tiến độ'!$D:$D,$AJ134)))))</f>
      </c>
      <c r="X134" s="222">
        <f>IF(OR($A134="",$V134="Đã xử lý",N($U134)=0,N($B134)=0),"",IF(TDBC&lt;=$B134,0,IF(TDBC&gt;=$U134,1,(TDBC-$B134)/($U134-$B134))))</f>
      </c>
      <c r="Y134" s="223">
        <f>IF($A134="","",IF($V134="Đã xử lý","Hoàn thành",IF(N($U134)=0,"Chưa đặt hạn",IF(TDBC&gt;$U134,"Quá hạn",IF(ROUND((N($X134)-$W134)*100,0)&gt;=20,"Chậm tiến độ",IF($U134-TDBC&lt;=1,"Sắp đến hạn","Đúng tiến độ"))))))</f>
      </c>
      <c r="Z134" s="223">
        <f>IF(OR($A134="",$V134="Đã xử lý",N($U134)=0),"",IF(TDBC&gt;$U134,"Quá "&amp;IF(((TDBC-$U134)*24)&lt;1,MAX(1,ROUND(((TDBC-$U134)*24)*60,0))&amp;" phút",IF(ROUND(((TDBC-$U134)*24),0)&lt;24,ROUND(((TDBC-$U134)*24),0)&amp;" giờ",INT(ROUND(((TDBC-$U134)*24),0)/24)&amp;" ngày"&amp;IF(MOD(ROUND(((TDBC-$U134)*24),0),24)&gt;0," "&amp;MOD(ROUND(((TDBC-$U134)*24),0),24)&amp;" giờ",""))),"Còn "&amp;IF((($U134-TDBC)*24)&lt;1,MAX(1,ROUND((($U134-TDBC)*24)*60,0))&amp;" phút",IF(ROUND((($U134-TDBC)*24),0)&lt;24,ROUND((($U134-TDBC)*24),0)&amp;" giờ",INT(ROUND((($U134-TDBC)*24),0)/24)&amp;" ngày"&amp;IF(MOD(ROUND((($U134-TDBC)*24),0),24)&gt;0," "&amp;MOD(ROUND((($U134-TDBC)*24),0),24)&amp;" giờ","")))))</f>
      </c>
      <c r="AA134" s="220">
        <f>IF($V134="Đã xử lý",_xlfn.MAXIFS('Nhật ký tiến độ'!$B$6:$B$3005,'Nhật ký tiến độ'!$C$6:$C$3005,$A134,'Nhật ký tiến độ'!$E$6:$E$3005,"Đã xử lý"),"")</f>
      </c>
      <c r="AB134" s="223">
        <f>IF($AI134="","",IF($AI134&lt;1,MAX(1,ROUND($AI134*60,0))&amp;" phút",IF(ROUND($AI134,0)&lt;24,ROUND($AI134,0)&amp;" giờ",INT(ROUND($AI134,0)/24)&amp;" ngày"&amp;IF(MOD(ROUND($AI134,0),24)&gt;0," "&amp;MOD(ROUND($AI134,0),24)&amp;" giờ",""))))</f>
      </c>
      <c r="AC134" s="223">
        <f>IF(OR($A134="",N($AH134)=0),"",IF($AI134&lt;&gt;"",IF($AI134&lt;=$AH134,"Trong ước tính","Vượt "&amp;IF(($AI134-$AH134)&lt;1,MAX(1,ROUND(($AI134-$AH134)*60,0))&amp;" phút",IF(ROUND(($AI134-$AH134),0)&lt;24,ROUND(($AI134-$AH134),0)&amp;" giờ",INT(ROUND(($AI134-$AH134),0)/24)&amp;" ngày"&amp;IF(MOD(ROUND(($AI134-$AH134),0),24)&gt;0," "&amp;MOD(ROUND(($AI134-$AH134),0),24)&amp;" giờ","")))),IF(OR($V134="Đã xử lý",N($B134)=0),"",IF((TDBC-$B134)*24&gt;$AH134,"Đã vượt ước tính","Đã dùng "&amp;TEXT((TDBC-$B134)*24/$AH134,"0%")))))</f>
      </c>
      <c r="AD134" s="223">
        <f>IF(N($AO134)=0,"",CHOOSE($AO134,"Nhắc nhở","Cảnh báo","Báo động","Báo động đỏ"))</f>
      </c>
      <c r="AE134" s="223">
        <f>IF(OR(N($AA134)=0,N($U134)=0),"",IF($AA134&lt;=$U134,"Đúng hạn","Trễ hạn"))</f>
      </c>
      <c r="AF134" s="220">
        <f>IF($A134="","",_xlfn.MAXIFS('Nhật ký tiến độ'!$B$6:$B$3005,'Nhật ký tiến độ'!$C$6:$C$3005,$A134))</f>
      </c>
      <c r="AG134" s="223">
        <f>IF($A134="","",IF(COUNTIF('Kế hoạch'!$M$6:$M$305,$A134)=0,"",COUNTIF('Kế hoạch'!$M$6:$M$305,$A134)&amp;" việc"))</f>
      </c>
      <c r="AH134" s="224">
        <f>IF(OR($A134="",N($O134)&lt;=0),"",IF($P134="Giờ",$O134,$O134*24))</f>
      </c>
      <c r="AI134" s="224">
        <f>IF(OR(N($AA134)=0,N($B134)=0),"",IF($AA134&lt;$B134,"",($AA134-$B134)*24))</f>
      </c>
      <c r="AJ134" s="225">
        <f>IF($A134="","",IF(COUNTIF('Nhật ký tiến độ'!$C$6:$C$3005,$A134)=0,0,_xlfn.MAXIFS('Nhật ký tiến độ'!$N$6:$N$3005,'Nhật ký tiến độ'!$C$6:$C$3005,$A134,'Nhật ký tiến độ'!$B$6:$B$3005,_xlfn.MAXIFS('Nhật ký tiến độ'!$B$6:$B$3005,'Nhật ký tiến độ'!$C$6:$C$3005,$A134))))</f>
      </c>
      <c r="AK134" s="225">
        <f>IF(OR($A134="",$V134="Đã xử lý"),"",IF(N($AO134)&gt;0,5-$AO134,IF($J134="Khẩn cấp",5,IF($Y134="Chậm tiến độ",6,IF(OR($Y134="Sắp đến hạn",$J134="Cao"),7,"")))))</f>
      </c>
      <c r="AL134" s="225">
        <f>IF($AK134="","",$AK134*100000+IF(N($U134)=0,99999,INT($U134))+ROW()/100000)</f>
      </c>
      <c r="AM134" s="225">
        <f>IF(OR($A134="",TRIM($K134)="",COUNTIF($K$6:$K134,$K134)&gt;1),0,1)</f>
      </c>
      <c r="AN134" s="225">
        <f>IF($AM134=1,SUM($AM$6:$AM134),"")</f>
      </c>
      <c r="AO134" s="225">
        <f>IF(OR($A134="",$V134="Đã xử lý",N($U134)=0),0,IF(TDBC&lt;=$U134,0,MAX(1,MIN(4,IF((TDBC-$U134)*24&lt;24,1,IF((TDBC-$U134)*24&lt;72,2,IF((TDBC-$U134)*24&lt;168,3,4)))+IFERROR(INDEX({2,1,0,-1},MATCH($J134,{"Khẩn cấp","Cao","Trung bình","Thấp"},0)),0)))))</f>
      </c>
    </row>
    <row r="135">
      <c r="A135" s="216"/>
      <c r="B135" s="217"/>
      <c r="C135" s="218"/>
      <c r="D135" s="218"/>
      <c r="E135" s="218"/>
      <c r="F135" s="218"/>
      <c r="G135" s="216"/>
      <c r="H135" s="218"/>
      <c r="I135" s="218"/>
      <c r="J135" s="216"/>
      <c r="K135" s="218"/>
      <c r="L135" s="218"/>
      <c r="M135" s="218"/>
      <c r="N135" s="218"/>
      <c r="O135" s="219"/>
      <c r="P135" s="216"/>
      <c r="Q135" s="217"/>
      <c r="R135" s="216"/>
      <c r="S135" s="218"/>
      <c r="T135" s="218"/>
      <c r="U135" s="220">
        <f>IF($A135="","",IF(N($Q135)&gt;0,IF(MOD($Q135,1)=0,$Q135+1-1/1440,$Q135),IF(N($B135)=0,"",$B135+IF(N($AH135)&gt;0,$AH135,IFERROR(INDEX(DM_SLA_Gio,MATCH($J135,DM_SLA_Cap,0)),168))/24)))</f>
      </c>
      <c r="V135" s="221">
        <f>IF($A135="","",IF(N($AJ135)=0,"Mới tiếp nhận",INDEX('Nhật ký tiến độ'!$E:$E,$AJ135)))</f>
      </c>
      <c r="W135" s="222">
        <f>IF($A135="","",IF($V135="Đã xử lý",1,IF(N($AJ135)=0,0,N(INDEX('Nhật ký tiến độ'!$D:$D,$AJ135)))))</f>
      </c>
      <c r="X135" s="222">
        <f>IF(OR($A135="",$V135="Đã xử lý",N($U135)=0,N($B135)=0),"",IF(TDBC&lt;=$B135,0,IF(TDBC&gt;=$U135,1,(TDBC-$B135)/($U135-$B135))))</f>
      </c>
      <c r="Y135" s="223">
        <f>IF($A135="","",IF($V135="Đã xử lý","Hoàn thành",IF(N($U135)=0,"Chưa đặt hạn",IF(TDBC&gt;$U135,"Quá hạn",IF(ROUND((N($X135)-$W135)*100,0)&gt;=20,"Chậm tiến độ",IF($U135-TDBC&lt;=1,"Sắp đến hạn","Đúng tiến độ"))))))</f>
      </c>
      <c r="Z135" s="223">
        <f>IF(OR($A135="",$V135="Đã xử lý",N($U135)=0),"",IF(TDBC&gt;$U135,"Quá "&amp;IF(((TDBC-$U135)*24)&lt;1,MAX(1,ROUND(((TDBC-$U135)*24)*60,0))&amp;" phút",IF(ROUND(((TDBC-$U135)*24),0)&lt;24,ROUND(((TDBC-$U135)*24),0)&amp;" giờ",INT(ROUND(((TDBC-$U135)*24),0)/24)&amp;" ngày"&amp;IF(MOD(ROUND(((TDBC-$U135)*24),0),24)&gt;0," "&amp;MOD(ROUND(((TDBC-$U135)*24),0),24)&amp;" giờ",""))),"Còn "&amp;IF((($U135-TDBC)*24)&lt;1,MAX(1,ROUND((($U135-TDBC)*24)*60,0))&amp;" phút",IF(ROUND((($U135-TDBC)*24),0)&lt;24,ROUND((($U135-TDBC)*24),0)&amp;" giờ",INT(ROUND((($U135-TDBC)*24),0)/24)&amp;" ngày"&amp;IF(MOD(ROUND((($U135-TDBC)*24),0),24)&gt;0," "&amp;MOD(ROUND((($U135-TDBC)*24),0),24)&amp;" giờ","")))))</f>
      </c>
      <c r="AA135" s="220">
        <f>IF($V135="Đã xử lý",_xlfn.MAXIFS('Nhật ký tiến độ'!$B$6:$B$3005,'Nhật ký tiến độ'!$C$6:$C$3005,$A135,'Nhật ký tiến độ'!$E$6:$E$3005,"Đã xử lý"),"")</f>
      </c>
      <c r="AB135" s="223">
        <f>IF($AI135="","",IF($AI135&lt;1,MAX(1,ROUND($AI135*60,0))&amp;" phút",IF(ROUND($AI135,0)&lt;24,ROUND($AI135,0)&amp;" giờ",INT(ROUND($AI135,0)/24)&amp;" ngày"&amp;IF(MOD(ROUND($AI135,0),24)&gt;0," "&amp;MOD(ROUND($AI135,0),24)&amp;" giờ",""))))</f>
      </c>
      <c r="AC135" s="223">
        <f>IF(OR($A135="",N($AH135)=0),"",IF($AI135&lt;&gt;"",IF($AI135&lt;=$AH135,"Trong ước tính","Vượt "&amp;IF(($AI135-$AH135)&lt;1,MAX(1,ROUND(($AI135-$AH135)*60,0))&amp;" phút",IF(ROUND(($AI135-$AH135),0)&lt;24,ROUND(($AI135-$AH135),0)&amp;" giờ",INT(ROUND(($AI135-$AH135),0)/24)&amp;" ngày"&amp;IF(MOD(ROUND(($AI135-$AH135),0),24)&gt;0," "&amp;MOD(ROUND(($AI135-$AH135),0),24)&amp;" giờ","")))),IF(OR($V135="Đã xử lý",N($B135)=0),"",IF((TDBC-$B135)*24&gt;$AH135,"Đã vượt ước tính","Đã dùng "&amp;TEXT((TDBC-$B135)*24/$AH135,"0%")))))</f>
      </c>
      <c r="AD135" s="223">
        <f>IF(N($AO135)=0,"",CHOOSE($AO135,"Nhắc nhở","Cảnh báo","Báo động","Báo động đỏ"))</f>
      </c>
      <c r="AE135" s="223">
        <f>IF(OR(N($AA135)=0,N($U135)=0),"",IF($AA135&lt;=$U135,"Đúng hạn","Trễ hạn"))</f>
      </c>
      <c r="AF135" s="220">
        <f>IF($A135="","",_xlfn.MAXIFS('Nhật ký tiến độ'!$B$6:$B$3005,'Nhật ký tiến độ'!$C$6:$C$3005,$A135))</f>
      </c>
      <c r="AG135" s="223">
        <f>IF($A135="","",IF(COUNTIF('Kế hoạch'!$M$6:$M$305,$A135)=0,"",COUNTIF('Kế hoạch'!$M$6:$M$305,$A135)&amp;" việc"))</f>
      </c>
      <c r="AH135" s="224">
        <f>IF(OR($A135="",N($O135)&lt;=0),"",IF($P135="Giờ",$O135,$O135*24))</f>
      </c>
      <c r="AI135" s="224">
        <f>IF(OR(N($AA135)=0,N($B135)=0),"",IF($AA135&lt;$B135,"",($AA135-$B135)*24))</f>
      </c>
      <c r="AJ135" s="225">
        <f>IF($A135="","",IF(COUNTIF('Nhật ký tiến độ'!$C$6:$C$3005,$A135)=0,0,_xlfn.MAXIFS('Nhật ký tiến độ'!$N$6:$N$3005,'Nhật ký tiến độ'!$C$6:$C$3005,$A135,'Nhật ký tiến độ'!$B$6:$B$3005,_xlfn.MAXIFS('Nhật ký tiến độ'!$B$6:$B$3005,'Nhật ký tiến độ'!$C$6:$C$3005,$A135))))</f>
      </c>
      <c r="AK135" s="225">
        <f>IF(OR($A135="",$V135="Đã xử lý"),"",IF(N($AO135)&gt;0,5-$AO135,IF($J135="Khẩn cấp",5,IF($Y135="Chậm tiến độ",6,IF(OR($Y135="Sắp đến hạn",$J135="Cao"),7,"")))))</f>
      </c>
      <c r="AL135" s="225">
        <f>IF($AK135="","",$AK135*100000+IF(N($U135)=0,99999,INT($U135))+ROW()/100000)</f>
      </c>
      <c r="AM135" s="225">
        <f>IF(OR($A135="",TRIM($K135)="",COUNTIF($K$6:$K135,$K135)&gt;1),0,1)</f>
      </c>
      <c r="AN135" s="225">
        <f>IF($AM135=1,SUM($AM$6:$AM135),"")</f>
      </c>
      <c r="AO135" s="225">
        <f>IF(OR($A135="",$V135="Đã xử lý",N($U135)=0),0,IF(TDBC&lt;=$U135,0,MAX(1,MIN(4,IF((TDBC-$U135)*24&lt;24,1,IF((TDBC-$U135)*24&lt;72,2,IF((TDBC-$U135)*24&lt;168,3,4)))+IFERROR(INDEX({2,1,0,-1},MATCH($J135,{"Khẩn cấp","Cao","Trung bình","Thấp"},0)),0)))))</f>
      </c>
    </row>
    <row r="136">
      <c r="A136" s="216"/>
      <c r="B136" s="217"/>
      <c r="C136" s="218"/>
      <c r="D136" s="218"/>
      <c r="E136" s="218"/>
      <c r="F136" s="218"/>
      <c r="G136" s="216"/>
      <c r="H136" s="218"/>
      <c r="I136" s="218"/>
      <c r="J136" s="216"/>
      <c r="K136" s="218"/>
      <c r="L136" s="218"/>
      <c r="M136" s="218"/>
      <c r="N136" s="218"/>
      <c r="O136" s="219"/>
      <c r="P136" s="216"/>
      <c r="Q136" s="217"/>
      <c r="R136" s="216"/>
      <c r="S136" s="218"/>
      <c r="T136" s="218"/>
      <c r="U136" s="220">
        <f>IF($A136="","",IF(N($Q136)&gt;0,IF(MOD($Q136,1)=0,$Q136+1-1/1440,$Q136),IF(N($B136)=0,"",$B136+IF(N($AH136)&gt;0,$AH136,IFERROR(INDEX(DM_SLA_Gio,MATCH($J136,DM_SLA_Cap,0)),168))/24)))</f>
      </c>
      <c r="V136" s="221">
        <f>IF($A136="","",IF(N($AJ136)=0,"Mới tiếp nhận",INDEX('Nhật ký tiến độ'!$E:$E,$AJ136)))</f>
      </c>
      <c r="W136" s="222">
        <f>IF($A136="","",IF($V136="Đã xử lý",1,IF(N($AJ136)=0,0,N(INDEX('Nhật ký tiến độ'!$D:$D,$AJ136)))))</f>
      </c>
      <c r="X136" s="222">
        <f>IF(OR($A136="",$V136="Đã xử lý",N($U136)=0,N($B136)=0),"",IF(TDBC&lt;=$B136,0,IF(TDBC&gt;=$U136,1,(TDBC-$B136)/($U136-$B136))))</f>
      </c>
      <c r="Y136" s="223">
        <f>IF($A136="","",IF($V136="Đã xử lý","Hoàn thành",IF(N($U136)=0,"Chưa đặt hạn",IF(TDBC&gt;$U136,"Quá hạn",IF(ROUND((N($X136)-$W136)*100,0)&gt;=20,"Chậm tiến độ",IF($U136-TDBC&lt;=1,"Sắp đến hạn","Đúng tiến độ"))))))</f>
      </c>
      <c r="Z136" s="223">
        <f>IF(OR($A136="",$V136="Đã xử lý",N($U136)=0),"",IF(TDBC&gt;$U136,"Quá "&amp;IF(((TDBC-$U136)*24)&lt;1,MAX(1,ROUND(((TDBC-$U136)*24)*60,0))&amp;" phút",IF(ROUND(((TDBC-$U136)*24),0)&lt;24,ROUND(((TDBC-$U136)*24),0)&amp;" giờ",INT(ROUND(((TDBC-$U136)*24),0)/24)&amp;" ngày"&amp;IF(MOD(ROUND(((TDBC-$U136)*24),0),24)&gt;0," "&amp;MOD(ROUND(((TDBC-$U136)*24),0),24)&amp;" giờ",""))),"Còn "&amp;IF((($U136-TDBC)*24)&lt;1,MAX(1,ROUND((($U136-TDBC)*24)*60,0))&amp;" phút",IF(ROUND((($U136-TDBC)*24),0)&lt;24,ROUND((($U136-TDBC)*24),0)&amp;" giờ",INT(ROUND((($U136-TDBC)*24),0)/24)&amp;" ngày"&amp;IF(MOD(ROUND((($U136-TDBC)*24),0),24)&gt;0," "&amp;MOD(ROUND((($U136-TDBC)*24),0),24)&amp;" giờ","")))))</f>
      </c>
      <c r="AA136" s="220">
        <f>IF($V136="Đã xử lý",_xlfn.MAXIFS('Nhật ký tiến độ'!$B$6:$B$3005,'Nhật ký tiến độ'!$C$6:$C$3005,$A136,'Nhật ký tiến độ'!$E$6:$E$3005,"Đã xử lý"),"")</f>
      </c>
      <c r="AB136" s="223">
        <f>IF($AI136="","",IF($AI136&lt;1,MAX(1,ROUND($AI136*60,0))&amp;" phút",IF(ROUND($AI136,0)&lt;24,ROUND($AI136,0)&amp;" giờ",INT(ROUND($AI136,0)/24)&amp;" ngày"&amp;IF(MOD(ROUND($AI136,0),24)&gt;0," "&amp;MOD(ROUND($AI136,0),24)&amp;" giờ",""))))</f>
      </c>
      <c r="AC136" s="223">
        <f>IF(OR($A136="",N($AH136)=0),"",IF($AI136&lt;&gt;"",IF($AI136&lt;=$AH136,"Trong ước tính","Vượt "&amp;IF(($AI136-$AH136)&lt;1,MAX(1,ROUND(($AI136-$AH136)*60,0))&amp;" phút",IF(ROUND(($AI136-$AH136),0)&lt;24,ROUND(($AI136-$AH136),0)&amp;" giờ",INT(ROUND(($AI136-$AH136),0)/24)&amp;" ngày"&amp;IF(MOD(ROUND(($AI136-$AH136),0),24)&gt;0," "&amp;MOD(ROUND(($AI136-$AH136),0),24)&amp;" giờ","")))),IF(OR($V136="Đã xử lý",N($B136)=0),"",IF((TDBC-$B136)*24&gt;$AH136,"Đã vượt ước tính","Đã dùng "&amp;TEXT((TDBC-$B136)*24/$AH136,"0%")))))</f>
      </c>
      <c r="AD136" s="223">
        <f>IF(N($AO136)=0,"",CHOOSE($AO136,"Nhắc nhở","Cảnh báo","Báo động","Báo động đỏ"))</f>
      </c>
      <c r="AE136" s="223">
        <f>IF(OR(N($AA136)=0,N($U136)=0),"",IF($AA136&lt;=$U136,"Đúng hạn","Trễ hạn"))</f>
      </c>
      <c r="AF136" s="220">
        <f>IF($A136="","",_xlfn.MAXIFS('Nhật ký tiến độ'!$B$6:$B$3005,'Nhật ký tiến độ'!$C$6:$C$3005,$A136))</f>
      </c>
      <c r="AG136" s="223">
        <f>IF($A136="","",IF(COUNTIF('Kế hoạch'!$M$6:$M$305,$A136)=0,"",COUNTIF('Kế hoạch'!$M$6:$M$305,$A136)&amp;" việc"))</f>
      </c>
      <c r="AH136" s="224">
        <f>IF(OR($A136="",N($O136)&lt;=0),"",IF($P136="Giờ",$O136,$O136*24))</f>
      </c>
      <c r="AI136" s="224">
        <f>IF(OR(N($AA136)=0,N($B136)=0),"",IF($AA136&lt;$B136,"",($AA136-$B136)*24))</f>
      </c>
      <c r="AJ136" s="225">
        <f>IF($A136="","",IF(COUNTIF('Nhật ký tiến độ'!$C$6:$C$3005,$A136)=0,0,_xlfn.MAXIFS('Nhật ký tiến độ'!$N$6:$N$3005,'Nhật ký tiến độ'!$C$6:$C$3005,$A136,'Nhật ký tiến độ'!$B$6:$B$3005,_xlfn.MAXIFS('Nhật ký tiến độ'!$B$6:$B$3005,'Nhật ký tiến độ'!$C$6:$C$3005,$A136))))</f>
      </c>
      <c r="AK136" s="225">
        <f>IF(OR($A136="",$V136="Đã xử lý"),"",IF(N($AO136)&gt;0,5-$AO136,IF($J136="Khẩn cấp",5,IF($Y136="Chậm tiến độ",6,IF(OR($Y136="Sắp đến hạn",$J136="Cao"),7,"")))))</f>
      </c>
      <c r="AL136" s="225">
        <f>IF($AK136="","",$AK136*100000+IF(N($U136)=0,99999,INT($U136))+ROW()/100000)</f>
      </c>
      <c r="AM136" s="225">
        <f>IF(OR($A136="",TRIM($K136)="",COUNTIF($K$6:$K136,$K136)&gt;1),0,1)</f>
      </c>
      <c r="AN136" s="225">
        <f>IF($AM136=1,SUM($AM$6:$AM136),"")</f>
      </c>
      <c r="AO136" s="225">
        <f>IF(OR($A136="",$V136="Đã xử lý",N($U136)=0),0,IF(TDBC&lt;=$U136,0,MAX(1,MIN(4,IF((TDBC-$U136)*24&lt;24,1,IF((TDBC-$U136)*24&lt;72,2,IF((TDBC-$U136)*24&lt;168,3,4)))+IFERROR(INDEX({2,1,0,-1},MATCH($J136,{"Khẩn cấp","Cao","Trung bình","Thấp"},0)),0)))))</f>
      </c>
    </row>
    <row r="137">
      <c r="A137" s="216"/>
      <c r="B137" s="217"/>
      <c r="C137" s="218"/>
      <c r="D137" s="218"/>
      <c r="E137" s="218"/>
      <c r="F137" s="218"/>
      <c r="G137" s="216"/>
      <c r="H137" s="218"/>
      <c r="I137" s="218"/>
      <c r="J137" s="216"/>
      <c r="K137" s="218"/>
      <c r="L137" s="218"/>
      <c r="M137" s="218"/>
      <c r="N137" s="218"/>
      <c r="O137" s="219"/>
      <c r="P137" s="216"/>
      <c r="Q137" s="217"/>
      <c r="R137" s="216"/>
      <c r="S137" s="218"/>
      <c r="T137" s="218"/>
      <c r="U137" s="220">
        <f>IF($A137="","",IF(N($Q137)&gt;0,IF(MOD($Q137,1)=0,$Q137+1-1/1440,$Q137),IF(N($B137)=0,"",$B137+IF(N($AH137)&gt;0,$AH137,IFERROR(INDEX(DM_SLA_Gio,MATCH($J137,DM_SLA_Cap,0)),168))/24)))</f>
      </c>
      <c r="V137" s="221">
        <f>IF($A137="","",IF(N($AJ137)=0,"Mới tiếp nhận",INDEX('Nhật ký tiến độ'!$E:$E,$AJ137)))</f>
      </c>
      <c r="W137" s="222">
        <f>IF($A137="","",IF($V137="Đã xử lý",1,IF(N($AJ137)=0,0,N(INDEX('Nhật ký tiến độ'!$D:$D,$AJ137)))))</f>
      </c>
      <c r="X137" s="222">
        <f>IF(OR($A137="",$V137="Đã xử lý",N($U137)=0,N($B137)=0),"",IF(TDBC&lt;=$B137,0,IF(TDBC&gt;=$U137,1,(TDBC-$B137)/($U137-$B137))))</f>
      </c>
      <c r="Y137" s="223">
        <f>IF($A137="","",IF($V137="Đã xử lý","Hoàn thành",IF(N($U137)=0,"Chưa đặt hạn",IF(TDBC&gt;$U137,"Quá hạn",IF(ROUND((N($X137)-$W137)*100,0)&gt;=20,"Chậm tiến độ",IF($U137-TDBC&lt;=1,"Sắp đến hạn","Đúng tiến độ"))))))</f>
      </c>
      <c r="Z137" s="223">
        <f>IF(OR($A137="",$V137="Đã xử lý",N($U137)=0),"",IF(TDBC&gt;$U137,"Quá "&amp;IF(((TDBC-$U137)*24)&lt;1,MAX(1,ROUND(((TDBC-$U137)*24)*60,0))&amp;" phút",IF(ROUND(((TDBC-$U137)*24),0)&lt;24,ROUND(((TDBC-$U137)*24),0)&amp;" giờ",INT(ROUND(((TDBC-$U137)*24),0)/24)&amp;" ngày"&amp;IF(MOD(ROUND(((TDBC-$U137)*24),0),24)&gt;0," "&amp;MOD(ROUND(((TDBC-$U137)*24),0),24)&amp;" giờ",""))),"Còn "&amp;IF((($U137-TDBC)*24)&lt;1,MAX(1,ROUND((($U137-TDBC)*24)*60,0))&amp;" phút",IF(ROUND((($U137-TDBC)*24),0)&lt;24,ROUND((($U137-TDBC)*24),0)&amp;" giờ",INT(ROUND((($U137-TDBC)*24),0)/24)&amp;" ngày"&amp;IF(MOD(ROUND((($U137-TDBC)*24),0),24)&gt;0," "&amp;MOD(ROUND((($U137-TDBC)*24),0),24)&amp;" giờ","")))))</f>
      </c>
      <c r="AA137" s="220">
        <f>IF($V137="Đã xử lý",_xlfn.MAXIFS('Nhật ký tiến độ'!$B$6:$B$3005,'Nhật ký tiến độ'!$C$6:$C$3005,$A137,'Nhật ký tiến độ'!$E$6:$E$3005,"Đã xử lý"),"")</f>
      </c>
      <c r="AB137" s="223">
        <f>IF($AI137="","",IF($AI137&lt;1,MAX(1,ROUND($AI137*60,0))&amp;" phút",IF(ROUND($AI137,0)&lt;24,ROUND($AI137,0)&amp;" giờ",INT(ROUND($AI137,0)/24)&amp;" ngày"&amp;IF(MOD(ROUND($AI137,0),24)&gt;0," "&amp;MOD(ROUND($AI137,0),24)&amp;" giờ",""))))</f>
      </c>
      <c r="AC137" s="223">
        <f>IF(OR($A137="",N($AH137)=0),"",IF($AI137&lt;&gt;"",IF($AI137&lt;=$AH137,"Trong ước tính","Vượt "&amp;IF(($AI137-$AH137)&lt;1,MAX(1,ROUND(($AI137-$AH137)*60,0))&amp;" phút",IF(ROUND(($AI137-$AH137),0)&lt;24,ROUND(($AI137-$AH137),0)&amp;" giờ",INT(ROUND(($AI137-$AH137),0)/24)&amp;" ngày"&amp;IF(MOD(ROUND(($AI137-$AH137),0),24)&gt;0," "&amp;MOD(ROUND(($AI137-$AH137),0),24)&amp;" giờ","")))),IF(OR($V137="Đã xử lý",N($B137)=0),"",IF((TDBC-$B137)*24&gt;$AH137,"Đã vượt ước tính","Đã dùng "&amp;TEXT((TDBC-$B137)*24/$AH137,"0%")))))</f>
      </c>
      <c r="AD137" s="223">
        <f>IF(N($AO137)=0,"",CHOOSE($AO137,"Nhắc nhở","Cảnh báo","Báo động","Báo động đỏ"))</f>
      </c>
      <c r="AE137" s="223">
        <f>IF(OR(N($AA137)=0,N($U137)=0),"",IF($AA137&lt;=$U137,"Đúng hạn","Trễ hạn"))</f>
      </c>
      <c r="AF137" s="220">
        <f>IF($A137="","",_xlfn.MAXIFS('Nhật ký tiến độ'!$B$6:$B$3005,'Nhật ký tiến độ'!$C$6:$C$3005,$A137))</f>
      </c>
      <c r="AG137" s="223">
        <f>IF($A137="","",IF(COUNTIF('Kế hoạch'!$M$6:$M$305,$A137)=0,"",COUNTIF('Kế hoạch'!$M$6:$M$305,$A137)&amp;" việc"))</f>
      </c>
      <c r="AH137" s="224">
        <f>IF(OR($A137="",N($O137)&lt;=0),"",IF($P137="Giờ",$O137,$O137*24))</f>
      </c>
      <c r="AI137" s="224">
        <f>IF(OR(N($AA137)=0,N($B137)=0),"",IF($AA137&lt;$B137,"",($AA137-$B137)*24))</f>
      </c>
      <c r="AJ137" s="225">
        <f>IF($A137="","",IF(COUNTIF('Nhật ký tiến độ'!$C$6:$C$3005,$A137)=0,0,_xlfn.MAXIFS('Nhật ký tiến độ'!$N$6:$N$3005,'Nhật ký tiến độ'!$C$6:$C$3005,$A137,'Nhật ký tiến độ'!$B$6:$B$3005,_xlfn.MAXIFS('Nhật ký tiến độ'!$B$6:$B$3005,'Nhật ký tiến độ'!$C$6:$C$3005,$A137))))</f>
      </c>
      <c r="AK137" s="225">
        <f>IF(OR($A137="",$V137="Đã xử lý"),"",IF(N($AO137)&gt;0,5-$AO137,IF($J137="Khẩn cấp",5,IF($Y137="Chậm tiến độ",6,IF(OR($Y137="Sắp đến hạn",$J137="Cao"),7,"")))))</f>
      </c>
      <c r="AL137" s="225">
        <f>IF($AK137="","",$AK137*100000+IF(N($U137)=0,99999,INT($U137))+ROW()/100000)</f>
      </c>
      <c r="AM137" s="225">
        <f>IF(OR($A137="",TRIM($K137)="",COUNTIF($K$6:$K137,$K137)&gt;1),0,1)</f>
      </c>
      <c r="AN137" s="225">
        <f>IF($AM137=1,SUM($AM$6:$AM137),"")</f>
      </c>
      <c r="AO137" s="225">
        <f>IF(OR($A137="",$V137="Đã xử lý",N($U137)=0),0,IF(TDBC&lt;=$U137,0,MAX(1,MIN(4,IF((TDBC-$U137)*24&lt;24,1,IF((TDBC-$U137)*24&lt;72,2,IF((TDBC-$U137)*24&lt;168,3,4)))+IFERROR(INDEX({2,1,0,-1},MATCH($J137,{"Khẩn cấp","Cao","Trung bình","Thấp"},0)),0)))))</f>
      </c>
    </row>
    <row r="138">
      <c r="A138" s="216"/>
      <c r="B138" s="217"/>
      <c r="C138" s="218"/>
      <c r="D138" s="218"/>
      <c r="E138" s="218"/>
      <c r="F138" s="218"/>
      <c r="G138" s="216"/>
      <c r="H138" s="218"/>
      <c r="I138" s="218"/>
      <c r="J138" s="216"/>
      <c r="K138" s="218"/>
      <c r="L138" s="218"/>
      <c r="M138" s="218"/>
      <c r="N138" s="218"/>
      <c r="O138" s="219"/>
      <c r="P138" s="216"/>
      <c r="Q138" s="217"/>
      <c r="R138" s="216"/>
      <c r="S138" s="218"/>
      <c r="T138" s="218"/>
      <c r="U138" s="220">
        <f>IF($A138="","",IF(N($Q138)&gt;0,IF(MOD($Q138,1)=0,$Q138+1-1/1440,$Q138),IF(N($B138)=0,"",$B138+IF(N($AH138)&gt;0,$AH138,IFERROR(INDEX(DM_SLA_Gio,MATCH($J138,DM_SLA_Cap,0)),168))/24)))</f>
      </c>
      <c r="V138" s="221">
        <f>IF($A138="","",IF(N($AJ138)=0,"Mới tiếp nhận",INDEX('Nhật ký tiến độ'!$E:$E,$AJ138)))</f>
      </c>
      <c r="W138" s="222">
        <f>IF($A138="","",IF($V138="Đã xử lý",1,IF(N($AJ138)=0,0,N(INDEX('Nhật ký tiến độ'!$D:$D,$AJ138)))))</f>
      </c>
      <c r="X138" s="222">
        <f>IF(OR($A138="",$V138="Đã xử lý",N($U138)=0,N($B138)=0),"",IF(TDBC&lt;=$B138,0,IF(TDBC&gt;=$U138,1,(TDBC-$B138)/($U138-$B138))))</f>
      </c>
      <c r="Y138" s="223">
        <f>IF($A138="","",IF($V138="Đã xử lý","Hoàn thành",IF(N($U138)=0,"Chưa đặt hạn",IF(TDBC&gt;$U138,"Quá hạn",IF(ROUND((N($X138)-$W138)*100,0)&gt;=20,"Chậm tiến độ",IF($U138-TDBC&lt;=1,"Sắp đến hạn","Đúng tiến độ"))))))</f>
      </c>
      <c r="Z138" s="223">
        <f>IF(OR($A138="",$V138="Đã xử lý",N($U138)=0),"",IF(TDBC&gt;$U138,"Quá "&amp;IF(((TDBC-$U138)*24)&lt;1,MAX(1,ROUND(((TDBC-$U138)*24)*60,0))&amp;" phút",IF(ROUND(((TDBC-$U138)*24),0)&lt;24,ROUND(((TDBC-$U138)*24),0)&amp;" giờ",INT(ROUND(((TDBC-$U138)*24),0)/24)&amp;" ngày"&amp;IF(MOD(ROUND(((TDBC-$U138)*24),0),24)&gt;0," "&amp;MOD(ROUND(((TDBC-$U138)*24),0),24)&amp;" giờ",""))),"Còn "&amp;IF((($U138-TDBC)*24)&lt;1,MAX(1,ROUND((($U138-TDBC)*24)*60,0))&amp;" phút",IF(ROUND((($U138-TDBC)*24),0)&lt;24,ROUND((($U138-TDBC)*24),0)&amp;" giờ",INT(ROUND((($U138-TDBC)*24),0)/24)&amp;" ngày"&amp;IF(MOD(ROUND((($U138-TDBC)*24),0),24)&gt;0," "&amp;MOD(ROUND((($U138-TDBC)*24),0),24)&amp;" giờ","")))))</f>
      </c>
      <c r="AA138" s="220">
        <f>IF($V138="Đã xử lý",_xlfn.MAXIFS('Nhật ký tiến độ'!$B$6:$B$3005,'Nhật ký tiến độ'!$C$6:$C$3005,$A138,'Nhật ký tiến độ'!$E$6:$E$3005,"Đã xử lý"),"")</f>
      </c>
      <c r="AB138" s="223">
        <f>IF($AI138="","",IF($AI138&lt;1,MAX(1,ROUND($AI138*60,0))&amp;" phút",IF(ROUND($AI138,0)&lt;24,ROUND($AI138,0)&amp;" giờ",INT(ROUND($AI138,0)/24)&amp;" ngày"&amp;IF(MOD(ROUND($AI138,0),24)&gt;0," "&amp;MOD(ROUND($AI138,0),24)&amp;" giờ",""))))</f>
      </c>
      <c r="AC138" s="223">
        <f>IF(OR($A138="",N($AH138)=0),"",IF($AI138&lt;&gt;"",IF($AI138&lt;=$AH138,"Trong ước tính","Vượt "&amp;IF(($AI138-$AH138)&lt;1,MAX(1,ROUND(($AI138-$AH138)*60,0))&amp;" phút",IF(ROUND(($AI138-$AH138),0)&lt;24,ROUND(($AI138-$AH138),0)&amp;" giờ",INT(ROUND(($AI138-$AH138),0)/24)&amp;" ngày"&amp;IF(MOD(ROUND(($AI138-$AH138),0),24)&gt;0," "&amp;MOD(ROUND(($AI138-$AH138),0),24)&amp;" giờ","")))),IF(OR($V138="Đã xử lý",N($B138)=0),"",IF((TDBC-$B138)*24&gt;$AH138,"Đã vượt ước tính","Đã dùng "&amp;TEXT((TDBC-$B138)*24/$AH138,"0%")))))</f>
      </c>
      <c r="AD138" s="223">
        <f>IF(N($AO138)=0,"",CHOOSE($AO138,"Nhắc nhở","Cảnh báo","Báo động","Báo động đỏ"))</f>
      </c>
      <c r="AE138" s="223">
        <f>IF(OR(N($AA138)=0,N($U138)=0),"",IF($AA138&lt;=$U138,"Đúng hạn","Trễ hạn"))</f>
      </c>
      <c r="AF138" s="220">
        <f>IF($A138="","",_xlfn.MAXIFS('Nhật ký tiến độ'!$B$6:$B$3005,'Nhật ký tiến độ'!$C$6:$C$3005,$A138))</f>
      </c>
      <c r="AG138" s="223">
        <f>IF($A138="","",IF(COUNTIF('Kế hoạch'!$M$6:$M$305,$A138)=0,"",COUNTIF('Kế hoạch'!$M$6:$M$305,$A138)&amp;" việc"))</f>
      </c>
      <c r="AH138" s="224">
        <f>IF(OR($A138="",N($O138)&lt;=0),"",IF($P138="Giờ",$O138,$O138*24))</f>
      </c>
      <c r="AI138" s="224">
        <f>IF(OR(N($AA138)=0,N($B138)=0),"",IF($AA138&lt;$B138,"",($AA138-$B138)*24))</f>
      </c>
      <c r="AJ138" s="225">
        <f>IF($A138="","",IF(COUNTIF('Nhật ký tiến độ'!$C$6:$C$3005,$A138)=0,0,_xlfn.MAXIFS('Nhật ký tiến độ'!$N$6:$N$3005,'Nhật ký tiến độ'!$C$6:$C$3005,$A138,'Nhật ký tiến độ'!$B$6:$B$3005,_xlfn.MAXIFS('Nhật ký tiến độ'!$B$6:$B$3005,'Nhật ký tiến độ'!$C$6:$C$3005,$A138))))</f>
      </c>
      <c r="AK138" s="225">
        <f>IF(OR($A138="",$V138="Đã xử lý"),"",IF(N($AO138)&gt;0,5-$AO138,IF($J138="Khẩn cấp",5,IF($Y138="Chậm tiến độ",6,IF(OR($Y138="Sắp đến hạn",$J138="Cao"),7,"")))))</f>
      </c>
      <c r="AL138" s="225">
        <f>IF($AK138="","",$AK138*100000+IF(N($U138)=0,99999,INT($U138))+ROW()/100000)</f>
      </c>
      <c r="AM138" s="225">
        <f>IF(OR($A138="",TRIM($K138)="",COUNTIF($K$6:$K138,$K138)&gt;1),0,1)</f>
      </c>
      <c r="AN138" s="225">
        <f>IF($AM138=1,SUM($AM$6:$AM138),"")</f>
      </c>
      <c r="AO138" s="225">
        <f>IF(OR($A138="",$V138="Đã xử lý",N($U138)=0),0,IF(TDBC&lt;=$U138,0,MAX(1,MIN(4,IF((TDBC-$U138)*24&lt;24,1,IF((TDBC-$U138)*24&lt;72,2,IF((TDBC-$U138)*24&lt;168,3,4)))+IFERROR(INDEX({2,1,0,-1},MATCH($J138,{"Khẩn cấp","Cao","Trung bình","Thấp"},0)),0)))))</f>
      </c>
    </row>
    <row r="139">
      <c r="A139" s="216"/>
      <c r="B139" s="217"/>
      <c r="C139" s="218"/>
      <c r="D139" s="218"/>
      <c r="E139" s="218"/>
      <c r="F139" s="218"/>
      <c r="G139" s="216"/>
      <c r="H139" s="218"/>
      <c r="I139" s="218"/>
      <c r="J139" s="216"/>
      <c r="K139" s="218"/>
      <c r="L139" s="218"/>
      <c r="M139" s="218"/>
      <c r="N139" s="218"/>
      <c r="O139" s="219"/>
      <c r="P139" s="216"/>
      <c r="Q139" s="217"/>
      <c r="R139" s="216"/>
      <c r="S139" s="218"/>
      <c r="T139" s="218"/>
      <c r="U139" s="220">
        <f>IF($A139="","",IF(N($Q139)&gt;0,IF(MOD($Q139,1)=0,$Q139+1-1/1440,$Q139),IF(N($B139)=0,"",$B139+IF(N($AH139)&gt;0,$AH139,IFERROR(INDEX(DM_SLA_Gio,MATCH($J139,DM_SLA_Cap,0)),168))/24)))</f>
      </c>
      <c r="V139" s="221">
        <f>IF($A139="","",IF(N($AJ139)=0,"Mới tiếp nhận",INDEX('Nhật ký tiến độ'!$E:$E,$AJ139)))</f>
      </c>
      <c r="W139" s="222">
        <f>IF($A139="","",IF($V139="Đã xử lý",1,IF(N($AJ139)=0,0,N(INDEX('Nhật ký tiến độ'!$D:$D,$AJ139)))))</f>
      </c>
      <c r="X139" s="222">
        <f>IF(OR($A139="",$V139="Đã xử lý",N($U139)=0,N($B139)=0),"",IF(TDBC&lt;=$B139,0,IF(TDBC&gt;=$U139,1,(TDBC-$B139)/($U139-$B139))))</f>
      </c>
      <c r="Y139" s="223">
        <f>IF($A139="","",IF($V139="Đã xử lý","Hoàn thành",IF(N($U139)=0,"Chưa đặt hạn",IF(TDBC&gt;$U139,"Quá hạn",IF(ROUND((N($X139)-$W139)*100,0)&gt;=20,"Chậm tiến độ",IF($U139-TDBC&lt;=1,"Sắp đến hạn","Đúng tiến độ"))))))</f>
      </c>
      <c r="Z139" s="223">
        <f>IF(OR($A139="",$V139="Đã xử lý",N($U139)=0),"",IF(TDBC&gt;$U139,"Quá "&amp;IF(((TDBC-$U139)*24)&lt;1,MAX(1,ROUND(((TDBC-$U139)*24)*60,0))&amp;" phút",IF(ROUND(((TDBC-$U139)*24),0)&lt;24,ROUND(((TDBC-$U139)*24),0)&amp;" giờ",INT(ROUND(((TDBC-$U139)*24),0)/24)&amp;" ngày"&amp;IF(MOD(ROUND(((TDBC-$U139)*24),0),24)&gt;0," "&amp;MOD(ROUND(((TDBC-$U139)*24),0),24)&amp;" giờ",""))),"Còn "&amp;IF((($U139-TDBC)*24)&lt;1,MAX(1,ROUND((($U139-TDBC)*24)*60,0))&amp;" phút",IF(ROUND((($U139-TDBC)*24),0)&lt;24,ROUND((($U139-TDBC)*24),0)&amp;" giờ",INT(ROUND((($U139-TDBC)*24),0)/24)&amp;" ngày"&amp;IF(MOD(ROUND((($U139-TDBC)*24),0),24)&gt;0," "&amp;MOD(ROUND((($U139-TDBC)*24),0),24)&amp;" giờ","")))))</f>
      </c>
      <c r="AA139" s="220">
        <f>IF($V139="Đã xử lý",_xlfn.MAXIFS('Nhật ký tiến độ'!$B$6:$B$3005,'Nhật ký tiến độ'!$C$6:$C$3005,$A139,'Nhật ký tiến độ'!$E$6:$E$3005,"Đã xử lý"),"")</f>
      </c>
      <c r="AB139" s="223">
        <f>IF($AI139="","",IF($AI139&lt;1,MAX(1,ROUND($AI139*60,0))&amp;" phút",IF(ROUND($AI139,0)&lt;24,ROUND($AI139,0)&amp;" giờ",INT(ROUND($AI139,0)/24)&amp;" ngày"&amp;IF(MOD(ROUND($AI139,0),24)&gt;0," "&amp;MOD(ROUND($AI139,0),24)&amp;" giờ",""))))</f>
      </c>
      <c r="AC139" s="223">
        <f>IF(OR($A139="",N($AH139)=0),"",IF($AI139&lt;&gt;"",IF($AI139&lt;=$AH139,"Trong ước tính","Vượt "&amp;IF(($AI139-$AH139)&lt;1,MAX(1,ROUND(($AI139-$AH139)*60,0))&amp;" phút",IF(ROUND(($AI139-$AH139),0)&lt;24,ROUND(($AI139-$AH139),0)&amp;" giờ",INT(ROUND(($AI139-$AH139),0)/24)&amp;" ngày"&amp;IF(MOD(ROUND(($AI139-$AH139),0),24)&gt;0," "&amp;MOD(ROUND(($AI139-$AH139),0),24)&amp;" giờ","")))),IF(OR($V139="Đã xử lý",N($B139)=0),"",IF((TDBC-$B139)*24&gt;$AH139,"Đã vượt ước tính","Đã dùng "&amp;TEXT((TDBC-$B139)*24/$AH139,"0%")))))</f>
      </c>
      <c r="AD139" s="223">
        <f>IF(N($AO139)=0,"",CHOOSE($AO139,"Nhắc nhở","Cảnh báo","Báo động","Báo động đỏ"))</f>
      </c>
      <c r="AE139" s="223">
        <f>IF(OR(N($AA139)=0,N($U139)=0),"",IF($AA139&lt;=$U139,"Đúng hạn","Trễ hạn"))</f>
      </c>
      <c r="AF139" s="220">
        <f>IF($A139="","",_xlfn.MAXIFS('Nhật ký tiến độ'!$B$6:$B$3005,'Nhật ký tiến độ'!$C$6:$C$3005,$A139))</f>
      </c>
      <c r="AG139" s="223">
        <f>IF($A139="","",IF(COUNTIF('Kế hoạch'!$M$6:$M$305,$A139)=0,"",COUNTIF('Kế hoạch'!$M$6:$M$305,$A139)&amp;" việc"))</f>
      </c>
      <c r="AH139" s="224">
        <f>IF(OR($A139="",N($O139)&lt;=0),"",IF($P139="Giờ",$O139,$O139*24))</f>
      </c>
      <c r="AI139" s="224">
        <f>IF(OR(N($AA139)=0,N($B139)=0),"",IF($AA139&lt;$B139,"",($AA139-$B139)*24))</f>
      </c>
      <c r="AJ139" s="225">
        <f>IF($A139="","",IF(COUNTIF('Nhật ký tiến độ'!$C$6:$C$3005,$A139)=0,0,_xlfn.MAXIFS('Nhật ký tiến độ'!$N$6:$N$3005,'Nhật ký tiến độ'!$C$6:$C$3005,$A139,'Nhật ký tiến độ'!$B$6:$B$3005,_xlfn.MAXIFS('Nhật ký tiến độ'!$B$6:$B$3005,'Nhật ký tiến độ'!$C$6:$C$3005,$A139))))</f>
      </c>
      <c r="AK139" s="225">
        <f>IF(OR($A139="",$V139="Đã xử lý"),"",IF(N($AO139)&gt;0,5-$AO139,IF($J139="Khẩn cấp",5,IF($Y139="Chậm tiến độ",6,IF(OR($Y139="Sắp đến hạn",$J139="Cao"),7,"")))))</f>
      </c>
      <c r="AL139" s="225">
        <f>IF($AK139="","",$AK139*100000+IF(N($U139)=0,99999,INT($U139))+ROW()/100000)</f>
      </c>
      <c r="AM139" s="225">
        <f>IF(OR($A139="",TRIM($K139)="",COUNTIF($K$6:$K139,$K139)&gt;1),0,1)</f>
      </c>
      <c r="AN139" s="225">
        <f>IF($AM139=1,SUM($AM$6:$AM139),"")</f>
      </c>
      <c r="AO139" s="225">
        <f>IF(OR($A139="",$V139="Đã xử lý",N($U139)=0),0,IF(TDBC&lt;=$U139,0,MAX(1,MIN(4,IF((TDBC-$U139)*24&lt;24,1,IF((TDBC-$U139)*24&lt;72,2,IF((TDBC-$U139)*24&lt;168,3,4)))+IFERROR(INDEX({2,1,0,-1},MATCH($J139,{"Khẩn cấp","Cao","Trung bình","Thấp"},0)),0)))))</f>
      </c>
    </row>
    <row r="140">
      <c r="A140" s="216"/>
      <c r="B140" s="217"/>
      <c r="C140" s="218"/>
      <c r="D140" s="218"/>
      <c r="E140" s="218"/>
      <c r="F140" s="218"/>
      <c r="G140" s="216"/>
      <c r="H140" s="218"/>
      <c r="I140" s="218"/>
      <c r="J140" s="216"/>
      <c r="K140" s="218"/>
      <c r="L140" s="218"/>
      <c r="M140" s="218"/>
      <c r="N140" s="218"/>
      <c r="O140" s="219"/>
      <c r="P140" s="216"/>
      <c r="Q140" s="217"/>
      <c r="R140" s="216"/>
      <c r="S140" s="218"/>
      <c r="T140" s="218"/>
      <c r="U140" s="220">
        <f>IF($A140="","",IF(N($Q140)&gt;0,IF(MOD($Q140,1)=0,$Q140+1-1/1440,$Q140),IF(N($B140)=0,"",$B140+IF(N($AH140)&gt;0,$AH140,IFERROR(INDEX(DM_SLA_Gio,MATCH($J140,DM_SLA_Cap,0)),168))/24)))</f>
      </c>
      <c r="V140" s="221">
        <f>IF($A140="","",IF(N($AJ140)=0,"Mới tiếp nhận",INDEX('Nhật ký tiến độ'!$E:$E,$AJ140)))</f>
      </c>
      <c r="W140" s="222">
        <f>IF($A140="","",IF($V140="Đã xử lý",1,IF(N($AJ140)=0,0,N(INDEX('Nhật ký tiến độ'!$D:$D,$AJ140)))))</f>
      </c>
      <c r="X140" s="222">
        <f>IF(OR($A140="",$V140="Đã xử lý",N($U140)=0,N($B140)=0),"",IF(TDBC&lt;=$B140,0,IF(TDBC&gt;=$U140,1,(TDBC-$B140)/($U140-$B140))))</f>
      </c>
      <c r="Y140" s="223">
        <f>IF($A140="","",IF($V140="Đã xử lý","Hoàn thành",IF(N($U140)=0,"Chưa đặt hạn",IF(TDBC&gt;$U140,"Quá hạn",IF(ROUND((N($X140)-$W140)*100,0)&gt;=20,"Chậm tiến độ",IF($U140-TDBC&lt;=1,"Sắp đến hạn","Đúng tiến độ"))))))</f>
      </c>
      <c r="Z140" s="223">
        <f>IF(OR($A140="",$V140="Đã xử lý",N($U140)=0),"",IF(TDBC&gt;$U140,"Quá "&amp;IF(((TDBC-$U140)*24)&lt;1,MAX(1,ROUND(((TDBC-$U140)*24)*60,0))&amp;" phút",IF(ROUND(((TDBC-$U140)*24),0)&lt;24,ROUND(((TDBC-$U140)*24),0)&amp;" giờ",INT(ROUND(((TDBC-$U140)*24),0)/24)&amp;" ngày"&amp;IF(MOD(ROUND(((TDBC-$U140)*24),0),24)&gt;0," "&amp;MOD(ROUND(((TDBC-$U140)*24),0),24)&amp;" giờ",""))),"Còn "&amp;IF((($U140-TDBC)*24)&lt;1,MAX(1,ROUND((($U140-TDBC)*24)*60,0))&amp;" phút",IF(ROUND((($U140-TDBC)*24),0)&lt;24,ROUND((($U140-TDBC)*24),0)&amp;" giờ",INT(ROUND((($U140-TDBC)*24),0)/24)&amp;" ngày"&amp;IF(MOD(ROUND((($U140-TDBC)*24),0),24)&gt;0," "&amp;MOD(ROUND((($U140-TDBC)*24),0),24)&amp;" giờ","")))))</f>
      </c>
      <c r="AA140" s="220">
        <f>IF($V140="Đã xử lý",_xlfn.MAXIFS('Nhật ký tiến độ'!$B$6:$B$3005,'Nhật ký tiến độ'!$C$6:$C$3005,$A140,'Nhật ký tiến độ'!$E$6:$E$3005,"Đã xử lý"),"")</f>
      </c>
      <c r="AB140" s="223">
        <f>IF($AI140="","",IF($AI140&lt;1,MAX(1,ROUND($AI140*60,0))&amp;" phút",IF(ROUND($AI140,0)&lt;24,ROUND($AI140,0)&amp;" giờ",INT(ROUND($AI140,0)/24)&amp;" ngày"&amp;IF(MOD(ROUND($AI140,0),24)&gt;0," "&amp;MOD(ROUND($AI140,0),24)&amp;" giờ",""))))</f>
      </c>
      <c r="AC140" s="223">
        <f>IF(OR($A140="",N($AH140)=0),"",IF($AI140&lt;&gt;"",IF($AI140&lt;=$AH140,"Trong ước tính","Vượt "&amp;IF(($AI140-$AH140)&lt;1,MAX(1,ROUND(($AI140-$AH140)*60,0))&amp;" phút",IF(ROUND(($AI140-$AH140),0)&lt;24,ROUND(($AI140-$AH140),0)&amp;" giờ",INT(ROUND(($AI140-$AH140),0)/24)&amp;" ngày"&amp;IF(MOD(ROUND(($AI140-$AH140),0),24)&gt;0," "&amp;MOD(ROUND(($AI140-$AH140),0),24)&amp;" giờ","")))),IF(OR($V140="Đã xử lý",N($B140)=0),"",IF((TDBC-$B140)*24&gt;$AH140,"Đã vượt ước tính","Đã dùng "&amp;TEXT((TDBC-$B140)*24/$AH140,"0%")))))</f>
      </c>
      <c r="AD140" s="223">
        <f>IF(N($AO140)=0,"",CHOOSE($AO140,"Nhắc nhở","Cảnh báo","Báo động","Báo động đỏ"))</f>
      </c>
      <c r="AE140" s="223">
        <f>IF(OR(N($AA140)=0,N($U140)=0),"",IF($AA140&lt;=$U140,"Đúng hạn","Trễ hạn"))</f>
      </c>
      <c r="AF140" s="220">
        <f>IF($A140="","",_xlfn.MAXIFS('Nhật ký tiến độ'!$B$6:$B$3005,'Nhật ký tiến độ'!$C$6:$C$3005,$A140))</f>
      </c>
      <c r="AG140" s="223">
        <f>IF($A140="","",IF(COUNTIF('Kế hoạch'!$M$6:$M$305,$A140)=0,"",COUNTIF('Kế hoạch'!$M$6:$M$305,$A140)&amp;" việc"))</f>
      </c>
      <c r="AH140" s="224">
        <f>IF(OR($A140="",N($O140)&lt;=0),"",IF($P140="Giờ",$O140,$O140*24))</f>
      </c>
      <c r="AI140" s="224">
        <f>IF(OR(N($AA140)=0,N($B140)=0),"",IF($AA140&lt;$B140,"",($AA140-$B140)*24))</f>
      </c>
      <c r="AJ140" s="225">
        <f>IF($A140="","",IF(COUNTIF('Nhật ký tiến độ'!$C$6:$C$3005,$A140)=0,0,_xlfn.MAXIFS('Nhật ký tiến độ'!$N$6:$N$3005,'Nhật ký tiến độ'!$C$6:$C$3005,$A140,'Nhật ký tiến độ'!$B$6:$B$3005,_xlfn.MAXIFS('Nhật ký tiến độ'!$B$6:$B$3005,'Nhật ký tiến độ'!$C$6:$C$3005,$A140))))</f>
      </c>
      <c r="AK140" s="225">
        <f>IF(OR($A140="",$V140="Đã xử lý"),"",IF(N($AO140)&gt;0,5-$AO140,IF($J140="Khẩn cấp",5,IF($Y140="Chậm tiến độ",6,IF(OR($Y140="Sắp đến hạn",$J140="Cao"),7,"")))))</f>
      </c>
      <c r="AL140" s="225">
        <f>IF($AK140="","",$AK140*100000+IF(N($U140)=0,99999,INT($U140))+ROW()/100000)</f>
      </c>
      <c r="AM140" s="225">
        <f>IF(OR($A140="",TRIM($K140)="",COUNTIF($K$6:$K140,$K140)&gt;1),0,1)</f>
      </c>
      <c r="AN140" s="225">
        <f>IF($AM140=1,SUM($AM$6:$AM140),"")</f>
      </c>
      <c r="AO140" s="225">
        <f>IF(OR($A140="",$V140="Đã xử lý",N($U140)=0),0,IF(TDBC&lt;=$U140,0,MAX(1,MIN(4,IF((TDBC-$U140)*24&lt;24,1,IF((TDBC-$U140)*24&lt;72,2,IF((TDBC-$U140)*24&lt;168,3,4)))+IFERROR(INDEX({2,1,0,-1},MATCH($J140,{"Khẩn cấp","Cao","Trung bình","Thấp"},0)),0)))))</f>
      </c>
    </row>
    <row r="141">
      <c r="A141" s="216"/>
      <c r="B141" s="217"/>
      <c r="C141" s="218"/>
      <c r="D141" s="218"/>
      <c r="E141" s="218"/>
      <c r="F141" s="218"/>
      <c r="G141" s="216"/>
      <c r="H141" s="218"/>
      <c r="I141" s="218"/>
      <c r="J141" s="216"/>
      <c r="K141" s="218"/>
      <c r="L141" s="218"/>
      <c r="M141" s="218"/>
      <c r="N141" s="218"/>
      <c r="O141" s="219"/>
      <c r="P141" s="216"/>
      <c r="Q141" s="217"/>
      <c r="R141" s="216"/>
      <c r="S141" s="218"/>
      <c r="T141" s="218"/>
      <c r="U141" s="220">
        <f>IF($A141="","",IF(N($Q141)&gt;0,IF(MOD($Q141,1)=0,$Q141+1-1/1440,$Q141),IF(N($B141)=0,"",$B141+IF(N($AH141)&gt;0,$AH141,IFERROR(INDEX(DM_SLA_Gio,MATCH($J141,DM_SLA_Cap,0)),168))/24)))</f>
      </c>
      <c r="V141" s="221">
        <f>IF($A141="","",IF(N($AJ141)=0,"Mới tiếp nhận",INDEX('Nhật ký tiến độ'!$E:$E,$AJ141)))</f>
      </c>
      <c r="W141" s="222">
        <f>IF($A141="","",IF($V141="Đã xử lý",1,IF(N($AJ141)=0,0,N(INDEX('Nhật ký tiến độ'!$D:$D,$AJ141)))))</f>
      </c>
      <c r="X141" s="222">
        <f>IF(OR($A141="",$V141="Đã xử lý",N($U141)=0,N($B141)=0),"",IF(TDBC&lt;=$B141,0,IF(TDBC&gt;=$U141,1,(TDBC-$B141)/($U141-$B141))))</f>
      </c>
      <c r="Y141" s="223">
        <f>IF($A141="","",IF($V141="Đã xử lý","Hoàn thành",IF(N($U141)=0,"Chưa đặt hạn",IF(TDBC&gt;$U141,"Quá hạn",IF(ROUND((N($X141)-$W141)*100,0)&gt;=20,"Chậm tiến độ",IF($U141-TDBC&lt;=1,"Sắp đến hạn","Đúng tiến độ"))))))</f>
      </c>
      <c r="Z141" s="223">
        <f>IF(OR($A141="",$V141="Đã xử lý",N($U141)=0),"",IF(TDBC&gt;$U141,"Quá "&amp;IF(((TDBC-$U141)*24)&lt;1,MAX(1,ROUND(((TDBC-$U141)*24)*60,0))&amp;" phút",IF(ROUND(((TDBC-$U141)*24),0)&lt;24,ROUND(((TDBC-$U141)*24),0)&amp;" giờ",INT(ROUND(((TDBC-$U141)*24),0)/24)&amp;" ngày"&amp;IF(MOD(ROUND(((TDBC-$U141)*24),0),24)&gt;0," "&amp;MOD(ROUND(((TDBC-$U141)*24),0),24)&amp;" giờ",""))),"Còn "&amp;IF((($U141-TDBC)*24)&lt;1,MAX(1,ROUND((($U141-TDBC)*24)*60,0))&amp;" phút",IF(ROUND((($U141-TDBC)*24),0)&lt;24,ROUND((($U141-TDBC)*24),0)&amp;" giờ",INT(ROUND((($U141-TDBC)*24),0)/24)&amp;" ngày"&amp;IF(MOD(ROUND((($U141-TDBC)*24),0),24)&gt;0," "&amp;MOD(ROUND((($U141-TDBC)*24),0),24)&amp;" giờ","")))))</f>
      </c>
      <c r="AA141" s="220">
        <f>IF($V141="Đã xử lý",_xlfn.MAXIFS('Nhật ký tiến độ'!$B$6:$B$3005,'Nhật ký tiến độ'!$C$6:$C$3005,$A141,'Nhật ký tiến độ'!$E$6:$E$3005,"Đã xử lý"),"")</f>
      </c>
      <c r="AB141" s="223">
        <f>IF($AI141="","",IF($AI141&lt;1,MAX(1,ROUND($AI141*60,0))&amp;" phút",IF(ROUND($AI141,0)&lt;24,ROUND($AI141,0)&amp;" giờ",INT(ROUND($AI141,0)/24)&amp;" ngày"&amp;IF(MOD(ROUND($AI141,0),24)&gt;0," "&amp;MOD(ROUND($AI141,0),24)&amp;" giờ",""))))</f>
      </c>
      <c r="AC141" s="223">
        <f>IF(OR($A141="",N($AH141)=0),"",IF($AI141&lt;&gt;"",IF($AI141&lt;=$AH141,"Trong ước tính","Vượt "&amp;IF(($AI141-$AH141)&lt;1,MAX(1,ROUND(($AI141-$AH141)*60,0))&amp;" phút",IF(ROUND(($AI141-$AH141),0)&lt;24,ROUND(($AI141-$AH141),0)&amp;" giờ",INT(ROUND(($AI141-$AH141),0)/24)&amp;" ngày"&amp;IF(MOD(ROUND(($AI141-$AH141),0),24)&gt;0," "&amp;MOD(ROUND(($AI141-$AH141),0),24)&amp;" giờ","")))),IF(OR($V141="Đã xử lý",N($B141)=0),"",IF((TDBC-$B141)*24&gt;$AH141,"Đã vượt ước tính","Đã dùng "&amp;TEXT((TDBC-$B141)*24/$AH141,"0%")))))</f>
      </c>
      <c r="AD141" s="223">
        <f>IF(N($AO141)=0,"",CHOOSE($AO141,"Nhắc nhở","Cảnh báo","Báo động","Báo động đỏ"))</f>
      </c>
      <c r="AE141" s="223">
        <f>IF(OR(N($AA141)=0,N($U141)=0),"",IF($AA141&lt;=$U141,"Đúng hạn","Trễ hạn"))</f>
      </c>
      <c r="AF141" s="220">
        <f>IF($A141="","",_xlfn.MAXIFS('Nhật ký tiến độ'!$B$6:$B$3005,'Nhật ký tiến độ'!$C$6:$C$3005,$A141))</f>
      </c>
      <c r="AG141" s="223">
        <f>IF($A141="","",IF(COUNTIF('Kế hoạch'!$M$6:$M$305,$A141)=0,"",COUNTIF('Kế hoạch'!$M$6:$M$305,$A141)&amp;" việc"))</f>
      </c>
      <c r="AH141" s="224">
        <f>IF(OR($A141="",N($O141)&lt;=0),"",IF($P141="Giờ",$O141,$O141*24))</f>
      </c>
      <c r="AI141" s="224">
        <f>IF(OR(N($AA141)=0,N($B141)=0),"",IF($AA141&lt;$B141,"",($AA141-$B141)*24))</f>
      </c>
      <c r="AJ141" s="225">
        <f>IF($A141="","",IF(COUNTIF('Nhật ký tiến độ'!$C$6:$C$3005,$A141)=0,0,_xlfn.MAXIFS('Nhật ký tiến độ'!$N$6:$N$3005,'Nhật ký tiến độ'!$C$6:$C$3005,$A141,'Nhật ký tiến độ'!$B$6:$B$3005,_xlfn.MAXIFS('Nhật ký tiến độ'!$B$6:$B$3005,'Nhật ký tiến độ'!$C$6:$C$3005,$A141))))</f>
      </c>
      <c r="AK141" s="225">
        <f>IF(OR($A141="",$V141="Đã xử lý"),"",IF(N($AO141)&gt;0,5-$AO141,IF($J141="Khẩn cấp",5,IF($Y141="Chậm tiến độ",6,IF(OR($Y141="Sắp đến hạn",$J141="Cao"),7,"")))))</f>
      </c>
      <c r="AL141" s="225">
        <f>IF($AK141="","",$AK141*100000+IF(N($U141)=0,99999,INT($U141))+ROW()/100000)</f>
      </c>
      <c r="AM141" s="225">
        <f>IF(OR($A141="",TRIM($K141)="",COUNTIF($K$6:$K141,$K141)&gt;1),0,1)</f>
      </c>
      <c r="AN141" s="225">
        <f>IF($AM141=1,SUM($AM$6:$AM141),"")</f>
      </c>
      <c r="AO141" s="225">
        <f>IF(OR($A141="",$V141="Đã xử lý",N($U141)=0),0,IF(TDBC&lt;=$U141,0,MAX(1,MIN(4,IF((TDBC-$U141)*24&lt;24,1,IF((TDBC-$U141)*24&lt;72,2,IF((TDBC-$U141)*24&lt;168,3,4)))+IFERROR(INDEX({2,1,0,-1},MATCH($J141,{"Khẩn cấp","Cao","Trung bình","Thấp"},0)),0)))))</f>
      </c>
    </row>
    <row r="142">
      <c r="A142" s="216"/>
      <c r="B142" s="217"/>
      <c r="C142" s="218"/>
      <c r="D142" s="218"/>
      <c r="E142" s="218"/>
      <c r="F142" s="218"/>
      <c r="G142" s="216"/>
      <c r="H142" s="218"/>
      <c r="I142" s="218"/>
      <c r="J142" s="216"/>
      <c r="K142" s="218"/>
      <c r="L142" s="218"/>
      <c r="M142" s="218"/>
      <c r="N142" s="218"/>
      <c r="O142" s="219"/>
      <c r="P142" s="216"/>
      <c r="Q142" s="217"/>
      <c r="R142" s="216"/>
      <c r="S142" s="218"/>
      <c r="T142" s="218"/>
      <c r="U142" s="220">
        <f>IF($A142="","",IF(N($Q142)&gt;0,IF(MOD($Q142,1)=0,$Q142+1-1/1440,$Q142),IF(N($B142)=0,"",$B142+IF(N($AH142)&gt;0,$AH142,IFERROR(INDEX(DM_SLA_Gio,MATCH($J142,DM_SLA_Cap,0)),168))/24)))</f>
      </c>
      <c r="V142" s="221">
        <f>IF($A142="","",IF(N($AJ142)=0,"Mới tiếp nhận",INDEX('Nhật ký tiến độ'!$E:$E,$AJ142)))</f>
      </c>
      <c r="W142" s="222">
        <f>IF($A142="","",IF($V142="Đã xử lý",1,IF(N($AJ142)=0,0,N(INDEX('Nhật ký tiến độ'!$D:$D,$AJ142)))))</f>
      </c>
      <c r="X142" s="222">
        <f>IF(OR($A142="",$V142="Đã xử lý",N($U142)=0,N($B142)=0),"",IF(TDBC&lt;=$B142,0,IF(TDBC&gt;=$U142,1,(TDBC-$B142)/($U142-$B142))))</f>
      </c>
      <c r="Y142" s="223">
        <f>IF($A142="","",IF($V142="Đã xử lý","Hoàn thành",IF(N($U142)=0,"Chưa đặt hạn",IF(TDBC&gt;$U142,"Quá hạn",IF(ROUND((N($X142)-$W142)*100,0)&gt;=20,"Chậm tiến độ",IF($U142-TDBC&lt;=1,"Sắp đến hạn","Đúng tiến độ"))))))</f>
      </c>
      <c r="Z142" s="223">
        <f>IF(OR($A142="",$V142="Đã xử lý",N($U142)=0),"",IF(TDBC&gt;$U142,"Quá "&amp;IF(((TDBC-$U142)*24)&lt;1,MAX(1,ROUND(((TDBC-$U142)*24)*60,0))&amp;" phút",IF(ROUND(((TDBC-$U142)*24),0)&lt;24,ROUND(((TDBC-$U142)*24),0)&amp;" giờ",INT(ROUND(((TDBC-$U142)*24),0)/24)&amp;" ngày"&amp;IF(MOD(ROUND(((TDBC-$U142)*24),0),24)&gt;0," "&amp;MOD(ROUND(((TDBC-$U142)*24),0),24)&amp;" giờ",""))),"Còn "&amp;IF((($U142-TDBC)*24)&lt;1,MAX(1,ROUND((($U142-TDBC)*24)*60,0))&amp;" phút",IF(ROUND((($U142-TDBC)*24),0)&lt;24,ROUND((($U142-TDBC)*24),0)&amp;" giờ",INT(ROUND((($U142-TDBC)*24),0)/24)&amp;" ngày"&amp;IF(MOD(ROUND((($U142-TDBC)*24),0),24)&gt;0," "&amp;MOD(ROUND((($U142-TDBC)*24),0),24)&amp;" giờ","")))))</f>
      </c>
      <c r="AA142" s="220">
        <f>IF($V142="Đã xử lý",_xlfn.MAXIFS('Nhật ký tiến độ'!$B$6:$B$3005,'Nhật ký tiến độ'!$C$6:$C$3005,$A142,'Nhật ký tiến độ'!$E$6:$E$3005,"Đã xử lý"),"")</f>
      </c>
      <c r="AB142" s="223">
        <f>IF($AI142="","",IF($AI142&lt;1,MAX(1,ROUND($AI142*60,0))&amp;" phút",IF(ROUND($AI142,0)&lt;24,ROUND($AI142,0)&amp;" giờ",INT(ROUND($AI142,0)/24)&amp;" ngày"&amp;IF(MOD(ROUND($AI142,0),24)&gt;0," "&amp;MOD(ROUND($AI142,0),24)&amp;" giờ",""))))</f>
      </c>
      <c r="AC142" s="223">
        <f>IF(OR($A142="",N($AH142)=0),"",IF($AI142&lt;&gt;"",IF($AI142&lt;=$AH142,"Trong ước tính","Vượt "&amp;IF(($AI142-$AH142)&lt;1,MAX(1,ROUND(($AI142-$AH142)*60,0))&amp;" phút",IF(ROUND(($AI142-$AH142),0)&lt;24,ROUND(($AI142-$AH142),0)&amp;" giờ",INT(ROUND(($AI142-$AH142),0)/24)&amp;" ngày"&amp;IF(MOD(ROUND(($AI142-$AH142),0),24)&gt;0," "&amp;MOD(ROUND(($AI142-$AH142),0),24)&amp;" giờ","")))),IF(OR($V142="Đã xử lý",N($B142)=0),"",IF((TDBC-$B142)*24&gt;$AH142,"Đã vượt ước tính","Đã dùng "&amp;TEXT((TDBC-$B142)*24/$AH142,"0%")))))</f>
      </c>
      <c r="AD142" s="223">
        <f>IF(N($AO142)=0,"",CHOOSE($AO142,"Nhắc nhở","Cảnh báo","Báo động","Báo động đỏ"))</f>
      </c>
      <c r="AE142" s="223">
        <f>IF(OR(N($AA142)=0,N($U142)=0),"",IF($AA142&lt;=$U142,"Đúng hạn","Trễ hạn"))</f>
      </c>
      <c r="AF142" s="220">
        <f>IF($A142="","",_xlfn.MAXIFS('Nhật ký tiến độ'!$B$6:$B$3005,'Nhật ký tiến độ'!$C$6:$C$3005,$A142))</f>
      </c>
      <c r="AG142" s="223">
        <f>IF($A142="","",IF(COUNTIF('Kế hoạch'!$M$6:$M$305,$A142)=0,"",COUNTIF('Kế hoạch'!$M$6:$M$305,$A142)&amp;" việc"))</f>
      </c>
      <c r="AH142" s="224">
        <f>IF(OR($A142="",N($O142)&lt;=0),"",IF($P142="Giờ",$O142,$O142*24))</f>
      </c>
      <c r="AI142" s="224">
        <f>IF(OR(N($AA142)=0,N($B142)=0),"",IF($AA142&lt;$B142,"",($AA142-$B142)*24))</f>
      </c>
      <c r="AJ142" s="225">
        <f>IF($A142="","",IF(COUNTIF('Nhật ký tiến độ'!$C$6:$C$3005,$A142)=0,0,_xlfn.MAXIFS('Nhật ký tiến độ'!$N$6:$N$3005,'Nhật ký tiến độ'!$C$6:$C$3005,$A142,'Nhật ký tiến độ'!$B$6:$B$3005,_xlfn.MAXIFS('Nhật ký tiến độ'!$B$6:$B$3005,'Nhật ký tiến độ'!$C$6:$C$3005,$A142))))</f>
      </c>
      <c r="AK142" s="225">
        <f>IF(OR($A142="",$V142="Đã xử lý"),"",IF(N($AO142)&gt;0,5-$AO142,IF($J142="Khẩn cấp",5,IF($Y142="Chậm tiến độ",6,IF(OR($Y142="Sắp đến hạn",$J142="Cao"),7,"")))))</f>
      </c>
      <c r="AL142" s="225">
        <f>IF($AK142="","",$AK142*100000+IF(N($U142)=0,99999,INT($U142))+ROW()/100000)</f>
      </c>
      <c r="AM142" s="225">
        <f>IF(OR($A142="",TRIM($K142)="",COUNTIF($K$6:$K142,$K142)&gt;1),0,1)</f>
      </c>
      <c r="AN142" s="225">
        <f>IF($AM142=1,SUM($AM$6:$AM142),"")</f>
      </c>
      <c r="AO142" s="225">
        <f>IF(OR($A142="",$V142="Đã xử lý",N($U142)=0),0,IF(TDBC&lt;=$U142,0,MAX(1,MIN(4,IF((TDBC-$U142)*24&lt;24,1,IF((TDBC-$U142)*24&lt;72,2,IF((TDBC-$U142)*24&lt;168,3,4)))+IFERROR(INDEX({2,1,0,-1},MATCH($J142,{"Khẩn cấp","Cao","Trung bình","Thấp"},0)),0)))))</f>
      </c>
    </row>
    <row r="143">
      <c r="A143" s="216"/>
      <c r="B143" s="217"/>
      <c r="C143" s="218"/>
      <c r="D143" s="218"/>
      <c r="E143" s="218"/>
      <c r="F143" s="218"/>
      <c r="G143" s="216"/>
      <c r="H143" s="218"/>
      <c r="I143" s="218"/>
      <c r="J143" s="216"/>
      <c r="K143" s="218"/>
      <c r="L143" s="218"/>
      <c r="M143" s="218"/>
      <c r="N143" s="218"/>
      <c r="O143" s="219"/>
      <c r="P143" s="216"/>
      <c r="Q143" s="217"/>
      <c r="R143" s="216"/>
      <c r="S143" s="218"/>
      <c r="T143" s="218"/>
      <c r="U143" s="220">
        <f>IF($A143="","",IF(N($Q143)&gt;0,IF(MOD($Q143,1)=0,$Q143+1-1/1440,$Q143),IF(N($B143)=0,"",$B143+IF(N($AH143)&gt;0,$AH143,IFERROR(INDEX(DM_SLA_Gio,MATCH($J143,DM_SLA_Cap,0)),168))/24)))</f>
      </c>
      <c r="V143" s="221">
        <f>IF($A143="","",IF(N($AJ143)=0,"Mới tiếp nhận",INDEX('Nhật ký tiến độ'!$E:$E,$AJ143)))</f>
      </c>
      <c r="W143" s="222">
        <f>IF($A143="","",IF($V143="Đã xử lý",1,IF(N($AJ143)=0,0,N(INDEX('Nhật ký tiến độ'!$D:$D,$AJ143)))))</f>
      </c>
      <c r="X143" s="222">
        <f>IF(OR($A143="",$V143="Đã xử lý",N($U143)=0,N($B143)=0),"",IF(TDBC&lt;=$B143,0,IF(TDBC&gt;=$U143,1,(TDBC-$B143)/($U143-$B143))))</f>
      </c>
      <c r="Y143" s="223">
        <f>IF($A143="","",IF($V143="Đã xử lý","Hoàn thành",IF(N($U143)=0,"Chưa đặt hạn",IF(TDBC&gt;$U143,"Quá hạn",IF(ROUND((N($X143)-$W143)*100,0)&gt;=20,"Chậm tiến độ",IF($U143-TDBC&lt;=1,"Sắp đến hạn","Đúng tiến độ"))))))</f>
      </c>
      <c r="Z143" s="223">
        <f>IF(OR($A143="",$V143="Đã xử lý",N($U143)=0),"",IF(TDBC&gt;$U143,"Quá "&amp;IF(((TDBC-$U143)*24)&lt;1,MAX(1,ROUND(((TDBC-$U143)*24)*60,0))&amp;" phút",IF(ROUND(((TDBC-$U143)*24),0)&lt;24,ROUND(((TDBC-$U143)*24),0)&amp;" giờ",INT(ROUND(((TDBC-$U143)*24),0)/24)&amp;" ngày"&amp;IF(MOD(ROUND(((TDBC-$U143)*24),0),24)&gt;0," "&amp;MOD(ROUND(((TDBC-$U143)*24),0),24)&amp;" giờ",""))),"Còn "&amp;IF((($U143-TDBC)*24)&lt;1,MAX(1,ROUND((($U143-TDBC)*24)*60,0))&amp;" phút",IF(ROUND((($U143-TDBC)*24),0)&lt;24,ROUND((($U143-TDBC)*24),0)&amp;" giờ",INT(ROUND((($U143-TDBC)*24),0)/24)&amp;" ngày"&amp;IF(MOD(ROUND((($U143-TDBC)*24),0),24)&gt;0," "&amp;MOD(ROUND((($U143-TDBC)*24),0),24)&amp;" giờ","")))))</f>
      </c>
      <c r="AA143" s="220">
        <f>IF($V143="Đã xử lý",_xlfn.MAXIFS('Nhật ký tiến độ'!$B$6:$B$3005,'Nhật ký tiến độ'!$C$6:$C$3005,$A143,'Nhật ký tiến độ'!$E$6:$E$3005,"Đã xử lý"),"")</f>
      </c>
      <c r="AB143" s="223">
        <f>IF($AI143="","",IF($AI143&lt;1,MAX(1,ROUND($AI143*60,0))&amp;" phút",IF(ROUND($AI143,0)&lt;24,ROUND($AI143,0)&amp;" giờ",INT(ROUND($AI143,0)/24)&amp;" ngày"&amp;IF(MOD(ROUND($AI143,0),24)&gt;0," "&amp;MOD(ROUND($AI143,0),24)&amp;" giờ",""))))</f>
      </c>
      <c r="AC143" s="223">
        <f>IF(OR($A143="",N($AH143)=0),"",IF($AI143&lt;&gt;"",IF($AI143&lt;=$AH143,"Trong ước tính","Vượt "&amp;IF(($AI143-$AH143)&lt;1,MAX(1,ROUND(($AI143-$AH143)*60,0))&amp;" phút",IF(ROUND(($AI143-$AH143),0)&lt;24,ROUND(($AI143-$AH143),0)&amp;" giờ",INT(ROUND(($AI143-$AH143),0)/24)&amp;" ngày"&amp;IF(MOD(ROUND(($AI143-$AH143),0),24)&gt;0," "&amp;MOD(ROUND(($AI143-$AH143),0),24)&amp;" giờ","")))),IF(OR($V143="Đã xử lý",N($B143)=0),"",IF((TDBC-$B143)*24&gt;$AH143,"Đã vượt ước tính","Đã dùng "&amp;TEXT((TDBC-$B143)*24/$AH143,"0%")))))</f>
      </c>
      <c r="AD143" s="223">
        <f>IF(N($AO143)=0,"",CHOOSE($AO143,"Nhắc nhở","Cảnh báo","Báo động","Báo động đỏ"))</f>
      </c>
      <c r="AE143" s="223">
        <f>IF(OR(N($AA143)=0,N($U143)=0),"",IF($AA143&lt;=$U143,"Đúng hạn","Trễ hạn"))</f>
      </c>
      <c r="AF143" s="220">
        <f>IF($A143="","",_xlfn.MAXIFS('Nhật ký tiến độ'!$B$6:$B$3005,'Nhật ký tiến độ'!$C$6:$C$3005,$A143))</f>
      </c>
      <c r="AG143" s="223">
        <f>IF($A143="","",IF(COUNTIF('Kế hoạch'!$M$6:$M$305,$A143)=0,"",COUNTIF('Kế hoạch'!$M$6:$M$305,$A143)&amp;" việc"))</f>
      </c>
      <c r="AH143" s="224">
        <f>IF(OR($A143="",N($O143)&lt;=0),"",IF($P143="Giờ",$O143,$O143*24))</f>
      </c>
      <c r="AI143" s="224">
        <f>IF(OR(N($AA143)=0,N($B143)=0),"",IF($AA143&lt;$B143,"",($AA143-$B143)*24))</f>
      </c>
      <c r="AJ143" s="225">
        <f>IF($A143="","",IF(COUNTIF('Nhật ký tiến độ'!$C$6:$C$3005,$A143)=0,0,_xlfn.MAXIFS('Nhật ký tiến độ'!$N$6:$N$3005,'Nhật ký tiến độ'!$C$6:$C$3005,$A143,'Nhật ký tiến độ'!$B$6:$B$3005,_xlfn.MAXIFS('Nhật ký tiến độ'!$B$6:$B$3005,'Nhật ký tiến độ'!$C$6:$C$3005,$A143))))</f>
      </c>
      <c r="AK143" s="225">
        <f>IF(OR($A143="",$V143="Đã xử lý"),"",IF(N($AO143)&gt;0,5-$AO143,IF($J143="Khẩn cấp",5,IF($Y143="Chậm tiến độ",6,IF(OR($Y143="Sắp đến hạn",$J143="Cao"),7,"")))))</f>
      </c>
      <c r="AL143" s="225">
        <f>IF($AK143="","",$AK143*100000+IF(N($U143)=0,99999,INT($U143))+ROW()/100000)</f>
      </c>
      <c r="AM143" s="225">
        <f>IF(OR($A143="",TRIM($K143)="",COUNTIF($K$6:$K143,$K143)&gt;1),0,1)</f>
      </c>
      <c r="AN143" s="225">
        <f>IF($AM143=1,SUM($AM$6:$AM143),"")</f>
      </c>
      <c r="AO143" s="225">
        <f>IF(OR($A143="",$V143="Đã xử lý",N($U143)=0),0,IF(TDBC&lt;=$U143,0,MAX(1,MIN(4,IF((TDBC-$U143)*24&lt;24,1,IF((TDBC-$U143)*24&lt;72,2,IF((TDBC-$U143)*24&lt;168,3,4)))+IFERROR(INDEX({2,1,0,-1},MATCH($J143,{"Khẩn cấp","Cao","Trung bình","Thấp"},0)),0)))))</f>
      </c>
    </row>
    <row r="144">
      <c r="A144" s="216"/>
      <c r="B144" s="217"/>
      <c r="C144" s="218"/>
      <c r="D144" s="218"/>
      <c r="E144" s="218"/>
      <c r="F144" s="218"/>
      <c r="G144" s="216"/>
      <c r="H144" s="218"/>
      <c r="I144" s="218"/>
      <c r="J144" s="216"/>
      <c r="K144" s="218"/>
      <c r="L144" s="218"/>
      <c r="M144" s="218"/>
      <c r="N144" s="218"/>
      <c r="O144" s="219"/>
      <c r="P144" s="216"/>
      <c r="Q144" s="217"/>
      <c r="R144" s="216"/>
      <c r="S144" s="218"/>
      <c r="T144" s="218"/>
      <c r="U144" s="220">
        <f>IF($A144="","",IF(N($Q144)&gt;0,IF(MOD($Q144,1)=0,$Q144+1-1/1440,$Q144),IF(N($B144)=0,"",$B144+IF(N($AH144)&gt;0,$AH144,IFERROR(INDEX(DM_SLA_Gio,MATCH($J144,DM_SLA_Cap,0)),168))/24)))</f>
      </c>
      <c r="V144" s="221">
        <f>IF($A144="","",IF(N($AJ144)=0,"Mới tiếp nhận",INDEX('Nhật ký tiến độ'!$E:$E,$AJ144)))</f>
      </c>
      <c r="W144" s="222">
        <f>IF($A144="","",IF($V144="Đã xử lý",1,IF(N($AJ144)=0,0,N(INDEX('Nhật ký tiến độ'!$D:$D,$AJ144)))))</f>
      </c>
      <c r="X144" s="222">
        <f>IF(OR($A144="",$V144="Đã xử lý",N($U144)=0,N($B144)=0),"",IF(TDBC&lt;=$B144,0,IF(TDBC&gt;=$U144,1,(TDBC-$B144)/($U144-$B144))))</f>
      </c>
      <c r="Y144" s="223">
        <f>IF($A144="","",IF($V144="Đã xử lý","Hoàn thành",IF(N($U144)=0,"Chưa đặt hạn",IF(TDBC&gt;$U144,"Quá hạn",IF(ROUND((N($X144)-$W144)*100,0)&gt;=20,"Chậm tiến độ",IF($U144-TDBC&lt;=1,"Sắp đến hạn","Đúng tiến độ"))))))</f>
      </c>
      <c r="Z144" s="223">
        <f>IF(OR($A144="",$V144="Đã xử lý",N($U144)=0),"",IF(TDBC&gt;$U144,"Quá "&amp;IF(((TDBC-$U144)*24)&lt;1,MAX(1,ROUND(((TDBC-$U144)*24)*60,0))&amp;" phút",IF(ROUND(((TDBC-$U144)*24),0)&lt;24,ROUND(((TDBC-$U144)*24),0)&amp;" giờ",INT(ROUND(((TDBC-$U144)*24),0)/24)&amp;" ngày"&amp;IF(MOD(ROUND(((TDBC-$U144)*24),0),24)&gt;0," "&amp;MOD(ROUND(((TDBC-$U144)*24),0),24)&amp;" giờ",""))),"Còn "&amp;IF((($U144-TDBC)*24)&lt;1,MAX(1,ROUND((($U144-TDBC)*24)*60,0))&amp;" phút",IF(ROUND((($U144-TDBC)*24),0)&lt;24,ROUND((($U144-TDBC)*24),0)&amp;" giờ",INT(ROUND((($U144-TDBC)*24),0)/24)&amp;" ngày"&amp;IF(MOD(ROUND((($U144-TDBC)*24),0),24)&gt;0," "&amp;MOD(ROUND((($U144-TDBC)*24),0),24)&amp;" giờ","")))))</f>
      </c>
      <c r="AA144" s="220">
        <f>IF($V144="Đã xử lý",_xlfn.MAXIFS('Nhật ký tiến độ'!$B$6:$B$3005,'Nhật ký tiến độ'!$C$6:$C$3005,$A144,'Nhật ký tiến độ'!$E$6:$E$3005,"Đã xử lý"),"")</f>
      </c>
      <c r="AB144" s="223">
        <f>IF($AI144="","",IF($AI144&lt;1,MAX(1,ROUND($AI144*60,0))&amp;" phút",IF(ROUND($AI144,0)&lt;24,ROUND($AI144,0)&amp;" giờ",INT(ROUND($AI144,0)/24)&amp;" ngày"&amp;IF(MOD(ROUND($AI144,0),24)&gt;0," "&amp;MOD(ROUND($AI144,0),24)&amp;" giờ",""))))</f>
      </c>
      <c r="AC144" s="223">
        <f>IF(OR($A144="",N($AH144)=0),"",IF($AI144&lt;&gt;"",IF($AI144&lt;=$AH144,"Trong ước tính","Vượt "&amp;IF(($AI144-$AH144)&lt;1,MAX(1,ROUND(($AI144-$AH144)*60,0))&amp;" phút",IF(ROUND(($AI144-$AH144),0)&lt;24,ROUND(($AI144-$AH144),0)&amp;" giờ",INT(ROUND(($AI144-$AH144),0)/24)&amp;" ngày"&amp;IF(MOD(ROUND(($AI144-$AH144),0),24)&gt;0," "&amp;MOD(ROUND(($AI144-$AH144),0),24)&amp;" giờ","")))),IF(OR($V144="Đã xử lý",N($B144)=0),"",IF((TDBC-$B144)*24&gt;$AH144,"Đã vượt ước tính","Đã dùng "&amp;TEXT((TDBC-$B144)*24/$AH144,"0%")))))</f>
      </c>
      <c r="AD144" s="223">
        <f>IF(N($AO144)=0,"",CHOOSE($AO144,"Nhắc nhở","Cảnh báo","Báo động","Báo động đỏ"))</f>
      </c>
      <c r="AE144" s="223">
        <f>IF(OR(N($AA144)=0,N($U144)=0),"",IF($AA144&lt;=$U144,"Đúng hạn","Trễ hạn"))</f>
      </c>
      <c r="AF144" s="220">
        <f>IF($A144="","",_xlfn.MAXIFS('Nhật ký tiến độ'!$B$6:$B$3005,'Nhật ký tiến độ'!$C$6:$C$3005,$A144))</f>
      </c>
      <c r="AG144" s="223">
        <f>IF($A144="","",IF(COUNTIF('Kế hoạch'!$M$6:$M$305,$A144)=0,"",COUNTIF('Kế hoạch'!$M$6:$M$305,$A144)&amp;" việc"))</f>
      </c>
      <c r="AH144" s="224">
        <f>IF(OR($A144="",N($O144)&lt;=0),"",IF($P144="Giờ",$O144,$O144*24))</f>
      </c>
      <c r="AI144" s="224">
        <f>IF(OR(N($AA144)=0,N($B144)=0),"",IF($AA144&lt;$B144,"",($AA144-$B144)*24))</f>
      </c>
      <c r="AJ144" s="225">
        <f>IF($A144="","",IF(COUNTIF('Nhật ký tiến độ'!$C$6:$C$3005,$A144)=0,0,_xlfn.MAXIFS('Nhật ký tiến độ'!$N$6:$N$3005,'Nhật ký tiến độ'!$C$6:$C$3005,$A144,'Nhật ký tiến độ'!$B$6:$B$3005,_xlfn.MAXIFS('Nhật ký tiến độ'!$B$6:$B$3005,'Nhật ký tiến độ'!$C$6:$C$3005,$A144))))</f>
      </c>
      <c r="AK144" s="225">
        <f>IF(OR($A144="",$V144="Đã xử lý"),"",IF(N($AO144)&gt;0,5-$AO144,IF($J144="Khẩn cấp",5,IF($Y144="Chậm tiến độ",6,IF(OR($Y144="Sắp đến hạn",$J144="Cao"),7,"")))))</f>
      </c>
      <c r="AL144" s="225">
        <f>IF($AK144="","",$AK144*100000+IF(N($U144)=0,99999,INT($U144))+ROW()/100000)</f>
      </c>
      <c r="AM144" s="225">
        <f>IF(OR($A144="",TRIM($K144)="",COUNTIF($K$6:$K144,$K144)&gt;1),0,1)</f>
      </c>
      <c r="AN144" s="225">
        <f>IF($AM144=1,SUM($AM$6:$AM144),"")</f>
      </c>
      <c r="AO144" s="225">
        <f>IF(OR($A144="",$V144="Đã xử lý",N($U144)=0),0,IF(TDBC&lt;=$U144,0,MAX(1,MIN(4,IF((TDBC-$U144)*24&lt;24,1,IF((TDBC-$U144)*24&lt;72,2,IF((TDBC-$U144)*24&lt;168,3,4)))+IFERROR(INDEX({2,1,0,-1},MATCH($J144,{"Khẩn cấp","Cao","Trung bình","Thấp"},0)),0)))))</f>
      </c>
    </row>
    <row r="145">
      <c r="A145" s="216"/>
      <c r="B145" s="217"/>
      <c r="C145" s="218"/>
      <c r="D145" s="218"/>
      <c r="E145" s="218"/>
      <c r="F145" s="218"/>
      <c r="G145" s="216"/>
      <c r="H145" s="218"/>
      <c r="I145" s="218"/>
      <c r="J145" s="216"/>
      <c r="K145" s="218"/>
      <c r="L145" s="218"/>
      <c r="M145" s="218"/>
      <c r="N145" s="218"/>
      <c r="O145" s="219"/>
      <c r="P145" s="216"/>
      <c r="Q145" s="217"/>
      <c r="R145" s="216"/>
      <c r="S145" s="218"/>
      <c r="T145" s="218"/>
      <c r="U145" s="220">
        <f>IF($A145="","",IF(N($Q145)&gt;0,IF(MOD($Q145,1)=0,$Q145+1-1/1440,$Q145),IF(N($B145)=0,"",$B145+IF(N($AH145)&gt;0,$AH145,IFERROR(INDEX(DM_SLA_Gio,MATCH($J145,DM_SLA_Cap,0)),168))/24)))</f>
      </c>
      <c r="V145" s="221">
        <f>IF($A145="","",IF(N($AJ145)=0,"Mới tiếp nhận",INDEX('Nhật ký tiến độ'!$E:$E,$AJ145)))</f>
      </c>
      <c r="W145" s="222">
        <f>IF($A145="","",IF($V145="Đã xử lý",1,IF(N($AJ145)=0,0,N(INDEX('Nhật ký tiến độ'!$D:$D,$AJ145)))))</f>
      </c>
      <c r="X145" s="222">
        <f>IF(OR($A145="",$V145="Đã xử lý",N($U145)=0,N($B145)=0),"",IF(TDBC&lt;=$B145,0,IF(TDBC&gt;=$U145,1,(TDBC-$B145)/($U145-$B145))))</f>
      </c>
      <c r="Y145" s="223">
        <f>IF($A145="","",IF($V145="Đã xử lý","Hoàn thành",IF(N($U145)=0,"Chưa đặt hạn",IF(TDBC&gt;$U145,"Quá hạn",IF(ROUND((N($X145)-$W145)*100,0)&gt;=20,"Chậm tiến độ",IF($U145-TDBC&lt;=1,"Sắp đến hạn","Đúng tiến độ"))))))</f>
      </c>
      <c r="Z145" s="223">
        <f>IF(OR($A145="",$V145="Đã xử lý",N($U145)=0),"",IF(TDBC&gt;$U145,"Quá "&amp;IF(((TDBC-$U145)*24)&lt;1,MAX(1,ROUND(((TDBC-$U145)*24)*60,0))&amp;" phút",IF(ROUND(((TDBC-$U145)*24),0)&lt;24,ROUND(((TDBC-$U145)*24),0)&amp;" giờ",INT(ROUND(((TDBC-$U145)*24),0)/24)&amp;" ngày"&amp;IF(MOD(ROUND(((TDBC-$U145)*24),0),24)&gt;0," "&amp;MOD(ROUND(((TDBC-$U145)*24),0),24)&amp;" giờ",""))),"Còn "&amp;IF((($U145-TDBC)*24)&lt;1,MAX(1,ROUND((($U145-TDBC)*24)*60,0))&amp;" phút",IF(ROUND((($U145-TDBC)*24),0)&lt;24,ROUND((($U145-TDBC)*24),0)&amp;" giờ",INT(ROUND((($U145-TDBC)*24),0)/24)&amp;" ngày"&amp;IF(MOD(ROUND((($U145-TDBC)*24),0),24)&gt;0," "&amp;MOD(ROUND((($U145-TDBC)*24),0),24)&amp;" giờ","")))))</f>
      </c>
      <c r="AA145" s="220">
        <f>IF($V145="Đã xử lý",_xlfn.MAXIFS('Nhật ký tiến độ'!$B$6:$B$3005,'Nhật ký tiến độ'!$C$6:$C$3005,$A145,'Nhật ký tiến độ'!$E$6:$E$3005,"Đã xử lý"),"")</f>
      </c>
      <c r="AB145" s="223">
        <f>IF($AI145="","",IF($AI145&lt;1,MAX(1,ROUND($AI145*60,0))&amp;" phút",IF(ROUND($AI145,0)&lt;24,ROUND($AI145,0)&amp;" giờ",INT(ROUND($AI145,0)/24)&amp;" ngày"&amp;IF(MOD(ROUND($AI145,0),24)&gt;0," "&amp;MOD(ROUND($AI145,0),24)&amp;" giờ",""))))</f>
      </c>
      <c r="AC145" s="223">
        <f>IF(OR($A145="",N($AH145)=0),"",IF($AI145&lt;&gt;"",IF($AI145&lt;=$AH145,"Trong ước tính","Vượt "&amp;IF(($AI145-$AH145)&lt;1,MAX(1,ROUND(($AI145-$AH145)*60,0))&amp;" phút",IF(ROUND(($AI145-$AH145),0)&lt;24,ROUND(($AI145-$AH145),0)&amp;" giờ",INT(ROUND(($AI145-$AH145),0)/24)&amp;" ngày"&amp;IF(MOD(ROUND(($AI145-$AH145),0),24)&gt;0," "&amp;MOD(ROUND(($AI145-$AH145),0),24)&amp;" giờ","")))),IF(OR($V145="Đã xử lý",N($B145)=0),"",IF((TDBC-$B145)*24&gt;$AH145,"Đã vượt ước tính","Đã dùng "&amp;TEXT((TDBC-$B145)*24/$AH145,"0%")))))</f>
      </c>
      <c r="AD145" s="223">
        <f>IF(N($AO145)=0,"",CHOOSE($AO145,"Nhắc nhở","Cảnh báo","Báo động","Báo động đỏ"))</f>
      </c>
      <c r="AE145" s="223">
        <f>IF(OR(N($AA145)=0,N($U145)=0),"",IF($AA145&lt;=$U145,"Đúng hạn","Trễ hạn"))</f>
      </c>
      <c r="AF145" s="220">
        <f>IF($A145="","",_xlfn.MAXIFS('Nhật ký tiến độ'!$B$6:$B$3005,'Nhật ký tiến độ'!$C$6:$C$3005,$A145))</f>
      </c>
      <c r="AG145" s="223">
        <f>IF($A145="","",IF(COUNTIF('Kế hoạch'!$M$6:$M$305,$A145)=0,"",COUNTIF('Kế hoạch'!$M$6:$M$305,$A145)&amp;" việc"))</f>
      </c>
      <c r="AH145" s="224">
        <f>IF(OR($A145="",N($O145)&lt;=0),"",IF($P145="Giờ",$O145,$O145*24))</f>
      </c>
      <c r="AI145" s="224">
        <f>IF(OR(N($AA145)=0,N($B145)=0),"",IF($AA145&lt;$B145,"",($AA145-$B145)*24))</f>
      </c>
      <c r="AJ145" s="225">
        <f>IF($A145="","",IF(COUNTIF('Nhật ký tiến độ'!$C$6:$C$3005,$A145)=0,0,_xlfn.MAXIFS('Nhật ký tiến độ'!$N$6:$N$3005,'Nhật ký tiến độ'!$C$6:$C$3005,$A145,'Nhật ký tiến độ'!$B$6:$B$3005,_xlfn.MAXIFS('Nhật ký tiến độ'!$B$6:$B$3005,'Nhật ký tiến độ'!$C$6:$C$3005,$A145))))</f>
      </c>
      <c r="AK145" s="225">
        <f>IF(OR($A145="",$V145="Đã xử lý"),"",IF(N($AO145)&gt;0,5-$AO145,IF($J145="Khẩn cấp",5,IF($Y145="Chậm tiến độ",6,IF(OR($Y145="Sắp đến hạn",$J145="Cao"),7,"")))))</f>
      </c>
      <c r="AL145" s="225">
        <f>IF($AK145="","",$AK145*100000+IF(N($U145)=0,99999,INT($U145))+ROW()/100000)</f>
      </c>
      <c r="AM145" s="225">
        <f>IF(OR($A145="",TRIM($K145)="",COUNTIF($K$6:$K145,$K145)&gt;1),0,1)</f>
      </c>
      <c r="AN145" s="225">
        <f>IF($AM145=1,SUM($AM$6:$AM145),"")</f>
      </c>
      <c r="AO145" s="225">
        <f>IF(OR($A145="",$V145="Đã xử lý",N($U145)=0),0,IF(TDBC&lt;=$U145,0,MAX(1,MIN(4,IF((TDBC-$U145)*24&lt;24,1,IF((TDBC-$U145)*24&lt;72,2,IF((TDBC-$U145)*24&lt;168,3,4)))+IFERROR(INDEX({2,1,0,-1},MATCH($J145,{"Khẩn cấp","Cao","Trung bình","Thấp"},0)),0)))))</f>
      </c>
    </row>
    <row r="146">
      <c r="A146" s="216"/>
      <c r="B146" s="217"/>
      <c r="C146" s="218"/>
      <c r="D146" s="218"/>
      <c r="E146" s="218"/>
      <c r="F146" s="218"/>
      <c r="G146" s="216"/>
      <c r="H146" s="218"/>
      <c r="I146" s="218"/>
      <c r="J146" s="216"/>
      <c r="K146" s="218"/>
      <c r="L146" s="218"/>
      <c r="M146" s="218"/>
      <c r="N146" s="218"/>
      <c r="O146" s="219"/>
      <c r="P146" s="216"/>
      <c r="Q146" s="217"/>
      <c r="R146" s="216"/>
      <c r="S146" s="218"/>
      <c r="T146" s="218"/>
      <c r="U146" s="220">
        <f>IF($A146="","",IF(N($Q146)&gt;0,IF(MOD($Q146,1)=0,$Q146+1-1/1440,$Q146),IF(N($B146)=0,"",$B146+IF(N($AH146)&gt;0,$AH146,IFERROR(INDEX(DM_SLA_Gio,MATCH($J146,DM_SLA_Cap,0)),168))/24)))</f>
      </c>
      <c r="V146" s="221">
        <f>IF($A146="","",IF(N($AJ146)=0,"Mới tiếp nhận",INDEX('Nhật ký tiến độ'!$E:$E,$AJ146)))</f>
      </c>
      <c r="W146" s="222">
        <f>IF($A146="","",IF($V146="Đã xử lý",1,IF(N($AJ146)=0,0,N(INDEX('Nhật ký tiến độ'!$D:$D,$AJ146)))))</f>
      </c>
      <c r="X146" s="222">
        <f>IF(OR($A146="",$V146="Đã xử lý",N($U146)=0,N($B146)=0),"",IF(TDBC&lt;=$B146,0,IF(TDBC&gt;=$U146,1,(TDBC-$B146)/($U146-$B146))))</f>
      </c>
      <c r="Y146" s="223">
        <f>IF($A146="","",IF($V146="Đã xử lý","Hoàn thành",IF(N($U146)=0,"Chưa đặt hạn",IF(TDBC&gt;$U146,"Quá hạn",IF(ROUND((N($X146)-$W146)*100,0)&gt;=20,"Chậm tiến độ",IF($U146-TDBC&lt;=1,"Sắp đến hạn","Đúng tiến độ"))))))</f>
      </c>
      <c r="Z146" s="223">
        <f>IF(OR($A146="",$V146="Đã xử lý",N($U146)=0),"",IF(TDBC&gt;$U146,"Quá "&amp;IF(((TDBC-$U146)*24)&lt;1,MAX(1,ROUND(((TDBC-$U146)*24)*60,0))&amp;" phút",IF(ROUND(((TDBC-$U146)*24),0)&lt;24,ROUND(((TDBC-$U146)*24),0)&amp;" giờ",INT(ROUND(((TDBC-$U146)*24),0)/24)&amp;" ngày"&amp;IF(MOD(ROUND(((TDBC-$U146)*24),0),24)&gt;0," "&amp;MOD(ROUND(((TDBC-$U146)*24),0),24)&amp;" giờ",""))),"Còn "&amp;IF((($U146-TDBC)*24)&lt;1,MAX(1,ROUND((($U146-TDBC)*24)*60,0))&amp;" phút",IF(ROUND((($U146-TDBC)*24),0)&lt;24,ROUND((($U146-TDBC)*24),0)&amp;" giờ",INT(ROUND((($U146-TDBC)*24),0)/24)&amp;" ngày"&amp;IF(MOD(ROUND((($U146-TDBC)*24),0),24)&gt;0," "&amp;MOD(ROUND((($U146-TDBC)*24),0),24)&amp;" giờ","")))))</f>
      </c>
      <c r="AA146" s="220">
        <f>IF($V146="Đã xử lý",_xlfn.MAXIFS('Nhật ký tiến độ'!$B$6:$B$3005,'Nhật ký tiến độ'!$C$6:$C$3005,$A146,'Nhật ký tiến độ'!$E$6:$E$3005,"Đã xử lý"),"")</f>
      </c>
      <c r="AB146" s="223">
        <f>IF($AI146="","",IF($AI146&lt;1,MAX(1,ROUND($AI146*60,0))&amp;" phút",IF(ROUND($AI146,0)&lt;24,ROUND($AI146,0)&amp;" giờ",INT(ROUND($AI146,0)/24)&amp;" ngày"&amp;IF(MOD(ROUND($AI146,0),24)&gt;0," "&amp;MOD(ROUND($AI146,0),24)&amp;" giờ",""))))</f>
      </c>
      <c r="AC146" s="223">
        <f>IF(OR($A146="",N($AH146)=0),"",IF($AI146&lt;&gt;"",IF($AI146&lt;=$AH146,"Trong ước tính","Vượt "&amp;IF(($AI146-$AH146)&lt;1,MAX(1,ROUND(($AI146-$AH146)*60,0))&amp;" phút",IF(ROUND(($AI146-$AH146),0)&lt;24,ROUND(($AI146-$AH146),0)&amp;" giờ",INT(ROUND(($AI146-$AH146),0)/24)&amp;" ngày"&amp;IF(MOD(ROUND(($AI146-$AH146),0),24)&gt;0," "&amp;MOD(ROUND(($AI146-$AH146),0),24)&amp;" giờ","")))),IF(OR($V146="Đã xử lý",N($B146)=0),"",IF((TDBC-$B146)*24&gt;$AH146,"Đã vượt ước tính","Đã dùng "&amp;TEXT((TDBC-$B146)*24/$AH146,"0%")))))</f>
      </c>
      <c r="AD146" s="223">
        <f>IF(N($AO146)=0,"",CHOOSE($AO146,"Nhắc nhở","Cảnh báo","Báo động","Báo động đỏ"))</f>
      </c>
      <c r="AE146" s="223">
        <f>IF(OR(N($AA146)=0,N($U146)=0),"",IF($AA146&lt;=$U146,"Đúng hạn","Trễ hạn"))</f>
      </c>
      <c r="AF146" s="220">
        <f>IF($A146="","",_xlfn.MAXIFS('Nhật ký tiến độ'!$B$6:$B$3005,'Nhật ký tiến độ'!$C$6:$C$3005,$A146))</f>
      </c>
      <c r="AG146" s="223">
        <f>IF($A146="","",IF(COUNTIF('Kế hoạch'!$M$6:$M$305,$A146)=0,"",COUNTIF('Kế hoạch'!$M$6:$M$305,$A146)&amp;" việc"))</f>
      </c>
      <c r="AH146" s="224">
        <f>IF(OR($A146="",N($O146)&lt;=0),"",IF($P146="Giờ",$O146,$O146*24))</f>
      </c>
      <c r="AI146" s="224">
        <f>IF(OR(N($AA146)=0,N($B146)=0),"",IF($AA146&lt;$B146,"",($AA146-$B146)*24))</f>
      </c>
      <c r="AJ146" s="225">
        <f>IF($A146="","",IF(COUNTIF('Nhật ký tiến độ'!$C$6:$C$3005,$A146)=0,0,_xlfn.MAXIFS('Nhật ký tiến độ'!$N$6:$N$3005,'Nhật ký tiến độ'!$C$6:$C$3005,$A146,'Nhật ký tiến độ'!$B$6:$B$3005,_xlfn.MAXIFS('Nhật ký tiến độ'!$B$6:$B$3005,'Nhật ký tiến độ'!$C$6:$C$3005,$A146))))</f>
      </c>
      <c r="AK146" s="225">
        <f>IF(OR($A146="",$V146="Đã xử lý"),"",IF(N($AO146)&gt;0,5-$AO146,IF($J146="Khẩn cấp",5,IF($Y146="Chậm tiến độ",6,IF(OR($Y146="Sắp đến hạn",$J146="Cao"),7,"")))))</f>
      </c>
      <c r="AL146" s="225">
        <f>IF($AK146="","",$AK146*100000+IF(N($U146)=0,99999,INT($U146))+ROW()/100000)</f>
      </c>
      <c r="AM146" s="225">
        <f>IF(OR($A146="",TRIM($K146)="",COUNTIF($K$6:$K146,$K146)&gt;1),0,1)</f>
      </c>
      <c r="AN146" s="225">
        <f>IF($AM146=1,SUM($AM$6:$AM146),"")</f>
      </c>
      <c r="AO146" s="225">
        <f>IF(OR($A146="",$V146="Đã xử lý",N($U146)=0),0,IF(TDBC&lt;=$U146,0,MAX(1,MIN(4,IF((TDBC-$U146)*24&lt;24,1,IF((TDBC-$U146)*24&lt;72,2,IF((TDBC-$U146)*24&lt;168,3,4)))+IFERROR(INDEX({2,1,0,-1},MATCH($J146,{"Khẩn cấp","Cao","Trung bình","Thấp"},0)),0)))))</f>
      </c>
    </row>
    <row r="147">
      <c r="A147" s="216"/>
      <c r="B147" s="217"/>
      <c r="C147" s="218"/>
      <c r="D147" s="218"/>
      <c r="E147" s="218"/>
      <c r="F147" s="218"/>
      <c r="G147" s="216"/>
      <c r="H147" s="218"/>
      <c r="I147" s="218"/>
      <c r="J147" s="216"/>
      <c r="K147" s="218"/>
      <c r="L147" s="218"/>
      <c r="M147" s="218"/>
      <c r="N147" s="218"/>
      <c r="O147" s="219"/>
      <c r="P147" s="216"/>
      <c r="Q147" s="217"/>
      <c r="R147" s="216"/>
      <c r="S147" s="218"/>
      <c r="T147" s="218"/>
      <c r="U147" s="220">
        <f>IF($A147="","",IF(N($Q147)&gt;0,IF(MOD($Q147,1)=0,$Q147+1-1/1440,$Q147),IF(N($B147)=0,"",$B147+IF(N($AH147)&gt;0,$AH147,IFERROR(INDEX(DM_SLA_Gio,MATCH($J147,DM_SLA_Cap,0)),168))/24)))</f>
      </c>
      <c r="V147" s="221">
        <f>IF($A147="","",IF(N($AJ147)=0,"Mới tiếp nhận",INDEX('Nhật ký tiến độ'!$E:$E,$AJ147)))</f>
      </c>
      <c r="W147" s="222">
        <f>IF($A147="","",IF($V147="Đã xử lý",1,IF(N($AJ147)=0,0,N(INDEX('Nhật ký tiến độ'!$D:$D,$AJ147)))))</f>
      </c>
      <c r="X147" s="222">
        <f>IF(OR($A147="",$V147="Đã xử lý",N($U147)=0,N($B147)=0),"",IF(TDBC&lt;=$B147,0,IF(TDBC&gt;=$U147,1,(TDBC-$B147)/($U147-$B147))))</f>
      </c>
      <c r="Y147" s="223">
        <f>IF($A147="","",IF($V147="Đã xử lý","Hoàn thành",IF(N($U147)=0,"Chưa đặt hạn",IF(TDBC&gt;$U147,"Quá hạn",IF(ROUND((N($X147)-$W147)*100,0)&gt;=20,"Chậm tiến độ",IF($U147-TDBC&lt;=1,"Sắp đến hạn","Đúng tiến độ"))))))</f>
      </c>
      <c r="Z147" s="223">
        <f>IF(OR($A147="",$V147="Đã xử lý",N($U147)=0),"",IF(TDBC&gt;$U147,"Quá "&amp;IF(((TDBC-$U147)*24)&lt;1,MAX(1,ROUND(((TDBC-$U147)*24)*60,0))&amp;" phút",IF(ROUND(((TDBC-$U147)*24),0)&lt;24,ROUND(((TDBC-$U147)*24),0)&amp;" giờ",INT(ROUND(((TDBC-$U147)*24),0)/24)&amp;" ngày"&amp;IF(MOD(ROUND(((TDBC-$U147)*24),0),24)&gt;0," "&amp;MOD(ROUND(((TDBC-$U147)*24),0),24)&amp;" giờ",""))),"Còn "&amp;IF((($U147-TDBC)*24)&lt;1,MAX(1,ROUND((($U147-TDBC)*24)*60,0))&amp;" phút",IF(ROUND((($U147-TDBC)*24),0)&lt;24,ROUND((($U147-TDBC)*24),0)&amp;" giờ",INT(ROUND((($U147-TDBC)*24),0)/24)&amp;" ngày"&amp;IF(MOD(ROUND((($U147-TDBC)*24),0),24)&gt;0," "&amp;MOD(ROUND((($U147-TDBC)*24),0),24)&amp;" giờ","")))))</f>
      </c>
      <c r="AA147" s="220">
        <f>IF($V147="Đã xử lý",_xlfn.MAXIFS('Nhật ký tiến độ'!$B$6:$B$3005,'Nhật ký tiến độ'!$C$6:$C$3005,$A147,'Nhật ký tiến độ'!$E$6:$E$3005,"Đã xử lý"),"")</f>
      </c>
      <c r="AB147" s="223">
        <f>IF($AI147="","",IF($AI147&lt;1,MAX(1,ROUND($AI147*60,0))&amp;" phút",IF(ROUND($AI147,0)&lt;24,ROUND($AI147,0)&amp;" giờ",INT(ROUND($AI147,0)/24)&amp;" ngày"&amp;IF(MOD(ROUND($AI147,0),24)&gt;0," "&amp;MOD(ROUND($AI147,0),24)&amp;" giờ",""))))</f>
      </c>
      <c r="AC147" s="223">
        <f>IF(OR($A147="",N($AH147)=0),"",IF($AI147&lt;&gt;"",IF($AI147&lt;=$AH147,"Trong ước tính","Vượt "&amp;IF(($AI147-$AH147)&lt;1,MAX(1,ROUND(($AI147-$AH147)*60,0))&amp;" phút",IF(ROUND(($AI147-$AH147),0)&lt;24,ROUND(($AI147-$AH147),0)&amp;" giờ",INT(ROUND(($AI147-$AH147),0)/24)&amp;" ngày"&amp;IF(MOD(ROUND(($AI147-$AH147),0),24)&gt;0," "&amp;MOD(ROUND(($AI147-$AH147),0),24)&amp;" giờ","")))),IF(OR($V147="Đã xử lý",N($B147)=0),"",IF((TDBC-$B147)*24&gt;$AH147,"Đã vượt ước tính","Đã dùng "&amp;TEXT((TDBC-$B147)*24/$AH147,"0%")))))</f>
      </c>
      <c r="AD147" s="223">
        <f>IF(N($AO147)=0,"",CHOOSE($AO147,"Nhắc nhở","Cảnh báo","Báo động","Báo động đỏ"))</f>
      </c>
      <c r="AE147" s="223">
        <f>IF(OR(N($AA147)=0,N($U147)=0),"",IF($AA147&lt;=$U147,"Đúng hạn","Trễ hạn"))</f>
      </c>
      <c r="AF147" s="220">
        <f>IF($A147="","",_xlfn.MAXIFS('Nhật ký tiến độ'!$B$6:$B$3005,'Nhật ký tiến độ'!$C$6:$C$3005,$A147))</f>
      </c>
      <c r="AG147" s="223">
        <f>IF($A147="","",IF(COUNTIF('Kế hoạch'!$M$6:$M$305,$A147)=0,"",COUNTIF('Kế hoạch'!$M$6:$M$305,$A147)&amp;" việc"))</f>
      </c>
      <c r="AH147" s="224">
        <f>IF(OR($A147="",N($O147)&lt;=0),"",IF($P147="Giờ",$O147,$O147*24))</f>
      </c>
      <c r="AI147" s="224">
        <f>IF(OR(N($AA147)=0,N($B147)=0),"",IF($AA147&lt;$B147,"",($AA147-$B147)*24))</f>
      </c>
      <c r="AJ147" s="225">
        <f>IF($A147="","",IF(COUNTIF('Nhật ký tiến độ'!$C$6:$C$3005,$A147)=0,0,_xlfn.MAXIFS('Nhật ký tiến độ'!$N$6:$N$3005,'Nhật ký tiến độ'!$C$6:$C$3005,$A147,'Nhật ký tiến độ'!$B$6:$B$3005,_xlfn.MAXIFS('Nhật ký tiến độ'!$B$6:$B$3005,'Nhật ký tiến độ'!$C$6:$C$3005,$A147))))</f>
      </c>
      <c r="AK147" s="225">
        <f>IF(OR($A147="",$V147="Đã xử lý"),"",IF(N($AO147)&gt;0,5-$AO147,IF($J147="Khẩn cấp",5,IF($Y147="Chậm tiến độ",6,IF(OR($Y147="Sắp đến hạn",$J147="Cao"),7,"")))))</f>
      </c>
      <c r="AL147" s="225">
        <f>IF($AK147="","",$AK147*100000+IF(N($U147)=0,99999,INT($U147))+ROW()/100000)</f>
      </c>
      <c r="AM147" s="225">
        <f>IF(OR($A147="",TRIM($K147)="",COUNTIF($K$6:$K147,$K147)&gt;1),0,1)</f>
      </c>
      <c r="AN147" s="225">
        <f>IF($AM147=1,SUM($AM$6:$AM147),"")</f>
      </c>
      <c r="AO147" s="225">
        <f>IF(OR($A147="",$V147="Đã xử lý",N($U147)=0),0,IF(TDBC&lt;=$U147,0,MAX(1,MIN(4,IF((TDBC-$U147)*24&lt;24,1,IF((TDBC-$U147)*24&lt;72,2,IF((TDBC-$U147)*24&lt;168,3,4)))+IFERROR(INDEX({2,1,0,-1},MATCH($J147,{"Khẩn cấp","Cao","Trung bình","Thấp"},0)),0)))))</f>
      </c>
    </row>
    <row r="148">
      <c r="A148" s="216"/>
      <c r="B148" s="217"/>
      <c r="C148" s="218"/>
      <c r="D148" s="218"/>
      <c r="E148" s="218"/>
      <c r="F148" s="218"/>
      <c r="G148" s="216"/>
      <c r="H148" s="218"/>
      <c r="I148" s="218"/>
      <c r="J148" s="216"/>
      <c r="K148" s="218"/>
      <c r="L148" s="218"/>
      <c r="M148" s="218"/>
      <c r="N148" s="218"/>
      <c r="O148" s="219"/>
      <c r="P148" s="216"/>
      <c r="Q148" s="217"/>
      <c r="R148" s="216"/>
      <c r="S148" s="218"/>
      <c r="T148" s="218"/>
      <c r="U148" s="220">
        <f>IF($A148="","",IF(N($Q148)&gt;0,IF(MOD($Q148,1)=0,$Q148+1-1/1440,$Q148),IF(N($B148)=0,"",$B148+IF(N($AH148)&gt;0,$AH148,IFERROR(INDEX(DM_SLA_Gio,MATCH($J148,DM_SLA_Cap,0)),168))/24)))</f>
      </c>
      <c r="V148" s="221">
        <f>IF($A148="","",IF(N($AJ148)=0,"Mới tiếp nhận",INDEX('Nhật ký tiến độ'!$E:$E,$AJ148)))</f>
      </c>
      <c r="W148" s="222">
        <f>IF($A148="","",IF($V148="Đã xử lý",1,IF(N($AJ148)=0,0,N(INDEX('Nhật ký tiến độ'!$D:$D,$AJ148)))))</f>
      </c>
      <c r="X148" s="222">
        <f>IF(OR($A148="",$V148="Đã xử lý",N($U148)=0,N($B148)=0),"",IF(TDBC&lt;=$B148,0,IF(TDBC&gt;=$U148,1,(TDBC-$B148)/($U148-$B148))))</f>
      </c>
      <c r="Y148" s="223">
        <f>IF($A148="","",IF($V148="Đã xử lý","Hoàn thành",IF(N($U148)=0,"Chưa đặt hạn",IF(TDBC&gt;$U148,"Quá hạn",IF(ROUND((N($X148)-$W148)*100,0)&gt;=20,"Chậm tiến độ",IF($U148-TDBC&lt;=1,"Sắp đến hạn","Đúng tiến độ"))))))</f>
      </c>
      <c r="Z148" s="223">
        <f>IF(OR($A148="",$V148="Đã xử lý",N($U148)=0),"",IF(TDBC&gt;$U148,"Quá "&amp;IF(((TDBC-$U148)*24)&lt;1,MAX(1,ROUND(((TDBC-$U148)*24)*60,0))&amp;" phút",IF(ROUND(((TDBC-$U148)*24),0)&lt;24,ROUND(((TDBC-$U148)*24),0)&amp;" giờ",INT(ROUND(((TDBC-$U148)*24),0)/24)&amp;" ngày"&amp;IF(MOD(ROUND(((TDBC-$U148)*24),0),24)&gt;0," "&amp;MOD(ROUND(((TDBC-$U148)*24),0),24)&amp;" giờ",""))),"Còn "&amp;IF((($U148-TDBC)*24)&lt;1,MAX(1,ROUND((($U148-TDBC)*24)*60,0))&amp;" phút",IF(ROUND((($U148-TDBC)*24),0)&lt;24,ROUND((($U148-TDBC)*24),0)&amp;" giờ",INT(ROUND((($U148-TDBC)*24),0)/24)&amp;" ngày"&amp;IF(MOD(ROUND((($U148-TDBC)*24),0),24)&gt;0," "&amp;MOD(ROUND((($U148-TDBC)*24),0),24)&amp;" giờ","")))))</f>
      </c>
      <c r="AA148" s="220">
        <f>IF($V148="Đã xử lý",_xlfn.MAXIFS('Nhật ký tiến độ'!$B$6:$B$3005,'Nhật ký tiến độ'!$C$6:$C$3005,$A148,'Nhật ký tiến độ'!$E$6:$E$3005,"Đã xử lý"),"")</f>
      </c>
      <c r="AB148" s="223">
        <f>IF($AI148="","",IF($AI148&lt;1,MAX(1,ROUND($AI148*60,0))&amp;" phút",IF(ROUND($AI148,0)&lt;24,ROUND($AI148,0)&amp;" giờ",INT(ROUND($AI148,0)/24)&amp;" ngày"&amp;IF(MOD(ROUND($AI148,0),24)&gt;0," "&amp;MOD(ROUND($AI148,0),24)&amp;" giờ",""))))</f>
      </c>
      <c r="AC148" s="223">
        <f>IF(OR($A148="",N($AH148)=0),"",IF($AI148&lt;&gt;"",IF($AI148&lt;=$AH148,"Trong ước tính","Vượt "&amp;IF(($AI148-$AH148)&lt;1,MAX(1,ROUND(($AI148-$AH148)*60,0))&amp;" phút",IF(ROUND(($AI148-$AH148),0)&lt;24,ROUND(($AI148-$AH148),0)&amp;" giờ",INT(ROUND(($AI148-$AH148),0)/24)&amp;" ngày"&amp;IF(MOD(ROUND(($AI148-$AH148),0),24)&gt;0," "&amp;MOD(ROUND(($AI148-$AH148),0),24)&amp;" giờ","")))),IF(OR($V148="Đã xử lý",N($B148)=0),"",IF((TDBC-$B148)*24&gt;$AH148,"Đã vượt ước tính","Đã dùng "&amp;TEXT((TDBC-$B148)*24/$AH148,"0%")))))</f>
      </c>
      <c r="AD148" s="223">
        <f>IF(N($AO148)=0,"",CHOOSE($AO148,"Nhắc nhở","Cảnh báo","Báo động","Báo động đỏ"))</f>
      </c>
      <c r="AE148" s="223">
        <f>IF(OR(N($AA148)=0,N($U148)=0),"",IF($AA148&lt;=$U148,"Đúng hạn","Trễ hạn"))</f>
      </c>
      <c r="AF148" s="220">
        <f>IF($A148="","",_xlfn.MAXIFS('Nhật ký tiến độ'!$B$6:$B$3005,'Nhật ký tiến độ'!$C$6:$C$3005,$A148))</f>
      </c>
      <c r="AG148" s="223">
        <f>IF($A148="","",IF(COUNTIF('Kế hoạch'!$M$6:$M$305,$A148)=0,"",COUNTIF('Kế hoạch'!$M$6:$M$305,$A148)&amp;" việc"))</f>
      </c>
      <c r="AH148" s="224">
        <f>IF(OR($A148="",N($O148)&lt;=0),"",IF($P148="Giờ",$O148,$O148*24))</f>
      </c>
      <c r="AI148" s="224">
        <f>IF(OR(N($AA148)=0,N($B148)=0),"",IF($AA148&lt;$B148,"",($AA148-$B148)*24))</f>
      </c>
      <c r="AJ148" s="225">
        <f>IF($A148="","",IF(COUNTIF('Nhật ký tiến độ'!$C$6:$C$3005,$A148)=0,0,_xlfn.MAXIFS('Nhật ký tiến độ'!$N$6:$N$3005,'Nhật ký tiến độ'!$C$6:$C$3005,$A148,'Nhật ký tiến độ'!$B$6:$B$3005,_xlfn.MAXIFS('Nhật ký tiến độ'!$B$6:$B$3005,'Nhật ký tiến độ'!$C$6:$C$3005,$A148))))</f>
      </c>
      <c r="AK148" s="225">
        <f>IF(OR($A148="",$V148="Đã xử lý"),"",IF(N($AO148)&gt;0,5-$AO148,IF($J148="Khẩn cấp",5,IF($Y148="Chậm tiến độ",6,IF(OR($Y148="Sắp đến hạn",$J148="Cao"),7,"")))))</f>
      </c>
      <c r="AL148" s="225">
        <f>IF($AK148="","",$AK148*100000+IF(N($U148)=0,99999,INT($U148))+ROW()/100000)</f>
      </c>
      <c r="AM148" s="225">
        <f>IF(OR($A148="",TRIM($K148)="",COUNTIF($K$6:$K148,$K148)&gt;1),0,1)</f>
      </c>
      <c r="AN148" s="225">
        <f>IF($AM148=1,SUM($AM$6:$AM148),"")</f>
      </c>
      <c r="AO148" s="225">
        <f>IF(OR($A148="",$V148="Đã xử lý",N($U148)=0),0,IF(TDBC&lt;=$U148,0,MAX(1,MIN(4,IF((TDBC-$U148)*24&lt;24,1,IF((TDBC-$U148)*24&lt;72,2,IF((TDBC-$U148)*24&lt;168,3,4)))+IFERROR(INDEX({2,1,0,-1},MATCH($J148,{"Khẩn cấp","Cao","Trung bình","Thấp"},0)),0)))))</f>
      </c>
    </row>
    <row r="149">
      <c r="A149" s="216"/>
      <c r="B149" s="217"/>
      <c r="C149" s="218"/>
      <c r="D149" s="218"/>
      <c r="E149" s="218"/>
      <c r="F149" s="218"/>
      <c r="G149" s="216"/>
      <c r="H149" s="218"/>
      <c r="I149" s="218"/>
      <c r="J149" s="216"/>
      <c r="K149" s="218"/>
      <c r="L149" s="218"/>
      <c r="M149" s="218"/>
      <c r="N149" s="218"/>
      <c r="O149" s="219"/>
      <c r="P149" s="216"/>
      <c r="Q149" s="217"/>
      <c r="R149" s="216"/>
      <c r="S149" s="218"/>
      <c r="T149" s="218"/>
      <c r="U149" s="220">
        <f>IF($A149="","",IF(N($Q149)&gt;0,IF(MOD($Q149,1)=0,$Q149+1-1/1440,$Q149),IF(N($B149)=0,"",$B149+IF(N($AH149)&gt;0,$AH149,IFERROR(INDEX(DM_SLA_Gio,MATCH($J149,DM_SLA_Cap,0)),168))/24)))</f>
      </c>
      <c r="V149" s="221">
        <f>IF($A149="","",IF(N($AJ149)=0,"Mới tiếp nhận",INDEX('Nhật ký tiến độ'!$E:$E,$AJ149)))</f>
      </c>
      <c r="W149" s="222">
        <f>IF($A149="","",IF($V149="Đã xử lý",1,IF(N($AJ149)=0,0,N(INDEX('Nhật ký tiến độ'!$D:$D,$AJ149)))))</f>
      </c>
      <c r="X149" s="222">
        <f>IF(OR($A149="",$V149="Đã xử lý",N($U149)=0,N($B149)=0),"",IF(TDBC&lt;=$B149,0,IF(TDBC&gt;=$U149,1,(TDBC-$B149)/($U149-$B149))))</f>
      </c>
      <c r="Y149" s="223">
        <f>IF($A149="","",IF($V149="Đã xử lý","Hoàn thành",IF(N($U149)=0,"Chưa đặt hạn",IF(TDBC&gt;$U149,"Quá hạn",IF(ROUND((N($X149)-$W149)*100,0)&gt;=20,"Chậm tiến độ",IF($U149-TDBC&lt;=1,"Sắp đến hạn","Đúng tiến độ"))))))</f>
      </c>
      <c r="Z149" s="223">
        <f>IF(OR($A149="",$V149="Đã xử lý",N($U149)=0),"",IF(TDBC&gt;$U149,"Quá "&amp;IF(((TDBC-$U149)*24)&lt;1,MAX(1,ROUND(((TDBC-$U149)*24)*60,0))&amp;" phút",IF(ROUND(((TDBC-$U149)*24),0)&lt;24,ROUND(((TDBC-$U149)*24),0)&amp;" giờ",INT(ROUND(((TDBC-$U149)*24),0)/24)&amp;" ngày"&amp;IF(MOD(ROUND(((TDBC-$U149)*24),0),24)&gt;0," "&amp;MOD(ROUND(((TDBC-$U149)*24),0),24)&amp;" giờ",""))),"Còn "&amp;IF((($U149-TDBC)*24)&lt;1,MAX(1,ROUND((($U149-TDBC)*24)*60,0))&amp;" phút",IF(ROUND((($U149-TDBC)*24),0)&lt;24,ROUND((($U149-TDBC)*24),0)&amp;" giờ",INT(ROUND((($U149-TDBC)*24),0)/24)&amp;" ngày"&amp;IF(MOD(ROUND((($U149-TDBC)*24),0),24)&gt;0," "&amp;MOD(ROUND((($U149-TDBC)*24),0),24)&amp;" giờ","")))))</f>
      </c>
      <c r="AA149" s="220">
        <f>IF($V149="Đã xử lý",_xlfn.MAXIFS('Nhật ký tiến độ'!$B$6:$B$3005,'Nhật ký tiến độ'!$C$6:$C$3005,$A149,'Nhật ký tiến độ'!$E$6:$E$3005,"Đã xử lý"),"")</f>
      </c>
      <c r="AB149" s="223">
        <f>IF($AI149="","",IF($AI149&lt;1,MAX(1,ROUND($AI149*60,0))&amp;" phút",IF(ROUND($AI149,0)&lt;24,ROUND($AI149,0)&amp;" giờ",INT(ROUND($AI149,0)/24)&amp;" ngày"&amp;IF(MOD(ROUND($AI149,0),24)&gt;0," "&amp;MOD(ROUND($AI149,0),24)&amp;" giờ",""))))</f>
      </c>
      <c r="AC149" s="223">
        <f>IF(OR($A149="",N($AH149)=0),"",IF($AI149&lt;&gt;"",IF($AI149&lt;=$AH149,"Trong ước tính","Vượt "&amp;IF(($AI149-$AH149)&lt;1,MAX(1,ROUND(($AI149-$AH149)*60,0))&amp;" phút",IF(ROUND(($AI149-$AH149),0)&lt;24,ROUND(($AI149-$AH149),0)&amp;" giờ",INT(ROUND(($AI149-$AH149),0)/24)&amp;" ngày"&amp;IF(MOD(ROUND(($AI149-$AH149),0),24)&gt;0," "&amp;MOD(ROUND(($AI149-$AH149),0),24)&amp;" giờ","")))),IF(OR($V149="Đã xử lý",N($B149)=0),"",IF((TDBC-$B149)*24&gt;$AH149,"Đã vượt ước tính","Đã dùng "&amp;TEXT((TDBC-$B149)*24/$AH149,"0%")))))</f>
      </c>
      <c r="AD149" s="223">
        <f>IF(N($AO149)=0,"",CHOOSE($AO149,"Nhắc nhở","Cảnh báo","Báo động","Báo động đỏ"))</f>
      </c>
      <c r="AE149" s="223">
        <f>IF(OR(N($AA149)=0,N($U149)=0),"",IF($AA149&lt;=$U149,"Đúng hạn","Trễ hạn"))</f>
      </c>
      <c r="AF149" s="220">
        <f>IF($A149="","",_xlfn.MAXIFS('Nhật ký tiến độ'!$B$6:$B$3005,'Nhật ký tiến độ'!$C$6:$C$3005,$A149))</f>
      </c>
      <c r="AG149" s="223">
        <f>IF($A149="","",IF(COUNTIF('Kế hoạch'!$M$6:$M$305,$A149)=0,"",COUNTIF('Kế hoạch'!$M$6:$M$305,$A149)&amp;" việc"))</f>
      </c>
      <c r="AH149" s="224">
        <f>IF(OR($A149="",N($O149)&lt;=0),"",IF($P149="Giờ",$O149,$O149*24))</f>
      </c>
      <c r="AI149" s="224">
        <f>IF(OR(N($AA149)=0,N($B149)=0),"",IF($AA149&lt;$B149,"",($AA149-$B149)*24))</f>
      </c>
      <c r="AJ149" s="225">
        <f>IF($A149="","",IF(COUNTIF('Nhật ký tiến độ'!$C$6:$C$3005,$A149)=0,0,_xlfn.MAXIFS('Nhật ký tiến độ'!$N$6:$N$3005,'Nhật ký tiến độ'!$C$6:$C$3005,$A149,'Nhật ký tiến độ'!$B$6:$B$3005,_xlfn.MAXIFS('Nhật ký tiến độ'!$B$6:$B$3005,'Nhật ký tiến độ'!$C$6:$C$3005,$A149))))</f>
      </c>
      <c r="AK149" s="225">
        <f>IF(OR($A149="",$V149="Đã xử lý"),"",IF(N($AO149)&gt;0,5-$AO149,IF($J149="Khẩn cấp",5,IF($Y149="Chậm tiến độ",6,IF(OR($Y149="Sắp đến hạn",$J149="Cao"),7,"")))))</f>
      </c>
      <c r="AL149" s="225">
        <f>IF($AK149="","",$AK149*100000+IF(N($U149)=0,99999,INT($U149))+ROW()/100000)</f>
      </c>
      <c r="AM149" s="225">
        <f>IF(OR($A149="",TRIM($K149)="",COUNTIF($K$6:$K149,$K149)&gt;1),0,1)</f>
      </c>
      <c r="AN149" s="225">
        <f>IF($AM149=1,SUM($AM$6:$AM149),"")</f>
      </c>
      <c r="AO149" s="225">
        <f>IF(OR($A149="",$V149="Đã xử lý",N($U149)=0),0,IF(TDBC&lt;=$U149,0,MAX(1,MIN(4,IF((TDBC-$U149)*24&lt;24,1,IF((TDBC-$U149)*24&lt;72,2,IF((TDBC-$U149)*24&lt;168,3,4)))+IFERROR(INDEX({2,1,0,-1},MATCH($J149,{"Khẩn cấp","Cao","Trung bình","Thấp"},0)),0)))))</f>
      </c>
    </row>
    <row r="150">
      <c r="A150" s="216"/>
      <c r="B150" s="217"/>
      <c r="C150" s="218"/>
      <c r="D150" s="218"/>
      <c r="E150" s="218"/>
      <c r="F150" s="218"/>
      <c r="G150" s="216"/>
      <c r="H150" s="218"/>
      <c r="I150" s="218"/>
      <c r="J150" s="216"/>
      <c r="K150" s="218"/>
      <c r="L150" s="218"/>
      <c r="M150" s="218"/>
      <c r="N150" s="218"/>
      <c r="O150" s="219"/>
      <c r="P150" s="216"/>
      <c r="Q150" s="217"/>
      <c r="R150" s="216"/>
      <c r="S150" s="218"/>
      <c r="T150" s="218"/>
      <c r="U150" s="220">
        <f>IF($A150="","",IF(N($Q150)&gt;0,IF(MOD($Q150,1)=0,$Q150+1-1/1440,$Q150),IF(N($B150)=0,"",$B150+IF(N($AH150)&gt;0,$AH150,IFERROR(INDEX(DM_SLA_Gio,MATCH($J150,DM_SLA_Cap,0)),168))/24)))</f>
      </c>
      <c r="V150" s="221">
        <f>IF($A150="","",IF(N($AJ150)=0,"Mới tiếp nhận",INDEX('Nhật ký tiến độ'!$E:$E,$AJ150)))</f>
      </c>
      <c r="W150" s="222">
        <f>IF($A150="","",IF($V150="Đã xử lý",1,IF(N($AJ150)=0,0,N(INDEX('Nhật ký tiến độ'!$D:$D,$AJ150)))))</f>
      </c>
      <c r="X150" s="222">
        <f>IF(OR($A150="",$V150="Đã xử lý",N($U150)=0,N($B150)=0),"",IF(TDBC&lt;=$B150,0,IF(TDBC&gt;=$U150,1,(TDBC-$B150)/($U150-$B150))))</f>
      </c>
      <c r="Y150" s="223">
        <f>IF($A150="","",IF($V150="Đã xử lý","Hoàn thành",IF(N($U150)=0,"Chưa đặt hạn",IF(TDBC&gt;$U150,"Quá hạn",IF(ROUND((N($X150)-$W150)*100,0)&gt;=20,"Chậm tiến độ",IF($U150-TDBC&lt;=1,"Sắp đến hạn","Đúng tiến độ"))))))</f>
      </c>
      <c r="Z150" s="223">
        <f>IF(OR($A150="",$V150="Đã xử lý",N($U150)=0),"",IF(TDBC&gt;$U150,"Quá "&amp;IF(((TDBC-$U150)*24)&lt;1,MAX(1,ROUND(((TDBC-$U150)*24)*60,0))&amp;" phút",IF(ROUND(((TDBC-$U150)*24),0)&lt;24,ROUND(((TDBC-$U150)*24),0)&amp;" giờ",INT(ROUND(((TDBC-$U150)*24),0)/24)&amp;" ngày"&amp;IF(MOD(ROUND(((TDBC-$U150)*24),0),24)&gt;0," "&amp;MOD(ROUND(((TDBC-$U150)*24),0),24)&amp;" giờ",""))),"Còn "&amp;IF((($U150-TDBC)*24)&lt;1,MAX(1,ROUND((($U150-TDBC)*24)*60,0))&amp;" phút",IF(ROUND((($U150-TDBC)*24),0)&lt;24,ROUND((($U150-TDBC)*24),0)&amp;" giờ",INT(ROUND((($U150-TDBC)*24),0)/24)&amp;" ngày"&amp;IF(MOD(ROUND((($U150-TDBC)*24),0),24)&gt;0," "&amp;MOD(ROUND((($U150-TDBC)*24),0),24)&amp;" giờ","")))))</f>
      </c>
      <c r="AA150" s="220">
        <f>IF($V150="Đã xử lý",_xlfn.MAXIFS('Nhật ký tiến độ'!$B$6:$B$3005,'Nhật ký tiến độ'!$C$6:$C$3005,$A150,'Nhật ký tiến độ'!$E$6:$E$3005,"Đã xử lý"),"")</f>
      </c>
      <c r="AB150" s="223">
        <f>IF($AI150="","",IF($AI150&lt;1,MAX(1,ROUND($AI150*60,0))&amp;" phút",IF(ROUND($AI150,0)&lt;24,ROUND($AI150,0)&amp;" giờ",INT(ROUND($AI150,0)/24)&amp;" ngày"&amp;IF(MOD(ROUND($AI150,0),24)&gt;0," "&amp;MOD(ROUND($AI150,0),24)&amp;" giờ",""))))</f>
      </c>
      <c r="AC150" s="223">
        <f>IF(OR($A150="",N($AH150)=0),"",IF($AI150&lt;&gt;"",IF($AI150&lt;=$AH150,"Trong ước tính","Vượt "&amp;IF(($AI150-$AH150)&lt;1,MAX(1,ROUND(($AI150-$AH150)*60,0))&amp;" phút",IF(ROUND(($AI150-$AH150),0)&lt;24,ROUND(($AI150-$AH150),0)&amp;" giờ",INT(ROUND(($AI150-$AH150),0)/24)&amp;" ngày"&amp;IF(MOD(ROUND(($AI150-$AH150),0),24)&gt;0," "&amp;MOD(ROUND(($AI150-$AH150),0),24)&amp;" giờ","")))),IF(OR($V150="Đã xử lý",N($B150)=0),"",IF((TDBC-$B150)*24&gt;$AH150,"Đã vượt ước tính","Đã dùng "&amp;TEXT((TDBC-$B150)*24/$AH150,"0%")))))</f>
      </c>
      <c r="AD150" s="223">
        <f>IF(N($AO150)=0,"",CHOOSE($AO150,"Nhắc nhở","Cảnh báo","Báo động","Báo động đỏ"))</f>
      </c>
      <c r="AE150" s="223">
        <f>IF(OR(N($AA150)=0,N($U150)=0),"",IF($AA150&lt;=$U150,"Đúng hạn","Trễ hạn"))</f>
      </c>
      <c r="AF150" s="220">
        <f>IF($A150="","",_xlfn.MAXIFS('Nhật ký tiến độ'!$B$6:$B$3005,'Nhật ký tiến độ'!$C$6:$C$3005,$A150))</f>
      </c>
      <c r="AG150" s="223">
        <f>IF($A150="","",IF(COUNTIF('Kế hoạch'!$M$6:$M$305,$A150)=0,"",COUNTIF('Kế hoạch'!$M$6:$M$305,$A150)&amp;" việc"))</f>
      </c>
      <c r="AH150" s="224">
        <f>IF(OR($A150="",N($O150)&lt;=0),"",IF($P150="Giờ",$O150,$O150*24))</f>
      </c>
      <c r="AI150" s="224">
        <f>IF(OR(N($AA150)=0,N($B150)=0),"",IF($AA150&lt;$B150,"",($AA150-$B150)*24))</f>
      </c>
      <c r="AJ150" s="225">
        <f>IF($A150="","",IF(COUNTIF('Nhật ký tiến độ'!$C$6:$C$3005,$A150)=0,0,_xlfn.MAXIFS('Nhật ký tiến độ'!$N$6:$N$3005,'Nhật ký tiến độ'!$C$6:$C$3005,$A150,'Nhật ký tiến độ'!$B$6:$B$3005,_xlfn.MAXIFS('Nhật ký tiến độ'!$B$6:$B$3005,'Nhật ký tiến độ'!$C$6:$C$3005,$A150))))</f>
      </c>
      <c r="AK150" s="225">
        <f>IF(OR($A150="",$V150="Đã xử lý"),"",IF(N($AO150)&gt;0,5-$AO150,IF($J150="Khẩn cấp",5,IF($Y150="Chậm tiến độ",6,IF(OR($Y150="Sắp đến hạn",$J150="Cao"),7,"")))))</f>
      </c>
      <c r="AL150" s="225">
        <f>IF($AK150="","",$AK150*100000+IF(N($U150)=0,99999,INT($U150))+ROW()/100000)</f>
      </c>
      <c r="AM150" s="225">
        <f>IF(OR($A150="",TRIM($K150)="",COUNTIF($K$6:$K150,$K150)&gt;1),0,1)</f>
      </c>
      <c r="AN150" s="225">
        <f>IF($AM150=1,SUM($AM$6:$AM150),"")</f>
      </c>
      <c r="AO150" s="225">
        <f>IF(OR($A150="",$V150="Đã xử lý",N($U150)=0),0,IF(TDBC&lt;=$U150,0,MAX(1,MIN(4,IF((TDBC-$U150)*24&lt;24,1,IF((TDBC-$U150)*24&lt;72,2,IF((TDBC-$U150)*24&lt;168,3,4)))+IFERROR(INDEX({2,1,0,-1},MATCH($J150,{"Khẩn cấp","Cao","Trung bình","Thấp"},0)),0)))))</f>
      </c>
    </row>
    <row r="151">
      <c r="A151" s="216"/>
      <c r="B151" s="217"/>
      <c r="C151" s="218"/>
      <c r="D151" s="218"/>
      <c r="E151" s="218"/>
      <c r="F151" s="218"/>
      <c r="G151" s="216"/>
      <c r="H151" s="218"/>
      <c r="I151" s="218"/>
      <c r="J151" s="216"/>
      <c r="K151" s="218"/>
      <c r="L151" s="218"/>
      <c r="M151" s="218"/>
      <c r="N151" s="218"/>
      <c r="O151" s="219"/>
      <c r="P151" s="216"/>
      <c r="Q151" s="217"/>
      <c r="R151" s="216"/>
      <c r="S151" s="218"/>
      <c r="T151" s="218"/>
      <c r="U151" s="220">
        <f>IF($A151="","",IF(N($Q151)&gt;0,IF(MOD($Q151,1)=0,$Q151+1-1/1440,$Q151),IF(N($B151)=0,"",$B151+IF(N($AH151)&gt;0,$AH151,IFERROR(INDEX(DM_SLA_Gio,MATCH($J151,DM_SLA_Cap,0)),168))/24)))</f>
      </c>
      <c r="V151" s="221">
        <f>IF($A151="","",IF(N($AJ151)=0,"Mới tiếp nhận",INDEX('Nhật ký tiến độ'!$E:$E,$AJ151)))</f>
      </c>
      <c r="W151" s="222">
        <f>IF($A151="","",IF($V151="Đã xử lý",1,IF(N($AJ151)=0,0,N(INDEX('Nhật ký tiến độ'!$D:$D,$AJ151)))))</f>
      </c>
      <c r="X151" s="222">
        <f>IF(OR($A151="",$V151="Đã xử lý",N($U151)=0,N($B151)=0),"",IF(TDBC&lt;=$B151,0,IF(TDBC&gt;=$U151,1,(TDBC-$B151)/($U151-$B151))))</f>
      </c>
      <c r="Y151" s="223">
        <f>IF($A151="","",IF($V151="Đã xử lý","Hoàn thành",IF(N($U151)=0,"Chưa đặt hạn",IF(TDBC&gt;$U151,"Quá hạn",IF(ROUND((N($X151)-$W151)*100,0)&gt;=20,"Chậm tiến độ",IF($U151-TDBC&lt;=1,"Sắp đến hạn","Đúng tiến độ"))))))</f>
      </c>
      <c r="Z151" s="223">
        <f>IF(OR($A151="",$V151="Đã xử lý",N($U151)=0),"",IF(TDBC&gt;$U151,"Quá "&amp;IF(((TDBC-$U151)*24)&lt;1,MAX(1,ROUND(((TDBC-$U151)*24)*60,0))&amp;" phút",IF(ROUND(((TDBC-$U151)*24),0)&lt;24,ROUND(((TDBC-$U151)*24),0)&amp;" giờ",INT(ROUND(((TDBC-$U151)*24),0)/24)&amp;" ngày"&amp;IF(MOD(ROUND(((TDBC-$U151)*24),0),24)&gt;0," "&amp;MOD(ROUND(((TDBC-$U151)*24),0),24)&amp;" giờ",""))),"Còn "&amp;IF((($U151-TDBC)*24)&lt;1,MAX(1,ROUND((($U151-TDBC)*24)*60,0))&amp;" phút",IF(ROUND((($U151-TDBC)*24),0)&lt;24,ROUND((($U151-TDBC)*24),0)&amp;" giờ",INT(ROUND((($U151-TDBC)*24),0)/24)&amp;" ngày"&amp;IF(MOD(ROUND((($U151-TDBC)*24),0),24)&gt;0," "&amp;MOD(ROUND((($U151-TDBC)*24),0),24)&amp;" giờ","")))))</f>
      </c>
      <c r="AA151" s="220">
        <f>IF($V151="Đã xử lý",_xlfn.MAXIFS('Nhật ký tiến độ'!$B$6:$B$3005,'Nhật ký tiến độ'!$C$6:$C$3005,$A151,'Nhật ký tiến độ'!$E$6:$E$3005,"Đã xử lý"),"")</f>
      </c>
      <c r="AB151" s="223">
        <f>IF($AI151="","",IF($AI151&lt;1,MAX(1,ROUND($AI151*60,0))&amp;" phút",IF(ROUND($AI151,0)&lt;24,ROUND($AI151,0)&amp;" giờ",INT(ROUND($AI151,0)/24)&amp;" ngày"&amp;IF(MOD(ROUND($AI151,0),24)&gt;0," "&amp;MOD(ROUND($AI151,0),24)&amp;" giờ",""))))</f>
      </c>
      <c r="AC151" s="223">
        <f>IF(OR($A151="",N($AH151)=0),"",IF($AI151&lt;&gt;"",IF($AI151&lt;=$AH151,"Trong ước tính","Vượt "&amp;IF(($AI151-$AH151)&lt;1,MAX(1,ROUND(($AI151-$AH151)*60,0))&amp;" phút",IF(ROUND(($AI151-$AH151),0)&lt;24,ROUND(($AI151-$AH151),0)&amp;" giờ",INT(ROUND(($AI151-$AH151),0)/24)&amp;" ngày"&amp;IF(MOD(ROUND(($AI151-$AH151),0),24)&gt;0," "&amp;MOD(ROUND(($AI151-$AH151),0),24)&amp;" giờ","")))),IF(OR($V151="Đã xử lý",N($B151)=0),"",IF((TDBC-$B151)*24&gt;$AH151,"Đã vượt ước tính","Đã dùng "&amp;TEXT((TDBC-$B151)*24/$AH151,"0%")))))</f>
      </c>
      <c r="AD151" s="223">
        <f>IF(N($AO151)=0,"",CHOOSE($AO151,"Nhắc nhở","Cảnh báo","Báo động","Báo động đỏ"))</f>
      </c>
      <c r="AE151" s="223">
        <f>IF(OR(N($AA151)=0,N($U151)=0),"",IF($AA151&lt;=$U151,"Đúng hạn","Trễ hạn"))</f>
      </c>
      <c r="AF151" s="220">
        <f>IF($A151="","",_xlfn.MAXIFS('Nhật ký tiến độ'!$B$6:$B$3005,'Nhật ký tiến độ'!$C$6:$C$3005,$A151))</f>
      </c>
      <c r="AG151" s="223">
        <f>IF($A151="","",IF(COUNTIF('Kế hoạch'!$M$6:$M$305,$A151)=0,"",COUNTIF('Kế hoạch'!$M$6:$M$305,$A151)&amp;" việc"))</f>
      </c>
      <c r="AH151" s="224">
        <f>IF(OR($A151="",N($O151)&lt;=0),"",IF($P151="Giờ",$O151,$O151*24))</f>
      </c>
      <c r="AI151" s="224">
        <f>IF(OR(N($AA151)=0,N($B151)=0),"",IF($AA151&lt;$B151,"",($AA151-$B151)*24))</f>
      </c>
      <c r="AJ151" s="225">
        <f>IF($A151="","",IF(COUNTIF('Nhật ký tiến độ'!$C$6:$C$3005,$A151)=0,0,_xlfn.MAXIFS('Nhật ký tiến độ'!$N$6:$N$3005,'Nhật ký tiến độ'!$C$6:$C$3005,$A151,'Nhật ký tiến độ'!$B$6:$B$3005,_xlfn.MAXIFS('Nhật ký tiến độ'!$B$6:$B$3005,'Nhật ký tiến độ'!$C$6:$C$3005,$A151))))</f>
      </c>
      <c r="AK151" s="225">
        <f>IF(OR($A151="",$V151="Đã xử lý"),"",IF(N($AO151)&gt;0,5-$AO151,IF($J151="Khẩn cấp",5,IF($Y151="Chậm tiến độ",6,IF(OR($Y151="Sắp đến hạn",$J151="Cao"),7,"")))))</f>
      </c>
      <c r="AL151" s="225">
        <f>IF($AK151="","",$AK151*100000+IF(N($U151)=0,99999,INT($U151))+ROW()/100000)</f>
      </c>
      <c r="AM151" s="225">
        <f>IF(OR($A151="",TRIM($K151)="",COUNTIF($K$6:$K151,$K151)&gt;1),0,1)</f>
      </c>
      <c r="AN151" s="225">
        <f>IF($AM151=1,SUM($AM$6:$AM151),"")</f>
      </c>
      <c r="AO151" s="225">
        <f>IF(OR($A151="",$V151="Đã xử lý",N($U151)=0),0,IF(TDBC&lt;=$U151,0,MAX(1,MIN(4,IF((TDBC-$U151)*24&lt;24,1,IF((TDBC-$U151)*24&lt;72,2,IF((TDBC-$U151)*24&lt;168,3,4)))+IFERROR(INDEX({2,1,0,-1},MATCH($J151,{"Khẩn cấp","Cao","Trung bình","Thấp"},0)),0)))))</f>
      </c>
    </row>
    <row r="152">
      <c r="A152" s="216"/>
      <c r="B152" s="217"/>
      <c r="C152" s="218"/>
      <c r="D152" s="218"/>
      <c r="E152" s="218"/>
      <c r="F152" s="218"/>
      <c r="G152" s="216"/>
      <c r="H152" s="218"/>
      <c r="I152" s="218"/>
      <c r="J152" s="216"/>
      <c r="K152" s="218"/>
      <c r="L152" s="218"/>
      <c r="M152" s="218"/>
      <c r="N152" s="218"/>
      <c r="O152" s="219"/>
      <c r="P152" s="216"/>
      <c r="Q152" s="217"/>
      <c r="R152" s="216"/>
      <c r="S152" s="218"/>
      <c r="T152" s="218"/>
      <c r="U152" s="220">
        <f>IF($A152="","",IF(N($Q152)&gt;0,IF(MOD($Q152,1)=0,$Q152+1-1/1440,$Q152),IF(N($B152)=0,"",$B152+IF(N($AH152)&gt;0,$AH152,IFERROR(INDEX(DM_SLA_Gio,MATCH($J152,DM_SLA_Cap,0)),168))/24)))</f>
      </c>
      <c r="V152" s="221">
        <f>IF($A152="","",IF(N($AJ152)=0,"Mới tiếp nhận",INDEX('Nhật ký tiến độ'!$E:$E,$AJ152)))</f>
      </c>
      <c r="W152" s="222">
        <f>IF($A152="","",IF($V152="Đã xử lý",1,IF(N($AJ152)=0,0,N(INDEX('Nhật ký tiến độ'!$D:$D,$AJ152)))))</f>
      </c>
      <c r="X152" s="222">
        <f>IF(OR($A152="",$V152="Đã xử lý",N($U152)=0,N($B152)=0),"",IF(TDBC&lt;=$B152,0,IF(TDBC&gt;=$U152,1,(TDBC-$B152)/($U152-$B152))))</f>
      </c>
      <c r="Y152" s="223">
        <f>IF($A152="","",IF($V152="Đã xử lý","Hoàn thành",IF(N($U152)=0,"Chưa đặt hạn",IF(TDBC&gt;$U152,"Quá hạn",IF(ROUND((N($X152)-$W152)*100,0)&gt;=20,"Chậm tiến độ",IF($U152-TDBC&lt;=1,"Sắp đến hạn","Đúng tiến độ"))))))</f>
      </c>
      <c r="Z152" s="223">
        <f>IF(OR($A152="",$V152="Đã xử lý",N($U152)=0),"",IF(TDBC&gt;$U152,"Quá "&amp;IF(((TDBC-$U152)*24)&lt;1,MAX(1,ROUND(((TDBC-$U152)*24)*60,0))&amp;" phút",IF(ROUND(((TDBC-$U152)*24),0)&lt;24,ROUND(((TDBC-$U152)*24),0)&amp;" giờ",INT(ROUND(((TDBC-$U152)*24),0)/24)&amp;" ngày"&amp;IF(MOD(ROUND(((TDBC-$U152)*24),0),24)&gt;0," "&amp;MOD(ROUND(((TDBC-$U152)*24),0),24)&amp;" giờ",""))),"Còn "&amp;IF((($U152-TDBC)*24)&lt;1,MAX(1,ROUND((($U152-TDBC)*24)*60,0))&amp;" phút",IF(ROUND((($U152-TDBC)*24),0)&lt;24,ROUND((($U152-TDBC)*24),0)&amp;" giờ",INT(ROUND((($U152-TDBC)*24),0)/24)&amp;" ngày"&amp;IF(MOD(ROUND((($U152-TDBC)*24),0),24)&gt;0," "&amp;MOD(ROUND((($U152-TDBC)*24),0),24)&amp;" giờ","")))))</f>
      </c>
      <c r="AA152" s="220">
        <f>IF($V152="Đã xử lý",_xlfn.MAXIFS('Nhật ký tiến độ'!$B$6:$B$3005,'Nhật ký tiến độ'!$C$6:$C$3005,$A152,'Nhật ký tiến độ'!$E$6:$E$3005,"Đã xử lý"),"")</f>
      </c>
      <c r="AB152" s="223">
        <f>IF($AI152="","",IF($AI152&lt;1,MAX(1,ROUND($AI152*60,0))&amp;" phút",IF(ROUND($AI152,0)&lt;24,ROUND($AI152,0)&amp;" giờ",INT(ROUND($AI152,0)/24)&amp;" ngày"&amp;IF(MOD(ROUND($AI152,0),24)&gt;0," "&amp;MOD(ROUND($AI152,0),24)&amp;" giờ",""))))</f>
      </c>
      <c r="AC152" s="223">
        <f>IF(OR($A152="",N($AH152)=0),"",IF($AI152&lt;&gt;"",IF($AI152&lt;=$AH152,"Trong ước tính","Vượt "&amp;IF(($AI152-$AH152)&lt;1,MAX(1,ROUND(($AI152-$AH152)*60,0))&amp;" phút",IF(ROUND(($AI152-$AH152),0)&lt;24,ROUND(($AI152-$AH152),0)&amp;" giờ",INT(ROUND(($AI152-$AH152),0)/24)&amp;" ngày"&amp;IF(MOD(ROUND(($AI152-$AH152),0),24)&gt;0," "&amp;MOD(ROUND(($AI152-$AH152),0),24)&amp;" giờ","")))),IF(OR($V152="Đã xử lý",N($B152)=0),"",IF((TDBC-$B152)*24&gt;$AH152,"Đã vượt ước tính","Đã dùng "&amp;TEXT((TDBC-$B152)*24/$AH152,"0%")))))</f>
      </c>
      <c r="AD152" s="223">
        <f>IF(N($AO152)=0,"",CHOOSE($AO152,"Nhắc nhở","Cảnh báo","Báo động","Báo động đỏ"))</f>
      </c>
      <c r="AE152" s="223">
        <f>IF(OR(N($AA152)=0,N($U152)=0),"",IF($AA152&lt;=$U152,"Đúng hạn","Trễ hạn"))</f>
      </c>
      <c r="AF152" s="220">
        <f>IF($A152="","",_xlfn.MAXIFS('Nhật ký tiến độ'!$B$6:$B$3005,'Nhật ký tiến độ'!$C$6:$C$3005,$A152))</f>
      </c>
      <c r="AG152" s="223">
        <f>IF($A152="","",IF(COUNTIF('Kế hoạch'!$M$6:$M$305,$A152)=0,"",COUNTIF('Kế hoạch'!$M$6:$M$305,$A152)&amp;" việc"))</f>
      </c>
      <c r="AH152" s="224">
        <f>IF(OR($A152="",N($O152)&lt;=0),"",IF($P152="Giờ",$O152,$O152*24))</f>
      </c>
      <c r="AI152" s="224">
        <f>IF(OR(N($AA152)=0,N($B152)=0),"",IF($AA152&lt;$B152,"",($AA152-$B152)*24))</f>
      </c>
      <c r="AJ152" s="225">
        <f>IF($A152="","",IF(COUNTIF('Nhật ký tiến độ'!$C$6:$C$3005,$A152)=0,0,_xlfn.MAXIFS('Nhật ký tiến độ'!$N$6:$N$3005,'Nhật ký tiến độ'!$C$6:$C$3005,$A152,'Nhật ký tiến độ'!$B$6:$B$3005,_xlfn.MAXIFS('Nhật ký tiến độ'!$B$6:$B$3005,'Nhật ký tiến độ'!$C$6:$C$3005,$A152))))</f>
      </c>
      <c r="AK152" s="225">
        <f>IF(OR($A152="",$V152="Đã xử lý"),"",IF(N($AO152)&gt;0,5-$AO152,IF($J152="Khẩn cấp",5,IF($Y152="Chậm tiến độ",6,IF(OR($Y152="Sắp đến hạn",$J152="Cao"),7,"")))))</f>
      </c>
      <c r="AL152" s="225">
        <f>IF($AK152="","",$AK152*100000+IF(N($U152)=0,99999,INT($U152))+ROW()/100000)</f>
      </c>
      <c r="AM152" s="225">
        <f>IF(OR($A152="",TRIM($K152)="",COUNTIF($K$6:$K152,$K152)&gt;1),0,1)</f>
      </c>
      <c r="AN152" s="225">
        <f>IF($AM152=1,SUM($AM$6:$AM152),"")</f>
      </c>
      <c r="AO152" s="225">
        <f>IF(OR($A152="",$V152="Đã xử lý",N($U152)=0),0,IF(TDBC&lt;=$U152,0,MAX(1,MIN(4,IF((TDBC-$U152)*24&lt;24,1,IF((TDBC-$U152)*24&lt;72,2,IF((TDBC-$U152)*24&lt;168,3,4)))+IFERROR(INDEX({2,1,0,-1},MATCH($J152,{"Khẩn cấp","Cao","Trung bình","Thấp"},0)),0)))))</f>
      </c>
    </row>
    <row r="153">
      <c r="A153" s="216"/>
      <c r="B153" s="217"/>
      <c r="C153" s="218"/>
      <c r="D153" s="218"/>
      <c r="E153" s="218"/>
      <c r="F153" s="218"/>
      <c r="G153" s="216"/>
      <c r="H153" s="218"/>
      <c r="I153" s="218"/>
      <c r="J153" s="216"/>
      <c r="K153" s="218"/>
      <c r="L153" s="218"/>
      <c r="M153" s="218"/>
      <c r="N153" s="218"/>
      <c r="O153" s="219"/>
      <c r="P153" s="216"/>
      <c r="Q153" s="217"/>
      <c r="R153" s="216"/>
      <c r="S153" s="218"/>
      <c r="T153" s="218"/>
      <c r="U153" s="220">
        <f>IF($A153="","",IF(N($Q153)&gt;0,IF(MOD($Q153,1)=0,$Q153+1-1/1440,$Q153),IF(N($B153)=0,"",$B153+IF(N($AH153)&gt;0,$AH153,IFERROR(INDEX(DM_SLA_Gio,MATCH($J153,DM_SLA_Cap,0)),168))/24)))</f>
      </c>
      <c r="V153" s="221">
        <f>IF($A153="","",IF(N($AJ153)=0,"Mới tiếp nhận",INDEX('Nhật ký tiến độ'!$E:$E,$AJ153)))</f>
      </c>
      <c r="W153" s="222">
        <f>IF($A153="","",IF($V153="Đã xử lý",1,IF(N($AJ153)=0,0,N(INDEX('Nhật ký tiến độ'!$D:$D,$AJ153)))))</f>
      </c>
      <c r="X153" s="222">
        <f>IF(OR($A153="",$V153="Đã xử lý",N($U153)=0,N($B153)=0),"",IF(TDBC&lt;=$B153,0,IF(TDBC&gt;=$U153,1,(TDBC-$B153)/($U153-$B153))))</f>
      </c>
      <c r="Y153" s="223">
        <f>IF($A153="","",IF($V153="Đã xử lý","Hoàn thành",IF(N($U153)=0,"Chưa đặt hạn",IF(TDBC&gt;$U153,"Quá hạn",IF(ROUND((N($X153)-$W153)*100,0)&gt;=20,"Chậm tiến độ",IF($U153-TDBC&lt;=1,"Sắp đến hạn","Đúng tiến độ"))))))</f>
      </c>
      <c r="Z153" s="223">
        <f>IF(OR($A153="",$V153="Đã xử lý",N($U153)=0),"",IF(TDBC&gt;$U153,"Quá "&amp;IF(((TDBC-$U153)*24)&lt;1,MAX(1,ROUND(((TDBC-$U153)*24)*60,0))&amp;" phút",IF(ROUND(((TDBC-$U153)*24),0)&lt;24,ROUND(((TDBC-$U153)*24),0)&amp;" giờ",INT(ROUND(((TDBC-$U153)*24),0)/24)&amp;" ngày"&amp;IF(MOD(ROUND(((TDBC-$U153)*24),0),24)&gt;0," "&amp;MOD(ROUND(((TDBC-$U153)*24),0),24)&amp;" giờ",""))),"Còn "&amp;IF((($U153-TDBC)*24)&lt;1,MAX(1,ROUND((($U153-TDBC)*24)*60,0))&amp;" phút",IF(ROUND((($U153-TDBC)*24),0)&lt;24,ROUND((($U153-TDBC)*24),0)&amp;" giờ",INT(ROUND((($U153-TDBC)*24),0)/24)&amp;" ngày"&amp;IF(MOD(ROUND((($U153-TDBC)*24),0),24)&gt;0," "&amp;MOD(ROUND((($U153-TDBC)*24),0),24)&amp;" giờ","")))))</f>
      </c>
      <c r="AA153" s="220">
        <f>IF($V153="Đã xử lý",_xlfn.MAXIFS('Nhật ký tiến độ'!$B$6:$B$3005,'Nhật ký tiến độ'!$C$6:$C$3005,$A153,'Nhật ký tiến độ'!$E$6:$E$3005,"Đã xử lý"),"")</f>
      </c>
      <c r="AB153" s="223">
        <f>IF($AI153="","",IF($AI153&lt;1,MAX(1,ROUND($AI153*60,0))&amp;" phút",IF(ROUND($AI153,0)&lt;24,ROUND($AI153,0)&amp;" giờ",INT(ROUND($AI153,0)/24)&amp;" ngày"&amp;IF(MOD(ROUND($AI153,0),24)&gt;0," "&amp;MOD(ROUND($AI153,0),24)&amp;" giờ",""))))</f>
      </c>
      <c r="AC153" s="223">
        <f>IF(OR($A153="",N($AH153)=0),"",IF($AI153&lt;&gt;"",IF($AI153&lt;=$AH153,"Trong ước tính","Vượt "&amp;IF(($AI153-$AH153)&lt;1,MAX(1,ROUND(($AI153-$AH153)*60,0))&amp;" phút",IF(ROUND(($AI153-$AH153),0)&lt;24,ROUND(($AI153-$AH153),0)&amp;" giờ",INT(ROUND(($AI153-$AH153),0)/24)&amp;" ngày"&amp;IF(MOD(ROUND(($AI153-$AH153),0),24)&gt;0," "&amp;MOD(ROUND(($AI153-$AH153),0),24)&amp;" giờ","")))),IF(OR($V153="Đã xử lý",N($B153)=0),"",IF((TDBC-$B153)*24&gt;$AH153,"Đã vượt ước tính","Đã dùng "&amp;TEXT((TDBC-$B153)*24/$AH153,"0%")))))</f>
      </c>
      <c r="AD153" s="223">
        <f>IF(N($AO153)=0,"",CHOOSE($AO153,"Nhắc nhở","Cảnh báo","Báo động","Báo động đỏ"))</f>
      </c>
      <c r="AE153" s="223">
        <f>IF(OR(N($AA153)=0,N($U153)=0),"",IF($AA153&lt;=$U153,"Đúng hạn","Trễ hạn"))</f>
      </c>
      <c r="AF153" s="220">
        <f>IF($A153="","",_xlfn.MAXIFS('Nhật ký tiến độ'!$B$6:$B$3005,'Nhật ký tiến độ'!$C$6:$C$3005,$A153))</f>
      </c>
      <c r="AG153" s="223">
        <f>IF($A153="","",IF(COUNTIF('Kế hoạch'!$M$6:$M$305,$A153)=0,"",COUNTIF('Kế hoạch'!$M$6:$M$305,$A153)&amp;" việc"))</f>
      </c>
      <c r="AH153" s="224">
        <f>IF(OR($A153="",N($O153)&lt;=0),"",IF($P153="Giờ",$O153,$O153*24))</f>
      </c>
      <c r="AI153" s="224">
        <f>IF(OR(N($AA153)=0,N($B153)=0),"",IF($AA153&lt;$B153,"",($AA153-$B153)*24))</f>
      </c>
      <c r="AJ153" s="225">
        <f>IF($A153="","",IF(COUNTIF('Nhật ký tiến độ'!$C$6:$C$3005,$A153)=0,0,_xlfn.MAXIFS('Nhật ký tiến độ'!$N$6:$N$3005,'Nhật ký tiến độ'!$C$6:$C$3005,$A153,'Nhật ký tiến độ'!$B$6:$B$3005,_xlfn.MAXIFS('Nhật ký tiến độ'!$B$6:$B$3005,'Nhật ký tiến độ'!$C$6:$C$3005,$A153))))</f>
      </c>
      <c r="AK153" s="225">
        <f>IF(OR($A153="",$V153="Đã xử lý"),"",IF(N($AO153)&gt;0,5-$AO153,IF($J153="Khẩn cấp",5,IF($Y153="Chậm tiến độ",6,IF(OR($Y153="Sắp đến hạn",$J153="Cao"),7,"")))))</f>
      </c>
      <c r="AL153" s="225">
        <f>IF($AK153="","",$AK153*100000+IF(N($U153)=0,99999,INT($U153))+ROW()/100000)</f>
      </c>
      <c r="AM153" s="225">
        <f>IF(OR($A153="",TRIM($K153)="",COUNTIF($K$6:$K153,$K153)&gt;1),0,1)</f>
      </c>
      <c r="AN153" s="225">
        <f>IF($AM153=1,SUM($AM$6:$AM153),"")</f>
      </c>
      <c r="AO153" s="225">
        <f>IF(OR($A153="",$V153="Đã xử lý",N($U153)=0),0,IF(TDBC&lt;=$U153,0,MAX(1,MIN(4,IF((TDBC-$U153)*24&lt;24,1,IF((TDBC-$U153)*24&lt;72,2,IF((TDBC-$U153)*24&lt;168,3,4)))+IFERROR(INDEX({2,1,0,-1},MATCH($J153,{"Khẩn cấp","Cao","Trung bình","Thấp"},0)),0)))))</f>
      </c>
    </row>
    <row r="154">
      <c r="A154" s="216"/>
      <c r="B154" s="217"/>
      <c r="C154" s="218"/>
      <c r="D154" s="218"/>
      <c r="E154" s="218"/>
      <c r="F154" s="218"/>
      <c r="G154" s="216"/>
      <c r="H154" s="218"/>
      <c r="I154" s="218"/>
      <c r="J154" s="216"/>
      <c r="K154" s="218"/>
      <c r="L154" s="218"/>
      <c r="M154" s="218"/>
      <c r="N154" s="218"/>
      <c r="O154" s="219"/>
      <c r="P154" s="216"/>
      <c r="Q154" s="217"/>
      <c r="R154" s="216"/>
      <c r="S154" s="218"/>
      <c r="T154" s="218"/>
      <c r="U154" s="220">
        <f>IF($A154="","",IF(N($Q154)&gt;0,IF(MOD($Q154,1)=0,$Q154+1-1/1440,$Q154),IF(N($B154)=0,"",$B154+IF(N($AH154)&gt;0,$AH154,IFERROR(INDEX(DM_SLA_Gio,MATCH($J154,DM_SLA_Cap,0)),168))/24)))</f>
      </c>
      <c r="V154" s="221">
        <f>IF($A154="","",IF(N($AJ154)=0,"Mới tiếp nhận",INDEX('Nhật ký tiến độ'!$E:$E,$AJ154)))</f>
      </c>
      <c r="W154" s="222">
        <f>IF($A154="","",IF($V154="Đã xử lý",1,IF(N($AJ154)=0,0,N(INDEX('Nhật ký tiến độ'!$D:$D,$AJ154)))))</f>
      </c>
      <c r="X154" s="222">
        <f>IF(OR($A154="",$V154="Đã xử lý",N($U154)=0,N($B154)=0),"",IF(TDBC&lt;=$B154,0,IF(TDBC&gt;=$U154,1,(TDBC-$B154)/($U154-$B154))))</f>
      </c>
      <c r="Y154" s="223">
        <f>IF($A154="","",IF($V154="Đã xử lý","Hoàn thành",IF(N($U154)=0,"Chưa đặt hạn",IF(TDBC&gt;$U154,"Quá hạn",IF(ROUND((N($X154)-$W154)*100,0)&gt;=20,"Chậm tiến độ",IF($U154-TDBC&lt;=1,"Sắp đến hạn","Đúng tiến độ"))))))</f>
      </c>
      <c r="Z154" s="223">
        <f>IF(OR($A154="",$V154="Đã xử lý",N($U154)=0),"",IF(TDBC&gt;$U154,"Quá "&amp;IF(((TDBC-$U154)*24)&lt;1,MAX(1,ROUND(((TDBC-$U154)*24)*60,0))&amp;" phút",IF(ROUND(((TDBC-$U154)*24),0)&lt;24,ROUND(((TDBC-$U154)*24),0)&amp;" giờ",INT(ROUND(((TDBC-$U154)*24),0)/24)&amp;" ngày"&amp;IF(MOD(ROUND(((TDBC-$U154)*24),0),24)&gt;0," "&amp;MOD(ROUND(((TDBC-$U154)*24),0),24)&amp;" giờ",""))),"Còn "&amp;IF((($U154-TDBC)*24)&lt;1,MAX(1,ROUND((($U154-TDBC)*24)*60,0))&amp;" phút",IF(ROUND((($U154-TDBC)*24),0)&lt;24,ROUND((($U154-TDBC)*24),0)&amp;" giờ",INT(ROUND((($U154-TDBC)*24),0)/24)&amp;" ngày"&amp;IF(MOD(ROUND((($U154-TDBC)*24),0),24)&gt;0," "&amp;MOD(ROUND((($U154-TDBC)*24),0),24)&amp;" giờ","")))))</f>
      </c>
      <c r="AA154" s="220">
        <f>IF($V154="Đã xử lý",_xlfn.MAXIFS('Nhật ký tiến độ'!$B$6:$B$3005,'Nhật ký tiến độ'!$C$6:$C$3005,$A154,'Nhật ký tiến độ'!$E$6:$E$3005,"Đã xử lý"),"")</f>
      </c>
      <c r="AB154" s="223">
        <f>IF($AI154="","",IF($AI154&lt;1,MAX(1,ROUND($AI154*60,0))&amp;" phút",IF(ROUND($AI154,0)&lt;24,ROUND($AI154,0)&amp;" giờ",INT(ROUND($AI154,0)/24)&amp;" ngày"&amp;IF(MOD(ROUND($AI154,0),24)&gt;0," "&amp;MOD(ROUND($AI154,0),24)&amp;" giờ",""))))</f>
      </c>
      <c r="AC154" s="223">
        <f>IF(OR($A154="",N($AH154)=0),"",IF($AI154&lt;&gt;"",IF($AI154&lt;=$AH154,"Trong ước tính","Vượt "&amp;IF(($AI154-$AH154)&lt;1,MAX(1,ROUND(($AI154-$AH154)*60,0))&amp;" phút",IF(ROUND(($AI154-$AH154),0)&lt;24,ROUND(($AI154-$AH154),0)&amp;" giờ",INT(ROUND(($AI154-$AH154),0)/24)&amp;" ngày"&amp;IF(MOD(ROUND(($AI154-$AH154),0),24)&gt;0," "&amp;MOD(ROUND(($AI154-$AH154),0),24)&amp;" giờ","")))),IF(OR($V154="Đã xử lý",N($B154)=0),"",IF((TDBC-$B154)*24&gt;$AH154,"Đã vượt ước tính","Đã dùng "&amp;TEXT((TDBC-$B154)*24/$AH154,"0%")))))</f>
      </c>
      <c r="AD154" s="223">
        <f>IF(N($AO154)=0,"",CHOOSE($AO154,"Nhắc nhở","Cảnh báo","Báo động","Báo động đỏ"))</f>
      </c>
      <c r="AE154" s="223">
        <f>IF(OR(N($AA154)=0,N($U154)=0),"",IF($AA154&lt;=$U154,"Đúng hạn","Trễ hạn"))</f>
      </c>
      <c r="AF154" s="220">
        <f>IF($A154="","",_xlfn.MAXIFS('Nhật ký tiến độ'!$B$6:$B$3005,'Nhật ký tiến độ'!$C$6:$C$3005,$A154))</f>
      </c>
      <c r="AG154" s="223">
        <f>IF($A154="","",IF(COUNTIF('Kế hoạch'!$M$6:$M$305,$A154)=0,"",COUNTIF('Kế hoạch'!$M$6:$M$305,$A154)&amp;" việc"))</f>
      </c>
      <c r="AH154" s="224">
        <f>IF(OR($A154="",N($O154)&lt;=0),"",IF($P154="Giờ",$O154,$O154*24))</f>
      </c>
      <c r="AI154" s="224">
        <f>IF(OR(N($AA154)=0,N($B154)=0),"",IF($AA154&lt;$B154,"",($AA154-$B154)*24))</f>
      </c>
      <c r="AJ154" s="225">
        <f>IF($A154="","",IF(COUNTIF('Nhật ký tiến độ'!$C$6:$C$3005,$A154)=0,0,_xlfn.MAXIFS('Nhật ký tiến độ'!$N$6:$N$3005,'Nhật ký tiến độ'!$C$6:$C$3005,$A154,'Nhật ký tiến độ'!$B$6:$B$3005,_xlfn.MAXIFS('Nhật ký tiến độ'!$B$6:$B$3005,'Nhật ký tiến độ'!$C$6:$C$3005,$A154))))</f>
      </c>
      <c r="AK154" s="225">
        <f>IF(OR($A154="",$V154="Đã xử lý"),"",IF(N($AO154)&gt;0,5-$AO154,IF($J154="Khẩn cấp",5,IF($Y154="Chậm tiến độ",6,IF(OR($Y154="Sắp đến hạn",$J154="Cao"),7,"")))))</f>
      </c>
      <c r="AL154" s="225">
        <f>IF($AK154="","",$AK154*100000+IF(N($U154)=0,99999,INT($U154))+ROW()/100000)</f>
      </c>
      <c r="AM154" s="225">
        <f>IF(OR($A154="",TRIM($K154)="",COUNTIF($K$6:$K154,$K154)&gt;1),0,1)</f>
      </c>
      <c r="AN154" s="225">
        <f>IF($AM154=1,SUM($AM$6:$AM154),"")</f>
      </c>
      <c r="AO154" s="225">
        <f>IF(OR($A154="",$V154="Đã xử lý",N($U154)=0),0,IF(TDBC&lt;=$U154,0,MAX(1,MIN(4,IF((TDBC-$U154)*24&lt;24,1,IF((TDBC-$U154)*24&lt;72,2,IF((TDBC-$U154)*24&lt;168,3,4)))+IFERROR(INDEX({2,1,0,-1},MATCH($J154,{"Khẩn cấp","Cao","Trung bình","Thấp"},0)),0)))))</f>
      </c>
    </row>
    <row r="155">
      <c r="A155" s="216"/>
      <c r="B155" s="217"/>
      <c r="C155" s="218"/>
      <c r="D155" s="218"/>
      <c r="E155" s="218"/>
      <c r="F155" s="218"/>
      <c r="G155" s="216"/>
      <c r="H155" s="218"/>
      <c r="I155" s="218"/>
      <c r="J155" s="216"/>
      <c r="K155" s="218"/>
      <c r="L155" s="218"/>
      <c r="M155" s="218"/>
      <c r="N155" s="218"/>
      <c r="O155" s="219"/>
      <c r="P155" s="216"/>
      <c r="Q155" s="217"/>
      <c r="R155" s="216"/>
      <c r="S155" s="218"/>
      <c r="T155" s="218"/>
      <c r="U155" s="220">
        <f>IF($A155="","",IF(N($Q155)&gt;0,IF(MOD($Q155,1)=0,$Q155+1-1/1440,$Q155),IF(N($B155)=0,"",$B155+IF(N($AH155)&gt;0,$AH155,IFERROR(INDEX(DM_SLA_Gio,MATCH($J155,DM_SLA_Cap,0)),168))/24)))</f>
      </c>
      <c r="V155" s="221">
        <f>IF($A155="","",IF(N($AJ155)=0,"Mới tiếp nhận",INDEX('Nhật ký tiến độ'!$E:$E,$AJ155)))</f>
      </c>
      <c r="W155" s="222">
        <f>IF($A155="","",IF($V155="Đã xử lý",1,IF(N($AJ155)=0,0,N(INDEX('Nhật ký tiến độ'!$D:$D,$AJ155)))))</f>
      </c>
      <c r="X155" s="222">
        <f>IF(OR($A155="",$V155="Đã xử lý",N($U155)=0,N($B155)=0),"",IF(TDBC&lt;=$B155,0,IF(TDBC&gt;=$U155,1,(TDBC-$B155)/($U155-$B155))))</f>
      </c>
      <c r="Y155" s="223">
        <f>IF($A155="","",IF($V155="Đã xử lý","Hoàn thành",IF(N($U155)=0,"Chưa đặt hạn",IF(TDBC&gt;$U155,"Quá hạn",IF(ROUND((N($X155)-$W155)*100,0)&gt;=20,"Chậm tiến độ",IF($U155-TDBC&lt;=1,"Sắp đến hạn","Đúng tiến độ"))))))</f>
      </c>
      <c r="Z155" s="223">
        <f>IF(OR($A155="",$V155="Đã xử lý",N($U155)=0),"",IF(TDBC&gt;$U155,"Quá "&amp;IF(((TDBC-$U155)*24)&lt;1,MAX(1,ROUND(((TDBC-$U155)*24)*60,0))&amp;" phút",IF(ROUND(((TDBC-$U155)*24),0)&lt;24,ROUND(((TDBC-$U155)*24),0)&amp;" giờ",INT(ROUND(((TDBC-$U155)*24),0)/24)&amp;" ngày"&amp;IF(MOD(ROUND(((TDBC-$U155)*24),0),24)&gt;0," "&amp;MOD(ROUND(((TDBC-$U155)*24),0),24)&amp;" giờ",""))),"Còn "&amp;IF((($U155-TDBC)*24)&lt;1,MAX(1,ROUND((($U155-TDBC)*24)*60,0))&amp;" phút",IF(ROUND((($U155-TDBC)*24),0)&lt;24,ROUND((($U155-TDBC)*24),0)&amp;" giờ",INT(ROUND((($U155-TDBC)*24),0)/24)&amp;" ngày"&amp;IF(MOD(ROUND((($U155-TDBC)*24),0),24)&gt;0," "&amp;MOD(ROUND((($U155-TDBC)*24),0),24)&amp;" giờ","")))))</f>
      </c>
      <c r="AA155" s="220">
        <f>IF($V155="Đã xử lý",_xlfn.MAXIFS('Nhật ký tiến độ'!$B$6:$B$3005,'Nhật ký tiến độ'!$C$6:$C$3005,$A155,'Nhật ký tiến độ'!$E$6:$E$3005,"Đã xử lý"),"")</f>
      </c>
      <c r="AB155" s="223">
        <f>IF($AI155="","",IF($AI155&lt;1,MAX(1,ROUND($AI155*60,0))&amp;" phút",IF(ROUND($AI155,0)&lt;24,ROUND($AI155,0)&amp;" giờ",INT(ROUND($AI155,0)/24)&amp;" ngày"&amp;IF(MOD(ROUND($AI155,0),24)&gt;0," "&amp;MOD(ROUND($AI155,0),24)&amp;" giờ",""))))</f>
      </c>
      <c r="AC155" s="223">
        <f>IF(OR($A155="",N($AH155)=0),"",IF($AI155&lt;&gt;"",IF($AI155&lt;=$AH155,"Trong ước tính","Vượt "&amp;IF(($AI155-$AH155)&lt;1,MAX(1,ROUND(($AI155-$AH155)*60,0))&amp;" phút",IF(ROUND(($AI155-$AH155),0)&lt;24,ROUND(($AI155-$AH155),0)&amp;" giờ",INT(ROUND(($AI155-$AH155),0)/24)&amp;" ngày"&amp;IF(MOD(ROUND(($AI155-$AH155),0),24)&gt;0," "&amp;MOD(ROUND(($AI155-$AH155),0),24)&amp;" giờ","")))),IF(OR($V155="Đã xử lý",N($B155)=0),"",IF((TDBC-$B155)*24&gt;$AH155,"Đã vượt ước tính","Đã dùng "&amp;TEXT((TDBC-$B155)*24/$AH155,"0%")))))</f>
      </c>
      <c r="AD155" s="223">
        <f>IF(N($AO155)=0,"",CHOOSE($AO155,"Nhắc nhở","Cảnh báo","Báo động","Báo động đỏ"))</f>
      </c>
      <c r="AE155" s="223">
        <f>IF(OR(N($AA155)=0,N($U155)=0),"",IF($AA155&lt;=$U155,"Đúng hạn","Trễ hạn"))</f>
      </c>
      <c r="AF155" s="220">
        <f>IF($A155="","",_xlfn.MAXIFS('Nhật ký tiến độ'!$B$6:$B$3005,'Nhật ký tiến độ'!$C$6:$C$3005,$A155))</f>
      </c>
      <c r="AG155" s="223">
        <f>IF($A155="","",IF(COUNTIF('Kế hoạch'!$M$6:$M$305,$A155)=0,"",COUNTIF('Kế hoạch'!$M$6:$M$305,$A155)&amp;" việc"))</f>
      </c>
      <c r="AH155" s="224">
        <f>IF(OR($A155="",N($O155)&lt;=0),"",IF($P155="Giờ",$O155,$O155*24))</f>
      </c>
      <c r="AI155" s="224">
        <f>IF(OR(N($AA155)=0,N($B155)=0),"",IF($AA155&lt;$B155,"",($AA155-$B155)*24))</f>
      </c>
      <c r="AJ155" s="225">
        <f>IF($A155="","",IF(COUNTIF('Nhật ký tiến độ'!$C$6:$C$3005,$A155)=0,0,_xlfn.MAXIFS('Nhật ký tiến độ'!$N$6:$N$3005,'Nhật ký tiến độ'!$C$6:$C$3005,$A155,'Nhật ký tiến độ'!$B$6:$B$3005,_xlfn.MAXIFS('Nhật ký tiến độ'!$B$6:$B$3005,'Nhật ký tiến độ'!$C$6:$C$3005,$A155))))</f>
      </c>
      <c r="AK155" s="225">
        <f>IF(OR($A155="",$V155="Đã xử lý"),"",IF(N($AO155)&gt;0,5-$AO155,IF($J155="Khẩn cấp",5,IF($Y155="Chậm tiến độ",6,IF(OR($Y155="Sắp đến hạn",$J155="Cao"),7,"")))))</f>
      </c>
      <c r="AL155" s="225">
        <f>IF($AK155="","",$AK155*100000+IF(N($U155)=0,99999,INT($U155))+ROW()/100000)</f>
      </c>
      <c r="AM155" s="225">
        <f>IF(OR($A155="",TRIM($K155)="",COUNTIF($K$6:$K155,$K155)&gt;1),0,1)</f>
      </c>
      <c r="AN155" s="225">
        <f>IF($AM155=1,SUM($AM$6:$AM155),"")</f>
      </c>
      <c r="AO155" s="225">
        <f>IF(OR($A155="",$V155="Đã xử lý",N($U155)=0),0,IF(TDBC&lt;=$U155,0,MAX(1,MIN(4,IF((TDBC-$U155)*24&lt;24,1,IF((TDBC-$U155)*24&lt;72,2,IF((TDBC-$U155)*24&lt;168,3,4)))+IFERROR(INDEX({2,1,0,-1},MATCH($J155,{"Khẩn cấp","Cao","Trung bình","Thấp"},0)),0)))))</f>
      </c>
    </row>
    <row r="156">
      <c r="A156" s="216"/>
      <c r="B156" s="217"/>
      <c r="C156" s="218"/>
      <c r="D156" s="218"/>
      <c r="E156" s="218"/>
      <c r="F156" s="218"/>
      <c r="G156" s="216"/>
      <c r="H156" s="218"/>
      <c r="I156" s="218"/>
      <c r="J156" s="216"/>
      <c r="K156" s="218"/>
      <c r="L156" s="218"/>
      <c r="M156" s="218"/>
      <c r="N156" s="218"/>
      <c r="O156" s="219"/>
      <c r="P156" s="216"/>
      <c r="Q156" s="217"/>
      <c r="R156" s="216"/>
      <c r="S156" s="218"/>
      <c r="T156" s="218"/>
      <c r="U156" s="220">
        <f>IF($A156="","",IF(N($Q156)&gt;0,IF(MOD($Q156,1)=0,$Q156+1-1/1440,$Q156),IF(N($B156)=0,"",$B156+IF(N($AH156)&gt;0,$AH156,IFERROR(INDEX(DM_SLA_Gio,MATCH($J156,DM_SLA_Cap,0)),168))/24)))</f>
      </c>
      <c r="V156" s="221">
        <f>IF($A156="","",IF(N($AJ156)=0,"Mới tiếp nhận",INDEX('Nhật ký tiến độ'!$E:$E,$AJ156)))</f>
      </c>
      <c r="W156" s="222">
        <f>IF($A156="","",IF($V156="Đã xử lý",1,IF(N($AJ156)=0,0,N(INDEX('Nhật ký tiến độ'!$D:$D,$AJ156)))))</f>
      </c>
      <c r="X156" s="222">
        <f>IF(OR($A156="",$V156="Đã xử lý",N($U156)=0,N($B156)=0),"",IF(TDBC&lt;=$B156,0,IF(TDBC&gt;=$U156,1,(TDBC-$B156)/($U156-$B156))))</f>
      </c>
      <c r="Y156" s="223">
        <f>IF($A156="","",IF($V156="Đã xử lý","Hoàn thành",IF(N($U156)=0,"Chưa đặt hạn",IF(TDBC&gt;$U156,"Quá hạn",IF(ROUND((N($X156)-$W156)*100,0)&gt;=20,"Chậm tiến độ",IF($U156-TDBC&lt;=1,"Sắp đến hạn","Đúng tiến độ"))))))</f>
      </c>
      <c r="Z156" s="223">
        <f>IF(OR($A156="",$V156="Đã xử lý",N($U156)=0),"",IF(TDBC&gt;$U156,"Quá "&amp;IF(((TDBC-$U156)*24)&lt;1,MAX(1,ROUND(((TDBC-$U156)*24)*60,0))&amp;" phút",IF(ROUND(((TDBC-$U156)*24),0)&lt;24,ROUND(((TDBC-$U156)*24),0)&amp;" giờ",INT(ROUND(((TDBC-$U156)*24),0)/24)&amp;" ngày"&amp;IF(MOD(ROUND(((TDBC-$U156)*24),0),24)&gt;0," "&amp;MOD(ROUND(((TDBC-$U156)*24),0),24)&amp;" giờ",""))),"Còn "&amp;IF((($U156-TDBC)*24)&lt;1,MAX(1,ROUND((($U156-TDBC)*24)*60,0))&amp;" phút",IF(ROUND((($U156-TDBC)*24),0)&lt;24,ROUND((($U156-TDBC)*24),0)&amp;" giờ",INT(ROUND((($U156-TDBC)*24),0)/24)&amp;" ngày"&amp;IF(MOD(ROUND((($U156-TDBC)*24),0),24)&gt;0," "&amp;MOD(ROUND((($U156-TDBC)*24),0),24)&amp;" giờ","")))))</f>
      </c>
      <c r="AA156" s="220">
        <f>IF($V156="Đã xử lý",_xlfn.MAXIFS('Nhật ký tiến độ'!$B$6:$B$3005,'Nhật ký tiến độ'!$C$6:$C$3005,$A156,'Nhật ký tiến độ'!$E$6:$E$3005,"Đã xử lý"),"")</f>
      </c>
      <c r="AB156" s="223">
        <f>IF($AI156="","",IF($AI156&lt;1,MAX(1,ROUND($AI156*60,0))&amp;" phút",IF(ROUND($AI156,0)&lt;24,ROUND($AI156,0)&amp;" giờ",INT(ROUND($AI156,0)/24)&amp;" ngày"&amp;IF(MOD(ROUND($AI156,0),24)&gt;0," "&amp;MOD(ROUND($AI156,0),24)&amp;" giờ",""))))</f>
      </c>
      <c r="AC156" s="223">
        <f>IF(OR($A156="",N($AH156)=0),"",IF($AI156&lt;&gt;"",IF($AI156&lt;=$AH156,"Trong ước tính","Vượt "&amp;IF(($AI156-$AH156)&lt;1,MAX(1,ROUND(($AI156-$AH156)*60,0))&amp;" phút",IF(ROUND(($AI156-$AH156),0)&lt;24,ROUND(($AI156-$AH156),0)&amp;" giờ",INT(ROUND(($AI156-$AH156),0)/24)&amp;" ngày"&amp;IF(MOD(ROUND(($AI156-$AH156),0),24)&gt;0," "&amp;MOD(ROUND(($AI156-$AH156),0),24)&amp;" giờ","")))),IF(OR($V156="Đã xử lý",N($B156)=0),"",IF((TDBC-$B156)*24&gt;$AH156,"Đã vượt ước tính","Đã dùng "&amp;TEXT((TDBC-$B156)*24/$AH156,"0%")))))</f>
      </c>
      <c r="AD156" s="223">
        <f>IF(N($AO156)=0,"",CHOOSE($AO156,"Nhắc nhở","Cảnh báo","Báo động","Báo động đỏ"))</f>
      </c>
      <c r="AE156" s="223">
        <f>IF(OR(N($AA156)=0,N($U156)=0),"",IF($AA156&lt;=$U156,"Đúng hạn","Trễ hạn"))</f>
      </c>
      <c r="AF156" s="220">
        <f>IF($A156="","",_xlfn.MAXIFS('Nhật ký tiến độ'!$B$6:$B$3005,'Nhật ký tiến độ'!$C$6:$C$3005,$A156))</f>
      </c>
      <c r="AG156" s="223">
        <f>IF($A156="","",IF(COUNTIF('Kế hoạch'!$M$6:$M$305,$A156)=0,"",COUNTIF('Kế hoạch'!$M$6:$M$305,$A156)&amp;" việc"))</f>
      </c>
      <c r="AH156" s="224">
        <f>IF(OR($A156="",N($O156)&lt;=0),"",IF($P156="Giờ",$O156,$O156*24))</f>
      </c>
      <c r="AI156" s="224">
        <f>IF(OR(N($AA156)=0,N($B156)=0),"",IF($AA156&lt;$B156,"",($AA156-$B156)*24))</f>
      </c>
      <c r="AJ156" s="225">
        <f>IF($A156="","",IF(COUNTIF('Nhật ký tiến độ'!$C$6:$C$3005,$A156)=0,0,_xlfn.MAXIFS('Nhật ký tiến độ'!$N$6:$N$3005,'Nhật ký tiến độ'!$C$6:$C$3005,$A156,'Nhật ký tiến độ'!$B$6:$B$3005,_xlfn.MAXIFS('Nhật ký tiến độ'!$B$6:$B$3005,'Nhật ký tiến độ'!$C$6:$C$3005,$A156))))</f>
      </c>
      <c r="AK156" s="225">
        <f>IF(OR($A156="",$V156="Đã xử lý"),"",IF(N($AO156)&gt;0,5-$AO156,IF($J156="Khẩn cấp",5,IF($Y156="Chậm tiến độ",6,IF(OR($Y156="Sắp đến hạn",$J156="Cao"),7,"")))))</f>
      </c>
      <c r="AL156" s="225">
        <f>IF($AK156="","",$AK156*100000+IF(N($U156)=0,99999,INT($U156))+ROW()/100000)</f>
      </c>
      <c r="AM156" s="225">
        <f>IF(OR($A156="",TRIM($K156)="",COUNTIF($K$6:$K156,$K156)&gt;1),0,1)</f>
      </c>
      <c r="AN156" s="225">
        <f>IF($AM156=1,SUM($AM$6:$AM156),"")</f>
      </c>
      <c r="AO156" s="225">
        <f>IF(OR($A156="",$V156="Đã xử lý",N($U156)=0),0,IF(TDBC&lt;=$U156,0,MAX(1,MIN(4,IF((TDBC-$U156)*24&lt;24,1,IF((TDBC-$U156)*24&lt;72,2,IF((TDBC-$U156)*24&lt;168,3,4)))+IFERROR(INDEX({2,1,0,-1},MATCH($J156,{"Khẩn cấp","Cao","Trung bình","Thấp"},0)),0)))))</f>
      </c>
    </row>
    <row r="157">
      <c r="A157" s="216"/>
      <c r="B157" s="217"/>
      <c r="C157" s="218"/>
      <c r="D157" s="218"/>
      <c r="E157" s="218"/>
      <c r="F157" s="218"/>
      <c r="G157" s="216"/>
      <c r="H157" s="218"/>
      <c r="I157" s="218"/>
      <c r="J157" s="216"/>
      <c r="K157" s="218"/>
      <c r="L157" s="218"/>
      <c r="M157" s="218"/>
      <c r="N157" s="218"/>
      <c r="O157" s="219"/>
      <c r="P157" s="216"/>
      <c r="Q157" s="217"/>
      <c r="R157" s="216"/>
      <c r="S157" s="218"/>
      <c r="T157" s="218"/>
      <c r="U157" s="220">
        <f>IF($A157="","",IF(N($Q157)&gt;0,IF(MOD($Q157,1)=0,$Q157+1-1/1440,$Q157),IF(N($B157)=0,"",$B157+IF(N($AH157)&gt;0,$AH157,IFERROR(INDEX(DM_SLA_Gio,MATCH($J157,DM_SLA_Cap,0)),168))/24)))</f>
      </c>
      <c r="V157" s="221">
        <f>IF($A157="","",IF(N($AJ157)=0,"Mới tiếp nhận",INDEX('Nhật ký tiến độ'!$E:$E,$AJ157)))</f>
      </c>
      <c r="W157" s="222">
        <f>IF($A157="","",IF($V157="Đã xử lý",1,IF(N($AJ157)=0,0,N(INDEX('Nhật ký tiến độ'!$D:$D,$AJ157)))))</f>
      </c>
      <c r="X157" s="222">
        <f>IF(OR($A157="",$V157="Đã xử lý",N($U157)=0,N($B157)=0),"",IF(TDBC&lt;=$B157,0,IF(TDBC&gt;=$U157,1,(TDBC-$B157)/($U157-$B157))))</f>
      </c>
      <c r="Y157" s="223">
        <f>IF($A157="","",IF($V157="Đã xử lý","Hoàn thành",IF(N($U157)=0,"Chưa đặt hạn",IF(TDBC&gt;$U157,"Quá hạn",IF(ROUND((N($X157)-$W157)*100,0)&gt;=20,"Chậm tiến độ",IF($U157-TDBC&lt;=1,"Sắp đến hạn","Đúng tiến độ"))))))</f>
      </c>
      <c r="Z157" s="223">
        <f>IF(OR($A157="",$V157="Đã xử lý",N($U157)=0),"",IF(TDBC&gt;$U157,"Quá "&amp;IF(((TDBC-$U157)*24)&lt;1,MAX(1,ROUND(((TDBC-$U157)*24)*60,0))&amp;" phút",IF(ROUND(((TDBC-$U157)*24),0)&lt;24,ROUND(((TDBC-$U157)*24),0)&amp;" giờ",INT(ROUND(((TDBC-$U157)*24),0)/24)&amp;" ngày"&amp;IF(MOD(ROUND(((TDBC-$U157)*24),0),24)&gt;0," "&amp;MOD(ROUND(((TDBC-$U157)*24),0),24)&amp;" giờ",""))),"Còn "&amp;IF((($U157-TDBC)*24)&lt;1,MAX(1,ROUND((($U157-TDBC)*24)*60,0))&amp;" phút",IF(ROUND((($U157-TDBC)*24),0)&lt;24,ROUND((($U157-TDBC)*24),0)&amp;" giờ",INT(ROUND((($U157-TDBC)*24),0)/24)&amp;" ngày"&amp;IF(MOD(ROUND((($U157-TDBC)*24),0),24)&gt;0," "&amp;MOD(ROUND((($U157-TDBC)*24),0),24)&amp;" giờ","")))))</f>
      </c>
      <c r="AA157" s="220">
        <f>IF($V157="Đã xử lý",_xlfn.MAXIFS('Nhật ký tiến độ'!$B$6:$B$3005,'Nhật ký tiến độ'!$C$6:$C$3005,$A157,'Nhật ký tiến độ'!$E$6:$E$3005,"Đã xử lý"),"")</f>
      </c>
      <c r="AB157" s="223">
        <f>IF($AI157="","",IF($AI157&lt;1,MAX(1,ROUND($AI157*60,0))&amp;" phút",IF(ROUND($AI157,0)&lt;24,ROUND($AI157,0)&amp;" giờ",INT(ROUND($AI157,0)/24)&amp;" ngày"&amp;IF(MOD(ROUND($AI157,0),24)&gt;0," "&amp;MOD(ROUND($AI157,0),24)&amp;" giờ",""))))</f>
      </c>
      <c r="AC157" s="223">
        <f>IF(OR($A157="",N($AH157)=0),"",IF($AI157&lt;&gt;"",IF($AI157&lt;=$AH157,"Trong ước tính","Vượt "&amp;IF(($AI157-$AH157)&lt;1,MAX(1,ROUND(($AI157-$AH157)*60,0))&amp;" phút",IF(ROUND(($AI157-$AH157),0)&lt;24,ROUND(($AI157-$AH157),0)&amp;" giờ",INT(ROUND(($AI157-$AH157),0)/24)&amp;" ngày"&amp;IF(MOD(ROUND(($AI157-$AH157),0),24)&gt;0," "&amp;MOD(ROUND(($AI157-$AH157),0),24)&amp;" giờ","")))),IF(OR($V157="Đã xử lý",N($B157)=0),"",IF((TDBC-$B157)*24&gt;$AH157,"Đã vượt ước tính","Đã dùng "&amp;TEXT((TDBC-$B157)*24/$AH157,"0%")))))</f>
      </c>
      <c r="AD157" s="223">
        <f>IF(N($AO157)=0,"",CHOOSE($AO157,"Nhắc nhở","Cảnh báo","Báo động","Báo động đỏ"))</f>
      </c>
      <c r="AE157" s="223">
        <f>IF(OR(N($AA157)=0,N($U157)=0),"",IF($AA157&lt;=$U157,"Đúng hạn","Trễ hạn"))</f>
      </c>
      <c r="AF157" s="220">
        <f>IF($A157="","",_xlfn.MAXIFS('Nhật ký tiến độ'!$B$6:$B$3005,'Nhật ký tiến độ'!$C$6:$C$3005,$A157))</f>
      </c>
      <c r="AG157" s="223">
        <f>IF($A157="","",IF(COUNTIF('Kế hoạch'!$M$6:$M$305,$A157)=0,"",COUNTIF('Kế hoạch'!$M$6:$M$305,$A157)&amp;" việc"))</f>
      </c>
      <c r="AH157" s="224">
        <f>IF(OR($A157="",N($O157)&lt;=0),"",IF($P157="Giờ",$O157,$O157*24))</f>
      </c>
      <c r="AI157" s="224">
        <f>IF(OR(N($AA157)=0,N($B157)=0),"",IF($AA157&lt;$B157,"",($AA157-$B157)*24))</f>
      </c>
      <c r="AJ157" s="225">
        <f>IF($A157="","",IF(COUNTIF('Nhật ký tiến độ'!$C$6:$C$3005,$A157)=0,0,_xlfn.MAXIFS('Nhật ký tiến độ'!$N$6:$N$3005,'Nhật ký tiến độ'!$C$6:$C$3005,$A157,'Nhật ký tiến độ'!$B$6:$B$3005,_xlfn.MAXIFS('Nhật ký tiến độ'!$B$6:$B$3005,'Nhật ký tiến độ'!$C$6:$C$3005,$A157))))</f>
      </c>
      <c r="AK157" s="225">
        <f>IF(OR($A157="",$V157="Đã xử lý"),"",IF(N($AO157)&gt;0,5-$AO157,IF($J157="Khẩn cấp",5,IF($Y157="Chậm tiến độ",6,IF(OR($Y157="Sắp đến hạn",$J157="Cao"),7,"")))))</f>
      </c>
      <c r="AL157" s="225">
        <f>IF($AK157="","",$AK157*100000+IF(N($U157)=0,99999,INT($U157))+ROW()/100000)</f>
      </c>
      <c r="AM157" s="225">
        <f>IF(OR($A157="",TRIM($K157)="",COUNTIF($K$6:$K157,$K157)&gt;1),0,1)</f>
      </c>
      <c r="AN157" s="225">
        <f>IF($AM157=1,SUM($AM$6:$AM157),"")</f>
      </c>
      <c r="AO157" s="225">
        <f>IF(OR($A157="",$V157="Đã xử lý",N($U157)=0),0,IF(TDBC&lt;=$U157,0,MAX(1,MIN(4,IF((TDBC-$U157)*24&lt;24,1,IF((TDBC-$U157)*24&lt;72,2,IF((TDBC-$U157)*24&lt;168,3,4)))+IFERROR(INDEX({2,1,0,-1},MATCH($J157,{"Khẩn cấp","Cao","Trung bình","Thấp"},0)),0)))))</f>
      </c>
    </row>
    <row r="158">
      <c r="A158" s="216"/>
      <c r="B158" s="217"/>
      <c r="C158" s="218"/>
      <c r="D158" s="218"/>
      <c r="E158" s="218"/>
      <c r="F158" s="218"/>
      <c r="G158" s="216"/>
      <c r="H158" s="218"/>
      <c r="I158" s="218"/>
      <c r="J158" s="216"/>
      <c r="K158" s="218"/>
      <c r="L158" s="218"/>
      <c r="M158" s="218"/>
      <c r="N158" s="218"/>
      <c r="O158" s="219"/>
      <c r="P158" s="216"/>
      <c r="Q158" s="217"/>
      <c r="R158" s="216"/>
      <c r="S158" s="218"/>
      <c r="T158" s="218"/>
      <c r="U158" s="220">
        <f>IF($A158="","",IF(N($Q158)&gt;0,IF(MOD($Q158,1)=0,$Q158+1-1/1440,$Q158),IF(N($B158)=0,"",$B158+IF(N($AH158)&gt;0,$AH158,IFERROR(INDEX(DM_SLA_Gio,MATCH($J158,DM_SLA_Cap,0)),168))/24)))</f>
      </c>
      <c r="V158" s="221">
        <f>IF($A158="","",IF(N($AJ158)=0,"Mới tiếp nhận",INDEX('Nhật ký tiến độ'!$E:$E,$AJ158)))</f>
      </c>
      <c r="W158" s="222">
        <f>IF($A158="","",IF($V158="Đã xử lý",1,IF(N($AJ158)=0,0,N(INDEX('Nhật ký tiến độ'!$D:$D,$AJ158)))))</f>
      </c>
      <c r="X158" s="222">
        <f>IF(OR($A158="",$V158="Đã xử lý",N($U158)=0,N($B158)=0),"",IF(TDBC&lt;=$B158,0,IF(TDBC&gt;=$U158,1,(TDBC-$B158)/($U158-$B158))))</f>
      </c>
      <c r="Y158" s="223">
        <f>IF($A158="","",IF($V158="Đã xử lý","Hoàn thành",IF(N($U158)=0,"Chưa đặt hạn",IF(TDBC&gt;$U158,"Quá hạn",IF(ROUND((N($X158)-$W158)*100,0)&gt;=20,"Chậm tiến độ",IF($U158-TDBC&lt;=1,"Sắp đến hạn","Đúng tiến độ"))))))</f>
      </c>
      <c r="Z158" s="223">
        <f>IF(OR($A158="",$V158="Đã xử lý",N($U158)=0),"",IF(TDBC&gt;$U158,"Quá "&amp;IF(((TDBC-$U158)*24)&lt;1,MAX(1,ROUND(((TDBC-$U158)*24)*60,0))&amp;" phút",IF(ROUND(((TDBC-$U158)*24),0)&lt;24,ROUND(((TDBC-$U158)*24),0)&amp;" giờ",INT(ROUND(((TDBC-$U158)*24),0)/24)&amp;" ngày"&amp;IF(MOD(ROUND(((TDBC-$U158)*24),0),24)&gt;0," "&amp;MOD(ROUND(((TDBC-$U158)*24),0),24)&amp;" giờ",""))),"Còn "&amp;IF((($U158-TDBC)*24)&lt;1,MAX(1,ROUND((($U158-TDBC)*24)*60,0))&amp;" phút",IF(ROUND((($U158-TDBC)*24),0)&lt;24,ROUND((($U158-TDBC)*24),0)&amp;" giờ",INT(ROUND((($U158-TDBC)*24),0)/24)&amp;" ngày"&amp;IF(MOD(ROUND((($U158-TDBC)*24),0),24)&gt;0," "&amp;MOD(ROUND((($U158-TDBC)*24),0),24)&amp;" giờ","")))))</f>
      </c>
      <c r="AA158" s="220">
        <f>IF($V158="Đã xử lý",_xlfn.MAXIFS('Nhật ký tiến độ'!$B$6:$B$3005,'Nhật ký tiến độ'!$C$6:$C$3005,$A158,'Nhật ký tiến độ'!$E$6:$E$3005,"Đã xử lý"),"")</f>
      </c>
      <c r="AB158" s="223">
        <f>IF($AI158="","",IF($AI158&lt;1,MAX(1,ROUND($AI158*60,0))&amp;" phút",IF(ROUND($AI158,0)&lt;24,ROUND($AI158,0)&amp;" giờ",INT(ROUND($AI158,0)/24)&amp;" ngày"&amp;IF(MOD(ROUND($AI158,0),24)&gt;0," "&amp;MOD(ROUND($AI158,0),24)&amp;" giờ",""))))</f>
      </c>
      <c r="AC158" s="223">
        <f>IF(OR($A158="",N($AH158)=0),"",IF($AI158&lt;&gt;"",IF($AI158&lt;=$AH158,"Trong ước tính","Vượt "&amp;IF(($AI158-$AH158)&lt;1,MAX(1,ROUND(($AI158-$AH158)*60,0))&amp;" phút",IF(ROUND(($AI158-$AH158),0)&lt;24,ROUND(($AI158-$AH158),0)&amp;" giờ",INT(ROUND(($AI158-$AH158),0)/24)&amp;" ngày"&amp;IF(MOD(ROUND(($AI158-$AH158),0),24)&gt;0," "&amp;MOD(ROUND(($AI158-$AH158),0),24)&amp;" giờ","")))),IF(OR($V158="Đã xử lý",N($B158)=0),"",IF((TDBC-$B158)*24&gt;$AH158,"Đã vượt ước tính","Đã dùng "&amp;TEXT((TDBC-$B158)*24/$AH158,"0%")))))</f>
      </c>
      <c r="AD158" s="223">
        <f>IF(N($AO158)=0,"",CHOOSE($AO158,"Nhắc nhở","Cảnh báo","Báo động","Báo động đỏ"))</f>
      </c>
      <c r="AE158" s="223">
        <f>IF(OR(N($AA158)=0,N($U158)=0),"",IF($AA158&lt;=$U158,"Đúng hạn","Trễ hạn"))</f>
      </c>
      <c r="AF158" s="220">
        <f>IF($A158="","",_xlfn.MAXIFS('Nhật ký tiến độ'!$B$6:$B$3005,'Nhật ký tiến độ'!$C$6:$C$3005,$A158))</f>
      </c>
      <c r="AG158" s="223">
        <f>IF($A158="","",IF(COUNTIF('Kế hoạch'!$M$6:$M$305,$A158)=0,"",COUNTIF('Kế hoạch'!$M$6:$M$305,$A158)&amp;" việc"))</f>
      </c>
      <c r="AH158" s="224">
        <f>IF(OR($A158="",N($O158)&lt;=0),"",IF($P158="Giờ",$O158,$O158*24))</f>
      </c>
      <c r="AI158" s="224">
        <f>IF(OR(N($AA158)=0,N($B158)=0),"",IF($AA158&lt;$B158,"",($AA158-$B158)*24))</f>
      </c>
      <c r="AJ158" s="225">
        <f>IF($A158="","",IF(COUNTIF('Nhật ký tiến độ'!$C$6:$C$3005,$A158)=0,0,_xlfn.MAXIFS('Nhật ký tiến độ'!$N$6:$N$3005,'Nhật ký tiến độ'!$C$6:$C$3005,$A158,'Nhật ký tiến độ'!$B$6:$B$3005,_xlfn.MAXIFS('Nhật ký tiến độ'!$B$6:$B$3005,'Nhật ký tiến độ'!$C$6:$C$3005,$A158))))</f>
      </c>
      <c r="AK158" s="225">
        <f>IF(OR($A158="",$V158="Đã xử lý"),"",IF(N($AO158)&gt;0,5-$AO158,IF($J158="Khẩn cấp",5,IF($Y158="Chậm tiến độ",6,IF(OR($Y158="Sắp đến hạn",$J158="Cao"),7,"")))))</f>
      </c>
      <c r="AL158" s="225">
        <f>IF($AK158="","",$AK158*100000+IF(N($U158)=0,99999,INT($U158))+ROW()/100000)</f>
      </c>
      <c r="AM158" s="225">
        <f>IF(OR($A158="",TRIM($K158)="",COUNTIF($K$6:$K158,$K158)&gt;1),0,1)</f>
      </c>
      <c r="AN158" s="225">
        <f>IF($AM158=1,SUM($AM$6:$AM158),"")</f>
      </c>
      <c r="AO158" s="225">
        <f>IF(OR($A158="",$V158="Đã xử lý",N($U158)=0),0,IF(TDBC&lt;=$U158,0,MAX(1,MIN(4,IF((TDBC-$U158)*24&lt;24,1,IF((TDBC-$U158)*24&lt;72,2,IF((TDBC-$U158)*24&lt;168,3,4)))+IFERROR(INDEX({2,1,0,-1},MATCH($J158,{"Khẩn cấp","Cao","Trung bình","Thấp"},0)),0)))))</f>
      </c>
    </row>
    <row r="159">
      <c r="A159" s="216"/>
      <c r="B159" s="217"/>
      <c r="C159" s="218"/>
      <c r="D159" s="218"/>
      <c r="E159" s="218"/>
      <c r="F159" s="218"/>
      <c r="G159" s="216"/>
      <c r="H159" s="218"/>
      <c r="I159" s="218"/>
      <c r="J159" s="216"/>
      <c r="K159" s="218"/>
      <c r="L159" s="218"/>
      <c r="M159" s="218"/>
      <c r="N159" s="218"/>
      <c r="O159" s="219"/>
      <c r="P159" s="216"/>
      <c r="Q159" s="217"/>
      <c r="R159" s="216"/>
      <c r="S159" s="218"/>
      <c r="T159" s="218"/>
      <c r="U159" s="220">
        <f>IF($A159="","",IF(N($Q159)&gt;0,IF(MOD($Q159,1)=0,$Q159+1-1/1440,$Q159),IF(N($B159)=0,"",$B159+IF(N($AH159)&gt;0,$AH159,IFERROR(INDEX(DM_SLA_Gio,MATCH($J159,DM_SLA_Cap,0)),168))/24)))</f>
      </c>
      <c r="V159" s="221">
        <f>IF($A159="","",IF(N($AJ159)=0,"Mới tiếp nhận",INDEX('Nhật ký tiến độ'!$E:$E,$AJ159)))</f>
      </c>
      <c r="W159" s="222">
        <f>IF($A159="","",IF($V159="Đã xử lý",1,IF(N($AJ159)=0,0,N(INDEX('Nhật ký tiến độ'!$D:$D,$AJ159)))))</f>
      </c>
      <c r="X159" s="222">
        <f>IF(OR($A159="",$V159="Đã xử lý",N($U159)=0,N($B159)=0),"",IF(TDBC&lt;=$B159,0,IF(TDBC&gt;=$U159,1,(TDBC-$B159)/($U159-$B159))))</f>
      </c>
      <c r="Y159" s="223">
        <f>IF($A159="","",IF($V159="Đã xử lý","Hoàn thành",IF(N($U159)=0,"Chưa đặt hạn",IF(TDBC&gt;$U159,"Quá hạn",IF(ROUND((N($X159)-$W159)*100,0)&gt;=20,"Chậm tiến độ",IF($U159-TDBC&lt;=1,"Sắp đến hạn","Đúng tiến độ"))))))</f>
      </c>
      <c r="Z159" s="223">
        <f>IF(OR($A159="",$V159="Đã xử lý",N($U159)=0),"",IF(TDBC&gt;$U159,"Quá "&amp;IF(((TDBC-$U159)*24)&lt;1,MAX(1,ROUND(((TDBC-$U159)*24)*60,0))&amp;" phút",IF(ROUND(((TDBC-$U159)*24),0)&lt;24,ROUND(((TDBC-$U159)*24),0)&amp;" giờ",INT(ROUND(((TDBC-$U159)*24),0)/24)&amp;" ngày"&amp;IF(MOD(ROUND(((TDBC-$U159)*24),0),24)&gt;0," "&amp;MOD(ROUND(((TDBC-$U159)*24),0),24)&amp;" giờ",""))),"Còn "&amp;IF((($U159-TDBC)*24)&lt;1,MAX(1,ROUND((($U159-TDBC)*24)*60,0))&amp;" phút",IF(ROUND((($U159-TDBC)*24),0)&lt;24,ROUND((($U159-TDBC)*24),0)&amp;" giờ",INT(ROUND((($U159-TDBC)*24),0)/24)&amp;" ngày"&amp;IF(MOD(ROUND((($U159-TDBC)*24),0),24)&gt;0," "&amp;MOD(ROUND((($U159-TDBC)*24),0),24)&amp;" giờ","")))))</f>
      </c>
      <c r="AA159" s="220">
        <f>IF($V159="Đã xử lý",_xlfn.MAXIFS('Nhật ký tiến độ'!$B$6:$B$3005,'Nhật ký tiến độ'!$C$6:$C$3005,$A159,'Nhật ký tiến độ'!$E$6:$E$3005,"Đã xử lý"),"")</f>
      </c>
      <c r="AB159" s="223">
        <f>IF($AI159="","",IF($AI159&lt;1,MAX(1,ROUND($AI159*60,0))&amp;" phút",IF(ROUND($AI159,0)&lt;24,ROUND($AI159,0)&amp;" giờ",INT(ROUND($AI159,0)/24)&amp;" ngày"&amp;IF(MOD(ROUND($AI159,0),24)&gt;0," "&amp;MOD(ROUND($AI159,0),24)&amp;" giờ",""))))</f>
      </c>
      <c r="AC159" s="223">
        <f>IF(OR($A159="",N($AH159)=0),"",IF($AI159&lt;&gt;"",IF($AI159&lt;=$AH159,"Trong ước tính","Vượt "&amp;IF(($AI159-$AH159)&lt;1,MAX(1,ROUND(($AI159-$AH159)*60,0))&amp;" phút",IF(ROUND(($AI159-$AH159),0)&lt;24,ROUND(($AI159-$AH159),0)&amp;" giờ",INT(ROUND(($AI159-$AH159),0)/24)&amp;" ngày"&amp;IF(MOD(ROUND(($AI159-$AH159),0),24)&gt;0," "&amp;MOD(ROUND(($AI159-$AH159),0),24)&amp;" giờ","")))),IF(OR($V159="Đã xử lý",N($B159)=0),"",IF((TDBC-$B159)*24&gt;$AH159,"Đã vượt ước tính","Đã dùng "&amp;TEXT((TDBC-$B159)*24/$AH159,"0%")))))</f>
      </c>
      <c r="AD159" s="223">
        <f>IF(N($AO159)=0,"",CHOOSE($AO159,"Nhắc nhở","Cảnh báo","Báo động","Báo động đỏ"))</f>
      </c>
      <c r="AE159" s="223">
        <f>IF(OR(N($AA159)=0,N($U159)=0),"",IF($AA159&lt;=$U159,"Đúng hạn","Trễ hạn"))</f>
      </c>
      <c r="AF159" s="220">
        <f>IF($A159="","",_xlfn.MAXIFS('Nhật ký tiến độ'!$B$6:$B$3005,'Nhật ký tiến độ'!$C$6:$C$3005,$A159))</f>
      </c>
      <c r="AG159" s="223">
        <f>IF($A159="","",IF(COUNTIF('Kế hoạch'!$M$6:$M$305,$A159)=0,"",COUNTIF('Kế hoạch'!$M$6:$M$305,$A159)&amp;" việc"))</f>
      </c>
      <c r="AH159" s="224">
        <f>IF(OR($A159="",N($O159)&lt;=0),"",IF($P159="Giờ",$O159,$O159*24))</f>
      </c>
      <c r="AI159" s="224">
        <f>IF(OR(N($AA159)=0,N($B159)=0),"",IF($AA159&lt;$B159,"",($AA159-$B159)*24))</f>
      </c>
      <c r="AJ159" s="225">
        <f>IF($A159="","",IF(COUNTIF('Nhật ký tiến độ'!$C$6:$C$3005,$A159)=0,0,_xlfn.MAXIFS('Nhật ký tiến độ'!$N$6:$N$3005,'Nhật ký tiến độ'!$C$6:$C$3005,$A159,'Nhật ký tiến độ'!$B$6:$B$3005,_xlfn.MAXIFS('Nhật ký tiến độ'!$B$6:$B$3005,'Nhật ký tiến độ'!$C$6:$C$3005,$A159))))</f>
      </c>
      <c r="AK159" s="225">
        <f>IF(OR($A159="",$V159="Đã xử lý"),"",IF(N($AO159)&gt;0,5-$AO159,IF($J159="Khẩn cấp",5,IF($Y159="Chậm tiến độ",6,IF(OR($Y159="Sắp đến hạn",$J159="Cao"),7,"")))))</f>
      </c>
      <c r="AL159" s="225">
        <f>IF($AK159="","",$AK159*100000+IF(N($U159)=0,99999,INT($U159))+ROW()/100000)</f>
      </c>
      <c r="AM159" s="225">
        <f>IF(OR($A159="",TRIM($K159)="",COUNTIF($K$6:$K159,$K159)&gt;1),0,1)</f>
      </c>
      <c r="AN159" s="225">
        <f>IF($AM159=1,SUM($AM$6:$AM159),"")</f>
      </c>
      <c r="AO159" s="225">
        <f>IF(OR($A159="",$V159="Đã xử lý",N($U159)=0),0,IF(TDBC&lt;=$U159,0,MAX(1,MIN(4,IF((TDBC-$U159)*24&lt;24,1,IF((TDBC-$U159)*24&lt;72,2,IF((TDBC-$U159)*24&lt;168,3,4)))+IFERROR(INDEX({2,1,0,-1},MATCH($J159,{"Khẩn cấp","Cao","Trung bình","Thấp"},0)),0)))))</f>
      </c>
    </row>
    <row r="160">
      <c r="A160" s="216"/>
      <c r="B160" s="217"/>
      <c r="C160" s="218"/>
      <c r="D160" s="218"/>
      <c r="E160" s="218"/>
      <c r="F160" s="218"/>
      <c r="G160" s="216"/>
      <c r="H160" s="218"/>
      <c r="I160" s="218"/>
      <c r="J160" s="216"/>
      <c r="K160" s="218"/>
      <c r="L160" s="218"/>
      <c r="M160" s="218"/>
      <c r="N160" s="218"/>
      <c r="O160" s="219"/>
      <c r="P160" s="216"/>
      <c r="Q160" s="217"/>
      <c r="R160" s="216"/>
      <c r="S160" s="218"/>
      <c r="T160" s="218"/>
      <c r="U160" s="220">
        <f>IF($A160="","",IF(N($Q160)&gt;0,IF(MOD($Q160,1)=0,$Q160+1-1/1440,$Q160),IF(N($B160)=0,"",$B160+IF(N($AH160)&gt;0,$AH160,IFERROR(INDEX(DM_SLA_Gio,MATCH($J160,DM_SLA_Cap,0)),168))/24)))</f>
      </c>
      <c r="V160" s="221">
        <f>IF($A160="","",IF(N($AJ160)=0,"Mới tiếp nhận",INDEX('Nhật ký tiến độ'!$E:$E,$AJ160)))</f>
      </c>
      <c r="W160" s="222">
        <f>IF($A160="","",IF($V160="Đã xử lý",1,IF(N($AJ160)=0,0,N(INDEX('Nhật ký tiến độ'!$D:$D,$AJ160)))))</f>
      </c>
      <c r="X160" s="222">
        <f>IF(OR($A160="",$V160="Đã xử lý",N($U160)=0,N($B160)=0),"",IF(TDBC&lt;=$B160,0,IF(TDBC&gt;=$U160,1,(TDBC-$B160)/($U160-$B160))))</f>
      </c>
      <c r="Y160" s="223">
        <f>IF($A160="","",IF($V160="Đã xử lý","Hoàn thành",IF(N($U160)=0,"Chưa đặt hạn",IF(TDBC&gt;$U160,"Quá hạn",IF(ROUND((N($X160)-$W160)*100,0)&gt;=20,"Chậm tiến độ",IF($U160-TDBC&lt;=1,"Sắp đến hạn","Đúng tiến độ"))))))</f>
      </c>
      <c r="Z160" s="223">
        <f>IF(OR($A160="",$V160="Đã xử lý",N($U160)=0),"",IF(TDBC&gt;$U160,"Quá "&amp;IF(((TDBC-$U160)*24)&lt;1,MAX(1,ROUND(((TDBC-$U160)*24)*60,0))&amp;" phút",IF(ROUND(((TDBC-$U160)*24),0)&lt;24,ROUND(((TDBC-$U160)*24),0)&amp;" giờ",INT(ROUND(((TDBC-$U160)*24),0)/24)&amp;" ngày"&amp;IF(MOD(ROUND(((TDBC-$U160)*24),0),24)&gt;0," "&amp;MOD(ROUND(((TDBC-$U160)*24),0),24)&amp;" giờ",""))),"Còn "&amp;IF((($U160-TDBC)*24)&lt;1,MAX(1,ROUND((($U160-TDBC)*24)*60,0))&amp;" phút",IF(ROUND((($U160-TDBC)*24),0)&lt;24,ROUND((($U160-TDBC)*24),0)&amp;" giờ",INT(ROUND((($U160-TDBC)*24),0)/24)&amp;" ngày"&amp;IF(MOD(ROUND((($U160-TDBC)*24),0),24)&gt;0," "&amp;MOD(ROUND((($U160-TDBC)*24),0),24)&amp;" giờ","")))))</f>
      </c>
      <c r="AA160" s="220">
        <f>IF($V160="Đã xử lý",_xlfn.MAXIFS('Nhật ký tiến độ'!$B$6:$B$3005,'Nhật ký tiến độ'!$C$6:$C$3005,$A160,'Nhật ký tiến độ'!$E$6:$E$3005,"Đã xử lý"),"")</f>
      </c>
      <c r="AB160" s="223">
        <f>IF($AI160="","",IF($AI160&lt;1,MAX(1,ROUND($AI160*60,0))&amp;" phút",IF(ROUND($AI160,0)&lt;24,ROUND($AI160,0)&amp;" giờ",INT(ROUND($AI160,0)/24)&amp;" ngày"&amp;IF(MOD(ROUND($AI160,0),24)&gt;0," "&amp;MOD(ROUND($AI160,0),24)&amp;" giờ",""))))</f>
      </c>
      <c r="AC160" s="223">
        <f>IF(OR($A160="",N($AH160)=0),"",IF($AI160&lt;&gt;"",IF($AI160&lt;=$AH160,"Trong ước tính","Vượt "&amp;IF(($AI160-$AH160)&lt;1,MAX(1,ROUND(($AI160-$AH160)*60,0))&amp;" phút",IF(ROUND(($AI160-$AH160),0)&lt;24,ROUND(($AI160-$AH160),0)&amp;" giờ",INT(ROUND(($AI160-$AH160),0)/24)&amp;" ngày"&amp;IF(MOD(ROUND(($AI160-$AH160),0),24)&gt;0," "&amp;MOD(ROUND(($AI160-$AH160),0),24)&amp;" giờ","")))),IF(OR($V160="Đã xử lý",N($B160)=0),"",IF((TDBC-$B160)*24&gt;$AH160,"Đã vượt ước tính","Đã dùng "&amp;TEXT((TDBC-$B160)*24/$AH160,"0%")))))</f>
      </c>
      <c r="AD160" s="223">
        <f>IF(N($AO160)=0,"",CHOOSE($AO160,"Nhắc nhở","Cảnh báo","Báo động","Báo động đỏ"))</f>
      </c>
      <c r="AE160" s="223">
        <f>IF(OR(N($AA160)=0,N($U160)=0),"",IF($AA160&lt;=$U160,"Đúng hạn","Trễ hạn"))</f>
      </c>
      <c r="AF160" s="220">
        <f>IF($A160="","",_xlfn.MAXIFS('Nhật ký tiến độ'!$B$6:$B$3005,'Nhật ký tiến độ'!$C$6:$C$3005,$A160))</f>
      </c>
      <c r="AG160" s="223">
        <f>IF($A160="","",IF(COUNTIF('Kế hoạch'!$M$6:$M$305,$A160)=0,"",COUNTIF('Kế hoạch'!$M$6:$M$305,$A160)&amp;" việc"))</f>
      </c>
      <c r="AH160" s="224">
        <f>IF(OR($A160="",N($O160)&lt;=0),"",IF($P160="Giờ",$O160,$O160*24))</f>
      </c>
      <c r="AI160" s="224">
        <f>IF(OR(N($AA160)=0,N($B160)=0),"",IF($AA160&lt;$B160,"",($AA160-$B160)*24))</f>
      </c>
      <c r="AJ160" s="225">
        <f>IF($A160="","",IF(COUNTIF('Nhật ký tiến độ'!$C$6:$C$3005,$A160)=0,0,_xlfn.MAXIFS('Nhật ký tiến độ'!$N$6:$N$3005,'Nhật ký tiến độ'!$C$6:$C$3005,$A160,'Nhật ký tiến độ'!$B$6:$B$3005,_xlfn.MAXIFS('Nhật ký tiến độ'!$B$6:$B$3005,'Nhật ký tiến độ'!$C$6:$C$3005,$A160))))</f>
      </c>
      <c r="AK160" s="225">
        <f>IF(OR($A160="",$V160="Đã xử lý"),"",IF(N($AO160)&gt;0,5-$AO160,IF($J160="Khẩn cấp",5,IF($Y160="Chậm tiến độ",6,IF(OR($Y160="Sắp đến hạn",$J160="Cao"),7,"")))))</f>
      </c>
      <c r="AL160" s="225">
        <f>IF($AK160="","",$AK160*100000+IF(N($U160)=0,99999,INT($U160))+ROW()/100000)</f>
      </c>
      <c r="AM160" s="225">
        <f>IF(OR($A160="",TRIM($K160)="",COUNTIF($K$6:$K160,$K160)&gt;1),0,1)</f>
      </c>
      <c r="AN160" s="225">
        <f>IF($AM160=1,SUM($AM$6:$AM160),"")</f>
      </c>
      <c r="AO160" s="225">
        <f>IF(OR($A160="",$V160="Đã xử lý",N($U160)=0),0,IF(TDBC&lt;=$U160,0,MAX(1,MIN(4,IF((TDBC-$U160)*24&lt;24,1,IF((TDBC-$U160)*24&lt;72,2,IF((TDBC-$U160)*24&lt;168,3,4)))+IFERROR(INDEX({2,1,0,-1},MATCH($J160,{"Khẩn cấp","Cao","Trung bình","Thấp"},0)),0)))))</f>
      </c>
    </row>
    <row r="161">
      <c r="A161" s="216"/>
      <c r="B161" s="217"/>
      <c r="C161" s="218"/>
      <c r="D161" s="218"/>
      <c r="E161" s="218"/>
      <c r="F161" s="218"/>
      <c r="G161" s="216"/>
      <c r="H161" s="218"/>
      <c r="I161" s="218"/>
      <c r="J161" s="216"/>
      <c r="K161" s="218"/>
      <c r="L161" s="218"/>
      <c r="M161" s="218"/>
      <c r="N161" s="218"/>
      <c r="O161" s="219"/>
      <c r="P161" s="216"/>
      <c r="Q161" s="217"/>
      <c r="R161" s="216"/>
      <c r="S161" s="218"/>
      <c r="T161" s="218"/>
      <c r="U161" s="220">
        <f>IF($A161="","",IF(N($Q161)&gt;0,IF(MOD($Q161,1)=0,$Q161+1-1/1440,$Q161),IF(N($B161)=0,"",$B161+IF(N($AH161)&gt;0,$AH161,IFERROR(INDEX(DM_SLA_Gio,MATCH($J161,DM_SLA_Cap,0)),168))/24)))</f>
      </c>
      <c r="V161" s="221">
        <f>IF($A161="","",IF(N($AJ161)=0,"Mới tiếp nhận",INDEX('Nhật ký tiến độ'!$E:$E,$AJ161)))</f>
      </c>
      <c r="W161" s="222">
        <f>IF($A161="","",IF($V161="Đã xử lý",1,IF(N($AJ161)=0,0,N(INDEX('Nhật ký tiến độ'!$D:$D,$AJ161)))))</f>
      </c>
      <c r="X161" s="222">
        <f>IF(OR($A161="",$V161="Đã xử lý",N($U161)=0,N($B161)=0),"",IF(TDBC&lt;=$B161,0,IF(TDBC&gt;=$U161,1,(TDBC-$B161)/($U161-$B161))))</f>
      </c>
      <c r="Y161" s="223">
        <f>IF($A161="","",IF($V161="Đã xử lý","Hoàn thành",IF(N($U161)=0,"Chưa đặt hạn",IF(TDBC&gt;$U161,"Quá hạn",IF(ROUND((N($X161)-$W161)*100,0)&gt;=20,"Chậm tiến độ",IF($U161-TDBC&lt;=1,"Sắp đến hạn","Đúng tiến độ"))))))</f>
      </c>
      <c r="Z161" s="223">
        <f>IF(OR($A161="",$V161="Đã xử lý",N($U161)=0),"",IF(TDBC&gt;$U161,"Quá "&amp;IF(((TDBC-$U161)*24)&lt;1,MAX(1,ROUND(((TDBC-$U161)*24)*60,0))&amp;" phút",IF(ROUND(((TDBC-$U161)*24),0)&lt;24,ROUND(((TDBC-$U161)*24),0)&amp;" giờ",INT(ROUND(((TDBC-$U161)*24),0)/24)&amp;" ngày"&amp;IF(MOD(ROUND(((TDBC-$U161)*24),0),24)&gt;0," "&amp;MOD(ROUND(((TDBC-$U161)*24),0),24)&amp;" giờ",""))),"Còn "&amp;IF((($U161-TDBC)*24)&lt;1,MAX(1,ROUND((($U161-TDBC)*24)*60,0))&amp;" phút",IF(ROUND((($U161-TDBC)*24),0)&lt;24,ROUND((($U161-TDBC)*24),0)&amp;" giờ",INT(ROUND((($U161-TDBC)*24),0)/24)&amp;" ngày"&amp;IF(MOD(ROUND((($U161-TDBC)*24),0),24)&gt;0," "&amp;MOD(ROUND((($U161-TDBC)*24),0),24)&amp;" giờ","")))))</f>
      </c>
      <c r="AA161" s="220">
        <f>IF($V161="Đã xử lý",_xlfn.MAXIFS('Nhật ký tiến độ'!$B$6:$B$3005,'Nhật ký tiến độ'!$C$6:$C$3005,$A161,'Nhật ký tiến độ'!$E$6:$E$3005,"Đã xử lý"),"")</f>
      </c>
      <c r="AB161" s="223">
        <f>IF($AI161="","",IF($AI161&lt;1,MAX(1,ROUND($AI161*60,0))&amp;" phút",IF(ROUND($AI161,0)&lt;24,ROUND($AI161,0)&amp;" giờ",INT(ROUND($AI161,0)/24)&amp;" ngày"&amp;IF(MOD(ROUND($AI161,0),24)&gt;0," "&amp;MOD(ROUND($AI161,0),24)&amp;" giờ",""))))</f>
      </c>
      <c r="AC161" s="223">
        <f>IF(OR($A161="",N($AH161)=0),"",IF($AI161&lt;&gt;"",IF($AI161&lt;=$AH161,"Trong ước tính","Vượt "&amp;IF(($AI161-$AH161)&lt;1,MAX(1,ROUND(($AI161-$AH161)*60,0))&amp;" phút",IF(ROUND(($AI161-$AH161),0)&lt;24,ROUND(($AI161-$AH161),0)&amp;" giờ",INT(ROUND(($AI161-$AH161),0)/24)&amp;" ngày"&amp;IF(MOD(ROUND(($AI161-$AH161),0),24)&gt;0," "&amp;MOD(ROUND(($AI161-$AH161),0),24)&amp;" giờ","")))),IF(OR($V161="Đã xử lý",N($B161)=0),"",IF((TDBC-$B161)*24&gt;$AH161,"Đã vượt ước tính","Đã dùng "&amp;TEXT((TDBC-$B161)*24/$AH161,"0%")))))</f>
      </c>
      <c r="AD161" s="223">
        <f>IF(N($AO161)=0,"",CHOOSE($AO161,"Nhắc nhở","Cảnh báo","Báo động","Báo động đỏ"))</f>
      </c>
      <c r="AE161" s="223">
        <f>IF(OR(N($AA161)=0,N($U161)=0),"",IF($AA161&lt;=$U161,"Đúng hạn","Trễ hạn"))</f>
      </c>
      <c r="AF161" s="220">
        <f>IF($A161="","",_xlfn.MAXIFS('Nhật ký tiến độ'!$B$6:$B$3005,'Nhật ký tiến độ'!$C$6:$C$3005,$A161))</f>
      </c>
      <c r="AG161" s="223">
        <f>IF($A161="","",IF(COUNTIF('Kế hoạch'!$M$6:$M$305,$A161)=0,"",COUNTIF('Kế hoạch'!$M$6:$M$305,$A161)&amp;" việc"))</f>
      </c>
      <c r="AH161" s="224">
        <f>IF(OR($A161="",N($O161)&lt;=0),"",IF($P161="Giờ",$O161,$O161*24))</f>
      </c>
      <c r="AI161" s="224">
        <f>IF(OR(N($AA161)=0,N($B161)=0),"",IF($AA161&lt;$B161,"",($AA161-$B161)*24))</f>
      </c>
      <c r="AJ161" s="225">
        <f>IF($A161="","",IF(COUNTIF('Nhật ký tiến độ'!$C$6:$C$3005,$A161)=0,0,_xlfn.MAXIFS('Nhật ký tiến độ'!$N$6:$N$3005,'Nhật ký tiến độ'!$C$6:$C$3005,$A161,'Nhật ký tiến độ'!$B$6:$B$3005,_xlfn.MAXIFS('Nhật ký tiến độ'!$B$6:$B$3005,'Nhật ký tiến độ'!$C$6:$C$3005,$A161))))</f>
      </c>
      <c r="AK161" s="225">
        <f>IF(OR($A161="",$V161="Đã xử lý"),"",IF(N($AO161)&gt;0,5-$AO161,IF($J161="Khẩn cấp",5,IF($Y161="Chậm tiến độ",6,IF(OR($Y161="Sắp đến hạn",$J161="Cao"),7,"")))))</f>
      </c>
      <c r="AL161" s="225">
        <f>IF($AK161="","",$AK161*100000+IF(N($U161)=0,99999,INT($U161))+ROW()/100000)</f>
      </c>
      <c r="AM161" s="225">
        <f>IF(OR($A161="",TRIM($K161)="",COUNTIF($K$6:$K161,$K161)&gt;1),0,1)</f>
      </c>
      <c r="AN161" s="225">
        <f>IF($AM161=1,SUM($AM$6:$AM161),"")</f>
      </c>
      <c r="AO161" s="225">
        <f>IF(OR($A161="",$V161="Đã xử lý",N($U161)=0),0,IF(TDBC&lt;=$U161,0,MAX(1,MIN(4,IF((TDBC-$U161)*24&lt;24,1,IF((TDBC-$U161)*24&lt;72,2,IF((TDBC-$U161)*24&lt;168,3,4)))+IFERROR(INDEX({2,1,0,-1},MATCH($J161,{"Khẩn cấp","Cao","Trung bình","Thấp"},0)),0)))))</f>
      </c>
    </row>
    <row r="162">
      <c r="A162" s="216"/>
      <c r="B162" s="217"/>
      <c r="C162" s="218"/>
      <c r="D162" s="218"/>
      <c r="E162" s="218"/>
      <c r="F162" s="218"/>
      <c r="G162" s="216"/>
      <c r="H162" s="218"/>
      <c r="I162" s="218"/>
      <c r="J162" s="216"/>
      <c r="K162" s="218"/>
      <c r="L162" s="218"/>
      <c r="M162" s="218"/>
      <c r="N162" s="218"/>
      <c r="O162" s="219"/>
      <c r="P162" s="216"/>
      <c r="Q162" s="217"/>
      <c r="R162" s="216"/>
      <c r="S162" s="218"/>
      <c r="T162" s="218"/>
      <c r="U162" s="220">
        <f>IF($A162="","",IF(N($Q162)&gt;0,IF(MOD($Q162,1)=0,$Q162+1-1/1440,$Q162),IF(N($B162)=0,"",$B162+IF(N($AH162)&gt;0,$AH162,IFERROR(INDEX(DM_SLA_Gio,MATCH($J162,DM_SLA_Cap,0)),168))/24)))</f>
      </c>
      <c r="V162" s="221">
        <f>IF($A162="","",IF(N($AJ162)=0,"Mới tiếp nhận",INDEX('Nhật ký tiến độ'!$E:$E,$AJ162)))</f>
      </c>
      <c r="W162" s="222">
        <f>IF($A162="","",IF($V162="Đã xử lý",1,IF(N($AJ162)=0,0,N(INDEX('Nhật ký tiến độ'!$D:$D,$AJ162)))))</f>
      </c>
      <c r="X162" s="222">
        <f>IF(OR($A162="",$V162="Đã xử lý",N($U162)=0,N($B162)=0),"",IF(TDBC&lt;=$B162,0,IF(TDBC&gt;=$U162,1,(TDBC-$B162)/($U162-$B162))))</f>
      </c>
      <c r="Y162" s="223">
        <f>IF($A162="","",IF($V162="Đã xử lý","Hoàn thành",IF(N($U162)=0,"Chưa đặt hạn",IF(TDBC&gt;$U162,"Quá hạn",IF(ROUND((N($X162)-$W162)*100,0)&gt;=20,"Chậm tiến độ",IF($U162-TDBC&lt;=1,"Sắp đến hạn","Đúng tiến độ"))))))</f>
      </c>
      <c r="Z162" s="223">
        <f>IF(OR($A162="",$V162="Đã xử lý",N($U162)=0),"",IF(TDBC&gt;$U162,"Quá "&amp;IF(((TDBC-$U162)*24)&lt;1,MAX(1,ROUND(((TDBC-$U162)*24)*60,0))&amp;" phút",IF(ROUND(((TDBC-$U162)*24),0)&lt;24,ROUND(((TDBC-$U162)*24),0)&amp;" giờ",INT(ROUND(((TDBC-$U162)*24),0)/24)&amp;" ngày"&amp;IF(MOD(ROUND(((TDBC-$U162)*24),0),24)&gt;0," "&amp;MOD(ROUND(((TDBC-$U162)*24),0),24)&amp;" giờ",""))),"Còn "&amp;IF((($U162-TDBC)*24)&lt;1,MAX(1,ROUND((($U162-TDBC)*24)*60,0))&amp;" phút",IF(ROUND((($U162-TDBC)*24),0)&lt;24,ROUND((($U162-TDBC)*24),0)&amp;" giờ",INT(ROUND((($U162-TDBC)*24),0)/24)&amp;" ngày"&amp;IF(MOD(ROUND((($U162-TDBC)*24),0),24)&gt;0," "&amp;MOD(ROUND((($U162-TDBC)*24),0),24)&amp;" giờ","")))))</f>
      </c>
      <c r="AA162" s="220">
        <f>IF($V162="Đã xử lý",_xlfn.MAXIFS('Nhật ký tiến độ'!$B$6:$B$3005,'Nhật ký tiến độ'!$C$6:$C$3005,$A162,'Nhật ký tiến độ'!$E$6:$E$3005,"Đã xử lý"),"")</f>
      </c>
      <c r="AB162" s="223">
        <f>IF($AI162="","",IF($AI162&lt;1,MAX(1,ROUND($AI162*60,0))&amp;" phút",IF(ROUND($AI162,0)&lt;24,ROUND($AI162,0)&amp;" giờ",INT(ROUND($AI162,0)/24)&amp;" ngày"&amp;IF(MOD(ROUND($AI162,0),24)&gt;0," "&amp;MOD(ROUND($AI162,0),24)&amp;" giờ",""))))</f>
      </c>
      <c r="AC162" s="223">
        <f>IF(OR($A162="",N($AH162)=0),"",IF($AI162&lt;&gt;"",IF($AI162&lt;=$AH162,"Trong ước tính","Vượt "&amp;IF(($AI162-$AH162)&lt;1,MAX(1,ROUND(($AI162-$AH162)*60,0))&amp;" phút",IF(ROUND(($AI162-$AH162),0)&lt;24,ROUND(($AI162-$AH162),0)&amp;" giờ",INT(ROUND(($AI162-$AH162),0)/24)&amp;" ngày"&amp;IF(MOD(ROUND(($AI162-$AH162),0),24)&gt;0," "&amp;MOD(ROUND(($AI162-$AH162),0),24)&amp;" giờ","")))),IF(OR($V162="Đã xử lý",N($B162)=0),"",IF((TDBC-$B162)*24&gt;$AH162,"Đã vượt ước tính","Đã dùng "&amp;TEXT((TDBC-$B162)*24/$AH162,"0%")))))</f>
      </c>
      <c r="AD162" s="223">
        <f>IF(N($AO162)=0,"",CHOOSE($AO162,"Nhắc nhở","Cảnh báo","Báo động","Báo động đỏ"))</f>
      </c>
      <c r="AE162" s="223">
        <f>IF(OR(N($AA162)=0,N($U162)=0),"",IF($AA162&lt;=$U162,"Đúng hạn","Trễ hạn"))</f>
      </c>
      <c r="AF162" s="220">
        <f>IF($A162="","",_xlfn.MAXIFS('Nhật ký tiến độ'!$B$6:$B$3005,'Nhật ký tiến độ'!$C$6:$C$3005,$A162))</f>
      </c>
      <c r="AG162" s="223">
        <f>IF($A162="","",IF(COUNTIF('Kế hoạch'!$M$6:$M$305,$A162)=0,"",COUNTIF('Kế hoạch'!$M$6:$M$305,$A162)&amp;" việc"))</f>
      </c>
      <c r="AH162" s="224">
        <f>IF(OR($A162="",N($O162)&lt;=0),"",IF($P162="Giờ",$O162,$O162*24))</f>
      </c>
      <c r="AI162" s="224">
        <f>IF(OR(N($AA162)=0,N($B162)=0),"",IF($AA162&lt;$B162,"",($AA162-$B162)*24))</f>
      </c>
      <c r="AJ162" s="225">
        <f>IF($A162="","",IF(COUNTIF('Nhật ký tiến độ'!$C$6:$C$3005,$A162)=0,0,_xlfn.MAXIFS('Nhật ký tiến độ'!$N$6:$N$3005,'Nhật ký tiến độ'!$C$6:$C$3005,$A162,'Nhật ký tiến độ'!$B$6:$B$3005,_xlfn.MAXIFS('Nhật ký tiến độ'!$B$6:$B$3005,'Nhật ký tiến độ'!$C$6:$C$3005,$A162))))</f>
      </c>
      <c r="AK162" s="225">
        <f>IF(OR($A162="",$V162="Đã xử lý"),"",IF(N($AO162)&gt;0,5-$AO162,IF($J162="Khẩn cấp",5,IF($Y162="Chậm tiến độ",6,IF(OR($Y162="Sắp đến hạn",$J162="Cao"),7,"")))))</f>
      </c>
      <c r="AL162" s="225">
        <f>IF($AK162="","",$AK162*100000+IF(N($U162)=0,99999,INT($U162))+ROW()/100000)</f>
      </c>
      <c r="AM162" s="225">
        <f>IF(OR($A162="",TRIM($K162)="",COUNTIF($K$6:$K162,$K162)&gt;1),0,1)</f>
      </c>
      <c r="AN162" s="225">
        <f>IF($AM162=1,SUM($AM$6:$AM162),"")</f>
      </c>
      <c r="AO162" s="225">
        <f>IF(OR($A162="",$V162="Đã xử lý",N($U162)=0),0,IF(TDBC&lt;=$U162,0,MAX(1,MIN(4,IF((TDBC-$U162)*24&lt;24,1,IF((TDBC-$U162)*24&lt;72,2,IF((TDBC-$U162)*24&lt;168,3,4)))+IFERROR(INDEX({2,1,0,-1},MATCH($J162,{"Khẩn cấp","Cao","Trung bình","Thấp"},0)),0)))))</f>
      </c>
    </row>
    <row r="163">
      <c r="A163" s="216"/>
      <c r="B163" s="217"/>
      <c r="C163" s="218"/>
      <c r="D163" s="218"/>
      <c r="E163" s="218"/>
      <c r="F163" s="218"/>
      <c r="G163" s="216"/>
      <c r="H163" s="218"/>
      <c r="I163" s="218"/>
      <c r="J163" s="216"/>
      <c r="K163" s="218"/>
      <c r="L163" s="218"/>
      <c r="M163" s="218"/>
      <c r="N163" s="218"/>
      <c r="O163" s="219"/>
      <c r="P163" s="216"/>
      <c r="Q163" s="217"/>
      <c r="R163" s="216"/>
      <c r="S163" s="218"/>
      <c r="T163" s="218"/>
      <c r="U163" s="220">
        <f>IF($A163="","",IF(N($Q163)&gt;0,IF(MOD($Q163,1)=0,$Q163+1-1/1440,$Q163),IF(N($B163)=0,"",$B163+IF(N($AH163)&gt;0,$AH163,IFERROR(INDEX(DM_SLA_Gio,MATCH($J163,DM_SLA_Cap,0)),168))/24)))</f>
      </c>
      <c r="V163" s="221">
        <f>IF($A163="","",IF(N($AJ163)=0,"Mới tiếp nhận",INDEX('Nhật ký tiến độ'!$E:$E,$AJ163)))</f>
      </c>
      <c r="W163" s="222">
        <f>IF($A163="","",IF($V163="Đã xử lý",1,IF(N($AJ163)=0,0,N(INDEX('Nhật ký tiến độ'!$D:$D,$AJ163)))))</f>
      </c>
      <c r="X163" s="222">
        <f>IF(OR($A163="",$V163="Đã xử lý",N($U163)=0,N($B163)=0),"",IF(TDBC&lt;=$B163,0,IF(TDBC&gt;=$U163,1,(TDBC-$B163)/($U163-$B163))))</f>
      </c>
      <c r="Y163" s="223">
        <f>IF($A163="","",IF($V163="Đã xử lý","Hoàn thành",IF(N($U163)=0,"Chưa đặt hạn",IF(TDBC&gt;$U163,"Quá hạn",IF(ROUND((N($X163)-$W163)*100,0)&gt;=20,"Chậm tiến độ",IF($U163-TDBC&lt;=1,"Sắp đến hạn","Đúng tiến độ"))))))</f>
      </c>
      <c r="Z163" s="223">
        <f>IF(OR($A163="",$V163="Đã xử lý",N($U163)=0),"",IF(TDBC&gt;$U163,"Quá "&amp;IF(((TDBC-$U163)*24)&lt;1,MAX(1,ROUND(((TDBC-$U163)*24)*60,0))&amp;" phút",IF(ROUND(((TDBC-$U163)*24),0)&lt;24,ROUND(((TDBC-$U163)*24),0)&amp;" giờ",INT(ROUND(((TDBC-$U163)*24),0)/24)&amp;" ngày"&amp;IF(MOD(ROUND(((TDBC-$U163)*24),0),24)&gt;0," "&amp;MOD(ROUND(((TDBC-$U163)*24),0),24)&amp;" giờ",""))),"Còn "&amp;IF((($U163-TDBC)*24)&lt;1,MAX(1,ROUND((($U163-TDBC)*24)*60,0))&amp;" phút",IF(ROUND((($U163-TDBC)*24),0)&lt;24,ROUND((($U163-TDBC)*24),0)&amp;" giờ",INT(ROUND((($U163-TDBC)*24),0)/24)&amp;" ngày"&amp;IF(MOD(ROUND((($U163-TDBC)*24),0),24)&gt;0," "&amp;MOD(ROUND((($U163-TDBC)*24),0),24)&amp;" giờ","")))))</f>
      </c>
      <c r="AA163" s="220">
        <f>IF($V163="Đã xử lý",_xlfn.MAXIFS('Nhật ký tiến độ'!$B$6:$B$3005,'Nhật ký tiến độ'!$C$6:$C$3005,$A163,'Nhật ký tiến độ'!$E$6:$E$3005,"Đã xử lý"),"")</f>
      </c>
      <c r="AB163" s="223">
        <f>IF($AI163="","",IF($AI163&lt;1,MAX(1,ROUND($AI163*60,0))&amp;" phút",IF(ROUND($AI163,0)&lt;24,ROUND($AI163,0)&amp;" giờ",INT(ROUND($AI163,0)/24)&amp;" ngày"&amp;IF(MOD(ROUND($AI163,0),24)&gt;0," "&amp;MOD(ROUND($AI163,0),24)&amp;" giờ",""))))</f>
      </c>
      <c r="AC163" s="223">
        <f>IF(OR($A163="",N($AH163)=0),"",IF($AI163&lt;&gt;"",IF($AI163&lt;=$AH163,"Trong ước tính","Vượt "&amp;IF(($AI163-$AH163)&lt;1,MAX(1,ROUND(($AI163-$AH163)*60,0))&amp;" phút",IF(ROUND(($AI163-$AH163),0)&lt;24,ROUND(($AI163-$AH163),0)&amp;" giờ",INT(ROUND(($AI163-$AH163),0)/24)&amp;" ngày"&amp;IF(MOD(ROUND(($AI163-$AH163),0),24)&gt;0," "&amp;MOD(ROUND(($AI163-$AH163),0),24)&amp;" giờ","")))),IF(OR($V163="Đã xử lý",N($B163)=0),"",IF((TDBC-$B163)*24&gt;$AH163,"Đã vượt ước tính","Đã dùng "&amp;TEXT((TDBC-$B163)*24/$AH163,"0%")))))</f>
      </c>
      <c r="AD163" s="223">
        <f>IF(N($AO163)=0,"",CHOOSE($AO163,"Nhắc nhở","Cảnh báo","Báo động","Báo động đỏ"))</f>
      </c>
      <c r="AE163" s="223">
        <f>IF(OR(N($AA163)=0,N($U163)=0),"",IF($AA163&lt;=$U163,"Đúng hạn","Trễ hạn"))</f>
      </c>
      <c r="AF163" s="220">
        <f>IF($A163="","",_xlfn.MAXIFS('Nhật ký tiến độ'!$B$6:$B$3005,'Nhật ký tiến độ'!$C$6:$C$3005,$A163))</f>
      </c>
      <c r="AG163" s="223">
        <f>IF($A163="","",IF(COUNTIF('Kế hoạch'!$M$6:$M$305,$A163)=0,"",COUNTIF('Kế hoạch'!$M$6:$M$305,$A163)&amp;" việc"))</f>
      </c>
      <c r="AH163" s="224">
        <f>IF(OR($A163="",N($O163)&lt;=0),"",IF($P163="Giờ",$O163,$O163*24))</f>
      </c>
      <c r="AI163" s="224">
        <f>IF(OR(N($AA163)=0,N($B163)=0),"",IF($AA163&lt;$B163,"",($AA163-$B163)*24))</f>
      </c>
      <c r="AJ163" s="225">
        <f>IF($A163="","",IF(COUNTIF('Nhật ký tiến độ'!$C$6:$C$3005,$A163)=0,0,_xlfn.MAXIFS('Nhật ký tiến độ'!$N$6:$N$3005,'Nhật ký tiến độ'!$C$6:$C$3005,$A163,'Nhật ký tiến độ'!$B$6:$B$3005,_xlfn.MAXIFS('Nhật ký tiến độ'!$B$6:$B$3005,'Nhật ký tiến độ'!$C$6:$C$3005,$A163))))</f>
      </c>
      <c r="AK163" s="225">
        <f>IF(OR($A163="",$V163="Đã xử lý"),"",IF(N($AO163)&gt;0,5-$AO163,IF($J163="Khẩn cấp",5,IF($Y163="Chậm tiến độ",6,IF(OR($Y163="Sắp đến hạn",$J163="Cao"),7,"")))))</f>
      </c>
      <c r="AL163" s="225">
        <f>IF($AK163="","",$AK163*100000+IF(N($U163)=0,99999,INT($U163))+ROW()/100000)</f>
      </c>
      <c r="AM163" s="225">
        <f>IF(OR($A163="",TRIM($K163)="",COUNTIF($K$6:$K163,$K163)&gt;1),0,1)</f>
      </c>
      <c r="AN163" s="225">
        <f>IF($AM163=1,SUM($AM$6:$AM163),"")</f>
      </c>
      <c r="AO163" s="225">
        <f>IF(OR($A163="",$V163="Đã xử lý",N($U163)=0),0,IF(TDBC&lt;=$U163,0,MAX(1,MIN(4,IF((TDBC-$U163)*24&lt;24,1,IF((TDBC-$U163)*24&lt;72,2,IF((TDBC-$U163)*24&lt;168,3,4)))+IFERROR(INDEX({2,1,0,-1},MATCH($J163,{"Khẩn cấp","Cao","Trung bình","Thấp"},0)),0)))))</f>
      </c>
    </row>
    <row r="164">
      <c r="A164" s="216"/>
      <c r="B164" s="217"/>
      <c r="C164" s="218"/>
      <c r="D164" s="218"/>
      <c r="E164" s="218"/>
      <c r="F164" s="218"/>
      <c r="G164" s="216"/>
      <c r="H164" s="218"/>
      <c r="I164" s="218"/>
      <c r="J164" s="216"/>
      <c r="K164" s="218"/>
      <c r="L164" s="218"/>
      <c r="M164" s="218"/>
      <c r="N164" s="218"/>
      <c r="O164" s="219"/>
      <c r="P164" s="216"/>
      <c r="Q164" s="217"/>
      <c r="R164" s="216"/>
      <c r="S164" s="218"/>
      <c r="T164" s="218"/>
      <c r="U164" s="220">
        <f>IF($A164="","",IF(N($Q164)&gt;0,IF(MOD($Q164,1)=0,$Q164+1-1/1440,$Q164),IF(N($B164)=0,"",$B164+IF(N($AH164)&gt;0,$AH164,IFERROR(INDEX(DM_SLA_Gio,MATCH($J164,DM_SLA_Cap,0)),168))/24)))</f>
      </c>
      <c r="V164" s="221">
        <f>IF($A164="","",IF(N($AJ164)=0,"Mới tiếp nhận",INDEX('Nhật ký tiến độ'!$E:$E,$AJ164)))</f>
      </c>
      <c r="W164" s="222">
        <f>IF($A164="","",IF($V164="Đã xử lý",1,IF(N($AJ164)=0,0,N(INDEX('Nhật ký tiến độ'!$D:$D,$AJ164)))))</f>
      </c>
      <c r="X164" s="222">
        <f>IF(OR($A164="",$V164="Đã xử lý",N($U164)=0,N($B164)=0),"",IF(TDBC&lt;=$B164,0,IF(TDBC&gt;=$U164,1,(TDBC-$B164)/($U164-$B164))))</f>
      </c>
      <c r="Y164" s="223">
        <f>IF($A164="","",IF($V164="Đã xử lý","Hoàn thành",IF(N($U164)=0,"Chưa đặt hạn",IF(TDBC&gt;$U164,"Quá hạn",IF(ROUND((N($X164)-$W164)*100,0)&gt;=20,"Chậm tiến độ",IF($U164-TDBC&lt;=1,"Sắp đến hạn","Đúng tiến độ"))))))</f>
      </c>
      <c r="Z164" s="223">
        <f>IF(OR($A164="",$V164="Đã xử lý",N($U164)=0),"",IF(TDBC&gt;$U164,"Quá "&amp;IF(((TDBC-$U164)*24)&lt;1,MAX(1,ROUND(((TDBC-$U164)*24)*60,0))&amp;" phút",IF(ROUND(((TDBC-$U164)*24),0)&lt;24,ROUND(((TDBC-$U164)*24),0)&amp;" giờ",INT(ROUND(((TDBC-$U164)*24),0)/24)&amp;" ngày"&amp;IF(MOD(ROUND(((TDBC-$U164)*24),0),24)&gt;0," "&amp;MOD(ROUND(((TDBC-$U164)*24),0),24)&amp;" giờ",""))),"Còn "&amp;IF((($U164-TDBC)*24)&lt;1,MAX(1,ROUND((($U164-TDBC)*24)*60,0))&amp;" phút",IF(ROUND((($U164-TDBC)*24),0)&lt;24,ROUND((($U164-TDBC)*24),0)&amp;" giờ",INT(ROUND((($U164-TDBC)*24),0)/24)&amp;" ngày"&amp;IF(MOD(ROUND((($U164-TDBC)*24),0),24)&gt;0," "&amp;MOD(ROUND((($U164-TDBC)*24),0),24)&amp;" giờ","")))))</f>
      </c>
      <c r="AA164" s="220">
        <f>IF($V164="Đã xử lý",_xlfn.MAXIFS('Nhật ký tiến độ'!$B$6:$B$3005,'Nhật ký tiến độ'!$C$6:$C$3005,$A164,'Nhật ký tiến độ'!$E$6:$E$3005,"Đã xử lý"),"")</f>
      </c>
      <c r="AB164" s="223">
        <f>IF($AI164="","",IF($AI164&lt;1,MAX(1,ROUND($AI164*60,0))&amp;" phút",IF(ROUND($AI164,0)&lt;24,ROUND($AI164,0)&amp;" giờ",INT(ROUND($AI164,0)/24)&amp;" ngày"&amp;IF(MOD(ROUND($AI164,0),24)&gt;0," "&amp;MOD(ROUND($AI164,0),24)&amp;" giờ",""))))</f>
      </c>
      <c r="AC164" s="223">
        <f>IF(OR($A164="",N($AH164)=0),"",IF($AI164&lt;&gt;"",IF($AI164&lt;=$AH164,"Trong ước tính","Vượt "&amp;IF(($AI164-$AH164)&lt;1,MAX(1,ROUND(($AI164-$AH164)*60,0))&amp;" phút",IF(ROUND(($AI164-$AH164),0)&lt;24,ROUND(($AI164-$AH164),0)&amp;" giờ",INT(ROUND(($AI164-$AH164),0)/24)&amp;" ngày"&amp;IF(MOD(ROUND(($AI164-$AH164),0),24)&gt;0," "&amp;MOD(ROUND(($AI164-$AH164),0),24)&amp;" giờ","")))),IF(OR($V164="Đã xử lý",N($B164)=0),"",IF((TDBC-$B164)*24&gt;$AH164,"Đã vượt ước tính","Đã dùng "&amp;TEXT((TDBC-$B164)*24/$AH164,"0%")))))</f>
      </c>
      <c r="AD164" s="223">
        <f>IF(N($AO164)=0,"",CHOOSE($AO164,"Nhắc nhở","Cảnh báo","Báo động","Báo động đỏ"))</f>
      </c>
      <c r="AE164" s="223">
        <f>IF(OR(N($AA164)=0,N($U164)=0),"",IF($AA164&lt;=$U164,"Đúng hạn","Trễ hạn"))</f>
      </c>
      <c r="AF164" s="220">
        <f>IF($A164="","",_xlfn.MAXIFS('Nhật ký tiến độ'!$B$6:$B$3005,'Nhật ký tiến độ'!$C$6:$C$3005,$A164))</f>
      </c>
      <c r="AG164" s="223">
        <f>IF($A164="","",IF(COUNTIF('Kế hoạch'!$M$6:$M$305,$A164)=0,"",COUNTIF('Kế hoạch'!$M$6:$M$305,$A164)&amp;" việc"))</f>
      </c>
      <c r="AH164" s="224">
        <f>IF(OR($A164="",N($O164)&lt;=0),"",IF($P164="Giờ",$O164,$O164*24))</f>
      </c>
      <c r="AI164" s="224">
        <f>IF(OR(N($AA164)=0,N($B164)=0),"",IF($AA164&lt;$B164,"",($AA164-$B164)*24))</f>
      </c>
      <c r="AJ164" s="225">
        <f>IF($A164="","",IF(COUNTIF('Nhật ký tiến độ'!$C$6:$C$3005,$A164)=0,0,_xlfn.MAXIFS('Nhật ký tiến độ'!$N$6:$N$3005,'Nhật ký tiến độ'!$C$6:$C$3005,$A164,'Nhật ký tiến độ'!$B$6:$B$3005,_xlfn.MAXIFS('Nhật ký tiến độ'!$B$6:$B$3005,'Nhật ký tiến độ'!$C$6:$C$3005,$A164))))</f>
      </c>
      <c r="AK164" s="225">
        <f>IF(OR($A164="",$V164="Đã xử lý"),"",IF(N($AO164)&gt;0,5-$AO164,IF($J164="Khẩn cấp",5,IF($Y164="Chậm tiến độ",6,IF(OR($Y164="Sắp đến hạn",$J164="Cao"),7,"")))))</f>
      </c>
      <c r="AL164" s="225">
        <f>IF($AK164="","",$AK164*100000+IF(N($U164)=0,99999,INT($U164))+ROW()/100000)</f>
      </c>
      <c r="AM164" s="225">
        <f>IF(OR($A164="",TRIM($K164)="",COUNTIF($K$6:$K164,$K164)&gt;1),0,1)</f>
      </c>
      <c r="AN164" s="225">
        <f>IF($AM164=1,SUM($AM$6:$AM164),"")</f>
      </c>
      <c r="AO164" s="225">
        <f>IF(OR($A164="",$V164="Đã xử lý",N($U164)=0),0,IF(TDBC&lt;=$U164,0,MAX(1,MIN(4,IF((TDBC-$U164)*24&lt;24,1,IF((TDBC-$U164)*24&lt;72,2,IF((TDBC-$U164)*24&lt;168,3,4)))+IFERROR(INDEX({2,1,0,-1},MATCH($J164,{"Khẩn cấp","Cao","Trung bình","Thấp"},0)),0)))))</f>
      </c>
    </row>
    <row r="165">
      <c r="A165" s="216"/>
      <c r="B165" s="217"/>
      <c r="C165" s="218"/>
      <c r="D165" s="218"/>
      <c r="E165" s="218"/>
      <c r="F165" s="218"/>
      <c r="G165" s="216"/>
      <c r="H165" s="218"/>
      <c r="I165" s="218"/>
      <c r="J165" s="216"/>
      <c r="K165" s="218"/>
      <c r="L165" s="218"/>
      <c r="M165" s="218"/>
      <c r="N165" s="218"/>
      <c r="O165" s="219"/>
      <c r="P165" s="216"/>
      <c r="Q165" s="217"/>
      <c r="R165" s="216"/>
      <c r="S165" s="218"/>
      <c r="T165" s="218"/>
      <c r="U165" s="220">
        <f>IF($A165="","",IF(N($Q165)&gt;0,IF(MOD($Q165,1)=0,$Q165+1-1/1440,$Q165),IF(N($B165)=0,"",$B165+IF(N($AH165)&gt;0,$AH165,IFERROR(INDEX(DM_SLA_Gio,MATCH($J165,DM_SLA_Cap,0)),168))/24)))</f>
      </c>
      <c r="V165" s="221">
        <f>IF($A165="","",IF(N($AJ165)=0,"Mới tiếp nhận",INDEX('Nhật ký tiến độ'!$E:$E,$AJ165)))</f>
      </c>
      <c r="W165" s="222">
        <f>IF($A165="","",IF($V165="Đã xử lý",1,IF(N($AJ165)=0,0,N(INDEX('Nhật ký tiến độ'!$D:$D,$AJ165)))))</f>
      </c>
      <c r="X165" s="222">
        <f>IF(OR($A165="",$V165="Đã xử lý",N($U165)=0,N($B165)=0),"",IF(TDBC&lt;=$B165,0,IF(TDBC&gt;=$U165,1,(TDBC-$B165)/($U165-$B165))))</f>
      </c>
      <c r="Y165" s="223">
        <f>IF($A165="","",IF($V165="Đã xử lý","Hoàn thành",IF(N($U165)=0,"Chưa đặt hạn",IF(TDBC&gt;$U165,"Quá hạn",IF(ROUND((N($X165)-$W165)*100,0)&gt;=20,"Chậm tiến độ",IF($U165-TDBC&lt;=1,"Sắp đến hạn","Đúng tiến độ"))))))</f>
      </c>
      <c r="Z165" s="223">
        <f>IF(OR($A165="",$V165="Đã xử lý",N($U165)=0),"",IF(TDBC&gt;$U165,"Quá "&amp;IF(((TDBC-$U165)*24)&lt;1,MAX(1,ROUND(((TDBC-$U165)*24)*60,0))&amp;" phút",IF(ROUND(((TDBC-$U165)*24),0)&lt;24,ROUND(((TDBC-$U165)*24),0)&amp;" giờ",INT(ROUND(((TDBC-$U165)*24),0)/24)&amp;" ngày"&amp;IF(MOD(ROUND(((TDBC-$U165)*24),0),24)&gt;0," "&amp;MOD(ROUND(((TDBC-$U165)*24),0),24)&amp;" giờ",""))),"Còn "&amp;IF((($U165-TDBC)*24)&lt;1,MAX(1,ROUND((($U165-TDBC)*24)*60,0))&amp;" phút",IF(ROUND((($U165-TDBC)*24),0)&lt;24,ROUND((($U165-TDBC)*24),0)&amp;" giờ",INT(ROUND((($U165-TDBC)*24),0)/24)&amp;" ngày"&amp;IF(MOD(ROUND((($U165-TDBC)*24),0),24)&gt;0," "&amp;MOD(ROUND((($U165-TDBC)*24),0),24)&amp;" giờ","")))))</f>
      </c>
      <c r="AA165" s="220">
        <f>IF($V165="Đã xử lý",_xlfn.MAXIFS('Nhật ký tiến độ'!$B$6:$B$3005,'Nhật ký tiến độ'!$C$6:$C$3005,$A165,'Nhật ký tiến độ'!$E$6:$E$3005,"Đã xử lý"),"")</f>
      </c>
      <c r="AB165" s="223">
        <f>IF($AI165="","",IF($AI165&lt;1,MAX(1,ROUND($AI165*60,0))&amp;" phút",IF(ROUND($AI165,0)&lt;24,ROUND($AI165,0)&amp;" giờ",INT(ROUND($AI165,0)/24)&amp;" ngày"&amp;IF(MOD(ROUND($AI165,0),24)&gt;0," "&amp;MOD(ROUND($AI165,0),24)&amp;" giờ",""))))</f>
      </c>
      <c r="AC165" s="223">
        <f>IF(OR($A165="",N($AH165)=0),"",IF($AI165&lt;&gt;"",IF($AI165&lt;=$AH165,"Trong ước tính","Vượt "&amp;IF(($AI165-$AH165)&lt;1,MAX(1,ROUND(($AI165-$AH165)*60,0))&amp;" phút",IF(ROUND(($AI165-$AH165),0)&lt;24,ROUND(($AI165-$AH165),0)&amp;" giờ",INT(ROUND(($AI165-$AH165),0)/24)&amp;" ngày"&amp;IF(MOD(ROUND(($AI165-$AH165),0),24)&gt;0," "&amp;MOD(ROUND(($AI165-$AH165),0),24)&amp;" giờ","")))),IF(OR($V165="Đã xử lý",N($B165)=0),"",IF((TDBC-$B165)*24&gt;$AH165,"Đã vượt ước tính","Đã dùng "&amp;TEXT((TDBC-$B165)*24/$AH165,"0%")))))</f>
      </c>
      <c r="AD165" s="223">
        <f>IF(N($AO165)=0,"",CHOOSE($AO165,"Nhắc nhở","Cảnh báo","Báo động","Báo động đỏ"))</f>
      </c>
      <c r="AE165" s="223">
        <f>IF(OR(N($AA165)=0,N($U165)=0),"",IF($AA165&lt;=$U165,"Đúng hạn","Trễ hạn"))</f>
      </c>
      <c r="AF165" s="220">
        <f>IF($A165="","",_xlfn.MAXIFS('Nhật ký tiến độ'!$B$6:$B$3005,'Nhật ký tiến độ'!$C$6:$C$3005,$A165))</f>
      </c>
      <c r="AG165" s="223">
        <f>IF($A165="","",IF(COUNTIF('Kế hoạch'!$M$6:$M$305,$A165)=0,"",COUNTIF('Kế hoạch'!$M$6:$M$305,$A165)&amp;" việc"))</f>
      </c>
      <c r="AH165" s="224">
        <f>IF(OR($A165="",N($O165)&lt;=0),"",IF($P165="Giờ",$O165,$O165*24))</f>
      </c>
      <c r="AI165" s="224">
        <f>IF(OR(N($AA165)=0,N($B165)=0),"",IF($AA165&lt;$B165,"",($AA165-$B165)*24))</f>
      </c>
      <c r="AJ165" s="225">
        <f>IF($A165="","",IF(COUNTIF('Nhật ký tiến độ'!$C$6:$C$3005,$A165)=0,0,_xlfn.MAXIFS('Nhật ký tiến độ'!$N$6:$N$3005,'Nhật ký tiến độ'!$C$6:$C$3005,$A165,'Nhật ký tiến độ'!$B$6:$B$3005,_xlfn.MAXIFS('Nhật ký tiến độ'!$B$6:$B$3005,'Nhật ký tiến độ'!$C$6:$C$3005,$A165))))</f>
      </c>
      <c r="AK165" s="225">
        <f>IF(OR($A165="",$V165="Đã xử lý"),"",IF(N($AO165)&gt;0,5-$AO165,IF($J165="Khẩn cấp",5,IF($Y165="Chậm tiến độ",6,IF(OR($Y165="Sắp đến hạn",$J165="Cao"),7,"")))))</f>
      </c>
      <c r="AL165" s="225">
        <f>IF($AK165="","",$AK165*100000+IF(N($U165)=0,99999,INT($U165))+ROW()/100000)</f>
      </c>
      <c r="AM165" s="225">
        <f>IF(OR($A165="",TRIM($K165)="",COUNTIF($K$6:$K165,$K165)&gt;1),0,1)</f>
      </c>
      <c r="AN165" s="225">
        <f>IF($AM165=1,SUM($AM$6:$AM165),"")</f>
      </c>
      <c r="AO165" s="225">
        <f>IF(OR($A165="",$V165="Đã xử lý",N($U165)=0),0,IF(TDBC&lt;=$U165,0,MAX(1,MIN(4,IF((TDBC-$U165)*24&lt;24,1,IF((TDBC-$U165)*24&lt;72,2,IF((TDBC-$U165)*24&lt;168,3,4)))+IFERROR(INDEX({2,1,0,-1},MATCH($J165,{"Khẩn cấp","Cao","Trung bình","Thấp"},0)),0)))))</f>
      </c>
    </row>
    <row r="166">
      <c r="A166" s="216"/>
      <c r="B166" s="217"/>
      <c r="C166" s="218"/>
      <c r="D166" s="218"/>
      <c r="E166" s="218"/>
      <c r="F166" s="218"/>
      <c r="G166" s="216"/>
      <c r="H166" s="218"/>
      <c r="I166" s="218"/>
      <c r="J166" s="216"/>
      <c r="K166" s="218"/>
      <c r="L166" s="218"/>
      <c r="M166" s="218"/>
      <c r="N166" s="218"/>
      <c r="O166" s="219"/>
      <c r="P166" s="216"/>
      <c r="Q166" s="217"/>
      <c r="R166" s="216"/>
      <c r="S166" s="218"/>
      <c r="T166" s="218"/>
      <c r="U166" s="220">
        <f>IF($A166="","",IF(N($Q166)&gt;0,IF(MOD($Q166,1)=0,$Q166+1-1/1440,$Q166),IF(N($B166)=0,"",$B166+IF(N($AH166)&gt;0,$AH166,IFERROR(INDEX(DM_SLA_Gio,MATCH($J166,DM_SLA_Cap,0)),168))/24)))</f>
      </c>
      <c r="V166" s="221">
        <f>IF($A166="","",IF(N($AJ166)=0,"Mới tiếp nhận",INDEX('Nhật ký tiến độ'!$E:$E,$AJ166)))</f>
      </c>
      <c r="W166" s="222">
        <f>IF($A166="","",IF($V166="Đã xử lý",1,IF(N($AJ166)=0,0,N(INDEX('Nhật ký tiến độ'!$D:$D,$AJ166)))))</f>
      </c>
      <c r="X166" s="222">
        <f>IF(OR($A166="",$V166="Đã xử lý",N($U166)=0,N($B166)=0),"",IF(TDBC&lt;=$B166,0,IF(TDBC&gt;=$U166,1,(TDBC-$B166)/($U166-$B166))))</f>
      </c>
      <c r="Y166" s="223">
        <f>IF($A166="","",IF($V166="Đã xử lý","Hoàn thành",IF(N($U166)=0,"Chưa đặt hạn",IF(TDBC&gt;$U166,"Quá hạn",IF(ROUND((N($X166)-$W166)*100,0)&gt;=20,"Chậm tiến độ",IF($U166-TDBC&lt;=1,"Sắp đến hạn","Đúng tiến độ"))))))</f>
      </c>
      <c r="Z166" s="223">
        <f>IF(OR($A166="",$V166="Đã xử lý",N($U166)=0),"",IF(TDBC&gt;$U166,"Quá "&amp;IF(((TDBC-$U166)*24)&lt;1,MAX(1,ROUND(((TDBC-$U166)*24)*60,0))&amp;" phút",IF(ROUND(((TDBC-$U166)*24),0)&lt;24,ROUND(((TDBC-$U166)*24),0)&amp;" giờ",INT(ROUND(((TDBC-$U166)*24),0)/24)&amp;" ngày"&amp;IF(MOD(ROUND(((TDBC-$U166)*24),0),24)&gt;0," "&amp;MOD(ROUND(((TDBC-$U166)*24),0),24)&amp;" giờ",""))),"Còn "&amp;IF((($U166-TDBC)*24)&lt;1,MAX(1,ROUND((($U166-TDBC)*24)*60,0))&amp;" phút",IF(ROUND((($U166-TDBC)*24),0)&lt;24,ROUND((($U166-TDBC)*24),0)&amp;" giờ",INT(ROUND((($U166-TDBC)*24),0)/24)&amp;" ngày"&amp;IF(MOD(ROUND((($U166-TDBC)*24),0),24)&gt;0," "&amp;MOD(ROUND((($U166-TDBC)*24),0),24)&amp;" giờ","")))))</f>
      </c>
      <c r="AA166" s="220">
        <f>IF($V166="Đã xử lý",_xlfn.MAXIFS('Nhật ký tiến độ'!$B$6:$B$3005,'Nhật ký tiến độ'!$C$6:$C$3005,$A166,'Nhật ký tiến độ'!$E$6:$E$3005,"Đã xử lý"),"")</f>
      </c>
      <c r="AB166" s="223">
        <f>IF($AI166="","",IF($AI166&lt;1,MAX(1,ROUND($AI166*60,0))&amp;" phút",IF(ROUND($AI166,0)&lt;24,ROUND($AI166,0)&amp;" giờ",INT(ROUND($AI166,0)/24)&amp;" ngày"&amp;IF(MOD(ROUND($AI166,0),24)&gt;0," "&amp;MOD(ROUND($AI166,0),24)&amp;" giờ",""))))</f>
      </c>
      <c r="AC166" s="223">
        <f>IF(OR($A166="",N($AH166)=0),"",IF($AI166&lt;&gt;"",IF($AI166&lt;=$AH166,"Trong ước tính","Vượt "&amp;IF(($AI166-$AH166)&lt;1,MAX(1,ROUND(($AI166-$AH166)*60,0))&amp;" phút",IF(ROUND(($AI166-$AH166),0)&lt;24,ROUND(($AI166-$AH166),0)&amp;" giờ",INT(ROUND(($AI166-$AH166),0)/24)&amp;" ngày"&amp;IF(MOD(ROUND(($AI166-$AH166),0),24)&gt;0," "&amp;MOD(ROUND(($AI166-$AH166),0),24)&amp;" giờ","")))),IF(OR($V166="Đã xử lý",N($B166)=0),"",IF((TDBC-$B166)*24&gt;$AH166,"Đã vượt ước tính","Đã dùng "&amp;TEXT((TDBC-$B166)*24/$AH166,"0%")))))</f>
      </c>
      <c r="AD166" s="223">
        <f>IF(N($AO166)=0,"",CHOOSE($AO166,"Nhắc nhở","Cảnh báo","Báo động","Báo động đỏ"))</f>
      </c>
      <c r="AE166" s="223">
        <f>IF(OR(N($AA166)=0,N($U166)=0),"",IF($AA166&lt;=$U166,"Đúng hạn","Trễ hạn"))</f>
      </c>
      <c r="AF166" s="220">
        <f>IF($A166="","",_xlfn.MAXIFS('Nhật ký tiến độ'!$B$6:$B$3005,'Nhật ký tiến độ'!$C$6:$C$3005,$A166))</f>
      </c>
      <c r="AG166" s="223">
        <f>IF($A166="","",IF(COUNTIF('Kế hoạch'!$M$6:$M$305,$A166)=0,"",COUNTIF('Kế hoạch'!$M$6:$M$305,$A166)&amp;" việc"))</f>
      </c>
      <c r="AH166" s="224">
        <f>IF(OR($A166="",N($O166)&lt;=0),"",IF($P166="Giờ",$O166,$O166*24))</f>
      </c>
      <c r="AI166" s="224">
        <f>IF(OR(N($AA166)=0,N($B166)=0),"",IF($AA166&lt;$B166,"",($AA166-$B166)*24))</f>
      </c>
      <c r="AJ166" s="225">
        <f>IF($A166="","",IF(COUNTIF('Nhật ký tiến độ'!$C$6:$C$3005,$A166)=0,0,_xlfn.MAXIFS('Nhật ký tiến độ'!$N$6:$N$3005,'Nhật ký tiến độ'!$C$6:$C$3005,$A166,'Nhật ký tiến độ'!$B$6:$B$3005,_xlfn.MAXIFS('Nhật ký tiến độ'!$B$6:$B$3005,'Nhật ký tiến độ'!$C$6:$C$3005,$A166))))</f>
      </c>
      <c r="AK166" s="225">
        <f>IF(OR($A166="",$V166="Đã xử lý"),"",IF(N($AO166)&gt;0,5-$AO166,IF($J166="Khẩn cấp",5,IF($Y166="Chậm tiến độ",6,IF(OR($Y166="Sắp đến hạn",$J166="Cao"),7,"")))))</f>
      </c>
      <c r="AL166" s="225">
        <f>IF($AK166="","",$AK166*100000+IF(N($U166)=0,99999,INT($U166))+ROW()/100000)</f>
      </c>
      <c r="AM166" s="225">
        <f>IF(OR($A166="",TRIM($K166)="",COUNTIF($K$6:$K166,$K166)&gt;1),0,1)</f>
      </c>
      <c r="AN166" s="225">
        <f>IF($AM166=1,SUM($AM$6:$AM166),"")</f>
      </c>
      <c r="AO166" s="225">
        <f>IF(OR($A166="",$V166="Đã xử lý",N($U166)=0),0,IF(TDBC&lt;=$U166,0,MAX(1,MIN(4,IF((TDBC-$U166)*24&lt;24,1,IF((TDBC-$U166)*24&lt;72,2,IF((TDBC-$U166)*24&lt;168,3,4)))+IFERROR(INDEX({2,1,0,-1},MATCH($J166,{"Khẩn cấp","Cao","Trung bình","Thấp"},0)),0)))))</f>
      </c>
    </row>
    <row r="167">
      <c r="A167" s="216"/>
      <c r="B167" s="217"/>
      <c r="C167" s="218"/>
      <c r="D167" s="218"/>
      <c r="E167" s="218"/>
      <c r="F167" s="218"/>
      <c r="G167" s="216"/>
      <c r="H167" s="218"/>
      <c r="I167" s="218"/>
      <c r="J167" s="216"/>
      <c r="K167" s="218"/>
      <c r="L167" s="218"/>
      <c r="M167" s="218"/>
      <c r="N167" s="218"/>
      <c r="O167" s="219"/>
      <c r="P167" s="216"/>
      <c r="Q167" s="217"/>
      <c r="R167" s="216"/>
      <c r="S167" s="218"/>
      <c r="T167" s="218"/>
      <c r="U167" s="220">
        <f>IF($A167="","",IF(N($Q167)&gt;0,IF(MOD($Q167,1)=0,$Q167+1-1/1440,$Q167),IF(N($B167)=0,"",$B167+IF(N($AH167)&gt;0,$AH167,IFERROR(INDEX(DM_SLA_Gio,MATCH($J167,DM_SLA_Cap,0)),168))/24)))</f>
      </c>
      <c r="V167" s="221">
        <f>IF($A167="","",IF(N($AJ167)=0,"Mới tiếp nhận",INDEX('Nhật ký tiến độ'!$E:$E,$AJ167)))</f>
      </c>
      <c r="W167" s="222">
        <f>IF($A167="","",IF($V167="Đã xử lý",1,IF(N($AJ167)=0,0,N(INDEX('Nhật ký tiến độ'!$D:$D,$AJ167)))))</f>
      </c>
      <c r="X167" s="222">
        <f>IF(OR($A167="",$V167="Đã xử lý",N($U167)=0,N($B167)=0),"",IF(TDBC&lt;=$B167,0,IF(TDBC&gt;=$U167,1,(TDBC-$B167)/($U167-$B167))))</f>
      </c>
      <c r="Y167" s="223">
        <f>IF($A167="","",IF($V167="Đã xử lý","Hoàn thành",IF(N($U167)=0,"Chưa đặt hạn",IF(TDBC&gt;$U167,"Quá hạn",IF(ROUND((N($X167)-$W167)*100,0)&gt;=20,"Chậm tiến độ",IF($U167-TDBC&lt;=1,"Sắp đến hạn","Đúng tiến độ"))))))</f>
      </c>
      <c r="Z167" s="223">
        <f>IF(OR($A167="",$V167="Đã xử lý",N($U167)=0),"",IF(TDBC&gt;$U167,"Quá "&amp;IF(((TDBC-$U167)*24)&lt;1,MAX(1,ROUND(((TDBC-$U167)*24)*60,0))&amp;" phút",IF(ROUND(((TDBC-$U167)*24),0)&lt;24,ROUND(((TDBC-$U167)*24),0)&amp;" giờ",INT(ROUND(((TDBC-$U167)*24),0)/24)&amp;" ngày"&amp;IF(MOD(ROUND(((TDBC-$U167)*24),0),24)&gt;0," "&amp;MOD(ROUND(((TDBC-$U167)*24),0),24)&amp;" giờ",""))),"Còn "&amp;IF((($U167-TDBC)*24)&lt;1,MAX(1,ROUND((($U167-TDBC)*24)*60,0))&amp;" phút",IF(ROUND((($U167-TDBC)*24),0)&lt;24,ROUND((($U167-TDBC)*24),0)&amp;" giờ",INT(ROUND((($U167-TDBC)*24),0)/24)&amp;" ngày"&amp;IF(MOD(ROUND((($U167-TDBC)*24),0),24)&gt;0," "&amp;MOD(ROUND((($U167-TDBC)*24),0),24)&amp;" giờ","")))))</f>
      </c>
      <c r="AA167" s="220">
        <f>IF($V167="Đã xử lý",_xlfn.MAXIFS('Nhật ký tiến độ'!$B$6:$B$3005,'Nhật ký tiến độ'!$C$6:$C$3005,$A167,'Nhật ký tiến độ'!$E$6:$E$3005,"Đã xử lý"),"")</f>
      </c>
      <c r="AB167" s="223">
        <f>IF($AI167="","",IF($AI167&lt;1,MAX(1,ROUND($AI167*60,0))&amp;" phút",IF(ROUND($AI167,0)&lt;24,ROUND($AI167,0)&amp;" giờ",INT(ROUND($AI167,0)/24)&amp;" ngày"&amp;IF(MOD(ROUND($AI167,0),24)&gt;0," "&amp;MOD(ROUND($AI167,0),24)&amp;" giờ",""))))</f>
      </c>
      <c r="AC167" s="223">
        <f>IF(OR($A167="",N($AH167)=0),"",IF($AI167&lt;&gt;"",IF($AI167&lt;=$AH167,"Trong ước tính","Vượt "&amp;IF(($AI167-$AH167)&lt;1,MAX(1,ROUND(($AI167-$AH167)*60,0))&amp;" phút",IF(ROUND(($AI167-$AH167),0)&lt;24,ROUND(($AI167-$AH167),0)&amp;" giờ",INT(ROUND(($AI167-$AH167),0)/24)&amp;" ngày"&amp;IF(MOD(ROUND(($AI167-$AH167),0),24)&gt;0," "&amp;MOD(ROUND(($AI167-$AH167),0),24)&amp;" giờ","")))),IF(OR($V167="Đã xử lý",N($B167)=0),"",IF((TDBC-$B167)*24&gt;$AH167,"Đã vượt ước tính","Đã dùng "&amp;TEXT((TDBC-$B167)*24/$AH167,"0%")))))</f>
      </c>
      <c r="AD167" s="223">
        <f>IF(N($AO167)=0,"",CHOOSE($AO167,"Nhắc nhở","Cảnh báo","Báo động","Báo động đỏ"))</f>
      </c>
      <c r="AE167" s="223">
        <f>IF(OR(N($AA167)=0,N($U167)=0),"",IF($AA167&lt;=$U167,"Đúng hạn","Trễ hạn"))</f>
      </c>
      <c r="AF167" s="220">
        <f>IF($A167="","",_xlfn.MAXIFS('Nhật ký tiến độ'!$B$6:$B$3005,'Nhật ký tiến độ'!$C$6:$C$3005,$A167))</f>
      </c>
      <c r="AG167" s="223">
        <f>IF($A167="","",IF(COUNTIF('Kế hoạch'!$M$6:$M$305,$A167)=0,"",COUNTIF('Kế hoạch'!$M$6:$M$305,$A167)&amp;" việc"))</f>
      </c>
      <c r="AH167" s="224">
        <f>IF(OR($A167="",N($O167)&lt;=0),"",IF($P167="Giờ",$O167,$O167*24))</f>
      </c>
      <c r="AI167" s="224">
        <f>IF(OR(N($AA167)=0,N($B167)=0),"",IF($AA167&lt;$B167,"",($AA167-$B167)*24))</f>
      </c>
      <c r="AJ167" s="225">
        <f>IF($A167="","",IF(COUNTIF('Nhật ký tiến độ'!$C$6:$C$3005,$A167)=0,0,_xlfn.MAXIFS('Nhật ký tiến độ'!$N$6:$N$3005,'Nhật ký tiến độ'!$C$6:$C$3005,$A167,'Nhật ký tiến độ'!$B$6:$B$3005,_xlfn.MAXIFS('Nhật ký tiến độ'!$B$6:$B$3005,'Nhật ký tiến độ'!$C$6:$C$3005,$A167))))</f>
      </c>
      <c r="AK167" s="225">
        <f>IF(OR($A167="",$V167="Đã xử lý"),"",IF(N($AO167)&gt;0,5-$AO167,IF($J167="Khẩn cấp",5,IF($Y167="Chậm tiến độ",6,IF(OR($Y167="Sắp đến hạn",$J167="Cao"),7,"")))))</f>
      </c>
      <c r="AL167" s="225">
        <f>IF($AK167="","",$AK167*100000+IF(N($U167)=0,99999,INT($U167))+ROW()/100000)</f>
      </c>
      <c r="AM167" s="225">
        <f>IF(OR($A167="",TRIM($K167)="",COUNTIF($K$6:$K167,$K167)&gt;1),0,1)</f>
      </c>
      <c r="AN167" s="225">
        <f>IF($AM167=1,SUM($AM$6:$AM167),"")</f>
      </c>
      <c r="AO167" s="225">
        <f>IF(OR($A167="",$V167="Đã xử lý",N($U167)=0),0,IF(TDBC&lt;=$U167,0,MAX(1,MIN(4,IF((TDBC-$U167)*24&lt;24,1,IF((TDBC-$U167)*24&lt;72,2,IF((TDBC-$U167)*24&lt;168,3,4)))+IFERROR(INDEX({2,1,0,-1},MATCH($J167,{"Khẩn cấp","Cao","Trung bình","Thấp"},0)),0)))))</f>
      </c>
    </row>
    <row r="168">
      <c r="A168" s="216"/>
      <c r="B168" s="217"/>
      <c r="C168" s="218"/>
      <c r="D168" s="218"/>
      <c r="E168" s="218"/>
      <c r="F168" s="218"/>
      <c r="G168" s="216"/>
      <c r="H168" s="218"/>
      <c r="I168" s="218"/>
      <c r="J168" s="216"/>
      <c r="K168" s="218"/>
      <c r="L168" s="218"/>
      <c r="M168" s="218"/>
      <c r="N168" s="218"/>
      <c r="O168" s="219"/>
      <c r="P168" s="216"/>
      <c r="Q168" s="217"/>
      <c r="R168" s="216"/>
      <c r="S168" s="218"/>
      <c r="T168" s="218"/>
      <c r="U168" s="220">
        <f>IF($A168="","",IF(N($Q168)&gt;0,IF(MOD($Q168,1)=0,$Q168+1-1/1440,$Q168),IF(N($B168)=0,"",$B168+IF(N($AH168)&gt;0,$AH168,IFERROR(INDEX(DM_SLA_Gio,MATCH($J168,DM_SLA_Cap,0)),168))/24)))</f>
      </c>
      <c r="V168" s="221">
        <f>IF($A168="","",IF(N($AJ168)=0,"Mới tiếp nhận",INDEX('Nhật ký tiến độ'!$E:$E,$AJ168)))</f>
      </c>
      <c r="W168" s="222">
        <f>IF($A168="","",IF($V168="Đã xử lý",1,IF(N($AJ168)=0,0,N(INDEX('Nhật ký tiến độ'!$D:$D,$AJ168)))))</f>
      </c>
      <c r="X168" s="222">
        <f>IF(OR($A168="",$V168="Đã xử lý",N($U168)=0,N($B168)=0),"",IF(TDBC&lt;=$B168,0,IF(TDBC&gt;=$U168,1,(TDBC-$B168)/($U168-$B168))))</f>
      </c>
      <c r="Y168" s="223">
        <f>IF($A168="","",IF($V168="Đã xử lý","Hoàn thành",IF(N($U168)=0,"Chưa đặt hạn",IF(TDBC&gt;$U168,"Quá hạn",IF(ROUND((N($X168)-$W168)*100,0)&gt;=20,"Chậm tiến độ",IF($U168-TDBC&lt;=1,"Sắp đến hạn","Đúng tiến độ"))))))</f>
      </c>
      <c r="Z168" s="223">
        <f>IF(OR($A168="",$V168="Đã xử lý",N($U168)=0),"",IF(TDBC&gt;$U168,"Quá "&amp;IF(((TDBC-$U168)*24)&lt;1,MAX(1,ROUND(((TDBC-$U168)*24)*60,0))&amp;" phút",IF(ROUND(((TDBC-$U168)*24),0)&lt;24,ROUND(((TDBC-$U168)*24),0)&amp;" giờ",INT(ROUND(((TDBC-$U168)*24),0)/24)&amp;" ngày"&amp;IF(MOD(ROUND(((TDBC-$U168)*24),0),24)&gt;0," "&amp;MOD(ROUND(((TDBC-$U168)*24),0),24)&amp;" giờ",""))),"Còn "&amp;IF((($U168-TDBC)*24)&lt;1,MAX(1,ROUND((($U168-TDBC)*24)*60,0))&amp;" phút",IF(ROUND((($U168-TDBC)*24),0)&lt;24,ROUND((($U168-TDBC)*24),0)&amp;" giờ",INT(ROUND((($U168-TDBC)*24),0)/24)&amp;" ngày"&amp;IF(MOD(ROUND((($U168-TDBC)*24),0),24)&gt;0," "&amp;MOD(ROUND((($U168-TDBC)*24),0),24)&amp;" giờ","")))))</f>
      </c>
      <c r="AA168" s="220">
        <f>IF($V168="Đã xử lý",_xlfn.MAXIFS('Nhật ký tiến độ'!$B$6:$B$3005,'Nhật ký tiến độ'!$C$6:$C$3005,$A168,'Nhật ký tiến độ'!$E$6:$E$3005,"Đã xử lý"),"")</f>
      </c>
      <c r="AB168" s="223">
        <f>IF($AI168="","",IF($AI168&lt;1,MAX(1,ROUND($AI168*60,0))&amp;" phút",IF(ROUND($AI168,0)&lt;24,ROUND($AI168,0)&amp;" giờ",INT(ROUND($AI168,0)/24)&amp;" ngày"&amp;IF(MOD(ROUND($AI168,0),24)&gt;0," "&amp;MOD(ROUND($AI168,0),24)&amp;" giờ",""))))</f>
      </c>
      <c r="AC168" s="223">
        <f>IF(OR($A168="",N($AH168)=0),"",IF($AI168&lt;&gt;"",IF($AI168&lt;=$AH168,"Trong ước tính","Vượt "&amp;IF(($AI168-$AH168)&lt;1,MAX(1,ROUND(($AI168-$AH168)*60,0))&amp;" phút",IF(ROUND(($AI168-$AH168),0)&lt;24,ROUND(($AI168-$AH168),0)&amp;" giờ",INT(ROUND(($AI168-$AH168),0)/24)&amp;" ngày"&amp;IF(MOD(ROUND(($AI168-$AH168),0),24)&gt;0," "&amp;MOD(ROUND(($AI168-$AH168),0),24)&amp;" giờ","")))),IF(OR($V168="Đã xử lý",N($B168)=0),"",IF((TDBC-$B168)*24&gt;$AH168,"Đã vượt ước tính","Đã dùng "&amp;TEXT((TDBC-$B168)*24/$AH168,"0%")))))</f>
      </c>
      <c r="AD168" s="223">
        <f>IF(N($AO168)=0,"",CHOOSE($AO168,"Nhắc nhở","Cảnh báo","Báo động","Báo động đỏ"))</f>
      </c>
      <c r="AE168" s="223">
        <f>IF(OR(N($AA168)=0,N($U168)=0),"",IF($AA168&lt;=$U168,"Đúng hạn","Trễ hạn"))</f>
      </c>
      <c r="AF168" s="220">
        <f>IF($A168="","",_xlfn.MAXIFS('Nhật ký tiến độ'!$B$6:$B$3005,'Nhật ký tiến độ'!$C$6:$C$3005,$A168))</f>
      </c>
      <c r="AG168" s="223">
        <f>IF($A168="","",IF(COUNTIF('Kế hoạch'!$M$6:$M$305,$A168)=0,"",COUNTIF('Kế hoạch'!$M$6:$M$305,$A168)&amp;" việc"))</f>
      </c>
      <c r="AH168" s="224">
        <f>IF(OR($A168="",N($O168)&lt;=0),"",IF($P168="Giờ",$O168,$O168*24))</f>
      </c>
      <c r="AI168" s="224">
        <f>IF(OR(N($AA168)=0,N($B168)=0),"",IF($AA168&lt;$B168,"",($AA168-$B168)*24))</f>
      </c>
      <c r="AJ168" s="225">
        <f>IF($A168="","",IF(COUNTIF('Nhật ký tiến độ'!$C$6:$C$3005,$A168)=0,0,_xlfn.MAXIFS('Nhật ký tiến độ'!$N$6:$N$3005,'Nhật ký tiến độ'!$C$6:$C$3005,$A168,'Nhật ký tiến độ'!$B$6:$B$3005,_xlfn.MAXIFS('Nhật ký tiến độ'!$B$6:$B$3005,'Nhật ký tiến độ'!$C$6:$C$3005,$A168))))</f>
      </c>
      <c r="AK168" s="225">
        <f>IF(OR($A168="",$V168="Đã xử lý"),"",IF(N($AO168)&gt;0,5-$AO168,IF($J168="Khẩn cấp",5,IF($Y168="Chậm tiến độ",6,IF(OR($Y168="Sắp đến hạn",$J168="Cao"),7,"")))))</f>
      </c>
      <c r="AL168" s="225">
        <f>IF($AK168="","",$AK168*100000+IF(N($U168)=0,99999,INT($U168))+ROW()/100000)</f>
      </c>
      <c r="AM168" s="225">
        <f>IF(OR($A168="",TRIM($K168)="",COUNTIF($K$6:$K168,$K168)&gt;1),0,1)</f>
      </c>
      <c r="AN168" s="225">
        <f>IF($AM168=1,SUM($AM$6:$AM168),"")</f>
      </c>
      <c r="AO168" s="225">
        <f>IF(OR($A168="",$V168="Đã xử lý",N($U168)=0),0,IF(TDBC&lt;=$U168,0,MAX(1,MIN(4,IF((TDBC-$U168)*24&lt;24,1,IF((TDBC-$U168)*24&lt;72,2,IF((TDBC-$U168)*24&lt;168,3,4)))+IFERROR(INDEX({2,1,0,-1},MATCH($J168,{"Khẩn cấp","Cao","Trung bình","Thấp"},0)),0)))))</f>
      </c>
    </row>
    <row r="169">
      <c r="A169" s="216"/>
      <c r="B169" s="217"/>
      <c r="C169" s="218"/>
      <c r="D169" s="218"/>
      <c r="E169" s="218"/>
      <c r="F169" s="218"/>
      <c r="G169" s="216"/>
      <c r="H169" s="218"/>
      <c r="I169" s="218"/>
      <c r="J169" s="216"/>
      <c r="K169" s="218"/>
      <c r="L169" s="218"/>
      <c r="M169" s="218"/>
      <c r="N169" s="218"/>
      <c r="O169" s="219"/>
      <c r="P169" s="216"/>
      <c r="Q169" s="217"/>
      <c r="R169" s="216"/>
      <c r="S169" s="218"/>
      <c r="T169" s="218"/>
      <c r="U169" s="220">
        <f>IF($A169="","",IF(N($Q169)&gt;0,IF(MOD($Q169,1)=0,$Q169+1-1/1440,$Q169),IF(N($B169)=0,"",$B169+IF(N($AH169)&gt;0,$AH169,IFERROR(INDEX(DM_SLA_Gio,MATCH($J169,DM_SLA_Cap,0)),168))/24)))</f>
      </c>
      <c r="V169" s="221">
        <f>IF($A169="","",IF(N($AJ169)=0,"Mới tiếp nhận",INDEX('Nhật ký tiến độ'!$E:$E,$AJ169)))</f>
      </c>
      <c r="W169" s="222">
        <f>IF($A169="","",IF($V169="Đã xử lý",1,IF(N($AJ169)=0,0,N(INDEX('Nhật ký tiến độ'!$D:$D,$AJ169)))))</f>
      </c>
      <c r="X169" s="222">
        <f>IF(OR($A169="",$V169="Đã xử lý",N($U169)=0,N($B169)=0),"",IF(TDBC&lt;=$B169,0,IF(TDBC&gt;=$U169,1,(TDBC-$B169)/($U169-$B169))))</f>
      </c>
      <c r="Y169" s="223">
        <f>IF($A169="","",IF($V169="Đã xử lý","Hoàn thành",IF(N($U169)=0,"Chưa đặt hạn",IF(TDBC&gt;$U169,"Quá hạn",IF(ROUND((N($X169)-$W169)*100,0)&gt;=20,"Chậm tiến độ",IF($U169-TDBC&lt;=1,"Sắp đến hạn","Đúng tiến độ"))))))</f>
      </c>
      <c r="Z169" s="223">
        <f>IF(OR($A169="",$V169="Đã xử lý",N($U169)=0),"",IF(TDBC&gt;$U169,"Quá "&amp;IF(((TDBC-$U169)*24)&lt;1,MAX(1,ROUND(((TDBC-$U169)*24)*60,0))&amp;" phút",IF(ROUND(((TDBC-$U169)*24),0)&lt;24,ROUND(((TDBC-$U169)*24),0)&amp;" giờ",INT(ROUND(((TDBC-$U169)*24),0)/24)&amp;" ngày"&amp;IF(MOD(ROUND(((TDBC-$U169)*24),0),24)&gt;0," "&amp;MOD(ROUND(((TDBC-$U169)*24),0),24)&amp;" giờ",""))),"Còn "&amp;IF((($U169-TDBC)*24)&lt;1,MAX(1,ROUND((($U169-TDBC)*24)*60,0))&amp;" phút",IF(ROUND((($U169-TDBC)*24),0)&lt;24,ROUND((($U169-TDBC)*24),0)&amp;" giờ",INT(ROUND((($U169-TDBC)*24),0)/24)&amp;" ngày"&amp;IF(MOD(ROUND((($U169-TDBC)*24),0),24)&gt;0," "&amp;MOD(ROUND((($U169-TDBC)*24),0),24)&amp;" giờ","")))))</f>
      </c>
      <c r="AA169" s="220">
        <f>IF($V169="Đã xử lý",_xlfn.MAXIFS('Nhật ký tiến độ'!$B$6:$B$3005,'Nhật ký tiến độ'!$C$6:$C$3005,$A169,'Nhật ký tiến độ'!$E$6:$E$3005,"Đã xử lý"),"")</f>
      </c>
      <c r="AB169" s="223">
        <f>IF($AI169="","",IF($AI169&lt;1,MAX(1,ROUND($AI169*60,0))&amp;" phút",IF(ROUND($AI169,0)&lt;24,ROUND($AI169,0)&amp;" giờ",INT(ROUND($AI169,0)/24)&amp;" ngày"&amp;IF(MOD(ROUND($AI169,0),24)&gt;0," "&amp;MOD(ROUND($AI169,0),24)&amp;" giờ",""))))</f>
      </c>
      <c r="AC169" s="223">
        <f>IF(OR($A169="",N($AH169)=0),"",IF($AI169&lt;&gt;"",IF($AI169&lt;=$AH169,"Trong ước tính","Vượt "&amp;IF(($AI169-$AH169)&lt;1,MAX(1,ROUND(($AI169-$AH169)*60,0))&amp;" phút",IF(ROUND(($AI169-$AH169),0)&lt;24,ROUND(($AI169-$AH169),0)&amp;" giờ",INT(ROUND(($AI169-$AH169),0)/24)&amp;" ngày"&amp;IF(MOD(ROUND(($AI169-$AH169),0),24)&gt;0," "&amp;MOD(ROUND(($AI169-$AH169),0),24)&amp;" giờ","")))),IF(OR($V169="Đã xử lý",N($B169)=0),"",IF((TDBC-$B169)*24&gt;$AH169,"Đã vượt ước tính","Đã dùng "&amp;TEXT((TDBC-$B169)*24/$AH169,"0%")))))</f>
      </c>
      <c r="AD169" s="223">
        <f>IF(N($AO169)=0,"",CHOOSE($AO169,"Nhắc nhở","Cảnh báo","Báo động","Báo động đỏ"))</f>
      </c>
      <c r="AE169" s="223">
        <f>IF(OR(N($AA169)=0,N($U169)=0),"",IF($AA169&lt;=$U169,"Đúng hạn","Trễ hạn"))</f>
      </c>
      <c r="AF169" s="220">
        <f>IF($A169="","",_xlfn.MAXIFS('Nhật ký tiến độ'!$B$6:$B$3005,'Nhật ký tiến độ'!$C$6:$C$3005,$A169))</f>
      </c>
      <c r="AG169" s="223">
        <f>IF($A169="","",IF(COUNTIF('Kế hoạch'!$M$6:$M$305,$A169)=0,"",COUNTIF('Kế hoạch'!$M$6:$M$305,$A169)&amp;" việc"))</f>
      </c>
      <c r="AH169" s="224">
        <f>IF(OR($A169="",N($O169)&lt;=0),"",IF($P169="Giờ",$O169,$O169*24))</f>
      </c>
      <c r="AI169" s="224">
        <f>IF(OR(N($AA169)=0,N($B169)=0),"",IF($AA169&lt;$B169,"",($AA169-$B169)*24))</f>
      </c>
      <c r="AJ169" s="225">
        <f>IF($A169="","",IF(COUNTIF('Nhật ký tiến độ'!$C$6:$C$3005,$A169)=0,0,_xlfn.MAXIFS('Nhật ký tiến độ'!$N$6:$N$3005,'Nhật ký tiến độ'!$C$6:$C$3005,$A169,'Nhật ký tiến độ'!$B$6:$B$3005,_xlfn.MAXIFS('Nhật ký tiến độ'!$B$6:$B$3005,'Nhật ký tiến độ'!$C$6:$C$3005,$A169))))</f>
      </c>
      <c r="AK169" s="225">
        <f>IF(OR($A169="",$V169="Đã xử lý"),"",IF(N($AO169)&gt;0,5-$AO169,IF($J169="Khẩn cấp",5,IF($Y169="Chậm tiến độ",6,IF(OR($Y169="Sắp đến hạn",$J169="Cao"),7,"")))))</f>
      </c>
      <c r="AL169" s="225">
        <f>IF($AK169="","",$AK169*100000+IF(N($U169)=0,99999,INT($U169))+ROW()/100000)</f>
      </c>
      <c r="AM169" s="225">
        <f>IF(OR($A169="",TRIM($K169)="",COUNTIF($K$6:$K169,$K169)&gt;1),0,1)</f>
      </c>
      <c r="AN169" s="225">
        <f>IF($AM169=1,SUM($AM$6:$AM169),"")</f>
      </c>
      <c r="AO169" s="225">
        <f>IF(OR($A169="",$V169="Đã xử lý",N($U169)=0),0,IF(TDBC&lt;=$U169,0,MAX(1,MIN(4,IF((TDBC-$U169)*24&lt;24,1,IF((TDBC-$U169)*24&lt;72,2,IF((TDBC-$U169)*24&lt;168,3,4)))+IFERROR(INDEX({2,1,0,-1},MATCH($J169,{"Khẩn cấp","Cao","Trung bình","Thấp"},0)),0)))))</f>
      </c>
    </row>
    <row r="170">
      <c r="A170" s="216"/>
      <c r="B170" s="217"/>
      <c r="C170" s="218"/>
      <c r="D170" s="218"/>
      <c r="E170" s="218"/>
      <c r="F170" s="218"/>
      <c r="G170" s="216"/>
      <c r="H170" s="218"/>
      <c r="I170" s="218"/>
      <c r="J170" s="216"/>
      <c r="K170" s="218"/>
      <c r="L170" s="218"/>
      <c r="M170" s="218"/>
      <c r="N170" s="218"/>
      <c r="O170" s="219"/>
      <c r="P170" s="216"/>
      <c r="Q170" s="217"/>
      <c r="R170" s="216"/>
      <c r="S170" s="218"/>
      <c r="T170" s="218"/>
      <c r="U170" s="220">
        <f>IF($A170="","",IF(N($Q170)&gt;0,IF(MOD($Q170,1)=0,$Q170+1-1/1440,$Q170),IF(N($B170)=0,"",$B170+IF(N($AH170)&gt;0,$AH170,IFERROR(INDEX(DM_SLA_Gio,MATCH($J170,DM_SLA_Cap,0)),168))/24)))</f>
      </c>
      <c r="V170" s="221">
        <f>IF($A170="","",IF(N($AJ170)=0,"Mới tiếp nhận",INDEX('Nhật ký tiến độ'!$E:$E,$AJ170)))</f>
      </c>
      <c r="W170" s="222">
        <f>IF($A170="","",IF($V170="Đã xử lý",1,IF(N($AJ170)=0,0,N(INDEX('Nhật ký tiến độ'!$D:$D,$AJ170)))))</f>
      </c>
      <c r="X170" s="222">
        <f>IF(OR($A170="",$V170="Đã xử lý",N($U170)=0,N($B170)=0),"",IF(TDBC&lt;=$B170,0,IF(TDBC&gt;=$U170,1,(TDBC-$B170)/($U170-$B170))))</f>
      </c>
      <c r="Y170" s="223">
        <f>IF($A170="","",IF($V170="Đã xử lý","Hoàn thành",IF(N($U170)=0,"Chưa đặt hạn",IF(TDBC&gt;$U170,"Quá hạn",IF(ROUND((N($X170)-$W170)*100,0)&gt;=20,"Chậm tiến độ",IF($U170-TDBC&lt;=1,"Sắp đến hạn","Đúng tiến độ"))))))</f>
      </c>
      <c r="Z170" s="223">
        <f>IF(OR($A170="",$V170="Đã xử lý",N($U170)=0),"",IF(TDBC&gt;$U170,"Quá "&amp;IF(((TDBC-$U170)*24)&lt;1,MAX(1,ROUND(((TDBC-$U170)*24)*60,0))&amp;" phút",IF(ROUND(((TDBC-$U170)*24),0)&lt;24,ROUND(((TDBC-$U170)*24),0)&amp;" giờ",INT(ROUND(((TDBC-$U170)*24),0)/24)&amp;" ngày"&amp;IF(MOD(ROUND(((TDBC-$U170)*24),0),24)&gt;0," "&amp;MOD(ROUND(((TDBC-$U170)*24),0),24)&amp;" giờ",""))),"Còn "&amp;IF((($U170-TDBC)*24)&lt;1,MAX(1,ROUND((($U170-TDBC)*24)*60,0))&amp;" phút",IF(ROUND((($U170-TDBC)*24),0)&lt;24,ROUND((($U170-TDBC)*24),0)&amp;" giờ",INT(ROUND((($U170-TDBC)*24),0)/24)&amp;" ngày"&amp;IF(MOD(ROUND((($U170-TDBC)*24),0),24)&gt;0," "&amp;MOD(ROUND((($U170-TDBC)*24),0),24)&amp;" giờ","")))))</f>
      </c>
      <c r="AA170" s="220">
        <f>IF($V170="Đã xử lý",_xlfn.MAXIFS('Nhật ký tiến độ'!$B$6:$B$3005,'Nhật ký tiến độ'!$C$6:$C$3005,$A170,'Nhật ký tiến độ'!$E$6:$E$3005,"Đã xử lý"),"")</f>
      </c>
      <c r="AB170" s="223">
        <f>IF($AI170="","",IF($AI170&lt;1,MAX(1,ROUND($AI170*60,0))&amp;" phút",IF(ROUND($AI170,0)&lt;24,ROUND($AI170,0)&amp;" giờ",INT(ROUND($AI170,0)/24)&amp;" ngày"&amp;IF(MOD(ROUND($AI170,0),24)&gt;0," "&amp;MOD(ROUND($AI170,0),24)&amp;" giờ",""))))</f>
      </c>
      <c r="AC170" s="223">
        <f>IF(OR($A170="",N($AH170)=0),"",IF($AI170&lt;&gt;"",IF($AI170&lt;=$AH170,"Trong ước tính","Vượt "&amp;IF(($AI170-$AH170)&lt;1,MAX(1,ROUND(($AI170-$AH170)*60,0))&amp;" phút",IF(ROUND(($AI170-$AH170),0)&lt;24,ROUND(($AI170-$AH170),0)&amp;" giờ",INT(ROUND(($AI170-$AH170),0)/24)&amp;" ngày"&amp;IF(MOD(ROUND(($AI170-$AH170),0),24)&gt;0," "&amp;MOD(ROUND(($AI170-$AH170),0),24)&amp;" giờ","")))),IF(OR($V170="Đã xử lý",N($B170)=0),"",IF((TDBC-$B170)*24&gt;$AH170,"Đã vượt ước tính","Đã dùng "&amp;TEXT((TDBC-$B170)*24/$AH170,"0%")))))</f>
      </c>
      <c r="AD170" s="223">
        <f>IF(N($AO170)=0,"",CHOOSE($AO170,"Nhắc nhở","Cảnh báo","Báo động","Báo động đỏ"))</f>
      </c>
      <c r="AE170" s="223">
        <f>IF(OR(N($AA170)=0,N($U170)=0),"",IF($AA170&lt;=$U170,"Đúng hạn","Trễ hạn"))</f>
      </c>
      <c r="AF170" s="220">
        <f>IF($A170="","",_xlfn.MAXIFS('Nhật ký tiến độ'!$B$6:$B$3005,'Nhật ký tiến độ'!$C$6:$C$3005,$A170))</f>
      </c>
      <c r="AG170" s="223">
        <f>IF($A170="","",IF(COUNTIF('Kế hoạch'!$M$6:$M$305,$A170)=0,"",COUNTIF('Kế hoạch'!$M$6:$M$305,$A170)&amp;" việc"))</f>
      </c>
      <c r="AH170" s="224">
        <f>IF(OR($A170="",N($O170)&lt;=0),"",IF($P170="Giờ",$O170,$O170*24))</f>
      </c>
      <c r="AI170" s="224">
        <f>IF(OR(N($AA170)=0,N($B170)=0),"",IF($AA170&lt;$B170,"",($AA170-$B170)*24))</f>
      </c>
      <c r="AJ170" s="225">
        <f>IF($A170="","",IF(COUNTIF('Nhật ký tiến độ'!$C$6:$C$3005,$A170)=0,0,_xlfn.MAXIFS('Nhật ký tiến độ'!$N$6:$N$3005,'Nhật ký tiến độ'!$C$6:$C$3005,$A170,'Nhật ký tiến độ'!$B$6:$B$3005,_xlfn.MAXIFS('Nhật ký tiến độ'!$B$6:$B$3005,'Nhật ký tiến độ'!$C$6:$C$3005,$A170))))</f>
      </c>
      <c r="AK170" s="225">
        <f>IF(OR($A170="",$V170="Đã xử lý"),"",IF(N($AO170)&gt;0,5-$AO170,IF($J170="Khẩn cấp",5,IF($Y170="Chậm tiến độ",6,IF(OR($Y170="Sắp đến hạn",$J170="Cao"),7,"")))))</f>
      </c>
      <c r="AL170" s="225">
        <f>IF($AK170="","",$AK170*100000+IF(N($U170)=0,99999,INT($U170))+ROW()/100000)</f>
      </c>
      <c r="AM170" s="225">
        <f>IF(OR($A170="",TRIM($K170)="",COUNTIF($K$6:$K170,$K170)&gt;1),0,1)</f>
      </c>
      <c r="AN170" s="225">
        <f>IF($AM170=1,SUM($AM$6:$AM170),"")</f>
      </c>
      <c r="AO170" s="225">
        <f>IF(OR($A170="",$V170="Đã xử lý",N($U170)=0),0,IF(TDBC&lt;=$U170,0,MAX(1,MIN(4,IF((TDBC-$U170)*24&lt;24,1,IF((TDBC-$U170)*24&lt;72,2,IF((TDBC-$U170)*24&lt;168,3,4)))+IFERROR(INDEX({2,1,0,-1},MATCH($J170,{"Khẩn cấp","Cao","Trung bình","Thấp"},0)),0)))))</f>
      </c>
    </row>
    <row r="171">
      <c r="A171" s="216"/>
      <c r="B171" s="217"/>
      <c r="C171" s="218"/>
      <c r="D171" s="218"/>
      <c r="E171" s="218"/>
      <c r="F171" s="218"/>
      <c r="G171" s="216"/>
      <c r="H171" s="218"/>
      <c r="I171" s="218"/>
      <c r="J171" s="216"/>
      <c r="K171" s="218"/>
      <c r="L171" s="218"/>
      <c r="M171" s="218"/>
      <c r="N171" s="218"/>
      <c r="O171" s="219"/>
      <c r="P171" s="216"/>
      <c r="Q171" s="217"/>
      <c r="R171" s="216"/>
      <c r="S171" s="218"/>
      <c r="T171" s="218"/>
      <c r="U171" s="220">
        <f>IF($A171="","",IF(N($Q171)&gt;0,IF(MOD($Q171,1)=0,$Q171+1-1/1440,$Q171),IF(N($B171)=0,"",$B171+IF(N($AH171)&gt;0,$AH171,IFERROR(INDEX(DM_SLA_Gio,MATCH($J171,DM_SLA_Cap,0)),168))/24)))</f>
      </c>
      <c r="V171" s="221">
        <f>IF($A171="","",IF(N($AJ171)=0,"Mới tiếp nhận",INDEX('Nhật ký tiến độ'!$E:$E,$AJ171)))</f>
      </c>
      <c r="W171" s="222">
        <f>IF($A171="","",IF($V171="Đã xử lý",1,IF(N($AJ171)=0,0,N(INDEX('Nhật ký tiến độ'!$D:$D,$AJ171)))))</f>
      </c>
      <c r="X171" s="222">
        <f>IF(OR($A171="",$V171="Đã xử lý",N($U171)=0,N($B171)=0),"",IF(TDBC&lt;=$B171,0,IF(TDBC&gt;=$U171,1,(TDBC-$B171)/($U171-$B171))))</f>
      </c>
      <c r="Y171" s="223">
        <f>IF($A171="","",IF($V171="Đã xử lý","Hoàn thành",IF(N($U171)=0,"Chưa đặt hạn",IF(TDBC&gt;$U171,"Quá hạn",IF(ROUND((N($X171)-$W171)*100,0)&gt;=20,"Chậm tiến độ",IF($U171-TDBC&lt;=1,"Sắp đến hạn","Đúng tiến độ"))))))</f>
      </c>
      <c r="Z171" s="223">
        <f>IF(OR($A171="",$V171="Đã xử lý",N($U171)=0),"",IF(TDBC&gt;$U171,"Quá "&amp;IF(((TDBC-$U171)*24)&lt;1,MAX(1,ROUND(((TDBC-$U171)*24)*60,0))&amp;" phút",IF(ROUND(((TDBC-$U171)*24),0)&lt;24,ROUND(((TDBC-$U171)*24),0)&amp;" giờ",INT(ROUND(((TDBC-$U171)*24),0)/24)&amp;" ngày"&amp;IF(MOD(ROUND(((TDBC-$U171)*24),0),24)&gt;0," "&amp;MOD(ROUND(((TDBC-$U171)*24),0),24)&amp;" giờ",""))),"Còn "&amp;IF((($U171-TDBC)*24)&lt;1,MAX(1,ROUND((($U171-TDBC)*24)*60,0))&amp;" phút",IF(ROUND((($U171-TDBC)*24),0)&lt;24,ROUND((($U171-TDBC)*24),0)&amp;" giờ",INT(ROUND((($U171-TDBC)*24),0)/24)&amp;" ngày"&amp;IF(MOD(ROUND((($U171-TDBC)*24),0),24)&gt;0," "&amp;MOD(ROUND((($U171-TDBC)*24),0),24)&amp;" giờ","")))))</f>
      </c>
      <c r="AA171" s="220">
        <f>IF($V171="Đã xử lý",_xlfn.MAXIFS('Nhật ký tiến độ'!$B$6:$B$3005,'Nhật ký tiến độ'!$C$6:$C$3005,$A171,'Nhật ký tiến độ'!$E$6:$E$3005,"Đã xử lý"),"")</f>
      </c>
      <c r="AB171" s="223">
        <f>IF($AI171="","",IF($AI171&lt;1,MAX(1,ROUND($AI171*60,0))&amp;" phút",IF(ROUND($AI171,0)&lt;24,ROUND($AI171,0)&amp;" giờ",INT(ROUND($AI171,0)/24)&amp;" ngày"&amp;IF(MOD(ROUND($AI171,0),24)&gt;0," "&amp;MOD(ROUND($AI171,0),24)&amp;" giờ",""))))</f>
      </c>
      <c r="AC171" s="223">
        <f>IF(OR($A171="",N($AH171)=0),"",IF($AI171&lt;&gt;"",IF($AI171&lt;=$AH171,"Trong ước tính","Vượt "&amp;IF(($AI171-$AH171)&lt;1,MAX(1,ROUND(($AI171-$AH171)*60,0))&amp;" phút",IF(ROUND(($AI171-$AH171),0)&lt;24,ROUND(($AI171-$AH171),0)&amp;" giờ",INT(ROUND(($AI171-$AH171),0)/24)&amp;" ngày"&amp;IF(MOD(ROUND(($AI171-$AH171),0),24)&gt;0," "&amp;MOD(ROUND(($AI171-$AH171),0),24)&amp;" giờ","")))),IF(OR($V171="Đã xử lý",N($B171)=0),"",IF((TDBC-$B171)*24&gt;$AH171,"Đã vượt ước tính","Đã dùng "&amp;TEXT((TDBC-$B171)*24/$AH171,"0%")))))</f>
      </c>
      <c r="AD171" s="223">
        <f>IF(N($AO171)=0,"",CHOOSE($AO171,"Nhắc nhở","Cảnh báo","Báo động","Báo động đỏ"))</f>
      </c>
      <c r="AE171" s="223">
        <f>IF(OR(N($AA171)=0,N($U171)=0),"",IF($AA171&lt;=$U171,"Đúng hạn","Trễ hạn"))</f>
      </c>
      <c r="AF171" s="220">
        <f>IF($A171="","",_xlfn.MAXIFS('Nhật ký tiến độ'!$B$6:$B$3005,'Nhật ký tiến độ'!$C$6:$C$3005,$A171))</f>
      </c>
      <c r="AG171" s="223">
        <f>IF($A171="","",IF(COUNTIF('Kế hoạch'!$M$6:$M$305,$A171)=0,"",COUNTIF('Kế hoạch'!$M$6:$M$305,$A171)&amp;" việc"))</f>
      </c>
      <c r="AH171" s="224">
        <f>IF(OR($A171="",N($O171)&lt;=0),"",IF($P171="Giờ",$O171,$O171*24))</f>
      </c>
      <c r="AI171" s="224">
        <f>IF(OR(N($AA171)=0,N($B171)=0),"",IF($AA171&lt;$B171,"",($AA171-$B171)*24))</f>
      </c>
      <c r="AJ171" s="225">
        <f>IF($A171="","",IF(COUNTIF('Nhật ký tiến độ'!$C$6:$C$3005,$A171)=0,0,_xlfn.MAXIFS('Nhật ký tiến độ'!$N$6:$N$3005,'Nhật ký tiến độ'!$C$6:$C$3005,$A171,'Nhật ký tiến độ'!$B$6:$B$3005,_xlfn.MAXIFS('Nhật ký tiến độ'!$B$6:$B$3005,'Nhật ký tiến độ'!$C$6:$C$3005,$A171))))</f>
      </c>
      <c r="AK171" s="225">
        <f>IF(OR($A171="",$V171="Đã xử lý"),"",IF(N($AO171)&gt;0,5-$AO171,IF($J171="Khẩn cấp",5,IF($Y171="Chậm tiến độ",6,IF(OR($Y171="Sắp đến hạn",$J171="Cao"),7,"")))))</f>
      </c>
      <c r="AL171" s="225">
        <f>IF($AK171="","",$AK171*100000+IF(N($U171)=0,99999,INT($U171))+ROW()/100000)</f>
      </c>
      <c r="AM171" s="225">
        <f>IF(OR($A171="",TRIM($K171)="",COUNTIF($K$6:$K171,$K171)&gt;1),0,1)</f>
      </c>
      <c r="AN171" s="225">
        <f>IF($AM171=1,SUM($AM$6:$AM171),"")</f>
      </c>
      <c r="AO171" s="225">
        <f>IF(OR($A171="",$V171="Đã xử lý",N($U171)=0),0,IF(TDBC&lt;=$U171,0,MAX(1,MIN(4,IF((TDBC-$U171)*24&lt;24,1,IF((TDBC-$U171)*24&lt;72,2,IF((TDBC-$U171)*24&lt;168,3,4)))+IFERROR(INDEX({2,1,0,-1},MATCH($J171,{"Khẩn cấp","Cao","Trung bình","Thấp"},0)),0)))))</f>
      </c>
    </row>
    <row r="172">
      <c r="A172" s="216"/>
      <c r="B172" s="217"/>
      <c r="C172" s="218"/>
      <c r="D172" s="218"/>
      <c r="E172" s="218"/>
      <c r="F172" s="218"/>
      <c r="G172" s="216"/>
      <c r="H172" s="218"/>
      <c r="I172" s="218"/>
      <c r="J172" s="216"/>
      <c r="K172" s="218"/>
      <c r="L172" s="218"/>
      <c r="M172" s="218"/>
      <c r="N172" s="218"/>
      <c r="O172" s="219"/>
      <c r="P172" s="216"/>
      <c r="Q172" s="217"/>
      <c r="R172" s="216"/>
      <c r="S172" s="218"/>
      <c r="T172" s="218"/>
      <c r="U172" s="220">
        <f>IF($A172="","",IF(N($Q172)&gt;0,IF(MOD($Q172,1)=0,$Q172+1-1/1440,$Q172),IF(N($B172)=0,"",$B172+IF(N($AH172)&gt;0,$AH172,IFERROR(INDEX(DM_SLA_Gio,MATCH($J172,DM_SLA_Cap,0)),168))/24)))</f>
      </c>
      <c r="V172" s="221">
        <f>IF($A172="","",IF(N($AJ172)=0,"Mới tiếp nhận",INDEX('Nhật ký tiến độ'!$E:$E,$AJ172)))</f>
      </c>
      <c r="W172" s="222">
        <f>IF($A172="","",IF($V172="Đã xử lý",1,IF(N($AJ172)=0,0,N(INDEX('Nhật ký tiến độ'!$D:$D,$AJ172)))))</f>
      </c>
      <c r="X172" s="222">
        <f>IF(OR($A172="",$V172="Đã xử lý",N($U172)=0,N($B172)=0),"",IF(TDBC&lt;=$B172,0,IF(TDBC&gt;=$U172,1,(TDBC-$B172)/($U172-$B172))))</f>
      </c>
      <c r="Y172" s="223">
        <f>IF($A172="","",IF($V172="Đã xử lý","Hoàn thành",IF(N($U172)=0,"Chưa đặt hạn",IF(TDBC&gt;$U172,"Quá hạn",IF(ROUND((N($X172)-$W172)*100,0)&gt;=20,"Chậm tiến độ",IF($U172-TDBC&lt;=1,"Sắp đến hạn","Đúng tiến độ"))))))</f>
      </c>
      <c r="Z172" s="223">
        <f>IF(OR($A172="",$V172="Đã xử lý",N($U172)=0),"",IF(TDBC&gt;$U172,"Quá "&amp;IF(((TDBC-$U172)*24)&lt;1,MAX(1,ROUND(((TDBC-$U172)*24)*60,0))&amp;" phút",IF(ROUND(((TDBC-$U172)*24),0)&lt;24,ROUND(((TDBC-$U172)*24),0)&amp;" giờ",INT(ROUND(((TDBC-$U172)*24),0)/24)&amp;" ngày"&amp;IF(MOD(ROUND(((TDBC-$U172)*24),0),24)&gt;0," "&amp;MOD(ROUND(((TDBC-$U172)*24),0),24)&amp;" giờ",""))),"Còn "&amp;IF((($U172-TDBC)*24)&lt;1,MAX(1,ROUND((($U172-TDBC)*24)*60,0))&amp;" phút",IF(ROUND((($U172-TDBC)*24),0)&lt;24,ROUND((($U172-TDBC)*24),0)&amp;" giờ",INT(ROUND((($U172-TDBC)*24),0)/24)&amp;" ngày"&amp;IF(MOD(ROUND((($U172-TDBC)*24),0),24)&gt;0," "&amp;MOD(ROUND((($U172-TDBC)*24),0),24)&amp;" giờ","")))))</f>
      </c>
      <c r="AA172" s="220">
        <f>IF($V172="Đã xử lý",_xlfn.MAXIFS('Nhật ký tiến độ'!$B$6:$B$3005,'Nhật ký tiến độ'!$C$6:$C$3005,$A172,'Nhật ký tiến độ'!$E$6:$E$3005,"Đã xử lý"),"")</f>
      </c>
      <c r="AB172" s="223">
        <f>IF($AI172="","",IF($AI172&lt;1,MAX(1,ROUND($AI172*60,0))&amp;" phút",IF(ROUND($AI172,0)&lt;24,ROUND($AI172,0)&amp;" giờ",INT(ROUND($AI172,0)/24)&amp;" ngày"&amp;IF(MOD(ROUND($AI172,0),24)&gt;0," "&amp;MOD(ROUND($AI172,0),24)&amp;" giờ",""))))</f>
      </c>
      <c r="AC172" s="223">
        <f>IF(OR($A172="",N($AH172)=0),"",IF($AI172&lt;&gt;"",IF($AI172&lt;=$AH172,"Trong ước tính","Vượt "&amp;IF(($AI172-$AH172)&lt;1,MAX(1,ROUND(($AI172-$AH172)*60,0))&amp;" phút",IF(ROUND(($AI172-$AH172),0)&lt;24,ROUND(($AI172-$AH172),0)&amp;" giờ",INT(ROUND(($AI172-$AH172),0)/24)&amp;" ngày"&amp;IF(MOD(ROUND(($AI172-$AH172),0),24)&gt;0," "&amp;MOD(ROUND(($AI172-$AH172),0),24)&amp;" giờ","")))),IF(OR($V172="Đã xử lý",N($B172)=0),"",IF((TDBC-$B172)*24&gt;$AH172,"Đã vượt ước tính","Đã dùng "&amp;TEXT((TDBC-$B172)*24/$AH172,"0%")))))</f>
      </c>
      <c r="AD172" s="223">
        <f>IF(N($AO172)=0,"",CHOOSE($AO172,"Nhắc nhở","Cảnh báo","Báo động","Báo động đỏ"))</f>
      </c>
      <c r="AE172" s="223">
        <f>IF(OR(N($AA172)=0,N($U172)=0),"",IF($AA172&lt;=$U172,"Đúng hạn","Trễ hạn"))</f>
      </c>
      <c r="AF172" s="220">
        <f>IF($A172="","",_xlfn.MAXIFS('Nhật ký tiến độ'!$B$6:$B$3005,'Nhật ký tiến độ'!$C$6:$C$3005,$A172))</f>
      </c>
      <c r="AG172" s="223">
        <f>IF($A172="","",IF(COUNTIF('Kế hoạch'!$M$6:$M$305,$A172)=0,"",COUNTIF('Kế hoạch'!$M$6:$M$305,$A172)&amp;" việc"))</f>
      </c>
      <c r="AH172" s="224">
        <f>IF(OR($A172="",N($O172)&lt;=0),"",IF($P172="Giờ",$O172,$O172*24))</f>
      </c>
      <c r="AI172" s="224">
        <f>IF(OR(N($AA172)=0,N($B172)=0),"",IF($AA172&lt;$B172,"",($AA172-$B172)*24))</f>
      </c>
      <c r="AJ172" s="225">
        <f>IF($A172="","",IF(COUNTIF('Nhật ký tiến độ'!$C$6:$C$3005,$A172)=0,0,_xlfn.MAXIFS('Nhật ký tiến độ'!$N$6:$N$3005,'Nhật ký tiến độ'!$C$6:$C$3005,$A172,'Nhật ký tiến độ'!$B$6:$B$3005,_xlfn.MAXIFS('Nhật ký tiến độ'!$B$6:$B$3005,'Nhật ký tiến độ'!$C$6:$C$3005,$A172))))</f>
      </c>
      <c r="AK172" s="225">
        <f>IF(OR($A172="",$V172="Đã xử lý"),"",IF(N($AO172)&gt;0,5-$AO172,IF($J172="Khẩn cấp",5,IF($Y172="Chậm tiến độ",6,IF(OR($Y172="Sắp đến hạn",$J172="Cao"),7,"")))))</f>
      </c>
      <c r="AL172" s="225">
        <f>IF($AK172="","",$AK172*100000+IF(N($U172)=0,99999,INT($U172))+ROW()/100000)</f>
      </c>
      <c r="AM172" s="225">
        <f>IF(OR($A172="",TRIM($K172)="",COUNTIF($K$6:$K172,$K172)&gt;1),0,1)</f>
      </c>
      <c r="AN172" s="225">
        <f>IF($AM172=1,SUM($AM$6:$AM172),"")</f>
      </c>
      <c r="AO172" s="225">
        <f>IF(OR($A172="",$V172="Đã xử lý",N($U172)=0),0,IF(TDBC&lt;=$U172,0,MAX(1,MIN(4,IF((TDBC-$U172)*24&lt;24,1,IF((TDBC-$U172)*24&lt;72,2,IF((TDBC-$U172)*24&lt;168,3,4)))+IFERROR(INDEX({2,1,0,-1},MATCH($J172,{"Khẩn cấp","Cao","Trung bình","Thấp"},0)),0)))))</f>
      </c>
    </row>
    <row r="173">
      <c r="A173" s="216"/>
      <c r="B173" s="217"/>
      <c r="C173" s="218"/>
      <c r="D173" s="218"/>
      <c r="E173" s="218"/>
      <c r="F173" s="218"/>
      <c r="G173" s="216"/>
      <c r="H173" s="218"/>
      <c r="I173" s="218"/>
      <c r="J173" s="216"/>
      <c r="K173" s="218"/>
      <c r="L173" s="218"/>
      <c r="M173" s="218"/>
      <c r="N173" s="218"/>
      <c r="O173" s="219"/>
      <c r="P173" s="216"/>
      <c r="Q173" s="217"/>
      <c r="R173" s="216"/>
      <c r="S173" s="218"/>
      <c r="T173" s="218"/>
      <c r="U173" s="220">
        <f>IF($A173="","",IF(N($Q173)&gt;0,IF(MOD($Q173,1)=0,$Q173+1-1/1440,$Q173),IF(N($B173)=0,"",$B173+IF(N($AH173)&gt;0,$AH173,IFERROR(INDEX(DM_SLA_Gio,MATCH($J173,DM_SLA_Cap,0)),168))/24)))</f>
      </c>
      <c r="V173" s="221">
        <f>IF($A173="","",IF(N($AJ173)=0,"Mới tiếp nhận",INDEX('Nhật ký tiến độ'!$E:$E,$AJ173)))</f>
      </c>
      <c r="W173" s="222">
        <f>IF($A173="","",IF($V173="Đã xử lý",1,IF(N($AJ173)=0,0,N(INDEX('Nhật ký tiến độ'!$D:$D,$AJ173)))))</f>
      </c>
      <c r="X173" s="222">
        <f>IF(OR($A173="",$V173="Đã xử lý",N($U173)=0,N($B173)=0),"",IF(TDBC&lt;=$B173,0,IF(TDBC&gt;=$U173,1,(TDBC-$B173)/($U173-$B173))))</f>
      </c>
      <c r="Y173" s="223">
        <f>IF($A173="","",IF($V173="Đã xử lý","Hoàn thành",IF(N($U173)=0,"Chưa đặt hạn",IF(TDBC&gt;$U173,"Quá hạn",IF(ROUND((N($X173)-$W173)*100,0)&gt;=20,"Chậm tiến độ",IF($U173-TDBC&lt;=1,"Sắp đến hạn","Đúng tiến độ"))))))</f>
      </c>
      <c r="Z173" s="223">
        <f>IF(OR($A173="",$V173="Đã xử lý",N($U173)=0),"",IF(TDBC&gt;$U173,"Quá "&amp;IF(((TDBC-$U173)*24)&lt;1,MAX(1,ROUND(((TDBC-$U173)*24)*60,0))&amp;" phút",IF(ROUND(((TDBC-$U173)*24),0)&lt;24,ROUND(((TDBC-$U173)*24),0)&amp;" giờ",INT(ROUND(((TDBC-$U173)*24),0)/24)&amp;" ngày"&amp;IF(MOD(ROUND(((TDBC-$U173)*24),0),24)&gt;0," "&amp;MOD(ROUND(((TDBC-$U173)*24),0),24)&amp;" giờ",""))),"Còn "&amp;IF((($U173-TDBC)*24)&lt;1,MAX(1,ROUND((($U173-TDBC)*24)*60,0))&amp;" phút",IF(ROUND((($U173-TDBC)*24),0)&lt;24,ROUND((($U173-TDBC)*24),0)&amp;" giờ",INT(ROUND((($U173-TDBC)*24),0)/24)&amp;" ngày"&amp;IF(MOD(ROUND((($U173-TDBC)*24),0),24)&gt;0," "&amp;MOD(ROUND((($U173-TDBC)*24),0),24)&amp;" giờ","")))))</f>
      </c>
      <c r="AA173" s="220">
        <f>IF($V173="Đã xử lý",_xlfn.MAXIFS('Nhật ký tiến độ'!$B$6:$B$3005,'Nhật ký tiến độ'!$C$6:$C$3005,$A173,'Nhật ký tiến độ'!$E$6:$E$3005,"Đã xử lý"),"")</f>
      </c>
      <c r="AB173" s="223">
        <f>IF($AI173="","",IF($AI173&lt;1,MAX(1,ROUND($AI173*60,0))&amp;" phút",IF(ROUND($AI173,0)&lt;24,ROUND($AI173,0)&amp;" giờ",INT(ROUND($AI173,0)/24)&amp;" ngày"&amp;IF(MOD(ROUND($AI173,0),24)&gt;0," "&amp;MOD(ROUND($AI173,0),24)&amp;" giờ",""))))</f>
      </c>
      <c r="AC173" s="223">
        <f>IF(OR($A173="",N($AH173)=0),"",IF($AI173&lt;&gt;"",IF($AI173&lt;=$AH173,"Trong ước tính","Vượt "&amp;IF(($AI173-$AH173)&lt;1,MAX(1,ROUND(($AI173-$AH173)*60,0))&amp;" phút",IF(ROUND(($AI173-$AH173),0)&lt;24,ROUND(($AI173-$AH173),0)&amp;" giờ",INT(ROUND(($AI173-$AH173),0)/24)&amp;" ngày"&amp;IF(MOD(ROUND(($AI173-$AH173),0),24)&gt;0," "&amp;MOD(ROUND(($AI173-$AH173),0),24)&amp;" giờ","")))),IF(OR($V173="Đã xử lý",N($B173)=0),"",IF((TDBC-$B173)*24&gt;$AH173,"Đã vượt ước tính","Đã dùng "&amp;TEXT((TDBC-$B173)*24/$AH173,"0%")))))</f>
      </c>
      <c r="AD173" s="223">
        <f>IF(N($AO173)=0,"",CHOOSE($AO173,"Nhắc nhở","Cảnh báo","Báo động","Báo động đỏ"))</f>
      </c>
      <c r="AE173" s="223">
        <f>IF(OR(N($AA173)=0,N($U173)=0),"",IF($AA173&lt;=$U173,"Đúng hạn","Trễ hạn"))</f>
      </c>
      <c r="AF173" s="220">
        <f>IF($A173="","",_xlfn.MAXIFS('Nhật ký tiến độ'!$B$6:$B$3005,'Nhật ký tiến độ'!$C$6:$C$3005,$A173))</f>
      </c>
      <c r="AG173" s="223">
        <f>IF($A173="","",IF(COUNTIF('Kế hoạch'!$M$6:$M$305,$A173)=0,"",COUNTIF('Kế hoạch'!$M$6:$M$305,$A173)&amp;" việc"))</f>
      </c>
      <c r="AH173" s="224">
        <f>IF(OR($A173="",N($O173)&lt;=0),"",IF($P173="Giờ",$O173,$O173*24))</f>
      </c>
      <c r="AI173" s="224">
        <f>IF(OR(N($AA173)=0,N($B173)=0),"",IF($AA173&lt;$B173,"",($AA173-$B173)*24))</f>
      </c>
      <c r="AJ173" s="225">
        <f>IF($A173="","",IF(COUNTIF('Nhật ký tiến độ'!$C$6:$C$3005,$A173)=0,0,_xlfn.MAXIFS('Nhật ký tiến độ'!$N$6:$N$3005,'Nhật ký tiến độ'!$C$6:$C$3005,$A173,'Nhật ký tiến độ'!$B$6:$B$3005,_xlfn.MAXIFS('Nhật ký tiến độ'!$B$6:$B$3005,'Nhật ký tiến độ'!$C$6:$C$3005,$A173))))</f>
      </c>
      <c r="AK173" s="225">
        <f>IF(OR($A173="",$V173="Đã xử lý"),"",IF(N($AO173)&gt;0,5-$AO173,IF($J173="Khẩn cấp",5,IF($Y173="Chậm tiến độ",6,IF(OR($Y173="Sắp đến hạn",$J173="Cao"),7,"")))))</f>
      </c>
      <c r="AL173" s="225">
        <f>IF($AK173="","",$AK173*100000+IF(N($U173)=0,99999,INT($U173))+ROW()/100000)</f>
      </c>
      <c r="AM173" s="225">
        <f>IF(OR($A173="",TRIM($K173)="",COUNTIF($K$6:$K173,$K173)&gt;1),0,1)</f>
      </c>
      <c r="AN173" s="225">
        <f>IF($AM173=1,SUM($AM$6:$AM173),"")</f>
      </c>
      <c r="AO173" s="225">
        <f>IF(OR($A173="",$V173="Đã xử lý",N($U173)=0),0,IF(TDBC&lt;=$U173,0,MAX(1,MIN(4,IF((TDBC-$U173)*24&lt;24,1,IF((TDBC-$U173)*24&lt;72,2,IF((TDBC-$U173)*24&lt;168,3,4)))+IFERROR(INDEX({2,1,0,-1},MATCH($J173,{"Khẩn cấp","Cao","Trung bình","Thấp"},0)),0)))))</f>
      </c>
    </row>
    <row r="174">
      <c r="A174" s="216"/>
      <c r="B174" s="217"/>
      <c r="C174" s="218"/>
      <c r="D174" s="218"/>
      <c r="E174" s="218"/>
      <c r="F174" s="218"/>
      <c r="G174" s="216"/>
      <c r="H174" s="218"/>
      <c r="I174" s="218"/>
      <c r="J174" s="216"/>
      <c r="K174" s="218"/>
      <c r="L174" s="218"/>
      <c r="M174" s="218"/>
      <c r="N174" s="218"/>
      <c r="O174" s="219"/>
      <c r="P174" s="216"/>
      <c r="Q174" s="217"/>
      <c r="R174" s="216"/>
      <c r="S174" s="218"/>
      <c r="T174" s="218"/>
      <c r="U174" s="220">
        <f>IF($A174="","",IF(N($Q174)&gt;0,IF(MOD($Q174,1)=0,$Q174+1-1/1440,$Q174),IF(N($B174)=0,"",$B174+IF(N($AH174)&gt;0,$AH174,IFERROR(INDEX(DM_SLA_Gio,MATCH($J174,DM_SLA_Cap,0)),168))/24)))</f>
      </c>
      <c r="V174" s="221">
        <f>IF($A174="","",IF(N($AJ174)=0,"Mới tiếp nhận",INDEX('Nhật ký tiến độ'!$E:$E,$AJ174)))</f>
      </c>
      <c r="W174" s="222">
        <f>IF($A174="","",IF($V174="Đã xử lý",1,IF(N($AJ174)=0,0,N(INDEX('Nhật ký tiến độ'!$D:$D,$AJ174)))))</f>
      </c>
      <c r="X174" s="222">
        <f>IF(OR($A174="",$V174="Đã xử lý",N($U174)=0,N($B174)=0),"",IF(TDBC&lt;=$B174,0,IF(TDBC&gt;=$U174,1,(TDBC-$B174)/($U174-$B174))))</f>
      </c>
      <c r="Y174" s="223">
        <f>IF($A174="","",IF($V174="Đã xử lý","Hoàn thành",IF(N($U174)=0,"Chưa đặt hạn",IF(TDBC&gt;$U174,"Quá hạn",IF(ROUND((N($X174)-$W174)*100,0)&gt;=20,"Chậm tiến độ",IF($U174-TDBC&lt;=1,"Sắp đến hạn","Đúng tiến độ"))))))</f>
      </c>
      <c r="Z174" s="223">
        <f>IF(OR($A174="",$V174="Đã xử lý",N($U174)=0),"",IF(TDBC&gt;$U174,"Quá "&amp;IF(((TDBC-$U174)*24)&lt;1,MAX(1,ROUND(((TDBC-$U174)*24)*60,0))&amp;" phút",IF(ROUND(((TDBC-$U174)*24),0)&lt;24,ROUND(((TDBC-$U174)*24),0)&amp;" giờ",INT(ROUND(((TDBC-$U174)*24),0)/24)&amp;" ngày"&amp;IF(MOD(ROUND(((TDBC-$U174)*24),0),24)&gt;0," "&amp;MOD(ROUND(((TDBC-$U174)*24),0),24)&amp;" giờ",""))),"Còn "&amp;IF((($U174-TDBC)*24)&lt;1,MAX(1,ROUND((($U174-TDBC)*24)*60,0))&amp;" phút",IF(ROUND((($U174-TDBC)*24),0)&lt;24,ROUND((($U174-TDBC)*24),0)&amp;" giờ",INT(ROUND((($U174-TDBC)*24),0)/24)&amp;" ngày"&amp;IF(MOD(ROUND((($U174-TDBC)*24),0),24)&gt;0," "&amp;MOD(ROUND((($U174-TDBC)*24),0),24)&amp;" giờ","")))))</f>
      </c>
      <c r="AA174" s="220">
        <f>IF($V174="Đã xử lý",_xlfn.MAXIFS('Nhật ký tiến độ'!$B$6:$B$3005,'Nhật ký tiến độ'!$C$6:$C$3005,$A174,'Nhật ký tiến độ'!$E$6:$E$3005,"Đã xử lý"),"")</f>
      </c>
      <c r="AB174" s="223">
        <f>IF($AI174="","",IF($AI174&lt;1,MAX(1,ROUND($AI174*60,0))&amp;" phút",IF(ROUND($AI174,0)&lt;24,ROUND($AI174,0)&amp;" giờ",INT(ROUND($AI174,0)/24)&amp;" ngày"&amp;IF(MOD(ROUND($AI174,0),24)&gt;0," "&amp;MOD(ROUND($AI174,0),24)&amp;" giờ",""))))</f>
      </c>
      <c r="AC174" s="223">
        <f>IF(OR($A174="",N($AH174)=0),"",IF($AI174&lt;&gt;"",IF($AI174&lt;=$AH174,"Trong ước tính","Vượt "&amp;IF(($AI174-$AH174)&lt;1,MAX(1,ROUND(($AI174-$AH174)*60,0))&amp;" phút",IF(ROUND(($AI174-$AH174),0)&lt;24,ROUND(($AI174-$AH174),0)&amp;" giờ",INT(ROUND(($AI174-$AH174),0)/24)&amp;" ngày"&amp;IF(MOD(ROUND(($AI174-$AH174),0),24)&gt;0," "&amp;MOD(ROUND(($AI174-$AH174),0),24)&amp;" giờ","")))),IF(OR($V174="Đã xử lý",N($B174)=0),"",IF((TDBC-$B174)*24&gt;$AH174,"Đã vượt ước tính","Đã dùng "&amp;TEXT((TDBC-$B174)*24/$AH174,"0%")))))</f>
      </c>
      <c r="AD174" s="223">
        <f>IF(N($AO174)=0,"",CHOOSE($AO174,"Nhắc nhở","Cảnh báo","Báo động","Báo động đỏ"))</f>
      </c>
      <c r="AE174" s="223">
        <f>IF(OR(N($AA174)=0,N($U174)=0),"",IF($AA174&lt;=$U174,"Đúng hạn","Trễ hạn"))</f>
      </c>
      <c r="AF174" s="220">
        <f>IF($A174="","",_xlfn.MAXIFS('Nhật ký tiến độ'!$B$6:$B$3005,'Nhật ký tiến độ'!$C$6:$C$3005,$A174))</f>
      </c>
      <c r="AG174" s="223">
        <f>IF($A174="","",IF(COUNTIF('Kế hoạch'!$M$6:$M$305,$A174)=0,"",COUNTIF('Kế hoạch'!$M$6:$M$305,$A174)&amp;" việc"))</f>
      </c>
      <c r="AH174" s="224">
        <f>IF(OR($A174="",N($O174)&lt;=0),"",IF($P174="Giờ",$O174,$O174*24))</f>
      </c>
      <c r="AI174" s="224">
        <f>IF(OR(N($AA174)=0,N($B174)=0),"",IF($AA174&lt;$B174,"",($AA174-$B174)*24))</f>
      </c>
      <c r="AJ174" s="225">
        <f>IF($A174="","",IF(COUNTIF('Nhật ký tiến độ'!$C$6:$C$3005,$A174)=0,0,_xlfn.MAXIFS('Nhật ký tiến độ'!$N$6:$N$3005,'Nhật ký tiến độ'!$C$6:$C$3005,$A174,'Nhật ký tiến độ'!$B$6:$B$3005,_xlfn.MAXIFS('Nhật ký tiến độ'!$B$6:$B$3005,'Nhật ký tiến độ'!$C$6:$C$3005,$A174))))</f>
      </c>
      <c r="AK174" s="225">
        <f>IF(OR($A174="",$V174="Đã xử lý"),"",IF(N($AO174)&gt;0,5-$AO174,IF($J174="Khẩn cấp",5,IF($Y174="Chậm tiến độ",6,IF(OR($Y174="Sắp đến hạn",$J174="Cao"),7,"")))))</f>
      </c>
      <c r="AL174" s="225">
        <f>IF($AK174="","",$AK174*100000+IF(N($U174)=0,99999,INT($U174))+ROW()/100000)</f>
      </c>
      <c r="AM174" s="225">
        <f>IF(OR($A174="",TRIM($K174)="",COUNTIF($K$6:$K174,$K174)&gt;1),0,1)</f>
      </c>
      <c r="AN174" s="225">
        <f>IF($AM174=1,SUM($AM$6:$AM174),"")</f>
      </c>
      <c r="AO174" s="225">
        <f>IF(OR($A174="",$V174="Đã xử lý",N($U174)=0),0,IF(TDBC&lt;=$U174,0,MAX(1,MIN(4,IF((TDBC-$U174)*24&lt;24,1,IF((TDBC-$U174)*24&lt;72,2,IF((TDBC-$U174)*24&lt;168,3,4)))+IFERROR(INDEX({2,1,0,-1},MATCH($J174,{"Khẩn cấp","Cao","Trung bình","Thấp"},0)),0)))))</f>
      </c>
    </row>
    <row r="175">
      <c r="A175" s="216"/>
      <c r="B175" s="217"/>
      <c r="C175" s="218"/>
      <c r="D175" s="218"/>
      <c r="E175" s="218"/>
      <c r="F175" s="218"/>
      <c r="G175" s="216"/>
      <c r="H175" s="218"/>
      <c r="I175" s="218"/>
      <c r="J175" s="216"/>
      <c r="K175" s="218"/>
      <c r="L175" s="218"/>
      <c r="M175" s="218"/>
      <c r="N175" s="218"/>
      <c r="O175" s="219"/>
      <c r="P175" s="216"/>
      <c r="Q175" s="217"/>
      <c r="R175" s="216"/>
      <c r="S175" s="218"/>
      <c r="T175" s="218"/>
      <c r="U175" s="220">
        <f>IF($A175="","",IF(N($Q175)&gt;0,IF(MOD($Q175,1)=0,$Q175+1-1/1440,$Q175),IF(N($B175)=0,"",$B175+IF(N($AH175)&gt;0,$AH175,IFERROR(INDEX(DM_SLA_Gio,MATCH($J175,DM_SLA_Cap,0)),168))/24)))</f>
      </c>
      <c r="V175" s="221">
        <f>IF($A175="","",IF(N($AJ175)=0,"Mới tiếp nhận",INDEX('Nhật ký tiến độ'!$E:$E,$AJ175)))</f>
      </c>
      <c r="W175" s="222">
        <f>IF($A175="","",IF($V175="Đã xử lý",1,IF(N($AJ175)=0,0,N(INDEX('Nhật ký tiến độ'!$D:$D,$AJ175)))))</f>
      </c>
      <c r="X175" s="222">
        <f>IF(OR($A175="",$V175="Đã xử lý",N($U175)=0,N($B175)=0),"",IF(TDBC&lt;=$B175,0,IF(TDBC&gt;=$U175,1,(TDBC-$B175)/($U175-$B175))))</f>
      </c>
      <c r="Y175" s="223">
        <f>IF($A175="","",IF($V175="Đã xử lý","Hoàn thành",IF(N($U175)=0,"Chưa đặt hạn",IF(TDBC&gt;$U175,"Quá hạn",IF(ROUND((N($X175)-$W175)*100,0)&gt;=20,"Chậm tiến độ",IF($U175-TDBC&lt;=1,"Sắp đến hạn","Đúng tiến độ"))))))</f>
      </c>
      <c r="Z175" s="223">
        <f>IF(OR($A175="",$V175="Đã xử lý",N($U175)=0),"",IF(TDBC&gt;$U175,"Quá "&amp;IF(((TDBC-$U175)*24)&lt;1,MAX(1,ROUND(((TDBC-$U175)*24)*60,0))&amp;" phút",IF(ROUND(((TDBC-$U175)*24),0)&lt;24,ROUND(((TDBC-$U175)*24),0)&amp;" giờ",INT(ROUND(((TDBC-$U175)*24),0)/24)&amp;" ngày"&amp;IF(MOD(ROUND(((TDBC-$U175)*24),0),24)&gt;0," "&amp;MOD(ROUND(((TDBC-$U175)*24),0),24)&amp;" giờ",""))),"Còn "&amp;IF((($U175-TDBC)*24)&lt;1,MAX(1,ROUND((($U175-TDBC)*24)*60,0))&amp;" phút",IF(ROUND((($U175-TDBC)*24),0)&lt;24,ROUND((($U175-TDBC)*24),0)&amp;" giờ",INT(ROUND((($U175-TDBC)*24),0)/24)&amp;" ngày"&amp;IF(MOD(ROUND((($U175-TDBC)*24),0),24)&gt;0," "&amp;MOD(ROUND((($U175-TDBC)*24),0),24)&amp;" giờ","")))))</f>
      </c>
      <c r="AA175" s="220">
        <f>IF($V175="Đã xử lý",_xlfn.MAXIFS('Nhật ký tiến độ'!$B$6:$B$3005,'Nhật ký tiến độ'!$C$6:$C$3005,$A175,'Nhật ký tiến độ'!$E$6:$E$3005,"Đã xử lý"),"")</f>
      </c>
      <c r="AB175" s="223">
        <f>IF($AI175="","",IF($AI175&lt;1,MAX(1,ROUND($AI175*60,0))&amp;" phút",IF(ROUND($AI175,0)&lt;24,ROUND($AI175,0)&amp;" giờ",INT(ROUND($AI175,0)/24)&amp;" ngày"&amp;IF(MOD(ROUND($AI175,0),24)&gt;0," "&amp;MOD(ROUND($AI175,0),24)&amp;" giờ",""))))</f>
      </c>
      <c r="AC175" s="223">
        <f>IF(OR($A175="",N($AH175)=0),"",IF($AI175&lt;&gt;"",IF($AI175&lt;=$AH175,"Trong ước tính","Vượt "&amp;IF(($AI175-$AH175)&lt;1,MAX(1,ROUND(($AI175-$AH175)*60,0))&amp;" phút",IF(ROUND(($AI175-$AH175),0)&lt;24,ROUND(($AI175-$AH175),0)&amp;" giờ",INT(ROUND(($AI175-$AH175),0)/24)&amp;" ngày"&amp;IF(MOD(ROUND(($AI175-$AH175),0),24)&gt;0," "&amp;MOD(ROUND(($AI175-$AH175),0),24)&amp;" giờ","")))),IF(OR($V175="Đã xử lý",N($B175)=0),"",IF((TDBC-$B175)*24&gt;$AH175,"Đã vượt ước tính","Đã dùng "&amp;TEXT((TDBC-$B175)*24/$AH175,"0%")))))</f>
      </c>
      <c r="AD175" s="223">
        <f>IF(N($AO175)=0,"",CHOOSE($AO175,"Nhắc nhở","Cảnh báo","Báo động","Báo động đỏ"))</f>
      </c>
      <c r="AE175" s="223">
        <f>IF(OR(N($AA175)=0,N($U175)=0),"",IF($AA175&lt;=$U175,"Đúng hạn","Trễ hạn"))</f>
      </c>
      <c r="AF175" s="220">
        <f>IF($A175="","",_xlfn.MAXIFS('Nhật ký tiến độ'!$B$6:$B$3005,'Nhật ký tiến độ'!$C$6:$C$3005,$A175))</f>
      </c>
      <c r="AG175" s="223">
        <f>IF($A175="","",IF(COUNTIF('Kế hoạch'!$M$6:$M$305,$A175)=0,"",COUNTIF('Kế hoạch'!$M$6:$M$305,$A175)&amp;" việc"))</f>
      </c>
      <c r="AH175" s="224">
        <f>IF(OR($A175="",N($O175)&lt;=0),"",IF($P175="Giờ",$O175,$O175*24))</f>
      </c>
      <c r="AI175" s="224">
        <f>IF(OR(N($AA175)=0,N($B175)=0),"",IF($AA175&lt;$B175,"",($AA175-$B175)*24))</f>
      </c>
      <c r="AJ175" s="225">
        <f>IF($A175="","",IF(COUNTIF('Nhật ký tiến độ'!$C$6:$C$3005,$A175)=0,0,_xlfn.MAXIFS('Nhật ký tiến độ'!$N$6:$N$3005,'Nhật ký tiến độ'!$C$6:$C$3005,$A175,'Nhật ký tiến độ'!$B$6:$B$3005,_xlfn.MAXIFS('Nhật ký tiến độ'!$B$6:$B$3005,'Nhật ký tiến độ'!$C$6:$C$3005,$A175))))</f>
      </c>
      <c r="AK175" s="225">
        <f>IF(OR($A175="",$V175="Đã xử lý"),"",IF(N($AO175)&gt;0,5-$AO175,IF($J175="Khẩn cấp",5,IF($Y175="Chậm tiến độ",6,IF(OR($Y175="Sắp đến hạn",$J175="Cao"),7,"")))))</f>
      </c>
      <c r="AL175" s="225">
        <f>IF($AK175="","",$AK175*100000+IF(N($U175)=0,99999,INT($U175))+ROW()/100000)</f>
      </c>
      <c r="AM175" s="225">
        <f>IF(OR($A175="",TRIM($K175)="",COUNTIF($K$6:$K175,$K175)&gt;1),0,1)</f>
      </c>
      <c r="AN175" s="225">
        <f>IF($AM175=1,SUM($AM$6:$AM175),"")</f>
      </c>
      <c r="AO175" s="225">
        <f>IF(OR($A175="",$V175="Đã xử lý",N($U175)=0),0,IF(TDBC&lt;=$U175,0,MAX(1,MIN(4,IF((TDBC-$U175)*24&lt;24,1,IF((TDBC-$U175)*24&lt;72,2,IF((TDBC-$U175)*24&lt;168,3,4)))+IFERROR(INDEX({2,1,0,-1},MATCH($J175,{"Khẩn cấp","Cao","Trung bình","Thấp"},0)),0)))))</f>
      </c>
    </row>
    <row r="176">
      <c r="A176" s="216"/>
      <c r="B176" s="217"/>
      <c r="C176" s="218"/>
      <c r="D176" s="218"/>
      <c r="E176" s="218"/>
      <c r="F176" s="218"/>
      <c r="G176" s="216"/>
      <c r="H176" s="218"/>
      <c r="I176" s="218"/>
      <c r="J176" s="216"/>
      <c r="K176" s="218"/>
      <c r="L176" s="218"/>
      <c r="M176" s="218"/>
      <c r="N176" s="218"/>
      <c r="O176" s="219"/>
      <c r="P176" s="216"/>
      <c r="Q176" s="217"/>
      <c r="R176" s="216"/>
      <c r="S176" s="218"/>
      <c r="T176" s="218"/>
      <c r="U176" s="220">
        <f>IF($A176="","",IF(N($Q176)&gt;0,IF(MOD($Q176,1)=0,$Q176+1-1/1440,$Q176),IF(N($B176)=0,"",$B176+IF(N($AH176)&gt;0,$AH176,IFERROR(INDEX(DM_SLA_Gio,MATCH($J176,DM_SLA_Cap,0)),168))/24)))</f>
      </c>
      <c r="V176" s="221">
        <f>IF($A176="","",IF(N($AJ176)=0,"Mới tiếp nhận",INDEX('Nhật ký tiến độ'!$E:$E,$AJ176)))</f>
      </c>
      <c r="W176" s="222">
        <f>IF($A176="","",IF($V176="Đã xử lý",1,IF(N($AJ176)=0,0,N(INDEX('Nhật ký tiến độ'!$D:$D,$AJ176)))))</f>
      </c>
      <c r="X176" s="222">
        <f>IF(OR($A176="",$V176="Đã xử lý",N($U176)=0,N($B176)=0),"",IF(TDBC&lt;=$B176,0,IF(TDBC&gt;=$U176,1,(TDBC-$B176)/($U176-$B176))))</f>
      </c>
      <c r="Y176" s="223">
        <f>IF($A176="","",IF($V176="Đã xử lý","Hoàn thành",IF(N($U176)=0,"Chưa đặt hạn",IF(TDBC&gt;$U176,"Quá hạn",IF(ROUND((N($X176)-$W176)*100,0)&gt;=20,"Chậm tiến độ",IF($U176-TDBC&lt;=1,"Sắp đến hạn","Đúng tiến độ"))))))</f>
      </c>
      <c r="Z176" s="223">
        <f>IF(OR($A176="",$V176="Đã xử lý",N($U176)=0),"",IF(TDBC&gt;$U176,"Quá "&amp;IF(((TDBC-$U176)*24)&lt;1,MAX(1,ROUND(((TDBC-$U176)*24)*60,0))&amp;" phút",IF(ROUND(((TDBC-$U176)*24),0)&lt;24,ROUND(((TDBC-$U176)*24),0)&amp;" giờ",INT(ROUND(((TDBC-$U176)*24),0)/24)&amp;" ngày"&amp;IF(MOD(ROUND(((TDBC-$U176)*24),0),24)&gt;0," "&amp;MOD(ROUND(((TDBC-$U176)*24),0),24)&amp;" giờ",""))),"Còn "&amp;IF((($U176-TDBC)*24)&lt;1,MAX(1,ROUND((($U176-TDBC)*24)*60,0))&amp;" phút",IF(ROUND((($U176-TDBC)*24),0)&lt;24,ROUND((($U176-TDBC)*24),0)&amp;" giờ",INT(ROUND((($U176-TDBC)*24),0)/24)&amp;" ngày"&amp;IF(MOD(ROUND((($U176-TDBC)*24),0),24)&gt;0," "&amp;MOD(ROUND((($U176-TDBC)*24),0),24)&amp;" giờ","")))))</f>
      </c>
      <c r="AA176" s="220">
        <f>IF($V176="Đã xử lý",_xlfn.MAXIFS('Nhật ký tiến độ'!$B$6:$B$3005,'Nhật ký tiến độ'!$C$6:$C$3005,$A176,'Nhật ký tiến độ'!$E$6:$E$3005,"Đã xử lý"),"")</f>
      </c>
      <c r="AB176" s="223">
        <f>IF($AI176="","",IF($AI176&lt;1,MAX(1,ROUND($AI176*60,0))&amp;" phút",IF(ROUND($AI176,0)&lt;24,ROUND($AI176,0)&amp;" giờ",INT(ROUND($AI176,0)/24)&amp;" ngày"&amp;IF(MOD(ROUND($AI176,0),24)&gt;0," "&amp;MOD(ROUND($AI176,0),24)&amp;" giờ",""))))</f>
      </c>
      <c r="AC176" s="223">
        <f>IF(OR($A176="",N($AH176)=0),"",IF($AI176&lt;&gt;"",IF($AI176&lt;=$AH176,"Trong ước tính","Vượt "&amp;IF(($AI176-$AH176)&lt;1,MAX(1,ROUND(($AI176-$AH176)*60,0))&amp;" phút",IF(ROUND(($AI176-$AH176),0)&lt;24,ROUND(($AI176-$AH176),0)&amp;" giờ",INT(ROUND(($AI176-$AH176),0)/24)&amp;" ngày"&amp;IF(MOD(ROUND(($AI176-$AH176),0),24)&gt;0," "&amp;MOD(ROUND(($AI176-$AH176),0),24)&amp;" giờ","")))),IF(OR($V176="Đã xử lý",N($B176)=0),"",IF((TDBC-$B176)*24&gt;$AH176,"Đã vượt ước tính","Đã dùng "&amp;TEXT((TDBC-$B176)*24/$AH176,"0%")))))</f>
      </c>
      <c r="AD176" s="223">
        <f>IF(N($AO176)=0,"",CHOOSE($AO176,"Nhắc nhở","Cảnh báo","Báo động","Báo động đỏ"))</f>
      </c>
      <c r="AE176" s="223">
        <f>IF(OR(N($AA176)=0,N($U176)=0),"",IF($AA176&lt;=$U176,"Đúng hạn","Trễ hạn"))</f>
      </c>
      <c r="AF176" s="220">
        <f>IF($A176="","",_xlfn.MAXIFS('Nhật ký tiến độ'!$B$6:$B$3005,'Nhật ký tiến độ'!$C$6:$C$3005,$A176))</f>
      </c>
      <c r="AG176" s="223">
        <f>IF($A176="","",IF(COUNTIF('Kế hoạch'!$M$6:$M$305,$A176)=0,"",COUNTIF('Kế hoạch'!$M$6:$M$305,$A176)&amp;" việc"))</f>
      </c>
      <c r="AH176" s="224">
        <f>IF(OR($A176="",N($O176)&lt;=0),"",IF($P176="Giờ",$O176,$O176*24))</f>
      </c>
      <c r="AI176" s="224">
        <f>IF(OR(N($AA176)=0,N($B176)=0),"",IF($AA176&lt;$B176,"",($AA176-$B176)*24))</f>
      </c>
      <c r="AJ176" s="225">
        <f>IF($A176="","",IF(COUNTIF('Nhật ký tiến độ'!$C$6:$C$3005,$A176)=0,0,_xlfn.MAXIFS('Nhật ký tiến độ'!$N$6:$N$3005,'Nhật ký tiến độ'!$C$6:$C$3005,$A176,'Nhật ký tiến độ'!$B$6:$B$3005,_xlfn.MAXIFS('Nhật ký tiến độ'!$B$6:$B$3005,'Nhật ký tiến độ'!$C$6:$C$3005,$A176))))</f>
      </c>
      <c r="AK176" s="225">
        <f>IF(OR($A176="",$V176="Đã xử lý"),"",IF(N($AO176)&gt;0,5-$AO176,IF($J176="Khẩn cấp",5,IF($Y176="Chậm tiến độ",6,IF(OR($Y176="Sắp đến hạn",$J176="Cao"),7,"")))))</f>
      </c>
      <c r="AL176" s="225">
        <f>IF($AK176="","",$AK176*100000+IF(N($U176)=0,99999,INT($U176))+ROW()/100000)</f>
      </c>
      <c r="AM176" s="225">
        <f>IF(OR($A176="",TRIM($K176)="",COUNTIF($K$6:$K176,$K176)&gt;1),0,1)</f>
      </c>
      <c r="AN176" s="225">
        <f>IF($AM176=1,SUM($AM$6:$AM176),"")</f>
      </c>
      <c r="AO176" s="225">
        <f>IF(OR($A176="",$V176="Đã xử lý",N($U176)=0),0,IF(TDBC&lt;=$U176,0,MAX(1,MIN(4,IF((TDBC-$U176)*24&lt;24,1,IF((TDBC-$U176)*24&lt;72,2,IF((TDBC-$U176)*24&lt;168,3,4)))+IFERROR(INDEX({2,1,0,-1},MATCH($J176,{"Khẩn cấp","Cao","Trung bình","Thấp"},0)),0)))))</f>
      </c>
    </row>
    <row r="177">
      <c r="A177" s="216"/>
      <c r="B177" s="217"/>
      <c r="C177" s="218"/>
      <c r="D177" s="218"/>
      <c r="E177" s="218"/>
      <c r="F177" s="218"/>
      <c r="G177" s="216"/>
      <c r="H177" s="218"/>
      <c r="I177" s="218"/>
      <c r="J177" s="216"/>
      <c r="K177" s="218"/>
      <c r="L177" s="218"/>
      <c r="M177" s="218"/>
      <c r="N177" s="218"/>
      <c r="O177" s="219"/>
      <c r="P177" s="216"/>
      <c r="Q177" s="217"/>
      <c r="R177" s="216"/>
      <c r="S177" s="218"/>
      <c r="T177" s="218"/>
      <c r="U177" s="220">
        <f>IF($A177="","",IF(N($Q177)&gt;0,IF(MOD($Q177,1)=0,$Q177+1-1/1440,$Q177),IF(N($B177)=0,"",$B177+IF(N($AH177)&gt;0,$AH177,IFERROR(INDEX(DM_SLA_Gio,MATCH($J177,DM_SLA_Cap,0)),168))/24)))</f>
      </c>
      <c r="V177" s="221">
        <f>IF($A177="","",IF(N($AJ177)=0,"Mới tiếp nhận",INDEX('Nhật ký tiến độ'!$E:$E,$AJ177)))</f>
      </c>
      <c r="W177" s="222">
        <f>IF($A177="","",IF($V177="Đã xử lý",1,IF(N($AJ177)=0,0,N(INDEX('Nhật ký tiến độ'!$D:$D,$AJ177)))))</f>
      </c>
      <c r="X177" s="222">
        <f>IF(OR($A177="",$V177="Đã xử lý",N($U177)=0,N($B177)=0),"",IF(TDBC&lt;=$B177,0,IF(TDBC&gt;=$U177,1,(TDBC-$B177)/($U177-$B177))))</f>
      </c>
      <c r="Y177" s="223">
        <f>IF($A177="","",IF($V177="Đã xử lý","Hoàn thành",IF(N($U177)=0,"Chưa đặt hạn",IF(TDBC&gt;$U177,"Quá hạn",IF(ROUND((N($X177)-$W177)*100,0)&gt;=20,"Chậm tiến độ",IF($U177-TDBC&lt;=1,"Sắp đến hạn","Đúng tiến độ"))))))</f>
      </c>
      <c r="Z177" s="223">
        <f>IF(OR($A177="",$V177="Đã xử lý",N($U177)=0),"",IF(TDBC&gt;$U177,"Quá "&amp;IF(((TDBC-$U177)*24)&lt;1,MAX(1,ROUND(((TDBC-$U177)*24)*60,0))&amp;" phút",IF(ROUND(((TDBC-$U177)*24),0)&lt;24,ROUND(((TDBC-$U177)*24),0)&amp;" giờ",INT(ROUND(((TDBC-$U177)*24),0)/24)&amp;" ngày"&amp;IF(MOD(ROUND(((TDBC-$U177)*24),0),24)&gt;0," "&amp;MOD(ROUND(((TDBC-$U177)*24),0),24)&amp;" giờ",""))),"Còn "&amp;IF((($U177-TDBC)*24)&lt;1,MAX(1,ROUND((($U177-TDBC)*24)*60,0))&amp;" phút",IF(ROUND((($U177-TDBC)*24),0)&lt;24,ROUND((($U177-TDBC)*24),0)&amp;" giờ",INT(ROUND((($U177-TDBC)*24),0)/24)&amp;" ngày"&amp;IF(MOD(ROUND((($U177-TDBC)*24),0),24)&gt;0," "&amp;MOD(ROUND((($U177-TDBC)*24),0),24)&amp;" giờ","")))))</f>
      </c>
      <c r="AA177" s="220">
        <f>IF($V177="Đã xử lý",_xlfn.MAXIFS('Nhật ký tiến độ'!$B$6:$B$3005,'Nhật ký tiến độ'!$C$6:$C$3005,$A177,'Nhật ký tiến độ'!$E$6:$E$3005,"Đã xử lý"),"")</f>
      </c>
      <c r="AB177" s="223">
        <f>IF($AI177="","",IF($AI177&lt;1,MAX(1,ROUND($AI177*60,0))&amp;" phút",IF(ROUND($AI177,0)&lt;24,ROUND($AI177,0)&amp;" giờ",INT(ROUND($AI177,0)/24)&amp;" ngày"&amp;IF(MOD(ROUND($AI177,0),24)&gt;0," "&amp;MOD(ROUND($AI177,0),24)&amp;" giờ",""))))</f>
      </c>
      <c r="AC177" s="223">
        <f>IF(OR($A177="",N($AH177)=0),"",IF($AI177&lt;&gt;"",IF($AI177&lt;=$AH177,"Trong ước tính","Vượt "&amp;IF(($AI177-$AH177)&lt;1,MAX(1,ROUND(($AI177-$AH177)*60,0))&amp;" phút",IF(ROUND(($AI177-$AH177),0)&lt;24,ROUND(($AI177-$AH177),0)&amp;" giờ",INT(ROUND(($AI177-$AH177),0)/24)&amp;" ngày"&amp;IF(MOD(ROUND(($AI177-$AH177),0),24)&gt;0," "&amp;MOD(ROUND(($AI177-$AH177),0),24)&amp;" giờ","")))),IF(OR($V177="Đã xử lý",N($B177)=0),"",IF((TDBC-$B177)*24&gt;$AH177,"Đã vượt ước tính","Đã dùng "&amp;TEXT((TDBC-$B177)*24/$AH177,"0%")))))</f>
      </c>
      <c r="AD177" s="223">
        <f>IF(N($AO177)=0,"",CHOOSE($AO177,"Nhắc nhở","Cảnh báo","Báo động","Báo động đỏ"))</f>
      </c>
      <c r="AE177" s="223">
        <f>IF(OR(N($AA177)=0,N($U177)=0),"",IF($AA177&lt;=$U177,"Đúng hạn","Trễ hạn"))</f>
      </c>
      <c r="AF177" s="220">
        <f>IF($A177="","",_xlfn.MAXIFS('Nhật ký tiến độ'!$B$6:$B$3005,'Nhật ký tiến độ'!$C$6:$C$3005,$A177))</f>
      </c>
      <c r="AG177" s="223">
        <f>IF($A177="","",IF(COUNTIF('Kế hoạch'!$M$6:$M$305,$A177)=0,"",COUNTIF('Kế hoạch'!$M$6:$M$305,$A177)&amp;" việc"))</f>
      </c>
      <c r="AH177" s="224">
        <f>IF(OR($A177="",N($O177)&lt;=0),"",IF($P177="Giờ",$O177,$O177*24))</f>
      </c>
      <c r="AI177" s="224">
        <f>IF(OR(N($AA177)=0,N($B177)=0),"",IF($AA177&lt;$B177,"",($AA177-$B177)*24))</f>
      </c>
      <c r="AJ177" s="225">
        <f>IF($A177="","",IF(COUNTIF('Nhật ký tiến độ'!$C$6:$C$3005,$A177)=0,0,_xlfn.MAXIFS('Nhật ký tiến độ'!$N$6:$N$3005,'Nhật ký tiến độ'!$C$6:$C$3005,$A177,'Nhật ký tiến độ'!$B$6:$B$3005,_xlfn.MAXIFS('Nhật ký tiến độ'!$B$6:$B$3005,'Nhật ký tiến độ'!$C$6:$C$3005,$A177))))</f>
      </c>
      <c r="AK177" s="225">
        <f>IF(OR($A177="",$V177="Đã xử lý"),"",IF(N($AO177)&gt;0,5-$AO177,IF($J177="Khẩn cấp",5,IF($Y177="Chậm tiến độ",6,IF(OR($Y177="Sắp đến hạn",$J177="Cao"),7,"")))))</f>
      </c>
      <c r="AL177" s="225">
        <f>IF($AK177="","",$AK177*100000+IF(N($U177)=0,99999,INT($U177))+ROW()/100000)</f>
      </c>
      <c r="AM177" s="225">
        <f>IF(OR($A177="",TRIM($K177)="",COUNTIF($K$6:$K177,$K177)&gt;1),0,1)</f>
      </c>
      <c r="AN177" s="225">
        <f>IF($AM177=1,SUM($AM$6:$AM177),"")</f>
      </c>
      <c r="AO177" s="225">
        <f>IF(OR($A177="",$V177="Đã xử lý",N($U177)=0),0,IF(TDBC&lt;=$U177,0,MAX(1,MIN(4,IF((TDBC-$U177)*24&lt;24,1,IF((TDBC-$U177)*24&lt;72,2,IF((TDBC-$U177)*24&lt;168,3,4)))+IFERROR(INDEX({2,1,0,-1},MATCH($J177,{"Khẩn cấp","Cao","Trung bình","Thấp"},0)),0)))))</f>
      </c>
    </row>
    <row r="178">
      <c r="A178" s="216"/>
      <c r="B178" s="217"/>
      <c r="C178" s="218"/>
      <c r="D178" s="218"/>
      <c r="E178" s="218"/>
      <c r="F178" s="218"/>
      <c r="G178" s="216"/>
      <c r="H178" s="218"/>
      <c r="I178" s="218"/>
      <c r="J178" s="216"/>
      <c r="K178" s="218"/>
      <c r="L178" s="218"/>
      <c r="M178" s="218"/>
      <c r="N178" s="218"/>
      <c r="O178" s="219"/>
      <c r="P178" s="216"/>
      <c r="Q178" s="217"/>
      <c r="R178" s="216"/>
      <c r="S178" s="218"/>
      <c r="T178" s="218"/>
      <c r="U178" s="220">
        <f>IF($A178="","",IF(N($Q178)&gt;0,IF(MOD($Q178,1)=0,$Q178+1-1/1440,$Q178),IF(N($B178)=0,"",$B178+IF(N($AH178)&gt;0,$AH178,IFERROR(INDEX(DM_SLA_Gio,MATCH($J178,DM_SLA_Cap,0)),168))/24)))</f>
      </c>
      <c r="V178" s="221">
        <f>IF($A178="","",IF(N($AJ178)=0,"Mới tiếp nhận",INDEX('Nhật ký tiến độ'!$E:$E,$AJ178)))</f>
      </c>
      <c r="W178" s="222">
        <f>IF($A178="","",IF($V178="Đã xử lý",1,IF(N($AJ178)=0,0,N(INDEX('Nhật ký tiến độ'!$D:$D,$AJ178)))))</f>
      </c>
      <c r="X178" s="222">
        <f>IF(OR($A178="",$V178="Đã xử lý",N($U178)=0,N($B178)=0),"",IF(TDBC&lt;=$B178,0,IF(TDBC&gt;=$U178,1,(TDBC-$B178)/($U178-$B178))))</f>
      </c>
      <c r="Y178" s="223">
        <f>IF($A178="","",IF($V178="Đã xử lý","Hoàn thành",IF(N($U178)=0,"Chưa đặt hạn",IF(TDBC&gt;$U178,"Quá hạn",IF(ROUND((N($X178)-$W178)*100,0)&gt;=20,"Chậm tiến độ",IF($U178-TDBC&lt;=1,"Sắp đến hạn","Đúng tiến độ"))))))</f>
      </c>
      <c r="Z178" s="223">
        <f>IF(OR($A178="",$V178="Đã xử lý",N($U178)=0),"",IF(TDBC&gt;$U178,"Quá "&amp;IF(((TDBC-$U178)*24)&lt;1,MAX(1,ROUND(((TDBC-$U178)*24)*60,0))&amp;" phút",IF(ROUND(((TDBC-$U178)*24),0)&lt;24,ROUND(((TDBC-$U178)*24),0)&amp;" giờ",INT(ROUND(((TDBC-$U178)*24),0)/24)&amp;" ngày"&amp;IF(MOD(ROUND(((TDBC-$U178)*24),0),24)&gt;0," "&amp;MOD(ROUND(((TDBC-$U178)*24),0),24)&amp;" giờ",""))),"Còn "&amp;IF((($U178-TDBC)*24)&lt;1,MAX(1,ROUND((($U178-TDBC)*24)*60,0))&amp;" phút",IF(ROUND((($U178-TDBC)*24),0)&lt;24,ROUND((($U178-TDBC)*24),0)&amp;" giờ",INT(ROUND((($U178-TDBC)*24),0)/24)&amp;" ngày"&amp;IF(MOD(ROUND((($U178-TDBC)*24),0),24)&gt;0," "&amp;MOD(ROUND((($U178-TDBC)*24),0),24)&amp;" giờ","")))))</f>
      </c>
      <c r="AA178" s="220">
        <f>IF($V178="Đã xử lý",_xlfn.MAXIFS('Nhật ký tiến độ'!$B$6:$B$3005,'Nhật ký tiến độ'!$C$6:$C$3005,$A178,'Nhật ký tiến độ'!$E$6:$E$3005,"Đã xử lý"),"")</f>
      </c>
      <c r="AB178" s="223">
        <f>IF($AI178="","",IF($AI178&lt;1,MAX(1,ROUND($AI178*60,0))&amp;" phút",IF(ROUND($AI178,0)&lt;24,ROUND($AI178,0)&amp;" giờ",INT(ROUND($AI178,0)/24)&amp;" ngày"&amp;IF(MOD(ROUND($AI178,0),24)&gt;0," "&amp;MOD(ROUND($AI178,0),24)&amp;" giờ",""))))</f>
      </c>
      <c r="AC178" s="223">
        <f>IF(OR($A178="",N($AH178)=0),"",IF($AI178&lt;&gt;"",IF($AI178&lt;=$AH178,"Trong ước tính","Vượt "&amp;IF(($AI178-$AH178)&lt;1,MAX(1,ROUND(($AI178-$AH178)*60,0))&amp;" phút",IF(ROUND(($AI178-$AH178),0)&lt;24,ROUND(($AI178-$AH178),0)&amp;" giờ",INT(ROUND(($AI178-$AH178),0)/24)&amp;" ngày"&amp;IF(MOD(ROUND(($AI178-$AH178),0),24)&gt;0," "&amp;MOD(ROUND(($AI178-$AH178),0),24)&amp;" giờ","")))),IF(OR($V178="Đã xử lý",N($B178)=0),"",IF((TDBC-$B178)*24&gt;$AH178,"Đã vượt ước tính","Đã dùng "&amp;TEXT((TDBC-$B178)*24/$AH178,"0%")))))</f>
      </c>
      <c r="AD178" s="223">
        <f>IF(N($AO178)=0,"",CHOOSE($AO178,"Nhắc nhở","Cảnh báo","Báo động","Báo động đỏ"))</f>
      </c>
      <c r="AE178" s="223">
        <f>IF(OR(N($AA178)=0,N($U178)=0),"",IF($AA178&lt;=$U178,"Đúng hạn","Trễ hạn"))</f>
      </c>
      <c r="AF178" s="220">
        <f>IF($A178="","",_xlfn.MAXIFS('Nhật ký tiến độ'!$B$6:$B$3005,'Nhật ký tiến độ'!$C$6:$C$3005,$A178))</f>
      </c>
      <c r="AG178" s="223">
        <f>IF($A178="","",IF(COUNTIF('Kế hoạch'!$M$6:$M$305,$A178)=0,"",COUNTIF('Kế hoạch'!$M$6:$M$305,$A178)&amp;" việc"))</f>
      </c>
      <c r="AH178" s="224">
        <f>IF(OR($A178="",N($O178)&lt;=0),"",IF($P178="Giờ",$O178,$O178*24))</f>
      </c>
      <c r="AI178" s="224">
        <f>IF(OR(N($AA178)=0,N($B178)=0),"",IF($AA178&lt;$B178,"",($AA178-$B178)*24))</f>
      </c>
      <c r="AJ178" s="225">
        <f>IF($A178="","",IF(COUNTIF('Nhật ký tiến độ'!$C$6:$C$3005,$A178)=0,0,_xlfn.MAXIFS('Nhật ký tiến độ'!$N$6:$N$3005,'Nhật ký tiến độ'!$C$6:$C$3005,$A178,'Nhật ký tiến độ'!$B$6:$B$3005,_xlfn.MAXIFS('Nhật ký tiến độ'!$B$6:$B$3005,'Nhật ký tiến độ'!$C$6:$C$3005,$A178))))</f>
      </c>
      <c r="AK178" s="225">
        <f>IF(OR($A178="",$V178="Đã xử lý"),"",IF(N($AO178)&gt;0,5-$AO178,IF($J178="Khẩn cấp",5,IF($Y178="Chậm tiến độ",6,IF(OR($Y178="Sắp đến hạn",$J178="Cao"),7,"")))))</f>
      </c>
      <c r="AL178" s="225">
        <f>IF($AK178="","",$AK178*100000+IF(N($U178)=0,99999,INT($U178))+ROW()/100000)</f>
      </c>
      <c r="AM178" s="225">
        <f>IF(OR($A178="",TRIM($K178)="",COUNTIF($K$6:$K178,$K178)&gt;1),0,1)</f>
      </c>
      <c r="AN178" s="225">
        <f>IF($AM178=1,SUM($AM$6:$AM178),"")</f>
      </c>
      <c r="AO178" s="225">
        <f>IF(OR($A178="",$V178="Đã xử lý",N($U178)=0),0,IF(TDBC&lt;=$U178,0,MAX(1,MIN(4,IF((TDBC-$U178)*24&lt;24,1,IF((TDBC-$U178)*24&lt;72,2,IF((TDBC-$U178)*24&lt;168,3,4)))+IFERROR(INDEX({2,1,0,-1},MATCH($J178,{"Khẩn cấp","Cao","Trung bình","Thấp"},0)),0)))))</f>
      </c>
    </row>
    <row r="179">
      <c r="A179" s="216"/>
      <c r="B179" s="217"/>
      <c r="C179" s="218"/>
      <c r="D179" s="218"/>
      <c r="E179" s="218"/>
      <c r="F179" s="218"/>
      <c r="G179" s="216"/>
      <c r="H179" s="218"/>
      <c r="I179" s="218"/>
      <c r="J179" s="216"/>
      <c r="K179" s="218"/>
      <c r="L179" s="218"/>
      <c r="M179" s="218"/>
      <c r="N179" s="218"/>
      <c r="O179" s="219"/>
      <c r="P179" s="216"/>
      <c r="Q179" s="217"/>
      <c r="R179" s="216"/>
      <c r="S179" s="218"/>
      <c r="T179" s="218"/>
      <c r="U179" s="220">
        <f>IF($A179="","",IF(N($Q179)&gt;0,IF(MOD($Q179,1)=0,$Q179+1-1/1440,$Q179),IF(N($B179)=0,"",$B179+IF(N($AH179)&gt;0,$AH179,IFERROR(INDEX(DM_SLA_Gio,MATCH($J179,DM_SLA_Cap,0)),168))/24)))</f>
      </c>
      <c r="V179" s="221">
        <f>IF($A179="","",IF(N($AJ179)=0,"Mới tiếp nhận",INDEX('Nhật ký tiến độ'!$E:$E,$AJ179)))</f>
      </c>
      <c r="W179" s="222">
        <f>IF($A179="","",IF($V179="Đã xử lý",1,IF(N($AJ179)=0,0,N(INDEX('Nhật ký tiến độ'!$D:$D,$AJ179)))))</f>
      </c>
      <c r="X179" s="222">
        <f>IF(OR($A179="",$V179="Đã xử lý",N($U179)=0,N($B179)=0),"",IF(TDBC&lt;=$B179,0,IF(TDBC&gt;=$U179,1,(TDBC-$B179)/($U179-$B179))))</f>
      </c>
      <c r="Y179" s="223">
        <f>IF($A179="","",IF($V179="Đã xử lý","Hoàn thành",IF(N($U179)=0,"Chưa đặt hạn",IF(TDBC&gt;$U179,"Quá hạn",IF(ROUND((N($X179)-$W179)*100,0)&gt;=20,"Chậm tiến độ",IF($U179-TDBC&lt;=1,"Sắp đến hạn","Đúng tiến độ"))))))</f>
      </c>
      <c r="Z179" s="223">
        <f>IF(OR($A179="",$V179="Đã xử lý",N($U179)=0),"",IF(TDBC&gt;$U179,"Quá "&amp;IF(((TDBC-$U179)*24)&lt;1,MAX(1,ROUND(((TDBC-$U179)*24)*60,0))&amp;" phút",IF(ROUND(((TDBC-$U179)*24),0)&lt;24,ROUND(((TDBC-$U179)*24),0)&amp;" giờ",INT(ROUND(((TDBC-$U179)*24),0)/24)&amp;" ngày"&amp;IF(MOD(ROUND(((TDBC-$U179)*24),0),24)&gt;0," "&amp;MOD(ROUND(((TDBC-$U179)*24),0),24)&amp;" giờ",""))),"Còn "&amp;IF((($U179-TDBC)*24)&lt;1,MAX(1,ROUND((($U179-TDBC)*24)*60,0))&amp;" phút",IF(ROUND((($U179-TDBC)*24),0)&lt;24,ROUND((($U179-TDBC)*24),0)&amp;" giờ",INT(ROUND((($U179-TDBC)*24),0)/24)&amp;" ngày"&amp;IF(MOD(ROUND((($U179-TDBC)*24),0),24)&gt;0," "&amp;MOD(ROUND((($U179-TDBC)*24),0),24)&amp;" giờ","")))))</f>
      </c>
      <c r="AA179" s="220">
        <f>IF($V179="Đã xử lý",_xlfn.MAXIFS('Nhật ký tiến độ'!$B$6:$B$3005,'Nhật ký tiến độ'!$C$6:$C$3005,$A179,'Nhật ký tiến độ'!$E$6:$E$3005,"Đã xử lý"),"")</f>
      </c>
      <c r="AB179" s="223">
        <f>IF($AI179="","",IF($AI179&lt;1,MAX(1,ROUND($AI179*60,0))&amp;" phút",IF(ROUND($AI179,0)&lt;24,ROUND($AI179,0)&amp;" giờ",INT(ROUND($AI179,0)/24)&amp;" ngày"&amp;IF(MOD(ROUND($AI179,0),24)&gt;0," "&amp;MOD(ROUND($AI179,0),24)&amp;" giờ",""))))</f>
      </c>
      <c r="AC179" s="223">
        <f>IF(OR($A179="",N($AH179)=0),"",IF($AI179&lt;&gt;"",IF($AI179&lt;=$AH179,"Trong ước tính","Vượt "&amp;IF(($AI179-$AH179)&lt;1,MAX(1,ROUND(($AI179-$AH179)*60,0))&amp;" phút",IF(ROUND(($AI179-$AH179),0)&lt;24,ROUND(($AI179-$AH179),0)&amp;" giờ",INT(ROUND(($AI179-$AH179),0)/24)&amp;" ngày"&amp;IF(MOD(ROUND(($AI179-$AH179),0),24)&gt;0," "&amp;MOD(ROUND(($AI179-$AH179),0),24)&amp;" giờ","")))),IF(OR($V179="Đã xử lý",N($B179)=0),"",IF((TDBC-$B179)*24&gt;$AH179,"Đã vượt ước tính","Đã dùng "&amp;TEXT((TDBC-$B179)*24/$AH179,"0%")))))</f>
      </c>
      <c r="AD179" s="223">
        <f>IF(N($AO179)=0,"",CHOOSE($AO179,"Nhắc nhở","Cảnh báo","Báo động","Báo động đỏ"))</f>
      </c>
      <c r="AE179" s="223">
        <f>IF(OR(N($AA179)=0,N($U179)=0),"",IF($AA179&lt;=$U179,"Đúng hạn","Trễ hạn"))</f>
      </c>
      <c r="AF179" s="220">
        <f>IF($A179="","",_xlfn.MAXIFS('Nhật ký tiến độ'!$B$6:$B$3005,'Nhật ký tiến độ'!$C$6:$C$3005,$A179))</f>
      </c>
      <c r="AG179" s="223">
        <f>IF($A179="","",IF(COUNTIF('Kế hoạch'!$M$6:$M$305,$A179)=0,"",COUNTIF('Kế hoạch'!$M$6:$M$305,$A179)&amp;" việc"))</f>
      </c>
      <c r="AH179" s="224">
        <f>IF(OR($A179="",N($O179)&lt;=0),"",IF($P179="Giờ",$O179,$O179*24))</f>
      </c>
      <c r="AI179" s="224">
        <f>IF(OR(N($AA179)=0,N($B179)=0),"",IF($AA179&lt;$B179,"",($AA179-$B179)*24))</f>
      </c>
      <c r="AJ179" s="225">
        <f>IF($A179="","",IF(COUNTIF('Nhật ký tiến độ'!$C$6:$C$3005,$A179)=0,0,_xlfn.MAXIFS('Nhật ký tiến độ'!$N$6:$N$3005,'Nhật ký tiến độ'!$C$6:$C$3005,$A179,'Nhật ký tiến độ'!$B$6:$B$3005,_xlfn.MAXIFS('Nhật ký tiến độ'!$B$6:$B$3005,'Nhật ký tiến độ'!$C$6:$C$3005,$A179))))</f>
      </c>
      <c r="AK179" s="225">
        <f>IF(OR($A179="",$V179="Đã xử lý"),"",IF(N($AO179)&gt;0,5-$AO179,IF($J179="Khẩn cấp",5,IF($Y179="Chậm tiến độ",6,IF(OR($Y179="Sắp đến hạn",$J179="Cao"),7,"")))))</f>
      </c>
      <c r="AL179" s="225">
        <f>IF($AK179="","",$AK179*100000+IF(N($U179)=0,99999,INT($U179))+ROW()/100000)</f>
      </c>
      <c r="AM179" s="225">
        <f>IF(OR($A179="",TRIM($K179)="",COUNTIF($K$6:$K179,$K179)&gt;1),0,1)</f>
      </c>
      <c r="AN179" s="225">
        <f>IF($AM179=1,SUM($AM$6:$AM179),"")</f>
      </c>
      <c r="AO179" s="225">
        <f>IF(OR($A179="",$V179="Đã xử lý",N($U179)=0),0,IF(TDBC&lt;=$U179,0,MAX(1,MIN(4,IF((TDBC-$U179)*24&lt;24,1,IF((TDBC-$U179)*24&lt;72,2,IF((TDBC-$U179)*24&lt;168,3,4)))+IFERROR(INDEX({2,1,0,-1},MATCH($J179,{"Khẩn cấp","Cao","Trung bình","Thấp"},0)),0)))))</f>
      </c>
    </row>
    <row r="180">
      <c r="A180" s="216"/>
      <c r="B180" s="217"/>
      <c r="C180" s="218"/>
      <c r="D180" s="218"/>
      <c r="E180" s="218"/>
      <c r="F180" s="218"/>
      <c r="G180" s="216"/>
      <c r="H180" s="218"/>
      <c r="I180" s="218"/>
      <c r="J180" s="216"/>
      <c r="K180" s="218"/>
      <c r="L180" s="218"/>
      <c r="M180" s="218"/>
      <c r="N180" s="218"/>
      <c r="O180" s="219"/>
      <c r="P180" s="216"/>
      <c r="Q180" s="217"/>
      <c r="R180" s="216"/>
      <c r="S180" s="218"/>
      <c r="T180" s="218"/>
      <c r="U180" s="220">
        <f>IF($A180="","",IF(N($Q180)&gt;0,IF(MOD($Q180,1)=0,$Q180+1-1/1440,$Q180),IF(N($B180)=0,"",$B180+IF(N($AH180)&gt;0,$AH180,IFERROR(INDEX(DM_SLA_Gio,MATCH($J180,DM_SLA_Cap,0)),168))/24)))</f>
      </c>
      <c r="V180" s="221">
        <f>IF($A180="","",IF(N($AJ180)=0,"Mới tiếp nhận",INDEX('Nhật ký tiến độ'!$E:$E,$AJ180)))</f>
      </c>
      <c r="W180" s="222">
        <f>IF($A180="","",IF($V180="Đã xử lý",1,IF(N($AJ180)=0,0,N(INDEX('Nhật ký tiến độ'!$D:$D,$AJ180)))))</f>
      </c>
      <c r="X180" s="222">
        <f>IF(OR($A180="",$V180="Đã xử lý",N($U180)=0,N($B180)=0),"",IF(TDBC&lt;=$B180,0,IF(TDBC&gt;=$U180,1,(TDBC-$B180)/($U180-$B180))))</f>
      </c>
      <c r="Y180" s="223">
        <f>IF($A180="","",IF($V180="Đã xử lý","Hoàn thành",IF(N($U180)=0,"Chưa đặt hạn",IF(TDBC&gt;$U180,"Quá hạn",IF(ROUND((N($X180)-$W180)*100,0)&gt;=20,"Chậm tiến độ",IF($U180-TDBC&lt;=1,"Sắp đến hạn","Đúng tiến độ"))))))</f>
      </c>
      <c r="Z180" s="223">
        <f>IF(OR($A180="",$V180="Đã xử lý",N($U180)=0),"",IF(TDBC&gt;$U180,"Quá "&amp;IF(((TDBC-$U180)*24)&lt;1,MAX(1,ROUND(((TDBC-$U180)*24)*60,0))&amp;" phút",IF(ROUND(((TDBC-$U180)*24),0)&lt;24,ROUND(((TDBC-$U180)*24),0)&amp;" giờ",INT(ROUND(((TDBC-$U180)*24),0)/24)&amp;" ngày"&amp;IF(MOD(ROUND(((TDBC-$U180)*24),0),24)&gt;0," "&amp;MOD(ROUND(((TDBC-$U180)*24),0),24)&amp;" giờ",""))),"Còn "&amp;IF((($U180-TDBC)*24)&lt;1,MAX(1,ROUND((($U180-TDBC)*24)*60,0))&amp;" phút",IF(ROUND((($U180-TDBC)*24),0)&lt;24,ROUND((($U180-TDBC)*24),0)&amp;" giờ",INT(ROUND((($U180-TDBC)*24),0)/24)&amp;" ngày"&amp;IF(MOD(ROUND((($U180-TDBC)*24),0),24)&gt;0," "&amp;MOD(ROUND((($U180-TDBC)*24),0),24)&amp;" giờ","")))))</f>
      </c>
      <c r="AA180" s="220">
        <f>IF($V180="Đã xử lý",_xlfn.MAXIFS('Nhật ký tiến độ'!$B$6:$B$3005,'Nhật ký tiến độ'!$C$6:$C$3005,$A180,'Nhật ký tiến độ'!$E$6:$E$3005,"Đã xử lý"),"")</f>
      </c>
      <c r="AB180" s="223">
        <f>IF($AI180="","",IF($AI180&lt;1,MAX(1,ROUND($AI180*60,0))&amp;" phút",IF(ROUND($AI180,0)&lt;24,ROUND($AI180,0)&amp;" giờ",INT(ROUND($AI180,0)/24)&amp;" ngày"&amp;IF(MOD(ROUND($AI180,0),24)&gt;0," "&amp;MOD(ROUND($AI180,0),24)&amp;" giờ",""))))</f>
      </c>
      <c r="AC180" s="223">
        <f>IF(OR($A180="",N($AH180)=0),"",IF($AI180&lt;&gt;"",IF($AI180&lt;=$AH180,"Trong ước tính","Vượt "&amp;IF(($AI180-$AH180)&lt;1,MAX(1,ROUND(($AI180-$AH180)*60,0))&amp;" phút",IF(ROUND(($AI180-$AH180),0)&lt;24,ROUND(($AI180-$AH180),0)&amp;" giờ",INT(ROUND(($AI180-$AH180),0)/24)&amp;" ngày"&amp;IF(MOD(ROUND(($AI180-$AH180),0),24)&gt;0," "&amp;MOD(ROUND(($AI180-$AH180),0),24)&amp;" giờ","")))),IF(OR($V180="Đã xử lý",N($B180)=0),"",IF((TDBC-$B180)*24&gt;$AH180,"Đã vượt ước tính","Đã dùng "&amp;TEXT((TDBC-$B180)*24/$AH180,"0%")))))</f>
      </c>
      <c r="AD180" s="223">
        <f>IF(N($AO180)=0,"",CHOOSE($AO180,"Nhắc nhở","Cảnh báo","Báo động","Báo động đỏ"))</f>
      </c>
      <c r="AE180" s="223">
        <f>IF(OR(N($AA180)=0,N($U180)=0),"",IF($AA180&lt;=$U180,"Đúng hạn","Trễ hạn"))</f>
      </c>
      <c r="AF180" s="220">
        <f>IF($A180="","",_xlfn.MAXIFS('Nhật ký tiến độ'!$B$6:$B$3005,'Nhật ký tiến độ'!$C$6:$C$3005,$A180))</f>
      </c>
      <c r="AG180" s="223">
        <f>IF($A180="","",IF(COUNTIF('Kế hoạch'!$M$6:$M$305,$A180)=0,"",COUNTIF('Kế hoạch'!$M$6:$M$305,$A180)&amp;" việc"))</f>
      </c>
      <c r="AH180" s="224">
        <f>IF(OR($A180="",N($O180)&lt;=0),"",IF($P180="Giờ",$O180,$O180*24))</f>
      </c>
      <c r="AI180" s="224">
        <f>IF(OR(N($AA180)=0,N($B180)=0),"",IF($AA180&lt;$B180,"",($AA180-$B180)*24))</f>
      </c>
      <c r="AJ180" s="225">
        <f>IF($A180="","",IF(COUNTIF('Nhật ký tiến độ'!$C$6:$C$3005,$A180)=0,0,_xlfn.MAXIFS('Nhật ký tiến độ'!$N$6:$N$3005,'Nhật ký tiến độ'!$C$6:$C$3005,$A180,'Nhật ký tiến độ'!$B$6:$B$3005,_xlfn.MAXIFS('Nhật ký tiến độ'!$B$6:$B$3005,'Nhật ký tiến độ'!$C$6:$C$3005,$A180))))</f>
      </c>
      <c r="AK180" s="225">
        <f>IF(OR($A180="",$V180="Đã xử lý"),"",IF(N($AO180)&gt;0,5-$AO180,IF($J180="Khẩn cấp",5,IF($Y180="Chậm tiến độ",6,IF(OR($Y180="Sắp đến hạn",$J180="Cao"),7,"")))))</f>
      </c>
      <c r="AL180" s="225">
        <f>IF($AK180="","",$AK180*100000+IF(N($U180)=0,99999,INT($U180))+ROW()/100000)</f>
      </c>
      <c r="AM180" s="225">
        <f>IF(OR($A180="",TRIM($K180)="",COUNTIF($K$6:$K180,$K180)&gt;1),0,1)</f>
      </c>
      <c r="AN180" s="225">
        <f>IF($AM180=1,SUM($AM$6:$AM180),"")</f>
      </c>
      <c r="AO180" s="225">
        <f>IF(OR($A180="",$V180="Đã xử lý",N($U180)=0),0,IF(TDBC&lt;=$U180,0,MAX(1,MIN(4,IF((TDBC-$U180)*24&lt;24,1,IF((TDBC-$U180)*24&lt;72,2,IF((TDBC-$U180)*24&lt;168,3,4)))+IFERROR(INDEX({2,1,0,-1},MATCH($J180,{"Khẩn cấp","Cao","Trung bình","Thấp"},0)),0)))))</f>
      </c>
    </row>
    <row r="181">
      <c r="A181" s="216"/>
      <c r="B181" s="217"/>
      <c r="C181" s="218"/>
      <c r="D181" s="218"/>
      <c r="E181" s="218"/>
      <c r="F181" s="218"/>
      <c r="G181" s="216"/>
      <c r="H181" s="218"/>
      <c r="I181" s="218"/>
      <c r="J181" s="216"/>
      <c r="K181" s="218"/>
      <c r="L181" s="218"/>
      <c r="M181" s="218"/>
      <c r="N181" s="218"/>
      <c r="O181" s="219"/>
      <c r="P181" s="216"/>
      <c r="Q181" s="217"/>
      <c r="R181" s="216"/>
      <c r="S181" s="218"/>
      <c r="T181" s="218"/>
      <c r="U181" s="220">
        <f>IF($A181="","",IF(N($Q181)&gt;0,IF(MOD($Q181,1)=0,$Q181+1-1/1440,$Q181),IF(N($B181)=0,"",$B181+IF(N($AH181)&gt;0,$AH181,IFERROR(INDEX(DM_SLA_Gio,MATCH($J181,DM_SLA_Cap,0)),168))/24)))</f>
      </c>
      <c r="V181" s="221">
        <f>IF($A181="","",IF(N($AJ181)=0,"Mới tiếp nhận",INDEX('Nhật ký tiến độ'!$E:$E,$AJ181)))</f>
      </c>
      <c r="W181" s="222">
        <f>IF($A181="","",IF($V181="Đã xử lý",1,IF(N($AJ181)=0,0,N(INDEX('Nhật ký tiến độ'!$D:$D,$AJ181)))))</f>
      </c>
      <c r="X181" s="222">
        <f>IF(OR($A181="",$V181="Đã xử lý",N($U181)=0,N($B181)=0),"",IF(TDBC&lt;=$B181,0,IF(TDBC&gt;=$U181,1,(TDBC-$B181)/($U181-$B181))))</f>
      </c>
      <c r="Y181" s="223">
        <f>IF($A181="","",IF($V181="Đã xử lý","Hoàn thành",IF(N($U181)=0,"Chưa đặt hạn",IF(TDBC&gt;$U181,"Quá hạn",IF(ROUND((N($X181)-$W181)*100,0)&gt;=20,"Chậm tiến độ",IF($U181-TDBC&lt;=1,"Sắp đến hạn","Đúng tiến độ"))))))</f>
      </c>
      <c r="Z181" s="223">
        <f>IF(OR($A181="",$V181="Đã xử lý",N($U181)=0),"",IF(TDBC&gt;$U181,"Quá "&amp;IF(((TDBC-$U181)*24)&lt;1,MAX(1,ROUND(((TDBC-$U181)*24)*60,0))&amp;" phút",IF(ROUND(((TDBC-$U181)*24),0)&lt;24,ROUND(((TDBC-$U181)*24),0)&amp;" giờ",INT(ROUND(((TDBC-$U181)*24),0)/24)&amp;" ngày"&amp;IF(MOD(ROUND(((TDBC-$U181)*24),0),24)&gt;0," "&amp;MOD(ROUND(((TDBC-$U181)*24),0),24)&amp;" giờ",""))),"Còn "&amp;IF((($U181-TDBC)*24)&lt;1,MAX(1,ROUND((($U181-TDBC)*24)*60,0))&amp;" phút",IF(ROUND((($U181-TDBC)*24),0)&lt;24,ROUND((($U181-TDBC)*24),0)&amp;" giờ",INT(ROUND((($U181-TDBC)*24),0)/24)&amp;" ngày"&amp;IF(MOD(ROUND((($U181-TDBC)*24),0),24)&gt;0," "&amp;MOD(ROUND((($U181-TDBC)*24),0),24)&amp;" giờ","")))))</f>
      </c>
      <c r="AA181" s="220">
        <f>IF($V181="Đã xử lý",_xlfn.MAXIFS('Nhật ký tiến độ'!$B$6:$B$3005,'Nhật ký tiến độ'!$C$6:$C$3005,$A181,'Nhật ký tiến độ'!$E$6:$E$3005,"Đã xử lý"),"")</f>
      </c>
      <c r="AB181" s="223">
        <f>IF($AI181="","",IF($AI181&lt;1,MAX(1,ROUND($AI181*60,0))&amp;" phút",IF(ROUND($AI181,0)&lt;24,ROUND($AI181,0)&amp;" giờ",INT(ROUND($AI181,0)/24)&amp;" ngày"&amp;IF(MOD(ROUND($AI181,0),24)&gt;0," "&amp;MOD(ROUND($AI181,0),24)&amp;" giờ",""))))</f>
      </c>
      <c r="AC181" s="223">
        <f>IF(OR($A181="",N($AH181)=0),"",IF($AI181&lt;&gt;"",IF($AI181&lt;=$AH181,"Trong ước tính","Vượt "&amp;IF(($AI181-$AH181)&lt;1,MAX(1,ROUND(($AI181-$AH181)*60,0))&amp;" phút",IF(ROUND(($AI181-$AH181),0)&lt;24,ROUND(($AI181-$AH181),0)&amp;" giờ",INT(ROUND(($AI181-$AH181),0)/24)&amp;" ngày"&amp;IF(MOD(ROUND(($AI181-$AH181),0),24)&gt;0," "&amp;MOD(ROUND(($AI181-$AH181),0),24)&amp;" giờ","")))),IF(OR($V181="Đã xử lý",N($B181)=0),"",IF((TDBC-$B181)*24&gt;$AH181,"Đã vượt ước tính","Đã dùng "&amp;TEXT((TDBC-$B181)*24/$AH181,"0%")))))</f>
      </c>
      <c r="AD181" s="223">
        <f>IF(N($AO181)=0,"",CHOOSE($AO181,"Nhắc nhở","Cảnh báo","Báo động","Báo động đỏ"))</f>
      </c>
      <c r="AE181" s="223">
        <f>IF(OR(N($AA181)=0,N($U181)=0),"",IF($AA181&lt;=$U181,"Đúng hạn","Trễ hạn"))</f>
      </c>
      <c r="AF181" s="220">
        <f>IF($A181="","",_xlfn.MAXIFS('Nhật ký tiến độ'!$B$6:$B$3005,'Nhật ký tiến độ'!$C$6:$C$3005,$A181))</f>
      </c>
      <c r="AG181" s="223">
        <f>IF($A181="","",IF(COUNTIF('Kế hoạch'!$M$6:$M$305,$A181)=0,"",COUNTIF('Kế hoạch'!$M$6:$M$305,$A181)&amp;" việc"))</f>
      </c>
      <c r="AH181" s="224">
        <f>IF(OR($A181="",N($O181)&lt;=0),"",IF($P181="Giờ",$O181,$O181*24))</f>
      </c>
      <c r="AI181" s="224">
        <f>IF(OR(N($AA181)=0,N($B181)=0),"",IF($AA181&lt;$B181,"",($AA181-$B181)*24))</f>
      </c>
      <c r="AJ181" s="225">
        <f>IF($A181="","",IF(COUNTIF('Nhật ký tiến độ'!$C$6:$C$3005,$A181)=0,0,_xlfn.MAXIFS('Nhật ký tiến độ'!$N$6:$N$3005,'Nhật ký tiến độ'!$C$6:$C$3005,$A181,'Nhật ký tiến độ'!$B$6:$B$3005,_xlfn.MAXIFS('Nhật ký tiến độ'!$B$6:$B$3005,'Nhật ký tiến độ'!$C$6:$C$3005,$A181))))</f>
      </c>
      <c r="AK181" s="225">
        <f>IF(OR($A181="",$V181="Đã xử lý"),"",IF(N($AO181)&gt;0,5-$AO181,IF($J181="Khẩn cấp",5,IF($Y181="Chậm tiến độ",6,IF(OR($Y181="Sắp đến hạn",$J181="Cao"),7,"")))))</f>
      </c>
      <c r="AL181" s="225">
        <f>IF($AK181="","",$AK181*100000+IF(N($U181)=0,99999,INT($U181))+ROW()/100000)</f>
      </c>
      <c r="AM181" s="225">
        <f>IF(OR($A181="",TRIM($K181)="",COUNTIF($K$6:$K181,$K181)&gt;1),0,1)</f>
      </c>
      <c r="AN181" s="225">
        <f>IF($AM181=1,SUM($AM$6:$AM181),"")</f>
      </c>
      <c r="AO181" s="225">
        <f>IF(OR($A181="",$V181="Đã xử lý",N($U181)=0),0,IF(TDBC&lt;=$U181,0,MAX(1,MIN(4,IF((TDBC-$U181)*24&lt;24,1,IF((TDBC-$U181)*24&lt;72,2,IF((TDBC-$U181)*24&lt;168,3,4)))+IFERROR(INDEX({2,1,0,-1},MATCH($J181,{"Khẩn cấp","Cao","Trung bình","Thấp"},0)),0)))))</f>
      </c>
    </row>
    <row r="182">
      <c r="A182" s="216"/>
      <c r="B182" s="217"/>
      <c r="C182" s="218"/>
      <c r="D182" s="218"/>
      <c r="E182" s="218"/>
      <c r="F182" s="218"/>
      <c r="G182" s="216"/>
      <c r="H182" s="218"/>
      <c r="I182" s="218"/>
      <c r="J182" s="216"/>
      <c r="K182" s="218"/>
      <c r="L182" s="218"/>
      <c r="M182" s="218"/>
      <c r="N182" s="218"/>
      <c r="O182" s="219"/>
      <c r="P182" s="216"/>
      <c r="Q182" s="217"/>
      <c r="R182" s="216"/>
      <c r="S182" s="218"/>
      <c r="T182" s="218"/>
      <c r="U182" s="220">
        <f>IF($A182="","",IF(N($Q182)&gt;0,IF(MOD($Q182,1)=0,$Q182+1-1/1440,$Q182),IF(N($B182)=0,"",$B182+IF(N($AH182)&gt;0,$AH182,IFERROR(INDEX(DM_SLA_Gio,MATCH($J182,DM_SLA_Cap,0)),168))/24)))</f>
      </c>
      <c r="V182" s="221">
        <f>IF($A182="","",IF(N($AJ182)=0,"Mới tiếp nhận",INDEX('Nhật ký tiến độ'!$E:$E,$AJ182)))</f>
      </c>
      <c r="W182" s="222">
        <f>IF($A182="","",IF($V182="Đã xử lý",1,IF(N($AJ182)=0,0,N(INDEX('Nhật ký tiến độ'!$D:$D,$AJ182)))))</f>
      </c>
      <c r="X182" s="222">
        <f>IF(OR($A182="",$V182="Đã xử lý",N($U182)=0,N($B182)=0),"",IF(TDBC&lt;=$B182,0,IF(TDBC&gt;=$U182,1,(TDBC-$B182)/($U182-$B182))))</f>
      </c>
      <c r="Y182" s="223">
        <f>IF($A182="","",IF($V182="Đã xử lý","Hoàn thành",IF(N($U182)=0,"Chưa đặt hạn",IF(TDBC&gt;$U182,"Quá hạn",IF(ROUND((N($X182)-$W182)*100,0)&gt;=20,"Chậm tiến độ",IF($U182-TDBC&lt;=1,"Sắp đến hạn","Đúng tiến độ"))))))</f>
      </c>
      <c r="Z182" s="223">
        <f>IF(OR($A182="",$V182="Đã xử lý",N($U182)=0),"",IF(TDBC&gt;$U182,"Quá "&amp;IF(((TDBC-$U182)*24)&lt;1,MAX(1,ROUND(((TDBC-$U182)*24)*60,0))&amp;" phút",IF(ROUND(((TDBC-$U182)*24),0)&lt;24,ROUND(((TDBC-$U182)*24),0)&amp;" giờ",INT(ROUND(((TDBC-$U182)*24),0)/24)&amp;" ngày"&amp;IF(MOD(ROUND(((TDBC-$U182)*24),0),24)&gt;0," "&amp;MOD(ROUND(((TDBC-$U182)*24),0),24)&amp;" giờ",""))),"Còn "&amp;IF((($U182-TDBC)*24)&lt;1,MAX(1,ROUND((($U182-TDBC)*24)*60,0))&amp;" phút",IF(ROUND((($U182-TDBC)*24),0)&lt;24,ROUND((($U182-TDBC)*24),0)&amp;" giờ",INT(ROUND((($U182-TDBC)*24),0)/24)&amp;" ngày"&amp;IF(MOD(ROUND((($U182-TDBC)*24),0),24)&gt;0," "&amp;MOD(ROUND((($U182-TDBC)*24),0),24)&amp;" giờ","")))))</f>
      </c>
      <c r="AA182" s="220">
        <f>IF($V182="Đã xử lý",_xlfn.MAXIFS('Nhật ký tiến độ'!$B$6:$B$3005,'Nhật ký tiến độ'!$C$6:$C$3005,$A182,'Nhật ký tiến độ'!$E$6:$E$3005,"Đã xử lý"),"")</f>
      </c>
      <c r="AB182" s="223">
        <f>IF($AI182="","",IF($AI182&lt;1,MAX(1,ROUND($AI182*60,0))&amp;" phút",IF(ROUND($AI182,0)&lt;24,ROUND($AI182,0)&amp;" giờ",INT(ROUND($AI182,0)/24)&amp;" ngày"&amp;IF(MOD(ROUND($AI182,0),24)&gt;0," "&amp;MOD(ROUND($AI182,0),24)&amp;" giờ",""))))</f>
      </c>
      <c r="AC182" s="223">
        <f>IF(OR($A182="",N($AH182)=0),"",IF($AI182&lt;&gt;"",IF($AI182&lt;=$AH182,"Trong ước tính","Vượt "&amp;IF(($AI182-$AH182)&lt;1,MAX(1,ROUND(($AI182-$AH182)*60,0))&amp;" phút",IF(ROUND(($AI182-$AH182),0)&lt;24,ROUND(($AI182-$AH182),0)&amp;" giờ",INT(ROUND(($AI182-$AH182),0)/24)&amp;" ngày"&amp;IF(MOD(ROUND(($AI182-$AH182),0),24)&gt;0," "&amp;MOD(ROUND(($AI182-$AH182),0),24)&amp;" giờ","")))),IF(OR($V182="Đã xử lý",N($B182)=0),"",IF((TDBC-$B182)*24&gt;$AH182,"Đã vượt ước tính","Đã dùng "&amp;TEXT((TDBC-$B182)*24/$AH182,"0%")))))</f>
      </c>
      <c r="AD182" s="223">
        <f>IF(N($AO182)=0,"",CHOOSE($AO182,"Nhắc nhở","Cảnh báo","Báo động","Báo động đỏ"))</f>
      </c>
      <c r="AE182" s="223">
        <f>IF(OR(N($AA182)=0,N($U182)=0),"",IF($AA182&lt;=$U182,"Đúng hạn","Trễ hạn"))</f>
      </c>
      <c r="AF182" s="220">
        <f>IF($A182="","",_xlfn.MAXIFS('Nhật ký tiến độ'!$B$6:$B$3005,'Nhật ký tiến độ'!$C$6:$C$3005,$A182))</f>
      </c>
      <c r="AG182" s="223">
        <f>IF($A182="","",IF(COUNTIF('Kế hoạch'!$M$6:$M$305,$A182)=0,"",COUNTIF('Kế hoạch'!$M$6:$M$305,$A182)&amp;" việc"))</f>
      </c>
      <c r="AH182" s="224">
        <f>IF(OR($A182="",N($O182)&lt;=0),"",IF($P182="Giờ",$O182,$O182*24))</f>
      </c>
      <c r="AI182" s="224">
        <f>IF(OR(N($AA182)=0,N($B182)=0),"",IF($AA182&lt;$B182,"",($AA182-$B182)*24))</f>
      </c>
      <c r="AJ182" s="225">
        <f>IF($A182="","",IF(COUNTIF('Nhật ký tiến độ'!$C$6:$C$3005,$A182)=0,0,_xlfn.MAXIFS('Nhật ký tiến độ'!$N$6:$N$3005,'Nhật ký tiến độ'!$C$6:$C$3005,$A182,'Nhật ký tiến độ'!$B$6:$B$3005,_xlfn.MAXIFS('Nhật ký tiến độ'!$B$6:$B$3005,'Nhật ký tiến độ'!$C$6:$C$3005,$A182))))</f>
      </c>
      <c r="AK182" s="225">
        <f>IF(OR($A182="",$V182="Đã xử lý"),"",IF(N($AO182)&gt;0,5-$AO182,IF($J182="Khẩn cấp",5,IF($Y182="Chậm tiến độ",6,IF(OR($Y182="Sắp đến hạn",$J182="Cao"),7,"")))))</f>
      </c>
      <c r="AL182" s="225">
        <f>IF($AK182="","",$AK182*100000+IF(N($U182)=0,99999,INT($U182))+ROW()/100000)</f>
      </c>
      <c r="AM182" s="225">
        <f>IF(OR($A182="",TRIM($K182)="",COUNTIF($K$6:$K182,$K182)&gt;1),0,1)</f>
      </c>
      <c r="AN182" s="225">
        <f>IF($AM182=1,SUM($AM$6:$AM182),"")</f>
      </c>
      <c r="AO182" s="225">
        <f>IF(OR($A182="",$V182="Đã xử lý",N($U182)=0),0,IF(TDBC&lt;=$U182,0,MAX(1,MIN(4,IF((TDBC-$U182)*24&lt;24,1,IF((TDBC-$U182)*24&lt;72,2,IF((TDBC-$U182)*24&lt;168,3,4)))+IFERROR(INDEX({2,1,0,-1},MATCH($J182,{"Khẩn cấp","Cao","Trung bình","Thấp"},0)),0)))))</f>
      </c>
    </row>
    <row r="183">
      <c r="A183" s="216"/>
      <c r="B183" s="217"/>
      <c r="C183" s="218"/>
      <c r="D183" s="218"/>
      <c r="E183" s="218"/>
      <c r="F183" s="218"/>
      <c r="G183" s="216"/>
      <c r="H183" s="218"/>
      <c r="I183" s="218"/>
      <c r="J183" s="216"/>
      <c r="K183" s="218"/>
      <c r="L183" s="218"/>
      <c r="M183" s="218"/>
      <c r="N183" s="218"/>
      <c r="O183" s="219"/>
      <c r="P183" s="216"/>
      <c r="Q183" s="217"/>
      <c r="R183" s="216"/>
      <c r="S183" s="218"/>
      <c r="T183" s="218"/>
      <c r="U183" s="220">
        <f>IF($A183="","",IF(N($Q183)&gt;0,IF(MOD($Q183,1)=0,$Q183+1-1/1440,$Q183),IF(N($B183)=0,"",$B183+IF(N($AH183)&gt;0,$AH183,IFERROR(INDEX(DM_SLA_Gio,MATCH($J183,DM_SLA_Cap,0)),168))/24)))</f>
      </c>
      <c r="V183" s="221">
        <f>IF($A183="","",IF(N($AJ183)=0,"Mới tiếp nhận",INDEX('Nhật ký tiến độ'!$E:$E,$AJ183)))</f>
      </c>
      <c r="W183" s="222">
        <f>IF($A183="","",IF($V183="Đã xử lý",1,IF(N($AJ183)=0,0,N(INDEX('Nhật ký tiến độ'!$D:$D,$AJ183)))))</f>
      </c>
      <c r="X183" s="222">
        <f>IF(OR($A183="",$V183="Đã xử lý",N($U183)=0,N($B183)=0),"",IF(TDBC&lt;=$B183,0,IF(TDBC&gt;=$U183,1,(TDBC-$B183)/($U183-$B183))))</f>
      </c>
      <c r="Y183" s="223">
        <f>IF($A183="","",IF($V183="Đã xử lý","Hoàn thành",IF(N($U183)=0,"Chưa đặt hạn",IF(TDBC&gt;$U183,"Quá hạn",IF(ROUND((N($X183)-$W183)*100,0)&gt;=20,"Chậm tiến độ",IF($U183-TDBC&lt;=1,"Sắp đến hạn","Đúng tiến độ"))))))</f>
      </c>
      <c r="Z183" s="223">
        <f>IF(OR($A183="",$V183="Đã xử lý",N($U183)=0),"",IF(TDBC&gt;$U183,"Quá "&amp;IF(((TDBC-$U183)*24)&lt;1,MAX(1,ROUND(((TDBC-$U183)*24)*60,0))&amp;" phút",IF(ROUND(((TDBC-$U183)*24),0)&lt;24,ROUND(((TDBC-$U183)*24),0)&amp;" giờ",INT(ROUND(((TDBC-$U183)*24),0)/24)&amp;" ngày"&amp;IF(MOD(ROUND(((TDBC-$U183)*24),0),24)&gt;0," "&amp;MOD(ROUND(((TDBC-$U183)*24),0),24)&amp;" giờ",""))),"Còn "&amp;IF((($U183-TDBC)*24)&lt;1,MAX(1,ROUND((($U183-TDBC)*24)*60,0))&amp;" phút",IF(ROUND((($U183-TDBC)*24),0)&lt;24,ROUND((($U183-TDBC)*24),0)&amp;" giờ",INT(ROUND((($U183-TDBC)*24),0)/24)&amp;" ngày"&amp;IF(MOD(ROUND((($U183-TDBC)*24),0),24)&gt;0," "&amp;MOD(ROUND((($U183-TDBC)*24),0),24)&amp;" giờ","")))))</f>
      </c>
      <c r="AA183" s="220">
        <f>IF($V183="Đã xử lý",_xlfn.MAXIFS('Nhật ký tiến độ'!$B$6:$B$3005,'Nhật ký tiến độ'!$C$6:$C$3005,$A183,'Nhật ký tiến độ'!$E$6:$E$3005,"Đã xử lý"),"")</f>
      </c>
      <c r="AB183" s="223">
        <f>IF($AI183="","",IF($AI183&lt;1,MAX(1,ROUND($AI183*60,0))&amp;" phút",IF(ROUND($AI183,0)&lt;24,ROUND($AI183,0)&amp;" giờ",INT(ROUND($AI183,0)/24)&amp;" ngày"&amp;IF(MOD(ROUND($AI183,0),24)&gt;0," "&amp;MOD(ROUND($AI183,0),24)&amp;" giờ",""))))</f>
      </c>
      <c r="AC183" s="223">
        <f>IF(OR($A183="",N($AH183)=0),"",IF($AI183&lt;&gt;"",IF($AI183&lt;=$AH183,"Trong ước tính","Vượt "&amp;IF(($AI183-$AH183)&lt;1,MAX(1,ROUND(($AI183-$AH183)*60,0))&amp;" phút",IF(ROUND(($AI183-$AH183),0)&lt;24,ROUND(($AI183-$AH183),0)&amp;" giờ",INT(ROUND(($AI183-$AH183),0)/24)&amp;" ngày"&amp;IF(MOD(ROUND(($AI183-$AH183),0),24)&gt;0," "&amp;MOD(ROUND(($AI183-$AH183),0),24)&amp;" giờ","")))),IF(OR($V183="Đã xử lý",N($B183)=0),"",IF((TDBC-$B183)*24&gt;$AH183,"Đã vượt ước tính","Đã dùng "&amp;TEXT((TDBC-$B183)*24/$AH183,"0%")))))</f>
      </c>
      <c r="AD183" s="223">
        <f>IF(N($AO183)=0,"",CHOOSE($AO183,"Nhắc nhở","Cảnh báo","Báo động","Báo động đỏ"))</f>
      </c>
      <c r="AE183" s="223">
        <f>IF(OR(N($AA183)=0,N($U183)=0),"",IF($AA183&lt;=$U183,"Đúng hạn","Trễ hạn"))</f>
      </c>
      <c r="AF183" s="220">
        <f>IF($A183="","",_xlfn.MAXIFS('Nhật ký tiến độ'!$B$6:$B$3005,'Nhật ký tiến độ'!$C$6:$C$3005,$A183))</f>
      </c>
      <c r="AG183" s="223">
        <f>IF($A183="","",IF(COUNTIF('Kế hoạch'!$M$6:$M$305,$A183)=0,"",COUNTIF('Kế hoạch'!$M$6:$M$305,$A183)&amp;" việc"))</f>
      </c>
      <c r="AH183" s="224">
        <f>IF(OR($A183="",N($O183)&lt;=0),"",IF($P183="Giờ",$O183,$O183*24))</f>
      </c>
      <c r="AI183" s="224">
        <f>IF(OR(N($AA183)=0,N($B183)=0),"",IF($AA183&lt;$B183,"",($AA183-$B183)*24))</f>
      </c>
      <c r="AJ183" s="225">
        <f>IF($A183="","",IF(COUNTIF('Nhật ký tiến độ'!$C$6:$C$3005,$A183)=0,0,_xlfn.MAXIFS('Nhật ký tiến độ'!$N$6:$N$3005,'Nhật ký tiến độ'!$C$6:$C$3005,$A183,'Nhật ký tiến độ'!$B$6:$B$3005,_xlfn.MAXIFS('Nhật ký tiến độ'!$B$6:$B$3005,'Nhật ký tiến độ'!$C$6:$C$3005,$A183))))</f>
      </c>
      <c r="AK183" s="225">
        <f>IF(OR($A183="",$V183="Đã xử lý"),"",IF(N($AO183)&gt;0,5-$AO183,IF($J183="Khẩn cấp",5,IF($Y183="Chậm tiến độ",6,IF(OR($Y183="Sắp đến hạn",$J183="Cao"),7,"")))))</f>
      </c>
      <c r="AL183" s="225">
        <f>IF($AK183="","",$AK183*100000+IF(N($U183)=0,99999,INT($U183))+ROW()/100000)</f>
      </c>
      <c r="AM183" s="225">
        <f>IF(OR($A183="",TRIM($K183)="",COUNTIF($K$6:$K183,$K183)&gt;1),0,1)</f>
      </c>
      <c r="AN183" s="225">
        <f>IF($AM183=1,SUM($AM$6:$AM183),"")</f>
      </c>
      <c r="AO183" s="225">
        <f>IF(OR($A183="",$V183="Đã xử lý",N($U183)=0),0,IF(TDBC&lt;=$U183,0,MAX(1,MIN(4,IF((TDBC-$U183)*24&lt;24,1,IF((TDBC-$U183)*24&lt;72,2,IF((TDBC-$U183)*24&lt;168,3,4)))+IFERROR(INDEX({2,1,0,-1},MATCH($J183,{"Khẩn cấp","Cao","Trung bình","Thấp"},0)),0)))))</f>
      </c>
    </row>
    <row r="184">
      <c r="A184" s="216"/>
      <c r="B184" s="217"/>
      <c r="C184" s="218"/>
      <c r="D184" s="218"/>
      <c r="E184" s="218"/>
      <c r="F184" s="218"/>
      <c r="G184" s="216"/>
      <c r="H184" s="218"/>
      <c r="I184" s="218"/>
      <c r="J184" s="216"/>
      <c r="K184" s="218"/>
      <c r="L184" s="218"/>
      <c r="M184" s="218"/>
      <c r="N184" s="218"/>
      <c r="O184" s="219"/>
      <c r="P184" s="216"/>
      <c r="Q184" s="217"/>
      <c r="R184" s="216"/>
      <c r="S184" s="218"/>
      <c r="T184" s="218"/>
      <c r="U184" s="220">
        <f>IF($A184="","",IF(N($Q184)&gt;0,IF(MOD($Q184,1)=0,$Q184+1-1/1440,$Q184),IF(N($B184)=0,"",$B184+IF(N($AH184)&gt;0,$AH184,IFERROR(INDEX(DM_SLA_Gio,MATCH($J184,DM_SLA_Cap,0)),168))/24)))</f>
      </c>
      <c r="V184" s="221">
        <f>IF($A184="","",IF(N($AJ184)=0,"Mới tiếp nhận",INDEX('Nhật ký tiến độ'!$E:$E,$AJ184)))</f>
      </c>
      <c r="W184" s="222">
        <f>IF($A184="","",IF($V184="Đã xử lý",1,IF(N($AJ184)=0,0,N(INDEX('Nhật ký tiến độ'!$D:$D,$AJ184)))))</f>
      </c>
      <c r="X184" s="222">
        <f>IF(OR($A184="",$V184="Đã xử lý",N($U184)=0,N($B184)=0),"",IF(TDBC&lt;=$B184,0,IF(TDBC&gt;=$U184,1,(TDBC-$B184)/($U184-$B184))))</f>
      </c>
      <c r="Y184" s="223">
        <f>IF($A184="","",IF($V184="Đã xử lý","Hoàn thành",IF(N($U184)=0,"Chưa đặt hạn",IF(TDBC&gt;$U184,"Quá hạn",IF(ROUND((N($X184)-$W184)*100,0)&gt;=20,"Chậm tiến độ",IF($U184-TDBC&lt;=1,"Sắp đến hạn","Đúng tiến độ"))))))</f>
      </c>
      <c r="Z184" s="223">
        <f>IF(OR($A184="",$V184="Đã xử lý",N($U184)=0),"",IF(TDBC&gt;$U184,"Quá "&amp;IF(((TDBC-$U184)*24)&lt;1,MAX(1,ROUND(((TDBC-$U184)*24)*60,0))&amp;" phút",IF(ROUND(((TDBC-$U184)*24),0)&lt;24,ROUND(((TDBC-$U184)*24),0)&amp;" giờ",INT(ROUND(((TDBC-$U184)*24),0)/24)&amp;" ngày"&amp;IF(MOD(ROUND(((TDBC-$U184)*24),0),24)&gt;0," "&amp;MOD(ROUND(((TDBC-$U184)*24),0),24)&amp;" giờ",""))),"Còn "&amp;IF((($U184-TDBC)*24)&lt;1,MAX(1,ROUND((($U184-TDBC)*24)*60,0))&amp;" phút",IF(ROUND((($U184-TDBC)*24),0)&lt;24,ROUND((($U184-TDBC)*24),0)&amp;" giờ",INT(ROUND((($U184-TDBC)*24),0)/24)&amp;" ngày"&amp;IF(MOD(ROUND((($U184-TDBC)*24),0),24)&gt;0," "&amp;MOD(ROUND((($U184-TDBC)*24),0),24)&amp;" giờ","")))))</f>
      </c>
      <c r="AA184" s="220">
        <f>IF($V184="Đã xử lý",_xlfn.MAXIFS('Nhật ký tiến độ'!$B$6:$B$3005,'Nhật ký tiến độ'!$C$6:$C$3005,$A184,'Nhật ký tiến độ'!$E$6:$E$3005,"Đã xử lý"),"")</f>
      </c>
      <c r="AB184" s="223">
        <f>IF($AI184="","",IF($AI184&lt;1,MAX(1,ROUND($AI184*60,0))&amp;" phút",IF(ROUND($AI184,0)&lt;24,ROUND($AI184,0)&amp;" giờ",INT(ROUND($AI184,0)/24)&amp;" ngày"&amp;IF(MOD(ROUND($AI184,0),24)&gt;0," "&amp;MOD(ROUND($AI184,0),24)&amp;" giờ",""))))</f>
      </c>
      <c r="AC184" s="223">
        <f>IF(OR($A184="",N($AH184)=0),"",IF($AI184&lt;&gt;"",IF($AI184&lt;=$AH184,"Trong ước tính","Vượt "&amp;IF(($AI184-$AH184)&lt;1,MAX(1,ROUND(($AI184-$AH184)*60,0))&amp;" phút",IF(ROUND(($AI184-$AH184),0)&lt;24,ROUND(($AI184-$AH184),0)&amp;" giờ",INT(ROUND(($AI184-$AH184),0)/24)&amp;" ngày"&amp;IF(MOD(ROUND(($AI184-$AH184),0),24)&gt;0," "&amp;MOD(ROUND(($AI184-$AH184),0),24)&amp;" giờ","")))),IF(OR($V184="Đã xử lý",N($B184)=0),"",IF((TDBC-$B184)*24&gt;$AH184,"Đã vượt ước tính","Đã dùng "&amp;TEXT((TDBC-$B184)*24/$AH184,"0%")))))</f>
      </c>
      <c r="AD184" s="223">
        <f>IF(N($AO184)=0,"",CHOOSE($AO184,"Nhắc nhở","Cảnh báo","Báo động","Báo động đỏ"))</f>
      </c>
      <c r="AE184" s="223">
        <f>IF(OR(N($AA184)=0,N($U184)=0),"",IF($AA184&lt;=$U184,"Đúng hạn","Trễ hạn"))</f>
      </c>
      <c r="AF184" s="220">
        <f>IF($A184="","",_xlfn.MAXIFS('Nhật ký tiến độ'!$B$6:$B$3005,'Nhật ký tiến độ'!$C$6:$C$3005,$A184))</f>
      </c>
      <c r="AG184" s="223">
        <f>IF($A184="","",IF(COUNTIF('Kế hoạch'!$M$6:$M$305,$A184)=0,"",COUNTIF('Kế hoạch'!$M$6:$M$305,$A184)&amp;" việc"))</f>
      </c>
      <c r="AH184" s="224">
        <f>IF(OR($A184="",N($O184)&lt;=0),"",IF($P184="Giờ",$O184,$O184*24))</f>
      </c>
      <c r="AI184" s="224">
        <f>IF(OR(N($AA184)=0,N($B184)=0),"",IF($AA184&lt;$B184,"",($AA184-$B184)*24))</f>
      </c>
      <c r="AJ184" s="225">
        <f>IF($A184="","",IF(COUNTIF('Nhật ký tiến độ'!$C$6:$C$3005,$A184)=0,0,_xlfn.MAXIFS('Nhật ký tiến độ'!$N$6:$N$3005,'Nhật ký tiến độ'!$C$6:$C$3005,$A184,'Nhật ký tiến độ'!$B$6:$B$3005,_xlfn.MAXIFS('Nhật ký tiến độ'!$B$6:$B$3005,'Nhật ký tiến độ'!$C$6:$C$3005,$A184))))</f>
      </c>
      <c r="AK184" s="225">
        <f>IF(OR($A184="",$V184="Đã xử lý"),"",IF(N($AO184)&gt;0,5-$AO184,IF($J184="Khẩn cấp",5,IF($Y184="Chậm tiến độ",6,IF(OR($Y184="Sắp đến hạn",$J184="Cao"),7,"")))))</f>
      </c>
      <c r="AL184" s="225">
        <f>IF($AK184="","",$AK184*100000+IF(N($U184)=0,99999,INT($U184))+ROW()/100000)</f>
      </c>
      <c r="AM184" s="225">
        <f>IF(OR($A184="",TRIM($K184)="",COUNTIF($K$6:$K184,$K184)&gt;1),0,1)</f>
      </c>
      <c r="AN184" s="225">
        <f>IF($AM184=1,SUM($AM$6:$AM184),"")</f>
      </c>
      <c r="AO184" s="225">
        <f>IF(OR($A184="",$V184="Đã xử lý",N($U184)=0),0,IF(TDBC&lt;=$U184,0,MAX(1,MIN(4,IF((TDBC-$U184)*24&lt;24,1,IF((TDBC-$U184)*24&lt;72,2,IF((TDBC-$U184)*24&lt;168,3,4)))+IFERROR(INDEX({2,1,0,-1},MATCH($J184,{"Khẩn cấp","Cao","Trung bình","Thấp"},0)),0)))))</f>
      </c>
    </row>
    <row r="185">
      <c r="A185" s="216"/>
      <c r="B185" s="217"/>
      <c r="C185" s="218"/>
      <c r="D185" s="218"/>
      <c r="E185" s="218"/>
      <c r="F185" s="218"/>
      <c r="G185" s="216"/>
      <c r="H185" s="218"/>
      <c r="I185" s="218"/>
      <c r="J185" s="216"/>
      <c r="K185" s="218"/>
      <c r="L185" s="218"/>
      <c r="M185" s="218"/>
      <c r="N185" s="218"/>
      <c r="O185" s="219"/>
      <c r="P185" s="216"/>
      <c r="Q185" s="217"/>
      <c r="R185" s="216"/>
      <c r="S185" s="218"/>
      <c r="T185" s="218"/>
      <c r="U185" s="220">
        <f>IF($A185="","",IF(N($Q185)&gt;0,IF(MOD($Q185,1)=0,$Q185+1-1/1440,$Q185),IF(N($B185)=0,"",$B185+IF(N($AH185)&gt;0,$AH185,IFERROR(INDEX(DM_SLA_Gio,MATCH($J185,DM_SLA_Cap,0)),168))/24)))</f>
      </c>
      <c r="V185" s="221">
        <f>IF($A185="","",IF(N($AJ185)=0,"Mới tiếp nhận",INDEX('Nhật ký tiến độ'!$E:$E,$AJ185)))</f>
      </c>
      <c r="W185" s="222">
        <f>IF($A185="","",IF($V185="Đã xử lý",1,IF(N($AJ185)=0,0,N(INDEX('Nhật ký tiến độ'!$D:$D,$AJ185)))))</f>
      </c>
      <c r="X185" s="222">
        <f>IF(OR($A185="",$V185="Đã xử lý",N($U185)=0,N($B185)=0),"",IF(TDBC&lt;=$B185,0,IF(TDBC&gt;=$U185,1,(TDBC-$B185)/($U185-$B185))))</f>
      </c>
      <c r="Y185" s="223">
        <f>IF($A185="","",IF($V185="Đã xử lý","Hoàn thành",IF(N($U185)=0,"Chưa đặt hạn",IF(TDBC&gt;$U185,"Quá hạn",IF(ROUND((N($X185)-$W185)*100,0)&gt;=20,"Chậm tiến độ",IF($U185-TDBC&lt;=1,"Sắp đến hạn","Đúng tiến độ"))))))</f>
      </c>
      <c r="Z185" s="223">
        <f>IF(OR($A185="",$V185="Đã xử lý",N($U185)=0),"",IF(TDBC&gt;$U185,"Quá "&amp;IF(((TDBC-$U185)*24)&lt;1,MAX(1,ROUND(((TDBC-$U185)*24)*60,0))&amp;" phút",IF(ROUND(((TDBC-$U185)*24),0)&lt;24,ROUND(((TDBC-$U185)*24),0)&amp;" giờ",INT(ROUND(((TDBC-$U185)*24),0)/24)&amp;" ngày"&amp;IF(MOD(ROUND(((TDBC-$U185)*24),0),24)&gt;0," "&amp;MOD(ROUND(((TDBC-$U185)*24),0),24)&amp;" giờ",""))),"Còn "&amp;IF((($U185-TDBC)*24)&lt;1,MAX(1,ROUND((($U185-TDBC)*24)*60,0))&amp;" phút",IF(ROUND((($U185-TDBC)*24),0)&lt;24,ROUND((($U185-TDBC)*24),0)&amp;" giờ",INT(ROUND((($U185-TDBC)*24),0)/24)&amp;" ngày"&amp;IF(MOD(ROUND((($U185-TDBC)*24),0),24)&gt;0," "&amp;MOD(ROUND((($U185-TDBC)*24),0),24)&amp;" giờ","")))))</f>
      </c>
      <c r="AA185" s="220">
        <f>IF($V185="Đã xử lý",_xlfn.MAXIFS('Nhật ký tiến độ'!$B$6:$B$3005,'Nhật ký tiến độ'!$C$6:$C$3005,$A185,'Nhật ký tiến độ'!$E$6:$E$3005,"Đã xử lý"),"")</f>
      </c>
      <c r="AB185" s="223">
        <f>IF($AI185="","",IF($AI185&lt;1,MAX(1,ROUND($AI185*60,0))&amp;" phút",IF(ROUND($AI185,0)&lt;24,ROUND($AI185,0)&amp;" giờ",INT(ROUND($AI185,0)/24)&amp;" ngày"&amp;IF(MOD(ROUND($AI185,0),24)&gt;0," "&amp;MOD(ROUND($AI185,0),24)&amp;" giờ",""))))</f>
      </c>
      <c r="AC185" s="223">
        <f>IF(OR($A185="",N($AH185)=0),"",IF($AI185&lt;&gt;"",IF($AI185&lt;=$AH185,"Trong ước tính","Vượt "&amp;IF(($AI185-$AH185)&lt;1,MAX(1,ROUND(($AI185-$AH185)*60,0))&amp;" phút",IF(ROUND(($AI185-$AH185),0)&lt;24,ROUND(($AI185-$AH185),0)&amp;" giờ",INT(ROUND(($AI185-$AH185),0)/24)&amp;" ngày"&amp;IF(MOD(ROUND(($AI185-$AH185),0),24)&gt;0," "&amp;MOD(ROUND(($AI185-$AH185),0),24)&amp;" giờ","")))),IF(OR($V185="Đã xử lý",N($B185)=0),"",IF((TDBC-$B185)*24&gt;$AH185,"Đã vượt ước tính","Đã dùng "&amp;TEXT((TDBC-$B185)*24/$AH185,"0%")))))</f>
      </c>
      <c r="AD185" s="223">
        <f>IF(N($AO185)=0,"",CHOOSE($AO185,"Nhắc nhở","Cảnh báo","Báo động","Báo động đỏ"))</f>
      </c>
      <c r="AE185" s="223">
        <f>IF(OR(N($AA185)=0,N($U185)=0),"",IF($AA185&lt;=$U185,"Đúng hạn","Trễ hạn"))</f>
      </c>
      <c r="AF185" s="220">
        <f>IF($A185="","",_xlfn.MAXIFS('Nhật ký tiến độ'!$B$6:$B$3005,'Nhật ký tiến độ'!$C$6:$C$3005,$A185))</f>
      </c>
      <c r="AG185" s="223">
        <f>IF($A185="","",IF(COUNTIF('Kế hoạch'!$M$6:$M$305,$A185)=0,"",COUNTIF('Kế hoạch'!$M$6:$M$305,$A185)&amp;" việc"))</f>
      </c>
      <c r="AH185" s="224">
        <f>IF(OR($A185="",N($O185)&lt;=0),"",IF($P185="Giờ",$O185,$O185*24))</f>
      </c>
      <c r="AI185" s="224">
        <f>IF(OR(N($AA185)=0,N($B185)=0),"",IF($AA185&lt;$B185,"",($AA185-$B185)*24))</f>
      </c>
      <c r="AJ185" s="225">
        <f>IF($A185="","",IF(COUNTIF('Nhật ký tiến độ'!$C$6:$C$3005,$A185)=0,0,_xlfn.MAXIFS('Nhật ký tiến độ'!$N$6:$N$3005,'Nhật ký tiến độ'!$C$6:$C$3005,$A185,'Nhật ký tiến độ'!$B$6:$B$3005,_xlfn.MAXIFS('Nhật ký tiến độ'!$B$6:$B$3005,'Nhật ký tiến độ'!$C$6:$C$3005,$A185))))</f>
      </c>
      <c r="AK185" s="225">
        <f>IF(OR($A185="",$V185="Đã xử lý"),"",IF(N($AO185)&gt;0,5-$AO185,IF($J185="Khẩn cấp",5,IF($Y185="Chậm tiến độ",6,IF(OR($Y185="Sắp đến hạn",$J185="Cao"),7,"")))))</f>
      </c>
      <c r="AL185" s="225">
        <f>IF($AK185="","",$AK185*100000+IF(N($U185)=0,99999,INT($U185))+ROW()/100000)</f>
      </c>
      <c r="AM185" s="225">
        <f>IF(OR($A185="",TRIM($K185)="",COUNTIF($K$6:$K185,$K185)&gt;1),0,1)</f>
      </c>
      <c r="AN185" s="225">
        <f>IF($AM185=1,SUM($AM$6:$AM185),"")</f>
      </c>
      <c r="AO185" s="225">
        <f>IF(OR($A185="",$V185="Đã xử lý",N($U185)=0),0,IF(TDBC&lt;=$U185,0,MAX(1,MIN(4,IF((TDBC-$U185)*24&lt;24,1,IF((TDBC-$U185)*24&lt;72,2,IF((TDBC-$U185)*24&lt;168,3,4)))+IFERROR(INDEX({2,1,0,-1},MATCH($J185,{"Khẩn cấp","Cao","Trung bình","Thấp"},0)),0)))))</f>
      </c>
    </row>
    <row r="186">
      <c r="A186" s="216"/>
      <c r="B186" s="217"/>
      <c r="C186" s="218"/>
      <c r="D186" s="218"/>
      <c r="E186" s="218"/>
      <c r="F186" s="218"/>
      <c r="G186" s="216"/>
      <c r="H186" s="218"/>
      <c r="I186" s="218"/>
      <c r="J186" s="216"/>
      <c r="K186" s="218"/>
      <c r="L186" s="218"/>
      <c r="M186" s="218"/>
      <c r="N186" s="218"/>
      <c r="O186" s="219"/>
      <c r="P186" s="216"/>
      <c r="Q186" s="217"/>
      <c r="R186" s="216"/>
      <c r="S186" s="218"/>
      <c r="T186" s="218"/>
      <c r="U186" s="220">
        <f>IF($A186="","",IF(N($Q186)&gt;0,IF(MOD($Q186,1)=0,$Q186+1-1/1440,$Q186),IF(N($B186)=0,"",$B186+IF(N($AH186)&gt;0,$AH186,IFERROR(INDEX(DM_SLA_Gio,MATCH($J186,DM_SLA_Cap,0)),168))/24)))</f>
      </c>
      <c r="V186" s="221">
        <f>IF($A186="","",IF(N($AJ186)=0,"Mới tiếp nhận",INDEX('Nhật ký tiến độ'!$E:$E,$AJ186)))</f>
      </c>
      <c r="W186" s="222">
        <f>IF($A186="","",IF($V186="Đã xử lý",1,IF(N($AJ186)=0,0,N(INDEX('Nhật ký tiến độ'!$D:$D,$AJ186)))))</f>
      </c>
      <c r="X186" s="222">
        <f>IF(OR($A186="",$V186="Đã xử lý",N($U186)=0,N($B186)=0),"",IF(TDBC&lt;=$B186,0,IF(TDBC&gt;=$U186,1,(TDBC-$B186)/($U186-$B186))))</f>
      </c>
      <c r="Y186" s="223">
        <f>IF($A186="","",IF($V186="Đã xử lý","Hoàn thành",IF(N($U186)=0,"Chưa đặt hạn",IF(TDBC&gt;$U186,"Quá hạn",IF(ROUND((N($X186)-$W186)*100,0)&gt;=20,"Chậm tiến độ",IF($U186-TDBC&lt;=1,"Sắp đến hạn","Đúng tiến độ"))))))</f>
      </c>
      <c r="Z186" s="223">
        <f>IF(OR($A186="",$V186="Đã xử lý",N($U186)=0),"",IF(TDBC&gt;$U186,"Quá "&amp;IF(((TDBC-$U186)*24)&lt;1,MAX(1,ROUND(((TDBC-$U186)*24)*60,0))&amp;" phút",IF(ROUND(((TDBC-$U186)*24),0)&lt;24,ROUND(((TDBC-$U186)*24),0)&amp;" giờ",INT(ROUND(((TDBC-$U186)*24),0)/24)&amp;" ngày"&amp;IF(MOD(ROUND(((TDBC-$U186)*24),0),24)&gt;0," "&amp;MOD(ROUND(((TDBC-$U186)*24),0),24)&amp;" giờ",""))),"Còn "&amp;IF((($U186-TDBC)*24)&lt;1,MAX(1,ROUND((($U186-TDBC)*24)*60,0))&amp;" phút",IF(ROUND((($U186-TDBC)*24),0)&lt;24,ROUND((($U186-TDBC)*24),0)&amp;" giờ",INT(ROUND((($U186-TDBC)*24),0)/24)&amp;" ngày"&amp;IF(MOD(ROUND((($U186-TDBC)*24),0),24)&gt;0," "&amp;MOD(ROUND((($U186-TDBC)*24),0),24)&amp;" giờ","")))))</f>
      </c>
      <c r="AA186" s="220">
        <f>IF($V186="Đã xử lý",_xlfn.MAXIFS('Nhật ký tiến độ'!$B$6:$B$3005,'Nhật ký tiến độ'!$C$6:$C$3005,$A186,'Nhật ký tiến độ'!$E$6:$E$3005,"Đã xử lý"),"")</f>
      </c>
      <c r="AB186" s="223">
        <f>IF($AI186="","",IF($AI186&lt;1,MAX(1,ROUND($AI186*60,0))&amp;" phút",IF(ROUND($AI186,0)&lt;24,ROUND($AI186,0)&amp;" giờ",INT(ROUND($AI186,0)/24)&amp;" ngày"&amp;IF(MOD(ROUND($AI186,0),24)&gt;0," "&amp;MOD(ROUND($AI186,0),24)&amp;" giờ",""))))</f>
      </c>
      <c r="AC186" s="223">
        <f>IF(OR($A186="",N($AH186)=0),"",IF($AI186&lt;&gt;"",IF($AI186&lt;=$AH186,"Trong ước tính","Vượt "&amp;IF(($AI186-$AH186)&lt;1,MAX(1,ROUND(($AI186-$AH186)*60,0))&amp;" phút",IF(ROUND(($AI186-$AH186),0)&lt;24,ROUND(($AI186-$AH186),0)&amp;" giờ",INT(ROUND(($AI186-$AH186),0)/24)&amp;" ngày"&amp;IF(MOD(ROUND(($AI186-$AH186),0),24)&gt;0," "&amp;MOD(ROUND(($AI186-$AH186),0),24)&amp;" giờ","")))),IF(OR($V186="Đã xử lý",N($B186)=0),"",IF((TDBC-$B186)*24&gt;$AH186,"Đã vượt ước tính","Đã dùng "&amp;TEXT((TDBC-$B186)*24/$AH186,"0%")))))</f>
      </c>
      <c r="AD186" s="223">
        <f>IF(N($AO186)=0,"",CHOOSE($AO186,"Nhắc nhở","Cảnh báo","Báo động","Báo động đỏ"))</f>
      </c>
      <c r="AE186" s="223">
        <f>IF(OR(N($AA186)=0,N($U186)=0),"",IF($AA186&lt;=$U186,"Đúng hạn","Trễ hạn"))</f>
      </c>
      <c r="AF186" s="220">
        <f>IF($A186="","",_xlfn.MAXIFS('Nhật ký tiến độ'!$B$6:$B$3005,'Nhật ký tiến độ'!$C$6:$C$3005,$A186))</f>
      </c>
      <c r="AG186" s="223">
        <f>IF($A186="","",IF(COUNTIF('Kế hoạch'!$M$6:$M$305,$A186)=0,"",COUNTIF('Kế hoạch'!$M$6:$M$305,$A186)&amp;" việc"))</f>
      </c>
      <c r="AH186" s="224">
        <f>IF(OR($A186="",N($O186)&lt;=0),"",IF($P186="Giờ",$O186,$O186*24))</f>
      </c>
      <c r="AI186" s="224">
        <f>IF(OR(N($AA186)=0,N($B186)=0),"",IF($AA186&lt;$B186,"",($AA186-$B186)*24))</f>
      </c>
      <c r="AJ186" s="225">
        <f>IF($A186="","",IF(COUNTIF('Nhật ký tiến độ'!$C$6:$C$3005,$A186)=0,0,_xlfn.MAXIFS('Nhật ký tiến độ'!$N$6:$N$3005,'Nhật ký tiến độ'!$C$6:$C$3005,$A186,'Nhật ký tiến độ'!$B$6:$B$3005,_xlfn.MAXIFS('Nhật ký tiến độ'!$B$6:$B$3005,'Nhật ký tiến độ'!$C$6:$C$3005,$A186))))</f>
      </c>
      <c r="AK186" s="225">
        <f>IF(OR($A186="",$V186="Đã xử lý"),"",IF(N($AO186)&gt;0,5-$AO186,IF($J186="Khẩn cấp",5,IF($Y186="Chậm tiến độ",6,IF(OR($Y186="Sắp đến hạn",$J186="Cao"),7,"")))))</f>
      </c>
      <c r="AL186" s="225">
        <f>IF($AK186="","",$AK186*100000+IF(N($U186)=0,99999,INT($U186))+ROW()/100000)</f>
      </c>
      <c r="AM186" s="225">
        <f>IF(OR($A186="",TRIM($K186)="",COUNTIF($K$6:$K186,$K186)&gt;1),0,1)</f>
      </c>
      <c r="AN186" s="225">
        <f>IF($AM186=1,SUM($AM$6:$AM186),"")</f>
      </c>
      <c r="AO186" s="225">
        <f>IF(OR($A186="",$V186="Đã xử lý",N($U186)=0),0,IF(TDBC&lt;=$U186,0,MAX(1,MIN(4,IF((TDBC-$U186)*24&lt;24,1,IF((TDBC-$U186)*24&lt;72,2,IF((TDBC-$U186)*24&lt;168,3,4)))+IFERROR(INDEX({2,1,0,-1},MATCH($J186,{"Khẩn cấp","Cao","Trung bình","Thấp"},0)),0)))))</f>
      </c>
    </row>
    <row r="187">
      <c r="A187" s="216"/>
      <c r="B187" s="217"/>
      <c r="C187" s="218"/>
      <c r="D187" s="218"/>
      <c r="E187" s="218"/>
      <c r="F187" s="218"/>
      <c r="G187" s="216"/>
      <c r="H187" s="218"/>
      <c r="I187" s="218"/>
      <c r="J187" s="216"/>
      <c r="K187" s="218"/>
      <c r="L187" s="218"/>
      <c r="M187" s="218"/>
      <c r="N187" s="218"/>
      <c r="O187" s="219"/>
      <c r="P187" s="216"/>
      <c r="Q187" s="217"/>
      <c r="R187" s="216"/>
      <c r="S187" s="218"/>
      <c r="T187" s="218"/>
      <c r="U187" s="220">
        <f>IF($A187="","",IF(N($Q187)&gt;0,IF(MOD($Q187,1)=0,$Q187+1-1/1440,$Q187),IF(N($B187)=0,"",$B187+IF(N($AH187)&gt;0,$AH187,IFERROR(INDEX(DM_SLA_Gio,MATCH($J187,DM_SLA_Cap,0)),168))/24)))</f>
      </c>
      <c r="V187" s="221">
        <f>IF($A187="","",IF(N($AJ187)=0,"Mới tiếp nhận",INDEX('Nhật ký tiến độ'!$E:$E,$AJ187)))</f>
      </c>
      <c r="W187" s="222">
        <f>IF($A187="","",IF($V187="Đã xử lý",1,IF(N($AJ187)=0,0,N(INDEX('Nhật ký tiến độ'!$D:$D,$AJ187)))))</f>
      </c>
      <c r="X187" s="222">
        <f>IF(OR($A187="",$V187="Đã xử lý",N($U187)=0,N($B187)=0),"",IF(TDBC&lt;=$B187,0,IF(TDBC&gt;=$U187,1,(TDBC-$B187)/($U187-$B187))))</f>
      </c>
      <c r="Y187" s="223">
        <f>IF($A187="","",IF($V187="Đã xử lý","Hoàn thành",IF(N($U187)=0,"Chưa đặt hạn",IF(TDBC&gt;$U187,"Quá hạn",IF(ROUND((N($X187)-$W187)*100,0)&gt;=20,"Chậm tiến độ",IF($U187-TDBC&lt;=1,"Sắp đến hạn","Đúng tiến độ"))))))</f>
      </c>
      <c r="Z187" s="223">
        <f>IF(OR($A187="",$V187="Đã xử lý",N($U187)=0),"",IF(TDBC&gt;$U187,"Quá "&amp;IF(((TDBC-$U187)*24)&lt;1,MAX(1,ROUND(((TDBC-$U187)*24)*60,0))&amp;" phút",IF(ROUND(((TDBC-$U187)*24),0)&lt;24,ROUND(((TDBC-$U187)*24),0)&amp;" giờ",INT(ROUND(((TDBC-$U187)*24),0)/24)&amp;" ngày"&amp;IF(MOD(ROUND(((TDBC-$U187)*24),0),24)&gt;0," "&amp;MOD(ROUND(((TDBC-$U187)*24),0),24)&amp;" giờ",""))),"Còn "&amp;IF((($U187-TDBC)*24)&lt;1,MAX(1,ROUND((($U187-TDBC)*24)*60,0))&amp;" phút",IF(ROUND((($U187-TDBC)*24),0)&lt;24,ROUND((($U187-TDBC)*24),0)&amp;" giờ",INT(ROUND((($U187-TDBC)*24),0)/24)&amp;" ngày"&amp;IF(MOD(ROUND((($U187-TDBC)*24),0),24)&gt;0," "&amp;MOD(ROUND((($U187-TDBC)*24),0),24)&amp;" giờ","")))))</f>
      </c>
      <c r="AA187" s="220">
        <f>IF($V187="Đã xử lý",_xlfn.MAXIFS('Nhật ký tiến độ'!$B$6:$B$3005,'Nhật ký tiến độ'!$C$6:$C$3005,$A187,'Nhật ký tiến độ'!$E$6:$E$3005,"Đã xử lý"),"")</f>
      </c>
      <c r="AB187" s="223">
        <f>IF($AI187="","",IF($AI187&lt;1,MAX(1,ROUND($AI187*60,0))&amp;" phút",IF(ROUND($AI187,0)&lt;24,ROUND($AI187,0)&amp;" giờ",INT(ROUND($AI187,0)/24)&amp;" ngày"&amp;IF(MOD(ROUND($AI187,0),24)&gt;0," "&amp;MOD(ROUND($AI187,0),24)&amp;" giờ",""))))</f>
      </c>
      <c r="AC187" s="223">
        <f>IF(OR($A187="",N($AH187)=0),"",IF($AI187&lt;&gt;"",IF($AI187&lt;=$AH187,"Trong ước tính","Vượt "&amp;IF(($AI187-$AH187)&lt;1,MAX(1,ROUND(($AI187-$AH187)*60,0))&amp;" phút",IF(ROUND(($AI187-$AH187),0)&lt;24,ROUND(($AI187-$AH187),0)&amp;" giờ",INT(ROUND(($AI187-$AH187),0)/24)&amp;" ngày"&amp;IF(MOD(ROUND(($AI187-$AH187),0),24)&gt;0," "&amp;MOD(ROUND(($AI187-$AH187),0),24)&amp;" giờ","")))),IF(OR($V187="Đã xử lý",N($B187)=0),"",IF((TDBC-$B187)*24&gt;$AH187,"Đã vượt ước tính","Đã dùng "&amp;TEXT((TDBC-$B187)*24/$AH187,"0%")))))</f>
      </c>
      <c r="AD187" s="223">
        <f>IF(N($AO187)=0,"",CHOOSE($AO187,"Nhắc nhở","Cảnh báo","Báo động","Báo động đỏ"))</f>
      </c>
      <c r="AE187" s="223">
        <f>IF(OR(N($AA187)=0,N($U187)=0),"",IF($AA187&lt;=$U187,"Đúng hạn","Trễ hạn"))</f>
      </c>
      <c r="AF187" s="220">
        <f>IF($A187="","",_xlfn.MAXIFS('Nhật ký tiến độ'!$B$6:$B$3005,'Nhật ký tiến độ'!$C$6:$C$3005,$A187))</f>
      </c>
      <c r="AG187" s="223">
        <f>IF($A187="","",IF(COUNTIF('Kế hoạch'!$M$6:$M$305,$A187)=0,"",COUNTIF('Kế hoạch'!$M$6:$M$305,$A187)&amp;" việc"))</f>
      </c>
      <c r="AH187" s="224">
        <f>IF(OR($A187="",N($O187)&lt;=0),"",IF($P187="Giờ",$O187,$O187*24))</f>
      </c>
      <c r="AI187" s="224">
        <f>IF(OR(N($AA187)=0,N($B187)=0),"",IF($AA187&lt;$B187,"",($AA187-$B187)*24))</f>
      </c>
      <c r="AJ187" s="225">
        <f>IF($A187="","",IF(COUNTIF('Nhật ký tiến độ'!$C$6:$C$3005,$A187)=0,0,_xlfn.MAXIFS('Nhật ký tiến độ'!$N$6:$N$3005,'Nhật ký tiến độ'!$C$6:$C$3005,$A187,'Nhật ký tiến độ'!$B$6:$B$3005,_xlfn.MAXIFS('Nhật ký tiến độ'!$B$6:$B$3005,'Nhật ký tiến độ'!$C$6:$C$3005,$A187))))</f>
      </c>
      <c r="AK187" s="225">
        <f>IF(OR($A187="",$V187="Đã xử lý"),"",IF(N($AO187)&gt;0,5-$AO187,IF($J187="Khẩn cấp",5,IF($Y187="Chậm tiến độ",6,IF(OR($Y187="Sắp đến hạn",$J187="Cao"),7,"")))))</f>
      </c>
      <c r="AL187" s="225">
        <f>IF($AK187="","",$AK187*100000+IF(N($U187)=0,99999,INT($U187))+ROW()/100000)</f>
      </c>
      <c r="AM187" s="225">
        <f>IF(OR($A187="",TRIM($K187)="",COUNTIF($K$6:$K187,$K187)&gt;1),0,1)</f>
      </c>
      <c r="AN187" s="225">
        <f>IF($AM187=1,SUM($AM$6:$AM187),"")</f>
      </c>
      <c r="AO187" s="225">
        <f>IF(OR($A187="",$V187="Đã xử lý",N($U187)=0),0,IF(TDBC&lt;=$U187,0,MAX(1,MIN(4,IF((TDBC-$U187)*24&lt;24,1,IF((TDBC-$U187)*24&lt;72,2,IF((TDBC-$U187)*24&lt;168,3,4)))+IFERROR(INDEX({2,1,0,-1},MATCH($J187,{"Khẩn cấp","Cao","Trung bình","Thấp"},0)),0)))))</f>
      </c>
    </row>
    <row r="188">
      <c r="A188" s="216"/>
      <c r="B188" s="217"/>
      <c r="C188" s="218"/>
      <c r="D188" s="218"/>
      <c r="E188" s="218"/>
      <c r="F188" s="218"/>
      <c r="G188" s="216"/>
      <c r="H188" s="218"/>
      <c r="I188" s="218"/>
      <c r="J188" s="216"/>
      <c r="K188" s="218"/>
      <c r="L188" s="218"/>
      <c r="M188" s="218"/>
      <c r="N188" s="218"/>
      <c r="O188" s="219"/>
      <c r="P188" s="216"/>
      <c r="Q188" s="217"/>
      <c r="R188" s="216"/>
      <c r="S188" s="218"/>
      <c r="T188" s="218"/>
      <c r="U188" s="220">
        <f>IF($A188="","",IF(N($Q188)&gt;0,IF(MOD($Q188,1)=0,$Q188+1-1/1440,$Q188),IF(N($B188)=0,"",$B188+IF(N($AH188)&gt;0,$AH188,IFERROR(INDEX(DM_SLA_Gio,MATCH($J188,DM_SLA_Cap,0)),168))/24)))</f>
      </c>
      <c r="V188" s="221">
        <f>IF($A188="","",IF(N($AJ188)=0,"Mới tiếp nhận",INDEX('Nhật ký tiến độ'!$E:$E,$AJ188)))</f>
      </c>
      <c r="W188" s="222">
        <f>IF($A188="","",IF($V188="Đã xử lý",1,IF(N($AJ188)=0,0,N(INDEX('Nhật ký tiến độ'!$D:$D,$AJ188)))))</f>
      </c>
      <c r="X188" s="222">
        <f>IF(OR($A188="",$V188="Đã xử lý",N($U188)=0,N($B188)=0),"",IF(TDBC&lt;=$B188,0,IF(TDBC&gt;=$U188,1,(TDBC-$B188)/($U188-$B188))))</f>
      </c>
      <c r="Y188" s="223">
        <f>IF($A188="","",IF($V188="Đã xử lý","Hoàn thành",IF(N($U188)=0,"Chưa đặt hạn",IF(TDBC&gt;$U188,"Quá hạn",IF(ROUND((N($X188)-$W188)*100,0)&gt;=20,"Chậm tiến độ",IF($U188-TDBC&lt;=1,"Sắp đến hạn","Đúng tiến độ"))))))</f>
      </c>
      <c r="Z188" s="223">
        <f>IF(OR($A188="",$V188="Đã xử lý",N($U188)=0),"",IF(TDBC&gt;$U188,"Quá "&amp;IF(((TDBC-$U188)*24)&lt;1,MAX(1,ROUND(((TDBC-$U188)*24)*60,0))&amp;" phút",IF(ROUND(((TDBC-$U188)*24),0)&lt;24,ROUND(((TDBC-$U188)*24),0)&amp;" giờ",INT(ROUND(((TDBC-$U188)*24),0)/24)&amp;" ngày"&amp;IF(MOD(ROUND(((TDBC-$U188)*24),0),24)&gt;0," "&amp;MOD(ROUND(((TDBC-$U188)*24),0),24)&amp;" giờ",""))),"Còn "&amp;IF((($U188-TDBC)*24)&lt;1,MAX(1,ROUND((($U188-TDBC)*24)*60,0))&amp;" phút",IF(ROUND((($U188-TDBC)*24),0)&lt;24,ROUND((($U188-TDBC)*24),0)&amp;" giờ",INT(ROUND((($U188-TDBC)*24),0)/24)&amp;" ngày"&amp;IF(MOD(ROUND((($U188-TDBC)*24),0),24)&gt;0," "&amp;MOD(ROUND((($U188-TDBC)*24),0),24)&amp;" giờ","")))))</f>
      </c>
      <c r="AA188" s="220">
        <f>IF($V188="Đã xử lý",_xlfn.MAXIFS('Nhật ký tiến độ'!$B$6:$B$3005,'Nhật ký tiến độ'!$C$6:$C$3005,$A188,'Nhật ký tiến độ'!$E$6:$E$3005,"Đã xử lý"),"")</f>
      </c>
      <c r="AB188" s="223">
        <f>IF($AI188="","",IF($AI188&lt;1,MAX(1,ROUND($AI188*60,0))&amp;" phút",IF(ROUND($AI188,0)&lt;24,ROUND($AI188,0)&amp;" giờ",INT(ROUND($AI188,0)/24)&amp;" ngày"&amp;IF(MOD(ROUND($AI188,0),24)&gt;0," "&amp;MOD(ROUND($AI188,0),24)&amp;" giờ",""))))</f>
      </c>
      <c r="AC188" s="223">
        <f>IF(OR($A188="",N($AH188)=0),"",IF($AI188&lt;&gt;"",IF($AI188&lt;=$AH188,"Trong ước tính","Vượt "&amp;IF(($AI188-$AH188)&lt;1,MAX(1,ROUND(($AI188-$AH188)*60,0))&amp;" phút",IF(ROUND(($AI188-$AH188),0)&lt;24,ROUND(($AI188-$AH188),0)&amp;" giờ",INT(ROUND(($AI188-$AH188),0)/24)&amp;" ngày"&amp;IF(MOD(ROUND(($AI188-$AH188),0),24)&gt;0," "&amp;MOD(ROUND(($AI188-$AH188),0),24)&amp;" giờ","")))),IF(OR($V188="Đã xử lý",N($B188)=0),"",IF((TDBC-$B188)*24&gt;$AH188,"Đã vượt ước tính","Đã dùng "&amp;TEXT((TDBC-$B188)*24/$AH188,"0%")))))</f>
      </c>
      <c r="AD188" s="223">
        <f>IF(N($AO188)=0,"",CHOOSE($AO188,"Nhắc nhở","Cảnh báo","Báo động","Báo động đỏ"))</f>
      </c>
      <c r="AE188" s="223">
        <f>IF(OR(N($AA188)=0,N($U188)=0),"",IF($AA188&lt;=$U188,"Đúng hạn","Trễ hạn"))</f>
      </c>
      <c r="AF188" s="220">
        <f>IF($A188="","",_xlfn.MAXIFS('Nhật ký tiến độ'!$B$6:$B$3005,'Nhật ký tiến độ'!$C$6:$C$3005,$A188))</f>
      </c>
      <c r="AG188" s="223">
        <f>IF($A188="","",IF(COUNTIF('Kế hoạch'!$M$6:$M$305,$A188)=0,"",COUNTIF('Kế hoạch'!$M$6:$M$305,$A188)&amp;" việc"))</f>
      </c>
      <c r="AH188" s="224">
        <f>IF(OR($A188="",N($O188)&lt;=0),"",IF($P188="Giờ",$O188,$O188*24))</f>
      </c>
      <c r="AI188" s="224">
        <f>IF(OR(N($AA188)=0,N($B188)=0),"",IF($AA188&lt;$B188,"",($AA188-$B188)*24))</f>
      </c>
      <c r="AJ188" s="225">
        <f>IF($A188="","",IF(COUNTIF('Nhật ký tiến độ'!$C$6:$C$3005,$A188)=0,0,_xlfn.MAXIFS('Nhật ký tiến độ'!$N$6:$N$3005,'Nhật ký tiến độ'!$C$6:$C$3005,$A188,'Nhật ký tiến độ'!$B$6:$B$3005,_xlfn.MAXIFS('Nhật ký tiến độ'!$B$6:$B$3005,'Nhật ký tiến độ'!$C$6:$C$3005,$A188))))</f>
      </c>
      <c r="AK188" s="225">
        <f>IF(OR($A188="",$V188="Đã xử lý"),"",IF(N($AO188)&gt;0,5-$AO188,IF($J188="Khẩn cấp",5,IF($Y188="Chậm tiến độ",6,IF(OR($Y188="Sắp đến hạn",$J188="Cao"),7,"")))))</f>
      </c>
      <c r="AL188" s="225">
        <f>IF($AK188="","",$AK188*100000+IF(N($U188)=0,99999,INT($U188))+ROW()/100000)</f>
      </c>
      <c r="AM188" s="225">
        <f>IF(OR($A188="",TRIM($K188)="",COUNTIF($K$6:$K188,$K188)&gt;1),0,1)</f>
      </c>
      <c r="AN188" s="225">
        <f>IF($AM188=1,SUM($AM$6:$AM188),"")</f>
      </c>
      <c r="AO188" s="225">
        <f>IF(OR($A188="",$V188="Đã xử lý",N($U188)=0),0,IF(TDBC&lt;=$U188,0,MAX(1,MIN(4,IF((TDBC-$U188)*24&lt;24,1,IF((TDBC-$U188)*24&lt;72,2,IF((TDBC-$U188)*24&lt;168,3,4)))+IFERROR(INDEX({2,1,0,-1},MATCH($J188,{"Khẩn cấp","Cao","Trung bình","Thấp"},0)),0)))))</f>
      </c>
    </row>
    <row r="189">
      <c r="A189" s="216"/>
      <c r="B189" s="217"/>
      <c r="C189" s="218"/>
      <c r="D189" s="218"/>
      <c r="E189" s="218"/>
      <c r="F189" s="218"/>
      <c r="G189" s="216"/>
      <c r="H189" s="218"/>
      <c r="I189" s="218"/>
      <c r="J189" s="216"/>
      <c r="K189" s="218"/>
      <c r="L189" s="218"/>
      <c r="M189" s="218"/>
      <c r="N189" s="218"/>
      <c r="O189" s="219"/>
      <c r="P189" s="216"/>
      <c r="Q189" s="217"/>
      <c r="R189" s="216"/>
      <c r="S189" s="218"/>
      <c r="T189" s="218"/>
      <c r="U189" s="220">
        <f>IF($A189="","",IF(N($Q189)&gt;0,IF(MOD($Q189,1)=0,$Q189+1-1/1440,$Q189),IF(N($B189)=0,"",$B189+IF(N($AH189)&gt;0,$AH189,IFERROR(INDEX(DM_SLA_Gio,MATCH($J189,DM_SLA_Cap,0)),168))/24)))</f>
      </c>
      <c r="V189" s="221">
        <f>IF($A189="","",IF(N($AJ189)=0,"Mới tiếp nhận",INDEX('Nhật ký tiến độ'!$E:$E,$AJ189)))</f>
      </c>
      <c r="W189" s="222">
        <f>IF($A189="","",IF($V189="Đã xử lý",1,IF(N($AJ189)=0,0,N(INDEX('Nhật ký tiến độ'!$D:$D,$AJ189)))))</f>
      </c>
      <c r="X189" s="222">
        <f>IF(OR($A189="",$V189="Đã xử lý",N($U189)=0,N($B189)=0),"",IF(TDBC&lt;=$B189,0,IF(TDBC&gt;=$U189,1,(TDBC-$B189)/($U189-$B189))))</f>
      </c>
      <c r="Y189" s="223">
        <f>IF($A189="","",IF($V189="Đã xử lý","Hoàn thành",IF(N($U189)=0,"Chưa đặt hạn",IF(TDBC&gt;$U189,"Quá hạn",IF(ROUND((N($X189)-$W189)*100,0)&gt;=20,"Chậm tiến độ",IF($U189-TDBC&lt;=1,"Sắp đến hạn","Đúng tiến độ"))))))</f>
      </c>
      <c r="Z189" s="223">
        <f>IF(OR($A189="",$V189="Đã xử lý",N($U189)=0),"",IF(TDBC&gt;$U189,"Quá "&amp;IF(((TDBC-$U189)*24)&lt;1,MAX(1,ROUND(((TDBC-$U189)*24)*60,0))&amp;" phút",IF(ROUND(((TDBC-$U189)*24),0)&lt;24,ROUND(((TDBC-$U189)*24),0)&amp;" giờ",INT(ROUND(((TDBC-$U189)*24),0)/24)&amp;" ngày"&amp;IF(MOD(ROUND(((TDBC-$U189)*24),0),24)&gt;0," "&amp;MOD(ROUND(((TDBC-$U189)*24),0),24)&amp;" giờ",""))),"Còn "&amp;IF((($U189-TDBC)*24)&lt;1,MAX(1,ROUND((($U189-TDBC)*24)*60,0))&amp;" phút",IF(ROUND((($U189-TDBC)*24),0)&lt;24,ROUND((($U189-TDBC)*24),0)&amp;" giờ",INT(ROUND((($U189-TDBC)*24),0)/24)&amp;" ngày"&amp;IF(MOD(ROUND((($U189-TDBC)*24),0),24)&gt;0," "&amp;MOD(ROUND((($U189-TDBC)*24),0),24)&amp;" giờ","")))))</f>
      </c>
      <c r="AA189" s="220">
        <f>IF($V189="Đã xử lý",_xlfn.MAXIFS('Nhật ký tiến độ'!$B$6:$B$3005,'Nhật ký tiến độ'!$C$6:$C$3005,$A189,'Nhật ký tiến độ'!$E$6:$E$3005,"Đã xử lý"),"")</f>
      </c>
      <c r="AB189" s="223">
        <f>IF($AI189="","",IF($AI189&lt;1,MAX(1,ROUND($AI189*60,0))&amp;" phút",IF(ROUND($AI189,0)&lt;24,ROUND($AI189,0)&amp;" giờ",INT(ROUND($AI189,0)/24)&amp;" ngày"&amp;IF(MOD(ROUND($AI189,0),24)&gt;0," "&amp;MOD(ROUND($AI189,0),24)&amp;" giờ",""))))</f>
      </c>
      <c r="AC189" s="223">
        <f>IF(OR($A189="",N($AH189)=0),"",IF($AI189&lt;&gt;"",IF($AI189&lt;=$AH189,"Trong ước tính","Vượt "&amp;IF(($AI189-$AH189)&lt;1,MAX(1,ROUND(($AI189-$AH189)*60,0))&amp;" phút",IF(ROUND(($AI189-$AH189),0)&lt;24,ROUND(($AI189-$AH189),0)&amp;" giờ",INT(ROUND(($AI189-$AH189),0)/24)&amp;" ngày"&amp;IF(MOD(ROUND(($AI189-$AH189),0),24)&gt;0," "&amp;MOD(ROUND(($AI189-$AH189),0),24)&amp;" giờ","")))),IF(OR($V189="Đã xử lý",N($B189)=0),"",IF((TDBC-$B189)*24&gt;$AH189,"Đã vượt ước tính","Đã dùng "&amp;TEXT((TDBC-$B189)*24/$AH189,"0%")))))</f>
      </c>
      <c r="AD189" s="223">
        <f>IF(N($AO189)=0,"",CHOOSE($AO189,"Nhắc nhở","Cảnh báo","Báo động","Báo động đỏ"))</f>
      </c>
      <c r="AE189" s="223">
        <f>IF(OR(N($AA189)=0,N($U189)=0),"",IF($AA189&lt;=$U189,"Đúng hạn","Trễ hạn"))</f>
      </c>
      <c r="AF189" s="220">
        <f>IF($A189="","",_xlfn.MAXIFS('Nhật ký tiến độ'!$B$6:$B$3005,'Nhật ký tiến độ'!$C$6:$C$3005,$A189))</f>
      </c>
      <c r="AG189" s="223">
        <f>IF($A189="","",IF(COUNTIF('Kế hoạch'!$M$6:$M$305,$A189)=0,"",COUNTIF('Kế hoạch'!$M$6:$M$305,$A189)&amp;" việc"))</f>
      </c>
      <c r="AH189" s="224">
        <f>IF(OR($A189="",N($O189)&lt;=0),"",IF($P189="Giờ",$O189,$O189*24))</f>
      </c>
      <c r="AI189" s="224">
        <f>IF(OR(N($AA189)=0,N($B189)=0),"",IF($AA189&lt;$B189,"",($AA189-$B189)*24))</f>
      </c>
      <c r="AJ189" s="225">
        <f>IF($A189="","",IF(COUNTIF('Nhật ký tiến độ'!$C$6:$C$3005,$A189)=0,0,_xlfn.MAXIFS('Nhật ký tiến độ'!$N$6:$N$3005,'Nhật ký tiến độ'!$C$6:$C$3005,$A189,'Nhật ký tiến độ'!$B$6:$B$3005,_xlfn.MAXIFS('Nhật ký tiến độ'!$B$6:$B$3005,'Nhật ký tiến độ'!$C$6:$C$3005,$A189))))</f>
      </c>
      <c r="AK189" s="225">
        <f>IF(OR($A189="",$V189="Đã xử lý"),"",IF(N($AO189)&gt;0,5-$AO189,IF($J189="Khẩn cấp",5,IF($Y189="Chậm tiến độ",6,IF(OR($Y189="Sắp đến hạn",$J189="Cao"),7,"")))))</f>
      </c>
      <c r="AL189" s="225">
        <f>IF($AK189="","",$AK189*100000+IF(N($U189)=0,99999,INT($U189))+ROW()/100000)</f>
      </c>
      <c r="AM189" s="225">
        <f>IF(OR($A189="",TRIM($K189)="",COUNTIF($K$6:$K189,$K189)&gt;1),0,1)</f>
      </c>
      <c r="AN189" s="225">
        <f>IF($AM189=1,SUM($AM$6:$AM189),"")</f>
      </c>
      <c r="AO189" s="225">
        <f>IF(OR($A189="",$V189="Đã xử lý",N($U189)=0),0,IF(TDBC&lt;=$U189,0,MAX(1,MIN(4,IF((TDBC-$U189)*24&lt;24,1,IF((TDBC-$U189)*24&lt;72,2,IF((TDBC-$U189)*24&lt;168,3,4)))+IFERROR(INDEX({2,1,0,-1},MATCH($J189,{"Khẩn cấp","Cao","Trung bình","Thấp"},0)),0)))))</f>
      </c>
    </row>
    <row r="190">
      <c r="A190" s="216"/>
      <c r="B190" s="217"/>
      <c r="C190" s="218"/>
      <c r="D190" s="218"/>
      <c r="E190" s="218"/>
      <c r="F190" s="218"/>
      <c r="G190" s="216"/>
      <c r="H190" s="218"/>
      <c r="I190" s="218"/>
      <c r="J190" s="216"/>
      <c r="K190" s="218"/>
      <c r="L190" s="218"/>
      <c r="M190" s="218"/>
      <c r="N190" s="218"/>
      <c r="O190" s="219"/>
      <c r="P190" s="216"/>
      <c r="Q190" s="217"/>
      <c r="R190" s="216"/>
      <c r="S190" s="218"/>
      <c r="T190" s="218"/>
      <c r="U190" s="220">
        <f>IF($A190="","",IF(N($Q190)&gt;0,IF(MOD($Q190,1)=0,$Q190+1-1/1440,$Q190),IF(N($B190)=0,"",$B190+IF(N($AH190)&gt;0,$AH190,IFERROR(INDEX(DM_SLA_Gio,MATCH($J190,DM_SLA_Cap,0)),168))/24)))</f>
      </c>
      <c r="V190" s="221">
        <f>IF($A190="","",IF(N($AJ190)=0,"Mới tiếp nhận",INDEX('Nhật ký tiến độ'!$E:$E,$AJ190)))</f>
      </c>
      <c r="W190" s="222">
        <f>IF($A190="","",IF($V190="Đã xử lý",1,IF(N($AJ190)=0,0,N(INDEX('Nhật ký tiến độ'!$D:$D,$AJ190)))))</f>
      </c>
      <c r="X190" s="222">
        <f>IF(OR($A190="",$V190="Đã xử lý",N($U190)=0,N($B190)=0),"",IF(TDBC&lt;=$B190,0,IF(TDBC&gt;=$U190,1,(TDBC-$B190)/($U190-$B190))))</f>
      </c>
      <c r="Y190" s="223">
        <f>IF($A190="","",IF($V190="Đã xử lý","Hoàn thành",IF(N($U190)=0,"Chưa đặt hạn",IF(TDBC&gt;$U190,"Quá hạn",IF(ROUND((N($X190)-$W190)*100,0)&gt;=20,"Chậm tiến độ",IF($U190-TDBC&lt;=1,"Sắp đến hạn","Đúng tiến độ"))))))</f>
      </c>
      <c r="Z190" s="223">
        <f>IF(OR($A190="",$V190="Đã xử lý",N($U190)=0),"",IF(TDBC&gt;$U190,"Quá "&amp;IF(((TDBC-$U190)*24)&lt;1,MAX(1,ROUND(((TDBC-$U190)*24)*60,0))&amp;" phút",IF(ROUND(((TDBC-$U190)*24),0)&lt;24,ROUND(((TDBC-$U190)*24),0)&amp;" giờ",INT(ROUND(((TDBC-$U190)*24),0)/24)&amp;" ngày"&amp;IF(MOD(ROUND(((TDBC-$U190)*24),0),24)&gt;0," "&amp;MOD(ROUND(((TDBC-$U190)*24),0),24)&amp;" giờ",""))),"Còn "&amp;IF((($U190-TDBC)*24)&lt;1,MAX(1,ROUND((($U190-TDBC)*24)*60,0))&amp;" phút",IF(ROUND((($U190-TDBC)*24),0)&lt;24,ROUND((($U190-TDBC)*24),0)&amp;" giờ",INT(ROUND((($U190-TDBC)*24),0)/24)&amp;" ngày"&amp;IF(MOD(ROUND((($U190-TDBC)*24),0),24)&gt;0," "&amp;MOD(ROUND((($U190-TDBC)*24),0),24)&amp;" giờ","")))))</f>
      </c>
      <c r="AA190" s="220">
        <f>IF($V190="Đã xử lý",_xlfn.MAXIFS('Nhật ký tiến độ'!$B$6:$B$3005,'Nhật ký tiến độ'!$C$6:$C$3005,$A190,'Nhật ký tiến độ'!$E$6:$E$3005,"Đã xử lý"),"")</f>
      </c>
      <c r="AB190" s="223">
        <f>IF($AI190="","",IF($AI190&lt;1,MAX(1,ROUND($AI190*60,0))&amp;" phút",IF(ROUND($AI190,0)&lt;24,ROUND($AI190,0)&amp;" giờ",INT(ROUND($AI190,0)/24)&amp;" ngày"&amp;IF(MOD(ROUND($AI190,0),24)&gt;0," "&amp;MOD(ROUND($AI190,0),24)&amp;" giờ",""))))</f>
      </c>
      <c r="AC190" s="223">
        <f>IF(OR($A190="",N($AH190)=0),"",IF($AI190&lt;&gt;"",IF($AI190&lt;=$AH190,"Trong ước tính","Vượt "&amp;IF(($AI190-$AH190)&lt;1,MAX(1,ROUND(($AI190-$AH190)*60,0))&amp;" phút",IF(ROUND(($AI190-$AH190),0)&lt;24,ROUND(($AI190-$AH190),0)&amp;" giờ",INT(ROUND(($AI190-$AH190),0)/24)&amp;" ngày"&amp;IF(MOD(ROUND(($AI190-$AH190),0),24)&gt;0," "&amp;MOD(ROUND(($AI190-$AH190),0),24)&amp;" giờ","")))),IF(OR($V190="Đã xử lý",N($B190)=0),"",IF((TDBC-$B190)*24&gt;$AH190,"Đã vượt ước tính","Đã dùng "&amp;TEXT((TDBC-$B190)*24/$AH190,"0%")))))</f>
      </c>
      <c r="AD190" s="223">
        <f>IF(N($AO190)=0,"",CHOOSE($AO190,"Nhắc nhở","Cảnh báo","Báo động","Báo động đỏ"))</f>
      </c>
      <c r="AE190" s="223">
        <f>IF(OR(N($AA190)=0,N($U190)=0),"",IF($AA190&lt;=$U190,"Đúng hạn","Trễ hạn"))</f>
      </c>
      <c r="AF190" s="220">
        <f>IF($A190="","",_xlfn.MAXIFS('Nhật ký tiến độ'!$B$6:$B$3005,'Nhật ký tiến độ'!$C$6:$C$3005,$A190))</f>
      </c>
      <c r="AG190" s="223">
        <f>IF($A190="","",IF(COUNTIF('Kế hoạch'!$M$6:$M$305,$A190)=0,"",COUNTIF('Kế hoạch'!$M$6:$M$305,$A190)&amp;" việc"))</f>
      </c>
      <c r="AH190" s="224">
        <f>IF(OR($A190="",N($O190)&lt;=0),"",IF($P190="Giờ",$O190,$O190*24))</f>
      </c>
      <c r="AI190" s="224">
        <f>IF(OR(N($AA190)=0,N($B190)=0),"",IF($AA190&lt;$B190,"",($AA190-$B190)*24))</f>
      </c>
      <c r="AJ190" s="225">
        <f>IF($A190="","",IF(COUNTIF('Nhật ký tiến độ'!$C$6:$C$3005,$A190)=0,0,_xlfn.MAXIFS('Nhật ký tiến độ'!$N$6:$N$3005,'Nhật ký tiến độ'!$C$6:$C$3005,$A190,'Nhật ký tiến độ'!$B$6:$B$3005,_xlfn.MAXIFS('Nhật ký tiến độ'!$B$6:$B$3005,'Nhật ký tiến độ'!$C$6:$C$3005,$A190))))</f>
      </c>
      <c r="AK190" s="225">
        <f>IF(OR($A190="",$V190="Đã xử lý"),"",IF(N($AO190)&gt;0,5-$AO190,IF($J190="Khẩn cấp",5,IF($Y190="Chậm tiến độ",6,IF(OR($Y190="Sắp đến hạn",$J190="Cao"),7,"")))))</f>
      </c>
      <c r="AL190" s="225">
        <f>IF($AK190="","",$AK190*100000+IF(N($U190)=0,99999,INT($U190))+ROW()/100000)</f>
      </c>
      <c r="AM190" s="225">
        <f>IF(OR($A190="",TRIM($K190)="",COUNTIF($K$6:$K190,$K190)&gt;1),0,1)</f>
      </c>
      <c r="AN190" s="225">
        <f>IF($AM190=1,SUM($AM$6:$AM190),"")</f>
      </c>
      <c r="AO190" s="225">
        <f>IF(OR($A190="",$V190="Đã xử lý",N($U190)=0),0,IF(TDBC&lt;=$U190,0,MAX(1,MIN(4,IF((TDBC-$U190)*24&lt;24,1,IF((TDBC-$U190)*24&lt;72,2,IF((TDBC-$U190)*24&lt;168,3,4)))+IFERROR(INDEX({2,1,0,-1},MATCH($J190,{"Khẩn cấp","Cao","Trung bình","Thấp"},0)),0)))))</f>
      </c>
    </row>
    <row r="191">
      <c r="A191" s="216"/>
      <c r="B191" s="217"/>
      <c r="C191" s="218"/>
      <c r="D191" s="218"/>
      <c r="E191" s="218"/>
      <c r="F191" s="218"/>
      <c r="G191" s="216"/>
      <c r="H191" s="218"/>
      <c r="I191" s="218"/>
      <c r="J191" s="216"/>
      <c r="K191" s="218"/>
      <c r="L191" s="218"/>
      <c r="M191" s="218"/>
      <c r="N191" s="218"/>
      <c r="O191" s="219"/>
      <c r="P191" s="216"/>
      <c r="Q191" s="217"/>
      <c r="R191" s="216"/>
      <c r="S191" s="218"/>
      <c r="T191" s="218"/>
      <c r="U191" s="220">
        <f>IF($A191="","",IF(N($Q191)&gt;0,IF(MOD($Q191,1)=0,$Q191+1-1/1440,$Q191),IF(N($B191)=0,"",$B191+IF(N($AH191)&gt;0,$AH191,IFERROR(INDEX(DM_SLA_Gio,MATCH($J191,DM_SLA_Cap,0)),168))/24)))</f>
      </c>
      <c r="V191" s="221">
        <f>IF($A191="","",IF(N($AJ191)=0,"Mới tiếp nhận",INDEX('Nhật ký tiến độ'!$E:$E,$AJ191)))</f>
      </c>
      <c r="W191" s="222">
        <f>IF($A191="","",IF($V191="Đã xử lý",1,IF(N($AJ191)=0,0,N(INDEX('Nhật ký tiến độ'!$D:$D,$AJ191)))))</f>
      </c>
      <c r="X191" s="222">
        <f>IF(OR($A191="",$V191="Đã xử lý",N($U191)=0,N($B191)=0),"",IF(TDBC&lt;=$B191,0,IF(TDBC&gt;=$U191,1,(TDBC-$B191)/($U191-$B191))))</f>
      </c>
      <c r="Y191" s="223">
        <f>IF($A191="","",IF($V191="Đã xử lý","Hoàn thành",IF(N($U191)=0,"Chưa đặt hạn",IF(TDBC&gt;$U191,"Quá hạn",IF(ROUND((N($X191)-$W191)*100,0)&gt;=20,"Chậm tiến độ",IF($U191-TDBC&lt;=1,"Sắp đến hạn","Đúng tiến độ"))))))</f>
      </c>
      <c r="Z191" s="223">
        <f>IF(OR($A191="",$V191="Đã xử lý",N($U191)=0),"",IF(TDBC&gt;$U191,"Quá "&amp;IF(((TDBC-$U191)*24)&lt;1,MAX(1,ROUND(((TDBC-$U191)*24)*60,0))&amp;" phút",IF(ROUND(((TDBC-$U191)*24),0)&lt;24,ROUND(((TDBC-$U191)*24),0)&amp;" giờ",INT(ROUND(((TDBC-$U191)*24),0)/24)&amp;" ngày"&amp;IF(MOD(ROUND(((TDBC-$U191)*24),0),24)&gt;0," "&amp;MOD(ROUND(((TDBC-$U191)*24),0),24)&amp;" giờ",""))),"Còn "&amp;IF((($U191-TDBC)*24)&lt;1,MAX(1,ROUND((($U191-TDBC)*24)*60,0))&amp;" phút",IF(ROUND((($U191-TDBC)*24),0)&lt;24,ROUND((($U191-TDBC)*24),0)&amp;" giờ",INT(ROUND((($U191-TDBC)*24),0)/24)&amp;" ngày"&amp;IF(MOD(ROUND((($U191-TDBC)*24),0),24)&gt;0," "&amp;MOD(ROUND((($U191-TDBC)*24),0),24)&amp;" giờ","")))))</f>
      </c>
      <c r="AA191" s="220">
        <f>IF($V191="Đã xử lý",_xlfn.MAXIFS('Nhật ký tiến độ'!$B$6:$B$3005,'Nhật ký tiến độ'!$C$6:$C$3005,$A191,'Nhật ký tiến độ'!$E$6:$E$3005,"Đã xử lý"),"")</f>
      </c>
      <c r="AB191" s="223">
        <f>IF($AI191="","",IF($AI191&lt;1,MAX(1,ROUND($AI191*60,0))&amp;" phút",IF(ROUND($AI191,0)&lt;24,ROUND($AI191,0)&amp;" giờ",INT(ROUND($AI191,0)/24)&amp;" ngày"&amp;IF(MOD(ROUND($AI191,0),24)&gt;0," "&amp;MOD(ROUND($AI191,0),24)&amp;" giờ",""))))</f>
      </c>
      <c r="AC191" s="223">
        <f>IF(OR($A191="",N($AH191)=0),"",IF($AI191&lt;&gt;"",IF($AI191&lt;=$AH191,"Trong ước tính","Vượt "&amp;IF(($AI191-$AH191)&lt;1,MAX(1,ROUND(($AI191-$AH191)*60,0))&amp;" phút",IF(ROUND(($AI191-$AH191),0)&lt;24,ROUND(($AI191-$AH191),0)&amp;" giờ",INT(ROUND(($AI191-$AH191),0)/24)&amp;" ngày"&amp;IF(MOD(ROUND(($AI191-$AH191),0),24)&gt;0," "&amp;MOD(ROUND(($AI191-$AH191),0),24)&amp;" giờ","")))),IF(OR($V191="Đã xử lý",N($B191)=0),"",IF((TDBC-$B191)*24&gt;$AH191,"Đã vượt ước tính","Đã dùng "&amp;TEXT((TDBC-$B191)*24/$AH191,"0%")))))</f>
      </c>
      <c r="AD191" s="223">
        <f>IF(N($AO191)=0,"",CHOOSE($AO191,"Nhắc nhở","Cảnh báo","Báo động","Báo động đỏ"))</f>
      </c>
      <c r="AE191" s="223">
        <f>IF(OR(N($AA191)=0,N($U191)=0),"",IF($AA191&lt;=$U191,"Đúng hạn","Trễ hạn"))</f>
      </c>
      <c r="AF191" s="220">
        <f>IF($A191="","",_xlfn.MAXIFS('Nhật ký tiến độ'!$B$6:$B$3005,'Nhật ký tiến độ'!$C$6:$C$3005,$A191))</f>
      </c>
      <c r="AG191" s="223">
        <f>IF($A191="","",IF(COUNTIF('Kế hoạch'!$M$6:$M$305,$A191)=0,"",COUNTIF('Kế hoạch'!$M$6:$M$305,$A191)&amp;" việc"))</f>
      </c>
      <c r="AH191" s="224">
        <f>IF(OR($A191="",N($O191)&lt;=0),"",IF($P191="Giờ",$O191,$O191*24))</f>
      </c>
      <c r="AI191" s="224">
        <f>IF(OR(N($AA191)=0,N($B191)=0),"",IF($AA191&lt;$B191,"",($AA191-$B191)*24))</f>
      </c>
      <c r="AJ191" s="225">
        <f>IF($A191="","",IF(COUNTIF('Nhật ký tiến độ'!$C$6:$C$3005,$A191)=0,0,_xlfn.MAXIFS('Nhật ký tiến độ'!$N$6:$N$3005,'Nhật ký tiến độ'!$C$6:$C$3005,$A191,'Nhật ký tiến độ'!$B$6:$B$3005,_xlfn.MAXIFS('Nhật ký tiến độ'!$B$6:$B$3005,'Nhật ký tiến độ'!$C$6:$C$3005,$A191))))</f>
      </c>
      <c r="AK191" s="225">
        <f>IF(OR($A191="",$V191="Đã xử lý"),"",IF(N($AO191)&gt;0,5-$AO191,IF($J191="Khẩn cấp",5,IF($Y191="Chậm tiến độ",6,IF(OR($Y191="Sắp đến hạn",$J191="Cao"),7,"")))))</f>
      </c>
      <c r="AL191" s="225">
        <f>IF($AK191="","",$AK191*100000+IF(N($U191)=0,99999,INT($U191))+ROW()/100000)</f>
      </c>
      <c r="AM191" s="225">
        <f>IF(OR($A191="",TRIM($K191)="",COUNTIF($K$6:$K191,$K191)&gt;1),0,1)</f>
      </c>
      <c r="AN191" s="225">
        <f>IF($AM191=1,SUM($AM$6:$AM191),"")</f>
      </c>
      <c r="AO191" s="225">
        <f>IF(OR($A191="",$V191="Đã xử lý",N($U191)=0),0,IF(TDBC&lt;=$U191,0,MAX(1,MIN(4,IF((TDBC-$U191)*24&lt;24,1,IF((TDBC-$U191)*24&lt;72,2,IF((TDBC-$U191)*24&lt;168,3,4)))+IFERROR(INDEX({2,1,0,-1},MATCH($J191,{"Khẩn cấp","Cao","Trung bình","Thấp"},0)),0)))))</f>
      </c>
    </row>
    <row r="192">
      <c r="A192" s="216"/>
      <c r="B192" s="217"/>
      <c r="C192" s="218"/>
      <c r="D192" s="218"/>
      <c r="E192" s="218"/>
      <c r="F192" s="218"/>
      <c r="G192" s="216"/>
      <c r="H192" s="218"/>
      <c r="I192" s="218"/>
      <c r="J192" s="216"/>
      <c r="K192" s="218"/>
      <c r="L192" s="218"/>
      <c r="M192" s="218"/>
      <c r="N192" s="218"/>
      <c r="O192" s="219"/>
      <c r="P192" s="216"/>
      <c r="Q192" s="217"/>
      <c r="R192" s="216"/>
      <c r="S192" s="218"/>
      <c r="T192" s="218"/>
      <c r="U192" s="220">
        <f>IF($A192="","",IF(N($Q192)&gt;0,IF(MOD($Q192,1)=0,$Q192+1-1/1440,$Q192),IF(N($B192)=0,"",$B192+IF(N($AH192)&gt;0,$AH192,IFERROR(INDEX(DM_SLA_Gio,MATCH($J192,DM_SLA_Cap,0)),168))/24)))</f>
      </c>
      <c r="V192" s="221">
        <f>IF($A192="","",IF(N($AJ192)=0,"Mới tiếp nhận",INDEX('Nhật ký tiến độ'!$E:$E,$AJ192)))</f>
      </c>
      <c r="W192" s="222">
        <f>IF($A192="","",IF($V192="Đã xử lý",1,IF(N($AJ192)=0,0,N(INDEX('Nhật ký tiến độ'!$D:$D,$AJ192)))))</f>
      </c>
      <c r="X192" s="222">
        <f>IF(OR($A192="",$V192="Đã xử lý",N($U192)=0,N($B192)=0),"",IF(TDBC&lt;=$B192,0,IF(TDBC&gt;=$U192,1,(TDBC-$B192)/($U192-$B192))))</f>
      </c>
      <c r="Y192" s="223">
        <f>IF($A192="","",IF($V192="Đã xử lý","Hoàn thành",IF(N($U192)=0,"Chưa đặt hạn",IF(TDBC&gt;$U192,"Quá hạn",IF(ROUND((N($X192)-$W192)*100,0)&gt;=20,"Chậm tiến độ",IF($U192-TDBC&lt;=1,"Sắp đến hạn","Đúng tiến độ"))))))</f>
      </c>
      <c r="Z192" s="223">
        <f>IF(OR($A192="",$V192="Đã xử lý",N($U192)=0),"",IF(TDBC&gt;$U192,"Quá "&amp;IF(((TDBC-$U192)*24)&lt;1,MAX(1,ROUND(((TDBC-$U192)*24)*60,0))&amp;" phút",IF(ROUND(((TDBC-$U192)*24),0)&lt;24,ROUND(((TDBC-$U192)*24),0)&amp;" giờ",INT(ROUND(((TDBC-$U192)*24),0)/24)&amp;" ngày"&amp;IF(MOD(ROUND(((TDBC-$U192)*24),0),24)&gt;0," "&amp;MOD(ROUND(((TDBC-$U192)*24),0),24)&amp;" giờ",""))),"Còn "&amp;IF((($U192-TDBC)*24)&lt;1,MAX(1,ROUND((($U192-TDBC)*24)*60,0))&amp;" phút",IF(ROUND((($U192-TDBC)*24),0)&lt;24,ROUND((($U192-TDBC)*24),0)&amp;" giờ",INT(ROUND((($U192-TDBC)*24),0)/24)&amp;" ngày"&amp;IF(MOD(ROUND((($U192-TDBC)*24),0),24)&gt;0," "&amp;MOD(ROUND((($U192-TDBC)*24),0),24)&amp;" giờ","")))))</f>
      </c>
      <c r="AA192" s="220">
        <f>IF($V192="Đã xử lý",_xlfn.MAXIFS('Nhật ký tiến độ'!$B$6:$B$3005,'Nhật ký tiến độ'!$C$6:$C$3005,$A192,'Nhật ký tiến độ'!$E$6:$E$3005,"Đã xử lý"),"")</f>
      </c>
      <c r="AB192" s="223">
        <f>IF($AI192="","",IF($AI192&lt;1,MAX(1,ROUND($AI192*60,0))&amp;" phút",IF(ROUND($AI192,0)&lt;24,ROUND($AI192,0)&amp;" giờ",INT(ROUND($AI192,0)/24)&amp;" ngày"&amp;IF(MOD(ROUND($AI192,0),24)&gt;0," "&amp;MOD(ROUND($AI192,0),24)&amp;" giờ",""))))</f>
      </c>
      <c r="AC192" s="223">
        <f>IF(OR($A192="",N($AH192)=0),"",IF($AI192&lt;&gt;"",IF($AI192&lt;=$AH192,"Trong ước tính","Vượt "&amp;IF(($AI192-$AH192)&lt;1,MAX(1,ROUND(($AI192-$AH192)*60,0))&amp;" phút",IF(ROUND(($AI192-$AH192),0)&lt;24,ROUND(($AI192-$AH192),0)&amp;" giờ",INT(ROUND(($AI192-$AH192),0)/24)&amp;" ngày"&amp;IF(MOD(ROUND(($AI192-$AH192),0),24)&gt;0," "&amp;MOD(ROUND(($AI192-$AH192),0),24)&amp;" giờ","")))),IF(OR($V192="Đã xử lý",N($B192)=0),"",IF((TDBC-$B192)*24&gt;$AH192,"Đã vượt ước tính","Đã dùng "&amp;TEXT((TDBC-$B192)*24/$AH192,"0%")))))</f>
      </c>
      <c r="AD192" s="223">
        <f>IF(N($AO192)=0,"",CHOOSE($AO192,"Nhắc nhở","Cảnh báo","Báo động","Báo động đỏ"))</f>
      </c>
      <c r="AE192" s="223">
        <f>IF(OR(N($AA192)=0,N($U192)=0),"",IF($AA192&lt;=$U192,"Đúng hạn","Trễ hạn"))</f>
      </c>
      <c r="AF192" s="220">
        <f>IF($A192="","",_xlfn.MAXIFS('Nhật ký tiến độ'!$B$6:$B$3005,'Nhật ký tiến độ'!$C$6:$C$3005,$A192))</f>
      </c>
      <c r="AG192" s="223">
        <f>IF($A192="","",IF(COUNTIF('Kế hoạch'!$M$6:$M$305,$A192)=0,"",COUNTIF('Kế hoạch'!$M$6:$M$305,$A192)&amp;" việc"))</f>
      </c>
      <c r="AH192" s="224">
        <f>IF(OR($A192="",N($O192)&lt;=0),"",IF($P192="Giờ",$O192,$O192*24))</f>
      </c>
      <c r="AI192" s="224">
        <f>IF(OR(N($AA192)=0,N($B192)=0),"",IF($AA192&lt;$B192,"",($AA192-$B192)*24))</f>
      </c>
      <c r="AJ192" s="225">
        <f>IF($A192="","",IF(COUNTIF('Nhật ký tiến độ'!$C$6:$C$3005,$A192)=0,0,_xlfn.MAXIFS('Nhật ký tiến độ'!$N$6:$N$3005,'Nhật ký tiến độ'!$C$6:$C$3005,$A192,'Nhật ký tiến độ'!$B$6:$B$3005,_xlfn.MAXIFS('Nhật ký tiến độ'!$B$6:$B$3005,'Nhật ký tiến độ'!$C$6:$C$3005,$A192))))</f>
      </c>
      <c r="AK192" s="225">
        <f>IF(OR($A192="",$V192="Đã xử lý"),"",IF(N($AO192)&gt;0,5-$AO192,IF($J192="Khẩn cấp",5,IF($Y192="Chậm tiến độ",6,IF(OR($Y192="Sắp đến hạn",$J192="Cao"),7,"")))))</f>
      </c>
      <c r="AL192" s="225">
        <f>IF($AK192="","",$AK192*100000+IF(N($U192)=0,99999,INT($U192))+ROW()/100000)</f>
      </c>
      <c r="AM192" s="225">
        <f>IF(OR($A192="",TRIM($K192)="",COUNTIF($K$6:$K192,$K192)&gt;1),0,1)</f>
      </c>
      <c r="AN192" s="225">
        <f>IF($AM192=1,SUM($AM$6:$AM192),"")</f>
      </c>
      <c r="AO192" s="225">
        <f>IF(OR($A192="",$V192="Đã xử lý",N($U192)=0),0,IF(TDBC&lt;=$U192,0,MAX(1,MIN(4,IF((TDBC-$U192)*24&lt;24,1,IF((TDBC-$U192)*24&lt;72,2,IF((TDBC-$U192)*24&lt;168,3,4)))+IFERROR(INDEX({2,1,0,-1},MATCH($J192,{"Khẩn cấp","Cao","Trung bình","Thấp"},0)),0)))))</f>
      </c>
    </row>
    <row r="193">
      <c r="A193" s="216"/>
      <c r="B193" s="217"/>
      <c r="C193" s="218"/>
      <c r="D193" s="218"/>
      <c r="E193" s="218"/>
      <c r="F193" s="218"/>
      <c r="G193" s="216"/>
      <c r="H193" s="218"/>
      <c r="I193" s="218"/>
      <c r="J193" s="216"/>
      <c r="K193" s="218"/>
      <c r="L193" s="218"/>
      <c r="M193" s="218"/>
      <c r="N193" s="218"/>
      <c r="O193" s="219"/>
      <c r="P193" s="216"/>
      <c r="Q193" s="217"/>
      <c r="R193" s="216"/>
      <c r="S193" s="218"/>
      <c r="T193" s="218"/>
      <c r="U193" s="220">
        <f>IF($A193="","",IF(N($Q193)&gt;0,IF(MOD($Q193,1)=0,$Q193+1-1/1440,$Q193),IF(N($B193)=0,"",$B193+IF(N($AH193)&gt;0,$AH193,IFERROR(INDEX(DM_SLA_Gio,MATCH($J193,DM_SLA_Cap,0)),168))/24)))</f>
      </c>
      <c r="V193" s="221">
        <f>IF($A193="","",IF(N($AJ193)=0,"Mới tiếp nhận",INDEX('Nhật ký tiến độ'!$E:$E,$AJ193)))</f>
      </c>
      <c r="W193" s="222">
        <f>IF($A193="","",IF($V193="Đã xử lý",1,IF(N($AJ193)=0,0,N(INDEX('Nhật ký tiến độ'!$D:$D,$AJ193)))))</f>
      </c>
      <c r="X193" s="222">
        <f>IF(OR($A193="",$V193="Đã xử lý",N($U193)=0,N($B193)=0),"",IF(TDBC&lt;=$B193,0,IF(TDBC&gt;=$U193,1,(TDBC-$B193)/($U193-$B193))))</f>
      </c>
      <c r="Y193" s="223">
        <f>IF($A193="","",IF($V193="Đã xử lý","Hoàn thành",IF(N($U193)=0,"Chưa đặt hạn",IF(TDBC&gt;$U193,"Quá hạn",IF(ROUND((N($X193)-$W193)*100,0)&gt;=20,"Chậm tiến độ",IF($U193-TDBC&lt;=1,"Sắp đến hạn","Đúng tiến độ"))))))</f>
      </c>
      <c r="Z193" s="223">
        <f>IF(OR($A193="",$V193="Đã xử lý",N($U193)=0),"",IF(TDBC&gt;$U193,"Quá "&amp;IF(((TDBC-$U193)*24)&lt;1,MAX(1,ROUND(((TDBC-$U193)*24)*60,0))&amp;" phút",IF(ROUND(((TDBC-$U193)*24),0)&lt;24,ROUND(((TDBC-$U193)*24),0)&amp;" giờ",INT(ROUND(((TDBC-$U193)*24),0)/24)&amp;" ngày"&amp;IF(MOD(ROUND(((TDBC-$U193)*24),0),24)&gt;0," "&amp;MOD(ROUND(((TDBC-$U193)*24),0),24)&amp;" giờ",""))),"Còn "&amp;IF((($U193-TDBC)*24)&lt;1,MAX(1,ROUND((($U193-TDBC)*24)*60,0))&amp;" phút",IF(ROUND((($U193-TDBC)*24),0)&lt;24,ROUND((($U193-TDBC)*24),0)&amp;" giờ",INT(ROUND((($U193-TDBC)*24),0)/24)&amp;" ngày"&amp;IF(MOD(ROUND((($U193-TDBC)*24),0),24)&gt;0," "&amp;MOD(ROUND((($U193-TDBC)*24),0),24)&amp;" giờ","")))))</f>
      </c>
      <c r="AA193" s="220">
        <f>IF($V193="Đã xử lý",_xlfn.MAXIFS('Nhật ký tiến độ'!$B$6:$B$3005,'Nhật ký tiến độ'!$C$6:$C$3005,$A193,'Nhật ký tiến độ'!$E$6:$E$3005,"Đã xử lý"),"")</f>
      </c>
      <c r="AB193" s="223">
        <f>IF($AI193="","",IF($AI193&lt;1,MAX(1,ROUND($AI193*60,0))&amp;" phút",IF(ROUND($AI193,0)&lt;24,ROUND($AI193,0)&amp;" giờ",INT(ROUND($AI193,0)/24)&amp;" ngày"&amp;IF(MOD(ROUND($AI193,0),24)&gt;0," "&amp;MOD(ROUND($AI193,0),24)&amp;" giờ",""))))</f>
      </c>
      <c r="AC193" s="223">
        <f>IF(OR($A193="",N($AH193)=0),"",IF($AI193&lt;&gt;"",IF($AI193&lt;=$AH193,"Trong ước tính","Vượt "&amp;IF(($AI193-$AH193)&lt;1,MAX(1,ROUND(($AI193-$AH193)*60,0))&amp;" phút",IF(ROUND(($AI193-$AH193),0)&lt;24,ROUND(($AI193-$AH193),0)&amp;" giờ",INT(ROUND(($AI193-$AH193),0)/24)&amp;" ngày"&amp;IF(MOD(ROUND(($AI193-$AH193),0),24)&gt;0," "&amp;MOD(ROUND(($AI193-$AH193),0),24)&amp;" giờ","")))),IF(OR($V193="Đã xử lý",N($B193)=0),"",IF((TDBC-$B193)*24&gt;$AH193,"Đã vượt ước tính","Đã dùng "&amp;TEXT((TDBC-$B193)*24/$AH193,"0%")))))</f>
      </c>
      <c r="AD193" s="223">
        <f>IF(N($AO193)=0,"",CHOOSE($AO193,"Nhắc nhở","Cảnh báo","Báo động","Báo động đỏ"))</f>
      </c>
      <c r="AE193" s="223">
        <f>IF(OR(N($AA193)=0,N($U193)=0),"",IF($AA193&lt;=$U193,"Đúng hạn","Trễ hạn"))</f>
      </c>
      <c r="AF193" s="220">
        <f>IF($A193="","",_xlfn.MAXIFS('Nhật ký tiến độ'!$B$6:$B$3005,'Nhật ký tiến độ'!$C$6:$C$3005,$A193))</f>
      </c>
      <c r="AG193" s="223">
        <f>IF($A193="","",IF(COUNTIF('Kế hoạch'!$M$6:$M$305,$A193)=0,"",COUNTIF('Kế hoạch'!$M$6:$M$305,$A193)&amp;" việc"))</f>
      </c>
      <c r="AH193" s="224">
        <f>IF(OR($A193="",N($O193)&lt;=0),"",IF($P193="Giờ",$O193,$O193*24))</f>
      </c>
      <c r="AI193" s="224">
        <f>IF(OR(N($AA193)=0,N($B193)=0),"",IF($AA193&lt;$B193,"",($AA193-$B193)*24))</f>
      </c>
      <c r="AJ193" s="225">
        <f>IF($A193="","",IF(COUNTIF('Nhật ký tiến độ'!$C$6:$C$3005,$A193)=0,0,_xlfn.MAXIFS('Nhật ký tiến độ'!$N$6:$N$3005,'Nhật ký tiến độ'!$C$6:$C$3005,$A193,'Nhật ký tiến độ'!$B$6:$B$3005,_xlfn.MAXIFS('Nhật ký tiến độ'!$B$6:$B$3005,'Nhật ký tiến độ'!$C$6:$C$3005,$A193))))</f>
      </c>
      <c r="AK193" s="225">
        <f>IF(OR($A193="",$V193="Đã xử lý"),"",IF(N($AO193)&gt;0,5-$AO193,IF($J193="Khẩn cấp",5,IF($Y193="Chậm tiến độ",6,IF(OR($Y193="Sắp đến hạn",$J193="Cao"),7,"")))))</f>
      </c>
      <c r="AL193" s="225">
        <f>IF($AK193="","",$AK193*100000+IF(N($U193)=0,99999,INT($U193))+ROW()/100000)</f>
      </c>
      <c r="AM193" s="225">
        <f>IF(OR($A193="",TRIM($K193)="",COUNTIF($K$6:$K193,$K193)&gt;1),0,1)</f>
      </c>
      <c r="AN193" s="225">
        <f>IF($AM193=1,SUM($AM$6:$AM193),"")</f>
      </c>
      <c r="AO193" s="225">
        <f>IF(OR($A193="",$V193="Đã xử lý",N($U193)=0),0,IF(TDBC&lt;=$U193,0,MAX(1,MIN(4,IF((TDBC-$U193)*24&lt;24,1,IF((TDBC-$U193)*24&lt;72,2,IF((TDBC-$U193)*24&lt;168,3,4)))+IFERROR(INDEX({2,1,0,-1},MATCH($J193,{"Khẩn cấp","Cao","Trung bình","Thấp"},0)),0)))))</f>
      </c>
    </row>
    <row r="194">
      <c r="A194" s="216"/>
      <c r="B194" s="217"/>
      <c r="C194" s="218"/>
      <c r="D194" s="218"/>
      <c r="E194" s="218"/>
      <c r="F194" s="218"/>
      <c r="G194" s="216"/>
      <c r="H194" s="218"/>
      <c r="I194" s="218"/>
      <c r="J194" s="216"/>
      <c r="K194" s="218"/>
      <c r="L194" s="218"/>
      <c r="M194" s="218"/>
      <c r="N194" s="218"/>
      <c r="O194" s="219"/>
      <c r="P194" s="216"/>
      <c r="Q194" s="217"/>
      <c r="R194" s="216"/>
      <c r="S194" s="218"/>
      <c r="T194" s="218"/>
      <c r="U194" s="220">
        <f>IF($A194="","",IF(N($Q194)&gt;0,IF(MOD($Q194,1)=0,$Q194+1-1/1440,$Q194),IF(N($B194)=0,"",$B194+IF(N($AH194)&gt;0,$AH194,IFERROR(INDEX(DM_SLA_Gio,MATCH($J194,DM_SLA_Cap,0)),168))/24)))</f>
      </c>
      <c r="V194" s="221">
        <f>IF($A194="","",IF(N($AJ194)=0,"Mới tiếp nhận",INDEX('Nhật ký tiến độ'!$E:$E,$AJ194)))</f>
      </c>
      <c r="W194" s="222">
        <f>IF($A194="","",IF($V194="Đã xử lý",1,IF(N($AJ194)=0,0,N(INDEX('Nhật ký tiến độ'!$D:$D,$AJ194)))))</f>
      </c>
      <c r="X194" s="222">
        <f>IF(OR($A194="",$V194="Đã xử lý",N($U194)=0,N($B194)=0),"",IF(TDBC&lt;=$B194,0,IF(TDBC&gt;=$U194,1,(TDBC-$B194)/($U194-$B194))))</f>
      </c>
      <c r="Y194" s="223">
        <f>IF($A194="","",IF($V194="Đã xử lý","Hoàn thành",IF(N($U194)=0,"Chưa đặt hạn",IF(TDBC&gt;$U194,"Quá hạn",IF(ROUND((N($X194)-$W194)*100,0)&gt;=20,"Chậm tiến độ",IF($U194-TDBC&lt;=1,"Sắp đến hạn","Đúng tiến độ"))))))</f>
      </c>
      <c r="Z194" s="223">
        <f>IF(OR($A194="",$V194="Đã xử lý",N($U194)=0),"",IF(TDBC&gt;$U194,"Quá "&amp;IF(((TDBC-$U194)*24)&lt;1,MAX(1,ROUND(((TDBC-$U194)*24)*60,0))&amp;" phút",IF(ROUND(((TDBC-$U194)*24),0)&lt;24,ROUND(((TDBC-$U194)*24),0)&amp;" giờ",INT(ROUND(((TDBC-$U194)*24),0)/24)&amp;" ngày"&amp;IF(MOD(ROUND(((TDBC-$U194)*24),0),24)&gt;0," "&amp;MOD(ROUND(((TDBC-$U194)*24),0),24)&amp;" giờ",""))),"Còn "&amp;IF((($U194-TDBC)*24)&lt;1,MAX(1,ROUND((($U194-TDBC)*24)*60,0))&amp;" phút",IF(ROUND((($U194-TDBC)*24),0)&lt;24,ROUND((($U194-TDBC)*24),0)&amp;" giờ",INT(ROUND((($U194-TDBC)*24),0)/24)&amp;" ngày"&amp;IF(MOD(ROUND((($U194-TDBC)*24),0),24)&gt;0," "&amp;MOD(ROUND((($U194-TDBC)*24),0),24)&amp;" giờ","")))))</f>
      </c>
      <c r="AA194" s="220">
        <f>IF($V194="Đã xử lý",_xlfn.MAXIFS('Nhật ký tiến độ'!$B$6:$B$3005,'Nhật ký tiến độ'!$C$6:$C$3005,$A194,'Nhật ký tiến độ'!$E$6:$E$3005,"Đã xử lý"),"")</f>
      </c>
      <c r="AB194" s="223">
        <f>IF($AI194="","",IF($AI194&lt;1,MAX(1,ROUND($AI194*60,0))&amp;" phút",IF(ROUND($AI194,0)&lt;24,ROUND($AI194,0)&amp;" giờ",INT(ROUND($AI194,0)/24)&amp;" ngày"&amp;IF(MOD(ROUND($AI194,0),24)&gt;0," "&amp;MOD(ROUND($AI194,0),24)&amp;" giờ",""))))</f>
      </c>
      <c r="AC194" s="223">
        <f>IF(OR($A194="",N($AH194)=0),"",IF($AI194&lt;&gt;"",IF($AI194&lt;=$AH194,"Trong ước tính","Vượt "&amp;IF(($AI194-$AH194)&lt;1,MAX(1,ROUND(($AI194-$AH194)*60,0))&amp;" phút",IF(ROUND(($AI194-$AH194),0)&lt;24,ROUND(($AI194-$AH194),0)&amp;" giờ",INT(ROUND(($AI194-$AH194),0)/24)&amp;" ngày"&amp;IF(MOD(ROUND(($AI194-$AH194),0),24)&gt;0," "&amp;MOD(ROUND(($AI194-$AH194),0),24)&amp;" giờ","")))),IF(OR($V194="Đã xử lý",N($B194)=0),"",IF((TDBC-$B194)*24&gt;$AH194,"Đã vượt ước tính","Đã dùng "&amp;TEXT((TDBC-$B194)*24/$AH194,"0%")))))</f>
      </c>
      <c r="AD194" s="223">
        <f>IF(N($AO194)=0,"",CHOOSE($AO194,"Nhắc nhở","Cảnh báo","Báo động","Báo động đỏ"))</f>
      </c>
      <c r="AE194" s="223">
        <f>IF(OR(N($AA194)=0,N($U194)=0),"",IF($AA194&lt;=$U194,"Đúng hạn","Trễ hạn"))</f>
      </c>
      <c r="AF194" s="220">
        <f>IF($A194="","",_xlfn.MAXIFS('Nhật ký tiến độ'!$B$6:$B$3005,'Nhật ký tiến độ'!$C$6:$C$3005,$A194))</f>
      </c>
      <c r="AG194" s="223">
        <f>IF($A194="","",IF(COUNTIF('Kế hoạch'!$M$6:$M$305,$A194)=0,"",COUNTIF('Kế hoạch'!$M$6:$M$305,$A194)&amp;" việc"))</f>
      </c>
      <c r="AH194" s="224">
        <f>IF(OR($A194="",N($O194)&lt;=0),"",IF($P194="Giờ",$O194,$O194*24))</f>
      </c>
      <c r="AI194" s="224">
        <f>IF(OR(N($AA194)=0,N($B194)=0),"",IF($AA194&lt;$B194,"",($AA194-$B194)*24))</f>
      </c>
      <c r="AJ194" s="225">
        <f>IF($A194="","",IF(COUNTIF('Nhật ký tiến độ'!$C$6:$C$3005,$A194)=0,0,_xlfn.MAXIFS('Nhật ký tiến độ'!$N$6:$N$3005,'Nhật ký tiến độ'!$C$6:$C$3005,$A194,'Nhật ký tiến độ'!$B$6:$B$3005,_xlfn.MAXIFS('Nhật ký tiến độ'!$B$6:$B$3005,'Nhật ký tiến độ'!$C$6:$C$3005,$A194))))</f>
      </c>
      <c r="AK194" s="225">
        <f>IF(OR($A194="",$V194="Đã xử lý"),"",IF(N($AO194)&gt;0,5-$AO194,IF($J194="Khẩn cấp",5,IF($Y194="Chậm tiến độ",6,IF(OR($Y194="Sắp đến hạn",$J194="Cao"),7,"")))))</f>
      </c>
      <c r="AL194" s="225">
        <f>IF($AK194="","",$AK194*100000+IF(N($U194)=0,99999,INT($U194))+ROW()/100000)</f>
      </c>
      <c r="AM194" s="225">
        <f>IF(OR($A194="",TRIM($K194)="",COUNTIF($K$6:$K194,$K194)&gt;1),0,1)</f>
      </c>
      <c r="AN194" s="225">
        <f>IF($AM194=1,SUM($AM$6:$AM194),"")</f>
      </c>
      <c r="AO194" s="225">
        <f>IF(OR($A194="",$V194="Đã xử lý",N($U194)=0),0,IF(TDBC&lt;=$U194,0,MAX(1,MIN(4,IF((TDBC-$U194)*24&lt;24,1,IF((TDBC-$U194)*24&lt;72,2,IF((TDBC-$U194)*24&lt;168,3,4)))+IFERROR(INDEX({2,1,0,-1},MATCH($J194,{"Khẩn cấp","Cao","Trung bình","Thấp"},0)),0)))))</f>
      </c>
    </row>
    <row r="195">
      <c r="A195" s="216"/>
      <c r="B195" s="217"/>
      <c r="C195" s="218"/>
      <c r="D195" s="218"/>
      <c r="E195" s="218"/>
      <c r="F195" s="218"/>
      <c r="G195" s="216"/>
      <c r="H195" s="218"/>
      <c r="I195" s="218"/>
      <c r="J195" s="216"/>
      <c r="K195" s="218"/>
      <c r="L195" s="218"/>
      <c r="M195" s="218"/>
      <c r="N195" s="218"/>
      <c r="O195" s="219"/>
      <c r="P195" s="216"/>
      <c r="Q195" s="217"/>
      <c r="R195" s="216"/>
      <c r="S195" s="218"/>
      <c r="T195" s="218"/>
      <c r="U195" s="220">
        <f>IF($A195="","",IF(N($Q195)&gt;0,IF(MOD($Q195,1)=0,$Q195+1-1/1440,$Q195),IF(N($B195)=0,"",$B195+IF(N($AH195)&gt;0,$AH195,IFERROR(INDEX(DM_SLA_Gio,MATCH($J195,DM_SLA_Cap,0)),168))/24)))</f>
      </c>
      <c r="V195" s="221">
        <f>IF($A195="","",IF(N($AJ195)=0,"Mới tiếp nhận",INDEX('Nhật ký tiến độ'!$E:$E,$AJ195)))</f>
      </c>
      <c r="W195" s="222">
        <f>IF($A195="","",IF($V195="Đã xử lý",1,IF(N($AJ195)=0,0,N(INDEX('Nhật ký tiến độ'!$D:$D,$AJ195)))))</f>
      </c>
      <c r="X195" s="222">
        <f>IF(OR($A195="",$V195="Đã xử lý",N($U195)=0,N($B195)=0),"",IF(TDBC&lt;=$B195,0,IF(TDBC&gt;=$U195,1,(TDBC-$B195)/($U195-$B195))))</f>
      </c>
      <c r="Y195" s="223">
        <f>IF($A195="","",IF($V195="Đã xử lý","Hoàn thành",IF(N($U195)=0,"Chưa đặt hạn",IF(TDBC&gt;$U195,"Quá hạn",IF(ROUND((N($X195)-$W195)*100,0)&gt;=20,"Chậm tiến độ",IF($U195-TDBC&lt;=1,"Sắp đến hạn","Đúng tiến độ"))))))</f>
      </c>
      <c r="Z195" s="223">
        <f>IF(OR($A195="",$V195="Đã xử lý",N($U195)=0),"",IF(TDBC&gt;$U195,"Quá "&amp;IF(((TDBC-$U195)*24)&lt;1,MAX(1,ROUND(((TDBC-$U195)*24)*60,0))&amp;" phút",IF(ROUND(((TDBC-$U195)*24),0)&lt;24,ROUND(((TDBC-$U195)*24),0)&amp;" giờ",INT(ROUND(((TDBC-$U195)*24),0)/24)&amp;" ngày"&amp;IF(MOD(ROUND(((TDBC-$U195)*24),0),24)&gt;0," "&amp;MOD(ROUND(((TDBC-$U195)*24),0),24)&amp;" giờ",""))),"Còn "&amp;IF((($U195-TDBC)*24)&lt;1,MAX(1,ROUND((($U195-TDBC)*24)*60,0))&amp;" phút",IF(ROUND((($U195-TDBC)*24),0)&lt;24,ROUND((($U195-TDBC)*24),0)&amp;" giờ",INT(ROUND((($U195-TDBC)*24),0)/24)&amp;" ngày"&amp;IF(MOD(ROUND((($U195-TDBC)*24),0),24)&gt;0," "&amp;MOD(ROUND((($U195-TDBC)*24),0),24)&amp;" giờ","")))))</f>
      </c>
      <c r="AA195" s="220">
        <f>IF($V195="Đã xử lý",_xlfn.MAXIFS('Nhật ký tiến độ'!$B$6:$B$3005,'Nhật ký tiến độ'!$C$6:$C$3005,$A195,'Nhật ký tiến độ'!$E$6:$E$3005,"Đã xử lý"),"")</f>
      </c>
      <c r="AB195" s="223">
        <f>IF($AI195="","",IF($AI195&lt;1,MAX(1,ROUND($AI195*60,0))&amp;" phút",IF(ROUND($AI195,0)&lt;24,ROUND($AI195,0)&amp;" giờ",INT(ROUND($AI195,0)/24)&amp;" ngày"&amp;IF(MOD(ROUND($AI195,0),24)&gt;0," "&amp;MOD(ROUND($AI195,0),24)&amp;" giờ",""))))</f>
      </c>
      <c r="AC195" s="223">
        <f>IF(OR($A195="",N($AH195)=0),"",IF($AI195&lt;&gt;"",IF($AI195&lt;=$AH195,"Trong ước tính","Vượt "&amp;IF(($AI195-$AH195)&lt;1,MAX(1,ROUND(($AI195-$AH195)*60,0))&amp;" phút",IF(ROUND(($AI195-$AH195),0)&lt;24,ROUND(($AI195-$AH195),0)&amp;" giờ",INT(ROUND(($AI195-$AH195),0)/24)&amp;" ngày"&amp;IF(MOD(ROUND(($AI195-$AH195),0),24)&gt;0," "&amp;MOD(ROUND(($AI195-$AH195),0),24)&amp;" giờ","")))),IF(OR($V195="Đã xử lý",N($B195)=0),"",IF((TDBC-$B195)*24&gt;$AH195,"Đã vượt ước tính","Đã dùng "&amp;TEXT((TDBC-$B195)*24/$AH195,"0%")))))</f>
      </c>
      <c r="AD195" s="223">
        <f>IF(N($AO195)=0,"",CHOOSE($AO195,"Nhắc nhở","Cảnh báo","Báo động","Báo động đỏ"))</f>
      </c>
      <c r="AE195" s="223">
        <f>IF(OR(N($AA195)=0,N($U195)=0),"",IF($AA195&lt;=$U195,"Đúng hạn","Trễ hạn"))</f>
      </c>
      <c r="AF195" s="220">
        <f>IF($A195="","",_xlfn.MAXIFS('Nhật ký tiến độ'!$B$6:$B$3005,'Nhật ký tiến độ'!$C$6:$C$3005,$A195))</f>
      </c>
      <c r="AG195" s="223">
        <f>IF($A195="","",IF(COUNTIF('Kế hoạch'!$M$6:$M$305,$A195)=0,"",COUNTIF('Kế hoạch'!$M$6:$M$305,$A195)&amp;" việc"))</f>
      </c>
      <c r="AH195" s="224">
        <f>IF(OR($A195="",N($O195)&lt;=0),"",IF($P195="Giờ",$O195,$O195*24))</f>
      </c>
      <c r="AI195" s="224">
        <f>IF(OR(N($AA195)=0,N($B195)=0),"",IF($AA195&lt;$B195,"",($AA195-$B195)*24))</f>
      </c>
      <c r="AJ195" s="225">
        <f>IF($A195="","",IF(COUNTIF('Nhật ký tiến độ'!$C$6:$C$3005,$A195)=0,0,_xlfn.MAXIFS('Nhật ký tiến độ'!$N$6:$N$3005,'Nhật ký tiến độ'!$C$6:$C$3005,$A195,'Nhật ký tiến độ'!$B$6:$B$3005,_xlfn.MAXIFS('Nhật ký tiến độ'!$B$6:$B$3005,'Nhật ký tiến độ'!$C$6:$C$3005,$A195))))</f>
      </c>
      <c r="AK195" s="225">
        <f>IF(OR($A195="",$V195="Đã xử lý"),"",IF(N($AO195)&gt;0,5-$AO195,IF($J195="Khẩn cấp",5,IF($Y195="Chậm tiến độ",6,IF(OR($Y195="Sắp đến hạn",$J195="Cao"),7,"")))))</f>
      </c>
      <c r="AL195" s="225">
        <f>IF($AK195="","",$AK195*100000+IF(N($U195)=0,99999,INT($U195))+ROW()/100000)</f>
      </c>
      <c r="AM195" s="225">
        <f>IF(OR($A195="",TRIM($K195)="",COUNTIF($K$6:$K195,$K195)&gt;1),0,1)</f>
      </c>
      <c r="AN195" s="225">
        <f>IF($AM195=1,SUM($AM$6:$AM195),"")</f>
      </c>
      <c r="AO195" s="225">
        <f>IF(OR($A195="",$V195="Đã xử lý",N($U195)=0),0,IF(TDBC&lt;=$U195,0,MAX(1,MIN(4,IF((TDBC-$U195)*24&lt;24,1,IF((TDBC-$U195)*24&lt;72,2,IF((TDBC-$U195)*24&lt;168,3,4)))+IFERROR(INDEX({2,1,0,-1},MATCH($J195,{"Khẩn cấp","Cao","Trung bình","Thấp"},0)),0)))))</f>
      </c>
    </row>
    <row r="196">
      <c r="A196" s="216"/>
      <c r="B196" s="217"/>
      <c r="C196" s="218"/>
      <c r="D196" s="218"/>
      <c r="E196" s="218"/>
      <c r="F196" s="218"/>
      <c r="G196" s="216"/>
      <c r="H196" s="218"/>
      <c r="I196" s="218"/>
      <c r="J196" s="216"/>
      <c r="K196" s="218"/>
      <c r="L196" s="218"/>
      <c r="M196" s="218"/>
      <c r="N196" s="218"/>
      <c r="O196" s="219"/>
      <c r="P196" s="216"/>
      <c r="Q196" s="217"/>
      <c r="R196" s="216"/>
      <c r="S196" s="218"/>
      <c r="T196" s="218"/>
      <c r="U196" s="220">
        <f>IF($A196="","",IF(N($Q196)&gt;0,IF(MOD($Q196,1)=0,$Q196+1-1/1440,$Q196),IF(N($B196)=0,"",$B196+IF(N($AH196)&gt;0,$AH196,IFERROR(INDEX(DM_SLA_Gio,MATCH($J196,DM_SLA_Cap,0)),168))/24)))</f>
      </c>
      <c r="V196" s="221">
        <f>IF($A196="","",IF(N($AJ196)=0,"Mới tiếp nhận",INDEX('Nhật ký tiến độ'!$E:$E,$AJ196)))</f>
      </c>
      <c r="W196" s="222">
        <f>IF($A196="","",IF($V196="Đã xử lý",1,IF(N($AJ196)=0,0,N(INDEX('Nhật ký tiến độ'!$D:$D,$AJ196)))))</f>
      </c>
      <c r="X196" s="222">
        <f>IF(OR($A196="",$V196="Đã xử lý",N($U196)=0,N($B196)=0),"",IF(TDBC&lt;=$B196,0,IF(TDBC&gt;=$U196,1,(TDBC-$B196)/($U196-$B196))))</f>
      </c>
      <c r="Y196" s="223">
        <f>IF($A196="","",IF($V196="Đã xử lý","Hoàn thành",IF(N($U196)=0,"Chưa đặt hạn",IF(TDBC&gt;$U196,"Quá hạn",IF(ROUND((N($X196)-$W196)*100,0)&gt;=20,"Chậm tiến độ",IF($U196-TDBC&lt;=1,"Sắp đến hạn","Đúng tiến độ"))))))</f>
      </c>
      <c r="Z196" s="223">
        <f>IF(OR($A196="",$V196="Đã xử lý",N($U196)=0),"",IF(TDBC&gt;$U196,"Quá "&amp;IF(((TDBC-$U196)*24)&lt;1,MAX(1,ROUND(((TDBC-$U196)*24)*60,0))&amp;" phút",IF(ROUND(((TDBC-$U196)*24),0)&lt;24,ROUND(((TDBC-$U196)*24),0)&amp;" giờ",INT(ROUND(((TDBC-$U196)*24),0)/24)&amp;" ngày"&amp;IF(MOD(ROUND(((TDBC-$U196)*24),0),24)&gt;0," "&amp;MOD(ROUND(((TDBC-$U196)*24),0),24)&amp;" giờ",""))),"Còn "&amp;IF((($U196-TDBC)*24)&lt;1,MAX(1,ROUND((($U196-TDBC)*24)*60,0))&amp;" phút",IF(ROUND((($U196-TDBC)*24),0)&lt;24,ROUND((($U196-TDBC)*24),0)&amp;" giờ",INT(ROUND((($U196-TDBC)*24),0)/24)&amp;" ngày"&amp;IF(MOD(ROUND((($U196-TDBC)*24),0),24)&gt;0," "&amp;MOD(ROUND((($U196-TDBC)*24),0),24)&amp;" giờ","")))))</f>
      </c>
      <c r="AA196" s="220">
        <f>IF($V196="Đã xử lý",_xlfn.MAXIFS('Nhật ký tiến độ'!$B$6:$B$3005,'Nhật ký tiến độ'!$C$6:$C$3005,$A196,'Nhật ký tiến độ'!$E$6:$E$3005,"Đã xử lý"),"")</f>
      </c>
      <c r="AB196" s="223">
        <f>IF($AI196="","",IF($AI196&lt;1,MAX(1,ROUND($AI196*60,0))&amp;" phút",IF(ROUND($AI196,0)&lt;24,ROUND($AI196,0)&amp;" giờ",INT(ROUND($AI196,0)/24)&amp;" ngày"&amp;IF(MOD(ROUND($AI196,0),24)&gt;0," "&amp;MOD(ROUND($AI196,0),24)&amp;" giờ",""))))</f>
      </c>
      <c r="AC196" s="223">
        <f>IF(OR($A196="",N($AH196)=0),"",IF($AI196&lt;&gt;"",IF($AI196&lt;=$AH196,"Trong ước tính","Vượt "&amp;IF(($AI196-$AH196)&lt;1,MAX(1,ROUND(($AI196-$AH196)*60,0))&amp;" phút",IF(ROUND(($AI196-$AH196),0)&lt;24,ROUND(($AI196-$AH196),0)&amp;" giờ",INT(ROUND(($AI196-$AH196),0)/24)&amp;" ngày"&amp;IF(MOD(ROUND(($AI196-$AH196),0),24)&gt;0," "&amp;MOD(ROUND(($AI196-$AH196),0),24)&amp;" giờ","")))),IF(OR($V196="Đã xử lý",N($B196)=0),"",IF((TDBC-$B196)*24&gt;$AH196,"Đã vượt ước tính","Đã dùng "&amp;TEXT((TDBC-$B196)*24/$AH196,"0%")))))</f>
      </c>
      <c r="AD196" s="223">
        <f>IF(N($AO196)=0,"",CHOOSE($AO196,"Nhắc nhở","Cảnh báo","Báo động","Báo động đỏ"))</f>
      </c>
      <c r="AE196" s="223">
        <f>IF(OR(N($AA196)=0,N($U196)=0),"",IF($AA196&lt;=$U196,"Đúng hạn","Trễ hạn"))</f>
      </c>
      <c r="AF196" s="220">
        <f>IF($A196="","",_xlfn.MAXIFS('Nhật ký tiến độ'!$B$6:$B$3005,'Nhật ký tiến độ'!$C$6:$C$3005,$A196))</f>
      </c>
      <c r="AG196" s="223">
        <f>IF($A196="","",IF(COUNTIF('Kế hoạch'!$M$6:$M$305,$A196)=0,"",COUNTIF('Kế hoạch'!$M$6:$M$305,$A196)&amp;" việc"))</f>
      </c>
      <c r="AH196" s="224">
        <f>IF(OR($A196="",N($O196)&lt;=0),"",IF($P196="Giờ",$O196,$O196*24))</f>
      </c>
      <c r="AI196" s="224">
        <f>IF(OR(N($AA196)=0,N($B196)=0),"",IF($AA196&lt;$B196,"",($AA196-$B196)*24))</f>
      </c>
      <c r="AJ196" s="225">
        <f>IF($A196="","",IF(COUNTIF('Nhật ký tiến độ'!$C$6:$C$3005,$A196)=0,0,_xlfn.MAXIFS('Nhật ký tiến độ'!$N$6:$N$3005,'Nhật ký tiến độ'!$C$6:$C$3005,$A196,'Nhật ký tiến độ'!$B$6:$B$3005,_xlfn.MAXIFS('Nhật ký tiến độ'!$B$6:$B$3005,'Nhật ký tiến độ'!$C$6:$C$3005,$A196))))</f>
      </c>
      <c r="AK196" s="225">
        <f>IF(OR($A196="",$V196="Đã xử lý"),"",IF(N($AO196)&gt;0,5-$AO196,IF($J196="Khẩn cấp",5,IF($Y196="Chậm tiến độ",6,IF(OR($Y196="Sắp đến hạn",$J196="Cao"),7,"")))))</f>
      </c>
      <c r="AL196" s="225">
        <f>IF($AK196="","",$AK196*100000+IF(N($U196)=0,99999,INT($U196))+ROW()/100000)</f>
      </c>
      <c r="AM196" s="225">
        <f>IF(OR($A196="",TRIM($K196)="",COUNTIF($K$6:$K196,$K196)&gt;1),0,1)</f>
      </c>
      <c r="AN196" s="225">
        <f>IF($AM196=1,SUM($AM$6:$AM196),"")</f>
      </c>
      <c r="AO196" s="225">
        <f>IF(OR($A196="",$V196="Đã xử lý",N($U196)=0),0,IF(TDBC&lt;=$U196,0,MAX(1,MIN(4,IF((TDBC-$U196)*24&lt;24,1,IF((TDBC-$U196)*24&lt;72,2,IF((TDBC-$U196)*24&lt;168,3,4)))+IFERROR(INDEX({2,1,0,-1},MATCH($J196,{"Khẩn cấp","Cao","Trung bình","Thấp"},0)),0)))))</f>
      </c>
    </row>
    <row r="197">
      <c r="A197" s="216"/>
      <c r="B197" s="217"/>
      <c r="C197" s="218"/>
      <c r="D197" s="218"/>
      <c r="E197" s="218"/>
      <c r="F197" s="218"/>
      <c r="G197" s="216"/>
      <c r="H197" s="218"/>
      <c r="I197" s="218"/>
      <c r="J197" s="216"/>
      <c r="K197" s="218"/>
      <c r="L197" s="218"/>
      <c r="M197" s="218"/>
      <c r="N197" s="218"/>
      <c r="O197" s="219"/>
      <c r="P197" s="216"/>
      <c r="Q197" s="217"/>
      <c r="R197" s="216"/>
      <c r="S197" s="218"/>
      <c r="T197" s="218"/>
      <c r="U197" s="220">
        <f>IF($A197="","",IF(N($Q197)&gt;0,IF(MOD($Q197,1)=0,$Q197+1-1/1440,$Q197),IF(N($B197)=0,"",$B197+IF(N($AH197)&gt;0,$AH197,IFERROR(INDEX(DM_SLA_Gio,MATCH($J197,DM_SLA_Cap,0)),168))/24)))</f>
      </c>
      <c r="V197" s="221">
        <f>IF($A197="","",IF(N($AJ197)=0,"Mới tiếp nhận",INDEX('Nhật ký tiến độ'!$E:$E,$AJ197)))</f>
      </c>
      <c r="W197" s="222">
        <f>IF($A197="","",IF($V197="Đã xử lý",1,IF(N($AJ197)=0,0,N(INDEX('Nhật ký tiến độ'!$D:$D,$AJ197)))))</f>
      </c>
      <c r="X197" s="222">
        <f>IF(OR($A197="",$V197="Đã xử lý",N($U197)=0,N($B197)=0),"",IF(TDBC&lt;=$B197,0,IF(TDBC&gt;=$U197,1,(TDBC-$B197)/($U197-$B197))))</f>
      </c>
      <c r="Y197" s="223">
        <f>IF($A197="","",IF($V197="Đã xử lý","Hoàn thành",IF(N($U197)=0,"Chưa đặt hạn",IF(TDBC&gt;$U197,"Quá hạn",IF(ROUND((N($X197)-$W197)*100,0)&gt;=20,"Chậm tiến độ",IF($U197-TDBC&lt;=1,"Sắp đến hạn","Đúng tiến độ"))))))</f>
      </c>
      <c r="Z197" s="223">
        <f>IF(OR($A197="",$V197="Đã xử lý",N($U197)=0),"",IF(TDBC&gt;$U197,"Quá "&amp;IF(((TDBC-$U197)*24)&lt;1,MAX(1,ROUND(((TDBC-$U197)*24)*60,0))&amp;" phút",IF(ROUND(((TDBC-$U197)*24),0)&lt;24,ROUND(((TDBC-$U197)*24),0)&amp;" giờ",INT(ROUND(((TDBC-$U197)*24),0)/24)&amp;" ngày"&amp;IF(MOD(ROUND(((TDBC-$U197)*24),0),24)&gt;0," "&amp;MOD(ROUND(((TDBC-$U197)*24),0),24)&amp;" giờ",""))),"Còn "&amp;IF((($U197-TDBC)*24)&lt;1,MAX(1,ROUND((($U197-TDBC)*24)*60,0))&amp;" phút",IF(ROUND((($U197-TDBC)*24),0)&lt;24,ROUND((($U197-TDBC)*24),0)&amp;" giờ",INT(ROUND((($U197-TDBC)*24),0)/24)&amp;" ngày"&amp;IF(MOD(ROUND((($U197-TDBC)*24),0),24)&gt;0," "&amp;MOD(ROUND((($U197-TDBC)*24),0),24)&amp;" giờ","")))))</f>
      </c>
      <c r="AA197" s="220">
        <f>IF($V197="Đã xử lý",_xlfn.MAXIFS('Nhật ký tiến độ'!$B$6:$B$3005,'Nhật ký tiến độ'!$C$6:$C$3005,$A197,'Nhật ký tiến độ'!$E$6:$E$3005,"Đã xử lý"),"")</f>
      </c>
      <c r="AB197" s="223">
        <f>IF($AI197="","",IF($AI197&lt;1,MAX(1,ROUND($AI197*60,0))&amp;" phút",IF(ROUND($AI197,0)&lt;24,ROUND($AI197,0)&amp;" giờ",INT(ROUND($AI197,0)/24)&amp;" ngày"&amp;IF(MOD(ROUND($AI197,0),24)&gt;0," "&amp;MOD(ROUND($AI197,0),24)&amp;" giờ",""))))</f>
      </c>
      <c r="AC197" s="223">
        <f>IF(OR($A197="",N($AH197)=0),"",IF($AI197&lt;&gt;"",IF($AI197&lt;=$AH197,"Trong ước tính","Vượt "&amp;IF(($AI197-$AH197)&lt;1,MAX(1,ROUND(($AI197-$AH197)*60,0))&amp;" phút",IF(ROUND(($AI197-$AH197),0)&lt;24,ROUND(($AI197-$AH197),0)&amp;" giờ",INT(ROUND(($AI197-$AH197),0)/24)&amp;" ngày"&amp;IF(MOD(ROUND(($AI197-$AH197),0),24)&gt;0," "&amp;MOD(ROUND(($AI197-$AH197),0),24)&amp;" giờ","")))),IF(OR($V197="Đã xử lý",N($B197)=0),"",IF((TDBC-$B197)*24&gt;$AH197,"Đã vượt ước tính","Đã dùng "&amp;TEXT((TDBC-$B197)*24/$AH197,"0%")))))</f>
      </c>
      <c r="AD197" s="223">
        <f>IF(N($AO197)=0,"",CHOOSE($AO197,"Nhắc nhở","Cảnh báo","Báo động","Báo động đỏ"))</f>
      </c>
      <c r="AE197" s="223">
        <f>IF(OR(N($AA197)=0,N($U197)=0),"",IF($AA197&lt;=$U197,"Đúng hạn","Trễ hạn"))</f>
      </c>
      <c r="AF197" s="220">
        <f>IF($A197="","",_xlfn.MAXIFS('Nhật ký tiến độ'!$B$6:$B$3005,'Nhật ký tiến độ'!$C$6:$C$3005,$A197))</f>
      </c>
      <c r="AG197" s="223">
        <f>IF($A197="","",IF(COUNTIF('Kế hoạch'!$M$6:$M$305,$A197)=0,"",COUNTIF('Kế hoạch'!$M$6:$M$305,$A197)&amp;" việc"))</f>
      </c>
      <c r="AH197" s="224">
        <f>IF(OR($A197="",N($O197)&lt;=0),"",IF($P197="Giờ",$O197,$O197*24))</f>
      </c>
      <c r="AI197" s="224">
        <f>IF(OR(N($AA197)=0,N($B197)=0),"",IF($AA197&lt;$B197,"",($AA197-$B197)*24))</f>
      </c>
      <c r="AJ197" s="225">
        <f>IF($A197="","",IF(COUNTIF('Nhật ký tiến độ'!$C$6:$C$3005,$A197)=0,0,_xlfn.MAXIFS('Nhật ký tiến độ'!$N$6:$N$3005,'Nhật ký tiến độ'!$C$6:$C$3005,$A197,'Nhật ký tiến độ'!$B$6:$B$3005,_xlfn.MAXIFS('Nhật ký tiến độ'!$B$6:$B$3005,'Nhật ký tiến độ'!$C$6:$C$3005,$A197))))</f>
      </c>
      <c r="AK197" s="225">
        <f>IF(OR($A197="",$V197="Đã xử lý"),"",IF(N($AO197)&gt;0,5-$AO197,IF($J197="Khẩn cấp",5,IF($Y197="Chậm tiến độ",6,IF(OR($Y197="Sắp đến hạn",$J197="Cao"),7,"")))))</f>
      </c>
      <c r="AL197" s="225">
        <f>IF($AK197="","",$AK197*100000+IF(N($U197)=0,99999,INT($U197))+ROW()/100000)</f>
      </c>
      <c r="AM197" s="225">
        <f>IF(OR($A197="",TRIM($K197)="",COUNTIF($K$6:$K197,$K197)&gt;1),0,1)</f>
      </c>
      <c r="AN197" s="225">
        <f>IF($AM197=1,SUM($AM$6:$AM197),"")</f>
      </c>
      <c r="AO197" s="225">
        <f>IF(OR($A197="",$V197="Đã xử lý",N($U197)=0),0,IF(TDBC&lt;=$U197,0,MAX(1,MIN(4,IF((TDBC-$U197)*24&lt;24,1,IF((TDBC-$U197)*24&lt;72,2,IF((TDBC-$U197)*24&lt;168,3,4)))+IFERROR(INDEX({2,1,0,-1},MATCH($J197,{"Khẩn cấp","Cao","Trung bình","Thấp"},0)),0)))))</f>
      </c>
    </row>
    <row r="198">
      <c r="A198" s="216"/>
      <c r="B198" s="217"/>
      <c r="C198" s="218"/>
      <c r="D198" s="218"/>
      <c r="E198" s="218"/>
      <c r="F198" s="218"/>
      <c r="G198" s="216"/>
      <c r="H198" s="218"/>
      <c r="I198" s="218"/>
      <c r="J198" s="216"/>
      <c r="K198" s="218"/>
      <c r="L198" s="218"/>
      <c r="M198" s="218"/>
      <c r="N198" s="218"/>
      <c r="O198" s="219"/>
      <c r="P198" s="216"/>
      <c r="Q198" s="217"/>
      <c r="R198" s="216"/>
      <c r="S198" s="218"/>
      <c r="T198" s="218"/>
      <c r="U198" s="220">
        <f>IF($A198="","",IF(N($Q198)&gt;0,IF(MOD($Q198,1)=0,$Q198+1-1/1440,$Q198),IF(N($B198)=0,"",$B198+IF(N($AH198)&gt;0,$AH198,IFERROR(INDEX(DM_SLA_Gio,MATCH($J198,DM_SLA_Cap,0)),168))/24)))</f>
      </c>
      <c r="V198" s="221">
        <f>IF($A198="","",IF(N($AJ198)=0,"Mới tiếp nhận",INDEX('Nhật ký tiến độ'!$E:$E,$AJ198)))</f>
      </c>
      <c r="W198" s="222">
        <f>IF($A198="","",IF($V198="Đã xử lý",1,IF(N($AJ198)=0,0,N(INDEX('Nhật ký tiến độ'!$D:$D,$AJ198)))))</f>
      </c>
      <c r="X198" s="222">
        <f>IF(OR($A198="",$V198="Đã xử lý",N($U198)=0,N($B198)=0),"",IF(TDBC&lt;=$B198,0,IF(TDBC&gt;=$U198,1,(TDBC-$B198)/($U198-$B198))))</f>
      </c>
      <c r="Y198" s="223">
        <f>IF($A198="","",IF($V198="Đã xử lý","Hoàn thành",IF(N($U198)=0,"Chưa đặt hạn",IF(TDBC&gt;$U198,"Quá hạn",IF(ROUND((N($X198)-$W198)*100,0)&gt;=20,"Chậm tiến độ",IF($U198-TDBC&lt;=1,"Sắp đến hạn","Đúng tiến độ"))))))</f>
      </c>
      <c r="Z198" s="223">
        <f>IF(OR($A198="",$V198="Đã xử lý",N($U198)=0),"",IF(TDBC&gt;$U198,"Quá "&amp;IF(((TDBC-$U198)*24)&lt;1,MAX(1,ROUND(((TDBC-$U198)*24)*60,0))&amp;" phút",IF(ROUND(((TDBC-$U198)*24),0)&lt;24,ROUND(((TDBC-$U198)*24),0)&amp;" giờ",INT(ROUND(((TDBC-$U198)*24),0)/24)&amp;" ngày"&amp;IF(MOD(ROUND(((TDBC-$U198)*24),0),24)&gt;0," "&amp;MOD(ROUND(((TDBC-$U198)*24),0),24)&amp;" giờ",""))),"Còn "&amp;IF((($U198-TDBC)*24)&lt;1,MAX(1,ROUND((($U198-TDBC)*24)*60,0))&amp;" phút",IF(ROUND((($U198-TDBC)*24),0)&lt;24,ROUND((($U198-TDBC)*24),0)&amp;" giờ",INT(ROUND((($U198-TDBC)*24),0)/24)&amp;" ngày"&amp;IF(MOD(ROUND((($U198-TDBC)*24),0),24)&gt;0," "&amp;MOD(ROUND((($U198-TDBC)*24),0),24)&amp;" giờ","")))))</f>
      </c>
      <c r="AA198" s="220">
        <f>IF($V198="Đã xử lý",_xlfn.MAXIFS('Nhật ký tiến độ'!$B$6:$B$3005,'Nhật ký tiến độ'!$C$6:$C$3005,$A198,'Nhật ký tiến độ'!$E$6:$E$3005,"Đã xử lý"),"")</f>
      </c>
      <c r="AB198" s="223">
        <f>IF($AI198="","",IF($AI198&lt;1,MAX(1,ROUND($AI198*60,0))&amp;" phút",IF(ROUND($AI198,0)&lt;24,ROUND($AI198,0)&amp;" giờ",INT(ROUND($AI198,0)/24)&amp;" ngày"&amp;IF(MOD(ROUND($AI198,0),24)&gt;0," "&amp;MOD(ROUND($AI198,0),24)&amp;" giờ",""))))</f>
      </c>
      <c r="AC198" s="223">
        <f>IF(OR($A198="",N($AH198)=0),"",IF($AI198&lt;&gt;"",IF($AI198&lt;=$AH198,"Trong ước tính","Vượt "&amp;IF(($AI198-$AH198)&lt;1,MAX(1,ROUND(($AI198-$AH198)*60,0))&amp;" phút",IF(ROUND(($AI198-$AH198),0)&lt;24,ROUND(($AI198-$AH198),0)&amp;" giờ",INT(ROUND(($AI198-$AH198),0)/24)&amp;" ngày"&amp;IF(MOD(ROUND(($AI198-$AH198),0),24)&gt;0," "&amp;MOD(ROUND(($AI198-$AH198),0),24)&amp;" giờ","")))),IF(OR($V198="Đã xử lý",N($B198)=0),"",IF((TDBC-$B198)*24&gt;$AH198,"Đã vượt ước tính","Đã dùng "&amp;TEXT((TDBC-$B198)*24/$AH198,"0%")))))</f>
      </c>
      <c r="AD198" s="223">
        <f>IF(N($AO198)=0,"",CHOOSE($AO198,"Nhắc nhở","Cảnh báo","Báo động","Báo động đỏ"))</f>
      </c>
      <c r="AE198" s="223">
        <f>IF(OR(N($AA198)=0,N($U198)=0),"",IF($AA198&lt;=$U198,"Đúng hạn","Trễ hạn"))</f>
      </c>
      <c r="AF198" s="220">
        <f>IF($A198="","",_xlfn.MAXIFS('Nhật ký tiến độ'!$B$6:$B$3005,'Nhật ký tiến độ'!$C$6:$C$3005,$A198))</f>
      </c>
      <c r="AG198" s="223">
        <f>IF($A198="","",IF(COUNTIF('Kế hoạch'!$M$6:$M$305,$A198)=0,"",COUNTIF('Kế hoạch'!$M$6:$M$305,$A198)&amp;" việc"))</f>
      </c>
      <c r="AH198" s="224">
        <f>IF(OR($A198="",N($O198)&lt;=0),"",IF($P198="Giờ",$O198,$O198*24))</f>
      </c>
      <c r="AI198" s="224">
        <f>IF(OR(N($AA198)=0,N($B198)=0),"",IF($AA198&lt;$B198,"",($AA198-$B198)*24))</f>
      </c>
      <c r="AJ198" s="225">
        <f>IF($A198="","",IF(COUNTIF('Nhật ký tiến độ'!$C$6:$C$3005,$A198)=0,0,_xlfn.MAXIFS('Nhật ký tiến độ'!$N$6:$N$3005,'Nhật ký tiến độ'!$C$6:$C$3005,$A198,'Nhật ký tiến độ'!$B$6:$B$3005,_xlfn.MAXIFS('Nhật ký tiến độ'!$B$6:$B$3005,'Nhật ký tiến độ'!$C$6:$C$3005,$A198))))</f>
      </c>
      <c r="AK198" s="225">
        <f>IF(OR($A198="",$V198="Đã xử lý"),"",IF(N($AO198)&gt;0,5-$AO198,IF($J198="Khẩn cấp",5,IF($Y198="Chậm tiến độ",6,IF(OR($Y198="Sắp đến hạn",$J198="Cao"),7,"")))))</f>
      </c>
      <c r="AL198" s="225">
        <f>IF($AK198="","",$AK198*100000+IF(N($U198)=0,99999,INT($U198))+ROW()/100000)</f>
      </c>
      <c r="AM198" s="225">
        <f>IF(OR($A198="",TRIM($K198)="",COUNTIF($K$6:$K198,$K198)&gt;1),0,1)</f>
      </c>
      <c r="AN198" s="225">
        <f>IF($AM198=1,SUM($AM$6:$AM198),"")</f>
      </c>
      <c r="AO198" s="225">
        <f>IF(OR($A198="",$V198="Đã xử lý",N($U198)=0),0,IF(TDBC&lt;=$U198,0,MAX(1,MIN(4,IF((TDBC-$U198)*24&lt;24,1,IF((TDBC-$U198)*24&lt;72,2,IF((TDBC-$U198)*24&lt;168,3,4)))+IFERROR(INDEX({2,1,0,-1},MATCH($J198,{"Khẩn cấp","Cao","Trung bình","Thấp"},0)),0)))))</f>
      </c>
    </row>
    <row r="199">
      <c r="A199" s="216"/>
      <c r="B199" s="217"/>
      <c r="C199" s="218"/>
      <c r="D199" s="218"/>
      <c r="E199" s="218"/>
      <c r="F199" s="218"/>
      <c r="G199" s="216"/>
      <c r="H199" s="218"/>
      <c r="I199" s="218"/>
      <c r="J199" s="216"/>
      <c r="K199" s="218"/>
      <c r="L199" s="218"/>
      <c r="M199" s="218"/>
      <c r="N199" s="218"/>
      <c r="O199" s="219"/>
      <c r="P199" s="216"/>
      <c r="Q199" s="217"/>
      <c r="R199" s="216"/>
      <c r="S199" s="218"/>
      <c r="T199" s="218"/>
      <c r="U199" s="220">
        <f>IF($A199="","",IF(N($Q199)&gt;0,IF(MOD($Q199,1)=0,$Q199+1-1/1440,$Q199),IF(N($B199)=0,"",$B199+IF(N($AH199)&gt;0,$AH199,IFERROR(INDEX(DM_SLA_Gio,MATCH($J199,DM_SLA_Cap,0)),168))/24)))</f>
      </c>
      <c r="V199" s="221">
        <f>IF($A199="","",IF(N($AJ199)=0,"Mới tiếp nhận",INDEX('Nhật ký tiến độ'!$E:$E,$AJ199)))</f>
      </c>
      <c r="W199" s="222">
        <f>IF($A199="","",IF($V199="Đã xử lý",1,IF(N($AJ199)=0,0,N(INDEX('Nhật ký tiến độ'!$D:$D,$AJ199)))))</f>
      </c>
      <c r="X199" s="222">
        <f>IF(OR($A199="",$V199="Đã xử lý",N($U199)=0,N($B199)=0),"",IF(TDBC&lt;=$B199,0,IF(TDBC&gt;=$U199,1,(TDBC-$B199)/($U199-$B199))))</f>
      </c>
      <c r="Y199" s="223">
        <f>IF($A199="","",IF($V199="Đã xử lý","Hoàn thành",IF(N($U199)=0,"Chưa đặt hạn",IF(TDBC&gt;$U199,"Quá hạn",IF(ROUND((N($X199)-$W199)*100,0)&gt;=20,"Chậm tiến độ",IF($U199-TDBC&lt;=1,"Sắp đến hạn","Đúng tiến độ"))))))</f>
      </c>
      <c r="Z199" s="223">
        <f>IF(OR($A199="",$V199="Đã xử lý",N($U199)=0),"",IF(TDBC&gt;$U199,"Quá "&amp;IF(((TDBC-$U199)*24)&lt;1,MAX(1,ROUND(((TDBC-$U199)*24)*60,0))&amp;" phút",IF(ROUND(((TDBC-$U199)*24),0)&lt;24,ROUND(((TDBC-$U199)*24),0)&amp;" giờ",INT(ROUND(((TDBC-$U199)*24),0)/24)&amp;" ngày"&amp;IF(MOD(ROUND(((TDBC-$U199)*24),0),24)&gt;0," "&amp;MOD(ROUND(((TDBC-$U199)*24),0),24)&amp;" giờ",""))),"Còn "&amp;IF((($U199-TDBC)*24)&lt;1,MAX(1,ROUND((($U199-TDBC)*24)*60,0))&amp;" phút",IF(ROUND((($U199-TDBC)*24),0)&lt;24,ROUND((($U199-TDBC)*24),0)&amp;" giờ",INT(ROUND((($U199-TDBC)*24),0)/24)&amp;" ngày"&amp;IF(MOD(ROUND((($U199-TDBC)*24),0),24)&gt;0," "&amp;MOD(ROUND((($U199-TDBC)*24),0),24)&amp;" giờ","")))))</f>
      </c>
      <c r="AA199" s="220">
        <f>IF($V199="Đã xử lý",_xlfn.MAXIFS('Nhật ký tiến độ'!$B$6:$B$3005,'Nhật ký tiến độ'!$C$6:$C$3005,$A199,'Nhật ký tiến độ'!$E$6:$E$3005,"Đã xử lý"),"")</f>
      </c>
      <c r="AB199" s="223">
        <f>IF($AI199="","",IF($AI199&lt;1,MAX(1,ROUND($AI199*60,0))&amp;" phút",IF(ROUND($AI199,0)&lt;24,ROUND($AI199,0)&amp;" giờ",INT(ROUND($AI199,0)/24)&amp;" ngày"&amp;IF(MOD(ROUND($AI199,0),24)&gt;0," "&amp;MOD(ROUND($AI199,0),24)&amp;" giờ",""))))</f>
      </c>
      <c r="AC199" s="223">
        <f>IF(OR($A199="",N($AH199)=0),"",IF($AI199&lt;&gt;"",IF($AI199&lt;=$AH199,"Trong ước tính","Vượt "&amp;IF(($AI199-$AH199)&lt;1,MAX(1,ROUND(($AI199-$AH199)*60,0))&amp;" phút",IF(ROUND(($AI199-$AH199),0)&lt;24,ROUND(($AI199-$AH199),0)&amp;" giờ",INT(ROUND(($AI199-$AH199),0)/24)&amp;" ngày"&amp;IF(MOD(ROUND(($AI199-$AH199),0),24)&gt;0," "&amp;MOD(ROUND(($AI199-$AH199),0),24)&amp;" giờ","")))),IF(OR($V199="Đã xử lý",N($B199)=0),"",IF((TDBC-$B199)*24&gt;$AH199,"Đã vượt ước tính","Đã dùng "&amp;TEXT((TDBC-$B199)*24/$AH199,"0%")))))</f>
      </c>
      <c r="AD199" s="223">
        <f>IF(N($AO199)=0,"",CHOOSE($AO199,"Nhắc nhở","Cảnh báo","Báo động","Báo động đỏ"))</f>
      </c>
      <c r="AE199" s="223">
        <f>IF(OR(N($AA199)=0,N($U199)=0),"",IF($AA199&lt;=$U199,"Đúng hạn","Trễ hạn"))</f>
      </c>
      <c r="AF199" s="220">
        <f>IF($A199="","",_xlfn.MAXIFS('Nhật ký tiến độ'!$B$6:$B$3005,'Nhật ký tiến độ'!$C$6:$C$3005,$A199))</f>
      </c>
      <c r="AG199" s="223">
        <f>IF($A199="","",IF(COUNTIF('Kế hoạch'!$M$6:$M$305,$A199)=0,"",COUNTIF('Kế hoạch'!$M$6:$M$305,$A199)&amp;" việc"))</f>
      </c>
      <c r="AH199" s="224">
        <f>IF(OR($A199="",N($O199)&lt;=0),"",IF($P199="Giờ",$O199,$O199*24))</f>
      </c>
      <c r="AI199" s="224">
        <f>IF(OR(N($AA199)=0,N($B199)=0),"",IF($AA199&lt;$B199,"",($AA199-$B199)*24))</f>
      </c>
      <c r="AJ199" s="225">
        <f>IF($A199="","",IF(COUNTIF('Nhật ký tiến độ'!$C$6:$C$3005,$A199)=0,0,_xlfn.MAXIFS('Nhật ký tiến độ'!$N$6:$N$3005,'Nhật ký tiến độ'!$C$6:$C$3005,$A199,'Nhật ký tiến độ'!$B$6:$B$3005,_xlfn.MAXIFS('Nhật ký tiến độ'!$B$6:$B$3005,'Nhật ký tiến độ'!$C$6:$C$3005,$A199))))</f>
      </c>
      <c r="AK199" s="225">
        <f>IF(OR($A199="",$V199="Đã xử lý"),"",IF(N($AO199)&gt;0,5-$AO199,IF($J199="Khẩn cấp",5,IF($Y199="Chậm tiến độ",6,IF(OR($Y199="Sắp đến hạn",$J199="Cao"),7,"")))))</f>
      </c>
      <c r="AL199" s="225">
        <f>IF($AK199="","",$AK199*100000+IF(N($U199)=0,99999,INT($U199))+ROW()/100000)</f>
      </c>
      <c r="AM199" s="225">
        <f>IF(OR($A199="",TRIM($K199)="",COUNTIF($K$6:$K199,$K199)&gt;1),0,1)</f>
      </c>
      <c r="AN199" s="225">
        <f>IF($AM199=1,SUM($AM$6:$AM199),"")</f>
      </c>
      <c r="AO199" s="225">
        <f>IF(OR($A199="",$V199="Đã xử lý",N($U199)=0),0,IF(TDBC&lt;=$U199,0,MAX(1,MIN(4,IF((TDBC-$U199)*24&lt;24,1,IF((TDBC-$U199)*24&lt;72,2,IF((TDBC-$U199)*24&lt;168,3,4)))+IFERROR(INDEX({2,1,0,-1},MATCH($J199,{"Khẩn cấp","Cao","Trung bình","Thấp"},0)),0)))))</f>
      </c>
    </row>
    <row r="200">
      <c r="A200" s="216"/>
      <c r="B200" s="217"/>
      <c r="C200" s="218"/>
      <c r="D200" s="218"/>
      <c r="E200" s="218"/>
      <c r="F200" s="218"/>
      <c r="G200" s="216"/>
      <c r="H200" s="218"/>
      <c r="I200" s="218"/>
      <c r="J200" s="216"/>
      <c r="K200" s="218"/>
      <c r="L200" s="218"/>
      <c r="M200" s="218"/>
      <c r="N200" s="218"/>
      <c r="O200" s="219"/>
      <c r="P200" s="216"/>
      <c r="Q200" s="217"/>
      <c r="R200" s="216"/>
      <c r="S200" s="218"/>
      <c r="T200" s="218"/>
      <c r="U200" s="220">
        <f>IF($A200="","",IF(N($Q200)&gt;0,IF(MOD($Q200,1)=0,$Q200+1-1/1440,$Q200),IF(N($B200)=0,"",$B200+IF(N($AH200)&gt;0,$AH200,IFERROR(INDEX(DM_SLA_Gio,MATCH($J200,DM_SLA_Cap,0)),168))/24)))</f>
      </c>
      <c r="V200" s="221">
        <f>IF($A200="","",IF(N($AJ200)=0,"Mới tiếp nhận",INDEX('Nhật ký tiến độ'!$E:$E,$AJ200)))</f>
      </c>
      <c r="W200" s="222">
        <f>IF($A200="","",IF($V200="Đã xử lý",1,IF(N($AJ200)=0,0,N(INDEX('Nhật ký tiến độ'!$D:$D,$AJ200)))))</f>
      </c>
      <c r="X200" s="222">
        <f>IF(OR($A200="",$V200="Đã xử lý",N($U200)=0,N($B200)=0),"",IF(TDBC&lt;=$B200,0,IF(TDBC&gt;=$U200,1,(TDBC-$B200)/($U200-$B200))))</f>
      </c>
      <c r="Y200" s="223">
        <f>IF($A200="","",IF($V200="Đã xử lý","Hoàn thành",IF(N($U200)=0,"Chưa đặt hạn",IF(TDBC&gt;$U200,"Quá hạn",IF(ROUND((N($X200)-$W200)*100,0)&gt;=20,"Chậm tiến độ",IF($U200-TDBC&lt;=1,"Sắp đến hạn","Đúng tiến độ"))))))</f>
      </c>
      <c r="Z200" s="223">
        <f>IF(OR($A200="",$V200="Đã xử lý",N($U200)=0),"",IF(TDBC&gt;$U200,"Quá "&amp;IF(((TDBC-$U200)*24)&lt;1,MAX(1,ROUND(((TDBC-$U200)*24)*60,0))&amp;" phút",IF(ROUND(((TDBC-$U200)*24),0)&lt;24,ROUND(((TDBC-$U200)*24),0)&amp;" giờ",INT(ROUND(((TDBC-$U200)*24),0)/24)&amp;" ngày"&amp;IF(MOD(ROUND(((TDBC-$U200)*24),0),24)&gt;0," "&amp;MOD(ROUND(((TDBC-$U200)*24),0),24)&amp;" giờ",""))),"Còn "&amp;IF((($U200-TDBC)*24)&lt;1,MAX(1,ROUND((($U200-TDBC)*24)*60,0))&amp;" phút",IF(ROUND((($U200-TDBC)*24),0)&lt;24,ROUND((($U200-TDBC)*24),0)&amp;" giờ",INT(ROUND((($U200-TDBC)*24),0)/24)&amp;" ngày"&amp;IF(MOD(ROUND((($U200-TDBC)*24),0),24)&gt;0," "&amp;MOD(ROUND((($U200-TDBC)*24),0),24)&amp;" giờ","")))))</f>
      </c>
      <c r="AA200" s="220">
        <f>IF($V200="Đã xử lý",_xlfn.MAXIFS('Nhật ký tiến độ'!$B$6:$B$3005,'Nhật ký tiến độ'!$C$6:$C$3005,$A200,'Nhật ký tiến độ'!$E$6:$E$3005,"Đã xử lý"),"")</f>
      </c>
      <c r="AB200" s="223">
        <f>IF($AI200="","",IF($AI200&lt;1,MAX(1,ROUND($AI200*60,0))&amp;" phút",IF(ROUND($AI200,0)&lt;24,ROUND($AI200,0)&amp;" giờ",INT(ROUND($AI200,0)/24)&amp;" ngày"&amp;IF(MOD(ROUND($AI200,0),24)&gt;0," "&amp;MOD(ROUND($AI200,0),24)&amp;" giờ",""))))</f>
      </c>
      <c r="AC200" s="223">
        <f>IF(OR($A200="",N($AH200)=0),"",IF($AI200&lt;&gt;"",IF($AI200&lt;=$AH200,"Trong ước tính","Vượt "&amp;IF(($AI200-$AH200)&lt;1,MAX(1,ROUND(($AI200-$AH200)*60,0))&amp;" phút",IF(ROUND(($AI200-$AH200),0)&lt;24,ROUND(($AI200-$AH200),0)&amp;" giờ",INT(ROUND(($AI200-$AH200),0)/24)&amp;" ngày"&amp;IF(MOD(ROUND(($AI200-$AH200),0),24)&gt;0," "&amp;MOD(ROUND(($AI200-$AH200),0),24)&amp;" giờ","")))),IF(OR($V200="Đã xử lý",N($B200)=0),"",IF((TDBC-$B200)*24&gt;$AH200,"Đã vượt ước tính","Đã dùng "&amp;TEXT((TDBC-$B200)*24/$AH200,"0%")))))</f>
      </c>
      <c r="AD200" s="223">
        <f>IF(N($AO200)=0,"",CHOOSE($AO200,"Nhắc nhở","Cảnh báo","Báo động","Báo động đỏ"))</f>
      </c>
      <c r="AE200" s="223">
        <f>IF(OR(N($AA200)=0,N($U200)=0),"",IF($AA200&lt;=$U200,"Đúng hạn","Trễ hạn"))</f>
      </c>
      <c r="AF200" s="220">
        <f>IF($A200="","",_xlfn.MAXIFS('Nhật ký tiến độ'!$B$6:$B$3005,'Nhật ký tiến độ'!$C$6:$C$3005,$A200))</f>
      </c>
      <c r="AG200" s="223">
        <f>IF($A200="","",IF(COUNTIF('Kế hoạch'!$M$6:$M$305,$A200)=0,"",COUNTIF('Kế hoạch'!$M$6:$M$305,$A200)&amp;" việc"))</f>
      </c>
      <c r="AH200" s="224">
        <f>IF(OR($A200="",N($O200)&lt;=0),"",IF($P200="Giờ",$O200,$O200*24))</f>
      </c>
      <c r="AI200" s="224">
        <f>IF(OR(N($AA200)=0,N($B200)=0),"",IF($AA200&lt;$B200,"",($AA200-$B200)*24))</f>
      </c>
      <c r="AJ200" s="225">
        <f>IF($A200="","",IF(COUNTIF('Nhật ký tiến độ'!$C$6:$C$3005,$A200)=0,0,_xlfn.MAXIFS('Nhật ký tiến độ'!$N$6:$N$3005,'Nhật ký tiến độ'!$C$6:$C$3005,$A200,'Nhật ký tiến độ'!$B$6:$B$3005,_xlfn.MAXIFS('Nhật ký tiến độ'!$B$6:$B$3005,'Nhật ký tiến độ'!$C$6:$C$3005,$A200))))</f>
      </c>
      <c r="AK200" s="225">
        <f>IF(OR($A200="",$V200="Đã xử lý"),"",IF(N($AO200)&gt;0,5-$AO200,IF($J200="Khẩn cấp",5,IF($Y200="Chậm tiến độ",6,IF(OR($Y200="Sắp đến hạn",$J200="Cao"),7,"")))))</f>
      </c>
      <c r="AL200" s="225">
        <f>IF($AK200="","",$AK200*100000+IF(N($U200)=0,99999,INT($U200))+ROW()/100000)</f>
      </c>
      <c r="AM200" s="225">
        <f>IF(OR($A200="",TRIM($K200)="",COUNTIF($K$6:$K200,$K200)&gt;1),0,1)</f>
      </c>
      <c r="AN200" s="225">
        <f>IF($AM200=1,SUM($AM$6:$AM200),"")</f>
      </c>
      <c r="AO200" s="225">
        <f>IF(OR($A200="",$V200="Đã xử lý",N($U200)=0),0,IF(TDBC&lt;=$U200,0,MAX(1,MIN(4,IF((TDBC-$U200)*24&lt;24,1,IF((TDBC-$U200)*24&lt;72,2,IF((TDBC-$U200)*24&lt;168,3,4)))+IFERROR(INDEX({2,1,0,-1},MATCH($J200,{"Khẩn cấp","Cao","Trung bình","Thấp"},0)),0)))))</f>
      </c>
    </row>
    <row r="201">
      <c r="A201" s="216"/>
      <c r="B201" s="217"/>
      <c r="C201" s="218"/>
      <c r="D201" s="218"/>
      <c r="E201" s="218"/>
      <c r="F201" s="218"/>
      <c r="G201" s="216"/>
      <c r="H201" s="218"/>
      <c r="I201" s="218"/>
      <c r="J201" s="216"/>
      <c r="K201" s="218"/>
      <c r="L201" s="218"/>
      <c r="M201" s="218"/>
      <c r="N201" s="218"/>
      <c r="O201" s="219"/>
      <c r="P201" s="216"/>
      <c r="Q201" s="217"/>
      <c r="R201" s="216"/>
      <c r="S201" s="218"/>
      <c r="T201" s="218"/>
      <c r="U201" s="220">
        <f>IF($A201="","",IF(N($Q201)&gt;0,IF(MOD($Q201,1)=0,$Q201+1-1/1440,$Q201),IF(N($B201)=0,"",$B201+IF(N($AH201)&gt;0,$AH201,IFERROR(INDEX(DM_SLA_Gio,MATCH($J201,DM_SLA_Cap,0)),168))/24)))</f>
      </c>
      <c r="V201" s="221">
        <f>IF($A201="","",IF(N($AJ201)=0,"Mới tiếp nhận",INDEX('Nhật ký tiến độ'!$E:$E,$AJ201)))</f>
      </c>
      <c r="W201" s="222">
        <f>IF($A201="","",IF($V201="Đã xử lý",1,IF(N($AJ201)=0,0,N(INDEX('Nhật ký tiến độ'!$D:$D,$AJ201)))))</f>
      </c>
      <c r="X201" s="222">
        <f>IF(OR($A201="",$V201="Đã xử lý",N($U201)=0,N($B201)=0),"",IF(TDBC&lt;=$B201,0,IF(TDBC&gt;=$U201,1,(TDBC-$B201)/($U201-$B201))))</f>
      </c>
      <c r="Y201" s="223">
        <f>IF($A201="","",IF($V201="Đã xử lý","Hoàn thành",IF(N($U201)=0,"Chưa đặt hạn",IF(TDBC&gt;$U201,"Quá hạn",IF(ROUND((N($X201)-$W201)*100,0)&gt;=20,"Chậm tiến độ",IF($U201-TDBC&lt;=1,"Sắp đến hạn","Đúng tiến độ"))))))</f>
      </c>
      <c r="Z201" s="223">
        <f>IF(OR($A201="",$V201="Đã xử lý",N($U201)=0),"",IF(TDBC&gt;$U201,"Quá "&amp;IF(((TDBC-$U201)*24)&lt;1,MAX(1,ROUND(((TDBC-$U201)*24)*60,0))&amp;" phút",IF(ROUND(((TDBC-$U201)*24),0)&lt;24,ROUND(((TDBC-$U201)*24),0)&amp;" giờ",INT(ROUND(((TDBC-$U201)*24),0)/24)&amp;" ngày"&amp;IF(MOD(ROUND(((TDBC-$U201)*24),0),24)&gt;0," "&amp;MOD(ROUND(((TDBC-$U201)*24),0),24)&amp;" giờ",""))),"Còn "&amp;IF((($U201-TDBC)*24)&lt;1,MAX(1,ROUND((($U201-TDBC)*24)*60,0))&amp;" phút",IF(ROUND((($U201-TDBC)*24),0)&lt;24,ROUND((($U201-TDBC)*24),0)&amp;" giờ",INT(ROUND((($U201-TDBC)*24),0)/24)&amp;" ngày"&amp;IF(MOD(ROUND((($U201-TDBC)*24),0),24)&gt;0," "&amp;MOD(ROUND((($U201-TDBC)*24),0),24)&amp;" giờ","")))))</f>
      </c>
      <c r="AA201" s="220">
        <f>IF($V201="Đã xử lý",_xlfn.MAXIFS('Nhật ký tiến độ'!$B$6:$B$3005,'Nhật ký tiến độ'!$C$6:$C$3005,$A201,'Nhật ký tiến độ'!$E$6:$E$3005,"Đã xử lý"),"")</f>
      </c>
      <c r="AB201" s="223">
        <f>IF($AI201="","",IF($AI201&lt;1,MAX(1,ROUND($AI201*60,0))&amp;" phút",IF(ROUND($AI201,0)&lt;24,ROUND($AI201,0)&amp;" giờ",INT(ROUND($AI201,0)/24)&amp;" ngày"&amp;IF(MOD(ROUND($AI201,0),24)&gt;0," "&amp;MOD(ROUND($AI201,0),24)&amp;" giờ",""))))</f>
      </c>
      <c r="AC201" s="223">
        <f>IF(OR($A201="",N($AH201)=0),"",IF($AI201&lt;&gt;"",IF($AI201&lt;=$AH201,"Trong ước tính","Vượt "&amp;IF(($AI201-$AH201)&lt;1,MAX(1,ROUND(($AI201-$AH201)*60,0))&amp;" phút",IF(ROUND(($AI201-$AH201),0)&lt;24,ROUND(($AI201-$AH201),0)&amp;" giờ",INT(ROUND(($AI201-$AH201),0)/24)&amp;" ngày"&amp;IF(MOD(ROUND(($AI201-$AH201),0),24)&gt;0," "&amp;MOD(ROUND(($AI201-$AH201),0),24)&amp;" giờ","")))),IF(OR($V201="Đã xử lý",N($B201)=0),"",IF((TDBC-$B201)*24&gt;$AH201,"Đã vượt ước tính","Đã dùng "&amp;TEXT((TDBC-$B201)*24/$AH201,"0%")))))</f>
      </c>
      <c r="AD201" s="223">
        <f>IF(N($AO201)=0,"",CHOOSE($AO201,"Nhắc nhở","Cảnh báo","Báo động","Báo động đỏ"))</f>
      </c>
      <c r="AE201" s="223">
        <f>IF(OR(N($AA201)=0,N($U201)=0),"",IF($AA201&lt;=$U201,"Đúng hạn","Trễ hạn"))</f>
      </c>
      <c r="AF201" s="220">
        <f>IF($A201="","",_xlfn.MAXIFS('Nhật ký tiến độ'!$B$6:$B$3005,'Nhật ký tiến độ'!$C$6:$C$3005,$A201))</f>
      </c>
      <c r="AG201" s="223">
        <f>IF($A201="","",IF(COUNTIF('Kế hoạch'!$M$6:$M$305,$A201)=0,"",COUNTIF('Kế hoạch'!$M$6:$M$305,$A201)&amp;" việc"))</f>
      </c>
      <c r="AH201" s="224">
        <f>IF(OR($A201="",N($O201)&lt;=0),"",IF($P201="Giờ",$O201,$O201*24))</f>
      </c>
      <c r="AI201" s="224">
        <f>IF(OR(N($AA201)=0,N($B201)=0),"",IF($AA201&lt;$B201,"",($AA201-$B201)*24))</f>
      </c>
      <c r="AJ201" s="225">
        <f>IF($A201="","",IF(COUNTIF('Nhật ký tiến độ'!$C$6:$C$3005,$A201)=0,0,_xlfn.MAXIFS('Nhật ký tiến độ'!$N$6:$N$3005,'Nhật ký tiến độ'!$C$6:$C$3005,$A201,'Nhật ký tiến độ'!$B$6:$B$3005,_xlfn.MAXIFS('Nhật ký tiến độ'!$B$6:$B$3005,'Nhật ký tiến độ'!$C$6:$C$3005,$A201))))</f>
      </c>
      <c r="AK201" s="225">
        <f>IF(OR($A201="",$V201="Đã xử lý"),"",IF(N($AO201)&gt;0,5-$AO201,IF($J201="Khẩn cấp",5,IF($Y201="Chậm tiến độ",6,IF(OR($Y201="Sắp đến hạn",$J201="Cao"),7,"")))))</f>
      </c>
      <c r="AL201" s="225">
        <f>IF($AK201="","",$AK201*100000+IF(N($U201)=0,99999,INT($U201))+ROW()/100000)</f>
      </c>
      <c r="AM201" s="225">
        <f>IF(OR($A201="",TRIM($K201)="",COUNTIF($K$6:$K201,$K201)&gt;1),0,1)</f>
      </c>
      <c r="AN201" s="225">
        <f>IF($AM201=1,SUM($AM$6:$AM201),"")</f>
      </c>
      <c r="AO201" s="225">
        <f>IF(OR($A201="",$V201="Đã xử lý",N($U201)=0),0,IF(TDBC&lt;=$U201,0,MAX(1,MIN(4,IF((TDBC-$U201)*24&lt;24,1,IF((TDBC-$U201)*24&lt;72,2,IF((TDBC-$U201)*24&lt;168,3,4)))+IFERROR(INDEX({2,1,0,-1},MATCH($J201,{"Khẩn cấp","Cao","Trung bình","Thấp"},0)),0)))))</f>
      </c>
    </row>
    <row r="202">
      <c r="A202" s="216"/>
      <c r="B202" s="217"/>
      <c r="C202" s="218"/>
      <c r="D202" s="218"/>
      <c r="E202" s="218"/>
      <c r="F202" s="218"/>
      <c r="G202" s="216"/>
      <c r="H202" s="218"/>
      <c r="I202" s="218"/>
      <c r="J202" s="216"/>
      <c r="K202" s="218"/>
      <c r="L202" s="218"/>
      <c r="M202" s="218"/>
      <c r="N202" s="218"/>
      <c r="O202" s="219"/>
      <c r="P202" s="216"/>
      <c r="Q202" s="217"/>
      <c r="R202" s="216"/>
      <c r="S202" s="218"/>
      <c r="T202" s="218"/>
      <c r="U202" s="220">
        <f>IF($A202="","",IF(N($Q202)&gt;0,IF(MOD($Q202,1)=0,$Q202+1-1/1440,$Q202),IF(N($B202)=0,"",$B202+IF(N($AH202)&gt;0,$AH202,IFERROR(INDEX(DM_SLA_Gio,MATCH($J202,DM_SLA_Cap,0)),168))/24)))</f>
      </c>
      <c r="V202" s="221">
        <f>IF($A202="","",IF(N($AJ202)=0,"Mới tiếp nhận",INDEX('Nhật ký tiến độ'!$E:$E,$AJ202)))</f>
      </c>
      <c r="W202" s="222">
        <f>IF($A202="","",IF($V202="Đã xử lý",1,IF(N($AJ202)=0,0,N(INDEX('Nhật ký tiến độ'!$D:$D,$AJ202)))))</f>
      </c>
      <c r="X202" s="222">
        <f>IF(OR($A202="",$V202="Đã xử lý",N($U202)=0,N($B202)=0),"",IF(TDBC&lt;=$B202,0,IF(TDBC&gt;=$U202,1,(TDBC-$B202)/($U202-$B202))))</f>
      </c>
      <c r="Y202" s="223">
        <f>IF($A202="","",IF($V202="Đã xử lý","Hoàn thành",IF(N($U202)=0,"Chưa đặt hạn",IF(TDBC&gt;$U202,"Quá hạn",IF(ROUND((N($X202)-$W202)*100,0)&gt;=20,"Chậm tiến độ",IF($U202-TDBC&lt;=1,"Sắp đến hạn","Đúng tiến độ"))))))</f>
      </c>
      <c r="Z202" s="223">
        <f>IF(OR($A202="",$V202="Đã xử lý",N($U202)=0),"",IF(TDBC&gt;$U202,"Quá "&amp;IF(((TDBC-$U202)*24)&lt;1,MAX(1,ROUND(((TDBC-$U202)*24)*60,0))&amp;" phút",IF(ROUND(((TDBC-$U202)*24),0)&lt;24,ROUND(((TDBC-$U202)*24),0)&amp;" giờ",INT(ROUND(((TDBC-$U202)*24),0)/24)&amp;" ngày"&amp;IF(MOD(ROUND(((TDBC-$U202)*24),0),24)&gt;0," "&amp;MOD(ROUND(((TDBC-$U202)*24),0),24)&amp;" giờ",""))),"Còn "&amp;IF((($U202-TDBC)*24)&lt;1,MAX(1,ROUND((($U202-TDBC)*24)*60,0))&amp;" phút",IF(ROUND((($U202-TDBC)*24),0)&lt;24,ROUND((($U202-TDBC)*24),0)&amp;" giờ",INT(ROUND((($U202-TDBC)*24),0)/24)&amp;" ngày"&amp;IF(MOD(ROUND((($U202-TDBC)*24),0),24)&gt;0," "&amp;MOD(ROUND((($U202-TDBC)*24),0),24)&amp;" giờ","")))))</f>
      </c>
      <c r="AA202" s="220">
        <f>IF($V202="Đã xử lý",_xlfn.MAXIFS('Nhật ký tiến độ'!$B$6:$B$3005,'Nhật ký tiến độ'!$C$6:$C$3005,$A202,'Nhật ký tiến độ'!$E$6:$E$3005,"Đã xử lý"),"")</f>
      </c>
      <c r="AB202" s="223">
        <f>IF($AI202="","",IF($AI202&lt;1,MAX(1,ROUND($AI202*60,0))&amp;" phút",IF(ROUND($AI202,0)&lt;24,ROUND($AI202,0)&amp;" giờ",INT(ROUND($AI202,0)/24)&amp;" ngày"&amp;IF(MOD(ROUND($AI202,0),24)&gt;0," "&amp;MOD(ROUND($AI202,0),24)&amp;" giờ",""))))</f>
      </c>
      <c r="AC202" s="223">
        <f>IF(OR($A202="",N($AH202)=0),"",IF($AI202&lt;&gt;"",IF($AI202&lt;=$AH202,"Trong ước tính","Vượt "&amp;IF(($AI202-$AH202)&lt;1,MAX(1,ROUND(($AI202-$AH202)*60,0))&amp;" phút",IF(ROUND(($AI202-$AH202),0)&lt;24,ROUND(($AI202-$AH202),0)&amp;" giờ",INT(ROUND(($AI202-$AH202),0)/24)&amp;" ngày"&amp;IF(MOD(ROUND(($AI202-$AH202),0),24)&gt;0," "&amp;MOD(ROUND(($AI202-$AH202),0),24)&amp;" giờ","")))),IF(OR($V202="Đã xử lý",N($B202)=0),"",IF((TDBC-$B202)*24&gt;$AH202,"Đã vượt ước tính","Đã dùng "&amp;TEXT((TDBC-$B202)*24/$AH202,"0%")))))</f>
      </c>
      <c r="AD202" s="223">
        <f>IF(N($AO202)=0,"",CHOOSE($AO202,"Nhắc nhở","Cảnh báo","Báo động","Báo động đỏ"))</f>
      </c>
      <c r="AE202" s="223">
        <f>IF(OR(N($AA202)=0,N($U202)=0),"",IF($AA202&lt;=$U202,"Đúng hạn","Trễ hạn"))</f>
      </c>
      <c r="AF202" s="220">
        <f>IF($A202="","",_xlfn.MAXIFS('Nhật ký tiến độ'!$B$6:$B$3005,'Nhật ký tiến độ'!$C$6:$C$3005,$A202))</f>
      </c>
      <c r="AG202" s="223">
        <f>IF($A202="","",IF(COUNTIF('Kế hoạch'!$M$6:$M$305,$A202)=0,"",COUNTIF('Kế hoạch'!$M$6:$M$305,$A202)&amp;" việc"))</f>
      </c>
      <c r="AH202" s="224">
        <f>IF(OR($A202="",N($O202)&lt;=0),"",IF($P202="Giờ",$O202,$O202*24))</f>
      </c>
      <c r="AI202" s="224">
        <f>IF(OR(N($AA202)=0,N($B202)=0),"",IF($AA202&lt;$B202,"",($AA202-$B202)*24))</f>
      </c>
      <c r="AJ202" s="225">
        <f>IF($A202="","",IF(COUNTIF('Nhật ký tiến độ'!$C$6:$C$3005,$A202)=0,0,_xlfn.MAXIFS('Nhật ký tiến độ'!$N$6:$N$3005,'Nhật ký tiến độ'!$C$6:$C$3005,$A202,'Nhật ký tiến độ'!$B$6:$B$3005,_xlfn.MAXIFS('Nhật ký tiến độ'!$B$6:$B$3005,'Nhật ký tiến độ'!$C$6:$C$3005,$A202))))</f>
      </c>
      <c r="AK202" s="225">
        <f>IF(OR($A202="",$V202="Đã xử lý"),"",IF(N($AO202)&gt;0,5-$AO202,IF($J202="Khẩn cấp",5,IF($Y202="Chậm tiến độ",6,IF(OR($Y202="Sắp đến hạn",$J202="Cao"),7,"")))))</f>
      </c>
      <c r="AL202" s="225">
        <f>IF($AK202="","",$AK202*100000+IF(N($U202)=0,99999,INT($U202))+ROW()/100000)</f>
      </c>
      <c r="AM202" s="225">
        <f>IF(OR($A202="",TRIM($K202)="",COUNTIF($K$6:$K202,$K202)&gt;1),0,1)</f>
      </c>
      <c r="AN202" s="225">
        <f>IF($AM202=1,SUM($AM$6:$AM202),"")</f>
      </c>
      <c r="AO202" s="225">
        <f>IF(OR($A202="",$V202="Đã xử lý",N($U202)=0),0,IF(TDBC&lt;=$U202,0,MAX(1,MIN(4,IF((TDBC-$U202)*24&lt;24,1,IF((TDBC-$U202)*24&lt;72,2,IF((TDBC-$U202)*24&lt;168,3,4)))+IFERROR(INDEX({2,1,0,-1},MATCH($J202,{"Khẩn cấp","Cao","Trung bình","Thấp"},0)),0)))))</f>
      </c>
    </row>
    <row r="203">
      <c r="A203" s="216"/>
      <c r="B203" s="217"/>
      <c r="C203" s="218"/>
      <c r="D203" s="218"/>
      <c r="E203" s="218"/>
      <c r="F203" s="218"/>
      <c r="G203" s="216"/>
      <c r="H203" s="218"/>
      <c r="I203" s="218"/>
      <c r="J203" s="216"/>
      <c r="K203" s="218"/>
      <c r="L203" s="218"/>
      <c r="M203" s="218"/>
      <c r="N203" s="218"/>
      <c r="O203" s="219"/>
      <c r="P203" s="216"/>
      <c r="Q203" s="217"/>
      <c r="R203" s="216"/>
      <c r="S203" s="218"/>
      <c r="T203" s="218"/>
      <c r="U203" s="220">
        <f>IF($A203="","",IF(N($Q203)&gt;0,IF(MOD($Q203,1)=0,$Q203+1-1/1440,$Q203),IF(N($B203)=0,"",$B203+IF(N($AH203)&gt;0,$AH203,IFERROR(INDEX(DM_SLA_Gio,MATCH($J203,DM_SLA_Cap,0)),168))/24)))</f>
      </c>
      <c r="V203" s="221">
        <f>IF($A203="","",IF(N($AJ203)=0,"Mới tiếp nhận",INDEX('Nhật ký tiến độ'!$E:$E,$AJ203)))</f>
      </c>
      <c r="W203" s="222">
        <f>IF($A203="","",IF($V203="Đã xử lý",1,IF(N($AJ203)=0,0,N(INDEX('Nhật ký tiến độ'!$D:$D,$AJ203)))))</f>
      </c>
      <c r="X203" s="222">
        <f>IF(OR($A203="",$V203="Đã xử lý",N($U203)=0,N($B203)=0),"",IF(TDBC&lt;=$B203,0,IF(TDBC&gt;=$U203,1,(TDBC-$B203)/($U203-$B203))))</f>
      </c>
      <c r="Y203" s="223">
        <f>IF($A203="","",IF($V203="Đã xử lý","Hoàn thành",IF(N($U203)=0,"Chưa đặt hạn",IF(TDBC&gt;$U203,"Quá hạn",IF(ROUND((N($X203)-$W203)*100,0)&gt;=20,"Chậm tiến độ",IF($U203-TDBC&lt;=1,"Sắp đến hạn","Đúng tiến độ"))))))</f>
      </c>
      <c r="Z203" s="223">
        <f>IF(OR($A203="",$V203="Đã xử lý",N($U203)=0),"",IF(TDBC&gt;$U203,"Quá "&amp;IF(((TDBC-$U203)*24)&lt;1,MAX(1,ROUND(((TDBC-$U203)*24)*60,0))&amp;" phút",IF(ROUND(((TDBC-$U203)*24),0)&lt;24,ROUND(((TDBC-$U203)*24),0)&amp;" giờ",INT(ROUND(((TDBC-$U203)*24),0)/24)&amp;" ngày"&amp;IF(MOD(ROUND(((TDBC-$U203)*24),0),24)&gt;0," "&amp;MOD(ROUND(((TDBC-$U203)*24),0),24)&amp;" giờ",""))),"Còn "&amp;IF((($U203-TDBC)*24)&lt;1,MAX(1,ROUND((($U203-TDBC)*24)*60,0))&amp;" phút",IF(ROUND((($U203-TDBC)*24),0)&lt;24,ROUND((($U203-TDBC)*24),0)&amp;" giờ",INT(ROUND((($U203-TDBC)*24),0)/24)&amp;" ngày"&amp;IF(MOD(ROUND((($U203-TDBC)*24),0),24)&gt;0," "&amp;MOD(ROUND((($U203-TDBC)*24),0),24)&amp;" giờ","")))))</f>
      </c>
      <c r="AA203" s="220">
        <f>IF($V203="Đã xử lý",_xlfn.MAXIFS('Nhật ký tiến độ'!$B$6:$B$3005,'Nhật ký tiến độ'!$C$6:$C$3005,$A203,'Nhật ký tiến độ'!$E$6:$E$3005,"Đã xử lý"),"")</f>
      </c>
      <c r="AB203" s="223">
        <f>IF($AI203="","",IF($AI203&lt;1,MAX(1,ROUND($AI203*60,0))&amp;" phút",IF(ROUND($AI203,0)&lt;24,ROUND($AI203,0)&amp;" giờ",INT(ROUND($AI203,0)/24)&amp;" ngày"&amp;IF(MOD(ROUND($AI203,0),24)&gt;0," "&amp;MOD(ROUND($AI203,0),24)&amp;" giờ",""))))</f>
      </c>
      <c r="AC203" s="223">
        <f>IF(OR($A203="",N($AH203)=0),"",IF($AI203&lt;&gt;"",IF($AI203&lt;=$AH203,"Trong ước tính","Vượt "&amp;IF(($AI203-$AH203)&lt;1,MAX(1,ROUND(($AI203-$AH203)*60,0))&amp;" phút",IF(ROUND(($AI203-$AH203),0)&lt;24,ROUND(($AI203-$AH203),0)&amp;" giờ",INT(ROUND(($AI203-$AH203),0)/24)&amp;" ngày"&amp;IF(MOD(ROUND(($AI203-$AH203),0),24)&gt;0," "&amp;MOD(ROUND(($AI203-$AH203),0),24)&amp;" giờ","")))),IF(OR($V203="Đã xử lý",N($B203)=0),"",IF((TDBC-$B203)*24&gt;$AH203,"Đã vượt ước tính","Đã dùng "&amp;TEXT((TDBC-$B203)*24/$AH203,"0%")))))</f>
      </c>
      <c r="AD203" s="223">
        <f>IF(N($AO203)=0,"",CHOOSE($AO203,"Nhắc nhở","Cảnh báo","Báo động","Báo động đỏ"))</f>
      </c>
      <c r="AE203" s="223">
        <f>IF(OR(N($AA203)=0,N($U203)=0),"",IF($AA203&lt;=$U203,"Đúng hạn","Trễ hạn"))</f>
      </c>
      <c r="AF203" s="220">
        <f>IF($A203="","",_xlfn.MAXIFS('Nhật ký tiến độ'!$B$6:$B$3005,'Nhật ký tiến độ'!$C$6:$C$3005,$A203))</f>
      </c>
      <c r="AG203" s="223">
        <f>IF($A203="","",IF(COUNTIF('Kế hoạch'!$M$6:$M$305,$A203)=0,"",COUNTIF('Kế hoạch'!$M$6:$M$305,$A203)&amp;" việc"))</f>
      </c>
      <c r="AH203" s="224">
        <f>IF(OR($A203="",N($O203)&lt;=0),"",IF($P203="Giờ",$O203,$O203*24))</f>
      </c>
      <c r="AI203" s="224">
        <f>IF(OR(N($AA203)=0,N($B203)=0),"",IF($AA203&lt;$B203,"",($AA203-$B203)*24))</f>
      </c>
      <c r="AJ203" s="225">
        <f>IF($A203="","",IF(COUNTIF('Nhật ký tiến độ'!$C$6:$C$3005,$A203)=0,0,_xlfn.MAXIFS('Nhật ký tiến độ'!$N$6:$N$3005,'Nhật ký tiến độ'!$C$6:$C$3005,$A203,'Nhật ký tiến độ'!$B$6:$B$3005,_xlfn.MAXIFS('Nhật ký tiến độ'!$B$6:$B$3005,'Nhật ký tiến độ'!$C$6:$C$3005,$A203))))</f>
      </c>
      <c r="AK203" s="225">
        <f>IF(OR($A203="",$V203="Đã xử lý"),"",IF(N($AO203)&gt;0,5-$AO203,IF($J203="Khẩn cấp",5,IF($Y203="Chậm tiến độ",6,IF(OR($Y203="Sắp đến hạn",$J203="Cao"),7,"")))))</f>
      </c>
      <c r="AL203" s="225">
        <f>IF($AK203="","",$AK203*100000+IF(N($U203)=0,99999,INT($U203))+ROW()/100000)</f>
      </c>
      <c r="AM203" s="225">
        <f>IF(OR($A203="",TRIM($K203)="",COUNTIF($K$6:$K203,$K203)&gt;1),0,1)</f>
      </c>
      <c r="AN203" s="225">
        <f>IF($AM203=1,SUM($AM$6:$AM203),"")</f>
      </c>
      <c r="AO203" s="225">
        <f>IF(OR($A203="",$V203="Đã xử lý",N($U203)=0),0,IF(TDBC&lt;=$U203,0,MAX(1,MIN(4,IF((TDBC-$U203)*24&lt;24,1,IF((TDBC-$U203)*24&lt;72,2,IF((TDBC-$U203)*24&lt;168,3,4)))+IFERROR(INDEX({2,1,0,-1},MATCH($J203,{"Khẩn cấp","Cao","Trung bình","Thấp"},0)),0)))))</f>
      </c>
    </row>
    <row r="204">
      <c r="A204" s="216"/>
      <c r="B204" s="217"/>
      <c r="C204" s="218"/>
      <c r="D204" s="218"/>
      <c r="E204" s="218"/>
      <c r="F204" s="218"/>
      <c r="G204" s="216"/>
      <c r="H204" s="218"/>
      <c r="I204" s="218"/>
      <c r="J204" s="216"/>
      <c r="K204" s="218"/>
      <c r="L204" s="218"/>
      <c r="M204" s="218"/>
      <c r="N204" s="218"/>
      <c r="O204" s="219"/>
      <c r="P204" s="216"/>
      <c r="Q204" s="217"/>
      <c r="R204" s="216"/>
      <c r="S204" s="218"/>
      <c r="T204" s="218"/>
      <c r="U204" s="220">
        <f>IF($A204="","",IF(N($Q204)&gt;0,IF(MOD($Q204,1)=0,$Q204+1-1/1440,$Q204),IF(N($B204)=0,"",$B204+IF(N($AH204)&gt;0,$AH204,IFERROR(INDEX(DM_SLA_Gio,MATCH($J204,DM_SLA_Cap,0)),168))/24)))</f>
      </c>
      <c r="V204" s="221">
        <f>IF($A204="","",IF(N($AJ204)=0,"Mới tiếp nhận",INDEX('Nhật ký tiến độ'!$E:$E,$AJ204)))</f>
      </c>
      <c r="W204" s="222">
        <f>IF($A204="","",IF($V204="Đã xử lý",1,IF(N($AJ204)=0,0,N(INDEX('Nhật ký tiến độ'!$D:$D,$AJ204)))))</f>
      </c>
      <c r="X204" s="222">
        <f>IF(OR($A204="",$V204="Đã xử lý",N($U204)=0,N($B204)=0),"",IF(TDBC&lt;=$B204,0,IF(TDBC&gt;=$U204,1,(TDBC-$B204)/($U204-$B204))))</f>
      </c>
      <c r="Y204" s="223">
        <f>IF($A204="","",IF($V204="Đã xử lý","Hoàn thành",IF(N($U204)=0,"Chưa đặt hạn",IF(TDBC&gt;$U204,"Quá hạn",IF(ROUND((N($X204)-$W204)*100,0)&gt;=20,"Chậm tiến độ",IF($U204-TDBC&lt;=1,"Sắp đến hạn","Đúng tiến độ"))))))</f>
      </c>
      <c r="Z204" s="223">
        <f>IF(OR($A204="",$V204="Đã xử lý",N($U204)=0),"",IF(TDBC&gt;$U204,"Quá "&amp;IF(((TDBC-$U204)*24)&lt;1,MAX(1,ROUND(((TDBC-$U204)*24)*60,0))&amp;" phút",IF(ROUND(((TDBC-$U204)*24),0)&lt;24,ROUND(((TDBC-$U204)*24),0)&amp;" giờ",INT(ROUND(((TDBC-$U204)*24),0)/24)&amp;" ngày"&amp;IF(MOD(ROUND(((TDBC-$U204)*24),0),24)&gt;0," "&amp;MOD(ROUND(((TDBC-$U204)*24),0),24)&amp;" giờ",""))),"Còn "&amp;IF((($U204-TDBC)*24)&lt;1,MAX(1,ROUND((($U204-TDBC)*24)*60,0))&amp;" phút",IF(ROUND((($U204-TDBC)*24),0)&lt;24,ROUND((($U204-TDBC)*24),0)&amp;" giờ",INT(ROUND((($U204-TDBC)*24),0)/24)&amp;" ngày"&amp;IF(MOD(ROUND((($U204-TDBC)*24),0),24)&gt;0," "&amp;MOD(ROUND((($U204-TDBC)*24),0),24)&amp;" giờ","")))))</f>
      </c>
      <c r="AA204" s="220">
        <f>IF($V204="Đã xử lý",_xlfn.MAXIFS('Nhật ký tiến độ'!$B$6:$B$3005,'Nhật ký tiến độ'!$C$6:$C$3005,$A204,'Nhật ký tiến độ'!$E$6:$E$3005,"Đã xử lý"),"")</f>
      </c>
      <c r="AB204" s="223">
        <f>IF($AI204="","",IF($AI204&lt;1,MAX(1,ROUND($AI204*60,0))&amp;" phút",IF(ROUND($AI204,0)&lt;24,ROUND($AI204,0)&amp;" giờ",INT(ROUND($AI204,0)/24)&amp;" ngày"&amp;IF(MOD(ROUND($AI204,0),24)&gt;0," "&amp;MOD(ROUND($AI204,0),24)&amp;" giờ",""))))</f>
      </c>
      <c r="AC204" s="223">
        <f>IF(OR($A204="",N($AH204)=0),"",IF($AI204&lt;&gt;"",IF($AI204&lt;=$AH204,"Trong ước tính","Vượt "&amp;IF(($AI204-$AH204)&lt;1,MAX(1,ROUND(($AI204-$AH204)*60,0))&amp;" phút",IF(ROUND(($AI204-$AH204),0)&lt;24,ROUND(($AI204-$AH204),0)&amp;" giờ",INT(ROUND(($AI204-$AH204),0)/24)&amp;" ngày"&amp;IF(MOD(ROUND(($AI204-$AH204),0),24)&gt;0," "&amp;MOD(ROUND(($AI204-$AH204),0),24)&amp;" giờ","")))),IF(OR($V204="Đã xử lý",N($B204)=0),"",IF((TDBC-$B204)*24&gt;$AH204,"Đã vượt ước tính","Đã dùng "&amp;TEXT((TDBC-$B204)*24/$AH204,"0%")))))</f>
      </c>
      <c r="AD204" s="223">
        <f>IF(N($AO204)=0,"",CHOOSE($AO204,"Nhắc nhở","Cảnh báo","Báo động","Báo động đỏ"))</f>
      </c>
      <c r="AE204" s="223">
        <f>IF(OR(N($AA204)=0,N($U204)=0),"",IF($AA204&lt;=$U204,"Đúng hạn","Trễ hạn"))</f>
      </c>
      <c r="AF204" s="220">
        <f>IF($A204="","",_xlfn.MAXIFS('Nhật ký tiến độ'!$B$6:$B$3005,'Nhật ký tiến độ'!$C$6:$C$3005,$A204))</f>
      </c>
      <c r="AG204" s="223">
        <f>IF($A204="","",IF(COUNTIF('Kế hoạch'!$M$6:$M$305,$A204)=0,"",COUNTIF('Kế hoạch'!$M$6:$M$305,$A204)&amp;" việc"))</f>
      </c>
      <c r="AH204" s="224">
        <f>IF(OR($A204="",N($O204)&lt;=0),"",IF($P204="Giờ",$O204,$O204*24))</f>
      </c>
      <c r="AI204" s="224">
        <f>IF(OR(N($AA204)=0,N($B204)=0),"",IF($AA204&lt;$B204,"",($AA204-$B204)*24))</f>
      </c>
      <c r="AJ204" s="225">
        <f>IF($A204="","",IF(COUNTIF('Nhật ký tiến độ'!$C$6:$C$3005,$A204)=0,0,_xlfn.MAXIFS('Nhật ký tiến độ'!$N$6:$N$3005,'Nhật ký tiến độ'!$C$6:$C$3005,$A204,'Nhật ký tiến độ'!$B$6:$B$3005,_xlfn.MAXIFS('Nhật ký tiến độ'!$B$6:$B$3005,'Nhật ký tiến độ'!$C$6:$C$3005,$A204))))</f>
      </c>
      <c r="AK204" s="225">
        <f>IF(OR($A204="",$V204="Đã xử lý"),"",IF(N($AO204)&gt;0,5-$AO204,IF($J204="Khẩn cấp",5,IF($Y204="Chậm tiến độ",6,IF(OR($Y204="Sắp đến hạn",$J204="Cao"),7,"")))))</f>
      </c>
      <c r="AL204" s="225">
        <f>IF($AK204="","",$AK204*100000+IF(N($U204)=0,99999,INT($U204))+ROW()/100000)</f>
      </c>
      <c r="AM204" s="225">
        <f>IF(OR($A204="",TRIM($K204)="",COUNTIF($K$6:$K204,$K204)&gt;1),0,1)</f>
      </c>
      <c r="AN204" s="225">
        <f>IF($AM204=1,SUM($AM$6:$AM204),"")</f>
      </c>
      <c r="AO204" s="225">
        <f>IF(OR($A204="",$V204="Đã xử lý",N($U204)=0),0,IF(TDBC&lt;=$U204,0,MAX(1,MIN(4,IF((TDBC-$U204)*24&lt;24,1,IF((TDBC-$U204)*24&lt;72,2,IF((TDBC-$U204)*24&lt;168,3,4)))+IFERROR(INDEX({2,1,0,-1},MATCH($J204,{"Khẩn cấp","Cao","Trung bình","Thấp"},0)),0)))))</f>
      </c>
    </row>
    <row r="205">
      <c r="A205" s="216"/>
      <c r="B205" s="217"/>
      <c r="C205" s="218"/>
      <c r="D205" s="218"/>
      <c r="E205" s="218"/>
      <c r="F205" s="218"/>
      <c r="G205" s="216"/>
      <c r="H205" s="218"/>
      <c r="I205" s="218"/>
      <c r="J205" s="216"/>
      <c r="K205" s="218"/>
      <c r="L205" s="218"/>
      <c r="M205" s="218"/>
      <c r="N205" s="218"/>
      <c r="O205" s="219"/>
      <c r="P205" s="216"/>
      <c r="Q205" s="217"/>
      <c r="R205" s="216"/>
      <c r="S205" s="218"/>
      <c r="T205" s="218"/>
      <c r="U205" s="220">
        <f>IF($A205="","",IF(N($Q205)&gt;0,IF(MOD($Q205,1)=0,$Q205+1-1/1440,$Q205),IF(N($B205)=0,"",$B205+IF(N($AH205)&gt;0,$AH205,IFERROR(INDEX(DM_SLA_Gio,MATCH($J205,DM_SLA_Cap,0)),168))/24)))</f>
      </c>
      <c r="V205" s="221">
        <f>IF($A205="","",IF(N($AJ205)=0,"Mới tiếp nhận",INDEX('Nhật ký tiến độ'!$E:$E,$AJ205)))</f>
      </c>
      <c r="W205" s="222">
        <f>IF($A205="","",IF($V205="Đã xử lý",1,IF(N($AJ205)=0,0,N(INDEX('Nhật ký tiến độ'!$D:$D,$AJ205)))))</f>
      </c>
      <c r="X205" s="222">
        <f>IF(OR($A205="",$V205="Đã xử lý",N($U205)=0,N($B205)=0),"",IF(TDBC&lt;=$B205,0,IF(TDBC&gt;=$U205,1,(TDBC-$B205)/($U205-$B205))))</f>
      </c>
      <c r="Y205" s="223">
        <f>IF($A205="","",IF($V205="Đã xử lý","Hoàn thành",IF(N($U205)=0,"Chưa đặt hạn",IF(TDBC&gt;$U205,"Quá hạn",IF(ROUND((N($X205)-$W205)*100,0)&gt;=20,"Chậm tiến độ",IF($U205-TDBC&lt;=1,"Sắp đến hạn","Đúng tiến độ"))))))</f>
      </c>
      <c r="Z205" s="223">
        <f>IF(OR($A205="",$V205="Đã xử lý",N($U205)=0),"",IF(TDBC&gt;$U205,"Quá "&amp;IF(((TDBC-$U205)*24)&lt;1,MAX(1,ROUND(((TDBC-$U205)*24)*60,0))&amp;" phút",IF(ROUND(((TDBC-$U205)*24),0)&lt;24,ROUND(((TDBC-$U205)*24),0)&amp;" giờ",INT(ROUND(((TDBC-$U205)*24),0)/24)&amp;" ngày"&amp;IF(MOD(ROUND(((TDBC-$U205)*24),0),24)&gt;0," "&amp;MOD(ROUND(((TDBC-$U205)*24),0),24)&amp;" giờ",""))),"Còn "&amp;IF((($U205-TDBC)*24)&lt;1,MAX(1,ROUND((($U205-TDBC)*24)*60,0))&amp;" phút",IF(ROUND((($U205-TDBC)*24),0)&lt;24,ROUND((($U205-TDBC)*24),0)&amp;" giờ",INT(ROUND((($U205-TDBC)*24),0)/24)&amp;" ngày"&amp;IF(MOD(ROUND((($U205-TDBC)*24),0),24)&gt;0," "&amp;MOD(ROUND((($U205-TDBC)*24),0),24)&amp;" giờ","")))))</f>
      </c>
      <c r="AA205" s="220">
        <f>IF($V205="Đã xử lý",_xlfn.MAXIFS('Nhật ký tiến độ'!$B$6:$B$3005,'Nhật ký tiến độ'!$C$6:$C$3005,$A205,'Nhật ký tiến độ'!$E$6:$E$3005,"Đã xử lý"),"")</f>
      </c>
      <c r="AB205" s="223">
        <f>IF($AI205="","",IF($AI205&lt;1,MAX(1,ROUND($AI205*60,0))&amp;" phút",IF(ROUND($AI205,0)&lt;24,ROUND($AI205,0)&amp;" giờ",INT(ROUND($AI205,0)/24)&amp;" ngày"&amp;IF(MOD(ROUND($AI205,0),24)&gt;0," "&amp;MOD(ROUND($AI205,0),24)&amp;" giờ",""))))</f>
      </c>
      <c r="AC205" s="223">
        <f>IF(OR($A205="",N($AH205)=0),"",IF($AI205&lt;&gt;"",IF($AI205&lt;=$AH205,"Trong ước tính","Vượt "&amp;IF(($AI205-$AH205)&lt;1,MAX(1,ROUND(($AI205-$AH205)*60,0))&amp;" phút",IF(ROUND(($AI205-$AH205),0)&lt;24,ROUND(($AI205-$AH205),0)&amp;" giờ",INT(ROUND(($AI205-$AH205),0)/24)&amp;" ngày"&amp;IF(MOD(ROUND(($AI205-$AH205),0),24)&gt;0," "&amp;MOD(ROUND(($AI205-$AH205),0),24)&amp;" giờ","")))),IF(OR($V205="Đã xử lý",N($B205)=0),"",IF((TDBC-$B205)*24&gt;$AH205,"Đã vượt ước tính","Đã dùng "&amp;TEXT((TDBC-$B205)*24/$AH205,"0%")))))</f>
      </c>
      <c r="AD205" s="223">
        <f>IF(N($AO205)=0,"",CHOOSE($AO205,"Nhắc nhở","Cảnh báo","Báo động","Báo động đỏ"))</f>
      </c>
      <c r="AE205" s="223">
        <f>IF(OR(N($AA205)=0,N($U205)=0),"",IF($AA205&lt;=$U205,"Đúng hạn","Trễ hạn"))</f>
      </c>
      <c r="AF205" s="220">
        <f>IF($A205="","",_xlfn.MAXIFS('Nhật ký tiến độ'!$B$6:$B$3005,'Nhật ký tiến độ'!$C$6:$C$3005,$A205))</f>
      </c>
      <c r="AG205" s="223">
        <f>IF($A205="","",IF(COUNTIF('Kế hoạch'!$M$6:$M$305,$A205)=0,"",COUNTIF('Kế hoạch'!$M$6:$M$305,$A205)&amp;" việc"))</f>
      </c>
      <c r="AH205" s="224">
        <f>IF(OR($A205="",N($O205)&lt;=0),"",IF($P205="Giờ",$O205,$O205*24))</f>
      </c>
      <c r="AI205" s="224">
        <f>IF(OR(N($AA205)=0,N($B205)=0),"",IF($AA205&lt;$B205,"",($AA205-$B205)*24))</f>
      </c>
      <c r="AJ205" s="225">
        <f>IF($A205="","",IF(COUNTIF('Nhật ký tiến độ'!$C$6:$C$3005,$A205)=0,0,_xlfn.MAXIFS('Nhật ký tiến độ'!$N$6:$N$3005,'Nhật ký tiến độ'!$C$6:$C$3005,$A205,'Nhật ký tiến độ'!$B$6:$B$3005,_xlfn.MAXIFS('Nhật ký tiến độ'!$B$6:$B$3005,'Nhật ký tiến độ'!$C$6:$C$3005,$A205))))</f>
      </c>
      <c r="AK205" s="225">
        <f>IF(OR($A205="",$V205="Đã xử lý"),"",IF(N($AO205)&gt;0,5-$AO205,IF($J205="Khẩn cấp",5,IF($Y205="Chậm tiến độ",6,IF(OR($Y205="Sắp đến hạn",$J205="Cao"),7,"")))))</f>
      </c>
      <c r="AL205" s="225">
        <f>IF($AK205="","",$AK205*100000+IF(N($U205)=0,99999,INT($U205))+ROW()/100000)</f>
      </c>
      <c r="AM205" s="225">
        <f>IF(OR($A205="",TRIM($K205)="",COUNTIF($K$6:$K205,$K205)&gt;1),0,1)</f>
      </c>
      <c r="AN205" s="225">
        <f>IF($AM205=1,SUM($AM$6:$AM205),"")</f>
      </c>
      <c r="AO205" s="225">
        <f>IF(OR($A205="",$V205="Đã xử lý",N($U205)=0),0,IF(TDBC&lt;=$U205,0,MAX(1,MIN(4,IF((TDBC-$U205)*24&lt;24,1,IF((TDBC-$U205)*24&lt;72,2,IF((TDBC-$U205)*24&lt;168,3,4)))+IFERROR(INDEX({2,1,0,-1},MATCH($J205,{"Khẩn cấp","Cao","Trung bình","Thấp"},0)),0)))))</f>
      </c>
    </row>
    <row r="206">
      <c r="A206" s="216"/>
      <c r="B206" s="217"/>
      <c r="C206" s="218"/>
      <c r="D206" s="218"/>
      <c r="E206" s="218"/>
      <c r="F206" s="218"/>
      <c r="G206" s="216"/>
      <c r="H206" s="218"/>
      <c r="I206" s="218"/>
      <c r="J206" s="216"/>
      <c r="K206" s="218"/>
      <c r="L206" s="218"/>
      <c r="M206" s="218"/>
      <c r="N206" s="218"/>
      <c r="O206" s="219"/>
      <c r="P206" s="216"/>
      <c r="Q206" s="217"/>
      <c r="R206" s="216"/>
      <c r="S206" s="218"/>
      <c r="T206" s="218"/>
      <c r="U206" s="220">
        <f>IF($A206="","",IF(N($Q206)&gt;0,IF(MOD($Q206,1)=0,$Q206+1-1/1440,$Q206),IF(N($B206)=0,"",$B206+IF(N($AH206)&gt;0,$AH206,IFERROR(INDEX(DM_SLA_Gio,MATCH($J206,DM_SLA_Cap,0)),168))/24)))</f>
      </c>
      <c r="V206" s="221">
        <f>IF($A206="","",IF(N($AJ206)=0,"Mới tiếp nhận",INDEX('Nhật ký tiến độ'!$E:$E,$AJ206)))</f>
      </c>
      <c r="W206" s="222">
        <f>IF($A206="","",IF($V206="Đã xử lý",1,IF(N($AJ206)=0,0,N(INDEX('Nhật ký tiến độ'!$D:$D,$AJ206)))))</f>
      </c>
      <c r="X206" s="222">
        <f>IF(OR($A206="",$V206="Đã xử lý",N($U206)=0,N($B206)=0),"",IF(TDBC&lt;=$B206,0,IF(TDBC&gt;=$U206,1,(TDBC-$B206)/($U206-$B206))))</f>
      </c>
      <c r="Y206" s="223">
        <f>IF($A206="","",IF($V206="Đã xử lý","Hoàn thành",IF(N($U206)=0,"Chưa đặt hạn",IF(TDBC&gt;$U206,"Quá hạn",IF(ROUND((N($X206)-$W206)*100,0)&gt;=20,"Chậm tiến độ",IF($U206-TDBC&lt;=1,"Sắp đến hạn","Đúng tiến độ"))))))</f>
      </c>
      <c r="Z206" s="223">
        <f>IF(OR($A206="",$V206="Đã xử lý",N($U206)=0),"",IF(TDBC&gt;$U206,"Quá "&amp;IF(((TDBC-$U206)*24)&lt;1,MAX(1,ROUND(((TDBC-$U206)*24)*60,0))&amp;" phút",IF(ROUND(((TDBC-$U206)*24),0)&lt;24,ROUND(((TDBC-$U206)*24),0)&amp;" giờ",INT(ROUND(((TDBC-$U206)*24),0)/24)&amp;" ngày"&amp;IF(MOD(ROUND(((TDBC-$U206)*24),0),24)&gt;0," "&amp;MOD(ROUND(((TDBC-$U206)*24),0),24)&amp;" giờ",""))),"Còn "&amp;IF((($U206-TDBC)*24)&lt;1,MAX(1,ROUND((($U206-TDBC)*24)*60,0))&amp;" phút",IF(ROUND((($U206-TDBC)*24),0)&lt;24,ROUND((($U206-TDBC)*24),0)&amp;" giờ",INT(ROUND((($U206-TDBC)*24),0)/24)&amp;" ngày"&amp;IF(MOD(ROUND((($U206-TDBC)*24),0),24)&gt;0," "&amp;MOD(ROUND((($U206-TDBC)*24),0),24)&amp;" giờ","")))))</f>
      </c>
      <c r="AA206" s="220">
        <f>IF($V206="Đã xử lý",_xlfn.MAXIFS('Nhật ký tiến độ'!$B$6:$B$3005,'Nhật ký tiến độ'!$C$6:$C$3005,$A206,'Nhật ký tiến độ'!$E$6:$E$3005,"Đã xử lý"),"")</f>
      </c>
      <c r="AB206" s="223">
        <f>IF($AI206="","",IF($AI206&lt;1,MAX(1,ROUND($AI206*60,0))&amp;" phút",IF(ROUND($AI206,0)&lt;24,ROUND($AI206,0)&amp;" giờ",INT(ROUND($AI206,0)/24)&amp;" ngày"&amp;IF(MOD(ROUND($AI206,0),24)&gt;0," "&amp;MOD(ROUND($AI206,0),24)&amp;" giờ",""))))</f>
      </c>
      <c r="AC206" s="223">
        <f>IF(OR($A206="",N($AH206)=0),"",IF($AI206&lt;&gt;"",IF($AI206&lt;=$AH206,"Trong ước tính","Vượt "&amp;IF(($AI206-$AH206)&lt;1,MAX(1,ROUND(($AI206-$AH206)*60,0))&amp;" phút",IF(ROUND(($AI206-$AH206),0)&lt;24,ROUND(($AI206-$AH206),0)&amp;" giờ",INT(ROUND(($AI206-$AH206),0)/24)&amp;" ngày"&amp;IF(MOD(ROUND(($AI206-$AH206),0),24)&gt;0," "&amp;MOD(ROUND(($AI206-$AH206),0),24)&amp;" giờ","")))),IF(OR($V206="Đã xử lý",N($B206)=0),"",IF((TDBC-$B206)*24&gt;$AH206,"Đã vượt ước tính","Đã dùng "&amp;TEXT((TDBC-$B206)*24/$AH206,"0%")))))</f>
      </c>
      <c r="AD206" s="223">
        <f>IF(N($AO206)=0,"",CHOOSE($AO206,"Nhắc nhở","Cảnh báo","Báo động","Báo động đỏ"))</f>
      </c>
      <c r="AE206" s="223">
        <f>IF(OR(N($AA206)=0,N($U206)=0),"",IF($AA206&lt;=$U206,"Đúng hạn","Trễ hạn"))</f>
      </c>
      <c r="AF206" s="220">
        <f>IF($A206="","",_xlfn.MAXIFS('Nhật ký tiến độ'!$B$6:$B$3005,'Nhật ký tiến độ'!$C$6:$C$3005,$A206))</f>
      </c>
      <c r="AG206" s="223">
        <f>IF($A206="","",IF(COUNTIF('Kế hoạch'!$M$6:$M$305,$A206)=0,"",COUNTIF('Kế hoạch'!$M$6:$M$305,$A206)&amp;" việc"))</f>
      </c>
      <c r="AH206" s="224">
        <f>IF(OR($A206="",N($O206)&lt;=0),"",IF($P206="Giờ",$O206,$O206*24))</f>
      </c>
      <c r="AI206" s="224">
        <f>IF(OR(N($AA206)=0,N($B206)=0),"",IF($AA206&lt;$B206,"",($AA206-$B206)*24))</f>
      </c>
      <c r="AJ206" s="225">
        <f>IF($A206="","",IF(COUNTIF('Nhật ký tiến độ'!$C$6:$C$3005,$A206)=0,0,_xlfn.MAXIFS('Nhật ký tiến độ'!$N$6:$N$3005,'Nhật ký tiến độ'!$C$6:$C$3005,$A206,'Nhật ký tiến độ'!$B$6:$B$3005,_xlfn.MAXIFS('Nhật ký tiến độ'!$B$6:$B$3005,'Nhật ký tiến độ'!$C$6:$C$3005,$A206))))</f>
      </c>
      <c r="AK206" s="225">
        <f>IF(OR($A206="",$V206="Đã xử lý"),"",IF(N($AO206)&gt;0,5-$AO206,IF($J206="Khẩn cấp",5,IF($Y206="Chậm tiến độ",6,IF(OR($Y206="Sắp đến hạn",$J206="Cao"),7,"")))))</f>
      </c>
      <c r="AL206" s="225">
        <f>IF($AK206="","",$AK206*100000+IF(N($U206)=0,99999,INT($U206))+ROW()/100000)</f>
      </c>
      <c r="AM206" s="225">
        <f>IF(OR($A206="",TRIM($K206)="",COUNTIF($K$6:$K206,$K206)&gt;1),0,1)</f>
      </c>
      <c r="AN206" s="225">
        <f>IF($AM206=1,SUM($AM$6:$AM206),"")</f>
      </c>
      <c r="AO206" s="225">
        <f>IF(OR($A206="",$V206="Đã xử lý",N($U206)=0),0,IF(TDBC&lt;=$U206,0,MAX(1,MIN(4,IF((TDBC-$U206)*24&lt;24,1,IF((TDBC-$U206)*24&lt;72,2,IF((TDBC-$U206)*24&lt;168,3,4)))+IFERROR(INDEX({2,1,0,-1},MATCH($J206,{"Khẩn cấp","Cao","Trung bình","Thấp"},0)),0)))))</f>
      </c>
    </row>
    <row r="207">
      <c r="A207" s="216"/>
      <c r="B207" s="217"/>
      <c r="C207" s="218"/>
      <c r="D207" s="218"/>
      <c r="E207" s="218"/>
      <c r="F207" s="218"/>
      <c r="G207" s="216"/>
      <c r="H207" s="218"/>
      <c r="I207" s="218"/>
      <c r="J207" s="216"/>
      <c r="K207" s="218"/>
      <c r="L207" s="218"/>
      <c r="M207" s="218"/>
      <c r="N207" s="218"/>
      <c r="O207" s="219"/>
      <c r="P207" s="216"/>
      <c r="Q207" s="217"/>
      <c r="R207" s="216"/>
      <c r="S207" s="218"/>
      <c r="T207" s="218"/>
      <c r="U207" s="220">
        <f>IF($A207="","",IF(N($Q207)&gt;0,IF(MOD($Q207,1)=0,$Q207+1-1/1440,$Q207),IF(N($B207)=0,"",$B207+IF(N($AH207)&gt;0,$AH207,IFERROR(INDEX(DM_SLA_Gio,MATCH($J207,DM_SLA_Cap,0)),168))/24)))</f>
      </c>
      <c r="V207" s="221">
        <f>IF($A207="","",IF(N($AJ207)=0,"Mới tiếp nhận",INDEX('Nhật ký tiến độ'!$E:$E,$AJ207)))</f>
      </c>
      <c r="W207" s="222">
        <f>IF($A207="","",IF($V207="Đã xử lý",1,IF(N($AJ207)=0,0,N(INDEX('Nhật ký tiến độ'!$D:$D,$AJ207)))))</f>
      </c>
      <c r="X207" s="222">
        <f>IF(OR($A207="",$V207="Đã xử lý",N($U207)=0,N($B207)=0),"",IF(TDBC&lt;=$B207,0,IF(TDBC&gt;=$U207,1,(TDBC-$B207)/($U207-$B207))))</f>
      </c>
      <c r="Y207" s="223">
        <f>IF($A207="","",IF($V207="Đã xử lý","Hoàn thành",IF(N($U207)=0,"Chưa đặt hạn",IF(TDBC&gt;$U207,"Quá hạn",IF(ROUND((N($X207)-$W207)*100,0)&gt;=20,"Chậm tiến độ",IF($U207-TDBC&lt;=1,"Sắp đến hạn","Đúng tiến độ"))))))</f>
      </c>
      <c r="Z207" s="223">
        <f>IF(OR($A207="",$V207="Đã xử lý",N($U207)=0),"",IF(TDBC&gt;$U207,"Quá "&amp;IF(((TDBC-$U207)*24)&lt;1,MAX(1,ROUND(((TDBC-$U207)*24)*60,0))&amp;" phút",IF(ROUND(((TDBC-$U207)*24),0)&lt;24,ROUND(((TDBC-$U207)*24),0)&amp;" giờ",INT(ROUND(((TDBC-$U207)*24),0)/24)&amp;" ngày"&amp;IF(MOD(ROUND(((TDBC-$U207)*24),0),24)&gt;0," "&amp;MOD(ROUND(((TDBC-$U207)*24),0),24)&amp;" giờ",""))),"Còn "&amp;IF((($U207-TDBC)*24)&lt;1,MAX(1,ROUND((($U207-TDBC)*24)*60,0))&amp;" phút",IF(ROUND((($U207-TDBC)*24),0)&lt;24,ROUND((($U207-TDBC)*24),0)&amp;" giờ",INT(ROUND((($U207-TDBC)*24),0)/24)&amp;" ngày"&amp;IF(MOD(ROUND((($U207-TDBC)*24),0),24)&gt;0," "&amp;MOD(ROUND((($U207-TDBC)*24),0),24)&amp;" giờ","")))))</f>
      </c>
      <c r="AA207" s="220">
        <f>IF($V207="Đã xử lý",_xlfn.MAXIFS('Nhật ký tiến độ'!$B$6:$B$3005,'Nhật ký tiến độ'!$C$6:$C$3005,$A207,'Nhật ký tiến độ'!$E$6:$E$3005,"Đã xử lý"),"")</f>
      </c>
      <c r="AB207" s="223">
        <f>IF($AI207="","",IF($AI207&lt;1,MAX(1,ROUND($AI207*60,0))&amp;" phút",IF(ROUND($AI207,0)&lt;24,ROUND($AI207,0)&amp;" giờ",INT(ROUND($AI207,0)/24)&amp;" ngày"&amp;IF(MOD(ROUND($AI207,0),24)&gt;0," "&amp;MOD(ROUND($AI207,0),24)&amp;" giờ",""))))</f>
      </c>
      <c r="AC207" s="223">
        <f>IF(OR($A207="",N($AH207)=0),"",IF($AI207&lt;&gt;"",IF($AI207&lt;=$AH207,"Trong ước tính","Vượt "&amp;IF(($AI207-$AH207)&lt;1,MAX(1,ROUND(($AI207-$AH207)*60,0))&amp;" phút",IF(ROUND(($AI207-$AH207),0)&lt;24,ROUND(($AI207-$AH207),0)&amp;" giờ",INT(ROUND(($AI207-$AH207),0)/24)&amp;" ngày"&amp;IF(MOD(ROUND(($AI207-$AH207),0),24)&gt;0," "&amp;MOD(ROUND(($AI207-$AH207),0),24)&amp;" giờ","")))),IF(OR($V207="Đã xử lý",N($B207)=0),"",IF((TDBC-$B207)*24&gt;$AH207,"Đã vượt ước tính","Đã dùng "&amp;TEXT((TDBC-$B207)*24/$AH207,"0%")))))</f>
      </c>
      <c r="AD207" s="223">
        <f>IF(N($AO207)=0,"",CHOOSE($AO207,"Nhắc nhở","Cảnh báo","Báo động","Báo động đỏ"))</f>
      </c>
      <c r="AE207" s="223">
        <f>IF(OR(N($AA207)=0,N($U207)=0),"",IF($AA207&lt;=$U207,"Đúng hạn","Trễ hạn"))</f>
      </c>
      <c r="AF207" s="220">
        <f>IF($A207="","",_xlfn.MAXIFS('Nhật ký tiến độ'!$B$6:$B$3005,'Nhật ký tiến độ'!$C$6:$C$3005,$A207))</f>
      </c>
      <c r="AG207" s="223">
        <f>IF($A207="","",IF(COUNTIF('Kế hoạch'!$M$6:$M$305,$A207)=0,"",COUNTIF('Kế hoạch'!$M$6:$M$305,$A207)&amp;" việc"))</f>
      </c>
      <c r="AH207" s="224">
        <f>IF(OR($A207="",N($O207)&lt;=0),"",IF($P207="Giờ",$O207,$O207*24))</f>
      </c>
      <c r="AI207" s="224">
        <f>IF(OR(N($AA207)=0,N($B207)=0),"",IF($AA207&lt;$B207,"",($AA207-$B207)*24))</f>
      </c>
      <c r="AJ207" s="225">
        <f>IF($A207="","",IF(COUNTIF('Nhật ký tiến độ'!$C$6:$C$3005,$A207)=0,0,_xlfn.MAXIFS('Nhật ký tiến độ'!$N$6:$N$3005,'Nhật ký tiến độ'!$C$6:$C$3005,$A207,'Nhật ký tiến độ'!$B$6:$B$3005,_xlfn.MAXIFS('Nhật ký tiến độ'!$B$6:$B$3005,'Nhật ký tiến độ'!$C$6:$C$3005,$A207))))</f>
      </c>
      <c r="AK207" s="225">
        <f>IF(OR($A207="",$V207="Đã xử lý"),"",IF(N($AO207)&gt;0,5-$AO207,IF($J207="Khẩn cấp",5,IF($Y207="Chậm tiến độ",6,IF(OR($Y207="Sắp đến hạn",$J207="Cao"),7,"")))))</f>
      </c>
      <c r="AL207" s="225">
        <f>IF($AK207="","",$AK207*100000+IF(N($U207)=0,99999,INT($U207))+ROW()/100000)</f>
      </c>
      <c r="AM207" s="225">
        <f>IF(OR($A207="",TRIM($K207)="",COUNTIF($K$6:$K207,$K207)&gt;1),0,1)</f>
      </c>
      <c r="AN207" s="225">
        <f>IF($AM207=1,SUM($AM$6:$AM207),"")</f>
      </c>
      <c r="AO207" s="225">
        <f>IF(OR($A207="",$V207="Đã xử lý",N($U207)=0),0,IF(TDBC&lt;=$U207,0,MAX(1,MIN(4,IF((TDBC-$U207)*24&lt;24,1,IF((TDBC-$U207)*24&lt;72,2,IF((TDBC-$U207)*24&lt;168,3,4)))+IFERROR(INDEX({2,1,0,-1},MATCH($J207,{"Khẩn cấp","Cao","Trung bình","Thấp"},0)),0)))))</f>
      </c>
    </row>
    <row r="208">
      <c r="A208" s="216"/>
      <c r="B208" s="217"/>
      <c r="C208" s="218"/>
      <c r="D208" s="218"/>
      <c r="E208" s="218"/>
      <c r="F208" s="218"/>
      <c r="G208" s="216"/>
      <c r="H208" s="218"/>
      <c r="I208" s="218"/>
      <c r="J208" s="216"/>
      <c r="K208" s="218"/>
      <c r="L208" s="218"/>
      <c r="M208" s="218"/>
      <c r="N208" s="218"/>
      <c r="O208" s="219"/>
      <c r="P208" s="216"/>
      <c r="Q208" s="217"/>
      <c r="R208" s="216"/>
      <c r="S208" s="218"/>
      <c r="T208" s="218"/>
      <c r="U208" s="220">
        <f>IF($A208="","",IF(N($Q208)&gt;0,IF(MOD($Q208,1)=0,$Q208+1-1/1440,$Q208),IF(N($B208)=0,"",$B208+IF(N($AH208)&gt;0,$AH208,IFERROR(INDEX(DM_SLA_Gio,MATCH($J208,DM_SLA_Cap,0)),168))/24)))</f>
      </c>
      <c r="V208" s="221">
        <f>IF($A208="","",IF(N($AJ208)=0,"Mới tiếp nhận",INDEX('Nhật ký tiến độ'!$E:$E,$AJ208)))</f>
      </c>
      <c r="W208" s="222">
        <f>IF($A208="","",IF($V208="Đã xử lý",1,IF(N($AJ208)=0,0,N(INDEX('Nhật ký tiến độ'!$D:$D,$AJ208)))))</f>
      </c>
      <c r="X208" s="222">
        <f>IF(OR($A208="",$V208="Đã xử lý",N($U208)=0,N($B208)=0),"",IF(TDBC&lt;=$B208,0,IF(TDBC&gt;=$U208,1,(TDBC-$B208)/($U208-$B208))))</f>
      </c>
      <c r="Y208" s="223">
        <f>IF($A208="","",IF($V208="Đã xử lý","Hoàn thành",IF(N($U208)=0,"Chưa đặt hạn",IF(TDBC&gt;$U208,"Quá hạn",IF(ROUND((N($X208)-$W208)*100,0)&gt;=20,"Chậm tiến độ",IF($U208-TDBC&lt;=1,"Sắp đến hạn","Đúng tiến độ"))))))</f>
      </c>
      <c r="Z208" s="223">
        <f>IF(OR($A208="",$V208="Đã xử lý",N($U208)=0),"",IF(TDBC&gt;$U208,"Quá "&amp;IF(((TDBC-$U208)*24)&lt;1,MAX(1,ROUND(((TDBC-$U208)*24)*60,0))&amp;" phút",IF(ROUND(((TDBC-$U208)*24),0)&lt;24,ROUND(((TDBC-$U208)*24),0)&amp;" giờ",INT(ROUND(((TDBC-$U208)*24),0)/24)&amp;" ngày"&amp;IF(MOD(ROUND(((TDBC-$U208)*24),0),24)&gt;0," "&amp;MOD(ROUND(((TDBC-$U208)*24),0),24)&amp;" giờ",""))),"Còn "&amp;IF((($U208-TDBC)*24)&lt;1,MAX(1,ROUND((($U208-TDBC)*24)*60,0))&amp;" phút",IF(ROUND((($U208-TDBC)*24),0)&lt;24,ROUND((($U208-TDBC)*24),0)&amp;" giờ",INT(ROUND((($U208-TDBC)*24),0)/24)&amp;" ngày"&amp;IF(MOD(ROUND((($U208-TDBC)*24),0),24)&gt;0," "&amp;MOD(ROUND((($U208-TDBC)*24),0),24)&amp;" giờ","")))))</f>
      </c>
      <c r="AA208" s="220">
        <f>IF($V208="Đã xử lý",_xlfn.MAXIFS('Nhật ký tiến độ'!$B$6:$B$3005,'Nhật ký tiến độ'!$C$6:$C$3005,$A208,'Nhật ký tiến độ'!$E$6:$E$3005,"Đã xử lý"),"")</f>
      </c>
      <c r="AB208" s="223">
        <f>IF($AI208="","",IF($AI208&lt;1,MAX(1,ROUND($AI208*60,0))&amp;" phút",IF(ROUND($AI208,0)&lt;24,ROUND($AI208,0)&amp;" giờ",INT(ROUND($AI208,0)/24)&amp;" ngày"&amp;IF(MOD(ROUND($AI208,0),24)&gt;0," "&amp;MOD(ROUND($AI208,0),24)&amp;" giờ",""))))</f>
      </c>
      <c r="AC208" s="223">
        <f>IF(OR($A208="",N($AH208)=0),"",IF($AI208&lt;&gt;"",IF($AI208&lt;=$AH208,"Trong ước tính","Vượt "&amp;IF(($AI208-$AH208)&lt;1,MAX(1,ROUND(($AI208-$AH208)*60,0))&amp;" phút",IF(ROUND(($AI208-$AH208),0)&lt;24,ROUND(($AI208-$AH208),0)&amp;" giờ",INT(ROUND(($AI208-$AH208),0)/24)&amp;" ngày"&amp;IF(MOD(ROUND(($AI208-$AH208),0),24)&gt;0," "&amp;MOD(ROUND(($AI208-$AH208),0),24)&amp;" giờ","")))),IF(OR($V208="Đã xử lý",N($B208)=0),"",IF((TDBC-$B208)*24&gt;$AH208,"Đã vượt ước tính","Đã dùng "&amp;TEXT((TDBC-$B208)*24/$AH208,"0%")))))</f>
      </c>
      <c r="AD208" s="223">
        <f>IF(N($AO208)=0,"",CHOOSE($AO208,"Nhắc nhở","Cảnh báo","Báo động","Báo động đỏ"))</f>
      </c>
      <c r="AE208" s="223">
        <f>IF(OR(N($AA208)=0,N($U208)=0),"",IF($AA208&lt;=$U208,"Đúng hạn","Trễ hạn"))</f>
      </c>
      <c r="AF208" s="220">
        <f>IF($A208="","",_xlfn.MAXIFS('Nhật ký tiến độ'!$B$6:$B$3005,'Nhật ký tiến độ'!$C$6:$C$3005,$A208))</f>
      </c>
      <c r="AG208" s="223">
        <f>IF($A208="","",IF(COUNTIF('Kế hoạch'!$M$6:$M$305,$A208)=0,"",COUNTIF('Kế hoạch'!$M$6:$M$305,$A208)&amp;" việc"))</f>
      </c>
      <c r="AH208" s="224">
        <f>IF(OR($A208="",N($O208)&lt;=0),"",IF($P208="Giờ",$O208,$O208*24))</f>
      </c>
      <c r="AI208" s="224">
        <f>IF(OR(N($AA208)=0,N($B208)=0),"",IF($AA208&lt;$B208,"",($AA208-$B208)*24))</f>
      </c>
      <c r="AJ208" s="225">
        <f>IF($A208="","",IF(COUNTIF('Nhật ký tiến độ'!$C$6:$C$3005,$A208)=0,0,_xlfn.MAXIFS('Nhật ký tiến độ'!$N$6:$N$3005,'Nhật ký tiến độ'!$C$6:$C$3005,$A208,'Nhật ký tiến độ'!$B$6:$B$3005,_xlfn.MAXIFS('Nhật ký tiến độ'!$B$6:$B$3005,'Nhật ký tiến độ'!$C$6:$C$3005,$A208))))</f>
      </c>
      <c r="AK208" s="225">
        <f>IF(OR($A208="",$V208="Đã xử lý"),"",IF(N($AO208)&gt;0,5-$AO208,IF($J208="Khẩn cấp",5,IF($Y208="Chậm tiến độ",6,IF(OR($Y208="Sắp đến hạn",$J208="Cao"),7,"")))))</f>
      </c>
      <c r="AL208" s="225">
        <f>IF($AK208="","",$AK208*100000+IF(N($U208)=0,99999,INT($U208))+ROW()/100000)</f>
      </c>
      <c r="AM208" s="225">
        <f>IF(OR($A208="",TRIM($K208)="",COUNTIF($K$6:$K208,$K208)&gt;1),0,1)</f>
      </c>
      <c r="AN208" s="225">
        <f>IF($AM208=1,SUM($AM$6:$AM208),"")</f>
      </c>
      <c r="AO208" s="225">
        <f>IF(OR($A208="",$V208="Đã xử lý",N($U208)=0),0,IF(TDBC&lt;=$U208,0,MAX(1,MIN(4,IF((TDBC-$U208)*24&lt;24,1,IF((TDBC-$U208)*24&lt;72,2,IF((TDBC-$U208)*24&lt;168,3,4)))+IFERROR(INDEX({2,1,0,-1},MATCH($J208,{"Khẩn cấp","Cao","Trung bình","Thấp"},0)),0)))))</f>
      </c>
    </row>
    <row r="209">
      <c r="A209" s="216"/>
      <c r="B209" s="217"/>
      <c r="C209" s="218"/>
      <c r="D209" s="218"/>
      <c r="E209" s="218"/>
      <c r="F209" s="218"/>
      <c r="G209" s="216"/>
      <c r="H209" s="218"/>
      <c r="I209" s="218"/>
      <c r="J209" s="216"/>
      <c r="K209" s="218"/>
      <c r="L209" s="218"/>
      <c r="M209" s="218"/>
      <c r="N209" s="218"/>
      <c r="O209" s="219"/>
      <c r="P209" s="216"/>
      <c r="Q209" s="217"/>
      <c r="R209" s="216"/>
      <c r="S209" s="218"/>
      <c r="T209" s="218"/>
      <c r="U209" s="220">
        <f>IF($A209="","",IF(N($Q209)&gt;0,IF(MOD($Q209,1)=0,$Q209+1-1/1440,$Q209),IF(N($B209)=0,"",$B209+IF(N($AH209)&gt;0,$AH209,IFERROR(INDEX(DM_SLA_Gio,MATCH($J209,DM_SLA_Cap,0)),168))/24)))</f>
      </c>
      <c r="V209" s="221">
        <f>IF($A209="","",IF(N($AJ209)=0,"Mới tiếp nhận",INDEX('Nhật ký tiến độ'!$E:$E,$AJ209)))</f>
      </c>
      <c r="W209" s="222">
        <f>IF($A209="","",IF($V209="Đã xử lý",1,IF(N($AJ209)=0,0,N(INDEX('Nhật ký tiến độ'!$D:$D,$AJ209)))))</f>
      </c>
      <c r="X209" s="222">
        <f>IF(OR($A209="",$V209="Đã xử lý",N($U209)=0,N($B209)=0),"",IF(TDBC&lt;=$B209,0,IF(TDBC&gt;=$U209,1,(TDBC-$B209)/($U209-$B209))))</f>
      </c>
      <c r="Y209" s="223">
        <f>IF($A209="","",IF($V209="Đã xử lý","Hoàn thành",IF(N($U209)=0,"Chưa đặt hạn",IF(TDBC&gt;$U209,"Quá hạn",IF(ROUND((N($X209)-$W209)*100,0)&gt;=20,"Chậm tiến độ",IF($U209-TDBC&lt;=1,"Sắp đến hạn","Đúng tiến độ"))))))</f>
      </c>
      <c r="Z209" s="223">
        <f>IF(OR($A209="",$V209="Đã xử lý",N($U209)=0),"",IF(TDBC&gt;$U209,"Quá "&amp;IF(((TDBC-$U209)*24)&lt;1,MAX(1,ROUND(((TDBC-$U209)*24)*60,0))&amp;" phút",IF(ROUND(((TDBC-$U209)*24),0)&lt;24,ROUND(((TDBC-$U209)*24),0)&amp;" giờ",INT(ROUND(((TDBC-$U209)*24),0)/24)&amp;" ngày"&amp;IF(MOD(ROUND(((TDBC-$U209)*24),0),24)&gt;0," "&amp;MOD(ROUND(((TDBC-$U209)*24),0),24)&amp;" giờ",""))),"Còn "&amp;IF((($U209-TDBC)*24)&lt;1,MAX(1,ROUND((($U209-TDBC)*24)*60,0))&amp;" phút",IF(ROUND((($U209-TDBC)*24),0)&lt;24,ROUND((($U209-TDBC)*24),0)&amp;" giờ",INT(ROUND((($U209-TDBC)*24),0)/24)&amp;" ngày"&amp;IF(MOD(ROUND((($U209-TDBC)*24),0),24)&gt;0," "&amp;MOD(ROUND((($U209-TDBC)*24),0),24)&amp;" giờ","")))))</f>
      </c>
      <c r="AA209" s="220">
        <f>IF($V209="Đã xử lý",_xlfn.MAXIFS('Nhật ký tiến độ'!$B$6:$B$3005,'Nhật ký tiến độ'!$C$6:$C$3005,$A209,'Nhật ký tiến độ'!$E$6:$E$3005,"Đã xử lý"),"")</f>
      </c>
      <c r="AB209" s="223">
        <f>IF($AI209="","",IF($AI209&lt;1,MAX(1,ROUND($AI209*60,0))&amp;" phút",IF(ROUND($AI209,0)&lt;24,ROUND($AI209,0)&amp;" giờ",INT(ROUND($AI209,0)/24)&amp;" ngày"&amp;IF(MOD(ROUND($AI209,0),24)&gt;0," "&amp;MOD(ROUND($AI209,0),24)&amp;" giờ",""))))</f>
      </c>
      <c r="AC209" s="223">
        <f>IF(OR($A209="",N($AH209)=0),"",IF($AI209&lt;&gt;"",IF($AI209&lt;=$AH209,"Trong ước tính","Vượt "&amp;IF(($AI209-$AH209)&lt;1,MAX(1,ROUND(($AI209-$AH209)*60,0))&amp;" phút",IF(ROUND(($AI209-$AH209),0)&lt;24,ROUND(($AI209-$AH209),0)&amp;" giờ",INT(ROUND(($AI209-$AH209),0)/24)&amp;" ngày"&amp;IF(MOD(ROUND(($AI209-$AH209),0),24)&gt;0," "&amp;MOD(ROUND(($AI209-$AH209),0),24)&amp;" giờ","")))),IF(OR($V209="Đã xử lý",N($B209)=0),"",IF((TDBC-$B209)*24&gt;$AH209,"Đã vượt ước tính","Đã dùng "&amp;TEXT((TDBC-$B209)*24/$AH209,"0%")))))</f>
      </c>
      <c r="AD209" s="223">
        <f>IF(N($AO209)=0,"",CHOOSE($AO209,"Nhắc nhở","Cảnh báo","Báo động","Báo động đỏ"))</f>
      </c>
      <c r="AE209" s="223">
        <f>IF(OR(N($AA209)=0,N($U209)=0),"",IF($AA209&lt;=$U209,"Đúng hạn","Trễ hạn"))</f>
      </c>
      <c r="AF209" s="220">
        <f>IF($A209="","",_xlfn.MAXIFS('Nhật ký tiến độ'!$B$6:$B$3005,'Nhật ký tiến độ'!$C$6:$C$3005,$A209))</f>
      </c>
      <c r="AG209" s="223">
        <f>IF($A209="","",IF(COUNTIF('Kế hoạch'!$M$6:$M$305,$A209)=0,"",COUNTIF('Kế hoạch'!$M$6:$M$305,$A209)&amp;" việc"))</f>
      </c>
      <c r="AH209" s="224">
        <f>IF(OR($A209="",N($O209)&lt;=0),"",IF($P209="Giờ",$O209,$O209*24))</f>
      </c>
      <c r="AI209" s="224">
        <f>IF(OR(N($AA209)=0,N($B209)=0),"",IF($AA209&lt;$B209,"",($AA209-$B209)*24))</f>
      </c>
      <c r="AJ209" s="225">
        <f>IF($A209="","",IF(COUNTIF('Nhật ký tiến độ'!$C$6:$C$3005,$A209)=0,0,_xlfn.MAXIFS('Nhật ký tiến độ'!$N$6:$N$3005,'Nhật ký tiến độ'!$C$6:$C$3005,$A209,'Nhật ký tiến độ'!$B$6:$B$3005,_xlfn.MAXIFS('Nhật ký tiến độ'!$B$6:$B$3005,'Nhật ký tiến độ'!$C$6:$C$3005,$A209))))</f>
      </c>
      <c r="AK209" s="225">
        <f>IF(OR($A209="",$V209="Đã xử lý"),"",IF(N($AO209)&gt;0,5-$AO209,IF($J209="Khẩn cấp",5,IF($Y209="Chậm tiến độ",6,IF(OR($Y209="Sắp đến hạn",$J209="Cao"),7,"")))))</f>
      </c>
      <c r="AL209" s="225">
        <f>IF($AK209="","",$AK209*100000+IF(N($U209)=0,99999,INT($U209))+ROW()/100000)</f>
      </c>
      <c r="AM209" s="225">
        <f>IF(OR($A209="",TRIM($K209)="",COUNTIF($K$6:$K209,$K209)&gt;1),0,1)</f>
      </c>
      <c r="AN209" s="225">
        <f>IF($AM209=1,SUM($AM$6:$AM209),"")</f>
      </c>
      <c r="AO209" s="225">
        <f>IF(OR($A209="",$V209="Đã xử lý",N($U209)=0),0,IF(TDBC&lt;=$U209,0,MAX(1,MIN(4,IF((TDBC-$U209)*24&lt;24,1,IF((TDBC-$U209)*24&lt;72,2,IF((TDBC-$U209)*24&lt;168,3,4)))+IFERROR(INDEX({2,1,0,-1},MATCH($J209,{"Khẩn cấp","Cao","Trung bình","Thấp"},0)),0)))))</f>
      </c>
    </row>
    <row r="210">
      <c r="A210" s="216"/>
      <c r="B210" s="217"/>
      <c r="C210" s="218"/>
      <c r="D210" s="218"/>
      <c r="E210" s="218"/>
      <c r="F210" s="218"/>
      <c r="G210" s="216"/>
      <c r="H210" s="218"/>
      <c r="I210" s="218"/>
      <c r="J210" s="216"/>
      <c r="K210" s="218"/>
      <c r="L210" s="218"/>
      <c r="M210" s="218"/>
      <c r="N210" s="218"/>
      <c r="O210" s="219"/>
      <c r="P210" s="216"/>
      <c r="Q210" s="217"/>
      <c r="R210" s="216"/>
      <c r="S210" s="218"/>
      <c r="T210" s="218"/>
      <c r="U210" s="220">
        <f>IF($A210="","",IF(N($Q210)&gt;0,IF(MOD($Q210,1)=0,$Q210+1-1/1440,$Q210),IF(N($B210)=0,"",$B210+IF(N($AH210)&gt;0,$AH210,IFERROR(INDEX(DM_SLA_Gio,MATCH($J210,DM_SLA_Cap,0)),168))/24)))</f>
      </c>
      <c r="V210" s="221">
        <f>IF($A210="","",IF(N($AJ210)=0,"Mới tiếp nhận",INDEX('Nhật ký tiến độ'!$E:$E,$AJ210)))</f>
      </c>
      <c r="W210" s="222">
        <f>IF($A210="","",IF($V210="Đã xử lý",1,IF(N($AJ210)=0,0,N(INDEX('Nhật ký tiến độ'!$D:$D,$AJ210)))))</f>
      </c>
      <c r="X210" s="222">
        <f>IF(OR($A210="",$V210="Đã xử lý",N($U210)=0,N($B210)=0),"",IF(TDBC&lt;=$B210,0,IF(TDBC&gt;=$U210,1,(TDBC-$B210)/($U210-$B210))))</f>
      </c>
      <c r="Y210" s="223">
        <f>IF($A210="","",IF($V210="Đã xử lý","Hoàn thành",IF(N($U210)=0,"Chưa đặt hạn",IF(TDBC&gt;$U210,"Quá hạn",IF(ROUND((N($X210)-$W210)*100,0)&gt;=20,"Chậm tiến độ",IF($U210-TDBC&lt;=1,"Sắp đến hạn","Đúng tiến độ"))))))</f>
      </c>
      <c r="Z210" s="223">
        <f>IF(OR($A210="",$V210="Đã xử lý",N($U210)=0),"",IF(TDBC&gt;$U210,"Quá "&amp;IF(((TDBC-$U210)*24)&lt;1,MAX(1,ROUND(((TDBC-$U210)*24)*60,0))&amp;" phút",IF(ROUND(((TDBC-$U210)*24),0)&lt;24,ROUND(((TDBC-$U210)*24),0)&amp;" giờ",INT(ROUND(((TDBC-$U210)*24),0)/24)&amp;" ngày"&amp;IF(MOD(ROUND(((TDBC-$U210)*24),0),24)&gt;0," "&amp;MOD(ROUND(((TDBC-$U210)*24),0),24)&amp;" giờ",""))),"Còn "&amp;IF((($U210-TDBC)*24)&lt;1,MAX(1,ROUND((($U210-TDBC)*24)*60,0))&amp;" phút",IF(ROUND((($U210-TDBC)*24),0)&lt;24,ROUND((($U210-TDBC)*24),0)&amp;" giờ",INT(ROUND((($U210-TDBC)*24),0)/24)&amp;" ngày"&amp;IF(MOD(ROUND((($U210-TDBC)*24),0),24)&gt;0," "&amp;MOD(ROUND((($U210-TDBC)*24),0),24)&amp;" giờ","")))))</f>
      </c>
      <c r="AA210" s="220">
        <f>IF($V210="Đã xử lý",_xlfn.MAXIFS('Nhật ký tiến độ'!$B$6:$B$3005,'Nhật ký tiến độ'!$C$6:$C$3005,$A210,'Nhật ký tiến độ'!$E$6:$E$3005,"Đã xử lý"),"")</f>
      </c>
      <c r="AB210" s="223">
        <f>IF($AI210="","",IF($AI210&lt;1,MAX(1,ROUND($AI210*60,0))&amp;" phút",IF(ROUND($AI210,0)&lt;24,ROUND($AI210,0)&amp;" giờ",INT(ROUND($AI210,0)/24)&amp;" ngày"&amp;IF(MOD(ROUND($AI210,0),24)&gt;0," "&amp;MOD(ROUND($AI210,0),24)&amp;" giờ",""))))</f>
      </c>
      <c r="AC210" s="223">
        <f>IF(OR($A210="",N($AH210)=0),"",IF($AI210&lt;&gt;"",IF($AI210&lt;=$AH210,"Trong ước tính","Vượt "&amp;IF(($AI210-$AH210)&lt;1,MAX(1,ROUND(($AI210-$AH210)*60,0))&amp;" phút",IF(ROUND(($AI210-$AH210),0)&lt;24,ROUND(($AI210-$AH210),0)&amp;" giờ",INT(ROUND(($AI210-$AH210),0)/24)&amp;" ngày"&amp;IF(MOD(ROUND(($AI210-$AH210),0),24)&gt;0," "&amp;MOD(ROUND(($AI210-$AH210),0),24)&amp;" giờ","")))),IF(OR($V210="Đã xử lý",N($B210)=0),"",IF((TDBC-$B210)*24&gt;$AH210,"Đã vượt ước tính","Đã dùng "&amp;TEXT((TDBC-$B210)*24/$AH210,"0%")))))</f>
      </c>
      <c r="AD210" s="223">
        <f>IF(N($AO210)=0,"",CHOOSE($AO210,"Nhắc nhở","Cảnh báo","Báo động","Báo động đỏ"))</f>
      </c>
      <c r="AE210" s="223">
        <f>IF(OR(N($AA210)=0,N($U210)=0),"",IF($AA210&lt;=$U210,"Đúng hạn","Trễ hạn"))</f>
      </c>
      <c r="AF210" s="220">
        <f>IF($A210="","",_xlfn.MAXIFS('Nhật ký tiến độ'!$B$6:$B$3005,'Nhật ký tiến độ'!$C$6:$C$3005,$A210))</f>
      </c>
      <c r="AG210" s="223">
        <f>IF($A210="","",IF(COUNTIF('Kế hoạch'!$M$6:$M$305,$A210)=0,"",COUNTIF('Kế hoạch'!$M$6:$M$305,$A210)&amp;" việc"))</f>
      </c>
      <c r="AH210" s="224">
        <f>IF(OR($A210="",N($O210)&lt;=0),"",IF($P210="Giờ",$O210,$O210*24))</f>
      </c>
      <c r="AI210" s="224">
        <f>IF(OR(N($AA210)=0,N($B210)=0),"",IF($AA210&lt;$B210,"",($AA210-$B210)*24))</f>
      </c>
      <c r="AJ210" s="225">
        <f>IF($A210="","",IF(COUNTIF('Nhật ký tiến độ'!$C$6:$C$3005,$A210)=0,0,_xlfn.MAXIFS('Nhật ký tiến độ'!$N$6:$N$3005,'Nhật ký tiến độ'!$C$6:$C$3005,$A210,'Nhật ký tiến độ'!$B$6:$B$3005,_xlfn.MAXIFS('Nhật ký tiến độ'!$B$6:$B$3005,'Nhật ký tiến độ'!$C$6:$C$3005,$A210))))</f>
      </c>
      <c r="AK210" s="225">
        <f>IF(OR($A210="",$V210="Đã xử lý"),"",IF(N($AO210)&gt;0,5-$AO210,IF($J210="Khẩn cấp",5,IF($Y210="Chậm tiến độ",6,IF(OR($Y210="Sắp đến hạn",$J210="Cao"),7,"")))))</f>
      </c>
      <c r="AL210" s="225">
        <f>IF($AK210="","",$AK210*100000+IF(N($U210)=0,99999,INT($U210))+ROW()/100000)</f>
      </c>
      <c r="AM210" s="225">
        <f>IF(OR($A210="",TRIM($K210)="",COUNTIF($K$6:$K210,$K210)&gt;1),0,1)</f>
      </c>
      <c r="AN210" s="225">
        <f>IF($AM210=1,SUM($AM$6:$AM210),"")</f>
      </c>
      <c r="AO210" s="225">
        <f>IF(OR($A210="",$V210="Đã xử lý",N($U210)=0),0,IF(TDBC&lt;=$U210,0,MAX(1,MIN(4,IF((TDBC-$U210)*24&lt;24,1,IF((TDBC-$U210)*24&lt;72,2,IF((TDBC-$U210)*24&lt;168,3,4)))+IFERROR(INDEX({2,1,0,-1},MATCH($J210,{"Khẩn cấp","Cao","Trung bình","Thấp"},0)),0)))))</f>
      </c>
    </row>
    <row r="211">
      <c r="A211" s="216"/>
      <c r="B211" s="217"/>
      <c r="C211" s="218"/>
      <c r="D211" s="218"/>
      <c r="E211" s="218"/>
      <c r="F211" s="218"/>
      <c r="G211" s="216"/>
      <c r="H211" s="218"/>
      <c r="I211" s="218"/>
      <c r="J211" s="216"/>
      <c r="K211" s="218"/>
      <c r="L211" s="218"/>
      <c r="M211" s="218"/>
      <c r="N211" s="218"/>
      <c r="O211" s="219"/>
      <c r="P211" s="216"/>
      <c r="Q211" s="217"/>
      <c r="R211" s="216"/>
      <c r="S211" s="218"/>
      <c r="T211" s="218"/>
      <c r="U211" s="220">
        <f>IF($A211="","",IF(N($Q211)&gt;0,IF(MOD($Q211,1)=0,$Q211+1-1/1440,$Q211),IF(N($B211)=0,"",$B211+IF(N($AH211)&gt;0,$AH211,IFERROR(INDEX(DM_SLA_Gio,MATCH($J211,DM_SLA_Cap,0)),168))/24)))</f>
      </c>
      <c r="V211" s="221">
        <f>IF($A211="","",IF(N($AJ211)=0,"Mới tiếp nhận",INDEX('Nhật ký tiến độ'!$E:$E,$AJ211)))</f>
      </c>
      <c r="W211" s="222">
        <f>IF($A211="","",IF($V211="Đã xử lý",1,IF(N($AJ211)=0,0,N(INDEX('Nhật ký tiến độ'!$D:$D,$AJ211)))))</f>
      </c>
      <c r="X211" s="222">
        <f>IF(OR($A211="",$V211="Đã xử lý",N($U211)=0,N($B211)=0),"",IF(TDBC&lt;=$B211,0,IF(TDBC&gt;=$U211,1,(TDBC-$B211)/($U211-$B211))))</f>
      </c>
      <c r="Y211" s="223">
        <f>IF($A211="","",IF($V211="Đã xử lý","Hoàn thành",IF(N($U211)=0,"Chưa đặt hạn",IF(TDBC&gt;$U211,"Quá hạn",IF(ROUND((N($X211)-$W211)*100,0)&gt;=20,"Chậm tiến độ",IF($U211-TDBC&lt;=1,"Sắp đến hạn","Đúng tiến độ"))))))</f>
      </c>
      <c r="Z211" s="223">
        <f>IF(OR($A211="",$V211="Đã xử lý",N($U211)=0),"",IF(TDBC&gt;$U211,"Quá "&amp;IF(((TDBC-$U211)*24)&lt;1,MAX(1,ROUND(((TDBC-$U211)*24)*60,0))&amp;" phút",IF(ROUND(((TDBC-$U211)*24),0)&lt;24,ROUND(((TDBC-$U211)*24),0)&amp;" giờ",INT(ROUND(((TDBC-$U211)*24),0)/24)&amp;" ngày"&amp;IF(MOD(ROUND(((TDBC-$U211)*24),0),24)&gt;0," "&amp;MOD(ROUND(((TDBC-$U211)*24),0),24)&amp;" giờ",""))),"Còn "&amp;IF((($U211-TDBC)*24)&lt;1,MAX(1,ROUND((($U211-TDBC)*24)*60,0))&amp;" phút",IF(ROUND((($U211-TDBC)*24),0)&lt;24,ROUND((($U211-TDBC)*24),0)&amp;" giờ",INT(ROUND((($U211-TDBC)*24),0)/24)&amp;" ngày"&amp;IF(MOD(ROUND((($U211-TDBC)*24),0),24)&gt;0," "&amp;MOD(ROUND((($U211-TDBC)*24),0),24)&amp;" giờ","")))))</f>
      </c>
      <c r="AA211" s="220">
        <f>IF($V211="Đã xử lý",_xlfn.MAXIFS('Nhật ký tiến độ'!$B$6:$B$3005,'Nhật ký tiến độ'!$C$6:$C$3005,$A211,'Nhật ký tiến độ'!$E$6:$E$3005,"Đã xử lý"),"")</f>
      </c>
      <c r="AB211" s="223">
        <f>IF($AI211="","",IF($AI211&lt;1,MAX(1,ROUND($AI211*60,0))&amp;" phút",IF(ROUND($AI211,0)&lt;24,ROUND($AI211,0)&amp;" giờ",INT(ROUND($AI211,0)/24)&amp;" ngày"&amp;IF(MOD(ROUND($AI211,0),24)&gt;0," "&amp;MOD(ROUND($AI211,0),24)&amp;" giờ",""))))</f>
      </c>
      <c r="AC211" s="223">
        <f>IF(OR($A211="",N($AH211)=0),"",IF($AI211&lt;&gt;"",IF($AI211&lt;=$AH211,"Trong ước tính","Vượt "&amp;IF(($AI211-$AH211)&lt;1,MAX(1,ROUND(($AI211-$AH211)*60,0))&amp;" phút",IF(ROUND(($AI211-$AH211),0)&lt;24,ROUND(($AI211-$AH211),0)&amp;" giờ",INT(ROUND(($AI211-$AH211),0)/24)&amp;" ngày"&amp;IF(MOD(ROUND(($AI211-$AH211),0),24)&gt;0," "&amp;MOD(ROUND(($AI211-$AH211),0),24)&amp;" giờ","")))),IF(OR($V211="Đã xử lý",N($B211)=0),"",IF((TDBC-$B211)*24&gt;$AH211,"Đã vượt ước tính","Đã dùng "&amp;TEXT((TDBC-$B211)*24/$AH211,"0%")))))</f>
      </c>
      <c r="AD211" s="223">
        <f>IF(N($AO211)=0,"",CHOOSE($AO211,"Nhắc nhở","Cảnh báo","Báo động","Báo động đỏ"))</f>
      </c>
      <c r="AE211" s="223">
        <f>IF(OR(N($AA211)=0,N($U211)=0),"",IF($AA211&lt;=$U211,"Đúng hạn","Trễ hạn"))</f>
      </c>
      <c r="AF211" s="220">
        <f>IF($A211="","",_xlfn.MAXIFS('Nhật ký tiến độ'!$B$6:$B$3005,'Nhật ký tiến độ'!$C$6:$C$3005,$A211))</f>
      </c>
      <c r="AG211" s="223">
        <f>IF($A211="","",IF(COUNTIF('Kế hoạch'!$M$6:$M$305,$A211)=0,"",COUNTIF('Kế hoạch'!$M$6:$M$305,$A211)&amp;" việc"))</f>
      </c>
      <c r="AH211" s="224">
        <f>IF(OR($A211="",N($O211)&lt;=0),"",IF($P211="Giờ",$O211,$O211*24))</f>
      </c>
      <c r="AI211" s="224">
        <f>IF(OR(N($AA211)=0,N($B211)=0),"",IF($AA211&lt;$B211,"",($AA211-$B211)*24))</f>
      </c>
      <c r="AJ211" s="225">
        <f>IF($A211="","",IF(COUNTIF('Nhật ký tiến độ'!$C$6:$C$3005,$A211)=0,0,_xlfn.MAXIFS('Nhật ký tiến độ'!$N$6:$N$3005,'Nhật ký tiến độ'!$C$6:$C$3005,$A211,'Nhật ký tiến độ'!$B$6:$B$3005,_xlfn.MAXIFS('Nhật ký tiến độ'!$B$6:$B$3005,'Nhật ký tiến độ'!$C$6:$C$3005,$A211))))</f>
      </c>
      <c r="AK211" s="225">
        <f>IF(OR($A211="",$V211="Đã xử lý"),"",IF(N($AO211)&gt;0,5-$AO211,IF($J211="Khẩn cấp",5,IF($Y211="Chậm tiến độ",6,IF(OR($Y211="Sắp đến hạn",$J211="Cao"),7,"")))))</f>
      </c>
      <c r="AL211" s="225">
        <f>IF($AK211="","",$AK211*100000+IF(N($U211)=0,99999,INT($U211))+ROW()/100000)</f>
      </c>
      <c r="AM211" s="225">
        <f>IF(OR($A211="",TRIM($K211)="",COUNTIF($K$6:$K211,$K211)&gt;1),0,1)</f>
      </c>
      <c r="AN211" s="225">
        <f>IF($AM211=1,SUM($AM$6:$AM211),"")</f>
      </c>
      <c r="AO211" s="225">
        <f>IF(OR($A211="",$V211="Đã xử lý",N($U211)=0),0,IF(TDBC&lt;=$U211,0,MAX(1,MIN(4,IF((TDBC-$U211)*24&lt;24,1,IF((TDBC-$U211)*24&lt;72,2,IF((TDBC-$U211)*24&lt;168,3,4)))+IFERROR(INDEX({2,1,0,-1},MATCH($J211,{"Khẩn cấp","Cao","Trung bình","Thấp"},0)),0)))))</f>
      </c>
    </row>
    <row r="212">
      <c r="A212" s="216"/>
      <c r="B212" s="217"/>
      <c r="C212" s="218"/>
      <c r="D212" s="218"/>
      <c r="E212" s="218"/>
      <c r="F212" s="218"/>
      <c r="G212" s="216"/>
      <c r="H212" s="218"/>
      <c r="I212" s="218"/>
      <c r="J212" s="216"/>
      <c r="K212" s="218"/>
      <c r="L212" s="218"/>
      <c r="M212" s="218"/>
      <c r="N212" s="218"/>
      <c r="O212" s="219"/>
      <c r="P212" s="216"/>
      <c r="Q212" s="217"/>
      <c r="R212" s="216"/>
      <c r="S212" s="218"/>
      <c r="T212" s="218"/>
      <c r="U212" s="220">
        <f>IF($A212="","",IF(N($Q212)&gt;0,IF(MOD($Q212,1)=0,$Q212+1-1/1440,$Q212),IF(N($B212)=0,"",$B212+IF(N($AH212)&gt;0,$AH212,IFERROR(INDEX(DM_SLA_Gio,MATCH($J212,DM_SLA_Cap,0)),168))/24)))</f>
      </c>
      <c r="V212" s="221">
        <f>IF($A212="","",IF(N($AJ212)=0,"Mới tiếp nhận",INDEX('Nhật ký tiến độ'!$E:$E,$AJ212)))</f>
      </c>
      <c r="W212" s="222">
        <f>IF($A212="","",IF($V212="Đã xử lý",1,IF(N($AJ212)=0,0,N(INDEX('Nhật ký tiến độ'!$D:$D,$AJ212)))))</f>
      </c>
      <c r="X212" s="222">
        <f>IF(OR($A212="",$V212="Đã xử lý",N($U212)=0,N($B212)=0),"",IF(TDBC&lt;=$B212,0,IF(TDBC&gt;=$U212,1,(TDBC-$B212)/($U212-$B212))))</f>
      </c>
      <c r="Y212" s="223">
        <f>IF($A212="","",IF($V212="Đã xử lý","Hoàn thành",IF(N($U212)=0,"Chưa đặt hạn",IF(TDBC&gt;$U212,"Quá hạn",IF(ROUND((N($X212)-$W212)*100,0)&gt;=20,"Chậm tiến độ",IF($U212-TDBC&lt;=1,"Sắp đến hạn","Đúng tiến độ"))))))</f>
      </c>
      <c r="Z212" s="223">
        <f>IF(OR($A212="",$V212="Đã xử lý",N($U212)=0),"",IF(TDBC&gt;$U212,"Quá "&amp;IF(((TDBC-$U212)*24)&lt;1,MAX(1,ROUND(((TDBC-$U212)*24)*60,0))&amp;" phút",IF(ROUND(((TDBC-$U212)*24),0)&lt;24,ROUND(((TDBC-$U212)*24),0)&amp;" giờ",INT(ROUND(((TDBC-$U212)*24),0)/24)&amp;" ngày"&amp;IF(MOD(ROUND(((TDBC-$U212)*24),0),24)&gt;0," "&amp;MOD(ROUND(((TDBC-$U212)*24),0),24)&amp;" giờ",""))),"Còn "&amp;IF((($U212-TDBC)*24)&lt;1,MAX(1,ROUND((($U212-TDBC)*24)*60,0))&amp;" phút",IF(ROUND((($U212-TDBC)*24),0)&lt;24,ROUND((($U212-TDBC)*24),0)&amp;" giờ",INT(ROUND((($U212-TDBC)*24),0)/24)&amp;" ngày"&amp;IF(MOD(ROUND((($U212-TDBC)*24),0),24)&gt;0," "&amp;MOD(ROUND((($U212-TDBC)*24),0),24)&amp;" giờ","")))))</f>
      </c>
      <c r="AA212" s="220">
        <f>IF($V212="Đã xử lý",_xlfn.MAXIFS('Nhật ký tiến độ'!$B$6:$B$3005,'Nhật ký tiến độ'!$C$6:$C$3005,$A212,'Nhật ký tiến độ'!$E$6:$E$3005,"Đã xử lý"),"")</f>
      </c>
      <c r="AB212" s="223">
        <f>IF($AI212="","",IF($AI212&lt;1,MAX(1,ROUND($AI212*60,0))&amp;" phút",IF(ROUND($AI212,0)&lt;24,ROUND($AI212,0)&amp;" giờ",INT(ROUND($AI212,0)/24)&amp;" ngày"&amp;IF(MOD(ROUND($AI212,0),24)&gt;0," "&amp;MOD(ROUND($AI212,0),24)&amp;" giờ",""))))</f>
      </c>
      <c r="AC212" s="223">
        <f>IF(OR($A212="",N($AH212)=0),"",IF($AI212&lt;&gt;"",IF($AI212&lt;=$AH212,"Trong ước tính","Vượt "&amp;IF(($AI212-$AH212)&lt;1,MAX(1,ROUND(($AI212-$AH212)*60,0))&amp;" phút",IF(ROUND(($AI212-$AH212),0)&lt;24,ROUND(($AI212-$AH212),0)&amp;" giờ",INT(ROUND(($AI212-$AH212),0)/24)&amp;" ngày"&amp;IF(MOD(ROUND(($AI212-$AH212),0),24)&gt;0," "&amp;MOD(ROUND(($AI212-$AH212),0),24)&amp;" giờ","")))),IF(OR($V212="Đã xử lý",N($B212)=0),"",IF((TDBC-$B212)*24&gt;$AH212,"Đã vượt ước tính","Đã dùng "&amp;TEXT((TDBC-$B212)*24/$AH212,"0%")))))</f>
      </c>
      <c r="AD212" s="223">
        <f>IF(N($AO212)=0,"",CHOOSE($AO212,"Nhắc nhở","Cảnh báo","Báo động","Báo động đỏ"))</f>
      </c>
      <c r="AE212" s="223">
        <f>IF(OR(N($AA212)=0,N($U212)=0),"",IF($AA212&lt;=$U212,"Đúng hạn","Trễ hạn"))</f>
      </c>
      <c r="AF212" s="220">
        <f>IF($A212="","",_xlfn.MAXIFS('Nhật ký tiến độ'!$B$6:$B$3005,'Nhật ký tiến độ'!$C$6:$C$3005,$A212))</f>
      </c>
      <c r="AG212" s="223">
        <f>IF($A212="","",IF(COUNTIF('Kế hoạch'!$M$6:$M$305,$A212)=0,"",COUNTIF('Kế hoạch'!$M$6:$M$305,$A212)&amp;" việc"))</f>
      </c>
      <c r="AH212" s="224">
        <f>IF(OR($A212="",N($O212)&lt;=0),"",IF($P212="Giờ",$O212,$O212*24))</f>
      </c>
      <c r="AI212" s="224">
        <f>IF(OR(N($AA212)=0,N($B212)=0),"",IF($AA212&lt;$B212,"",($AA212-$B212)*24))</f>
      </c>
      <c r="AJ212" s="225">
        <f>IF($A212="","",IF(COUNTIF('Nhật ký tiến độ'!$C$6:$C$3005,$A212)=0,0,_xlfn.MAXIFS('Nhật ký tiến độ'!$N$6:$N$3005,'Nhật ký tiến độ'!$C$6:$C$3005,$A212,'Nhật ký tiến độ'!$B$6:$B$3005,_xlfn.MAXIFS('Nhật ký tiến độ'!$B$6:$B$3005,'Nhật ký tiến độ'!$C$6:$C$3005,$A212))))</f>
      </c>
      <c r="AK212" s="225">
        <f>IF(OR($A212="",$V212="Đã xử lý"),"",IF(N($AO212)&gt;0,5-$AO212,IF($J212="Khẩn cấp",5,IF($Y212="Chậm tiến độ",6,IF(OR($Y212="Sắp đến hạn",$J212="Cao"),7,"")))))</f>
      </c>
      <c r="AL212" s="225">
        <f>IF($AK212="","",$AK212*100000+IF(N($U212)=0,99999,INT($U212))+ROW()/100000)</f>
      </c>
      <c r="AM212" s="225">
        <f>IF(OR($A212="",TRIM($K212)="",COUNTIF($K$6:$K212,$K212)&gt;1),0,1)</f>
      </c>
      <c r="AN212" s="225">
        <f>IF($AM212=1,SUM($AM$6:$AM212),"")</f>
      </c>
      <c r="AO212" s="225">
        <f>IF(OR($A212="",$V212="Đã xử lý",N($U212)=0),0,IF(TDBC&lt;=$U212,0,MAX(1,MIN(4,IF((TDBC-$U212)*24&lt;24,1,IF((TDBC-$U212)*24&lt;72,2,IF((TDBC-$U212)*24&lt;168,3,4)))+IFERROR(INDEX({2,1,0,-1},MATCH($J212,{"Khẩn cấp","Cao","Trung bình","Thấp"},0)),0)))))</f>
      </c>
    </row>
    <row r="213">
      <c r="A213" s="216"/>
      <c r="B213" s="217"/>
      <c r="C213" s="218"/>
      <c r="D213" s="218"/>
      <c r="E213" s="218"/>
      <c r="F213" s="218"/>
      <c r="G213" s="216"/>
      <c r="H213" s="218"/>
      <c r="I213" s="218"/>
      <c r="J213" s="216"/>
      <c r="K213" s="218"/>
      <c r="L213" s="218"/>
      <c r="M213" s="218"/>
      <c r="N213" s="218"/>
      <c r="O213" s="219"/>
      <c r="P213" s="216"/>
      <c r="Q213" s="217"/>
      <c r="R213" s="216"/>
      <c r="S213" s="218"/>
      <c r="T213" s="218"/>
      <c r="U213" s="220">
        <f>IF($A213="","",IF(N($Q213)&gt;0,IF(MOD($Q213,1)=0,$Q213+1-1/1440,$Q213),IF(N($B213)=0,"",$B213+IF(N($AH213)&gt;0,$AH213,IFERROR(INDEX(DM_SLA_Gio,MATCH($J213,DM_SLA_Cap,0)),168))/24)))</f>
      </c>
      <c r="V213" s="221">
        <f>IF($A213="","",IF(N($AJ213)=0,"Mới tiếp nhận",INDEX('Nhật ký tiến độ'!$E:$E,$AJ213)))</f>
      </c>
      <c r="W213" s="222">
        <f>IF($A213="","",IF($V213="Đã xử lý",1,IF(N($AJ213)=0,0,N(INDEX('Nhật ký tiến độ'!$D:$D,$AJ213)))))</f>
      </c>
      <c r="X213" s="222">
        <f>IF(OR($A213="",$V213="Đã xử lý",N($U213)=0,N($B213)=0),"",IF(TDBC&lt;=$B213,0,IF(TDBC&gt;=$U213,1,(TDBC-$B213)/($U213-$B213))))</f>
      </c>
      <c r="Y213" s="223">
        <f>IF($A213="","",IF($V213="Đã xử lý","Hoàn thành",IF(N($U213)=0,"Chưa đặt hạn",IF(TDBC&gt;$U213,"Quá hạn",IF(ROUND((N($X213)-$W213)*100,0)&gt;=20,"Chậm tiến độ",IF($U213-TDBC&lt;=1,"Sắp đến hạn","Đúng tiến độ"))))))</f>
      </c>
      <c r="Z213" s="223">
        <f>IF(OR($A213="",$V213="Đã xử lý",N($U213)=0),"",IF(TDBC&gt;$U213,"Quá "&amp;IF(((TDBC-$U213)*24)&lt;1,MAX(1,ROUND(((TDBC-$U213)*24)*60,0))&amp;" phút",IF(ROUND(((TDBC-$U213)*24),0)&lt;24,ROUND(((TDBC-$U213)*24),0)&amp;" giờ",INT(ROUND(((TDBC-$U213)*24),0)/24)&amp;" ngày"&amp;IF(MOD(ROUND(((TDBC-$U213)*24),0),24)&gt;0," "&amp;MOD(ROUND(((TDBC-$U213)*24),0),24)&amp;" giờ",""))),"Còn "&amp;IF((($U213-TDBC)*24)&lt;1,MAX(1,ROUND((($U213-TDBC)*24)*60,0))&amp;" phút",IF(ROUND((($U213-TDBC)*24),0)&lt;24,ROUND((($U213-TDBC)*24),0)&amp;" giờ",INT(ROUND((($U213-TDBC)*24),0)/24)&amp;" ngày"&amp;IF(MOD(ROUND((($U213-TDBC)*24),0),24)&gt;0," "&amp;MOD(ROUND((($U213-TDBC)*24),0),24)&amp;" giờ","")))))</f>
      </c>
      <c r="AA213" s="220">
        <f>IF($V213="Đã xử lý",_xlfn.MAXIFS('Nhật ký tiến độ'!$B$6:$B$3005,'Nhật ký tiến độ'!$C$6:$C$3005,$A213,'Nhật ký tiến độ'!$E$6:$E$3005,"Đã xử lý"),"")</f>
      </c>
      <c r="AB213" s="223">
        <f>IF($AI213="","",IF($AI213&lt;1,MAX(1,ROUND($AI213*60,0))&amp;" phút",IF(ROUND($AI213,0)&lt;24,ROUND($AI213,0)&amp;" giờ",INT(ROUND($AI213,0)/24)&amp;" ngày"&amp;IF(MOD(ROUND($AI213,0),24)&gt;0," "&amp;MOD(ROUND($AI213,0),24)&amp;" giờ",""))))</f>
      </c>
      <c r="AC213" s="223">
        <f>IF(OR($A213="",N($AH213)=0),"",IF($AI213&lt;&gt;"",IF($AI213&lt;=$AH213,"Trong ước tính","Vượt "&amp;IF(($AI213-$AH213)&lt;1,MAX(1,ROUND(($AI213-$AH213)*60,0))&amp;" phút",IF(ROUND(($AI213-$AH213),0)&lt;24,ROUND(($AI213-$AH213),0)&amp;" giờ",INT(ROUND(($AI213-$AH213),0)/24)&amp;" ngày"&amp;IF(MOD(ROUND(($AI213-$AH213),0),24)&gt;0," "&amp;MOD(ROUND(($AI213-$AH213),0),24)&amp;" giờ","")))),IF(OR($V213="Đã xử lý",N($B213)=0),"",IF((TDBC-$B213)*24&gt;$AH213,"Đã vượt ước tính","Đã dùng "&amp;TEXT((TDBC-$B213)*24/$AH213,"0%")))))</f>
      </c>
      <c r="AD213" s="223">
        <f>IF(N($AO213)=0,"",CHOOSE($AO213,"Nhắc nhở","Cảnh báo","Báo động","Báo động đỏ"))</f>
      </c>
      <c r="AE213" s="223">
        <f>IF(OR(N($AA213)=0,N($U213)=0),"",IF($AA213&lt;=$U213,"Đúng hạn","Trễ hạn"))</f>
      </c>
      <c r="AF213" s="220">
        <f>IF($A213="","",_xlfn.MAXIFS('Nhật ký tiến độ'!$B$6:$B$3005,'Nhật ký tiến độ'!$C$6:$C$3005,$A213))</f>
      </c>
      <c r="AG213" s="223">
        <f>IF($A213="","",IF(COUNTIF('Kế hoạch'!$M$6:$M$305,$A213)=0,"",COUNTIF('Kế hoạch'!$M$6:$M$305,$A213)&amp;" việc"))</f>
      </c>
      <c r="AH213" s="224">
        <f>IF(OR($A213="",N($O213)&lt;=0),"",IF($P213="Giờ",$O213,$O213*24))</f>
      </c>
      <c r="AI213" s="224">
        <f>IF(OR(N($AA213)=0,N($B213)=0),"",IF($AA213&lt;$B213,"",($AA213-$B213)*24))</f>
      </c>
      <c r="AJ213" s="225">
        <f>IF($A213="","",IF(COUNTIF('Nhật ký tiến độ'!$C$6:$C$3005,$A213)=0,0,_xlfn.MAXIFS('Nhật ký tiến độ'!$N$6:$N$3005,'Nhật ký tiến độ'!$C$6:$C$3005,$A213,'Nhật ký tiến độ'!$B$6:$B$3005,_xlfn.MAXIFS('Nhật ký tiến độ'!$B$6:$B$3005,'Nhật ký tiến độ'!$C$6:$C$3005,$A213))))</f>
      </c>
      <c r="AK213" s="225">
        <f>IF(OR($A213="",$V213="Đã xử lý"),"",IF(N($AO213)&gt;0,5-$AO213,IF($J213="Khẩn cấp",5,IF($Y213="Chậm tiến độ",6,IF(OR($Y213="Sắp đến hạn",$J213="Cao"),7,"")))))</f>
      </c>
      <c r="AL213" s="225">
        <f>IF($AK213="","",$AK213*100000+IF(N($U213)=0,99999,INT($U213))+ROW()/100000)</f>
      </c>
      <c r="AM213" s="225">
        <f>IF(OR($A213="",TRIM($K213)="",COUNTIF($K$6:$K213,$K213)&gt;1),0,1)</f>
      </c>
      <c r="AN213" s="225">
        <f>IF($AM213=1,SUM($AM$6:$AM213),"")</f>
      </c>
      <c r="AO213" s="225">
        <f>IF(OR($A213="",$V213="Đã xử lý",N($U213)=0),0,IF(TDBC&lt;=$U213,0,MAX(1,MIN(4,IF((TDBC-$U213)*24&lt;24,1,IF((TDBC-$U213)*24&lt;72,2,IF((TDBC-$U213)*24&lt;168,3,4)))+IFERROR(INDEX({2,1,0,-1},MATCH($J213,{"Khẩn cấp","Cao","Trung bình","Thấp"},0)),0)))))</f>
      </c>
    </row>
    <row r="214">
      <c r="A214" s="216"/>
      <c r="B214" s="217"/>
      <c r="C214" s="218"/>
      <c r="D214" s="218"/>
      <c r="E214" s="218"/>
      <c r="F214" s="218"/>
      <c r="G214" s="216"/>
      <c r="H214" s="218"/>
      <c r="I214" s="218"/>
      <c r="J214" s="216"/>
      <c r="K214" s="218"/>
      <c r="L214" s="218"/>
      <c r="M214" s="218"/>
      <c r="N214" s="218"/>
      <c r="O214" s="219"/>
      <c r="P214" s="216"/>
      <c r="Q214" s="217"/>
      <c r="R214" s="216"/>
      <c r="S214" s="218"/>
      <c r="T214" s="218"/>
      <c r="U214" s="220">
        <f>IF($A214="","",IF(N($Q214)&gt;0,IF(MOD($Q214,1)=0,$Q214+1-1/1440,$Q214),IF(N($B214)=0,"",$B214+IF(N($AH214)&gt;0,$AH214,IFERROR(INDEX(DM_SLA_Gio,MATCH($J214,DM_SLA_Cap,0)),168))/24)))</f>
      </c>
      <c r="V214" s="221">
        <f>IF($A214="","",IF(N($AJ214)=0,"Mới tiếp nhận",INDEX('Nhật ký tiến độ'!$E:$E,$AJ214)))</f>
      </c>
      <c r="W214" s="222">
        <f>IF($A214="","",IF($V214="Đã xử lý",1,IF(N($AJ214)=0,0,N(INDEX('Nhật ký tiến độ'!$D:$D,$AJ214)))))</f>
      </c>
      <c r="X214" s="222">
        <f>IF(OR($A214="",$V214="Đã xử lý",N($U214)=0,N($B214)=0),"",IF(TDBC&lt;=$B214,0,IF(TDBC&gt;=$U214,1,(TDBC-$B214)/($U214-$B214))))</f>
      </c>
      <c r="Y214" s="223">
        <f>IF($A214="","",IF($V214="Đã xử lý","Hoàn thành",IF(N($U214)=0,"Chưa đặt hạn",IF(TDBC&gt;$U214,"Quá hạn",IF(ROUND((N($X214)-$W214)*100,0)&gt;=20,"Chậm tiến độ",IF($U214-TDBC&lt;=1,"Sắp đến hạn","Đúng tiến độ"))))))</f>
      </c>
      <c r="Z214" s="223">
        <f>IF(OR($A214="",$V214="Đã xử lý",N($U214)=0),"",IF(TDBC&gt;$U214,"Quá "&amp;IF(((TDBC-$U214)*24)&lt;1,MAX(1,ROUND(((TDBC-$U214)*24)*60,0))&amp;" phút",IF(ROUND(((TDBC-$U214)*24),0)&lt;24,ROUND(((TDBC-$U214)*24),0)&amp;" giờ",INT(ROUND(((TDBC-$U214)*24),0)/24)&amp;" ngày"&amp;IF(MOD(ROUND(((TDBC-$U214)*24),0),24)&gt;0," "&amp;MOD(ROUND(((TDBC-$U214)*24),0),24)&amp;" giờ",""))),"Còn "&amp;IF((($U214-TDBC)*24)&lt;1,MAX(1,ROUND((($U214-TDBC)*24)*60,0))&amp;" phút",IF(ROUND((($U214-TDBC)*24),0)&lt;24,ROUND((($U214-TDBC)*24),0)&amp;" giờ",INT(ROUND((($U214-TDBC)*24),0)/24)&amp;" ngày"&amp;IF(MOD(ROUND((($U214-TDBC)*24),0),24)&gt;0," "&amp;MOD(ROUND((($U214-TDBC)*24),0),24)&amp;" giờ","")))))</f>
      </c>
      <c r="AA214" s="220">
        <f>IF($V214="Đã xử lý",_xlfn.MAXIFS('Nhật ký tiến độ'!$B$6:$B$3005,'Nhật ký tiến độ'!$C$6:$C$3005,$A214,'Nhật ký tiến độ'!$E$6:$E$3005,"Đã xử lý"),"")</f>
      </c>
      <c r="AB214" s="223">
        <f>IF($AI214="","",IF($AI214&lt;1,MAX(1,ROUND($AI214*60,0))&amp;" phút",IF(ROUND($AI214,0)&lt;24,ROUND($AI214,0)&amp;" giờ",INT(ROUND($AI214,0)/24)&amp;" ngày"&amp;IF(MOD(ROUND($AI214,0),24)&gt;0," "&amp;MOD(ROUND($AI214,0),24)&amp;" giờ",""))))</f>
      </c>
      <c r="AC214" s="223">
        <f>IF(OR($A214="",N($AH214)=0),"",IF($AI214&lt;&gt;"",IF($AI214&lt;=$AH214,"Trong ước tính","Vượt "&amp;IF(($AI214-$AH214)&lt;1,MAX(1,ROUND(($AI214-$AH214)*60,0))&amp;" phút",IF(ROUND(($AI214-$AH214),0)&lt;24,ROUND(($AI214-$AH214),0)&amp;" giờ",INT(ROUND(($AI214-$AH214),0)/24)&amp;" ngày"&amp;IF(MOD(ROUND(($AI214-$AH214),0),24)&gt;0," "&amp;MOD(ROUND(($AI214-$AH214),0),24)&amp;" giờ","")))),IF(OR($V214="Đã xử lý",N($B214)=0),"",IF((TDBC-$B214)*24&gt;$AH214,"Đã vượt ước tính","Đã dùng "&amp;TEXT((TDBC-$B214)*24/$AH214,"0%")))))</f>
      </c>
      <c r="AD214" s="223">
        <f>IF(N($AO214)=0,"",CHOOSE($AO214,"Nhắc nhở","Cảnh báo","Báo động","Báo động đỏ"))</f>
      </c>
      <c r="AE214" s="223">
        <f>IF(OR(N($AA214)=0,N($U214)=0),"",IF($AA214&lt;=$U214,"Đúng hạn","Trễ hạn"))</f>
      </c>
      <c r="AF214" s="220">
        <f>IF($A214="","",_xlfn.MAXIFS('Nhật ký tiến độ'!$B$6:$B$3005,'Nhật ký tiến độ'!$C$6:$C$3005,$A214))</f>
      </c>
      <c r="AG214" s="223">
        <f>IF($A214="","",IF(COUNTIF('Kế hoạch'!$M$6:$M$305,$A214)=0,"",COUNTIF('Kế hoạch'!$M$6:$M$305,$A214)&amp;" việc"))</f>
      </c>
      <c r="AH214" s="224">
        <f>IF(OR($A214="",N($O214)&lt;=0),"",IF($P214="Giờ",$O214,$O214*24))</f>
      </c>
      <c r="AI214" s="224">
        <f>IF(OR(N($AA214)=0,N($B214)=0),"",IF($AA214&lt;$B214,"",($AA214-$B214)*24))</f>
      </c>
      <c r="AJ214" s="225">
        <f>IF($A214="","",IF(COUNTIF('Nhật ký tiến độ'!$C$6:$C$3005,$A214)=0,0,_xlfn.MAXIFS('Nhật ký tiến độ'!$N$6:$N$3005,'Nhật ký tiến độ'!$C$6:$C$3005,$A214,'Nhật ký tiến độ'!$B$6:$B$3005,_xlfn.MAXIFS('Nhật ký tiến độ'!$B$6:$B$3005,'Nhật ký tiến độ'!$C$6:$C$3005,$A214))))</f>
      </c>
      <c r="AK214" s="225">
        <f>IF(OR($A214="",$V214="Đã xử lý"),"",IF(N($AO214)&gt;0,5-$AO214,IF($J214="Khẩn cấp",5,IF($Y214="Chậm tiến độ",6,IF(OR($Y214="Sắp đến hạn",$J214="Cao"),7,"")))))</f>
      </c>
      <c r="AL214" s="225">
        <f>IF($AK214="","",$AK214*100000+IF(N($U214)=0,99999,INT($U214))+ROW()/100000)</f>
      </c>
      <c r="AM214" s="225">
        <f>IF(OR($A214="",TRIM($K214)="",COUNTIF($K$6:$K214,$K214)&gt;1),0,1)</f>
      </c>
      <c r="AN214" s="225">
        <f>IF($AM214=1,SUM($AM$6:$AM214),"")</f>
      </c>
      <c r="AO214" s="225">
        <f>IF(OR($A214="",$V214="Đã xử lý",N($U214)=0),0,IF(TDBC&lt;=$U214,0,MAX(1,MIN(4,IF((TDBC-$U214)*24&lt;24,1,IF((TDBC-$U214)*24&lt;72,2,IF((TDBC-$U214)*24&lt;168,3,4)))+IFERROR(INDEX({2,1,0,-1},MATCH($J214,{"Khẩn cấp","Cao","Trung bình","Thấp"},0)),0)))))</f>
      </c>
    </row>
    <row r="215">
      <c r="A215" s="216"/>
      <c r="B215" s="217"/>
      <c r="C215" s="218"/>
      <c r="D215" s="218"/>
      <c r="E215" s="218"/>
      <c r="F215" s="218"/>
      <c r="G215" s="216"/>
      <c r="H215" s="218"/>
      <c r="I215" s="218"/>
      <c r="J215" s="216"/>
      <c r="K215" s="218"/>
      <c r="L215" s="218"/>
      <c r="M215" s="218"/>
      <c r="N215" s="218"/>
      <c r="O215" s="219"/>
      <c r="P215" s="216"/>
      <c r="Q215" s="217"/>
      <c r="R215" s="216"/>
      <c r="S215" s="218"/>
      <c r="T215" s="218"/>
      <c r="U215" s="220">
        <f>IF($A215="","",IF(N($Q215)&gt;0,IF(MOD($Q215,1)=0,$Q215+1-1/1440,$Q215),IF(N($B215)=0,"",$B215+IF(N($AH215)&gt;0,$AH215,IFERROR(INDEX(DM_SLA_Gio,MATCH($J215,DM_SLA_Cap,0)),168))/24)))</f>
      </c>
      <c r="V215" s="221">
        <f>IF($A215="","",IF(N($AJ215)=0,"Mới tiếp nhận",INDEX('Nhật ký tiến độ'!$E:$E,$AJ215)))</f>
      </c>
      <c r="W215" s="222">
        <f>IF($A215="","",IF($V215="Đã xử lý",1,IF(N($AJ215)=0,0,N(INDEX('Nhật ký tiến độ'!$D:$D,$AJ215)))))</f>
      </c>
      <c r="X215" s="222">
        <f>IF(OR($A215="",$V215="Đã xử lý",N($U215)=0,N($B215)=0),"",IF(TDBC&lt;=$B215,0,IF(TDBC&gt;=$U215,1,(TDBC-$B215)/($U215-$B215))))</f>
      </c>
      <c r="Y215" s="223">
        <f>IF($A215="","",IF($V215="Đã xử lý","Hoàn thành",IF(N($U215)=0,"Chưa đặt hạn",IF(TDBC&gt;$U215,"Quá hạn",IF(ROUND((N($X215)-$W215)*100,0)&gt;=20,"Chậm tiến độ",IF($U215-TDBC&lt;=1,"Sắp đến hạn","Đúng tiến độ"))))))</f>
      </c>
      <c r="Z215" s="223">
        <f>IF(OR($A215="",$V215="Đã xử lý",N($U215)=0),"",IF(TDBC&gt;$U215,"Quá "&amp;IF(((TDBC-$U215)*24)&lt;1,MAX(1,ROUND(((TDBC-$U215)*24)*60,0))&amp;" phút",IF(ROUND(((TDBC-$U215)*24),0)&lt;24,ROUND(((TDBC-$U215)*24),0)&amp;" giờ",INT(ROUND(((TDBC-$U215)*24),0)/24)&amp;" ngày"&amp;IF(MOD(ROUND(((TDBC-$U215)*24),0),24)&gt;0," "&amp;MOD(ROUND(((TDBC-$U215)*24),0),24)&amp;" giờ",""))),"Còn "&amp;IF((($U215-TDBC)*24)&lt;1,MAX(1,ROUND((($U215-TDBC)*24)*60,0))&amp;" phút",IF(ROUND((($U215-TDBC)*24),0)&lt;24,ROUND((($U215-TDBC)*24),0)&amp;" giờ",INT(ROUND((($U215-TDBC)*24),0)/24)&amp;" ngày"&amp;IF(MOD(ROUND((($U215-TDBC)*24),0),24)&gt;0," "&amp;MOD(ROUND((($U215-TDBC)*24),0),24)&amp;" giờ","")))))</f>
      </c>
      <c r="AA215" s="220">
        <f>IF($V215="Đã xử lý",_xlfn.MAXIFS('Nhật ký tiến độ'!$B$6:$B$3005,'Nhật ký tiến độ'!$C$6:$C$3005,$A215,'Nhật ký tiến độ'!$E$6:$E$3005,"Đã xử lý"),"")</f>
      </c>
      <c r="AB215" s="223">
        <f>IF($AI215="","",IF($AI215&lt;1,MAX(1,ROUND($AI215*60,0))&amp;" phút",IF(ROUND($AI215,0)&lt;24,ROUND($AI215,0)&amp;" giờ",INT(ROUND($AI215,0)/24)&amp;" ngày"&amp;IF(MOD(ROUND($AI215,0),24)&gt;0," "&amp;MOD(ROUND($AI215,0),24)&amp;" giờ",""))))</f>
      </c>
      <c r="AC215" s="223">
        <f>IF(OR($A215="",N($AH215)=0),"",IF($AI215&lt;&gt;"",IF($AI215&lt;=$AH215,"Trong ước tính","Vượt "&amp;IF(($AI215-$AH215)&lt;1,MAX(1,ROUND(($AI215-$AH215)*60,0))&amp;" phút",IF(ROUND(($AI215-$AH215),0)&lt;24,ROUND(($AI215-$AH215),0)&amp;" giờ",INT(ROUND(($AI215-$AH215),0)/24)&amp;" ngày"&amp;IF(MOD(ROUND(($AI215-$AH215),0),24)&gt;0," "&amp;MOD(ROUND(($AI215-$AH215),0),24)&amp;" giờ","")))),IF(OR($V215="Đã xử lý",N($B215)=0),"",IF((TDBC-$B215)*24&gt;$AH215,"Đã vượt ước tính","Đã dùng "&amp;TEXT((TDBC-$B215)*24/$AH215,"0%")))))</f>
      </c>
      <c r="AD215" s="223">
        <f>IF(N($AO215)=0,"",CHOOSE($AO215,"Nhắc nhở","Cảnh báo","Báo động","Báo động đỏ"))</f>
      </c>
      <c r="AE215" s="223">
        <f>IF(OR(N($AA215)=0,N($U215)=0),"",IF($AA215&lt;=$U215,"Đúng hạn","Trễ hạn"))</f>
      </c>
      <c r="AF215" s="220">
        <f>IF($A215="","",_xlfn.MAXIFS('Nhật ký tiến độ'!$B$6:$B$3005,'Nhật ký tiến độ'!$C$6:$C$3005,$A215))</f>
      </c>
      <c r="AG215" s="223">
        <f>IF($A215="","",IF(COUNTIF('Kế hoạch'!$M$6:$M$305,$A215)=0,"",COUNTIF('Kế hoạch'!$M$6:$M$305,$A215)&amp;" việc"))</f>
      </c>
      <c r="AH215" s="224">
        <f>IF(OR($A215="",N($O215)&lt;=0),"",IF($P215="Giờ",$O215,$O215*24))</f>
      </c>
      <c r="AI215" s="224">
        <f>IF(OR(N($AA215)=0,N($B215)=0),"",IF($AA215&lt;$B215,"",($AA215-$B215)*24))</f>
      </c>
      <c r="AJ215" s="225">
        <f>IF($A215="","",IF(COUNTIF('Nhật ký tiến độ'!$C$6:$C$3005,$A215)=0,0,_xlfn.MAXIFS('Nhật ký tiến độ'!$N$6:$N$3005,'Nhật ký tiến độ'!$C$6:$C$3005,$A215,'Nhật ký tiến độ'!$B$6:$B$3005,_xlfn.MAXIFS('Nhật ký tiến độ'!$B$6:$B$3005,'Nhật ký tiến độ'!$C$6:$C$3005,$A215))))</f>
      </c>
      <c r="AK215" s="225">
        <f>IF(OR($A215="",$V215="Đã xử lý"),"",IF(N($AO215)&gt;0,5-$AO215,IF($J215="Khẩn cấp",5,IF($Y215="Chậm tiến độ",6,IF(OR($Y215="Sắp đến hạn",$J215="Cao"),7,"")))))</f>
      </c>
      <c r="AL215" s="225">
        <f>IF($AK215="","",$AK215*100000+IF(N($U215)=0,99999,INT($U215))+ROW()/100000)</f>
      </c>
      <c r="AM215" s="225">
        <f>IF(OR($A215="",TRIM($K215)="",COUNTIF($K$6:$K215,$K215)&gt;1),0,1)</f>
      </c>
      <c r="AN215" s="225">
        <f>IF($AM215=1,SUM($AM$6:$AM215),"")</f>
      </c>
      <c r="AO215" s="225">
        <f>IF(OR($A215="",$V215="Đã xử lý",N($U215)=0),0,IF(TDBC&lt;=$U215,0,MAX(1,MIN(4,IF((TDBC-$U215)*24&lt;24,1,IF((TDBC-$U215)*24&lt;72,2,IF((TDBC-$U215)*24&lt;168,3,4)))+IFERROR(INDEX({2,1,0,-1},MATCH($J215,{"Khẩn cấp","Cao","Trung bình","Thấp"},0)),0)))))</f>
      </c>
    </row>
    <row r="216">
      <c r="A216" s="216"/>
      <c r="B216" s="217"/>
      <c r="C216" s="218"/>
      <c r="D216" s="218"/>
      <c r="E216" s="218"/>
      <c r="F216" s="218"/>
      <c r="G216" s="216"/>
      <c r="H216" s="218"/>
      <c r="I216" s="218"/>
      <c r="J216" s="216"/>
      <c r="K216" s="218"/>
      <c r="L216" s="218"/>
      <c r="M216" s="218"/>
      <c r="N216" s="218"/>
      <c r="O216" s="219"/>
      <c r="P216" s="216"/>
      <c r="Q216" s="217"/>
      <c r="R216" s="216"/>
      <c r="S216" s="218"/>
      <c r="T216" s="218"/>
      <c r="U216" s="220">
        <f>IF($A216="","",IF(N($Q216)&gt;0,IF(MOD($Q216,1)=0,$Q216+1-1/1440,$Q216),IF(N($B216)=0,"",$B216+IF(N($AH216)&gt;0,$AH216,IFERROR(INDEX(DM_SLA_Gio,MATCH($J216,DM_SLA_Cap,0)),168))/24)))</f>
      </c>
      <c r="V216" s="221">
        <f>IF($A216="","",IF(N($AJ216)=0,"Mới tiếp nhận",INDEX('Nhật ký tiến độ'!$E:$E,$AJ216)))</f>
      </c>
      <c r="W216" s="222">
        <f>IF($A216="","",IF($V216="Đã xử lý",1,IF(N($AJ216)=0,0,N(INDEX('Nhật ký tiến độ'!$D:$D,$AJ216)))))</f>
      </c>
      <c r="X216" s="222">
        <f>IF(OR($A216="",$V216="Đã xử lý",N($U216)=0,N($B216)=0),"",IF(TDBC&lt;=$B216,0,IF(TDBC&gt;=$U216,1,(TDBC-$B216)/($U216-$B216))))</f>
      </c>
      <c r="Y216" s="223">
        <f>IF($A216="","",IF($V216="Đã xử lý","Hoàn thành",IF(N($U216)=0,"Chưa đặt hạn",IF(TDBC&gt;$U216,"Quá hạn",IF(ROUND((N($X216)-$W216)*100,0)&gt;=20,"Chậm tiến độ",IF($U216-TDBC&lt;=1,"Sắp đến hạn","Đúng tiến độ"))))))</f>
      </c>
      <c r="Z216" s="223">
        <f>IF(OR($A216="",$V216="Đã xử lý",N($U216)=0),"",IF(TDBC&gt;$U216,"Quá "&amp;IF(((TDBC-$U216)*24)&lt;1,MAX(1,ROUND(((TDBC-$U216)*24)*60,0))&amp;" phút",IF(ROUND(((TDBC-$U216)*24),0)&lt;24,ROUND(((TDBC-$U216)*24),0)&amp;" giờ",INT(ROUND(((TDBC-$U216)*24),0)/24)&amp;" ngày"&amp;IF(MOD(ROUND(((TDBC-$U216)*24),0),24)&gt;0," "&amp;MOD(ROUND(((TDBC-$U216)*24),0),24)&amp;" giờ",""))),"Còn "&amp;IF((($U216-TDBC)*24)&lt;1,MAX(1,ROUND((($U216-TDBC)*24)*60,0))&amp;" phút",IF(ROUND((($U216-TDBC)*24),0)&lt;24,ROUND((($U216-TDBC)*24),0)&amp;" giờ",INT(ROUND((($U216-TDBC)*24),0)/24)&amp;" ngày"&amp;IF(MOD(ROUND((($U216-TDBC)*24),0),24)&gt;0," "&amp;MOD(ROUND((($U216-TDBC)*24),0),24)&amp;" giờ","")))))</f>
      </c>
      <c r="AA216" s="220">
        <f>IF($V216="Đã xử lý",_xlfn.MAXIFS('Nhật ký tiến độ'!$B$6:$B$3005,'Nhật ký tiến độ'!$C$6:$C$3005,$A216,'Nhật ký tiến độ'!$E$6:$E$3005,"Đã xử lý"),"")</f>
      </c>
      <c r="AB216" s="223">
        <f>IF($AI216="","",IF($AI216&lt;1,MAX(1,ROUND($AI216*60,0))&amp;" phút",IF(ROUND($AI216,0)&lt;24,ROUND($AI216,0)&amp;" giờ",INT(ROUND($AI216,0)/24)&amp;" ngày"&amp;IF(MOD(ROUND($AI216,0),24)&gt;0," "&amp;MOD(ROUND($AI216,0),24)&amp;" giờ",""))))</f>
      </c>
      <c r="AC216" s="223">
        <f>IF(OR($A216="",N($AH216)=0),"",IF($AI216&lt;&gt;"",IF($AI216&lt;=$AH216,"Trong ước tính","Vượt "&amp;IF(($AI216-$AH216)&lt;1,MAX(1,ROUND(($AI216-$AH216)*60,0))&amp;" phút",IF(ROUND(($AI216-$AH216),0)&lt;24,ROUND(($AI216-$AH216),0)&amp;" giờ",INT(ROUND(($AI216-$AH216),0)/24)&amp;" ngày"&amp;IF(MOD(ROUND(($AI216-$AH216),0),24)&gt;0," "&amp;MOD(ROUND(($AI216-$AH216),0),24)&amp;" giờ","")))),IF(OR($V216="Đã xử lý",N($B216)=0),"",IF((TDBC-$B216)*24&gt;$AH216,"Đã vượt ước tính","Đã dùng "&amp;TEXT((TDBC-$B216)*24/$AH216,"0%")))))</f>
      </c>
      <c r="AD216" s="223">
        <f>IF(N($AO216)=0,"",CHOOSE($AO216,"Nhắc nhở","Cảnh báo","Báo động","Báo động đỏ"))</f>
      </c>
      <c r="AE216" s="223">
        <f>IF(OR(N($AA216)=0,N($U216)=0),"",IF($AA216&lt;=$U216,"Đúng hạn","Trễ hạn"))</f>
      </c>
      <c r="AF216" s="220">
        <f>IF($A216="","",_xlfn.MAXIFS('Nhật ký tiến độ'!$B$6:$B$3005,'Nhật ký tiến độ'!$C$6:$C$3005,$A216))</f>
      </c>
      <c r="AG216" s="223">
        <f>IF($A216="","",IF(COUNTIF('Kế hoạch'!$M$6:$M$305,$A216)=0,"",COUNTIF('Kế hoạch'!$M$6:$M$305,$A216)&amp;" việc"))</f>
      </c>
      <c r="AH216" s="224">
        <f>IF(OR($A216="",N($O216)&lt;=0),"",IF($P216="Giờ",$O216,$O216*24))</f>
      </c>
      <c r="AI216" s="224">
        <f>IF(OR(N($AA216)=0,N($B216)=0),"",IF($AA216&lt;$B216,"",($AA216-$B216)*24))</f>
      </c>
      <c r="AJ216" s="225">
        <f>IF($A216="","",IF(COUNTIF('Nhật ký tiến độ'!$C$6:$C$3005,$A216)=0,0,_xlfn.MAXIFS('Nhật ký tiến độ'!$N$6:$N$3005,'Nhật ký tiến độ'!$C$6:$C$3005,$A216,'Nhật ký tiến độ'!$B$6:$B$3005,_xlfn.MAXIFS('Nhật ký tiến độ'!$B$6:$B$3005,'Nhật ký tiến độ'!$C$6:$C$3005,$A216))))</f>
      </c>
      <c r="AK216" s="225">
        <f>IF(OR($A216="",$V216="Đã xử lý"),"",IF(N($AO216)&gt;0,5-$AO216,IF($J216="Khẩn cấp",5,IF($Y216="Chậm tiến độ",6,IF(OR($Y216="Sắp đến hạn",$J216="Cao"),7,"")))))</f>
      </c>
      <c r="AL216" s="225">
        <f>IF($AK216="","",$AK216*100000+IF(N($U216)=0,99999,INT($U216))+ROW()/100000)</f>
      </c>
      <c r="AM216" s="225">
        <f>IF(OR($A216="",TRIM($K216)="",COUNTIF($K$6:$K216,$K216)&gt;1),0,1)</f>
      </c>
      <c r="AN216" s="225">
        <f>IF($AM216=1,SUM($AM$6:$AM216),"")</f>
      </c>
      <c r="AO216" s="225">
        <f>IF(OR($A216="",$V216="Đã xử lý",N($U216)=0),0,IF(TDBC&lt;=$U216,0,MAX(1,MIN(4,IF((TDBC-$U216)*24&lt;24,1,IF((TDBC-$U216)*24&lt;72,2,IF((TDBC-$U216)*24&lt;168,3,4)))+IFERROR(INDEX({2,1,0,-1},MATCH($J216,{"Khẩn cấp","Cao","Trung bình","Thấp"},0)),0)))))</f>
      </c>
    </row>
    <row r="217">
      <c r="A217" s="216"/>
      <c r="B217" s="217"/>
      <c r="C217" s="218"/>
      <c r="D217" s="218"/>
      <c r="E217" s="218"/>
      <c r="F217" s="218"/>
      <c r="G217" s="216"/>
      <c r="H217" s="218"/>
      <c r="I217" s="218"/>
      <c r="J217" s="216"/>
      <c r="K217" s="218"/>
      <c r="L217" s="218"/>
      <c r="M217" s="218"/>
      <c r="N217" s="218"/>
      <c r="O217" s="219"/>
      <c r="P217" s="216"/>
      <c r="Q217" s="217"/>
      <c r="R217" s="216"/>
      <c r="S217" s="218"/>
      <c r="T217" s="218"/>
      <c r="U217" s="220">
        <f>IF($A217="","",IF(N($Q217)&gt;0,IF(MOD($Q217,1)=0,$Q217+1-1/1440,$Q217),IF(N($B217)=0,"",$B217+IF(N($AH217)&gt;0,$AH217,IFERROR(INDEX(DM_SLA_Gio,MATCH($J217,DM_SLA_Cap,0)),168))/24)))</f>
      </c>
      <c r="V217" s="221">
        <f>IF($A217="","",IF(N($AJ217)=0,"Mới tiếp nhận",INDEX('Nhật ký tiến độ'!$E:$E,$AJ217)))</f>
      </c>
      <c r="W217" s="222">
        <f>IF($A217="","",IF($V217="Đã xử lý",1,IF(N($AJ217)=0,0,N(INDEX('Nhật ký tiến độ'!$D:$D,$AJ217)))))</f>
      </c>
      <c r="X217" s="222">
        <f>IF(OR($A217="",$V217="Đã xử lý",N($U217)=0,N($B217)=0),"",IF(TDBC&lt;=$B217,0,IF(TDBC&gt;=$U217,1,(TDBC-$B217)/($U217-$B217))))</f>
      </c>
      <c r="Y217" s="223">
        <f>IF($A217="","",IF($V217="Đã xử lý","Hoàn thành",IF(N($U217)=0,"Chưa đặt hạn",IF(TDBC&gt;$U217,"Quá hạn",IF(ROUND((N($X217)-$W217)*100,0)&gt;=20,"Chậm tiến độ",IF($U217-TDBC&lt;=1,"Sắp đến hạn","Đúng tiến độ"))))))</f>
      </c>
      <c r="Z217" s="223">
        <f>IF(OR($A217="",$V217="Đã xử lý",N($U217)=0),"",IF(TDBC&gt;$U217,"Quá "&amp;IF(((TDBC-$U217)*24)&lt;1,MAX(1,ROUND(((TDBC-$U217)*24)*60,0))&amp;" phút",IF(ROUND(((TDBC-$U217)*24),0)&lt;24,ROUND(((TDBC-$U217)*24),0)&amp;" giờ",INT(ROUND(((TDBC-$U217)*24),0)/24)&amp;" ngày"&amp;IF(MOD(ROUND(((TDBC-$U217)*24),0),24)&gt;0," "&amp;MOD(ROUND(((TDBC-$U217)*24),0),24)&amp;" giờ",""))),"Còn "&amp;IF((($U217-TDBC)*24)&lt;1,MAX(1,ROUND((($U217-TDBC)*24)*60,0))&amp;" phút",IF(ROUND((($U217-TDBC)*24),0)&lt;24,ROUND((($U217-TDBC)*24),0)&amp;" giờ",INT(ROUND((($U217-TDBC)*24),0)/24)&amp;" ngày"&amp;IF(MOD(ROUND((($U217-TDBC)*24),0),24)&gt;0," "&amp;MOD(ROUND((($U217-TDBC)*24),0),24)&amp;" giờ","")))))</f>
      </c>
      <c r="AA217" s="220">
        <f>IF($V217="Đã xử lý",_xlfn.MAXIFS('Nhật ký tiến độ'!$B$6:$B$3005,'Nhật ký tiến độ'!$C$6:$C$3005,$A217,'Nhật ký tiến độ'!$E$6:$E$3005,"Đã xử lý"),"")</f>
      </c>
      <c r="AB217" s="223">
        <f>IF($AI217="","",IF($AI217&lt;1,MAX(1,ROUND($AI217*60,0))&amp;" phút",IF(ROUND($AI217,0)&lt;24,ROUND($AI217,0)&amp;" giờ",INT(ROUND($AI217,0)/24)&amp;" ngày"&amp;IF(MOD(ROUND($AI217,0),24)&gt;0," "&amp;MOD(ROUND($AI217,0),24)&amp;" giờ",""))))</f>
      </c>
      <c r="AC217" s="223">
        <f>IF(OR($A217="",N($AH217)=0),"",IF($AI217&lt;&gt;"",IF($AI217&lt;=$AH217,"Trong ước tính","Vượt "&amp;IF(($AI217-$AH217)&lt;1,MAX(1,ROUND(($AI217-$AH217)*60,0))&amp;" phút",IF(ROUND(($AI217-$AH217),0)&lt;24,ROUND(($AI217-$AH217),0)&amp;" giờ",INT(ROUND(($AI217-$AH217),0)/24)&amp;" ngày"&amp;IF(MOD(ROUND(($AI217-$AH217),0),24)&gt;0," "&amp;MOD(ROUND(($AI217-$AH217),0),24)&amp;" giờ","")))),IF(OR($V217="Đã xử lý",N($B217)=0),"",IF((TDBC-$B217)*24&gt;$AH217,"Đã vượt ước tính","Đã dùng "&amp;TEXT((TDBC-$B217)*24/$AH217,"0%")))))</f>
      </c>
      <c r="AD217" s="223">
        <f>IF(N($AO217)=0,"",CHOOSE($AO217,"Nhắc nhở","Cảnh báo","Báo động","Báo động đỏ"))</f>
      </c>
      <c r="AE217" s="223">
        <f>IF(OR(N($AA217)=0,N($U217)=0),"",IF($AA217&lt;=$U217,"Đúng hạn","Trễ hạn"))</f>
      </c>
      <c r="AF217" s="220">
        <f>IF($A217="","",_xlfn.MAXIFS('Nhật ký tiến độ'!$B$6:$B$3005,'Nhật ký tiến độ'!$C$6:$C$3005,$A217))</f>
      </c>
      <c r="AG217" s="223">
        <f>IF($A217="","",IF(COUNTIF('Kế hoạch'!$M$6:$M$305,$A217)=0,"",COUNTIF('Kế hoạch'!$M$6:$M$305,$A217)&amp;" việc"))</f>
      </c>
      <c r="AH217" s="224">
        <f>IF(OR($A217="",N($O217)&lt;=0),"",IF($P217="Giờ",$O217,$O217*24))</f>
      </c>
      <c r="AI217" s="224">
        <f>IF(OR(N($AA217)=0,N($B217)=0),"",IF($AA217&lt;$B217,"",($AA217-$B217)*24))</f>
      </c>
      <c r="AJ217" s="225">
        <f>IF($A217="","",IF(COUNTIF('Nhật ký tiến độ'!$C$6:$C$3005,$A217)=0,0,_xlfn.MAXIFS('Nhật ký tiến độ'!$N$6:$N$3005,'Nhật ký tiến độ'!$C$6:$C$3005,$A217,'Nhật ký tiến độ'!$B$6:$B$3005,_xlfn.MAXIFS('Nhật ký tiến độ'!$B$6:$B$3005,'Nhật ký tiến độ'!$C$6:$C$3005,$A217))))</f>
      </c>
      <c r="AK217" s="225">
        <f>IF(OR($A217="",$V217="Đã xử lý"),"",IF(N($AO217)&gt;0,5-$AO217,IF($J217="Khẩn cấp",5,IF($Y217="Chậm tiến độ",6,IF(OR($Y217="Sắp đến hạn",$J217="Cao"),7,"")))))</f>
      </c>
      <c r="AL217" s="225">
        <f>IF($AK217="","",$AK217*100000+IF(N($U217)=0,99999,INT($U217))+ROW()/100000)</f>
      </c>
      <c r="AM217" s="225">
        <f>IF(OR($A217="",TRIM($K217)="",COUNTIF($K$6:$K217,$K217)&gt;1),0,1)</f>
      </c>
      <c r="AN217" s="225">
        <f>IF($AM217=1,SUM($AM$6:$AM217),"")</f>
      </c>
      <c r="AO217" s="225">
        <f>IF(OR($A217="",$V217="Đã xử lý",N($U217)=0),0,IF(TDBC&lt;=$U217,0,MAX(1,MIN(4,IF((TDBC-$U217)*24&lt;24,1,IF((TDBC-$U217)*24&lt;72,2,IF((TDBC-$U217)*24&lt;168,3,4)))+IFERROR(INDEX({2,1,0,-1},MATCH($J217,{"Khẩn cấp","Cao","Trung bình","Thấp"},0)),0)))))</f>
      </c>
    </row>
    <row r="218">
      <c r="A218" s="216"/>
      <c r="B218" s="217"/>
      <c r="C218" s="218"/>
      <c r="D218" s="218"/>
      <c r="E218" s="218"/>
      <c r="F218" s="218"/>
      <c r="G218" s="216"/>
      <c r="H218" s="218"/>
      <c r="I218" s="218"/>
      <c r="J218" s="216"/>
      <c r="K218" s="218"/>
      <c r="L218" s="218"/>
      <c r="M218" s="218"/>
      <c r="N218" s="218"/>
      <c r="O218" s="219"/>
      <c r="P218" s="216"/>
      <c r="Q218" s="217"/>
      <c r="R218" s="216"/>
      <c r="S218" s="218"/>
      <c r="T218" s="218"/>
      <c r="U218" s="220">
        <f>IF($A218="","",IF(N($Q218)&gt;0,IF(MOD($Q218,1)=0,$Q218+1-1/1440,$Q218),IF(N($B218)=0,"",$B218+IF(N($AH218)&gt;0,$AH218,IFERROR(INDEX(DM_SLA_Gio,MATCH($J218,DM_SLA_Cap,0)),168))/24)))</f>
      </c>
      <c r="V218" s="221">
        <f>IF($A218="","",IF(N($AJ218)=0,"Mới tiếp nhận",INDEX('Nhật ký tiến độ'!$E:$E,$AJ218)))</f>
      </c>
      <c r="W218" s="222">
        <f>IF($A218="","",IF($V218="Đã xử lý",1,IF(N($AJ218)=0,0,N(INDEX('Nhật ký tiến độ'!$D:$D,$AJ218)))))</f>
      </c>
      <c r="X218" s="222">
        <f>IF(OR($A218="",$V218="Đã xử lý",N($U218)=0,N($B218)=0),"",IF(TDBC&lt;=$B218,0,IF(TDBC&gt;=$U218,1,(TDBC-$B218)/($U218-$B218))))</f>
      </c>
      <c r="Y218" s="223">
        <f>IF($A218="","",IF($V218="Đã xử lý","Hoàn thành",IF(N($U218)=0,"Chưa đặt hạn",IF(TDBC&gt;$U218,"Quá hạn",IF(ROUND((N($X218)-$W218)*100,0)&gt;=20,"Chậm tiến độ",IF($U218-TDBC&lt;=1,"Sắp đến hạn","Đúng tiến độ"))))))</f>
      </c>
      <c r="Z218" s="223">
        <f>IF(OR($A218="",$V218="Đã xử lý",N($U218)=0),"",IF(TDBC&gt;$U218,"Quá "&amp;IF(((TDBC-$U218)*24)&lt;1,MAX(1,ROUND(((TDBC-$U218)*24)*60,0))&amp;" phút",IF(ROUND(((TDBC-$U218)*24),0)&lt;24,ROUND(((TDBC-$U218)*24),0)&amp;" giờ",INT(ROUND(((TDBC-$U218)*24),0)/24)&amp;" ngày"&amp;IF(MOD(ROUND(((TDBC-$U218)*24),0),24)&gt;0," "&amp;MOD(ROUND(((TDBC-$U218)*24),0),24)&amp;" giờ",""))),"Còn "&amp;IF((($U218-TDBC)*24)&lt;1,MAX(1,ROUND((($U218-TDBC)*24)*60,0))&amp;" phút",IF(ROUND((($U218-TDBC)*24),0)&lt;24,ROUND((($U218-TDBC)*24),0)&amp;" giờ",INT(ROUND((($U218-TDBC)*24),0)/24)&amp;" ngày"&amp;IF(MOD(ROUND((($U218-TDBC)*24),0),24)&gt;0," "&amp;MOD(ROUND((($U218-TDBC)*24),0),24)&amp;" giờ","")))))</f>
      </c>
      <c r="AA218" s="220">
        <f>IF($V218="Đã xử lý",_xlfn.MAXIFS('Nhật ký tiến độ'!$B$6:$B$3005,'Nhật ký tiến độ'!$C$6:$C$3005,$A218,'Nhật ký tiến độ'!$E$6:$E$3005,"Đã xử lý"),"")</f>
      </c>
      <c r="AB218" s="223">
        <f>IF($AI218="","",IF($AI218&lt;1,MAX(1,ROUND($AI218*60,0))&amp;" phút",IF(ROUND($AI218,0)&lt;24,ROUND($AI218,0)&amp;" giờ",INT(ROUND($AI218,0)/24)&amp;" ngày"&amp;IF(MOD(ROUND($AI218,0),24)&gt;0," "&amp;MOD(ROUND($AI218,0),24)&amp;" giờ",""))))</f>
      </c>
      <c r="AC218" s="223">
        <f>IF(OR($A218="",N($AH218)=0),"",IF($AI218&lt;&gt;"",IF($AI218&lt;=$AH218,"Trong ước tính","Vượt "&amp;IF(($AI218-$AH218)&lt;1,MAX(1,ROUND(($AI218-$AH218)*60,0))&amp;" phút",IF(ROUND(($AI218-$AH218),0)&lt;24,ROUND(($AI218-$AH218),0)&amp;" giờ",INT(ROUND(($AI218-$AH218),0)/24)&amp;" ngày"&amp;IF(MOD(ROUND(($AI218-$AH218),0),24)&gt;0," "&amp;MOD(ROUND(($AI218-$AH218),0),24)&amp;" giờ","")))),IF(OR($V218="Đã xử lý",N($B218)=0),"",IF((TDBC-$B218)*24&gt;$AH218,"Đã vượt ước tính","Đã dùng "&amp;TEXT((TDBC-$B218)*24/$AH218,"0%")))))</f>
      </c>
      <c r="AD218" s="223">
        <f>IF(N($AO218)=0,"",CHOOSE($AO218,"Nhắc nhở","Cảnh báo","Báo động","Báo động đỏ"))</f>
      </c>
      <c r="AE218" s="223">
        <f>IF(OR(N($AA218)=0,N($U218)=0),"",IF($AA218&lt;=$U218,"Đúng hạn","Trễ hạn"))</f>
      </c>
      <c r="AF218" s="220">
        <f>IF($A218="","",_xlfn.MAXIFS('Nhật ký tiến độ'!$B$6:$B$3005,'Nhật ký tiến độ'!$C$6:$C$3005,$A218))</f>
      </c>
      <c r="AG218" s="223">
        <f>IF($A218="","",IF(COUNTIF('Kế hoạch'!$M$6:$M$305,$A218)=0,"",COUNTIF('Kế hoạch'!$M$6:$M$305,$A218)&amp;" việc"))</f>
      </c>
      <c r="AH218" s="224">
        <f>IF(OR($A218="",N($O218)&lt;=0),"",IF($P218="Giờ",$O218,$O218*24))</f>
      </c>
      <c r="AI218" s="224">
        <f>IF(OR(N($AA218)=0,N($B218)=0),"",IF($AA218&lt;$B218,"",($AA218-$B218)*24))</f>
      </c>
      <c r="AJ218" s="225">
        <f>IF($A218="","",IF(COUNTIF('Nhật ký tiến độ'!$C$6:$C$3005,$A218)=0,0,_xlfn.MAXIFS('Nhật ký tiến độ'!$N$6:$N$3005,'Nhật ký tiến độ'!$C$6:$C$3005,$A218,'Nhật ký tiến độ'!$B$6:$B$3005,_xlfn.MAXIFS('Nhật ký tiến độ'!$B$6:$B$3005,'Nhật ký tiến độ'!$C$6:$C$3005,$A218))))</f>
      </c>
      <c r="AK218" s="225">
        <f>IF(OR($A218="",$V218="Đã xử lý"),"",IF(N($AO218)&gt;0,5-$AO218,IF($J218="Khẩn cấp",5,IF($Y218="Chậm tiến độ",6,IF(OR($Y218="Sắp đến hạn",$J218="Cao"),7,"")))))</f>
      </c>
      <c r="AL218" s="225">
        <f>IF($AK218="","",$AK218*100000+IF(N($U218)=0,99999,INT($U218))+ROW()/100000)</f>
      </c>
      <c r="AM218" s="225">
        <f>IF(OR($A218="",TRIM($K218)="",COUNTIF($K$6:$K218,$K218)&gt;1),0,1)</f>
      </c>
      <c r="AN218" s="225">
        <f>IF($AM218=1,SUM($AM$6:$AM218),"")</f>
      </c>
      <c r="AO218" s="225">
        <f>IF(OR($A218="",$V218="Đã xử lý",N($U218)=0),0,IF(TDBC&lt;=$U218,0,MAX(1,MIN(4,IF((TDBC-$U218)*24&lt;24,1,IF((TDBC-$U218)*24&lt;72,2,IF((TDBC-$U218)*24&lt;168,3,4)))+IFERROR(INDEX({2,1,0,-1},MATCH($J218,{"Khẩn cấp","Cao","Trung bình","Thấp"},0)),0)))))</f>
      </c>
    </row>
    <row r="219">
      <c r="A219" s="216"/>
      <c r="B219" s="217"/>
      <c r="C219" s="218"/>
      <c r="D219" s="218"/>
      <c r="E219" s="218"/>
      <c r="F219" s="218"/>
      <c r="G219" s="216"/>
      <c r="H219" s="218"/>
      <c r="I219" s="218"/>
      <c r="J219" s="216"/>
      <c r="K219" s="218"/>
      <c r="L219" s="218"/>
      <c r="M219" s="218"/>
      <c r="N219" s="218"/>
      <c r="O219" s="219"/>
      <c r="P219" s="216"/>
      <c r="Q219" s="217"/>
      <c r="R219" s="216"/>
      <c r="S219" s="218"/>
      <c r="T219" s="218"/>
      <c r="U219" s="220">
        <f>IF($A219="","",IF(N($Q219)&gt;0,IF(MOD($Q219,1)=0,$Q219+1-1/1440,$Q219),IF(N($B219)=0,"",$B219+IF(N($AH219)&gt;0,$AH219,IFERROR(INDEX(DM_SLA_Gio,MATCH($J219,DM_SLA_Cap,0)),168))/24)))</f>
      </c>
      <c r="V219" s="221">
        <f>IF($A219="","",IF(N($AJ219)=0,"Mới tiếp nhận",INDEX('Nhật ký tiến độ'!$E:$E,$AJ219)))</f>
      </c>
      <c r="W219" s="222">
        <f>IF($A219="","",IF($V219="Đã xử lý",1,IF(N($AJ219)=0,0,N(INDEX('Nhật ký tiến độ'!$D:$D,$AJ219)))))</f>
      </c>
      <c r="X219" s="222">
        <f>IF(OR($A219="",$V219="Đã xử lý",N($U219)=0,N($B219)=0),"",IF(TDBC&lt;=$B219,0,IF(TDBC&gt;=$U219,1,(TDBC-$B219)/($U219-$B219))))</f>
      </c>
      <c r="Y219" s="223">
        <f>IF($A219="","",IF($V219="Đã xử lý","Hoàn thành",IF(N($U219)=0,"Chưa đặt hạn",IF(TDBC&gt;$U219,"Quá hạn",IF(ROUND((N($X219)-$W219)*100,0)&gt;=20,"Chậm tiến độ",IF($U219-TDBC&lt;=1,"Sắp đến hạn","Đúng tiến độ"))))))</f>
      </c>
      <c r="Z219" s="223">
        <f>IF(OR($A219="",$V219="Đã xử lý",N($U219)=0),"",IF(TDBC&gt;$U219,"Quá "&amp;IF(((TDBC-$U219)*24)&lt;1,MAX(1,ROUND(((TDBC-$U219)*24)*60,0))&amp;" phút",IF(ROUND(((TDBC-$U219)*24),0)&lt;24,ROUND(((TDBC-$U219)*24),0)&amp;" giờ",INT(ROUND(((TDBC-$U219)*24),0)/24)&amp;" ngày"&amp;IF(MOD(ROUND(((TDBC-$U219)*24),0),24)&gt;0," "&amp;MOD(ROUND(((TDBC-$U219)*24),0),24)&amp;" giờ",""))),"Còn "&amp;IF((($U219-TDBC)*24)&lt;1,MAX(1,ROUND((($U219-TDBC)*24)*60,0))&amp;" phút",IF(ROUND((($U219-TDBC)*24),0)&lt;24,ROUND((($U219-TDBC)*24),0)&amp;" giờ",INT(ROUND((($U219-TDBC)*24),0)/24)&amp;" ngày"&amp;IF(MOD(ROUND((($U219-TDBC)*24),0),24)&gt;0," "&amp;MOD(ROUND((($U219-TDBC)*24),0),24)&amp;" giờ","")))))</f>
      </c>
      <c r="AA219" s="220">
        <f>IF($V219="Đã xử lý",_xlfn.MAXIFS('Nhật ký tiến độ'!$B$6:$B$3005,'Nhật ký tiến độ'!$C$6:$C$3005,$A219,'Nhật ký tiến độ'!$E$6:$E$3005,"Đã xử lý"),"")</f>
      </c>
      <c r="AB219" s="223">
        <f>IF($AI219="","",IF($AI219&lt;1,MAX(1,ROUND($AI219*60,0))&amp;" phút",IF(ROUND($AI219,0)&lt;24,ROUND($AI219,0)&amp;" giờ",INT(ROUND($AI219,0)/24)&amp;" ngày"&amp;IF(MOD(ROUND($AI219,0),24)&gt;0," "&amp;MOD(ROUND($AI219,0),24)&amp;" giờ",""))))</f>
      </c>
      <c r="AC219" s="223">
        <f>IF(OR($A219="",N($AH219)=0),"",IF($AI219&lt;&gt;"",IF($AI219&lt;=$AH219,"Trong ước tính","Vượt "&amp;IF(($AI219-$AH219)&lt;1,MAX(1,ROUND(($AI219-$AH219)*60,0))&amp;" phút",IF(ROUND(($AI219-$AH219),0)&lt;24,ROUND(($AI219-$AH219),0)&amp;" giờ",INT(ROUND(($AI219-$AH219),0)/24)&amp;" ngày"&amp;IF(MOD(ROUND(($AI219-$AH219),0),24)&gt;0," "&amp;MOD(ROUND(($AI219-$AH219),0),24)&amp;" giờ","")))),IF(OR($V219="Đã xử lý",N($B219)=0),"",IF((TDBC-$B219)*24&gt;$AH219,"Đã vượt ước tính","Đã dùng "&amp;TEXT((TDBC-$B219)*24/$AH219,"0%")))))</f>
      </c>
      <c r="AD219" s="223">
        <f>IF(N($AO219)=0,"",CHOOSE($AO219,"Nhắc nhở","Cảnh báo","Báo động","Báo động đỏ"))</f>
      </c>
      <c r="AE219" s="223">
        <f>IF(OR(N($AA219)=0,N($U219)=0),"",IF($AA219&lt;=$U219,"Đúng hạn","Trễ hạn"))</f>
      </c>
      <c r="AF219" s="220">
        <f>IF($A219="","",_xlfn.MAXIFS('Nhật ký tiến độ'!$B$6:$B$3005,'Nhật ký tiến độ'!$C$6:$C$3005,$A219))</f>
      </c>
      <c r="AG219" s="223">
        <f>IF($A219="","",IF(COUNTIF('Kế hoạch'!$M$6:$M$305,$A219)=0,"",COUNTIF('Kế hoạch'!$M$6:$M$305,$A219)&amp;" việc"))</f>
      </c>
      <c r="AH219" s="224">
        <f>IF(OR($A219="",N($O219)&lt;=0),"",IF($P219="Giờ",$O219,$O219*24))</f>
      </c>
      <c r="AI219" s="224">
        <f>IF(OR(N($AA219)=0,N($B219)=0),"",IF($AA219&lt;$B219,"",($AA219-$B219)*24))</f>
      </c>
      <c r="AJ219" s="225">
        <f>IF($A219="","",IF(COUNTIF('Nhật ký tiến độ'!$C$6:$C$3005,$A219)=0,0,_xlfn.MAXIFS('Nhật ký tiến độ'!$N$6:$N$3005,'Nhật ký tiến độ'!$C$6:$C$3005,$A219,'Nhật ký tiến độ'!$B$6:$B$3005,_xlfn.MAXIFS('Nhật ký tiến độ'!$B$6:$B$3005,'Nhật ký tiến độ'!$C$6:$C$3005,$A219))))</f>
      </c>
      <c r="AK219" s="225">
        <f>IF(OR($A219="",$V219="Đã xử lý"),"",IF(N($AO219)&gt;0,5-$AO219,IF($J219="Khẩn cấp",5,IF($Y219="Chậm tiến độ",6,IF(OR($Y219="Sắp đến hạn",$J219="Cao"),7,"")))))</f>
      </c>
      <c r="AL219" s="225">
        <f>IF($AK219="","",$AK219*100000+IF(N($U219)=0,99999,INT($U219))+ROW()/100000)</f>
      </c>
      <c r="AM219" s="225">
        <f>IF(OR($A219="",TRIM($K219)="",COUNTIF($K$6:$K219,$K219)&gt;1),0,1)</f>
      </c>
      <c r="AN219" s="225">
        <f>IF($AM219=1,SUM($AM$6:$AM219),"")</f>
      </c>
      <c r="AO219" s="225">
        <f>IF(OR($A219="",$V219="Đã xử lý",N($U219)=0),0,IF(TDBC&lt;=$U219,0,MAX(1,MIN(4,IF((TDBC-$U219)*24&lt;24,1,IF((TDBC-$U219)*24&lt;72,2,IF((TDBC-$U219)*24&lt;168,3,4)))+IFERROR(INDEX({2,1,0,-1},MATCH($J219,{"Khẩn cấp","Cao","Trung bình","Thấp"},0)),0)))))</f>
      </c>
    </row>
    <row r="220">
      <c r="A220" s="216"/>
      <c r="B220" s="217"/>
      <c r="C220" s="218"/>
      <c r="D220" s="218"/>
      <c r="E220" s="218"/>
      <c r="F220" s="218"/>
      <c r="G220" s="216"/>
      <c r="H220" s="218"/>
      <c r="I220" s="218"/>
      <c r="J220" s="216"/>
      <c r="K220" s="218"/>
      <c r="L220" s="218"/>
      <c r="M220" s="218"/>
      <c r="N220" s="218"/>
      <c r="O220" s="219"/>
      <c r="P220" s="216"/>
      <c r="Q220" s="217"/>
      <c r="R220" s="216"/>
      <c r="S220" s="218"/>
      <c r="T220" s="218"/>
      <c r="U220" s="220">
        <f>IF($A220="","",IF(N($Q220)&gt;0,IF(MOD($Q220,1)=0,$Q220+1-1/1440,$Q220),IF(N($B220)=0,"",$B220+IF(N($AH220)&gt;0,$AH220,IFERROR(INDEX(DM_SLA_Gio,MATCH($J220,DM_SLA_Cap,0)),168))/24)))</f>
      </c>
      <c r="V220" s="221">
        <f>IF($A220="","",IF(N($AJ220)=0,"Mới tiếp nhận",INDEX('Nhật ký tiến độ'!$E:$E,$AJ220)))</f>
      </c>
      <c r="W220" s="222">
        <f>IF($A220="","",IF($V220="Đã xử lý",1,IF(N($AJ220)=0,0,N(INDEX('Nhật ký tiến độ'!$D:$D,$AJ220)))))</f>
      </c>
      <c r="X220" s="222">
        <f>IF(OR($A220="",$V220="Đã xử lý",N($U220)=0,N($B220)=0),"",IF(TDBC&lt;=$B220,0,IF(TDBC&gt;=$U220,1,(TDBC-$B220)/($U220-$B220))))</f>
      </c>
      <c r="Y220" s="223">
        <f>IF($A220="","",IF($V220="Đã xử lý","Hoàn thành",IF(N($U220)=0,"Chưa đặt hạn",IF(TDBC&gt;$U220,"Quá hạn",IF(ROUND((N($X220)-$W220)*100,0)&gt;=20,"Chậm tiến độ",IF($U220-TDBC&lt;=1,"Sắp đến hạn","Đúng tiến độ"))))))</f>
      </c>
      <c r="Z220" s="223">
        <f>IF(OR($A220="",$V220="Đã xử lý",N($U220)=0),"",IF(TDBC&gt;$U220,"Quá "&amp;IF(((TDBC-$U220)*24)&lt;1,MAX(1,ROUND(((TDBC-$U220)*24)*60,0))&amp;" phút",IF(ROUND(((TDBC-$U220)*24),0)&lt;24,ROUND(((TDBC-$U220)*24),0)&amp;" giờ",INT(ROUND(((TDBC-$U220)*24),0)/24)&amp;" ngày"&amp;IF(MOD(ROUND(((TDBC-$U220)*24),0),24)&gt;0," "&amp;MOD(ROUND(((TDBC-$U220)*24),0),24)&amp;" giờ",""))),"Còn "&amp;IF((($U220-TDBC)*24)&lt;1,MAX(1,ROUND((($U220-TDBC)*24)*60,0))&amp;" phút",IF(ROUND((($U220-TDBC)*24),0)&lt;24,ROUND((($U220-TDBC)*24),0)&amp;" giờ",INT(ROUND((($U220-TDBC)*24),0)/24)&amp;" ngày"&amp;IF(MOD(ROUND((($U220-TDBC)*24),0),24)&gt;0," "&amp;MOD(ROUND((($U220-TDBC)*24),0),24)&amp;" giờ","")))))</f>
      </c>
      <c r="AA220" s="220">
        <f>IF($V220="Đã xử lý",_xlfn.MAXIFS('Nhật ký tiến độ'!$B$6:$B$3005,'Nhật ký tiến độ'!$C$6:$C$3005,$A220,'Nhật ký tiến độ'!$E$6:$E$3005,"Đã xử lý"),"")</f>
      </c>
      <c r="AB220" s="223">
        <f>IF($AI220="","",IF($AI220&lt;1,MAX(1,ROUND($AI220*60,0))&amp;" phút",IF(ROUND($AI220,0)&lt;24,ROUND($AI220,0)&amp;" giờ",INT(ROUND($AI220,0)/24)&amp;" ngày"&amp;IF(MOD(ROUND($AI220,0),24)&gt;0," "&amp;MOD(ROUND($AI220,0),24)&amp;" giờ",""))))</f>
      </c>
      <c r="AC220" s="223">
        <f>IF(OR($A220="",N($AH220)=0),"",IF($AI220&lt;&gt;"",IF($AI220&lt;=$AH220,"Trong ước tính","Vượt "&amp;IF(($AI220-$AH220)&lt;1,MAX(1,ROUND(($AI220-$AH220)*60,0))&amp;" phút",IF(ROUND(($AI220-$AH220),0)&lt;24,ROUND(($AI220-$AH220),0)&amp;" giờ",INT(ROUND(($AI220-$AH220),0)/24)&amp;" ngày"&amp;IF(MOD(ROUND(($AI220-$AH220),0),24)&gt;0," "&amp;MOD(ROUND(($AI220-$AH220),0),24)&amp;" giờ","")))),IF(OR($V220="Đã xử lý",N($B220)=0),"",IF((TDBC-$B220)*24&gt;$AH220,"Đã vượt ước tính","Đã dùng "&amp;TEXT((TDBC-$B220)*24/$AH220,"0%")))))</f>
      </c>
      <c r="AD220" s="223">
        <f>IF(N($AO220)=0,"",CHOOSE($AO220,"Nhắc nhở","Cảnh báo","Báo động","Báo động đỏ"))</f>
      </c>
      <c r="AE220" s="223">
        <f>IF(OR(N($AA220)=0,N($U220)=0),"",IF($AA220&lt;=$U220,"Đúng hạn","Trễ hạn"))</f>
      </c>
      <c r="AF220" s="220">
        <f>IF($A220="","",_xlfn.MAXIFS('Nhật ký tiến độ'!$B$6:$B$3005,'Nhật ký tiến độ'!$C$6:$C$3005,$A220))</f>
      </c>
      <c r="AG220" s="223">
        <f>IF($A220="","",IF(COUNTIF('Kế hoạch'!$M$6:$M$305,$A220)=0,"",COUNTIF('Kế hoạch'!$M$6:$M$305,$A220)&amp;" việc"))</f>
      </c>
      <c r="AH220" s="224">
        <f>IF(OR($A220="",N($O220)&lt;=0),"",IF($P220="Giờ",$O220,$O220*24))</f>
      </c>
      <c r="AI220" s="224">
        <f>IF(OR(N($AA220)=0,N($B220)=0),"",IF($AA220&lt;$B220,"",($AA220-$B220)*24))</f>
      </c>
      <c r="AJ220" s="225">
        <f>IF($A220="","",IF(COUNTIF('Nhật ký tiến độ'!$C$6:$C$3005,$A220)=0,0,_xlfn.MAXIFS('Nhật ký tiến độ'!$N$6:$N$3005,'Nhật ký tiến độ'!$C$6:$C$3005,$A220,'Nhật ký tiến độ'!$B$6:$B$3005,_xlfn.MAXIFS('Nhật ký tiến độ'!$B$6:$B$3005,'Nhật ký tiến độ'!$C$6:$C$3005,$A220))))</f>
      </c>
      <c r="AK220" s="225">
        <f>IF(OR($A220="",$V220="Đã xử lý"),"",IF(N($AO220)&gt;0,5-$AO220,IF($J220="Khẩn cấp",5,IF($Y220="Chậm tiến độ",6,IF(OR($Y220="Sắp đến hạn",$J220="Cao"),7,"")))))</f>
      </c>
      <c r="AL220" s="225">
        <f>IF($AK220="","",$AK220*100000+IF(N($U220)=0,99999,INT($U220))+ROW()/100000)</f>
      </c>
      <c r="AM220" s="225">
        <f>IF(OR($A220="",TRIM($K220)="",COUNTIF($K$6:$K220,$K220)&gt;1),0,1)</f>
      </c>
      <c r="AN220" s="225">
        <f>IF($AM220=1,SUM($AM$6:$AM220),"")</f>
      </c>
      <c r="AO220" s="225">
        <f>IF(OR($A220="",$V220="Đã xử lý",N($U220)=0),0,IF(TDBC&lt;=$U220,0,MAX(1,MIN(4,IF((TDBC-$U220)*24&lt;24,1,IF((TDBC-$U220)*24&lt;72,2,IF((TDBC-$U220)*24&lt;168,3,4)))+IFERROR(INDEX({2,1,0,-1},MATCH($J220,{"Khẩn cấp","Cao","Trung bình","Thấp"},0)),0)))))</f>
      </c>
    </row>
    <row r="221">
      <c r="A221" s="216"/>
      <c r="B221" s="217"/>
      <c r="C221" s="218"/>
      <c r="D221" s="218"/>
      <c r="E221" s="218"/>
      <c r="F221" s="218"/>
      <c r="G221" s="216"/>
      <c r="H221" s="218"/>
      <c r="I221" s="218"/>
      <c r="J221" s="216"/>
      <c r="K221" s="218"/>
      <c r="L221" s="218"/>
      <c r="M221" s="218"/>
      <c r="N221" s="218"/>
      <c r="O221" s="219"/>
      <c r="P221" s="216"/>
      <c r="Q221" s="217"/>
      <c r="R221" s="216"/>
      <c r="S221" s="218"/>
      <c r="T221" s="218"/>
      <c r="U221" s="220">
        <f>IF($A221="","",IF(N($Q221)&gt;0,IF(MOD($Q221,1)=0,$Q221+1-1/1440,$Q221),IF(N($B221)=0,"",$B221+IF(N($AH221)&gt;0,$AH221,IFERROR(INDEX(DM_SLA_Gio,MATCH($J221,DM_SLA_Cap,0)),168))/24)))</f>
      </c>
      <c r="V221" s="221">
        <f>IF($A221="","",IF(N($AJ221)=0,"Mới tiếp nhận",INDEX('Nhật ký tiến độ'!$E:$E,$AJ221)))</f>
      </c>
      <c r="W221" s="222">
        <f>IF($A221="","",IF($V221="Đã xử lý",1,IF(N($AJ221)=0,0,N(INDEX('Nhật ký tiến độ'!$D:$D,$AJ221)))))</f>
      </c>
      <c r="X221" s="222">
        <f>IF(OR($A221="",$V221="Đã xử lý",N($U221)=0,N($B221)=0),"",IF(TDBC&lt;=$B221,0,IF(TDBC&gt;=$U221,1,(TDBC-$B221)/($U221-$B221))))</f>
      </c>
      <c r="Y221" s="223">
        <f>IF($A221="","",IF($V221="Đã xử lý","Hoàn thành",IF(N($U221)=0,"Chưa đặt hạn",IF(TDBC&gt;$U221,"Quá hạn",IF(ROUND((N($X221)-$W221)*100,0)&gt;=20,"Chậm tiến độ",IF($U221-TDBC&lt;=1,"Sắp đến hạn","Đúng tiến độ"))))))</f>
      </c>
      <c r="Z221" s="223">
        <f>IF(OR($A221="",$V221="Đã xử lý",N($U221)=0),"",IF(TDBC&gt;$U221,"Quá "&amp;IF(((TDBC-$U221)*24)&lt;1,MAX(1,ROUND(((TDBC-$U221)*24)*60,0))&amp;" phút",IF(ROUND(((TDBC-$U221)*24),0)&lt;24,ROUND(((TDBC-$U221)*24),0)&amp;" giờ",INT(ROUND(((TDBC-$U221)*24),0)/24)&amp;" ngày"&amp;IF(MOD(ROUND(((TDBC-$U221)*24),0),24)&gt;0," "&amp;MOD(ROUND(((TDBC-$U221)*24),0),24)&amp;" giờ",""))),"Còn "&amp;IF((($U221-TDBC)*24)&lt;1,MAX(1,ROUND((($U221-TDBC)*24)*60,0))&amp;" phút",IF(ROUND((($U221-TDBC)*24),0)&lt;24,ROUND((($U221-TDBC)*24),0)&amp;" giờ",INT(ROUND((($U221-TDBC)*24),0)/24)&amp;" ngày"&amp;IF(MOD(ROUND((($U221-TDBC)*24),0),24)&gt;0," "&amp;MOD(ROUND((($U221-TDBC)*24),0),24)&amp;" giờ","")))))</f>
      </c>
      <c r="AA221" s="220">
        <f>IF($V221="Đã xử lý",_xlfn.MAXIFS('Nhật ký tiến độ'!$B$6:$B$3005,'Nhật ký tiến độ'!$C$6:$C$3005,$A221,'Nhật ký tiến độ'!$E$6:$E$3005,"Đã xử lý"),"")</f>
      </c>
      <c r="AB221" s="223">
        <f>IF($AI221="","",IF($AI221&lt;1,MAX(1,ROUND($AI221*60,0))&amp;" phút",IF(ROUND($AI221,0)&lt;24,ROUND($AI221,0)&amp;" giờ",INT(ROUND($AI221,0)/24)&amp;" ngày"&amp;IF(MOD(ROUND($AI221,0),24)&gt;0," "&amp;MOD(ROUND($AI221,0),24)&amp;" giờ",""))))</f>
      </c>
      <c r="AC221" s="223">
        <f>IF(OR($A221="",N($AH221)=0),"",IF($AI221&lt;&gt;"",IF($AI221&lt;=$AH221,"Trong ước tính","Vượt "&amp;IF(($AI221-$AH221)&lt;1,MAX(1,ROUND(($AI221-$AH221)*60,0))&amp;" phút",IF(ROUND(($AI221-$AH221),0)&lt;24,ROUND(($AI221-$AH221),0)&amp;" giờ",INT(ROUND(($AI221-$AH221),0)/24)&amp;" ngày"&amp;IF(MOD(ROUND(($AI221-$AH221),0),24)&gt;0," "&amp;MOD(ROUND(($AI221-$AH221),0),24)&amp;" giờ","")))),IF(OR($V221="Đã xử lý",N($B221)=0),"",IF((TDBC-$B221)*24&gt;$AH221,"Đã vượt ước tính","Đã dùng "&amp;TEXT((TDBC-$B221)*24/$AH221,"0%")))))</f>
      </c>
      <c r="AD221" s="223">
        <f>IF(N($AO221)=0,"",CHOOSE($AO221,"Nhắc nhở","Cảnh báo","Báo động","Báo động đỏ"))</f>
      </c>
      <c r="AE221" s="223">
        <f>IF(OR(N($AA221)=0,N($U221)=0),"",IF($AA221&lt;=$U221,"Đúng hạn","Trễ hạn"))</f>
      </c>
      <c r="AF221" s="220">
        <f>IF($A221="","",_xlfn.MAXIFS('Nhật ký tiến độ'!$B$6:$B$3005,'Nhật ký tiến độ'!$C$6:$C$3005,$A221))</f>
      </c>
      <c r="AG221" s="223">
        <f>IF($A221="","",IF(COUNTIF('Kế hoạch'!$M$6:$M$305,$A221)=0,"",COUNTIF('Kế hoạch'!$M$6:$M$305,$A221)&amp;" việc"))</f>
      </c>
      <c r="AH221" s="224">
        <f>IF(OR($A221="",N($O221)&lt;=0),"",IF($P221="Giờ",$O221,$O221*24))</f>
      </c>
      <c r="AI221" s="224">
        <f>IF(OR(N($AA221)=0,N($B221)=0),"",IF($AA221&lt;$B221,"",($AA221-$B221)*24))</f>
      </c>
      <c r="AJ221" s="225">
        <f>IF($A221="","",IF(COUNTIF('Nhật ký tiến độ'!$C$6:$C$3005,$A221)=0,0,_xlfn.MAXIFS('Nhật ký tiến độ'!$N$6:$N$3005,'Nhật ký tiến độ'!$C$6:$C$3005,$A221,'Nhật ký tiến độ'!$B$6:$B$3005,_xlfn.MAXIFS('Nhật ký tiến độ'!$B$6:$B$3005,'Nhật ký tiến độ'!$C$6:$C$3005,$A221))))</f>
      </c>
      <c r="AK221" s="225">
        <f>IF(OR($A221="",$V221="Đã xử lý"),"",IF(N($AO221)&gt;0,5-$AO221,IF($J221="Khẩn cấp",5,IF($Y221="Chậm tiến độ",6,IF(OR($Y221="Sắp đến hạn",$J221="Cao"),7,"")))))</f>
      </c>
      <c r="AL221" s="225">
        <f>IF($AK221="","",$AK221*100000+IF(N($U221)=0,99999,INT($U221))+ROW()/100000)</f>
      </c>
      <c r="AM221" s="225">
        <f>IF(OR($A221="",TRIM($K221)="",COUNTIF($K$6:$K221,$K221)&gt;1),0,1)</f>
      </c>
      <c r="AN221" s="225">
        <f>IF($AM221=1,SUM($AM$6:$AM221),"")</f>
      </c>
      <c r="AO221" s="225">
        <f>IF(OR($A221="",$V221="Đã xử lý",N($U221)=0),0,IF(TDBC&lt;=$U221,0,MAX(1,MIN(4,IF((TDBC-$U221)*24&lt;24,1,IF((TDBC-$U221)*24&lt;72,2,IF((TDBC-$U221)*24&lt;168,3,4)))+IFERROR(INDEX({2,1,0,-1},MATCH($J221,{"Khẩn cấp","Cao","Trung bình","Thấp"},0)),0)))))</f>
      </c>
    </row>
    <row r="222">
      <c r="A222" s="216"/>
      <c r="B222" s="217"/>
      <c r="C222" s="218"/>
      <c r="D222" s="218"/>
      <c r="E222" s="218"/>
      <c r="F222" s="218"/>
      <c r="G222" s="216"/>
      <c r="H222" s="218"/>
      <c r="I222" s="218"/>
      <c r="J222" s="216"/>
      <c r="K222" s="218"/>
      <c r="L222" s="218"/>
      <c r="M222" s="218"/>
      <c r="N222" s="218"/>
      <c r="O222" s="219"/>
      <c r="P222" s="216"/>
      <c r="Q222" s="217"/>
      <c r="R222" s="216"/>
      <c r="S222" s="218"/>
      <c r="T222" s="218"/>
      <c r="U222" s="220">
        <f>IF($A222="","",IF(N($Q222)&gt;0,IF(MOD($Q222,1)=0,$Q222+1-1/1440,$Q222),IF(N($B222)=0,"",$B222+IF(N($AH222)&gt;0,$AH222,IFERROR(INDEX(DM_SLA_Gio,MATCH($J222,DM_SLA_Cap,0)),168))/24)))</f>
      </c>
      <c r="V222" s="221">
        <f>IF($A222="","",IF(N($AJ222)=0,"Mới tiếp nhận",INDEX('Nhật ký tiến độ'!$E:$E,$AJ222)))</f>
      </c>
      <c r="W222" s="222">
        <f>IF($A222="","",IF($V222="Đã xử lý",1,IF(N($AJ222)=0,0,N(INDEX('Nhật ký tiến độ'!$D:$D,$AJ222)))))</f>
      </c>
      <c r="X222" s="222">
        <f>IF(OR($A222="",$V222="Đã xử lý",N($U222)=0,N($B222)=0),"",IF(TDBC&lt;=$B222,0,IF(TDBC&gt;=$U222,1,(TDBC-$B222)/($U222-$B222))))</f>
      </c>
      <c r="Y222" s="223">
        <f>IF($A222="","",IF($V222="Đã xử lý","Hoàn thành",IF(N($U222)=0,"Chưa đặt hạn",IF(TDBC&gt;$U222,"Quá hạn",IF(ROUND((N($X222)-$W222)*100,0)&gt;=20,"Chậm tiến độ",IF($U222-TDBC&lt;=1,"Sắp đến hạn","Đúng tiến độ"))))))</f>
      </c>
      <c r="Z222" s="223">
        <f>IF(OR($A222="",$V222="Đã xử lý",N($U222)=0),"",IF(TDBC&gt;$U222,"Quá "&amp;IF(((TDBC-$U222)*24)&lt;1,MAX(1,ROUND(((TDBC-$U222)*24)*60,0))&amp;" phút",IF(ROUND(((TDBC-$U222)*24),0)&lt;24,ROUND(((TDBC-$U222)*24),0)&amp;" giờ",INT(ROUND(((TDBC-$U222)*24),0)/24)&amp;" ngày"&amp;IF(MOD(ROUND(((TDBC-$U222)*24),0),24)&gt;0," "&amp;MOD(ROUND(((TDBC-$U222)*24),0),24)&amp;" giờ",""))),"Còn "&amp;IF((($U222-TDBC)*24)&lt;1,MAX(1,ROUND((($U222-TDBC)*24)*60,0))&amp;" phút",IF(ROUND((($U222-TDBC)*24),0)&lt;24,ROUND((($U222-TDBC)*24),0)&amp;" giờ",INT(ROUND((($U222-TDBC)*24),0)/24)&amp;" ngày"&amp;IF(MOD(ROUND((($U222-TDBC)*24),0),24)&gt;0," "&amp;MOD(ROUND((($U222-TDBC)*24),0),24)&amp;" giờ","")))))</f>
      </c>
      <c r="AA222" s="220">
        <f>IF($V222="Đã xử lý",_xlfn.MAXIFS('Nhật ký tiến độ'!$B$6:$B$3005,'Nhật ký tiến độ'!$C$6:$C$3005,$A222,'Nhật ký tiến độ'!$E$6:$E$3005,"Đã xử lý"),"")</f>
      </c>
      <c r="AB222" s="223">
        <f>IF($AI222="","",IF($AI222&lt;1,MAX(1,ROUND($AI222*60,0))&amp;" phút",IF(ROUND($AI222,0)&lt;24,ROUND($AI222,0)&amp;" giờ",INT(ROUND($AI222,0)/24)&amp;" ngày"&amp;IF(MOD(ROUND($AI222,0),24)&gt;0," "&amp;MOD(ROUND($AI222,0),24)&amp;" giờ",""))))</f>
      </c>
      <c r="AC222" s="223">
        <f>IF(OR($A222="",N($AH222)=0),"",IF($AI222&lt;&gt;"",IF($AI222&lt;=$AH222,"Trong ước tính","Vượt "&amp;IF(($AI222-$AH222)&lt;1,MAX(1,ROUND(($AI222-$AH222)*60,0))&amp;" phút",IF(ROUND(($AI222-$AH222),0)&lt;24,ROUND(($AI222-$AH222),0)&amp;" giờ",INT(ROUND(($AI222-$AH222),0)/24)&amp;" ngày"&amp;IF(MOD(ROUND(($AI222-$AH222),0),24)&gt;0," "&amp;MOD(ROUND(($AI222-$AH222),0),24)&amp;" giờ","")))),IF(OR($V222="Đã xử lý",N($B222)=0),"",IF((TDBC-$B222)*24&gt;$AH222,"Đã vượt ước tính","Đã dùng "&amp;TEXT((TDBC-$B222)*24/$AH222,"0%")))))</f>
      </c>
      <c r="AD222" s="223">
        <f>IF(N($AO222)=0,"",CHOOSE($AO222,"Nhắc nhở","Cảnh báo","Báo động","Báo động đỏ"))</f>
      </c>
      <c r="AE222" s="223">
        <f>IF(OR(N($AA222)=0,N($U222)=0),"",IF($AA222&lt;=$U222,"Đúng hạn","Trễ hạn"))</f>
      </c>
      <c r="AF222" s="220">
        <f>IF($A222="","",_xlfn.MAXIFS('Nhật ký tiến độ'!$B$6:$B$3005,'Nhật ký tiến độ'!$C$6:$C$3005,$A222))</f>
      </c>
      <c r="AG222" s="223">
        <f>IF($A222="","",IF(COUNTIF('Kế hoạch'!$M$6:$M$305,$A222)=0,"",COUNTIF('Kế hoạch'!$M$6:$M$305,$A222)&amp;" việc"))</f>
      </c>
      <c r="AH222" s="224">
        <f>IF(OR($A222="",N($O222)&lt;=0),"",IF($P222="Giờ",$O222,$O222*24))</f>
      </c>
      <c r="AI222" s="224">
        <f>IF(OR(N($AA222)=0,N($B222)=0),"",IF($AA222&lt;$B222,"",($AA222-$B222)*24))</f>
      </c>
      <c r="AJ222" s="225">
        <f>IF($A222="","",IF(COUNTIF('Nhật ký tiến độ'!$C$6:$C$3005,$A222)=0,0,_xlfn.MAXIFS('Nhật ký tiến độ'!$N$6:$N$3005,'Nhật ký tiến độ'!$C$6:$C$3005,$A222,'Nhật ký tiến độ'!$B$6:$B$3005,_xlfn.MAXIFS('Nhật ký tiến độ'!$B$6:$B$3005,'Nhật ký tiến độ'!$C$6:$C$3005,$A222))))</f>
      </c>
      <c r="AK222" s="225">
        <f>IF(OR($A222="",$V222="Đã xử lý"),"",IF(N($AO222)&gt;0,5-$AO222,IF($J222="Khẩn cấp",5,IF($Y222="Chậm tiến độ",6,IF(OR($Y222="Sắp đến hạn",$J222="Cao"),7,"")))))</f>
      </c>
      <c r="AL222" s="225">
        <f>IF($AK222="","",$AK222*100000+IF(N($U222)=0,99999,INT($U222))+ROW()/100000)</f>
      </c>
      <c r="AM222" s="225">
        <f>IF(OR($A222="",TRIM($K222)="",COUNTIF($K$6:$K222,$K222)&gt;1),0,1)</f>
      </c>
      <c r="AN222" s="225">
        <f>IF($AM222=1,SUM($AM$6:$AM222),"")</f>
      </c>
      <c r="AO222" s="225">
        <f>IF(OR($A222="",$V222="Đã xử lý",N($U222)=0),0,IF(TDBC&lt;=$U222,0,MAX(1,MIN(4,IF((TDBC-$U222)*24&lt;24,1,IF((TDBC-$U222)*24&lt;72,2,IF((TDBC-$U222)*24&lt;168,3,4)))+IFERROR(INDEX({2,1,0,-1},MATCH($J222,{"Khẩn cấp","Cao","Trung bình","Thấp"},0)),0)))))</f>
      </c>
    </row>
    <row r="223">
      <c r="A223" s="216"/>
      <c r="B223" s="217"/>
      <c r="C223" s="218"/>
      <c r="D223" s="218"/>
      <c r="E223" s="218"/>
      <c r="F223" s="218"/>
      <c r="G223" s="216"/>
      <c r="H223" s="218"/>
      <c r="I223" s="218"/>
      <c r="J223" s="216"/>
      <c r="K223" s="218"/>
      <c r="L223" s="218"/>
      <c r="M223" s="218"/>
      <c r="N223" s="218"/>
      <c r="O223" s="219"/>
      <c r="P223" s="216"/>
      <c r="Q223" s="217"/>
      <c r="R223" s="216"/>
      <c r="S223" s="218"/>
      <c r="T223" s="218"/>
      <c r="U223" s="220">
        <f>IF($A223="","",IF(N($Q223)&gt;0,IF(MOD($Q223,1)=0,$Q223+1-1/1440,$Q223),IF(N($B223)=0,"",$B223+IF(N($AH223)&gt;0,$AH223,IFERROR(INDEX(DM_SLA_Gio,MATCH($J223,DM_SLA_Cap,0)),168))/24)))</f>
      </c>
      <c r="V223" s="221">
        <f>IF($A223="","",IF(N($AJ223)=0,"Mới tiếp nhận",INDEX('Nhật ký tiến độ'!$E:$E,$AJ223)))</f>
      </c>
      <c r="W223" s="222">
        <f>IF($A223="","",IF($V223="Đã xử lý",1,IF(N($AJ223)=0,0,N(INDEX('Nhật ký tiến độ'!$D:$D,$AJ223)))))</f>
      </c>
      <c r="X223" s="222">
        <f>IF(OR($A223="",$V223="Đã xử lý",N($U223)=0,N($B223)=0),"",IF(TDBC&lt;=$B223,0,IF(TDBC&gt;=$U223,1,(TDBC-$B223)/($U223-$B223))))</f>
      </c>
      <c r="Y223" s="223">
        <f>IF($A223="","",IF($V223="Đã xử lý","Hoàn thành",IF(N($U223)=0,"Chưa đặt hạn",IF(TDBC&gt;$U223,"Quá hạn",IF(ROUND((N($X223)-$W223)*100,0)&gt;=20,"Chậm tiến độ",IF($U223-TDBC&lt;=1,"Sắp đến hạn","Đúng tiến độ"))))))</f>
      </c>
      <c r="Z223" s="223">
        <f>IF(OR($A223="",$V223="Đã xử lý",N($U223)=0),"",IF(TDBC&gt;$U223,"Quá "&amp;IF(((TDBC-$U223)*24)&lt;1,MAX(1,ROUND(((TDBC-$U223)*24)*60,0))&amp;" phút",IF(ROUND(((TDBC-$U223)*24),0)&lt;24,ROUND(((TDBC-$U223)*24),0)&amp;" giờ",INT(ROUND(((TDBC-$U223)*24),0)/24)&amp;" ngày"&amp;IF(MOD(ROUND(((TDBC-$U223)*24),0),24)&gt;0," "&amp;MOD(ROUND(((TDBC-$U223)*24),0),24)&amp;" giờ",""))),"Còn "&amp;IF((($U223-TDBC)*24)&lt;1,MAX(1,ROUND((($U223-TDBC)*24)*60,0))&amp;" phút",IF(ROUND((($U223-TDBC)*24),0)&lt;24,ROUND((($U223-TDBC)*24),0)&amp;" giờ",INT(ROUND((($U223-TDBC)*24),0)/24)&amp;" ngày"&amp;IF(MOD(ROUND((($U223-TDBC)*24),0),24)&gt;0," "&amp;MOD(ROUND((($U223-TDBC)*24),0),24)&amp;" giờ","")))))</f>
      </c>
      <c r="AA223" s="220">
        <f>IF($V223="Đã xử lý",_xlfn.MAXIFS('Nhật ký tiến độ'!$B$6:$B$3005,'Nhật ký tiến độ'!$C$6:$C$3005,$A223,'Nhật ký tiến độ'!$E$6:$E$3005,"Đã xử lý"),"")</f>
      </c>
      <c r="AB223" s="223">
        <f>IF($AI223="","",IF($AI223&lt;1,MAX(1,ROUND($AI223*60,0))&amp;" phút",IF(ROUND($AI223,0)&lt;24,ROUND($AI223,0)&amp;" giờ",INT(ROUND($AI223,0)/24)&amp;" ngày"&amp;IF(MOD(ROUND($AI223,0),24)&gt;0," "&amp;MOD(ROUND($AI223,0),24)&amp;" giờ",""))))</f>
      </c>
      <c r="AC223" s="223">
        <f>IF(OR($A223="",N($AH223)=0),"",IF($AI223&lt;&gt;"",IF($AI223&lt;=$AH223,"Trong ước tính","Vượt "&amp;IF(($AI223-$AH223)&lt;1,MAX(1,ROUND(($AI223-$AH223)*60,0))&amp;" phút",IF(ROUND(($AI223-$AH223),0)&lt;24,ROUND(($AI223-$AH223),0)&amp;" giờ",INT(ROUND(($AI223-$AH223),0)/24)&amp;" ngày"&amp;IF(MOD(ROUND(($AI223-$AH223),0),24)&gt;0," "&amp;MOD(ROUND(($AI223-$AH223),0),24)&amp;" giờ","")))),IF(OR($V223="Đã xử lý",N($B223)=0),"",IF((TDBC-$B223)*24&gt;$AH223,"Đã vượt ước tính","Đã dùng "&amp;TEXT((TDBC-$B223)*24/$AH223,"0%")))))</f>
      </c>
      <c r="AD223" s="223">
        <f>IF(N($AO223)=0,"",CHOOSE($AO223,"Nhắc nhở","Cảnh báo","Báo động","Báo động đỏ"))</f>
      </c>
      <c r="AE223" s="223">
        <f>IF(OR(N($AA223)=0,N($U223)=0),"",IF($AA223&lt;=$U223,"Đúng hạn","Trễ hạn"))</f>
      </c>
      <c r="AF223" s="220">
        <f>IF($A223="","",_xlfn.MAXIFS('Nhật ký tiến độ'!$B$6:$B$3005,'Nhật ký tiến độ'!$C$6:$C$3005,$A223))</f>
      </c>
      <c r="AG223" s="223">
        <f>IF($A223="","",IF(COUNTIF('Kế hoạch'!$M$6:$M$305,$A223)=0,"",COUNTIF('Kế hoạch'!$M$6:$M$305,$A223)&amp;" việc"))</f>
      </c>
      <c r="AH223" s="224">
        <f>IF(OR($A223="",N($O223)&lt;=0),"",IF($P223="Giờ",$O223,$O223*24))</f>
      </c>
      <c r="AI223" s="224">
        <f>IF(OR(N($AA223)=0,N($B223)=0),"",IF($AA223&lt;$B223,"",($AA223-$B223)*24))</f>
      </c>
      <c r="AJ223" s="225">
        <f>IF($A223="","",IF(COUNTIF('Nhật ký tiến độ'!$C$6:$C$3005,$A223)=0,0,_xlfn.MAXIFS('Nhật ký tiến độ'!$N$6:$N$3005,'Nhật ký tiến độ'!$C$6:$C$3005,$A223,'Nhật ký tiến độ'!$B$6:$B$3005,_xlfn.MAXIFS('Nhật ký tiến độ'!$B$6:$B$3005,'Nhật ký tiến độ'!$C$6:$C$3005,$A223))))</f>
      </c>
      <c r="AK223" s="225">
        <f>IF(OR($A223="",$V223="Đã xử lý"),"",IF(N($AO223)&gt;0,5-$AO223,IF($J223="Khẩn cấp",5,IF($Y223="Chậm tiến độ",6,IF(OR($Y223="Sắp đến hạn",$J223="Cao"),7,"")))))</f>
      </c>
      <c r="AL223" s="225">
        <f>IF($AK223="","",$AK223*100000+IF(N($U223)=0,99999,INT($U223))+ROW()/100000)</f>
      </c>
      <c r="AM223" s="225">
        <f>IF(OR($A223="",TRIM($K223)="",COUNTIF($K$6:$K223,$K223)&gt;1),0,1)</f>
      </c>
      <c r="AN223" s="225">
        <f>IF($AM223=1,SUM($AM$6:$AM223),"")</f>
      </c>
      <c r="AO223" s="225">
        <f>IF(OR($A223="",$V223="Đã xử lý",N($U223)=0),0,IF(TDBC&lt;=$U223,0,MAX(1,MIN(4,IF((TDBC-$U223)*24&lt;24,1,IF((TDBC-$U223)*24&lt;72,2,IF((TDBC-$U223)*24&lt;168,3,4)))+IFERROR(INDEX({2,1,0,-1},MATCH($J223,{"Khẩn cấp","Cao","Trung bình","Thấp"},0)),0)))))</f>
      </c>
    </row>
    <row r="224">
      <c r="A224" s="216"/>
      <c r="B224" s="217"/>
      <c r="C224" s="218"/>
      <c r="D224" s="218"/>
      <c r="E224" s="218"/>
      <c r="F224" s="218"/>
      <c r="G224" s="216"/>
      <c r="H224" s="218"/>
      <c r="I224" s="218"/>
      <c r="J224" s="216"/>
      <c r="K224" s="218"/>
      <c r="L224" s="218"/>
      <c r="M224" s="218"/>
      <c r="N224" s="218"/>
      <c r="O224" s="219"/>
      <c r="P224" s="216"/>
      <c r="Q224" s="217"/>
      <c r="R224" s="216"/>
      <c r="S224" s="218"/>
      <c r="T224" s="218"/>
      <c r="U224" s="220">
        <f>IF($A224="","",IF(N($Q224)&gt;0,IF(MOD($Q224,1)=0,$Q224+1-1/1440,$Q224),IF(N($B224)=0,"",$B224+IF(N($AH224)&gt;0,$AH224,IFERROR(INDEX(DM_SLA_Gio,MATCH($J224,DM_SLA_Cap,0)),168))/24)))</f>
      </c>
      <c r="V224" s="221">
        <f>IF($A224="","",IF(N($AJ224)=0,"Mới tiếp nhận",INDEX('Nhật ký tiến độ'!$E:$E,$AJ224)))</f>
      </c>
      <c r="W224" s="222">
        <f>IF($A224="","",IF($V224="Đã xử lý",1,IF(N($AJ224)=0,0,N(INDEX('Nhật ký tiến độ'!$D:$D,$AJ224)))))</f>
      </c>
      <c r="X224" s="222">
        <f>IF(OR($A224="",$V224="Đã xử lý",N($U224)=0,N($B224)=0),"",IF(TDBC&lt;=$B224,0,IF(TDBC&gt;=$U224,1,(TDBC-$B224)/($U224-$B224))))</f>
      </c>
      <c r="Y224" s="223">
        <f>IF($A224="","",IF($V224="Đã xử lý","Hoàn thành",IF(N($U224)=0,"Chưa đặt hạn",IF(TDBC&gt;$U224,"Quá hạn",IF(ROUND((N($X224)-$W224)*100,0)&gt;=20,"Chậm tiến độ",IF($U224-TDBC&lt;=1,"Sắp đến hạn","Đúng tiến độ"))))))</f>
      </c>
      <c r="Z224" s="223">
        <f>IF(OR($A224="",$V224="Đã xử lý",N($U224)=0),"",IF(TDBC&gt;$U224,"Quá "&amp;IF(((TDBC-$U224)*24)&lt;1,MAX(1,ROUND(((TDBC-$U224)*24)*60,0))&amp;" phút",IF(ROUND(((TDBC-$U224)*24),0)&lt;24,ROUND(((TDBC-$U224)*24),0)&amp;" giờ",INT(ROUND(((TDBC-$U224)*24),0)/24)&amp;" ngày"&amp;IF(MOD(ROUND(((TDBC-$U224)*24),0),24)&gt;0," "&amp;MOD(ROUND(((TDBC-$U224)*24),0),24)&amp;" giờ",""))),"Còn "&amp;IF((($U224-TDBC)*24)&lt;1,MAX(1,ROUND((($U224-TDBC)*24)*60,0))&amp;" phút",IF(ROUND((($U224-TDBC)*24),0)&lt;24,ROUND((($U224-TDBC)*24),0)&amp;" giờ",INT(ROUND((($U224-TDBC)*24),0)/24)&amp;" ngày"&amp;IF(MOD(ROUND((($U224-TDBC)*24),0),24)&gt;0," "&amp;MOD(ROUND((($U224-TDBC)*24),0),24)&amp;" giờ","")))))</f>
      </c>
      <c r="AA224" s="220">
        <f>IF($V224="Đã xử lý",_xlfn.MAXIFS('Nhật ký tiến độ'!$B$6:$B$3005,'Nhật ký tiến độ'!$C$6:$C$3005,$A224,'Nhật ký tiến độ'!$E$6:$E$3005,"Đã xử lý"),"")</f>
      </c>
      <c r="AB224" s="223">
        <f>IF($AI224="","",IF($AI224&lt;1,MAX(1,ROUND($AI224*60,0))&amp;" phút",IF(ROUND($AI224,0)&lt;24,ROUND($AI224,0)&amp;" giờ",INT(ROUND($AI224,0)/24)&amp;" ngày"&amp;IF(MOD(ROUND($AI224,0),24)&gt;0," "&amp;MOD(ROUND($AI224,0),24)&amp;" giờ",""))))</f>
      </c>
      <c r="AC224" s="223">
        <f>IF(OR($A224="",N($AH224)=0),"",IF($AI224&lt;&gt;"",IF($AI224&lt;=$AH224,"Trong ước tính","Vượt "&amp;IF(($AI224-$AH224)&lt;1,MAX(1,ROUND(($AI224-$AH224)*60,0))&amp;" phút",IF(ROUND(($AI224-$AH224),0)&lt;24,ROUND(($AI224-$AH224),0)&amp;" giờ",INT(ROUND(($AI224-$AH224),0)/24)&amp;" ngày"&amp;IF(MOD(ROUND(($AI224-$AH224),0),24)&gt;0," "&amp;MOD(ROUND(($AI224-$AH224),0),24)&amp;" giờ","")))),IF(OR($V224="Đã xử lý",N($B224)=0),"",IF((TDBC-$B224)*24&gt;$AH224,"Đã vượt ước tính","Đã dùng "&amp;TEXT((TDBC-$B224)*24/$AH224,"0%")))))</f>
      </c>
      <c r="AD224" s="223">
        <f>IF(N($AO224)=0,"",CHOOSE($AO224,"Nhắc nhở","Cảnh báo","Báo động","Báo động đỏ"))</f>
      </c>
      <c r="AE224" s="223">
        <f>IF(OR(N($AA224)=0,N($U224)=0),"",IF($AA224&lt;=$U224,"Đúng hạn","Trễ hạn"))</f>
      </c>
      <c r="AF224" s="220">
        <f>IF($A224="","",_xlfn.MAXIFS('Nhật ký tiến độ'!$B$6:$B$3005,'Nhật ký tiến độ'!$C$6:$C$3005,$A224))</f>
      </c>
      <c r="AG224" s="223">
        <f>IF($A224="","",IF(COUNTIF('Kế hoạch'!$M$6:$M$305,$A224)=0,"",COUNTIF('Kế hoạch'!$M$6:$M$305,$A224)&amp;" việc"))</f>
      </c>
      <c r="AH224" s="224">
        <f>IF(OR($A224="",N($O224)&lt;=0),"",IF($P224="Giờ",$O224,$O224*24))</f>
      </c>
      <c r="AI224" s="224">
        <f>IF(OR(N($AA224)=0,N($B224)=0),"",IF($AA224&lt;$B224,"",($AA224-$B224)*24))</f>
      </c>
      <c r="AJ224" s="225">
        <f>IF($A224="","",IF(COUNTIF('Nhật ký tiến độ'!$C$6:$C$3005,$A224)=0,0,_xlfn.MAXIFS('Nhật ký tiến độ'!$N$6:$N$3005,'Nhật ký tiến độ'!$C$6:$C$3005,$A224,'Nhật ký tiến độ'!$B$6:$B$3005,_xlfn.MAXIFS('Nhật ký tiến độ'!$B$6:$B$3005,'Nhật ký tiến độ'!$C$6:$C$3005,$A224))))</f>
      </c>
      <c r="AK224" s="225">
        <f>IF(OR($A224="",$V224="Đã xử lý"),"",IF(N($AO224)&gt;0,5-$AO224,IF($J224="Khẩn cấp",5,IF($Y224="Chậm tiến độ",6,IF(OR($Y224="Sắp đến hạn",$J224="Cao"),7,"")))))</f>
      </c>
      <c r="AL224" s="225">
        <f>IF($AK224="","",$AK224*100000+IF(N($U224)=0,99999,INT($U224))+ROW()/100000)</f>
      </c>
      <c r="AM224" s="225">
        <f>IF(OR($A224="",TRIM($K224)="",COUNTIF($K$6:$K224,$K224)&gt;1),0,1)</f>
      </c>
      <c r="AN224" s="225">
        <f>IF($AM224=1,SUM($AM$6:$AM224),"")</f>
      </c>
      <c r="AO224" s="225">
        <f>IF(OR($A224="",$V224="Đã xử lý",N($U224)=0),0,IF(TDBC&lt;=$U224,0,MAX(1,MIN(4,IF((TDBC-$U224)*24&lt;24,1,IF((TDBC-$U224)*24&lt;72,2,IF((TDBC-$U224)*24&lt;168,3,4)))+IFERROR(INDEX({2,1,0,-1},MATCH($J224,{"Khẩn cấp","Cao","Trung bình","Thấp"},0)),0)))))</f>
      </c>
    </row>
    <row r="225">
      <c r="A225" s="216"/>
      <c r="B225" s="217"/>
      <c r="C225" s="218"/>
      <c r="D225" s="218"/>
      <c r="E225" s="218"/>
      <c r="F225" s="218"/>
      <c r="G225" s="216"/>
      <c r="H225" s="218"/>
      <c r="I225" s="218"/>
      <c r="J225" s="216"/>
      <c r="K225" s="218"/>
      <c r="L225" s="218"/>
      <c r="M225" s="218"/>
      <c r="N225" s="218"/>
      <c r="O225" s="219"/>
      <c r="P225" s="216"/>
      <c r="Q225" s="217"/>
      <c r="R225" s="216"/>
      <c r="S225" s="218"/>
      <c r="T225" s="218"/>
      <c r="U225" s="220">
        <f>IF($A225="","",IF(N($Q225)&gt;0,IF(MOD($Q225,1)=0,$Q225+1-1/1440,$Q225),IF(N($B225)=0,"",$B225+IF(N($AH225)&gt;0,$AH225,IFERROR(INDEX(DM_SLA_Gio,MATCH($J225,DM_SLA_Cap,0)),168))/24)))</f>
      </c>
      <c r="V225" s="221">
        <f>IF($A225="","",IF(N($AJ225)=0,"Mới tiếp nhận",INDEX('Nhật ký tiến độ'!$E:$E,$AJ225)))</f>
      </c>
      <c r="W225" s="222">
        <f>IF($A225="","",IF($V225="Đã xử lý",1,IF(N($AJ225)=0,0,N(INDEX('Nhật ký tiến độ'!$D:$D,$AJ225)))))</f>
      </c>
      <c r="X225" s="222">
        <f>IF(OR($A225="",$V225="Đã xử lý",N($U225)=0,N($B225)=0),"",IF(TDBC&lt;=$B225,0,IF(TDBC&gt;=$U225,1,(TDBC-$B225)/($U225-$B225))))</f>
      </c>
      <c r="Y225" s="223">
        <f>IF($A225="","",IF($V225="Đã xử lý","Hoàn thành",IF(N($U225)=0,"Chưa đặt hạn",IF(TDBC&gt;$U225,"Quá hạn",IF(ROUND((N($X225)-$W225)*100,0)&gt;=20,"Chậm tiến độ",IF($U225-TDBC&lt;=1,"Sắp đến hạn","Đúng tiến độ"))))))</f>
      </c>
      <c r="Z225" s="223">
        <f>IF(OR($A225="",$V225="Đã xử lý",N($U225)=0),"",IF(TDBC&gt;$U225,"Quá "&amp;IF(((TDBC-$U225)*24)&lt;1,MAX(1,ROUND(((TDBC-$U225)*24)*60,0))&amp;" phút",IF(ROUND(((TDBC-$U225)*24),0)&lt;24,ROUND(((TDBC-$U225)*24),0)&amp;" giờ",INT(ROUND(((TDBC-$U225)*24),0)/24)&amp;" ngày"&amp;IF(MOD(ROUND(((TDBC-$U225)*24),0),24)&gt;0," "&amp;MOD(ROUND(((TDBC-$U225)*24),0),24)&amp;" giờ",""))),"Còn "&amp;IF((($U225-TDBC)*24)&lt;1,MAX(1,ROUND((($U225-TDBC)*24)*60,0))&amp;" phút",IF(ROUND((($U225-TDBC)*24),0)&lt;24,ROUND((($U225-TDBC)*24),0)&amp;" giờ",INT(ROUND((($U225-TDBC)*24),0)/24)&amp;" ngày"&amp;IF(MOD(ROUND((($U225-TDBC)*24),0),24)&gt;0," "&amp;MOD(ROUND((($U225-TDBC)*24),0),24)&amp;" giờ","")))))</f>
      </c>
      <c r="AA225" s="220">
        <f>IF($V225="Đã xử lý",_xlfn.MAXIFS('Nhật ký tiến độ'!$B$6:$B$3005,'Nhật ký tiến độ'!$C$6:$C$3005,$A225,'Nhật ký tiến độ'!$E$6:$E$3005,"Đã xử lý"),"")</f>
      </c>
      <c r="AB225" s="223">
        <f>IF($AI225="","",IF($AI225&lt;1,MAX(1,ROUND($AI225*60,0))&amp;" phút",IF(ROUND($AI225,0)&lt;24,ROUND($AI225,0)&amp;" giờ",INT(ROUND($AI225,0)/24)&amp;" ngày"&amp;IF(MOD(ROUND($AI225,0),24)&gt;0," "&amp;MOD(ROUND($AI225,0),24)&amp;" giờ",""))))</f>
      </c>
      <c r="AC225" s="223">
        <f>IF(OR($A225="",N($AH225)=0),"",IF($AI225&lt;&gt;"",IF($AI225&lt;=$AH225,"Trong ước tính","Vượt "&amp;IF(($AI225-$AH225)&lt;1,MAX(1,ROUND(($AI225-$AH225)*60,0))&amp;" phút",IF(ROUND(($AI225-$AH225),0)&lt;24,ROUND(($AI225-$AH225),0)&amp;" giờ",INT(ROUND(($AI225-$AH225),0)/24)&amp;" ngày"&amp;IF(MOD(ROUND(($AI225-$AH225),0),24)&gt;0," "&amp;MOD(ROUND(($AI225-$AH225),0),24)&amp;" giờ","")))),IF(OR($V225="Đã xử lý",N($B225)=0),"",IF((TDBC-$B225)*24&gt;$AH225,"Đã vượt ước tính","Đã dùng "&amp;TEXT((TDBC-$B225)*24/$AH225,"0%")))))</f>
      </c>
      <c r="AD225" s="223">
        <f>IF(N($AO225)=0,"",CHOOSE($AO225,"Nhắc nhở","Cảnh báo","Báo động","Báo động đỏ"))</f>
      </c>
      <c r="AE225" s="223">
        <f>IF(OR(N($AA225)=0,N($U225)=0),"",IF($AA225&lt;=$U225,"Đúng hạn","Trễ hạn"))</f>
      </c>
      <c r="AF225" s="220">
        <f>IF($A225="","",_xlfn.MAXIFS('Nhật ký tiến độ'!$B$6:$B$3005,'Nhật ký tiến độ'!$C$6:$C$3005,$A225))</f>
      </c>
      <c r="AG225" s="223">
        <f>IF($A225="","",IF(COUNTIF('Kế hoạch'!$M$6:$M$305,$A225)=0,"",COUNTIF('Kế hoạch'!$M$6:$M$305,$A225)&amp;" việc"))</f>
      </c>
      <c r="AH225" s="224">
        <f>IF(OR($A225="",N($O225)&lt;=0),"",IF($P225="Giờ",$O225,$O225*24))</f>
      </c>
      <c r="AI225" s="224">
        <f>IF(OR(N($AA225)=0,N($B225)=0),"",IF($AA225&lt;$B225,"",($AA225-$B225)*24))</f>
      </c>
      <c r="AJ225" s="225">
        <f>IF($A225="","",IF(COUNTIF('Nhật ký tiến độ'!$C$6:$C$3005,$A225)=0,0,_xlfn.MAXIFS('Nhật ký tiến độ'!$N$6:$N$3005,'Nhật ký tiến độ'!$C$6:$C$3005,$A225,'Nhật ký tiến độ'!$B$6:$B$3005,_xlfn.MAXIFS('Nhật ký tiến độ'!$B$6:$B$3005,'Nhật ký tiến độ'!$C$6:$C$3005,$A225))))</f>
      </c>
      <c r="AK225" s="225">
        <f>IF(OR($A225="",$V225="Đã xử lý"),"",IF(N($AO225)&gt;0,5-$AO225,IF($J225="Khẩn cấp",5,IF($Y225="Chậm tiến độ",6,IF(OR($Y225="Sắp đến hạn",$J225="Cao"),7,"")))))</f>
      </c>
      <c r="AL225" s="225">
        <f>IF($AK225="","",$AK225*100000+IF(N($U225)=0,99999,INT($U225))+ROW()/100000)</f>
      </c>
      <c r="AM225" s="225">
        <f>IF(OR($A225="",TRIM($K225)="",COUNTIF($K$6:$K225,$K225)&gt;1),0,1)</f>
      </c>
      <c r="AN225" s="225">
        <f>IF($AM225=1,SUM($AM$6:$AM225),"")</f>
      </c>
      <c r="AO225" s="225">
        <f>IF(OR($A225="",$V225="Đã xử lý",N($U225)=0),0,IF(TDBC&lt;=$U225,0,MAX(1,MIN(4,IF((TDBC-$U225)*24&lt;24,1,IF((TDBC-$U225)*24&lt;72,2,IF((TDBC-$U225)*24&lt;168,3,4)))+IFERROR(INDEX({2,1,0,-1},MATCH($J225,{"Khẩn cấp","Cao","Trung bình","Thấp"},0)),0)))))</f>
      </c>
    </row>
    <row r="226">
      <c r="A226" s="216"/>
      <c r="B226" s="217"/>
      <c r="C226" s="218"/>
      <c r="D226" s="218"/>
      <c r="E226" s="218"/>
      <c r="F226" s="218"/>
      <c r="G226" s="216"/>
      <c r="H226" s="218"/>
      <c r="I226" s="218"/>
      <c r="J226" s="216"/>
      <c r="K226" s="218"/>
      <c r="L226" s="218"/>
      <c r="M226" s="218"/>
      <c r="N226" s="218"/>
      <c r="O226" s="219"/>
      <c r="P226" s="216"/>
      <c r="Q226" s="217"/>
      <c r="R226" s="216"/>
      <c r="S226" s="218"/>
      <c r="T226" s="218"/>
      <c r="U226" s="220">
        <f>IF($A226="","",IF(N($Q226)&gt;0,IF(MOD($Q226,1)=0,$Q226+1-1/1440,$Q226),IF(N($B226)=0,"",$B226+IF(N($AH226)&gt;0,$AH226,IFERROR(INDEX(DM_SLA_Gio,MATCH($J226,DM_SLA_Cap,0)),168))/24)))</f>
      </c>
      <c r="V226" s="221">
        <f>IF($A226="","",IF(N($AJ226)=0,"Mới tiếp nhận",INDEX('Nhật ký tiến độ'!$E:$E,$AJ226)))</f>
      </c>
      <c r="W226" s="222">
        <f>IF($A226="","",IF($V226="Đã xử lý",1,IF(N($AJ226)=0,0,N(INDEX('Nhật ký tiến độ'!$D:$D,$AJ226)))))</f>
      </c>
      <c r="X226" s="222">
        <f>IF(OR($A226="",$V226="Đã xử lý",N($U226)=0,N($B226)=0),"",IF(TDBC&lt;=$B226,0,IF(TDBC&gt;=$U226,1,(TDBC-$B226)/($U226-$B226))))</f>
      </c>
      <c r="Y226" s="223">
        <f>IF($A226="","",IF($V226="Đã xử lý","Hoàn thành",IF(N($U226)=0,"Chưa đặt hạn",IF(TDBC&gt;$U226,"Quá hạn",IF(ROUND((N($X226)-$W226)*100,0)&gt;=20,"Chậm tiến độ",IF($U226-TDBC&lt;=1,"Sắp đến hạn","Đúng tiến độ"))))))</f>
      </c>
      <c r="Z226" s="223">
        <f>IF(OR($A226="",$V226="Đã xử lý",N($U226)=0),"",IF(TDBC&gt;$U226,"Quá "&amp;IF(((TDBC-$U226)*24)&lt;1,MAX(1,ROUND(((TDBC-$U226)*24)*60,0))&amp;" phút",IF(ROUND(((TDBC-$U226)*24),0)&lt;24,ROUND(((TDBC-$U226)*24),0)&amp;" giờ",INT(ROUND(((TDBC-$U226)*24),0)/24)&amp;" ngày"&amp;IF(MOD(ROUND(((TDBC-$U226)*24),0),24)&gt;0," "&amp;MOD(ROUND(((TDBC-$U226)*24),0),24)&amp;" giờ",""))),"Còn "&amp;IF((($U226-TDBC)*24)&lt;1,MAX(1,ROUND((($U226-TDBC)*24)*60,0))&amp;" phút",IF(ROUND((($U226-TDBC)*24),0)&lt;24,ROUND((($U226-TDBC)*24),0)&amp;" giờ",INT(ROUND((($U226-TDBC)*24),0)/24)&amp;" ngày"&amp;IF(MOD(ROUND((($U226-TDBC)*24),0),24)&gt;0," "&amp;MOD(ROUND((($U226-TDBC)*24),0),24)&amp;" giờ","")))))</f>
      </c>
      <c r="AA226" s="220">
        <f>IF($V226="Đã xử lý",_xlfn.MAXIFS('Nhật ký tiến độ'!$B$6:$B$3005,'Nhật ký tiến độ'!$C$6:$C$3005,$A226,'Nhật ký tiến độ'!$E$6:$E$3005,"Đã xử lý"),"")</f>
      </c>
      <c r="AB226" s="223">
        <f>IF($AI226="","",IF($AI226&lt;1,MAX(1,ROUND($AI226*60,0))&amp;" phút",IF(ROUND($AI226,0)&lt;24,ROUND($AI226,0)&amp;" giờ",INT(ROUND($AI226,0)/24)&amp;" ngày"&amp;IF(MOD(ROUND($AI226,0),24)&gt;0," "&amp;MOD(ROUND($AI226,0),24)&amp;" giờ",""))))</f>
      </c>
      <c r="AC226" s="223">
        <f>IF(OR($A226="",N($AH226)=0),"",IF($AI226&lt;&gt;"",IF($AI226&lt;=$AH226,"Trong ước tính","Vượt "&amp;IF(($AI226-$AH226)&lt;1,MAX(1,ROUND(($AI226-$AH226)*60,0))&amp;" phút",IF(ROUND(($AI226-$AH226),0)&lt;24,ROUND(($AI226-$AH226),0)&amp;" giờ",INT(ROUND(($AI226-$AH226),0)/24)&amp;" ngày"&amp;IF(MOD(ROUND(($AI226-$AH226),0),24)&gt;0," "&amp;MOD(ROUND(($AI226-$AH226),0),24)&amp;" giờ","")))),IF(OR($V226="Đã xử lý",N($B226)=0),"",IF((TDBC-$B226)*24&gt;$AH226,"Đã vượt ước tính","Đã dùng "&amp;TEXT((TDBC-$B226)*24/$AH226,"0%")))))</f>
      </c>
      <c r="AD226" s="223">
        <f>IF(N($AO226)=0,"",CHOOSE($AO226,"Nhắc nhở","Cảnh báo","Báo động","Báo động đỏ"))</f>
      </c>
      <c r="AE226" s="223">
        <f>IF(OR(N($AA226)=0,N($U226)=0),"",IF($AA226&lt;=$U226,"Đúng hạn","Trễ hạn"))</f>
      </c>
      <c r="AF226" s="220">
        <f>IF($A226="","",_xlfn.MAXIFS('Nhật ký tiến độ'!$B$6:$B$3005,'Nhật ký tiến độ'!$C$6:$C$3005,$A226))</f>
      </c>
      <c r="AG226" s="223">
        <f>IF($A226="","",IF(COUNTIF('Kế hoạch'!$M$6:$M$305,$A226)=0,"",COUNTIF('Kế hoạch'!$M$6:$M$305,$A226)&amp;" việc"))</f>
      </c>
      <c r="AH226" s="224">
        <f>IF(OR($A226="",N($O226)&lt;=0),"",IF($P226="Giờ",$O226,$O226*24))</f>
      </c>
      <c r="AI226" s="224">
        <f>IF(OR(N($AA226)=0,N($B226)=0),"",IF($AA226&lt;$B226,"",($AA226-$B226)*24))</f>
      </c>
      <c r="AJ226" s="225">
        <f>IF($A226="","",IF(COUNTIF('Nhật ký tiến độ'!$C$6:$C$3005,$A226)=0,0,_xlfn.MAXIFS('Nhật ký tiến độ'!$N$6:$N$3005,'Nhật ký tiến độ'!$C$6:$C$3005,$A226,'Nhật ký tiến độ'!$B$6:$B$3005,_xlfn.MAXIFS('Nhật ký tiến độ'!$B$6:$B$3005,'Nhật ký tiến độ'!$C$6:$C$3005,$A226))))</f>
      </c>
      <c r="AK226" s="225">
        <f>IF(OR($A226="",$V226="Đã xử lý"),"",IF(N($AO226)&gt;0,5-$AO226,IF($J226="Khẩn cấp",5,IF($Y226="Chậm tiến độ",6,IF(OR($Y226="Sắp đến hạn",$J226="Cao"),7,"")))))</f>
      </c>
      <c r="AL226" s="225">
        <f>IF($AK226="","",$AK226*100000+IF(N($U226)=0,99999,INT($U226))+ROW()/100000)</f>
      </c>
      <c r="AM226" s="225">
        <f>IF(OR($A226="",TRIM($K226)="",COUNTIF($K$6:$K226,$K226)&gt;1),0,1)</f>
      </c>
      <c r="AN226" s="225">
        <f>IF($AM226=1,SUM($AM$6:$AM226),"")</f>
      </c>
      <c r="AO226" s="225">
        <f>IF(OR($A226="",$V226="Đã xử lý",N($U226)=0),0,IF(TDBC&lt;=$U226,0,MAX(1,MIN(4,IF((TDBC-$U226)*24&lt;24,1,IF((TDBC-$U226)*24&lt;72,2,IF((TDBC-$U226)*24&lt;168,3,4)))+IFERROR(INDEX({2,1,0,-1},MATCH($J226,{"Khẩn cấp","Cao","Trung bình","Thấp"},0)),0)))))</f>
      </c>
    </row>
    <row r="227">
      <c r="A227" s="216"/>
      <c r="B227" s="217"/>
      <c r="C227" s="218"/>
      <c r="D227" s="218"/>
      <c r="E227" s="218"/>
      <c r="F227" s="218"/>
      <c r="G227" s="216"/>
      <c r="H227" s="218"/>
      <c r="I227" s="218"/>
      <c r="J227" s="216"/>
      <c r="K227" s="218"/>
      <c r="L227" s="218"/>
      <c r="M227" s="218"/>
      <c r="N227" s="218"/>
      <c r="O227" s="219"/>
      <c r="P227" s="216"/>
      <c r="Q227" s="217"/>
      <c r="R227" s="216"/>
      <c r="S227" s="218"/>
      <c r="T227" s="218"/>
      <c r="U227" s="220">
        <f>IF($A227="","",IF(N($Q227)&gt;0,IF(MOD($Q227,1)=0,$Q227+1-1/1440,$Q227),IF(N($B227)=0,"",$B227+IF(N($AH227)&gt;0,$AH227,IFERROR(INDEX(DM_SLA_Gio,MATCH($J227,DM_SLA_Cap,0)),168))/24)))</f>
      </c>
      <c r="V227" s="221">
        <f>IF($A227="","",IF(N($AJ227)=0,"Mới tiếp nhận",INDEX('Nhật ký tiến độ'!$E:$E,$AJ227)))</f>
      </c>
      <c r="W227" s="222">
        <f>IF($A227="","",IF($V227="Đã xử lý",1,IF(N($AJ227)=0,0,N(INDEX('Nhật ký tiến độ'!$D:$D,$AJ227)))))</f>
      </c>
      <c r="X227" s="222">
        <f>IF(OR($A227="",$V227="Đã xử lý",N($U227)=0,N($B227)=0),"",IF(TDBC&lt;=$B227,0,IF(TDBC&gt;=$U227,1,(TDBC-$B227)/($U227-$B227))))</f>
      </c>
      <c r="Y227" s="223">
        <f>IF($A227="","",IF($V227="Đã xử lý","Hoàn thành",IF(N($U227)=0,"Chưa đặt hạn",IF(TDBC&gt;$U227,"Quá hạn",IF(ROUND((N($X227)-$W227)*100,0)&gt;=20,"Chậm tiến độ",IF($U227-TDBC&lt;=1,"Sắp đến hạn","Đúng tiến độ"))))))</f>
      </c>
      <c r="Z227" s="223">
        <f>IF(OR($A227="",$V227="Đã xử lý",N($U227)=0),"",IF(TDBC&gt;$U227,"Quá "&amp;IF(((TDBC-$U227)*24)&lt;1,MAX(1,ROUND(((TDBC-$U227)*24)*60,0))&amp;" phút",IF(ROUND(((TDBC-$U227)*24),0)&lt;24,ROUND(((TDBC-$U227)*24),0)&amp;" giờ",INT(ROUND(((TDBC-$U227)*24),0)/24)&amp;" ngày"&amp;IF(MOD(ROUND(((TDBC-$U227)*24),0),24)&gt;0," "&amp;MOD(ROUND(((TDBC-$U227)*24),0),24)&amp;" giờ",""))),"Còn "&amp;IF((($U227-TDBC)*24)&lt;1,MAX(1,ROUND((($U227-TDBC)*24)*60,0))&amp;" phút",IF(ROUND((($U227-TDBC)*24),0)&lt;24,ROUND((($U227-TDBC)*24),0)&amp;" giờ",INT(ROUND((($U227-TDBC)*24),0)/24)&amp;" ngày"&amp;IF(MOD(ROUND((($U227-TDBC)*24),0),24)&gt;0," "&amp;MOD(ROUND((($U227-TDBC)*24),0),24)&amp;" giờ","")))))</f>
      </c>
      <c r="AA227" s="220">
        <f>IF($V227="Đã xử lý",_xlfn.MAXIFS('Nhật ký tiến độ'!$B$6:$B$3005,'Nhật ký tiến độ'!$C$6:$C$3005,$A227,'Nhật ký tiến độ'!$E$6:$E$3005,"Đã xử lý"),"")</f>
      </c>
      <c r="AB227" s="223">
        <f>IF($AI227="","",IF($AI227&lt;1,MAX(1,ROUND($AI227*60,0))&amp;" phút",IF(ROUND($AI227,0)&lt;24,ROUND($AI227,0)&amp;" giờ",INT(ROUND($AI227,0)/24)&amp;" ngày"&amp;IF(MOD(ROUND($AI227,0),24)&gt;0," "&amp;MOD(ROUND($AI227,0),24)&amp;" giờ",""))))</f>
      </c>
      <c r="AC227" s="223">
        <f>IF(OR($A227="",N($AH227)=0),"",IF($AI227&lt;&gt;"",IF($AI227&lt;=$AH227,"Trong ước tính","Vượt "&amp;IF(($AI227-$AH227)&lt;1,MAX(1,ROUND(($AI227-$AH227)*60,0))&amp;" phút",IF(ROUND(($AI227-$AH227),0)&lt;24,ROUND(($AI227-$AH227),0)&amp;" giờ",INT(ROUND(($AI227-$AH227),0)/24)&amp;" ngày"&amp;IF(MOD(ROUND(($AI227-$AH227),0),24)&gt;0," "&amp;MOD(ROUND(($AI227-$AH227),0),24)&amp;" giờ","")))),IF(OR($V227="Đã xử lý",N($B227)=0),"",IF((TDBC-$B227)*24&gt;$AH227,"Đã vượt ước tính","Đã dùng "&amp;TEXT((TDBC-$B227)*24/$AH227,"0%")))))</f>
      </c>
      <c r="AD227" s="223">
        <f>IF(N($AO227)=0,"",CHOOSE($AO227,"Nhắc nhở","Cảnh báo","Báo động","Báo động đỏ"))</f>
      </c>
      <c r="AE227" s="223">
        <f>IF(OR(N($AA227)=0,N($U227)=0),"",IF($AA227&lt;=$U227,"Đúng hạn","Trễ hạn"))</f>
      </c>
      <c r="AF227" s="220">
        <f>IF($A227="","",_xlfn.MAXIFS('Nhật ký tiến độ'!$B$6:$B$3005,'Nhật ký tiến độ'!$C$6:$C$3005,$A227))</f>
      </c>
      <c r="AG227" s="223">
        <f>IF($A227="","",IF(COUNTIF('Kế hoạch'!$M$6:$M$305,$A227)=0,"",COUNTIF('Kế hoạch'!$M$6:$M$305,$A227)&amp;" việc"))</f>
      </c>
      <c r="AH227" s="224">
        <f>IF(OR($A227="",N($O227)&lt;=0),"",IF($P227="Giờ",$O227,$O227*24))</f>
      </c>
      <c r="AI227" s="224">
        <f>IF(OR(N($AA227)=0,N($B227)=0),"",IF($AA227&lt;$B227,"",($AA227-$B227)*24))</f>
      </c>
      <c r="AJ227" s="225">
        <f>IF($A227="","",IF(COUNTIF('Nhật ký tiến độ'!$C$6:$C$3005,$A227)=0,0,_xlfn.MAXIFS('Nhật ký tiến độ'!$N$6:$N$3005,'Nhật ký tiến độ'!$C$6:$C$3005,$A227,'Nhật ký tiến độ'!$B$6:$B$3005,_xlfn.MAXIFS('Nhật ký tiến độ'!$B$6:$B$3005,'Nhật ký tiến độ'!$C$6:$C$3005,$A227))))</f>
      </c>
      <c r="AK227" s="225">
        <f>IF(OR($A227="",$V227="Đã xử lý"),"",IF(N($AO227)&gt;0,5-$AO227,IF($J227="Khẩn cấp",5,IF($Y227="Chậm tiến độ",6,IF(OR($Y227="Sắp đến hạn",$J227="Cao"),7,"")))))</f>
      </c>
      <c r="AL227" s="225">
        <f>IF($AK227="","",$AK227*100000+IF(N($U227)=0,99999,INT($U227))+ROW()/100000)</f>
      </c>
      <c r="AM227" s="225">
        <f>IF(OR($A227="",TRIM($K227)="",COUNTIF($K$6:$K227,$K227)&gt;1),0,1)</f>
      </c>
      <c r="AN227" s="225">
        <f>IF($AM227=1,SUM($AM$6:$AM227),"")</f>
      </c>
      <c r="AO227" s="225">
        <f>IF(OR($A227="",$V227="Đã xử lý",N($U227)=0),0,IF(TDBC&lt;=$U227,0,MAX(1,MIN(4,IF((TDBC-$U227)*24&lt;24,1,IF((TDBC-$U227)*24&lt;72,2,IF((TDBC-$U227)*24&lt;168,3,4)))+IFERROR(INDEX({2,1,0,-1},MATCH($J227,{"Khẩn cấp","Cao","Trung bình","Thấp"},0)),0)))))</f>
      </c>
    </row>
    <row r="228">
      <c r="A228" s="216"/>
      <c r="B228" s="217"/>
      <c r="C228" s="218"/>
      <c r="D228" s="218"/>
      <c r="E228" s="218"/>
      <c r="F228" s="218"/>
      <c r="G228" s="216"/>
      <c r="H228" s="218"/>
      <c r="I228" s="218"/>
      <c r="J228" s="216"/>
      <c r="K228" s="218"/>
      <c r="L228" s="218"/>
      <c r="M228" s="218"/>
      <c r="N228" s="218"/>
      <c r="O228" s="219"/>
      <c r="P228" s="216"/>
      <c r="Q228" s="217"/>
      <c r="R228" s="216"/>
      <c r="S228" s="218"/>
      <c r="T228" s="218"/>
      <c r="U228" s="220">
        <f>IF($A228="","",IF(N($Q228)&gt;0,IF(MOD($Q228,1)=0,$Q228+1-1/1440,$Q228),IF(N($B228)=0,"",$B228+IF(N($AH228)&gt;0,$AH228,IFERROR(INDEX(DM_SLA_Gio,MATCH($J228,DM_SLA_Cap,0)),168))/24)))</f>
      </c>
      <c r="V228" s="221">
        <f>IF($A228="","",IF(N($AJ228)=0,"Mới tiếp nhận",INDEX('Nhật ký tiến độ'!$E:$E,$AJ228)))</f>
      </c>
      <c r="W228" s="222">
        <f>IF($A228="","",IF($V228="Đã xử lý",1,IF(N($AJ228)=0,0,N(INDEX('Nhật ký tiến độ'!$D:$D,$AJ228)))))</f>
      </c>
      <c r="X228" s="222">
        <f>IF(OR($A228="",$V228="Đã xử lý",N($U228)=0,N($B228)=0),"",IF(TDBC&lt;=$B228,0,IF(TDBC&gt;=$U228,1,(TDBC-$B228)/($U228-$B228))))</f>
      </c>
      <c r="Y228" s="223">
        <f>IF($A228="","",IF($V228="Đã xử lý","Hoàn thành",IF(N($U228)=0,"Chưa đặt hạn",IF(TDBC&gt;$U228,"Quá hạn",IF(ROUND((N($X228)-$W228)*100,0)&gt;=20,"Chậm tiến độ",IF($U228-TDBC&lt;=1,"Sắp đến hạn","Đúng tiến độ"))))))</f>
      </c>
      <c r="Z228" s="223">
        <f>IF(OR($A228="",$V228="Đã xử lý",N($U228)=0),"",IF(TDBC&gt;$U228,"Quá "&amp;IF(((TDBC-$U228)*24)&lt;1,MAX(1,ROUND(((TDBC-$U228)*24)*60,0))&amp;" phút",IF(ROUND(((TDBC-$U228)*24),0)&lt;24,ROUND(((TDBC-$U228)*24),0)&amp;" giờ",INT(ROUND(((TDBC-$U228)*24),0)/24)&amp;" ngày"&amp;IF(MOD(ROUND(((TDBC-$U228)*24),0),24)&gt;0," "&amp;MOD(ROUND(((TDBC-$U228)*24),0),24)&amp;" giờ",""))),"Còn "&amp;IF((($U228-TDBC)*24)&lt;1,MAX(1,ROUND((($U228-TDBC)*24)*60,0))&amp;" phút",IF(ROUND((($U228-TDBC)*24),0)&lt;24,ROUND((($U228-TDBC)*24),0)&amp;" giờ",INT(ROUND((($U228-TDBC)*24),0)/24)&amp;" ngày"&amp;IF(MOD(ROUND((($U228-TDBC)*24),0),24)&gt;0," "&amp;MOD(ROUND((($U228-TDBC)*24),0),24)&amp;" giờ","")))))</f>
      </c>
      <c r="AA228" s="220">
        <f>IF($V228="Đã xử lý",_xlfn.MAXIFS('Nhật ký tiến độ'!$B$6:$B$3005,'Nhật ký tiến độ'!$C$6:$C$3005,$A228,'Nhật ký tiến độ'!$E$6:$E$3005,"Đã xử lý"),"")</f>
      </c>
      <c r="AB228" s="223">
        <f>IF($AI228="","",IF($AI228&lt;1,MAX(1,ROUND($AI228*60,0))&amp;" phút",IF(ROUND($AI228,0)&lt;24,ROUND($AI228,0)&amp;" giờ",INT(ROUND($AI228,0)/24)&amp;" ngày"&amp;IF(MOD(ROUND($AI228,0),24)&gt;0," "&amp;MOD(ROUND($AI228,0),24)&amp;" giờ",""))))</f>
      </c>
      <c r="AC228" s="223">
        <f>IF(OR($A228="",N($AH228)=0),"",IF($AI228&lt;&gt;"",IF($AI228&lt;=$AH228,"Trong ước tính","Vượt "&amp;IF(($AI228-$AH228)&lt;1,MAX(1,ROUND(($AI228-$AH228)*60,0))&amp;" phút",IF(ROUND(($AI228-$AH228),0)&lt;24,ROUND(($AI228-$AH228),0)&amp;" giờ",INT(ROUND(($AI228-$AH228),0)/24)&amp;" ngày"&amp;IF(MOD(ROUND(($AI228-$AH228),0),24)&gt;0," "&amp;MOD(ROUND(($AI228-$AH228),0),24)&amp;" giờ","")))),IF(OR($V228="Đã xử lý",N($B228)=0),"",IF((TDBC-$B228)*24&gt;$AH228,"Đã vượt ước tính","Đã dùng "&amp;TEXT((TDBC-$B228)*24/$AH228,"0%")))))</f>
      </c>
      <c r="AD228" s="223">
        <f>IF(N($AO228)=0,"",CHOOSE($AO228,"Nhắc nhở","Cảnh báo","Báo động","Báo động đỏ"))</f>
      </c>
      <c r="AE228" s="223">
        <f>IF(OR(N($AA228)=0,N($U228)=0),"",IF($AA228&lt;=$U228,"Đúng hạn","Trễ hạn"))</f>
      </c>
      <c r="AF228" s="220">
        <f>IF($A228="","",_xlfn.MAXIFS('Nhật ký tiến độ'!$B$6:$B$3005,'Nhật ký tiến độ'!$C$6:$C$3005,$A228))</f>
      </c>
      <c r="AG228" s="223">
        <f>IF($A228="","",IF(COUNTIF('Kế hoạch'!$M$6:$M$305,$A228)=0,"",COUNTIF('Kế hoạch'!$M$6:$M$305,$A228)&amp;" việc"))</f>
      </c>
      <c r="AH228" s="224">
        <f>IF(OR($A228="",N($O228)&lt;=0),"",IF($P228="Giờ",$O228,$O228*24))</f>
      </c>
      <c r="AI228" s="224">
        <f>IF(OR(N($AA228)=0,N($B228)=0),"",IF($AA228&lt;$B228,"",($AA228-$B228)*24))</f>
      </c>
      <c r="AJ228" s="225">
        <f>IF($A228="","",IF(COUNTIF('Nhật ký tiến độ'!$C$6:$C$3005,$A228)=0,0,_xlfn.MAXIFS('Nhật ký tiến độ'!$N$6:$N$3005,'Nhật ký tiến độ'!$C$6:$C$3005,$A228,'Nhật ký tiến độ'!$B$6:$B$3005,_xlfn.MAXIFS('Nhật ký tiến độ'!$B$6:$B$3005,'Nhật ký tiến độ'!$C$6:$C$3005,$A228))))</f>
      </c>
      <c r="AK228" s="225">
        <f>IF(OR($A228="",$V228="Đã xử lý"),"",IF(N($AO228)&gt;0,5-$AO228,IF($J228="Khẩn cấp",5,IF($Y228="Chậm tiến độ",6,IF(OR($Y228="Sắp đến hạn",$J228="Cao"),7,"")))))</f>
      </c>
      <c r="AL228" s="225">
        <f>IF($AK228="","",$AK228*100000+IF(N($U228)=0,99999,INT($U228))+ROW()/100000)</f>
      </c>
      <c r="AM228" s="225">
        <f>IF(OR($A228="",TRIM($K228)="",COUNTIF($K$6:$K228,$K228)&gt;1),0,1)</f>
      </c>
      <c r="AN228" s="225">
        <f>IF($AM228=1,SUM($AM$6:$AM228),"")</f>
      </c>
      <c r="AO228" s="225">
        <f>IF(OR($A228="",$V228="Đã xử lý",N($U228)=0),0,IF(TDBC&lt;=$U228,0,MAX(1,MIN(4,IF((TDBC-$U228)*24&lt;24,1,IF((TDBC-$U228)*24&lt;72,2,IF((TDBC-$U228)*24&lt;168,3,4)))+IFERROR(INDEX({2,1,0,-1},MATCH($J228,{"Khẩn cấp","Cao","Trung bình","Thấp"},0)),0)))))</f>
      </c>
    </row>
    <row r="229">
      <c r="A229" s="216"/>
      <c r="B229" s="217"/>
      <c r="C229" s="218"/>
      <c r="D229" s="218"/>
      <c r="E229" s="218"/>
      <c r="F229" s="218"/>
      <c r="G229" s="216"/>
      <c r="H229" s="218"/>
      <c r="I229" s="218"/>
      <c r="J229" s="216"/>
      <c r="K229" s="218"/>
      <c r="L229" s="218"/>
      <c r="M229" s="218"/>
      <c r="N229" s="218"/>
      <c r="O229" s="219"/>
      <c r="P229" s="216"/>
      <c r="Q229" s="217"/>
      <c r="R229" s="216"/>
      <c r="S229" s="218"/>
      <c r="T229" s="218"/>
      <c r="U229" s="220">
        <f>IF($A229="","",IF(N($Q229)&gt;0,IF(MOD($Q229,1)=0,$Q229+1-1/1440,$Q229),IF(N($B229)=0,"",$B229+IF(N($AH229)&gt;0,$AH229,IFERROR(INDEX(DM_SLA_Gio,MATCH($J229,DM_SLA_Cap,0)),168))/24)))</f>
      </c>
      <c r="V229" s="221">
        <f>IF($A229="","",IF(N($AJ229)=0,"Mới tiếp nhận",INDEX('Nhật ký tiến độ'!$E:$E,$AJ229)))</f>
      </c>
      <c r="W229" s="222">
        <f>IF($A229="","",IF($V229="Đã xử lý",1,IF(N($AJ229)=0,0,N(INDEX('Nhật ký tiến độ'!$D:$D,$AJ229)))))</f>
      </c>
      <c r="X229" s="222">
        <f>IF(OR($A229="",$V229="Đã xử lý",N($U229)=0,N($B229)=0),"",IF(TDBC&lt;=$B229,0,IF(TDBC&gt;=$U229,1,(TDBC-$B229)/($U229-$B229))))</f>
      </c>
      <c r="Y229" s="223">
        <f>IF($A229="","",IF($V229="Đã xử lý","Hoàn thành",IF(N($U229)=0,"Chưa đặt hạn",IF(TDBC&gt;$U229,"Quá hạn",IF(ROUND((N($X229)-$W229)*100,0)&gt;=20,"Chậm tiến độ",IF($U229-TDBC&lt;=1,"Sắp đến hạn","Đúng tiến độ"))))))</f>
      </c>
      <c r="Z229" s="223">
        <f>IF(OR($A229="",$V229="Đã xử lý",N($U229)=0),"",IF(TDBC&gt;$U229,"Quá "&amp;IF(((TDBC-$U229)*24)&lt;1,MAX(1,ROUND(((TDBC-$U229)*24)*60,0))&amp;" phút",IF(ROUND(((TDBC-$U229)*24),0)&lt;24,ROUND(((TDBC-$U229)*24),0)&amp;" giờ",INT(ROUND(((TDBC-$U229)*24),0)/24)&amp;" ngày"&amp;IF(MOD(ROUND(((TDBC-$U229)*24),0),24)&gt;0," "&amp;MOD(ROUND(((TDBC-$U229)*24),0),24)&amp;" giờ",""))),"Còn "&amp;IF((($U229-TDBC)*24)&lt;1,MAX(1,ROUND((($U229-TDBC)*24)*60,0))&amp;" phút",IF(ROUND((($U229-TDBC)*24),0)&lt;24,ROUND((($U229-TDBC)*24),0)&amp;" giờ",INT(ROUND((($U229-TDBC)*24),0)/24)&amp;" ngày"&amp;IF(MOD(ROUND((($U229-TDBC)*24),0),24)&gt;0," "&amp;MOD(ROUND((($U229-TDBC)*24),0),24)&amp;" giờ","")))))</f>
      </c>
      <c r="AA229" s="220">
        <f>IF($V229="Đã xử lý",_xlfn.MAXIFS('Nhật ký tiến độ'!$B$6:$B$3005,'Nhật ký tiến độ'!$C$6:$C$3005,$A229,'Nhật ký tiến độ'!$E$6:$E$3005,"Đã xử lý"),"")</f>
      </c>
      <c r="AB229" s="223">
        <f>IF($AI229="","",IF($AI229&lt;1,MAX(1,ROUND($AI229*60,0))&amp;" phút",IF(ROUND($AI229,0)&lt;24,ROUND($AI229,0)&amp;" giờ",INT(ROUND($AI229,0)/24)&amp;" ngày"&amp;IF(MOD(ROUND($AI229,0),24)&gt;0," "&amp;MOD(ROUND($AI229,0),24)&amp;" giờ",""))))</f>
      </c>
      <c r="AC229" s="223">
        <f>IF(OR($A229="",N($AH229)=0),"",IF($AI229&lt;&gt;"",IF($AI229&lt;=$AH229,"Trong ước tính","Vượt "&amp;IF(($AI229-$AH229)&lt;1,MAX(1,ROUND(($AI229-$AH229)*60,0))&amp;" phút",IF(ROUND(($AI229-$AH229),0)&lt;24,ROUND(($AI229-$AH229),0)&amp;" giờ",INT(ROUND(($AI229-$AH229),0)/24)&amp;" ngày"&amp;IF(MOD(ROUND(($AI229-$AH229),0),24)&gt;0," "&amp;MOD(ROUND(($AI229-$AH229),0),24)&amp;" giờ","")))),IF(OR($V229="Đã xử lý",N($B229)=0),"",IF((TDBC-$B229)*24&gt;$AH229,"Đã vượt ước tính","Đã dùng "&amp;TEXT((TDBC-$B229)*24/$AH229,"0%")))))</f>
      </c>
      <c r="AD229" s="223">
        <f>IF(N($AO229)=0,"",CHOOSE($AO229,"Nhắc nhở","Cảnh báo","Báo động","Báo động đỏ"))</f>
      </c>
      <c r="AE229" s="223">
        <f>IF(OR(N($AA229)=0,N($U229)=0),"",IF($AA229&lt;=$U229,"Đúng hạn","Trễ hạn"))</f>
      </c>
      <c r="AF229" s="220">
        <f>IF($A229="","",_xlfn.MAXIFS('Nhật ký tiến độ'!$B$6:$B$3005,'Nhật ký tiến độ'!$C$6:$C$3005,$A229))</f>
      </c>
      <c r="AG229" s="223">
        <f>IF($A229="","",IF(COUNTIF('Kế hoạch'!$M$6:$M$305,$A229)=0,"",COUNTIF('Kế hoạch'!$M$6:$M$305,$A229)&amp;" việc"))</f>
      </c>
      <c r="AH229" s="224">
        <f>IF(OR($A229="",N($O229)&lt;=0),"",IF($P229="Giờ",$O229,$O229*24))</f>
      </c>
      <c r="AI229" s="224">
        <f>IF(OR(N($AA229)=0,N($B229)=0),"",IF($AA229&lt;$B229,"",($AA229-$B229)*24))</f>
      </c>
      <c r="AJ229" s="225">
        <f>IF($A229="","",IF(COUNTIF('Nhật ký tiến độ'!$C$6:$C$3005,$A229)=0,0,_xlfn.MAXIFS('Nhật ký tiến độ'!$N$6:$N$3005,'Nhật ký tiến độ'!$C$6:$C$3005,$A229,'Nhật ký tiến độ'!$B$6:$B$3005,_xlfn.MAXIFS('Nhật ký tiến độ'!$B$6:$B$3005,'Nhật ký tiến độ'!$C$6:$C$3005,$A229))))</f>
      </c>
      <c r="AK229" s="225">
        <f>IF(OR($A229="",$V229="Đã xử lý"),"",IF(N($AO229)&gt;0,5-$AO229,IF($J229="Khẩn cấp",5,IF($Y229="Chậm tiến độ",6,IF(OR($Y229="Sắp đến hạn",$J229="Cao"),7,"")))))</f>
      </c>
      <c r="AL229" s="225">
        <f>IF($AK229="","",$AK229*100000+IF(N($U229)=0,99999,INT($U229))+ROW()/100000)</f>
      </c>
      <c r="AM229" s="225">
        <f>IF(OR($A229="",TRIM($K229)="",COUNTIF($K$6:$K229,$K229)&gt;1),0,1)</f>
      </c>
      <c r="AN229" s="225">
        <f>IF($AM229=1,SUM($AM$6:$AM229),"")</f>
      </c>
      <c r="AO229" s="225">
        <f>IF(OR($A229="",$V229="Đã xử lý",N($U229)=0),0,IF(TDBC&lt;=$U229,0,MAX(1,MIN(4,IF((TDBC-$U229)*24&lt;24,1,IF((TDBC-$U229)*24&lt;72,2,IF((TDBC-$U229)*24&lt;168,3,4)))+IFERROR(INDEX({2,1,0,-1},MATCH($J229,{"Khẩn cấp","Cao","Trung bình","Thấp"},0)),0)))))</f>
      </c>
    </row>
    <row r="230">
      <c r="A230" s="216"/>
      <c r="B230" s="217"/>
      <c r="C230" s="218"/>
      <c r="D230" s="218"/>
      <c r="E230" s="218"/>
      <c r="F230" s="218"/>
      <c r="G230" s="216"/>
      <c r="H230" s="218"/>
      <c r="I230" s="218"/>
      <c r="J230" s="216"/>
      <c r="K230" s="218"/>
      <c r="L230" s="218"/>
      <c r="M230" s="218"/>
      <c r="N230" s="218"/>
      <c r="O230" s="219"/>
      <c r="P230" s="216"/>
      <c r="Q230" s="217"/>
      <c r="R230" s="216"/>
      <c r="S230" s="218"/>
      <c r="T230" s="218"/>
      <c r="U230" s="220">
        <f>IF($A230="","",IF(N($Q230)&gt;0,IF(MOD($Q230,1)=0,$Q230+1-1/1440,$Q230),IF(N($B230)=0,"",$B230+IF(N($AH230)&gt;0,$AH230,IFERROR(INDEX(DM_SLA_Gio,MATCH($J230,DM_SLA_Cap,0)),168))/24)))</f>
      </c>
      <c r="V230" s="221">
        <f>IF($A230="","",IF(N($AJ230)=0,"Mới tiếp nhận",INDEX('Nhật ký tiến độ'!$E:$E,$AJ230)))</f>
      </c>
      <c r="W230" s="222">
        <f>IF($A230="","",IF($V230="Đã xử lý",1,IF(N($AJ230)=0,0,N(INDEX('Nhật ký tiến độ'!$D:$D,$AJ230)))))</f>
      </c>
      <c r="X230" s="222">
        <f>IF(OR($A230="",$V230="Đã xử lý",N($U230)=0,N($B230)=0),"",IF(TDBC&lt;=$B230,0,IF(TDBC&gt;=$U230,1,(TDBC-$B230)/($U230-$B230))))</f>
      </c>
      <c r="Y230" s="223">
        <f>IF($A230="","",IF($V230="Đã xử lý","Hoàn thành",IF(N($U230)=0,"Chưa đặt hạn",IF(TDBC&gt;$U230,"Quá hạn",IF(ROUND((N($X230)-$W230)*100,0)&gt;=20,"Chậm tiến độ",IF($U230-TDBC&lt;=1,"Sắp đến hạn","Đúng tiến độ"))))))</f>
      </c>
      <c r="Z230" s="223">
        <f>IF(OR($A230="",$V230="Đã xử lý",N($U230)=0),"",IF(TDBC&gt;$U230,"Quá "&amp;IF(((TDBC-$U230)*24)&lt;1,MAX(1,ROUND(((TDBC-$U230)*24)*60,0))&amp;" phút",IF(ROUND(((TDBC-$U230)*24),0)&lt;24,ROUND(((TDBC-$U230)*24),0)&amp;" giờ",INT(ROUND(((TDBC-$U230)*24),0)/24)&amp;" ngày"&amp;IF(MOD(ROUND(((TDBC-$U230)*24),0),24)&gt;0," "&amp;MOD(ROUND(((TDBC-$U230)*24),0),24)&amp;" giờ",""))),"Còn "&amp;IF((($U230-TDBC)*24)&lt;1,MAX(1,ROUND((($U230-TDBC)*24)*60,0))&amp;" phút",IF(ROUND((($U230-TDBC)*24),0)&lt;24,ROUND((($U230-TDBC)*24),0)&amp;" giờ",INT(ROUND((($U230-TDBC)*24),0)/24)&amp;" ngày"&amp;IF(MOD(ROUND((($U230-TDBC)*24),0),24)&gt;0," "&amp;MOD(ROUND((($U230-TDBC)*24),0),24)&amp;" giờ","")))))</f>
      </c>
      <c r="AA230" s="220">
        <f>IF($V230="Đã xử lý",_xlfn.MAXIFS('Nhật ký tiến độ'!$B$6:$B$3005,'Nhật ký tiến độ'!$C$6:$C$3005,$A230,'Nhật ký tiến độ'!$E$6:$E$3005,"Đã xử lý"),"")</f>
      </c>
      <c r="AB230" s="223">
        <f>IF($AI230="","",IF($AI230&lt;1,MAX(1,ROUND($AI230*60,0))&amp;" phút",IF(ROUND($AI230,0)&lt;24,ROUND($AI230,0)&amp;" giờ",INT(ROUND($AI230,0)/24)&amp;" ngày"&amp;IF(MOD(ROUND($AI230,0),24)&gt;0," "&amp;MOD(ROUND($AI230,0),24)&amp;" giờ",""))))</f>
      </c>
      <c r="AC230" s="223">
        <f>IF(OR($A230="",N($AH230)=0),"",IF($AI230&lt;&gt;"",IF($AI230&lt;=$AH230,"Trong ước tính","Vượt "&amp;IF(($AI230-$AH230)&lt;1,MAX(1,ROUND(($AI230-$AH230)*60,0))&amp;" phút",IF(ROUND(($AI230-$AH230),0)&lt;24,ROUND(($AI230-$AH230),0)&amp;" giờ",INT(ROUND(($AI230-$AH230),0)/24)&amp;" ngày"&amp;IF(MOD(ROUND(($AI230-$AH230),0),24)&gt;0," "&amp;MOD(ROUND(($AI230-$AH230),0),24)&amp;" giờ","")))),IF(OR($V230="Đã xử lý",N($B230)=0),"",IF((TDBC-$B230)*24&gt;$AH230,"Đã vượt ước tính","Đã dùng "&amp;TEXT((TDBC-$B230)*24/$AH230,"0%")))))</f>
      </c>
      <c r="AD230" s="223">
        <f>IF(N($AO230)=0,"",CHOOSE($AO230,"Nhắc nhở","Cảnh báo","Báo động","Báo động đỏ"))</f>
      </c>
      <c r="AE230" s="223">
        <f>IF(OR(N($AA230)=0,N($U230)=0),"",IF($AA230&lt;=$U230,"Đúng hạn","Trễ hạn"))</f>
      </c>
      <c r="AF230" s="220">
        <f>IF($A230="","",_xlfn.MAXIFS('Nhật ký tiến độ'!$B$6:$B$3005,'Nhật ký tiến độ'!$C$6:$C$3005,$A230))</f>
      </c>
      <c r="AG230" s="223">
        <f>IF($A230="","",IF(COUNTIF('Kế hoạch'!$M$6:$M$305,$A230)=0,"",COUNTIF('Kế hoạch'!$M$6:$M$305,$A230)&amp;" việc"))</f>
      </c>
      <c r="AH230" s="224">
        <f>IF(OR($A230="",N($O230)&lt;=0),"",IF($P230="Giờ",$O230,$O230*24))</f>
      </c>
      <c r="AI230" s="224">
        <f>IF(OR(N($AA230)=0,N($B230)=0),"",IF($AA230&lt;$B230,"",($AA230-$B230)*24))</f>
      </c>
      <c r="AJ230" s="225">
        <f>IF($A230="","",IF(COUNTIF('Nhật ký tiến độ'!$C$6:$C$3005,$A230)=0,0,_xlfn.MAXIFS('Nhật ký tiến độ'!$N$6:$N$3005,'Nhật ký tiến độ'!$C$6:$C$3005,$A230,'Nhật ký tiến độ'!$B$6:$B$3005,_xlfn.MAXIFS('Nhật ký tiến độ'!$B$6:$B$3005,'Nhật ký tiến độ'!$C$6:$C$3005,$A230))))</f>
      </c>
      <c r="AK230" s="225">
        <f>IF(OR($A230="",$V230="Đã xử lý"),"",IF(N($AO230)&gt;0,5-$AO230,IF($J230="Khẩn cấp",5,IF($Y230="Chậm tiến độ",6,IF(OR($Y230="Sắp đến hạn",$J230="Cao"),7,"")))))</f>
      </c>
      <c r="AL230" s="225">
        <f>IF($AK230="","",$AK230*100000+IF(N($U230)=0,99999,INT($U230))+ROW()/100000)</f>
      </c>
      <c r="AM230" s="225">
        <f>IF(OR($A230="",TRIM($K230)="",COUNTIF($K$6:$K230,$K230)&gt;1),0,1)</f>
      </c>
      <c r="AN230" s="225">
        <f>IF($AM230=1,SUM($AM$6:$AM230),"")</f>
      </c>
      <c r="AO230" s="225">
        <f>IF(OR($A230="",$V230="Đã xử lý",N($U230)=0),0,IF(TDBC&lt;=$U230,0,MAX(1,MIN(4,IF((TDBC-$U230)*24&lt;24,1,IF((TDBC-$U230)*24&lt;72,2,IF((TDBC-$U230)*24&lt;168,3,4)))+IFERROR(INDEX({2,1,0,-1},MATCH($J230,{"Khẩn cấp","Cao","Trung bình","Thấp"},0)),0)))))</f>
      </c>
    </row>
    <row r="231">
      <c r="A231" s="216"/>
      <c r="B231" s="217"/>
      <c r="C231" s="218"/>
      <c r="D231" s="218"/>
      <c r="E231" s="218"/>
      <c r="F231" s="218"/>
      <c r="G231" s="216"/>
      <c r="H231" s="218"/>
      <c r="I231" s="218"/>
      <c r="J231" s="216"/>
      <c r="K231" s="218"/>
      <c r="L231" s="218"/>
      <c r="M231" s="218"/>
      <c r="N231" s="218"/>
      <c r="O231" s="219"/>
      <c r="P231" s="216"/>
      <c r="Q231" s="217"/>
      <c r="R231" s="216"/>
      <c r="S231" s="218"/>
      <c r="T231" s="218"/>
      <c r="U231" s="220">
        <f>IF($A231="","",IF(N($Q231)&gt;0,IF(MOD($Q231,1)=0,$Q231+1-1/1440,$Q231),IF(N($B231)=0,"",$B231+IF(N($AH231)&gt;0,$AH231,IFERROR(INDEX(DM_SLA_Gio,MATCH($J231,DM_SLA_Cap,0)),168))/24)))</f>
      </c>
      <c r="V231" s="221">
        <f>IF($A231="","",IF(N($AJ231)=0,"Mới tiếp nhận",INDEX('Nhật ký tiến độ'!$E:$E,$AJ231)))</f>
      </c>
      <c r="W231" s="222">
        <f>IF($A231="","",IF($V231="Đã xử lý",1,IF(N($AJ231)=0,0,N(INDEX('Nhật ký tiến độ'!$D:$D,$AJ231)))))</f>
      </c>
      <c r="X231" s="222">
        <f>IF(OR($A231="",$V231="Đã xử lý",N($U231)=0,N($B231)=0),"",IF(TDBC&lt;=$B231,0,IF(TDBC&gt;=$U231,1,(TDBC-$B231)/($U231-$B231))))</f>
      </c>
      <c r="Y231" s="223">
        <f>IF($A231="","",IF($V231="Đã xử lý","Hoàn thành",IF(N($U231)=0,"Chưa đặt hạn",IF(TDBC&gt;$U231,"Quá hạn",IF(ROUND((N($X231)-$W231)*100,0)&gt;=20,"Chậm tiến độ",IF($U231-TDBC&lt;=1,"Sắp đến hạn","Đúng tiến độ"))))))</f>
      </c>
      <c r="Z231" s="223">
        <f>IF(OR($A231="",$V231="Đã xử lý",N($U231)=0),"",IF(TDBC&gt;$U231,"Quá "&amp;IF(((TDBC-$U231)*24)&lt;1,MAX(1,ROUND(((TDBC-$U231)*24)*60,0))&amp;" phút",IF(ROUND(((TDBC-$U231)*24),0)&lt;24,ROUND(((TDBC-$U231)*24),0)&amp;" giờ",INT(ROUND(((TDBC-$U231)*24),0)/24)&amp;" ngày"&amp;IF(MOD(ROUND(((TDBC-$U231)*24),0),24)&gt;0," "&amp;MOD(ROUND(((TDBC-$U231)*24),0),24)&amp;" giờ",""))),"Còn "&amp;IF((($U231-TDBC)*24)&lt;1,MAX(1,ROUND((($U231-TDBC)*24)*60,0))&amp;" phút",IF(ROUND((($U231-TDBC)*24),0)&lt;24,ROUND((($U231-TDBC)*24),0)&amp;" giờ",INT(ROUND((($U231-TDBC)*24),0)/24)&amp;" ngày"&amp;IF(MOD(ROUND((($U231-TDBC)*24),0),24)&gt;0," "&amp;MOD(ROUND((($U231-TDBC)*24),0),24)&amp;" giờ","")))))</f>
      </c>
      <c r="AA231" s="220">
        <f>IF($V231="Đã xử lý",_xlfn.MAXIFS('Nhật ký tiến độ'!$B$6:$B$3005,'Nhật ký tiến độ'!$C$6:$C$3005,$A231,'Nhật ký tiến độ'!$E$6:$E$3005,"Đã xử lý"),"")</f>
      </c>
      <c r="AB231" s="223">
        <f>IF($AI231="","",IF($AI231&lt;1,MAX(1,ROUND($AI231*60,0))&amp;" phút",IF(ROUND($AI231,0)&lt;24,ROUND($AI231,0)&amp;" giờ",INT(ROUND($AI231,0)/24)&amp;" ngày"&amp;IF(MOD(ROUND($AI231,0),24)&gt;0," "&amp;MOD(ROUND($AI231,0),24)&amp;" giờ",""))))</f>
      </c>
      <c r="AC231" s="223">
        <f>IF(OR($A231="",N($AH231)=0),"",IF($AI231&lt;&gt;"",IF($AI231&lt;=$AH231,"Trong ước tính","Vượt "&amp;IF(($AI231-$AH231)&lt;1,MAX(1,ROUND(($AI231-$AH231)*60,0))&amp;" phút",IF(ROUND(($AI231-$AH231),0)&lt;24,ROUND(($AI231-$AH231),0)&amp;" giờ",INT(ROUND(($AI231-$AH231),0)/24)&amp;" ngày"&amp;IF(MOD(ROUND(($AI231-$AH231),0),24)&gt;0," "&amp;MOD(ROUND(($AI231-$AH231),0),24)&amp;" giờ","")))),IF(OR($V231="Đã xử lý",N($B231)=0),"",IF((TDBC-$B231)*24&gt;$AH231,"Đã vượt ước tính","Đã dùng "&amp;TEXT((TDBC-$B231)*24/$AH231,"0%")))))</f>
      </c>
      <c r="AD231" s="223">
        <f>IF(N($AO231)=0,"",CHOOSE($AO231,"Nhắc nhở","Cảnh báo","Báo động","Báo động đỏ"))</f>
      </c>
      <c r="AE231" s="223">
        <f>IF(OR(N($AA231)=0,N($U231)=0),"",IF($AA231&lt;=$U231,"Đúng hạn","Trễ hạn"))</f>
      </c>
      <c r="AF231" s="220">
        <f>IF($A231="","",_xlfn.MAXIFS('Nhật ký tiến độ'!$B$6:$B$3005,'Nhật ký tiến độ'!$C$6:$C$3005,$A231))</f>
      </c>
      <c r="AG231" s="223">
        <f>IF($A231="","",IF(COUNTIF('Kế hoạch'!$M$6:$M$305,$A231)=0,"",COUNTIF('Kế hoạch'!$M$6:$M$305,$A231)&amp;" việc"))</f>
      </c>
      <c r="AH231" s="224">
        <f>IF(OR($A231="",N($O231)&lt;=0),"",IF($P231="Giờ",$O231,$O231*24))</f>
      </c>
      <c r="AI231" s="224">
        <f>IF(OR(N($AA231)=0,N($B231)=0),"",IF($AA231&lt;$B231,"",($AA231-$B231)*24))</f>
      </c>
      <c r="AJ231" s="225">
        <f>IF($A231="","",IF(COUNTIF('Nhật ký tiến độ'!$C$6:$C$3005,$A231)=0,0,_xlfn.MAXIFS('Nhật ký tiến độ'!$N$6:$N$3005,'Nhật ký tiến độ'!$C$6:$C$3005,$A231,'Nhật ký tiến độ'!$B$6:$B$3005,_xlfn.MAXIFS('Nhật ký tiến độ'!$B$6:$B$3005,'Nhật ký tiến độ'!$C$6:$C$3005,$A231))))</f>
      </c>
      <c r="AK231" s="225">
        <f>IF(OR($A231="",$V231="Đã xử lý"),"",IF(N($AO231)&gt;0,5-$AO231,IF($J231="Khẩn cấp",5,IF($Y231="Chậm tiến độ",6,IF(OR($Y231="Sắp đến hạn",$J231="Cao"),7,"")))))</f>
      </c>
      <c r="AL231" s="225">
        <f>IF($AK231="","",$AK231*100000+IF(N($U231)=0,99999,INT($U231))+ROW()/100000)</f>
      </c>
      <c r="AM231" s="225">
        <f>IF(OR($A231="",TRIM($K231)="",COUNTIF($K$6:$K231,$K231)&gt;1),0,1)</f>
      </c>
      <c r="AN231" s="225">
        <f>IF($AM231=1,SUM($AM$6:$AM231),"")</f>
      </c>
      <c r="AO231" s="225">
        <f>IF(OR($A231="",$V231="Đã xử lý",N($U231)=0),0,IF(TDBC&lt;=$U231,0,MAX(1,MIN(4,IF((TDBC-$U231)*24&lt;24,1,IF((TDBC-$U231)*24&lt;72,2,IF((TDBC-$U231)*24&lt;168,3,4)))+IFERROR(INDEX({2,1,0,-1},MATCH($J231,{"Khẩn cấp","Cao","Trung bình","Thấp"},0)),0)))))</f>
      </c>
    </row>
    <row r="232">
      <c r="A232" s="216"/>
      <c r="B232" s="217"/>
      <c r="C232" s="218"/>
      <c r="D232" s="218"/>
      <c r="E232" s="218"/>
      <c r="F232" s="218"/>
      <c r="G232" s="216"/>
      <c r="H232" s="218"/>
      <c r="I232" s="218"/>
      <c r="J232" s="216"/>
      <c r="K232" s="218"/>
      <c r="L232" s="218"/>
      <c r="M232" s="218"/>
      <c r="N232" s="218"/>
      <c r="O232" s="219"/>
      <c r="P232" s="216"/>
      <c r="Q232" s="217"/>
      <c r="R232" s="216"/>
      <c r="S232" s="218"/>
      <c r="T232" s="218"/>
      <c r="U232" s="220">
        <f>IF($A232="","",IF(N($Q232)&gt;0,IF(MOD($Q232,1)=0,$Q232+1-1/1440,$Q232),IF(N($B232)=0,"",$B232+IF(N($AH232)&gt;0,$AH232,IFERROR(INDEX(DM_SLA_Gio,MATCH($J232,DM_SLA_Cap,0)),168))/24)))</f>
      </c>
      <c r="V232" s="221">
        <f>IF($A232="","",IF(N($AJ232)=0,"Mới tiếp nhận",INDEX('Nhật ký tiến độ'!$E:$E,$AJ232)))</f>
      </c>
      <c r="W232" s="222">
        <f>IF($A232="","",IF($V232="Đã xử lý",1,IF(N($AJ232)=0,0,N(INDEX('Nhật ký tiến độ'!$D:$D,$AJ232)))))</f>
      </c>
      <c r="X232" s="222">
        <f>IF(OR($A232="",$V232="Đã xử lý",N($U232)=0,N($B232)=0),"",IF(TDBC&lt;=$B232,0,IF(TDBC&gt;=$U232,1,(TDBC-$B232)/($U232-$B232))))</f>
      </c>
      <c r="Y232" s="223">
        <f>IF($A232="","",IF($V232="Đã xử lý","Hoàn thành",IF(N($U232)=0,"Chưa đặt hạn",IF(TDBC&gt;$U232,"Quá hạn",IF(ROUND((N($X232)-$W232)*100,0)&gt;=20,"Chậm tiến độ",IF($U232-TDBC&lt;=1,"Sắp đến hạn","Đúng tiến độ"))))))</f>
      </c>
      <c r="Z232" s="223">
        <f>IF(OR($A232="",$V232="Đã xử lý",N($U232)=0),"",IF(TDBC&gt;$U232,"Quá "&amp;IF(((TDBC-$U232)*24)&lt;1,MAX(1,ROUND(((TDBC-$U232)*24)*60,0))&amp;" phút",IF(ROUND(((TDBC-$U232)*24),0)&lt;24,ROUND(((TDBC-$U232)*24),0)&amp;" giờ",INT(ROUND(((TDBC-$U232)*24),0)/24)&amp;" ngày"&amp;IF(MOD(ROUND(((TDBC-$U232)*24),0),24)&gt;0," "&amp;MOD(ROUND(((TDBC-$U232)*24),0),24)&amp;" giờ",""))),"Còn "&amp;IF((($U232-TDBC)*24)&lt;1,MAX(1,ROUND((($U232-TDBC)*24)*60,0))&amp;" phút",IF(ROUND((($U232-TDBC)*24),0)&lt;24,ROUND((($U232-TDBC)*24),0)&amp;" giờ",INT(ROUND((($U232-TDBC)*24),0)/24)&amp;" ngày"&amp;IF(MOD(ROUND((($U232-TDBC)*24),0),24)&gt;0," "&amp;MOD(ROUND((($U232-TDBC)*24),0),24)&amp;" giờ","")))))</f>
      </c>
      <c r="AA232" s="220">
        <f>IF($V232="Đã xử lý",_xlfn.MAXIFS('Nhật ký tiến độ'!$B$6:$B$3005,'Nhật ký tiến độ'!$C$6:$C$3005,$A232,'Nhật ký tiến độ'!$E$6:$E$3005,"Đã xử lý"),"")</f>
      </c>
      <c r="AB232" s="223">
        <f>IF($AI232="","",IF($AI232&lt;1,MAX(1,ROUND($AI232*60,0))&amp;" phút",IF(ROUND($AI232,0)&lt;24,ROUND($AI232,0)&amp;" giờ",INT(ROUND($AI232,0)/24)&amp;" ngày"&amp;IF(MOD(ROUND($AI232,0),24)&gt;0," "&amp;MOD(ROUND($AI232,0),24)&amp;" giờ",""))))</f>
      </c>
      <c r="AC232" s="223">
        <f>IF(OR($A232="",N($AH232)=0),"",IF($AI232&lt;&gt;"",IF($AI232&lt;=$AH232,"Trong ước tính","Vượt "&amp;IF(($AI232-$AH232)&lt;1,MAX(1,ROUND(($AI232-$AH232)*60,0))&amp;" phút",IF(ROUND(($AI232-$AH232),0)&lt;24,ROUND(($AI232-$AH232),0)&amp;" giờ",INT(ROUND(($AI232-$AH232),0)/24)&amp;" ngày"&amp;IF(MOD(ROUND(($AI232-$AH232),0),24)&gt;0," "&amp;MOD(ROUND(($AI232-$AH232),0),24)&amp;" giờ","")))),IF(OR($V232="Đã xử lý",N($B232)=0),"",IF((TDBC-$B232)*24&gt;$AH232,"Đã vượt ước tính","Đã dùng "&amp;TEXT((TDBC-$B232)*24/$AH232,"0%")))))</f>
      </c>
      <c r="AD232" s="223">
        <f>IF(N($AO232)=0,"",CHOOSE($AO232,"Nhắc nhở","Cảnh báo","Báo động","Báo động đỏ"))</f>
      </c>
      <c r="AE232" s="223">
        <f>IF(OR(N($AA232)=0,N($U232)=0),"",IF($AA232&lt;=$U232,"Đúng hạn","Trễ hạn"))</f>
      </c>
      <c r="AF232" s="220">
        <f>IF($A232="","",_xlfn.MAXIFS('Nhật ký tiến độ'!$B$6:$B$3005,'Nhật ký tiến độ'!$C$6:$C$3005,$A232))</f>
      </c>
      <c r="AG232" s="223">
        <f>IF($A232="","",IF(COUNTIF('Kế hoạch'!$M$6:$M$305,$A232)=0,"",COUNTIF('Kế hoạch'!$M$6:$M$305,$A232)&amp;" việc"))</f>
      </c>
      <c r="AH232" s="224">
        <f>IF(OR($A232="",N($O232)&lt;=0),"",IF($P232="Giờ",$O232,$O232*24))</f>
      </c>
      <c r="AI232" s="224">
        <f>IF(OR(N($AA232)=0,N($B232)=0),"",IF($AA232&lt;$B232,"",($AA232-$B232)*24))</f>
      </c>
      <c r="AJ232" s="225">
        <f>IF($A232="","",IF(COUNTIF('Nhật ký tiến độ'!$C$6:$C$3005,$A232)=0,0,_xlfn.MAXIFS('Nhật ký tiến độ'!$N$6:$N$3005,'Nhật ký tiến độ'!$C$6:$C$3005,$A232,'Nhật ký tiến độ'!$B$6:$B$3005,_xlfn.MAXIFS('Nhật ký tiến độ'!$B$6:$B$3005,'Nhật ký tiến độ'!$C$6:$C$3005,$A232))))</f>
      </c>
      <c r="AK232" s="225">
        <f>IF(OR($A232="",$V232="Đã xử lý"),"",IF(N($AO232)&gt;0,5-$AO232,IF($J232="Khẩn cấp",5,IF($Y232="Chậm tiến độ",6,IF(OR($Y232="Sắp đến hạn",$J232="Cao"),7,"")))))</f>
      </c>
      <c r="AL232" s="225">
        <f>IF($AK232="","",$AK232*100000+IF(N($U232)=0,99999,INT($U232))+ROW()/100000)</f>
      </c>
      <c r="AM232" s="225">
        <f>IF(OR($A232="",TRIM($K232)="",COUNTIF($K$6:$K232,$K232)&gt;1),0,1)</f>
      </c>
      <c r="AN232" s="225">
        <f>IF($AM232=1,SUM($AM$6:$AM232),"")</f>
      </c>
      <c r="AO232" s="225">
        <f>IF(OR($A232="",$V232="Đã xử lý",N($U232)=0),0,IF(TDBC&lt;=$U232,0,MAX(1,MIN(4,IF((TDBC-$U232)*24&lt;24,1,IF((TDBC-$U232)*24&lt;72,2,IF((TDBC-$U232)*24&lt;168,3,4)))+IFERROR(INDEX({2,1,0,-1},MATCH($J232,{"Khẩn cấp","Cao","Trung bình","Thấp"},0)),0)))))</f>
      </c>
    </row>
    <row r="233">
      <c r="A233" s="216"/>
      <c r="B233" s="217"/>
      <c r="C233" s="218"/>
      <c r="D233" s="218"/>
      <c r="E233" s="218"/>
      <c r="F233" s="218"/>
      <c r="G233" s="216"/>
      <c r="H233" s="218"/>
      <c r="I233" s="218"/>
      <c r="J233" s="216"/>
      <c r="K233" s="218"/>
      <c r="L233" s="218"/>
      <c r="M233" s="218"/>
      <c r="N233" s="218"/>
      <c r="O233" s="219"/>
      <c r="P233" s="216"/>
      <c r="Q233" s="217"/>
      <c r="R233" s="216"/>
      <c r="S233" s="218"/>
      <c r="T233" s="218"/>
      <c r="U233" s="220">
        <f>IF($A233="","",IF(N($Q233)&gt;0,IF(MOD($Q233,1)=0,$Q233+1-1/1440,$Q233),IF(N($B233)=0,"",$B233+IF(N($AH233)&gt;0,$AH233,IFERROR(INDEX(DM_SLA_Gio,MATCH($J233,DM_SLA_Cap,0)),168))/24)))</f>
      </c>
      <c r="V233" s="221">
        <f>IF($A233="","",IF(N($AJ233)=0,"Mới tiếp nhận",INDEX('Nhật ký tiến độ'!$E:$E,$AJ233)))</f>
      </c>
      <c r="W233" s="222">
        <f>IF($A233="","",IF($V233="Đã xử lý",1,IF(N($AJ233)=0,0,N(INDEX('Nhật ký tiến độ'!$D:$D,$AJ233)))))</f>
      </c>
      <c r="X233" s="222">
        <f>IF(OR($A233="",$V233="Đã xử lý",N($U233)=0,N($B233)=0),"",IF(TDBC&lt;=$B233,0,IF(TDBC&gt;=$U233,1,(TDBC-$B233)/($U233-$B233))))</f>
      </c>
      <c r="Y233" s="223">
        <f>IF($A233="","",IF($V233="Đã xử lý","Hoàn thành",IF(N($U233)=0,"Chưa đặt hạn",IF(TDBC&gt;$U233,"Quá hạn",IF(ROUND((N($X233)-$W233)*100,0)&gt;=20,"Chậm tiến độ",IF($U233-TDBC&lt;=1,"Sắp đến hạn","Đúng tiến độ"))))))</f>
      </c>
      <c r="Z233" s="223">
        <f>IF(OR($A233="",$V233="Đã xử lý",N($U233)=0),"",IF(TDBC&gt;$U233,"Quá "&amp;IF(((TDBC-$U233)*24)&lt;1,MAX(1,ROUND(((TDBC-$U233)*24)*60,0))&amp;" phút",IF(ROUND(((TDBC-$U233)*24),0)&lt;24,ROUND(((TDBC-$U233)*24),0)&amp;" giờ",INT(ROUND(((TDBC-$U233)*24),0)/24)&amp;" ngày"&amp;IF(MOD(ROUND(((TDBC-$U233)*24),0),24)&gt;0," "&amp;MOD(ROUND(((TDBC-$U233)*24),0),24)&amp;" giờ",""))),"Còn "&amp;IF((($U233-TDBC)*24)&lt;1,MAX(1,ROUND((($U233-TDBC)*24)*60,0))&amp;" phút",IF(ROUND((($U233-TDBC)*24),0)&lt;24,ROUND((($U233-TDBC)*24),0)&amp;" giờ",INT(ROUND((($U233-TDBC)*24),0)/24)&amp;" ngày"&amp;IF(MOD(ROUND((($U233-TDBC)*24),0),24)&gt;0," "&amp;MOD(ROUND((($U233-TDBC)*24),0),24)&amp;" giờ","")))))</f>
      </c>
      <c r="AA233" s="220">
        <f>IF($V233="Đã xử lý",_xlfn.MAXIFS('Nhật ký tiến độ'!$B$6:$B$3005,'Nhật ký tiến độ'!$C$6:$C$3005,$A233,'Nhật ký tiến độ'!$E$6:$E$3005,"Đã xử lý"),"")</f>
      </c>
      <c r="AB233" s="223">
        <f>IF($AI233="","",IF($AI233&lt;1,MAX(1,ROUND($AI233*60,0))&amp;" phút",IF(ROUND($AI233,0)&lt;24,ROUND($AI233,0)&amp;" giờ",INT(ROUND($AI233,0)/24)&amp;" ngày"&amp;IF(MOD(ROUND($AI233,0),24)&gt;0," "&amp;MOD(ROUND($AI233,0),24)&amp;" giờ",""))))</f>
      </c>
      <c r="AC233" s="223">
        <f>IF(OR($A233="",N($AH233)=0),"",IF($AI233&lt;&gt;"",IF($AI233&lt;=$AH233,"Trong ước tính","Vượt "&amp;IF(($AI233-$AH233)&lt;1,MAX(1,ROUND(($AI233-$AH233)*60,0))&amp;" phút",IF(ROUND(($AI233-$AH233),0)&lt;24,ROUND(($AI233-$AH233),0)&amp;" giờ",INT(ROUND(($AI233-$AH233),0)/24)&amp;" ngày"&amp;IF(MOD(ROUND(($AI233-$AH233),0),24)&gt;0," "&amp;MOD(ROUND(($AI233-$AH233),0),24)&amp;" giờ","")))),IF(OR($V233="Đã xử lý",N($B233)=0),"",IF((TDBC-$B233)*24&gt;$AH233,"Đã vượt ước tính","Đã dùng "&amp;TEXT((TDBC-$B233)*24/$AH233,"0%")))))</f>
      </c>
      <c r="AD233" s="223">
        <f>IF(N($AO233)=0,"",CHOOSE($AO233,"Nhắc nhở","Cảnh báo","Báo động","Báo động đỏ"))</f>
      </c>
      <c r="AE233" s="223">
        <f>IF(OR(N($AA233)=0,N($U233)=0),"",IF($AA233&lt;=$U233,"Đúng hạn","Trễ hạn"))</f>
      </c>
      <c r="AF233" s="220">
        <f>IF($A233="","",_xlfn.MAXIFS('Nhật ký tiến độ'!$B$6:$B$3005,'Nhật ký tiến độ'!$C$6:$C$3005,$A233))</f>
      </c>
      <c r="AG233" s="223">
        <f>IF($A233="","",IF(COUNTIF('Kế hoạch'!$M$6:$M$305,$A233)=0,"",COUNTIF('Kế hoạch'!$M$6:$M$305,$A233)&amp;" việc"))</f>
      </c>
      <c r="AH233" s="224">
        <f>IF(OR($A233="",N($O233)&lt;=0),"",IF($P233="Giờ",$O233,$O233*24))</f>
      </c>
      <c r="AI233" s="224">
        <f>IF(OR(N($AA233)=0,N($B233)=0),"",IF($AA233&lt;$B233,"",($AA233-$B233)*24))</f>
      </c>
      <c r="AJ233" s="225">
        <f>IF($A233="","",IF(COUNTIF('Nhật ký tiến độ'!$C$6:$C$3005,$A233)=0,0,_xlfn.MAXIFS('Nhật ký tiến độ'!$N$6:$N$3005,'Nhật ký tiến độ'!$C$6:$C$3005,$A233,'Nhật ký tiến độ'!$B$6:$B$3005,_xlfn.MAXIFS('Nhật ký tiến độ'!$B$6:$B$3005,'Nhật ký tiến độ'!$C$6:$C$3005,$A233))))</f>
      </c>
      <c r="AK233" s="225">
        <f>IF(OR($A233="",$V233="Đã xử lý"),"",IF(N($AO233)&gt;0,5-$AO233,IF($J233="Khẩn cấp",5,IF($Y233="Chậm tiến độ",6,IF(OR($Y233="Sắp đến hạn",$J233="Cao"),7,"")))))</f>
      </c>
      <c r="AL233" s="225">
        <f>IF($AK233="","",$AK233*100000+IF(N($U233)=0,99999,INT($U233))+ROW()/100000)</f>
      </c>
      <c r="AM233" s="225">
        <f>IF(OR($A233="",TRIM($K233)="",COUNTIF($K$6:$K233,$K233)&gt;1),0,1)</f>
      </c>
      <c r="AN233" s="225">
        <f>IF($AM233=1,SUM($AM$6:$AM233),"")</f>
      </c>
      <c r="AO233" s="225">
        <f>IF(OR($A233="",$V233="Đã xử lý",N($U233)=0),0,IF(TDBC&lt;=$U233,0,MAX(1,MIN(4,IF((TDBC-$U233)*24&lt;24,1,IF((TDBC-$U233)*24&lt;72,2,IF((TDBC-$U233)*24&lt;168,3,4)))+IFERROR(INDEX({2,1,0,-1},MATCH($J233,{"Khẩn cấp","Cao","Trung bình","Thấp"},0)),0)))))</f>
      </c>
    </row>
    <row r="234">
      <c r="A234" s="216"/>
      <c r="B234" s="217"/>
      <c r="C234" s="218"/>
      <c r="D234" s="218"/>
      <c r="E234" s="218"/>
      <c r="F234" s="218"/>
      <c r="G234" s="216"/>
      <c r="H234" s="218"/>
      <c r="I234" s="218"/>
      <c r="J234" s="216"/>
      <c r="K234" s="218"/>
      <c r="L234" s="218"/>
      <c r="M234" s="218"/>
      <c r="N234" s="218"/>
      <c r="O234" s="219"/>
      <c r="P234" s="216"/>
      <c r="Q234" s="217"/>
      <c r="R234" s="216"/>
      <c r="S234" s="218"/>
      <c r="T234" s="218"/>
      <c r="U234" s="220">
        <f>IF($A234="","",IF(N($Q234)&gt;0,IF(MOD($Q234,1)=0,$Q234+1-1/1440,$Q234),IF(N($B234)=0,"",$B234+IF(N($AH234)&gt;0,$AH234,IFERROR(INDEX(DM_SLA_Gio,MATCH($J234,DM_SLA_Cap,0)),168))/24)))</f>
      </c>
      <c r="V234" s="221">
        <f>IF($A234="","",IF(N($AJ234)=0,"Mới tiếp nhận",INDEX('Nhật ký tiến độ'!$E:$E,$AJ234)))</f>
      </c>
      <c r="W234" s="222">
        <f>IF($A234="","",IF($V234="Đã xử lý",1,IF(N($AJ234)=0,0,N(INDEX('Nhật ký tiến độ'!$D:$D,$AJ234)))))</f>
      </c>
      <c r="X234" s="222">
        <f>IF(OR($A234="",$V234="Đã xử lý",N($U234)=0,N($B234)=0),"",IF(TDBC&lt;=$B234,0,IF(TDBC&gt;=$U234,1,(TDBC-$B234)/($U234-$B234))))</f>
      </c>
      <c r="Y234" s="223">
        <f>IF($A234="","",IF($V234="Đã xử lý","Hoàn thành",IF(N($U234)=0,"Chưa đặt hạn",IF(TDBC&gt;$U234,"Quá hạn",IF(ROUND((N($X234)-$W234)*100,0)&gt;=20,"Chậm tiến độ",IF($U234-TDBC&lt;=1,"Sắp đến hạn","Đúng tiến độ"))))))</f>
      </c>
      <c r="Z234" s="223">
        <f>IF(OR($A234="",$V234="Đã xử lý",N($U234)=0),"",IF(TDBC&gt;$U234,"Quá "&amp;IF(((TDBC-$U234)*24)&lt;1,MAX(1,ROUND(((TDBC-$U234)*24)*60,0))&amp;" phút",IF(ROUND(((TDBC-$U234)*24),0)&lt;24,ROUND(((TDBC-$U234)*24),0)&amp;" giờ",INT(ROUND(((TDBC-$U234)*24),0)/24)&amp;" ngày"&amp;IF(MOD(ROUND(((TDBC-$U234)*24),0),24)&gt;0," "&amp;MOD(ROUND(((TDBC-$U234)*24),0),24)&amp;" giờ",""))),"Còn "&amp;IF((($U234-TDBC)*24)&lt;1,MAX(1,ROUND((($U234-TDBC)*24)*60,0))&amp;" phút",IF(ROUND((($U234-TDBC)*24),0)&lt;24,ROUND((($U234-TDBC)*24),0)&amp;" giờ",INT(ROUND((($U234-TDBC)*24),0)/24)&amp;" ngày"&amp;IF(MOD(ROUND((($U234-TDBC)*24),0),24)&gt;0," "&amp;MOD(ROUND((($U234-TDBC)*24),0),24)&amp;" giờ","")))))</f>
      </c>
      <c r="AA234" s="220">
        <f>IF($V234="Đã xử lý",_xlfn.MAXIFS('Nhật ký tiến độ'!$B$6:$B$3005,'Nhật ký tiến độ'!$C$6:$C$3005,$A234,'Nhật ký tiến độ'!$E$6:$E$3005,"Đã xử lý"),"")</f>
      </c>
      <c r="AB234" s="223">
        <f>IF($AI234="","",IF($AI234&lt;1,MAX(1,ROUND($AI234*60,0))&amp;" phút",IF(ROUND($AI234,0)&lt;24,ROUND($AI234,0)&amp;" giờ",INT(ROUND($AI234,0)/24)&amp;" ngày"&amp;IF(MOD(ROUND($AI234,0),24)&gt;0," "&amp;MOD(ROUND($AI234,0),24)&amp;" giờ",""))))</f>
      </c>
      <c r="AC234" s="223">
        <f>IF(OR($A234="",N($AH234)=0),"",IF($AI234&lt;&gt;"",IF($AI234&lt;=$AH234,"Trong ước tính","Vượt "&amp;IF(($AI234-$AH234)&lt;1,MAX(1,ROUND(($AI234-$AH234)*60,0))&amp;" phút",IF(ROUND(($AI234-$AH234),0)&lt;24,ROUND(($AI234-$AH234),0)&amp;" giờ",INT(ROUND(($AI234-$AH234),0)/24)&amp;" ngày"&amp;IF(MOD(ROUND(($AI234-$AH234),0),24)&gt;0," "&amp;MOD(ROUND(($AI234-$AH234),0),24)&amp;" giờ","")))),IF(OR($V234="Đã xử lý",N($B234)=0),"",IF((TDBC-$B234)*24&gt;$AH234,"Đã vượt ước tính","Đã dùng "&amp;TEXT((TDBC-$B234)*24/$AH234,"0%")))))</f>
      </c>
      <c r="AD234" s="223">
        <f>IF(N($AO234)=0,"",CHOOSE($AO234,"Nhắc nhở","Cảnh báo","Báo động","Báo động đỏ"))</f>
      </c>
      <c r="AE234" s="223">
        <f>IF(OR(N($AA234)=0,N($U234)=0),"",IF($AA234&lt;=$U234,"Đúng hạn","Trễ hạn"))</f>
      </c>
      <c r="AF234" s="220">
        <f>IF($A234="","",_xlfn.MAXIFS('Nhật ký tiến độ'!$B$6:$B$3005,'Nhật ký tiến độ'!$C$6:$C$3005,$A234))</f>
      </c>
      <c r="AG234" s="223">
        <f>IF($A234="","",IF(COUNTIF('Kế hoạch'!$M$6:$M$305,$A234)=0,"",COUNTIF('Kế hoạch'!$M$6:$M$305,$A234)&amp;" việc"))</f>
      </c>
      <c r="AH234" s="224">
        <f>IF(OR($A234="",N($O234)&lt;=0),"",IF($P234="Giờ",$O234,$O234*24))</f>
      </c>
      <c r="AI234" s="224">
        <f>IF(OR(N($AA234)=0,N($B234)=0),"",IF($AA234&lt;$B234,"",($AA234-$B234)*24))</f>
      </c>
      <c r="AJ234" s="225">
        <f>IF($A234="","",IF(COUNTIF('Nhật ký tiến độ'!$C$6:$C$3005,$A234)=0,0,_xlfn.MAXIFS('Nhật ký tiến độ'!$N$6:$N$3005,'Nhật ký tiến độ'!$C$6:$C$3005,$A234,'Nhật ký tiến độ'!$B$6:$B$3005,_xlfn.MAXIFS('Nhật ký tiến độ'!$B$6:$B$3005,'Nhật ký tiến độ'!$C$6:$C$3005,$A234))))</f>
      </c>
      <c r="AK234" s="225">
        <f>IF(OR($A234="",$V234="Đã xử lý"),"",IF(N($AO234)&gt;0,5-$AO234,IF($J234="Khẩn cấp",5,IF($Y234="Chậm tiến độ",6,IF(OR($Y234="Sắp đến hạn",$J234="Cao"),7,"")))))</f>
      </c>
      <c r="AL234" s="225">
        <f>IF($AK234="","",$AK234*100000+IF(N($U234)=0,99999,INT($U234))+ROW()/100000)</f>
      </c>
      <c r="AM234" s="225">
        <f>IF(OR($A234="",TRIM($K234)="",COUNTIF($K$6:$K234,$K234)&gt;1),0,1)</f>
      </c>
      <c r="AN234" s="225">
        <f>IF($AM234=1,SUM($AM$6:$AM234),"")</f>
      </c>
      <c r="AO234" s="225">
        <f>IF(OR($A234="",$V234="Đã xử lý",N($U234)=0),0,IF(TDBC&lt;=$U234,0,MAX(1,MIN(4,IF((TDBC-$U234)*24&lt;24,1,IF((TDBC-$U234)*24&lt;72,2,IF((TDBC-$U234)*24&lt;168,3,4)))+IFERROR(INDEX({2,1,0,-1},MATCH($J234,{"Khẩn cấp","Cao","Trung bình","Thấp"},0)),0)))))</f>
      </c>
    </row>
    <row r="235">
      <c r="A235" s="216"/>
      <c r="B235" s="217"/>
      <c r="C235" s="218"/>
      <c r="D235" s="218"/>
      <c r="E235" s="218"/>
      <c r="F235" s="218"/>
      <c r="G235" s="216"/>
      <c r="H235" s="218"/>
      <c r="I235" s="218"/>
      <c r="J235" s="216"/>
      <c r="K235" s="218"/>
      <c r="L235" s="218"/>
      <c r="M235" s="218"/>
      <c r="N235" s="218"/>
      <c r="O235" s="219"/>
      <c r="P235" s="216"/>
      <c r="Q235" s="217"/>
      <c r="R235" s="216"/>
      <c r="S235" s="218"/>
      <c r="T235" s="218"/>
      <c r="U235" s="220">
        <f>IF($A235="","",IF(N($Q235)&gt;0,IF(MOD($Q235,1)=0,$Q235+1-1/1440,$Q235),IF(N($B235)=0,"",$B235+IF(N($AH235)&gt;0,$AH235,IFERROR(INDEX(DM_SLA_Gio,MATCH($J235,DM_SLA_Cap,0)),168))/24)))</f>
      </c>
      <c r="V235" s="221">
        <f>IF($A235="","",IF(N($AJ235)=0,"Mới tiếp nhận",INDEX('Nhật ký tiến độ'!$E:$E,$AJ235)))</f>
      </c>
      <c r="W235" s="222">
        <f>IF($A235="","",IF($V235="Đã xử lý",1,IF(N($AJ235)=0,0,N(INDEX('Nhật ký tiến độ'!$D:$D,$AJ235)))))</f>
      </c>
      <c r="X235" s="222">
        <f>IF(OR($A235="",$V235="Đã xử lý",N($U235)=0,N($B235)=0),"",IF(TDBC&lt;=$B235,0,IF(TDBC&gt;=$U235,1,(TDBC-$B235)/($U235-$B235))))</f>
      </c>
      <c r="Y235" s="223">
        <f>IF($A235="","",IF($V235="Đã xử lý","Hoàn thành",IF(N($U235)=0,"Chưa đặt hạn",IF(TDBC&gt;$U235,"Quá hạn",IF(ROUND((N($X235)-$W235)*100,0)&gt;=20,"Chậm tiến độ",IF($U235-TDBC&lt;=1,"Sắp đến hạn","Đúng tiến độ"))))))</f>
      </c>
      <c r="Z235" s="223">
        <f>IF(OR($A235="",$V235="Đã xử lý",N($U235)=0),"",IF(TDBC&gt;$U235,"Quá "&amp;IF(((TDBC-$U235)*24)&lt;1,MAX(1,ROUND(((TDBC-$U235)*24)*60,0))&amp;" phút",IF(ROUND(((TDBC-$U235)*24),0)&lt;24,ROUND(((TDBC-$U235)*24),0)&amp;" giờ",INT(ROUND(((TDBC-$U235)*24),0)/24)&amp;" ngày"&amp;IF(MOD(ROUND(((TDBC-$U235)*24),0),24)&gt;0," "&amp;MOD(ROUND(((TDBC-$U235)*24),0),24)&amp;" giờ",""))),"Còn "&amp;IF((($U235-TDBC)*24)&lt;1,MAX(1,ROUND((($U235-TDBC)*24)*60,0))&amp;" phút",IF(ROUND((($U235-TDBC)*24),0)&lt;24,ROUND((($U235-TDBC)*24),0)&amp;" giờ",INT(ROUND((($U235-TDBC)*24),0)/24)&amp;" ngày"&amp;IF(MOD(ROUND((($U235-TDBC)*24),0),24)&gt;0," "&amp;MOD(ROUND((($U235-TDBC)*24),0),24)&amp;" giờ","")))))</f>
      </c>
      <c r="AA235" s="220">
        <f>IF($V235="Đã xử lý",_xlfn.MAXIFS('Nhật ký tiến độ'!$B$6:$B$3005,'Nhật ký tiến độ'!$C$6:$C$3005,$A235,'Nhật ký tiến độ'!$E$6:$E$3005,"Đã xử lý"),"")</f>
      </c>
      <c r="AB235" s="223">
        <f>IF($AI235="","",IF($AI235&lt;1,MAX(1,ROUND($AI235*60,0))&amp;" phút",IF(ROUND($AI235,0)&lt;24,ROUND($AI235,0)&amp;" giờ",INT(ROUND($AI235,0)/24)&amp;" ngày"&amp;IF(MOD(ROUND($AI235,0),24)&gt;0," "&amp;MOD(ROUND($AI235,0),24)&amp;" giờ",""))))</f>
      </c>
      <c r="AC235" s="223">
        <f>IF(OR($A235="",N($AH235)=0),"",IF($AI235&lt;&gt;"",IF($AI235&lt;=$AH235,"Trong ước tính","Vượt "&amp;IF(($AI235-$AH235)&lt;1,MAX(1,ROUND(($AI235-$AH235)*60,0))&amp;" phút",IF(ROUND(($AI235-$AH235),0)&lt;24,ROUND(($AI235-$AH235),0)&amp;" giờ",INT(ROUND(($AI235-$AH235),0)/24)&amp;" ngày"&amp;IF(MOD(ROUND(($AI235-$AH235),0),24)&gt;0," "&amp;MOD(ROUND(($AI235-$AH235),0),24)&amp;" giờ","")))),IF(OR($V235="Đã xử lý",N($B235)=0),"",IF((TDBC-$B235)*24&gt;$AH235,"Đã vượt ước tính","Đã dùng "&amp;TEXT((TDBC-$B235)*24/$AH235,"0%")))))</f>
      </c>
      <c r="AD235" s="223">
        <f>IF(N($AO235)=0,"",CHOOSE($AO235,"Nhắc nhở","Cảnh báo","Báo động","Báo động đỏ"))</f>
      </c>
      <c r="AE235" s="223">
        <f>IF(OR(N($AA235)=0,N($U235)=0),"",IF($AA235&lt;=$U235,"Đúng hạn","Trễ hạn"))</f>
      </c>
      <c r="AF235" s="220">
        <f>IF($A235="","",_xlfn.MAXIFS('Nhật ký tiến độ'!$B$6:$B$3005,'Nhật ký tiến độ'!$C$6:$C$3005,$A235))</f>
      </c>
      <c r="AG235" s="223">
        <f>IF($A235="","",IF(COUNTIF('Kế hoạch'!$M$6:$M$305,$A235)=0,"",COUNTIF('Kế hoạch'!$M$6:$M$305,$A235)&amp;" việc"))</f>
      </c>
      <c r="AH235" s="224">
        <f>IF(OR($A235="",N($O235)&lt;=0),"",IF($P235="Giờ",$O235,$O235*24))</f>
      </c>
      <c r="AI235" s="224">
        <f>IF(OR(N($AA235)=0,N($B235)=0),"",IF($AA235&lt;$B235,"",($AA235-$B235)*24))</f>
      </c>
      <c r="AJ235" s="225">
        <f>IF($A235="","",IF(COUNTIF('Nhật ký tiến độ'!$C$6:$C$3005,$A235)=0,0,_xlfn.MAXIFS('Nhật ký tiến độ'!$N$6:$N$3005,'Nhật ký tiến độ'!$C$6:$C$3005,$A235,'Nhật ký tiến độ'!$B$6:$B$3005,_xlfn.MAXIFS('Nhật ký tiến độ'!$B$6:$B$3005,'Nhật ký tiến độ'!$C$6:$C$3005,$A235))))</f>
      </c>
      <c r="AK235" s="225">
        <f>IF(OR($A235="",$V235="Đã xử lý"),"",IF(N($AO235)&gt;0,5-$AO235,IF($J235="Khẩn cấp",5,IF($Y235="Chậm tiến độ",6,IF(OR($Y235="Sắp đến hạn",$J235="Cao"),7,"")))))</f>
      </c>
      <c r="AL235" s="225">
        <f>IF($AK235="","",$AK235*100000+IF(N($U235)=0,99999,INT($U235))+ROW()/100000)</f>
      </c>
      <c r="AM235" s="225">
        <f>IF(OR($A235="",TRIM($K235)="",COUNTIF($K$6:$K235,$K235)&gt;1),0,1)</f>
      </c>
      <c r="AN235" s="225">
        <f>IF($AM235=1,SUM($AM$6:$AM235),"")</f>
      </c>
      <c r="AO235" s="225">
        <f>IF(OR($A235="",$V235="Đã xử lý",N($U235)=0),0,IF(TDBC&lt;=$U235,0,MAX(1,MIN(4,IF((TDBC-$U235)*24&lt;24,1,IF((TDBC-$U235)*24&lt;72,2,IF((TDBC-$U235)*24&lt;168,3,4)))+IFERROR(INDEX({2,1,0,-1},MATCH($J235,{"Khẩn cấp","Cao","Trung bình","Thấp"},0)),0)))))</f>
      </c>
    </row>
    <row r="236">
      <c r="A236" s="216"/>
      <c r="B236" s="217"/>
      <c r="C236" s="218"/>
      <c r="D236" s="218"/>
      <c r="E236" s="218"/>
      <c r="F236" s="218"/>
      <c r="G236" s="216"/>
      <c r="H236" s="218"/>
      <c r="I236" s="218"/>
      <c r="J236" s="216"/>
      <c r="K236" s="218"/>
      <c r="L236" s="218"/>
      <c r="M236" s="218"/>
      <c r="N236" s="218"/>
      <c r="O236" s="219"/>
      <c r="P236" s="216"/>
      <c r="Q236" s="217"/>
      <c r="R236" s="216"/>
      <c r="S236" s="218"/>
      <c r="T236" s="218"/>
      <c r="U236" s="220">
        <f>IF($A236="","",IF(N($Q236)&gt;0,IF(MOD($Q236,1)=0,$Q236+1-1/1440,$Q236),IF(N($B236)=0,"",$B236+IF(N($AH236)&gt;0,$AH236,IFERROR(INDEX(DM_SLA_Gio,MATCH($J236,DM_SLA_Cap,0)),168))/24)))</f>
      </c>
      <c r="V236" s="221">
        <f>IF($A236="","",IF(N($AJ236)=0,"Mới tiếp nhận",INDEX('Nhật ký tiến độ'!$E:$E,$AJ236)))</f>
      </c>
      <c r="W236" s="222">
        <f>IF($A236="","",IF($V236="Đã xử lý",1,IF(N($AJ236)=0,0,N(INDEX('Nhật ký tiến độ'!$D:$D,$AJ236)))))</f>
      </c>
      <c r="X236" s="222">
        <f>IF(OR($A236="",$V236="Đã xử lý",N($U236)=0,N($B236)=0),"",IF(TDBC&lt;=$B236,0,IF(TDBC&gt;=$U236,1,(TDBC-$B236)/($U236-$B236))))</f>
      </c>
      <c r="Y236" s="223">
        <f>IF($A236="","",IF($V236="Đã xử lý","Hoàn thành",IF(N($U236)=0,"Chưa đặt hạn",IF(TDBC&gt;$U236,"Quá hạn",IF(ROUND((N($X236)-$W236)*100,0)&gt;=20,"Chậm tiến độ",IF($U236-TDBC&lt;=1,"Sắp đến hạn","Đúng tiến độ"))))))</f>
      </c>
      <c r="Z236" s="223">
        <f>IF(OR($A236="",$V236="Đã xử lý",N($U236)=0),"",IF(TDBC&gt;$U236,"Quá "&amp;IF(((TDBC-$U236)*24)&lt;1,MAX(1,ROUND(((TDBC-$U236)*24)*60,0))&amp;" phút",IF(ROUND(((TDBC-$U236)*24),0)&lt;24,ROUND(((TDBC-$U236)*24),0)&amp;" giờ",INT(ROUND(((TDBC-$U236)*24),0)/24)&amp;" ngày"&amp;IF(MOD(ROUND(((TDBC-$U236)*24),0),24)&gt;0," "&amp;MOD(ROUND(((TDBC-$U236)*24),0),24)&amp;" giờ",""))),"Còn "&amp;IF((($U236-TDBC)*24)&lt;1,MAX(1,ROUND((($U236-TDBC)*24)*60,0))&amp;" phút",IF(ROUND((($U236-TDBC)*24),0)&lt;24,ROUND((($U236-TDBC)*24),0)&amp;" giờ",INT(ROUND((($U236-TDBC)*24),0)/24)&amp;" ngày"&amp;IF(MOD(ROUND((($U236-TDBC)*24),0),24)&gt;0," "&amp;MOD(ROUND((($U236-TDBC)*24),0),24)&amp;" giờ","")))))</f>
      </c>
      <c r="AA236" s="220">
        <f>IF($V236="Đã xử lý",_xlfn.MAXIFS('Nhật ký tiến độ'!$B$6:$B$3005,'Nhật ký tiến độ'!$C$6:$C$3005,$A236,'Nhật ký tiến độ'!$E$6:$E$3005,"Đã xử lý"),"")</f>
      </c>
      <c r="AB236" s="223">
        <f>IF($AI236="","",IF($AI236&lt;1,MAX(1,ROUND($AI236*60,0))&amp;" phút",IF(ROUND($AI236,0)&lt;24,ROUND($AI236,0)&amp;" giờ",INT(ROUND($AI236,0)/24)&amp;" ngày"&amp;IF(MOD(ROUND($AI236,0),24)&gt;0," "&amp;MOD(ROUND($AI236,0),24)&amp;" giờ",""))))</f>
      </c>
      <c r="AC236" s="223">
        <f>IF(OR($A236="",N($AH236)=0),"",IF($AI236&lt;&gt;"",IF($AI236&lt;=$AH236,"Trong ước tính","Vượt "&amp;IF(($AI236-$AH236)&lt;1,MAX(1,ROUND(($AI236-$AH236)*60,0))&amp;" phút",IF(ROUND(($AI236-$AH236),0)&lt;24,ROUND(($AI236-$AH236),0)&amp;" giờ",INT(ROUND(($AI236-$AH236),0)/24)&amp;" ngày"&amp;IF(MOD(ROUND(($AI236-$AH236),0),24)&gt;0," "&amp;MOD(ROUND(($AI236-$AH236),0),24)&amp;" giờ","")))),IF(OR($V236="Đã xử lý",N($B236)=0),"",IF((TDBC-$B236)*24&gt;$AH236,"Đã vượt ước tính","Đã dùng "&amp;TEXT((TDBC-$B236)*24/$AH236,"0%")))))</f>
      </c>
      <c r="AD236" s="223">
        <f>IF(N($AO236)=0,"",CHOOSE($AO236,"Nhắc nhở","Cảnh báo","Báo động","Báo động đỏ"))</f>
      </c>
      <c r="AE236" s="223">
        <f>IF(OR(N($AA236)=0,N($U236)=0),"",IF($AA236&lt;=$U236,"Đúng hạn","Trễ hạn"))</f>
      </c>
      <c r="AF236" s="220">
        <f>IF($A236="","",_xlfn.MAXIFS('Nhật ký tiến độ'!$B$6:$B$3005,'Nhật ký tiến độ'!$C$6:$C$3005,$A236))</f>
      </c>
      <c r="AG236" s="223">
        <f>IF($A236="","",IF(COUNTIF('Kế hoạch'!$M$6:$M$305,$A236)=0,"",COUNTIF('Kế hoạch'!$M$6:$M$305,$A236)&amp;" việc"))</f>
      </c>
      <c r="AH236" s="224">
        <f>IF(OR($A236="",N($O236)&lt;=0),"",IF($P236="Giờ",$O236,$O236*24))</f>
      </c>
      <c r="AI236" s="224">
        <f>IF(OR(N($AA236)=0,N($B236)=0),"",IF($AA236&lt;$B236,"",($AA236-$B236)*24))</f>
      </c>
      <c r="AJ236" s="225">
        <f>IF($A236="","",IF(COUNTIF('Nhật ký tiến độ'!$C$6:$C$3005,$A236)=0,0,_xlfn.MAXIFS('Nhật ký tiến độ'!$N$6:$N$3005,'Nhật ký tiến độ'!$C$6:$C$3005,$A236,'Nhật ký tiến độ'!$B$6:$B$3005,_xlfn.MAXIFS('Nhật ký tiến độ'!$B$6:$B$3005,'Nhật ký tiến độ'!$C$6:$C$3005,$A236))))</f>
      </c>
      <c r="AK236" s="225">
        <f>IF(OR($A236="",$V236="Đã xử lý"),"",IF(N($AO236)&gt;0,5-$AO236,IF($J236="Khẩn cấp",5,IF($Y236="Chậm tiến độ",6,IF(OR($Y236="Sắp đến hạn",$J236="Cao"),7,"")))))</f>
      </c>
      <c r="AL236" s="225">
        <f>IF($AK236="","",$AK236*100000+IF(N($U236)=0,99999,INT($U236))+ROW()/100000)</f>
      </c>
      <c r="AM236" s="225">
        <f>IF(OR($A236="",TRIM($K236)="",COUNTIF($K$6:$K236,$K236)&gt;1),0,1)</f>
      </c>
      <c r="AN236" s="225">
        <f>IF($AM236=1,SUM($AM$6:$AM236),"")</f>
      </c>
      <c r="AO236" s="225">
        <f>IF(OR($A236="",$V236="Đã xử lý",N($U236)=0),0,IF(TDBC&lt;=$U236,0,MAX(1,MIN(4,IF((TDBC-$U236)*24&lt;24,1,IF((TDBC-$U236)*24&lt;72,2,IF((TDBC-$U236)*24&lt;168,3,4)))+IFERROR(INDEX({2,1,0,-1},MATCH($J236,{"Khẩn cấp","Cao","Trung bình","Thấp"},0)),0)))))</f>
      </c>
    </row>
    <row r="237">
      <c r="A237" s="216"/>
      <c r="B237" s="217"/>
      <c r="C237" s="218"/>
      <c r="D237" s="218"/>
      <c r="E237" s="218"/>
      <c r="F237" s="218"/>
      <c r="G237" s="216"/>
      <c r="H237" s="218"/>
      <c r="I237" s="218"/>
      <c r="J237" s="216"/>
      <c r="K237" s="218"/>
      <c r="L237" s="218"/>
      <c r="M237" s="218"/>
      <c r="N237" s="218"/>
      <c r="O237" s="219"/>
      <c r="P237" s="216"/>
      <c r="Q237" s="217"/>
      <c r="R237" s="216"/>
      <c r="S237" s="218"/>
      <c r="T237" s="218"/>
      <c r="U237" s="220">
        <f>IF($A237="","",IF(N($Q237)&gt;0,IF(MOD($Q237,1)=0,$Q237+1-1/1440,$Q237),IF(N($B237)=0,"",$B237+IF(N($AH237)&gt;0,$AH237,IFERROR(INDEX(DM_SLA_Gio,MATCH($J237,DM_SLA_Cap,0)),168))/24)))</f>
      </c>
      <c r="V237" s="221">
        <f>IF($A237="","",IF(N($AJ237)=0,"Mới tiếp nhận",INDEX('Nhật ký tiến độ'!$E:$E,$AJ237)))</f>
      </c>
      <c r="W237" s="222">
        <f>IF($A237="","",IF($V237="Đã xử lý",1,IF(N($AJ237)=0,0,N(INDEX('Nhật ký tiến độ'!$D:$D,$AJ237)))))</f>
      </c>
      <c r="X237" s="222">
        <f>IF(OR($A237="",$V237="Đã xử lý",N($U237)=0,N($B237)=0),"",IF(TDBC&lt;=$B237,0,IF(TDBC&gt;=$U237,1,(TDBC-$B237)/($U237-$B237))))</f>
      </c>
      <c r="Y237" s="223">
        <f>IF($A237="","",IF($V237="Đã xử lý","Hoàn thành",IF(N($U237)=0,"Chưa đặt hạn",IF(TDBC&gt;$U237,"Quá hạn",IF(ROUND((N($X237)-$W237)*100,0)&gt;=20,"Chậm tiến độ",IF($U237-TDBC&lt;=1,"Sắp đến hạn","Đúng tiến độ"))))))</f>
      </c>
      <c r="Z237" s="223">
        <f>IF(OR($A237="",$V237="Đã xử lý",N($U237)=0),"",IF(TDBC&gt;$U237,"Quá "&amp;IF(((TDBC-$U237)*24)&lt;1,MAX(1,ROUND(((TDBC-$U237)*24)*60,0))&amp;" phút",IF(ROUND(((TDBC-$U237)*24),0)&lt;24,ROUND(((TDBC-$U237)*24),0)&amp;" giờ",INT(ROUND(((TDBC-$U237)*24),0)/24)&amp;" ngày"&amp;IF(MOD(ROUND(((TDBC-$U237)*24),0),24)&gt;0," "&amp;MOD(ROUND(((TDBC-$U237)*24),0),24)&amp;" giờ",""))),"Còn "&amp;IF((($U237-TDBC)*24)&lt;1,MAX(1,ROUND((($U237-TDBC)*24)*60,0))&amp;" phút",IF(ROUND((($U237-TDBC)*24),0)&lt;24,ROUND((($U237-TDBC)*24),0)&amp;" giờ",INT(ROUND((($U237-TDBC)*24),0)/24)&amp;" ngày"&amp;IF(MOD(ROUND((($U237-TDBC)*24),0),24)&gt;0," "&amp;MOD(ROUND((($U237-TDBC)*24),0),24)&amp;" giờ","")))))</f>
      </c>
      <c r="AA237" s="220">
        <f>IF($V237="Đã xử lý",_xlfn.MAXIFS('Nhật ký tiến độ'!$B$6:$B$3005,'Nhật ký tiến độ'!$C$6:$C$3005,$A237,'Nhật ký tiến độ'!$E$6:$E$3005,"Đã xử lý"),"")</f>
      </c>
      <c r="AB237" s="223">
        <f>IF($AI237="","",IF($AI237&lt;1,MAX(1,ROUND($AI237*60,0))&amp;" phút",IF(ROUND($AI237,0)&lt;24,ROUND($AI237,0)&amp;" giờ",INT(ROUND($AI237,0)/24)&amp;" ngày"&amp;IF(MOD(ROUND($AI237,0),24)&gt;0," "&amp;MOD(ROUND($AI237,0),24)&amp;" giờ",""))))</f>
      </c>
      <c r="AC237" s="223">
        <f>IF(OR($A237="",N($AH237)=0),"",IF($AI237&lt;&gt;"",IF($AI237&lt;=$AH237,"Trong ước tính","Vượt "&amp;IF(($AI237-$AH237)&lt;1,MAX(1,ROUND(($AI237-$AH237)*60,0))&amp;" phút",IF(ROUND(($AI237-$AH237),0)&lt;24,ROUND(($AI237-$AH237),0)&amp;" giờ",INT(ROUND(($AI237-$AH237),0)/24)&amp;" ngày"&amp;IF(MOD(ROUND(($AI237-$AH237),0),24)&gt;0," "&amp;MOD(ROUND(($AI237-$AH237),0),24)&amp;" giờ","")))),IF(OR($V237="Đã xử lý",N($B237)=0),"",IF((TDBC-$B237)*24&gt;$AH237,"Đã vượt ước tính","Đã dùng "&amp;TEXT((TDBC-$B237)*24/$AH237,"0%")))))</f>
      </c>
      <c r="AD237" s="223">
        <f>IF(N($AO237)=0,"",CHOOSE($AO237,"Nhắc nhở","Cảnh báo","Báo động","Báo động đỏ"))</f>
      </c>
      <c r="AE237" s="223">
        <f>IF(OR(N($AA237)=0,N($U237)=0),"",IF($AA237&lt;=$U237,"Đúng hạn","Trễ hạn"))</f>
      </c>
      <c r="AF237" s="220">
        <f>IF($A237="","",_xlfn.MAXIFS('Nhật ký tiến độ'!$B$6:$B$3005,'Nhật ký tiến độ'!$C$6:$C$3005,$A237))</f>
      </c>
      <c r="AG237" s="223">
        <f>IF($A237="","",IF(COUNTIF('Kế hoạch'!$M$6:$M$305,$A237)=0,"",COUNTIF('Kế hoạch'!$M$6:$M$305,$A237)&amp;" việc"))</f>
      </c>
      <c r="AH237" s="224">
        <f>IF(OR($A237="",N($O237)&lt;=0),"",IF($P237="Giờ",$O237,$O237*24))</f>
      </c>
      <c r="AI237" s="224">
        <f>IF(OR(N($AA237)=0,N($B237)=0),"",IF($AA237&lt;$B237,"",($AA237-$B237)*24))</f>
      </c>
      <c r="AJ237" s="225">
        <f>IF($A237="","",IF(COUNTIF('Nhật ký tiến độ'!$C$6:$C$3005,$A237)=0,0,_xlfn.MAXIFS('Nhật ký tiến độ'!$N$6:$N$3005,'Nhật ký tiến độ'!$C$6:$C$3005,$A237,'Nhật ký tiến độ'!$B$6:$B$3005,_xlfn.MAXIFS('Nhật ký tiến độ'!$B$6:$B$3005,'Nhật ký tiến độ'!$C$6:$C$3005,$A237))))</f>
      </c>
      <c r="AK237" s="225">
        <f>IF(OR($A237="",$V237="Đã xử lý"),"",IF(N($AO237)&gt;0,5-$AO237,IF($J237="Khẩn cấp",5,IF($Y237="Chậm tiến độ",6,IF(OR($Y237="Sắp đến hạn",$J237="Cao"),7,"")))))</f>
      </c>
      <c r="AL237" s="225">
        <f>IF($AK237="","",$AK237*100000+IF(N($U237)=0,99999,INT($U237))+ROW()/100000)</f>
      </c>
      <c r="AM237" s="225">
        <f>IF(OR($A237="",TRIM($K237)="",COUNTIF($K$6:$K237,$K237)&gt;1),0,1)</f>
      </c>
      <c r="AN237" s="225">
        <f>IF($AM237=1,SUM($AM$6:$AM237),"")</f>
      </c>
      <c r="AO237" s="225">
        <f>IF(OR($A237="",$V237="Đã xử lý",N($U237)=0),0,IF(TDBC&lt;=$U237,0,MAX(1,MIN(4,IF((TDBC-$U237)*24&lt;24,1,IF((TDBC-$U237)*24&lt;72,2,IF((TDBC-$U237)*24&lt;168,3,4)))+IFERROR(INDEX({2,1,0,-1},MATCH($J237,{"Khẩn cấp","Cao","Trung bình","Thấp"},0)),0)))))</f>
      </c>
    </row>
    <row r="238">
      <c r="A238" s="216"/>
      <c r="B238" s="217"/>
      <c r="C238" s="218"/>
      <c r="D238" s="218"/>
      <c r="E238" s="218"/>
      <c r="F238" s="218"/>
      <c r="G238" s="216"/>
      <c r="H238" s="218"/>
      <c r="I238" s="218"/>
      <c r="J238" s="216"/>
      <c r="K238" s="218"/>
      <c r="L238" s="218"/>
      <c r="M238" s="218"/>
      <c r="N238" s="218"/>
      <c r="O238" s="219"/>
      <c r="P238" s="216"/>
      <c r="Q238" s="217"/>
      <c r="R238" s="216"/>
      <c r="S238" s="218"/>
      <c r="T238" s="218"/>
      <c r="U238" s="220">
        <f>IF($A238="","",IF(N($Q238)&gt;0,IF(MOD($Q238,1)=0,$Q238+1-1/1440,$Q238),IF(N($B238)=0,"",$B238+IF(N($AH238)&gt;0,$AH238,IFERROR(INDEX(DM_SLA_Gio,MATCH($J238,DM_SLA_Cap,0)),168))/24)))</f>
      </c>
      <c r="V238" s="221">
        <f>IF($A238="","",IF(N($AJ238)=0,"Mới tiếp nhận",INDEX('Nhật ký tiến độ'!$E:$E,$AJ238)))</f>
      </c>
      <c r="W238" s="222">
        <f>IF($A238="","",IF($V238="Đã xử lý",1,IF(N($AJ238)=0,0,N(INDEX('Nhật ký tiến độ'!$D:$D,$AJ238)))))</f>
      </c>
      <c r="X238" s="222">
        <f>IF(OR($A238="",$V238="Đã xử lý",N($U238)=0,N($B238)=0),"",IF(TDBC&lt;=$B238,0,IF(TDBC&gt;=$U238,1,(TDBC-$B238)/($U238-$B238))))</f>
      </c>
      <c r="Y238" s="223">
        <f>IF($A238="","",IF($V238="Đã xử lý","Hoàn thành",IF(N($U238)=0,"Chưa đặt hạn",IF(TDBC&gt;$U238,"Quá hạn",IF(ROUND((N($X238)-$W238)*100,0)&gt;=20,"Chậm tiến độ",IF($U238-TDBC&lt;=1,"Sắp đến hạn","Đúng tiến độ"))))))</f>
      </c>
      <c r="Z238" s="223">
        <f>IF(OR($A238="",$V238="Đã xử lý",N($U238)=0),"",IF(TDBC&gt;$U238,"Quá "&amp;IF(((TDBC-$U238)*24)&lt;1,MAX(1,ROUND(((TDBC-$U238)*24)*60,0))&amp;" phút",IF(ROUND(((TDBC-$U238)*24),0)&lt;24,ROUND(((TDBC-$U238)*24),0)&amp;" giờ",INT(ROUND(((TDBC-$U238)*24),0)/24)&amp;" ngày"&amp;IF(MOD(ROUND(((TDBC-$U238)*24),0),24)&gt;0," "&amp;MOD(ROUND(((TDBC-$U238)*24),0),24)&amp;" giờ",""))),"Còn "&amp;IF((($U238-TDBC)*24)&lt;1,MAX(1,ROUND((($U238-TDBC)*24)*60,0))&amp;" phút",IF(ROUND((($U238-TDBC)*24),0)&lt;24,ROUND((($U238-TDBC)*24),0)&amp;" giờ",INT(ROUND((($U238-TDBC)*24),0)/24)&amp;" ngày"&amp;IF(MOD(ROUND((($U238-TDBC)*24),0),24)&gt;0," "&amp;MOD(ROUND((($U238-TDBC)*24),0),24)&amp;" giờ","")))))</f>
      </c>
      <c r="AA238" s="220">
        <f>IF($V238="Đã xử lý",_xlfn.MAXIFS('Nhật ký tiến độ'!$B$6:$B$3005,'Nhật ký tiến độ'!$C$6:$C$3005,$A238,'Nhật ký tiến độ'!$E$6:$E$3005,"Đã xử lý"),"")</f>
      </c>
      <c r="AB238" s="223">
        <f>IF($AI238="","",IF($AI238&lt;1,MAX(1,ROUND($AI238*60,0))&amp;" phút",IF(ROUND($AI238,0)&lt;24,ROUND($AI238,0)&amp;" giờ",INT(ROUND($AI238,0)/24)&amp;" ngày"&amp;IF(MOD(ROUND($AI238,0),24)&gt;0," "&amp;MOD(ROUND($AI238,0),24)&amp;" giờ",""))))</f>
      </c>
      <c r="AC238" s="223">
        <f>IF(OR($A238="",N($AH238)=0),"",IF($AI238&lt;&gt;"",IF($AI238&lt;=$AH238,"Trong ước tính","Vượt "&amp;IF(($AI238-$AH238)&lt;1,MAX(1,ROUND(($AI238-$AH238)*60,0))&amp;" phút",IF(ROUND(($AI238-$AH238),0)&lt;24,ROUND(($AI238-$AH238),0)&amp;" giờ",INT(ROUND(($AI238-$AH238),0)/24)&amp;" ngày"&amp;IF(MOD(ROUND(($AI238-$AH238),0),24)&gt;0," "&amp;MOD(ROUND(($AI238-$AH238),0),24)&amp;" giờ","")))),IF(OR($V238="Đã xử lý",N($B238)=0),"",IF((TDBC-$B238)*24&gt;$AH238,"Đã vượt ước tính","Đã dùng "&amp;TEXT((TDBC-$B238)*24/$AH238,"0%")))))</f>
      </c>
      <c r="AD238" s="223">
        <f>IF(N($AO238)=0,"",CHOOSE($AO238,"Nhắc nhở","Cảnh báo","Báo động","Báo động đỏ"))</f>
      </c>
      <c r="AE238" s="223">
        <f>IF(OR(N($AA238)=0,N($U238)=0),"",IF($AA238&lt;=$U238,"Đúng hạn","Trễ hạn"))</f>
      </c>
      <c r="AF238" s="220">
        <f>IF($A238="","",_xlfn.MAXIFS('Nhật ký tiến độ'!$B$6:$B$3005,'Nhật ký tiến độ'!$C$6:$C$3005,$A238))</f>
      </c>
      <c r="AG238" s="223">
        <f>IF($A238="","",IF(COUNTIF('Kế hoạch'!$M$6:$M$305,$A238)=0,"",COUNTIF('Kế hoạch'!$M$6:$M$305,$A238)&amp;" việc"))</f>
      </c>
      <c r="AH238" s="224">
        <f>IF(OR($A238="",N($O238)&lt;=0),"",IF($P238="Giờ",$O238,$O238*24))</f>
      </c>
      <c r="AI238" s="224">
        <f>IF(OR(N($AA238)=0,N($B238)=0),"",IF($AA238&lt;$B238,"",($AA238-$B238)*24))</f>
      </c>
      <c r="AJ238" s="225">
        <f>IF($A238="","",IF(COUNTIF('Nhật ký tiến độ'!$C$6:$C$3005,$A238)=0,0,_xlfn.MAXIFS('Nhật ký tiến độ'!$N$6:$N$3005,'Nhật ký tiến độ'!$C$6:$C$3005,$A238,'Nhật ký tiến độ'!$B$6:$B$3005,_xlfn.MAXIFS('Nhật ký tiến độ'!$B$6:$B$3005,'Nhật ký tiến độ'!$C$6:$C$3005,$A238))))</f>
      </c>
      <c r="AK238" s="225">
        <f>IF(OR($A238="",$V238="Đã xử lý"),"",IF(N($AO238)&gt;0,5-$AO238,IF($J238="Khẩn cấp",5,IF($Y238="Chậm tiến độ",6,IF(OR($Y238="Sắp đến hạn",$J238="Cao"),7,"")))))</f>
      </c>
      <c r="AL238" s="225">
        <f>IF($AK238="","",$AK238*100000+IF(N($U238)=0,99999,INT($U238))+ROW()/100000)</f>
      </c>
      <c r="AM238" s="225">
        <f>IF(OR($A238="",TRIM($K238)="",COUNTIF($K$6:$K238,$K238)&gt;1),0,1)</f>
      </c>
      <c r="AN238" s="225">
        <f>IF($AM238=1,SUM($AM$6:$AM238),"")</f>
      </c>
      <c r="AO238" s="225">
        <f>IF(OR($A238="",$V238="Đã xử lý",N($U238)=0),0,IF(TDBC&lt;=$U238,0,MAX(1,MIN(4,IF((TDBC-$U238)*24&lt;24,1,IF((TDBC-$U238)*24&lt;72,2,IF((TDBC-$U238)*24&lt;168,3,4)))+IFERROR(INDEX({2,1,0,-1},MATCH($J238,{"Khẩn cấp","Cao","Trung bình","Thấp"},0)),0)))))</f>
      </c>
    </row>
    <row r="239">
      <c r="A239" s="216"/>
      <c r="B239" s="217"/>
      <c r="C239" s="218"/>
      <c r="D239" s="218"/>
      <c r="E239" s="218"/>
      <c r="F239" s="218"/>
      <c r="G239" s="216"/>
      <c r="H239" s="218"/>
      <c r="I239" s="218"/>
      <c r="J239" s="216"/>
      <c r="K239" s="218"/>
      <c r="L239" s="218"/>
      <c r="M239" s="218"/>
      <c r="N239" s="218"/>
      <c r="O239" s="219"/>
      <c r="P239" s="216"/>
      <c r="Q239" s="217"/>
      <c r="R239" s="216"/>
      <c r="S239" s="218"/>
      <c r="T239" s="218"/>
      <c r="U239" s="220">
        <f>IF($A239="","",IF(N($Q239)&gt;0,IF(MOD($Q239,1)=0,$Q239+1-1/1440,$Q239),IF(N($B239)=0,"",$B239+IF(N($AH239)&gt;0,$AH239,IFERROR(INDEX(DM_SLA_Gio,MATCH($J239,DM_SLA_Cap,0)),168))/24)))</f>
      </c>
      <c r="V239" s="221">
        <f>IF($A239="","",IF(N($AJ239)=0,"Mới tiếp nhận",INDEX('Nhật ký tiến độ'!$E:$E,$AJ239)))</f>
      </c>
      <c r="W239" s="222">
        <f>IF($A239="","",IF($V239="Đã xử lý",1,IF(N($AJ239)=0,0,N(INDEX('Nhật ký tiến độ'!$D:$D,$AJ239)))))</f>
      </c>
      <c r="X239" s="222">
        <f>IF(OR($A239="",$V239="Đã xử lý",N($U239)=0,N($B239)=0),"",IF(TDBC&lt;=$B239,0,IF(TDBC&gt;=$U239,1,(TDBC-$B239)/($U239-$B239))))</f>
      </c>
      <c r="Y239" s="223">
        <f>IF($A239="","",IF($V239="Đã xử lý","Hoàn thành",IF(N($U239)=0,"Chưa đặt hạn",IF(TDBC&gt;$U239,"Quá hạn",IF(ROUND((N($X239)-$W239)*100,0)&gt;=20,"Chậm tiến độ",IF($U239-TDBC&lt;=1,"Sắp đến hạn","Đúng tiến độ"))))))</f>
      </c>
      <c r="Z239" s="223">
        <f>IF(OR($A239="",$V239="Đã xử lý",N($U239)=0),"",IF(TDBC&gt;$U239,"Quá "&amp;IF(((TDBC-$U239)*24)&lt;1,MAX(1,ROUND(((TDBC-$U239)*24)*60,0))&amp;" phút",IF(ROUND(((TDBC-$U239)*24),0)&lt;24,ROUND(((TDBC-$U239)*24),0)&amp;" giờ",INT(ROUND(((TDBC-$U239)*24),0)/24)&amp;" ngày"&amp;IF(MOD(ROUND(((TDBC-$U239)*24),0),24)&gt;0," "&amp;MOD(ROUND(((TDBC-$U239)*24),0),24)&amp;" giờ",""))),"Còn "&amp;IF((($U239-TDBC)*24)&lt;1,MAX(1,ROUND((($U239-TDBC)*24)*60,0))&amp;" phút",IF(ROUND((($U239-TDBC)*24),0)&lt;24,ROUND((($U239-TDBC)*24),0)&amp;" giờ",INT(ROUND((($U239-TDBC)*24),0)/24)&amp;" ngày"&amp;IF(MOD(ROUND((($U239-TDBC)*24),0),24)&gt;0," "&amp;MOD(ROUND((($U239-TDBC)*24),0),24)&amp;" giờ","")))))</f>
      </c>
      <c r="AA239" s="220">
        <f>IF($V239="Đã xử lý",_xlfn.MAXIFS('Nhật ký tiến độ'!$B$6:$B$3005,'Nhật ký tiến độ'!$C$6:$C$3005,$A239,'Nhật ký tiến độ'!$E$6:$E$3005,"Đã xử lý"),"")</f>
      </c>
      <c r="AB239" s="223">
        <f>IF($AI239="","",IF($AI239&lt;1,MAX(1,ROUND($AI239*60,0))&amp;" phút",IF(ROUND($AI239,0)&lt;24,ROUND($AI239,0)&amp;" giờ",INT(ROUND($AI239,0)/24)&amp;" ngày"&amp;IF(MOD(ROUND($AI239,0),24)&gt;0," "&amp;MOD(ROUND($AI239,0),24)&amp;" giờ",""))))</f>
      </c>
      <c r="AC239" s="223">
        <f>IF(OR($A239="",N($AH239)=0),"",IF($AI239&lt;&gt;"",IF($AI239&lt;=$AH239,"Trong ước tính","Vượt "&amp;IF(($AI239-$AH239)&lt;1,MAX(1,ROUND(($AI239-$AH239)*60,0))&amp;" phút",IF(ROUND(($AI239-$AH239),0)&lt;24,ROUND(($AI239-$AH239),0)&amp;" giờ",INT(ROUND(($AI239-$AH239),0)/24)&amp;" ngày"&amp;IF(MOD(ROUND(($AI239-$AH239),0),24)&gt;0," "&amp;MOD(ROUND(($AI239-$AH239),0),24)&amp;" giờ","")))),IF(OR($V239="Đã xử lý",N($B239)=0),"",IF((TDBC-$B239)*24&gt;$AH239,"Đã vượt ước tính","Đã dùng "&amp;TEXT((TDBC-$B239)*24/$AH239,"0%")))))</f>
      </c>
      <c r="AD239" s="223">
        <f>IF(N($AO239)=0,"",CHOOSE($AO239,"Nhắc nhở","Cảnh báo","Báo động","Báo động đỏ"))</f>
      </c>
      <c r="AE239" s="223">
        <f>IF(OR(N($AA239)=0,N($U239)=0),"",IF($AA239&lt;=$U239,"Đúng hạn","Trễ hạn"))</f>
      </c>
      <c r="AF239" s="220">
        <f>IF($A239="","",_xlfn.MAXIFS('Nhật ký tiến độ'!$B$6:$B$3005,'Nhật ký tiến độ'!$C$6:$C$3005,$A239))</f>
      </c>
      <c r="AG239" s="223">
        <f>IF($A239="","",IF(COUNTIF('Kế hoạch'!$M$6:$M$305,$A239)=0,"",COUNTIF('Kế hoạch'!$M$6:$M$305,$A239)&amp;" việc"))</f>
      </c>
      <c r="AH239" s="224">
        <f>IF(OR($A239="",N($O239)&lt;=0),"",IF($P239="Giờ",$O239,$O239*24))</f>
      </c>
      <c r="AI239" s="224">
        <f>IF(OR(N($AA239)=0,N($B239)=0),"",IF($AA239&lt;$B239,"",($AA239-$B239)*24))</f>
      </c>
      <c r="AJ239" s="225">
        <f>IF($A239="","",IF(COUNTIF('Nhật ký tiến độ'!$C$6:$C$3005,$A239)=0,0,_xlfn.MAXIFS('Nhật ký tiến độ'!$N$6:$N$3005,'Nhật ký tiến độ'!$C$6:$C$3005,$A239,'Nhật ký tiến độ'!$B$6:$B$3005,_xlfn.MAXIFS('Nhật ký tiến độ'!$B$6:$B$3005,'Nhật ký tiến độ'!$C$6:$C$3005,$A239))))</f>
      </c>
      <c r="AK239" s="225">
        <f>IF(OR($A239="",$V239="Đã xử lý"),"",IF(N($AO239)&gt;0,5-$AO239,IF($J239="Khẩn cấp",5,IF($Y239="Chậm tiến độ",6,IF(OR($Y239="Sắp đến hạn",$J239="Cao"),7,"")))))</f>
      </c>
      <c r="AL239" s="225">
        <f>IF($AK239="","",$AK239*100000+IF(N($U239)=0,99999,INT($U239))+ROW()/100000)</f>
      </c>
      <c r="AM239" s="225">
        <f>IF(OR($A239="",TRIM($K239)="",COUNTIF($K$6:$K239,$K239)&gt;1),0,1)</f>
      </c>
      <c r="AN239" s="225">
        <f>IF($AM239=1,SUM($AM$6:$AM239),"")</f>
      </c>
      <c r="AO239" s="225">
        <f>IF(OR($A239="",$V239="Đã xử lý",N($U239)=0),0,IF(TDBC&lt;=$U239,0,MAX(1,MIN(4,IF((TDBC-$U239)*24&lt;24,1,IF((TDBC-$U239)*24&lt;72,2,IF((TDBC-$U239)*24&lt;168,3,4)))+IFERROR(INDEX({2,1,0,-1},MATCH($J239,{"Khẩn cấp","Cao","Trung bình","Thấp"},0)),0)))))</f>
      </c>
    </row>
    <row r="240">
      <c r="A240" s="216"/>
      <c r="B240" s="217"/>
      <c r="C240" s="218"/>
      <c r="D240" s="218"/>
      <c r="E240" s="218"/>
      <c r="F240" s="218"/>
      <c r="G240" s="216"/>
      <c r="H240" s="218"/>
      <c r="I240" s="218"/>
      <c r="J240" s="216"/>
      <c r="K240" s="218"/>
      <c r="L240" s="218"/>
      <c r="M240" s="218"/>
      <c r="N240" s="218"/>
      <c r="O240" s="219"/>
      <c r="P240" s="216"/>
      <c r="Q240" s="217"/>
      <c r="R240" s="216"/>
      <c r="S240" s="218"/>
      <c r="T240" s="218"/>
      <c r="U240" s="220">
        <f>IF($A240="","",IF(N($Q240)&gt;0,IF(MOD($Q240,1)=0,$Q240+1-1/1440,$Q240),IF(N($B240)=0,"",$B240+IF(N($AH240)&gt;0,$AH240,IFERROR(INDEX(DM_SLA_Gio,MATCH($J240,DM_SLA_Cap,0)),168))/24)))</f>
      </c>
      <c r="V240" s="221">
        <f>IF($A240="","",IF(N($AJ240)=0,"Mới tiếp nhận",INDEX('Nhật ký tiến độ'!$E:$E,$AJ240)))</f>
      </c>
      <c r="W240" s="222">
        <f>IF($A240="","",IF($V240="Đã xử lý",1,IF(N($AJ240)=0,0,N(INDEX('Nhật ký tiến độ'!$D:$D,$AJ240)))))</f>
      </c>
      <c r="X240" s="222">
        <f>IF(OR($A240="",$V240="Đã xử lý",N($U240)=0,N($B240)=0),"",IF(TDBC&lt;=$B240,0,IF(TDBC&gt;=$U240,1,(TDBC-$B240)/($U240-$B240))))</f>
      </c>
      <c r="Y240" s="223">
        <f>IF($A240="","",IF($V240="Đã xử lý","Hoàn thành",IF(N($U240)=0,"Chưa đặt hạn",IF(TDBC&gt;$U240,"Quá hạn",IF(ROUND((N($X240)-$W240)*100,0)&gt;=20,"Chậm tiến độ",IF($U240-TDBC&lt;=1,"Sắp đến hạn","Đúng tiến độ"))))))</f>
      </c>
      <c r="Z240" s="223">
        <f>IF(OR($A240="",$V240="Đã xử lý",N($U240)=0),"",IF(TDBC&gt;$U240,"Quá "&amp;IF(((TDBC-$U240)*24)&lt;1,MAX(1,ROUND(((TDBC-$U240)*24)*60,0))&amp;" phút",IF(ROUND(((TDBC-$U240)*24),0)&lt;24,ROUND(((TDBC-$U240)*24),0)&amp;" giờ",INT(ROUND(((TDBC-$U240)*24),0)/24)&amp;" ngày"&amp;IF(MOD(ROUND(((TDBC-$U240)*24),0),24)&gt;0," "&amp;MOD(ROUND(((TDBC-$U240)*24),0),24)&amp;" giờ",""))),"Còn "&amp;IF((($U240-TDBC)*24)&lt;1,MAX(1,ROUND((($U240-TDBC)*24)*60,0))&amp;" phút",IF(ROUND((($U240-TDBC)*24),0)&lt;24,ROUND((($U240-TDBC)*24),0)&amp;" giờ",INT(ROUND((($U240-TDBC)*24),0)/24)&amp;" ngày"&amp;IF(MOD(ROUND((($U240-TDBC)*24),0),24)&gt;0," "&amp;MOD(ROUND((($U240-TDBC)*24),0),24)&amp;" giờ","")))))</f>
      </c>
      <c r="AA240" s="220">
        <f>IF($V240="Đã xử lý",_xlfn.MAXIFS('Nhật ký tiến độ'!$B$6:$B$3005,'Nhật ký tiến độ'!$C$6:$C$3005,$A240,'Nhật ký tiến độ'!$E$6:$E$3005,"Đã xử lý"),"")</f>
      </c>
      <c r="AB240" s="223">
        <f>IF($AI240="","",IF($AI240&lt;1,MAX(1,ROUND($AI240*60,0))&amp;" phút",IF(ROUND($AI240,0)&lt;24,ROUND($AI240,0)&amp;" giờ",INT(ROUND($AI240,0)/24)&amp;" ngày"&amp;IF(MOD(ROUND($AI240,0),24)&gt;0," "&amp;MOD(ROUND($AI240,0),24)&amp;" giờ",""))))</f>
      </c>
      <c r="AC240" s="223">
        <f>IF(OR($A240="",N($AH240)=0),"",IF($AI240&lt;&gt;"",IF($AI240&lt;=$AH240,"Trong ước tính","Vượt "&amp;IF(($AI240-$AH240)&lt;1,MAX(1,ROUND(($AI240-$AH240)*60,0))&amp;" phút",IF(ROUND(($AI240-$AH240),0)&lt;24,ROUND(($AI240-$AH240),0)&amp;" giờ",INT(ROUND(($AI240-$AH240),0)/24)&amp;" ngày"&amp;IF(MOD(ROUND(($AI240-$AH240),0),24)&gt;0," "&amp;MOD(ROUND(($AI240-$AH240),0),24)&amp;" giờ","")))),IF(OR($V240="Đã xử lý",N($B240)=0),"",IF((TDBC-$B240)*24&gt;$AH240,"Đã vượt ước tính","Đã dùng "&amp;TEXT((TDBC-$B240)*24/$AH240,"0%")))))</f>
      </c>
      <c r="AD240" s="223">
        <f>IF(N($AO240)=0,"",CHOOSE($AO240,"Nhắc nhở","Cảnh báo","Báo động","Báo động đỏ"))</f>
      </c>
      <c r="AE240" s="223">
        <f>IF(OR(N($AA240)=0,N($U240)=0),"",IF($AA240&lt;=$U240,"Đúng hạn","Trễ hạn"))</f>
      </c>
      <c r="AF240" s="220">
        <f>IF($A240="","",_xlfn.MAXIFS('Nhật ký tiến độ'!$B$6:$B$3005,'Nhật ký tiến độ'!$C$6:$C$3005,$A240))</f>
      </c>
      <c r="AG240" s="223">
        <f>IF($A240="","",IF(COUNTIF('Kế hoạch'!$M$6:$M$305,$A240)=0,"",COUNTIF('Kế hoạch'!$M$6:$M$305,$A240)&amp;" việc"))</f>
      </c>
      <c r="AH240" s="224">
        <f>IF(OR($A240="",N($O240)&lt;=0),"",IF($P240="Giờ",$O240,$O240*24))</f>
      </c>
      <c r="AI240" s="224">
        <f>IF(OR(N($AA240)=0,N($B240)=0),"",IF($AA240&lt;$B240,"",($AA240-$B240)*24))</f>
      </c>
      <c r="AJ240" s="225">
        <f>IF($A240="","",IF(COUNTIF('Nhật ký tiến độ'!$C$6:$C$3005,$A240)=0,0,_xlfn.MAXIFS('Nhật ký tiến độ'!$N$6:$N$3005,'Nhật ký tiến độ'!$C$6:$C$3005,$A240,'Nhật ký tiến độ'!$B$6:$B$3005,_xlfn.MAXIFS('Nhật ký tiến độ'!$B$6:$B$3005,'Nhật ký tiến độ'!$C$6:$C$3005,$A240))))</f>
      </c>
      <c r="AK240" s="225">
        <f>IF(OR($A240="",$V240="Đã xử lý"),"",IF(N($AO240)&gt;0,5-$AO240,IF($J240="Khẩn cấp",5,IF($Y240="Chậm tiến độ",6,IF(OR($Y240="Sắp đến hạn",$J240="Cao"),7,"")))))</f>
      </c>
      <c r="AL240" s="225">
        <f>IF($AK240="","",$AK240*100000+IF(N($U240)=0,99999,INT($U240))+ROW()/100000)</f>
      </c>
      <c r="AM240" s="225">
        <f>IF(OR($A240="",TRIM($K240)="",COUNTIF($K$6:$K240,$K240)&gt;1),0,1)</f>
      </c>
      <c r="AN240" s="225">
        <f>IF($AM240=1,SUM($AM$6:$AM240),"")</f>
      </c>
      <c r="AO240" s="225">
        <f>IF(OR($A240="",$V240="Đã xử lý",N($U240)=0),0,IF(TDBC&lt;=$U240,0,MAX(1,MIN(4,IF((TDBC-$U240)*24&lt;24,1,IF((TDBC-$U240)*24&lt;72,2,IF((TDBC-$U240)*24&lt;168,3,4)))+IFERROR(INDEX({2,1,0,-1},MATCH($J240,{"Khẩn cấp","Cao","Trung bình","Thấp"},0)),0)))))</f>
      </c>
    </row>
    <row r="241">
      <c r="A241" s="216"/>
      <c r="B241" s="217"/>
      <c r="C241" s="218"/>
      <c r="D241" s="218"/>
      <c r="E241" s="218"/>
      <c r="F241" s="218"/>
      <c r="G241" s="216"/>
      <c r="H241" s="218"/>
      <c r="I241" s="218"/>
      <c r="J241" s="216"/>
      <c r="K241" s="218"/>
      <c r="L241" s="218"/>
      <c r="M241" s="218"/>
      <c r="N241" s="218"/>
      <c r="O241" s="219"/>
      <c r="P241" s="216"/>
      <c r="Q241" s="217"/>
      <c r="R241" s="216"/>
      <c r="S241" s="218"/>
      <c r="T241" s="218"/>
      <c r="U241" s="220">
        <f>IF($A241="","",IF(N($Q241)&gt;0,IF(MOD($Q241,1)=0,$Q241+1-1/1440,$Q241),IF(N($B241)=0,"",$B241+IF(N($AH241)&gt;0,$AH241,IFERROR(INDEX(DM_SLA_Gio,MATCH($J241,DM_SLA_Cap,0)),168))/24)))</f>
      </c>
      <c r="V241" s="221">
        <f>IF($A241="","",IF(N($AJ241)=0,"Mới tiếp nhận",INDEX('Nhật ký tiến độ'!$E:$E,$AJ241)))</f>
      </c>
      <c r="W241" s="222">
        <f>IF($A241="","",IF($V241="Đã xử lý",1,IF(N($AJ241)=0,0,N(INDEX('Nhật ký tiến độ'!$D:$D,$AJ241)))))</f>
      </c>
      <c r="X241" s="222">
        <f>IF(OR($A241="",$V241="Đã xử lý",N($U241)=0,N($B241)=0),"",IF(TDBC&lt;=$B241,0,IF(TDBC&gt;=$U241,1,(TDBC-$B241)/($U241-$B241))))</f>
      </c>
      <c r="Y241" s="223">
        <f>IF($A241="","",IF($V241="Đã xử lý","Hoàn thành",IF(N($U241)=0,"Chưa đặt hạn",IF(TDBC&gt;$U241,"Quá hạn",IF(ROUND((N($X241)-$W241)*100,0)&gt;=20,"Chậm tiến độ",IF($U241-TDBC&lt;=1,"Sắp đến hạn","Đúng tiến độ"))))))</f>
      </c>
      <c r="Z241" s="223">
        <f>IF(OR($A241="",$V241="Đã xử lý",N($U241)=0),"",IF(TDBC&gt;$U241,"Quá "&amp;IF(((TDBC-$U241)*24)&lt;1,MAX(1,ROUND(((TDBC-$U241)*24)*60,0))&amp;" phút",IF(ROUND(((TDBC-$U241)*24),0)&lt;24,ROUND(((TDBC-$U241)*24),0)&amp;" giờ",INT(ROUND(((TDBC-$U241)*24),0)/24)&amp;" ngày"&amp;IF(MOD(ROUND(((TDBC-$U241)*24),0),24)&gt;0," "&amp;MOD(ROUND(((TDBC-$U241)*24),0),24)&amp;" giờ",""))),"Còn "&amp;IF((($U241-TDBC)*24)&lt;1,MAX(1,ROUND((($U241-TDBC)*24)*60,0))&amp;" phút",IF(ROUND((($U241-TDBC)*24),0)&lt;24,ROUND((($U241-TDBC)*24),0)&amp;" giờ",INT(ROUND((($U241-TDBC)*24),0)/24)&amp;" ngày"&amp;IF(MOD(ROUND((($U241-TDBC)*24),0),24)&gt;0," "&amp;MOD(ROUND((($U241-TDBC)*24),0),24)&amp;" giờ","")))))</f>
      </c>
      <c r="AA241" s="220">
        <f>IF($V241="Đã xử lý",_xlfn.MAXIFS('Nhật ký tiến độ'!$B$6:$B$3005,'Nhật ký tiến độ'!$C$6:$C$3005,$A241,'Nhật ký tiến độ'!$E$6:$E$3005,"Đã xử lý"),"")</f>
      </c>
      <c r="AB241" s="223">
        <f>IF($AI241="","",IF($AI241&lt;1,MAX(1,ROUND($AI241*60,0))&amp;" phút",IF(ROUND($AI241,0)&lt;24,ROUND($AI241,0)&amp;" giờ",INT(ROUND($AI241,0)/24)&amp;" ngày"&amp;IF(MOD(ROUND($AI241,0),24)&gt;0," "&amp;MOD(ROUND($AI241,0),24)&amp;" giờ",""))))</f>
      </c>
      <c r="AC241" s="223">
        <f>IF(OR($A241="",N($AH241)=0),"",IF($AI241&lt;&gt;"",IF($AI241&lt;=$AH241,"Trong ước tính","Vượt "&amp;IF(($AI241-$AH241)&lt;1,MAX(1,ROUND(($AI241-$AH241)*60,0))&amp;" phút",IF(ROUND(($AI241-$AH241),0)&lt;24,ROUND(($AI241-$AH241),0)&amp;" giờ",INT(ROUND(($AI241-$AH241),0)/24)&amp;" ngày"&amp;IF(MOD(ROUND(($AI241-$AH241),0),24)&gt;0," "&amp;MOD(ROUND(($AI241-$AH241),0),24)&amp;" giờ","")))),IF(OR($V241="Đã xử lý",N($B241)=0),"",IF((TDBC-$B241)*24&gt;$AH241,"Đã vượt ước tính","Đã dùng "&amp;TEXT((TDBC-$B241)*24/$AH241,"0%")))))</f>
      </c>
      <c r="AD241" s="223">
        <f>IF(N($AO241)=0,"",CHOOSE($AO241,"Nhắc nhở","Cảnh báo","Báo động","Báo động đỏ"))</f>
      </c>
      <c r="AE241" s="223">
        <f>IF(OR(N($AA241)=0,N($U241)=0),"",IF($AA241&lt;=$U241,"Đúng hạn","Trễ hạn"))</f>
      </c>
      <c r="AF241" s="220">
        <f>IF($A241="","",_xlfn.MAXIFS('Nhật ký tiến độ'!$B$6:$B$3005,'Nhật ký tiến độ'!$C$6:$C$3005,$A241))</f>
      </c>
      <c r="AG241" s="223">
        <f>IF($A241="","",IF(COUNTIF('Kế hoạch'!$M$6:$M$305,$A241)=0,"",COUNTIF('Kế hoạch'!$M$6:$M$305,$A241)&amp;" việc"))</f>
      </c>
      <c r="AH241" s="224">
        <f>IF(OR($A241="",N($O241)&lt;=0),"",IF($P241="Giờ",$O241,$O241*24))</f>
      </c>
      <c r="AI241" s="224">
        <f>IF(OR(N($AA241)=0,N($B241)=0),"",IF($AA241&lt;$B241,"",($AA241-$B241)*24))</f>
      </c>
      <c r="AJ241" s="225">
        <f>IF($A241="","",IF(COUNTIF('Nhật ký tiến độ'!$C$6:$C$3005,$A241)=0,0,_xlfn.MAXIFS('Nhật ký tiến độ'!$N$6:$N$3005,'Nhật ký tiến độ'!$C$6:$C$3005,$A241,'Nhật ký tiến độ'!$B$6:$B$3005,_xlfn.MAXIFS('Nhật ký tiến độ'!$B$6:$B$3005,'Nhật ký tiến độ'!$C$6:$C$3005,$A241))))</f>
      </c>
      <c r="AK241" s="225">
        <f>IF(OR($A241="",$V241="Đã xử lý"),"",IF(N($AO241)&gt;0,5-$AO241,IF($J241="Khẩn cấp",5,IF($Y241="Chậm tiến độ",6,IF(OR($Y241="Sắp đến hạn",$J241="Cao"),7,"")))))</f>
      </c>
      <c r="AL241" s="225">
        <f>IF($AK241="","",$AK241*100000+IF(N($U241)=0,99999,INT($U241))+ROW()/100000)</f>
      </c>
      <c r="AM241" s="225">
        <f>IF(OR($A241="",TRIM($K241)="",COUNTIF($K$6:$K241,$K241)&gt;1),0,1)</f>
      </c>
      <c r="AN241" s="225">
        <f>IF($AM241=1,SUM($AM$6:$AM241),"")</f>
      </c>
      <c r="AO241" s="225">
        <f>IF(OR($A241="",$V241="Đã xử lý",N($U241)=0),0,IF(TDBC&lt;=$U241,0,MAX(1,MIN(4,IF((TDBC-$U241)*24&lt;24,1,IF((TDBC-$U241)*24&lt;72,2,IF((TDBC-$U241)*24&lt;168,3,4)))+IFERROR(INDEX({2,1,0,-1},MATCH($J241,{"Khẩn cấp","Cao","Trung bình","Thấp"},0)),0)))))</f>
      </c>
    </row>
    <row r="242">
      <c r="A242" s="216"/>
      <c r="B242" s="217"/>
      <c r="C242" s="218"/>
      <c r="D242" s="218"/>
      <c r="E242" s="218"/>
      <c r="F242" s="218"/>
      <c r="G242" s="216"/>
      <c r="H242" s="218"/>
      <c r="I242" s="218"/>
      <c r="J242" s="216"/>
      <c r="K242" s="218"/>
      <c r="L242" s="218"/>
      <c r="M242" s="218"/>
      <c r="N242" s="218"/>
      <c r="O242" s="219"/>
      <c r="P242" s="216"/>
      <c r="Q242" s="217"/>
      <c r="R242" s="216"/>
      <c r="S242" s="218"/>
      <c r="T242" s="218"/>
      <c r="U242" s="220">
        <f>IF($A242="","",IF(N($Q242)&gt;0,IF(MOD($Q242,1)=0,$Q242+1-1/1440,$Q242),IF(N($B242)=0,"",$B242+IF(N($AH242)&gt;0,$AH242,IFERROR(INDEX(DM_SLA_Gio,MATCH($J242,DM_SLA_Cap,0)),168))/24)))</f>
      </c>
      <c r="V242" s="221">
        <f>IF($A242="","",IF(N($AJ242)=0,"Mới tiếp nhận",INDEX('Nhật ký tiến độ'!$E:$E,$AJ242)))</f>
      </c>
      <c r="W242" s="222">
        <f>IF($A242="","",IF($V242="Đã xử lý",1,IF(N($AJ242)=0,0,N(INDEX('Nhật ký tiến độ'!$D:$D,$AJ242)))))</f>
      </c>
      <c r="X242" s="222">
        <f>IF(OR($A242="",$V242="Đã xử lý",N($U242)=0,N($B242)=0),"",IF(TDBC&lt;=$B242,0,IF(TDBC&gt;=$U242,1,(TDBC-$B242)/($U242-$B242))))</f>
      </c>
      <c r="Y242" s="223">
        <f>IF($A242="","",IF($V242="Đã xử lý","Hoàn thành",IF(N($U242)=0,"Chưa đặt hạn",IF(TDBC&gt;$U242,"Quá hạn",IF(ROUND((N($X242)-$W242)*100,0)&gt;=20,"Chậm tiến độ",IF($U242-TDBC&lt;=1,"Sắp đến hạn","Đúng tiến độ"))))))</f>
      </c>
      <c r="Z242" s="223">
        <f>IF(OR($A242="",$V242="Đã xử lý",N($U242)=0),"",IF(TDBC&gt;$U242,"Quá "&amp;IF(((TDBC-$U242)*24)&lt;1,MAX(1,ROUND(((TDBC-$U242)*24)*60,0))&amp;" phút",IF(ROUND(((TDBC-$U242)*24),0)&lt;24,ROUND(((TDBC-$U242)*24),0)&amp;" giờ",INT(ROUND(((TDBC-$U242)*24),0)/24)&amp;" ngày"&amp;IF(MOD(ROUND(((TDBC-$U242)*24),0),24)&gt;0," "&amp;MOD(ROUND(((TDBC-$U242)*24),0),24)&amp;" giờ",""))),"Còn "&amp;IF((($U242-TDBC)*24)&lt;1,MAX(1,ROUND((($U242-TDBC)*24)*60,0))&amp;" phút",IF(ROUND((($U242-TDBC)*24),0)&lt;24,ROUND((($U242-TDBC)*24),0)&amp;" giờ",INT(ROUND((($U242-TDBC)*24),0)/24)&amp;" ngày"&amp;IF(MOD(ROUND((($U242-TDBC)*24),0),24)&gt;0," "&amp;MOD(ROUND((($U242-TDBC)*24),0),24)&amp;" giờ","")))))</f>
      </c>
      <c r="AA242" s="220">
        <f>IF($V242="Đã xử lý",_xlfn.MAXIFS('Nhật ký tiến độ'!$B$6:$B$3005,'Nhật ký tiến độ'!$C$6:$C$3005,$A242,'Nhật ký tiến độ'!$E$6:$E$3005,"Đã xử lý"),"")</f>
      </c>
      <c r="AB242" s="223">
        <f>IF($AI242="","",IF($AI242&lt;1,MAX(1,ROUND($AI242*60,0))&amp;" phút",IF(ROUND($AI242,0)&lt;24,ROUND($AI242,0)&amp;" giờ",INT(ROUND($AI242,0)/24)&amp;" ngày"&amp;IF(MOD(ROUND($AI242,0),24)&gt;0," "&amp;MOD(ROUND($AI242,0),24)&amp;" giờ",""))))</f>
      </c>
      <c r="AC242" s="223">
        <f>IF(OR($A242="",N($AH242)=0),"",IF($AI242&lt;&gt;"",IF($AI242&lt;=$AH242,"Trong ước tính","Vượt "&amp;IF(($AI242-$AH242)&lt;1,MAX(1,ROUND(($AI242-$AH242)*60,0))&amp;" phút",IF(ROUND(($AI242-$AH242),0)&lt;24,ROUND(($AI242-$AH242),0)&amp;" giờ",INT(ROUND(($AI242-$AH242),0)/24)&amp;" ngày"&amp;IF(MOD(ROUND(($AI242-$AH242),0),24)&gt;0," "&amp;MOD(ROUND(($AI242-$AH242),0),24)&amp;" giờ","")))),IF(OR($V242="Đã xử lý",N($B242)=0),"",IF((TDBC-$B242)*24&gt;$AH242,"Đã vượt ước tính","Đã dùng "&amp;TEXT((TDBC-$B242)*24/$AH242,"0%")))))</f>
      </c>
      <c r="AD242" s="223">
        <f>IF(N($AO242)=0,"",CHOOSE($AO242,"Nhắc nhở","Cảnh báo","Báo động","Báo động đỏ"))</f>
      </c>
      <c r="AE242" s="223">
        <f>IF(OR(N($AA242)=0,N($U242)=0),"",IF($AA242&lt;=$U242,"Đúng hạn","Trễ hạn"))</f>
      </c>
      <c r="AF242" s="220">
        <f>IF($A242="","",_xlfn.MAXIFS('Nhật ký tiến độ'!$B$6:$B$3005,'Nhật ký tiến độ'!$C$6:$C$3005,$A242))</f>
      </c>
      <c r="AG242" s="223">
        <f>IF($A242="","",IF(COUNTIF('Kế hoạch'!$M$6:$M$305,$A242)=0,"",COUNTIF('Kế hoạch'!$M$6:$M$305,$A242)&amp;" việc"))</f>
      </c>
      <c r="AH242" s="224">
        <f>IF(OR($A242="",N($O242)&lt;=0),"",IF($P242="Giờ",$O242,$O242*24))</f>
      </c>
      <c r="AI242" s="224">
        <f>IF(OR(N($AA242)=0,N($B242)=0),"",IF($AA242&lt;$B242,"",($AA242-$B242)*24))</f>
      </c>
      <c r="AJ242" s="225">
        <f>IF($A242="","",IF(COUNTIF('Nhật ký tiến độ'!$C$6:$C$3005,$A242)=0,0,_xlfn.MAXIFS('Nhật ký tiến độ'!$N$6:$N$3005,'Nhật ký tiến độ'!$C$6:$C$3005,$A242,'Nhật ký tiến độ'!$B$6:$B$3005,_xlfn.MAXIFS('Nhật ký tiến độ'!$B$6:$B$3005,'Nhật ký tiến độ'!$C$6:$C$3005,$A242))))</f>
      </c>
      <c r="AK242" s="225">
        <f>IF(OR($A242="",$V242="Đã xử lý"),"",IF(N($AO242)&gt;0,5-$AO242,IF($J242="Khẩn cấp",5,IF($Y242="Chậm tiến độ",6,IF(OR($Y242="Sắp đến hạn",$J242="Cao"),7,"")))))</f>
      </c>
      <c r="AL242" s="225">
        <f>IF($AK242="","",$AK242*100000+IF(N($U242)=0,99999,INT($U242))+ROW()/100000)</f>
      </c>
      <c r="AM242" s="225">
        <f>IF(OR($A242="",TRIM($K242)="",COUNTIF($K$6:$K242,$K242)&gt;1),0,1)</f>
      </c>
      <c r="AN242" s="225">
        <f>IF($AM242=1,SUM($AM$6:$AM242),"")</f>
      </c>
      <c r="AO242" s="225">
        <f>IF(OR($A242="",$V242="Đã xử lý",N($U242)=0),0,IF(TDBC&lt;=$U242,0,MAX(1,MIN(4,IF((TDBC-$U242)*24&lt;24,1,IF((TDBC-$U242)*24&lt;72,2,IF((TDBC-$U242)*24&lt;168,3,4)))+IFERROR(INDEX({2,1,0,-1},MATCH($J242,{"Khẩn cấp","Cao","Trung bình","Thấp"},0)),0)))))</f>
      </c>
    </row>
    <row r="243">
      <c r="A243" s="216"/>
      <c r="B243" s="217"/>
      <c r="C243" s="218"/>
      <c r="D243" s="218"/>
      <c r="E243" s="218"/>
      <c r="F243" s="218"/>
      <c r="G243" s="216"/>
      <c r="H243" s="218"/>
      <c r="I243" s="218"/>
      <c r="J243" s="216"/>
      <c r="K243" s="218"/>
      <c r="L243" s="218"/>
      <c r="M243" s="218"/>
      <c r="N243" s="218"/>
      <c r="O243" s="219"/>
      <c r="P243" s="216"/>
      <c r="Q243" s="217"/>
      <c r="R243" s="216"/>
      <c r="S243" s="218"/>
      <c r="T243" s="218"/>
      <c r="U243" s="220">
        <f>IF($A243="","",IF(N($Q243)&gt;0,IF(MOD($Q243,1)=0,$Q243+1-1/1440,$Q243),IF(N($B243)=0,"",$B243+IF(N($AH243)&gt;0,$AH243,IFERROR(INDEX(DM_SLA_Gio,MATCH($J243,DM_SLA_Cap,0)),168))/24)))</f>
      </c>
      <c r="V243" s="221">
        <f>IF($A243="","",IF(N($AJ243)=0,"Mới tiếp nhận",INDEX('Nhật ký tiến độ'!$E:$E,$AJ243)))</f>
      </c>
      <c r="W243" s="222">
        <f>IF($A243="","",IF($V243="Đã xử lý",1,IF(N($AJ243)=0,0,N(INDEX('Nhật ký tiến độ'!$D:$D,$AJ243)))))</f>
      </c>
      <c r="X243" s="222">
        <f>IF(OR($A243="",$V243="Đã xử lý",N($U243)=0,N($B243)=0),"",IF(TDBC&lt;=$B243,0,IF(TDBC&gt;=$U243,1,(TDBC-$B243)/($U243-$B243))))</f>
      </c>
      <c r="Y243" s="223">
        <f>IF($A243="","",IF($V243="Đã xử lý","Hoàn thành",IF(N($U243)=0,"Chưa đặt hạn",IF(TDBC&gt;$U243,"Quá hạn",IF(ROUND((N($X243)-$W243)*100,0)&gt;=20,"Chậm tiến độ",IF($U243-TDBC&lt;=1,"Sắp đến hạn","Đúng tiến độ"))))))</f>
      </c>
      <c r="Z243" s="223">
        <f>IF(OR($A243="",$V243="Đã xử lý",N($U243)=0),"",IF(TDBC&gt;$U243,"Quá "&amp;IF(((TDBC-$U243)*24)&lt;1,MAX(1,ROUND(((TDBC-$U243)*24)*60,0))&amp;" phút",IF(ROUND(((TDBC-$U243)*24),0)&lt;24,ROUND(((TDBC-$U243)*24),0)&amp;" giờ",INT(ROUND(((TDBC-$U243)*24),0)/24)&amp;" ngày"&amp;IF(MOD(ROUND(((TDBC-$U243)*24),0),24)&gt;0," "&amp;MOD(ROUND(((TDBC-$U243)*24),0),24)&amp;" giờ",""))),"Còn "&amp;IF((($U243-TDBC)*24)&lt;1,MAX(1,ROUND((($U243-TDBC)*24)*60,0))&amp;" phút",IF(ROUND((($U243-TDBC)*24),0)&lt;24,ROUND((($U243-TDBC)*24),0)&amp;" giờ",INT(ROUND((($U243-TDBC)*24),0)/24)&amp;" ngày"&amp;IF(MOD(ROUND((($U243-TDBC)*24),0),24)&gt;0," "&amp;MOD(ROUND((($U243-TDBC)*24),0),24)&amp;" giờ","")))))</f>
      </c>
      <c r="AA243" s="220">
        <f>IF($V243="Đã xử lý",_xlfn.MAXIFS('Nhật ký tiến độ'!$B$6:$B$3005,'Nhật ký tiến độ'!$C$6:$C$3005,$A243,'Nhật ký tiến độ'!$E$6:$E$3005,"Đã xử lý"),"")</f>
      </c>
      <c r="AB243" s="223">
        <f>IF($AI243="","",IF($AI243&lt;1,MAX(1,ROUND($AI243*60,0))&amp;" phút",IF(ROUND($AI243,0)&lt;24,ROUND($AI243,0)&amp;" giờ",INT(ROUND($AI243,0)/24)&amp;" ngày"&amp;IF(MOD(ROUND($AI243,0),24)&gt;0," "&amp;MOD(ROUND($AI243,0),24)&amp;" giờ",""))))</f>
      </c>
      <c r="AC243" s="223">
        <f>IF(OR($A243="",N($AH243)=0),"",IF($AI243&lt;&gt;"",IF($AI243&lt;=$AH243,"Trong ước tính","Vượt "&amp;IF(($AI243-$AH243)&lt;1,MAX(1,ROUND(($AI243-$AH243)*60,0))&amp;" phút",IF(ROUND(($AI243-$AH243),0)&lt;24,ROUND(($AI243-$AH243),0)&amp;" giờ",INT(ROUND(($AI243-$AH243),0)/24)&amp;" ngày"&amp;IF(MOD(ROUND(($AI243-$AH243),0),24)&gt;0," "&amp;MOD(ROUND(($AI243-$AH243),0),24)&amp;" giờ","")))),IF(OR($V243="Đã xử lý",N($B243)=0),"",IF((TDBC-$B243)*24&gt;$AH243,"Đã vượt ước tính","Đã dùng "&amp;TEXT((TDBC-$B243)*24/$AH243,"0%")))))</f>
      </c>
      <c r="AD243" s="223">
        <f>IF(N($AO243)=0,"",CHOOSE($AO243,"Nhắc nhở","Cảnh báo","Báo động","Báo động đỏ"))</f>
      </c>
      <c r="AE243" s="223">
        <f>IF(OR(N($AA243)=0,N($U243)=0),"",IF($AA243&lt;=$U243,"Đúng hạn","Trễ hạn"))</f>
      </c>
      <c r="AF243" s="220">
        <f>IF($A243="","",_xlfn.MAXIFS('Nhật ký tiến độ'!$B$6:$B$3005,'Nhật ký tiến độ'!$C$6:$C$3005,$A243))</f>
      </c>
      <c r="AG243" s="223">
        <f>IF($A243="","",IF(COUNTIF('Kế hoạch'!$M$6:$M$305,$A243)=0,"",COUNTIF('Kế hoạch'!$M$6:$M$305,$A243)&amp;" việc"))</f>
      </c>
      <c r="AH243" s="224">
        <f>IF(OR($A243="",N($O243)&lt;=0),"",IF($P243="Giờ",$O243,$O243*24))</f>
      </c>
      <c r="AI243" s="224">
        <f>IF(OR(N($AA243)=0,N($B243)=0),"",IF($AA243&lt;$B243,"",($AA243-$B243)*24))</f>
      </c>
      <c r="AJ243" s="225">
        <f>IF($A243="","",IF(COUNTIF('Nhật ký tiến độ'!$C$6:$C$3005,$A243)=0,0,_xlfn.MAXIFS('Nhật ký tiến độ'!$N$6:$N$3005,'Nhật ký tiến độ'!$C$6:$C$3005,$A243,'Nhật ký tiến độ'!$B$6:$B$3005,_xlfn.MAXIFS('Nhật ký tiến độ'!$B$6:$B$3005,'Nhật ký tiến độ'!$C$6:$C$3005,$A243))))</f>
      </c>
      <c r="AK243" s="225">
        <f>IF(OR($A243="",$V243="Đã xử lý"),"",IF(N($AO243)&gt;0,5-$AO243,IF($J243="Khẩn cấp",5,IF($Y243="Chậm tiến độ",6,IF(OR($Y243="Sắp đến hạn",$J243="Cao"),7,"")))))</f>
      </c>
      <c r="AL243" s="225">
        <f>IF($AK243="","",$AK243*100000+IF(N($U243)=0,99999,INT($U243))+ROW()/100000)</f>
      </c>
      <c r="AM243" s="225">
        <f>IF(OR($A243="",TRIM($K243)="",COUNTIF($K$6:$K243,$K243)&gt;1),0,1)</f>
      </c>
      <c r="AN243" s="225">
        <f>IF($AM243=1,SUM($AM$6:$AM243),"")</f>
      </c>
      <c r="AO243" s="225">
        <f>IF(OR($A243="",$V243="Đã xử lý",N($U243)=0),0,IF(TDBC&lt;=$U243,0,MAX(1,MIN(4,IF((TDBC-$U243)*24&lt;24,1,IF((TDBC-$U243)*24&lt;72,2,IF((TDBC-$U243)*24&lt;168,3,4)))+IFERROR(INDEX({2,1,0,-1},MATCH($J243,{"Khẩn cấp","Cao","Trung bình","Thấp"},0)),0)))))</f>
      </c>
    </row>
    <row r="244">
      <c r="A244" s="216"/>
      <c r="B244" s="217"/>
      <c r="C244" s="218"/>
      <c r="D244" s="218"/>
      <c r="E244" s="218"/>
      <c r="F244" s="218"/>
      <c r="G244" s="216"/>
      <c r="H244" s="218"/>
      <c r="I244" s="218"/>
      <c r="J244" s="216"/>
      <c r="K244" s="218"/>
      <c r="L244" s="218"/>
      <c r="M244" s="218"/>
      <c r="N244" s="218"/>
      <c r="O244" s="219"/>
      <c r="P244" s="216"/>
      <c r="Q244" s="217"/>
      <c r="R244" s="216"/>
      <c r="S244" s="218"/>
      <c r="T244" s="218"/>
      <c r="U244" s="220">
        <f>IF($A244="","",IF(N($Q244)&gt;0,IF(MOD($Q244,1)=0,$Q244+1-1/1440,$Q244),IF(N($B244)=0,"",$B244+IF(N($AH244)&gt;0,$AH244,IFERROR(INDEX(DM_SLA_Gio,MATCH($J244,DM_SLA_Cap,0)),168))/24)))</f>
      </c>
      <c r="V244" s="221">
        <f>IF($A244="","",IF(N($AJ244)=0,"Mới tiếp nhận",INDEX('Nhật ký tiến độ'!$E:$E,$AJ244)))</f>
      </c>
      <c r="W244" s="222">
        <f>IF($A244="","",IF($V244="Đã xử lý",1,IF(N($AJ244)=0,0,N(INDEX('Nhật ký tiến độ'!$D:$D,$AJ244)))))</f>
      </c>
      <c r="X244" s="222">
        <f>IF(OR($A244="",$V244="Đã xử lý",N($U244)=0,N($B244)=0),"",IF(TDBC&lt;=$B244,0,IF(TDBC&gt;=$U244,1,(TDBC-$B244)/($U244-$B244))))</f>
      </c>
      <c r="Y244" s="223">
        <f>IF($A244="","",IF($V244="Đã xử lý","Hoàn thành",IF(N($U244)=0,"Chưa đặt hạn",IF(TDBC&gt;$U244,"Quá hạn",IF(ROUND((N($X244)-$W244)*100,0)&gt;=20,"Chậm tiến độ",IF($U244-TDBC&lt;=1,"Sắp đến hạn","Đúng tiến độ"))))))</f>
      </c>
      <c r="Z244" s="223">
        <f>IF(OR($A244="",$V244="Đã xử lý",N($U244)=0),"",IF(TDBC&gt;$U244,"Quá "&amp;IF(((TDBC-$U244)*24)&lt;1,MAX(1,ROUND(((TDBC-$U244)*24)*60,0))&amp;" phút",IF(ROUND(((TDBC-$U244)*24),0)&lt;24,ROUND(((TDBC-$U244)*24),0)&amp;" giờ",INT(ROUND(((TDBC-$U244)*24),0)/24)&amp;" ngày"&amp;IF(MOD(ROUND(((TDBC-$U244)*24),0),24)&gt;0," "&amp;MOD(ROUND(((TDBC-$U244)*24),0),24)&amp;" giờ",""))),"Còn "&amp;IF((($U244-TDBC)*24)&lt;1,MAX(1,ROUND((($U244-TDBC)*24)*60,0))&amp;" phút",IF(ROUND((($U244-TDBC)*24),0)&lt;24,ROUND((($U244-TDBC)*24),0)&amp;" giờ",INT(ROUND((($U244-TDBC)*24),0)/24)&amp;" ngày"&amp;IF(MOD(ROUND((($U244-TDBC)*24),0),24)&gt;0," "&amp;MOD(ROUND((($U244-TDBC)*24),0),24)&amp;" giờ","")))))</f>
      </c>
      <c r="AA244" s="220">
        <f>IF($V244="Đã xử lý",_xlfn.MAXIFS('Nhật ký tiến độ'!$B$6:$B$3005,'Nhật ký tiến độ'!$C$6:$C$3005,$A244,'Nhật ký tiến độ'!$E$6:$E$3005,"Đã xử lý"),"")</f>
      </c>
      <c r="AB244" s="223">
        <f>IF($AI244="","",IF($AI244&lt;1,MAX(1,ROUND($AI244*60,0))&amp;" phút",IF(ROUND($AI244,0)&lt;24,ROUND($AI244,0)&amp;" giờ",INT(ROUND($AI244,0)/24)&amp;" ngày"&amp;IF(MOD(ROUND($AI244,0),24)&gt;0," "&amp;MOD(ROUND($AI244,0),24)&amp;" giờ",""))))</f>
      </c>
      <c r="AC244" s="223">
        <f>IF(OR($A244="",N($AH244)=0),"",IF($AI244&lt;&gt;"",IF($AI244&lt;=$AH244,"Trong ước tính","Vượt "&amp;IF(($AI244-$AH244)&lt;1,MAX(1,ROUND(($AI244-$AH244)*60,0))&amp;" phút",IF(ROUND(($AI244-$AH244),0)&lt;24,ROUND(($AI244-$AH244),0)&amp;" giờ",INT(ROUND(($AI244-$AH244),0)/24)&amp;" ngày"&amp;IF(MOD(ROUND(($AI244-$AH244),0),24)&gt;0," "&amp;MOD(ROUND(($AI244-$AH244),0),24)&amp;" giờ","")))),IF(OR($V244="Đã xử lý",N($B244)=0),"",IF((TDBC-$B244)*24&gt;$AH244,"Đã vượt ước tính","Đã dùng "&amp;TEXT((TDBC-$B244)*24/$AH244,"0%")))))</f>
      </c>
      <c r="AD244" s="223">
        <f>IF(N($AO244)=0,"",CHOOSE($AO244,"Nhắc nhở","Cảnh báo","Báo động","Báo động đỏ"))</f>
      </c>
      <c r="AE244" s="223">
        <f>IF(OR(N($AA244)=0,N($U244)=0),"",IF($AA244&lt;=$U244,"Đúng hạn","Trễ hạn"))</f>
      </c>
      <c r="AF244" s="220">
        <f>IF($A244="","",_xlfn.MAXIFS('Nhật ký tiến độ'!$B$6:$B$3005,'Nhật ký tiến độ'!$C$6:$C$3005,$A244))</f>
      </c>
      <c r="AG244" s="223">
        <f>IF($A244="","",IF(COUNTIF('Kế hoạch'!$M$6:$M$305,$A244)=0,"",COUNTIF('Kế hoạch'!$M$6:$M$305,$A244)&amp;" việc"))</f>
      </c>
      <c r="AH244" s="224">
        <f>IF(OR($A244="",N($O244)&lt;=0),"",IF($P244="Giờ",$O244,$O244*24))</f>
      </c>
      <c r="AI244" s="224">
        <f>IF(OR(N($AA244)=0,N($B244)=0),"",IF($AA244&lt;$B244,"",($AA244-$B244)*24))</f>
      </c>
      <c r="AJ244" s="225">
        <f>IF($A244="","",IF(COUNTIF('Nhật ký tiến độ'!$C$6:$C$3005,$A244)=0,0,_xlfn.MAXIFS('Nhật ký tiến độ'!$N$6:$N$3005,'Nhật ký tiến độ'!$C$6:$C$3005,$A244,'Nhật ký tiến độ'!$B$6:$B$3005,_xlfn.MAXIFS('Nhật ký tiến độ'!$B$6:$B$3005,'Nhật ký tiến độ'!$C$6:$C$3005,$A244))))</f>
      </c>
      <c r="AK244" s="225">
        <f>IF(OR($A244="",$V244="Đã xử lý"),"",IF(N($AO244)&gt;0,5-$AO244,IF($J244="Khẩn cấp",5,IF($Y244="Chậm tiến độ",6,IF(OR($Y244="Sắp đến hạn",$J244="Cao"),7,"")))))</f>
      </c>
      <c r="AL244" s="225">
        <f>IF($AK244="","",$AK244*100000+IF(N($U244)=0,99999,INT($U244))+ROW()/100000)</f>
      </c>
      <c r="AM244" s="225">
        <f>IF(OR($A244="",TRIM($K244)="",COUNTIF($K$6:$K244,$K244)&gt;1),0,1)</f>
      </c>
      <c r="AN244" s="225">
        <f>IF($AM244=1,SUM($AM$6:$AM244),"")</f>
      </c>
      <c r="AO244" s="225">
        <f>IF(OR($A244="",$V244="Đã xử lý",N($U244)=0),0,IF(TDBC&lt;=$U244,0,MAX(1,MIN(4,IF((TDBC-$U244)*24&lt;24,1,IF((TDBC-$U244)*24&lt;72,2,IF((TDBC-$U244)*24&lt;168,3,4)))+IFERROR(INDEX({2,1,0,-1},MATCH($J244,{"Khẩn cấp","Cao","Trung bình","Thấp"},0)),0)))))</f>
      </c>
    </row>
    <row r="245">
      <c r="A245" s="216"/>
      <c r="B245" s="217"/>
      <c r="C245" s="218"/>
      <c r="D245" s="218"/>
      <c r="E245" s="218"/>
      <c r="F245" s="218"/>
      <c r="G245" s="216"/>
      <c r="H245" s="218"/>
      <c r="I245" s="218"/>
      <c r="J245" s="216"/>
      <c r="K245" s="218"/>
      <c r="L245" s="218"/>
      <c r="M245" s="218"/>
      <c r="N245" s="218"/>
      <c r="O245" s="219"/>
      <c r="P245" s="216"/>
      <c r="Q245" s="217"/>
      <c r="R245" s="216"/>
      <c r="S245" s="218"/>
      <c r="T245" s="218"/>
      <c r="U245" s="220">
        <f>IF($A245="","",IF(N($Q245)&gt;0,IF(MOD($Q245,1)=0,$Q245+1-1/1440,$Q245),IF(N($B245)=0,"",$B245+IF(N($AH245)&gt;0,$AH245,IFERROR(INDEX(DM_SLA_Gio,MATCH($J245,DM_SLA_Cap,0)),168))/24)))</f>
      </c>
      <c r="V245" s="221">
        <f>IF($A245="","",IF(N($AJ245)=0,"Mới tiếp nhận",INDEX('Nhật ký tiến độ'!$E:$E,$AJ245)))</f>
      </c>
      <c r="W245" s="222">
        <f>IF($A245="","",IF($V245="Đã xử lý",1,IF(N($AJ245)=0,0,N(INDEX('Nhật ký tiến độ'!$D:$D,$AJ245)))))</f>
      </c>
      <c r="X245" s="222">
        <f>IF(OR($A245="",$V245="Đã xử lý",N($U245)=0,N($B245)=0),"",IF(TDBC&lt;=$B245,0,IF(TDBC&gt;=$U245,1,(TDBC-$B245)/($U245-$B245))))</f>
      </c>
      <c r="Y245" s="223">
        <f>IF($A245="","",IF($V245="Đã xử lý","Hoàn thành",IF(N($U245)=0,"Chưa đặt hạn",IF(TDBC&gt;$U245,"Quá hạn",IF(ROUND((N($X245)-$W245)*100,0)&gt;=20,"Chậm tiến độ",IF($U245-TDBC&lt;=1,"Sắp đến hạn","Đúng tiến độ"))))))</f>
      </c>
      <c r="Z245" s="223">
        <f>IF(OR($A245="",$V245="Đã xử lý",N($U245)=0),"",IF(TDBC&gt;$U245,"Quá "&amp;IF(((TDBC-$U245)*24)&lt;1,MAX(1,ROUND(((TDBC-$U245)*24)*60,0))&amp;" phút",IF(ROUND(((TDBC-$U245)*24),0)&lt;24,ROUND(((TDBC-$U245)*24),0)&amp;" giờ",INT(ROUND(((TDBC-$U245)*24),0)/24)&amp;" ngày"&amp;IF(MOD(ROUND(((TDBC-$U245)*24),0),24)&gt;0," "&amp;MOD(ROUND(((TDBC-$U245)*24),0),24)&amp;" giờ",""))),"Còn "&amp;IF((($U245-TDBC)*24)&lt;1,MAX(1,ROUND((($U245-TDBC)*24)*60,0))&amp;" phút",IF(ROUND((($U245-TDBC)*24),0)&lt;24,ROUND((($U245-TDBC)*24),0)&amp;" giờ",INT(ROUND((($U245-TDBC)*24),0)/24)&amp;" ngày"&amp;IF(MOD(ROUND((($U245-TDBC)*24),0),24)&gt;0," "&amp;MOD(ROUND((($U245-TDBC)*24),0),24)&amp;" giờ","")))))</f>
      </c>
      <c r="AA245" s="220">
        <f>IF($V245="Đã xử lý",_xlfn.MAXIFS('Nhật ký tiến độ'!$B$6:$B$3005,'Nhật ký tiến độ'!$C$6:$C$3005,$A245,'Nhật ký tiến độ'!$E$6:$E$3005,"Đã xử lý"),"")</f>
      </c>
      <c r="AB245" s="223">
        <f>IF($AI245="","",IF($AI245&lt;1,MAX(1,ROUND($AI245*60,0))&amp;" phút",IF(ROUND($AI245,0)&lt;24,ROUND($AI245,0)&amp;" giờ",INT(ROUND($AI245,0)/24)&amp;" ngày"&amp;IF(MOD(ROUND($AI245,0),24)&gt;0," "&amp;MOD(ROUND($AI245,0),24)&amp;" giờ",""))))</f>
      </c>
      <c r="AC245" s="223">
        <f>IF(OR($A245="",N($AH245)=0),"",IF($AI245&lt;&gt;"",IF($AI245&lt;=$AH245,"Trong ước tính","Vượt "&amp;IF(($AI245-$AH245)&lt;1,MAX(1,ROUND(($AI245-$AH245)*60,0))&amp;" phút",IF(ROUND(($AI245-$AH245),0)&lt;24,ROUND(($AI245-$AH245),0)&amp;" giờ",INT(ROUND(($AI245-$AH245),0)/24)&amp;" ngày"&amp;IF(MOD(ROUND(($AI245-$AH245),0),24)&gt;0," "&amp;MOD(ROUND(($AI245-$AH245),0),24)&amp;" giờ","")))),IF(OR($V245="Đã xử lý",N($B245)=0),"",IF((TDBC-$B245)*24&gt;$AH245,"Đã vượt ước tính","Đã dùng "&amp;TEXT((TDBC-$B245)*24/$AH245,"0%")))))</f>
      </c>
      <c r="AD245" s="223">
        <f>IF(N($AO245)=0,"",CHOOSE($AO245,"Nhắc nhở","Cảnh báo","Báo động","Báo động đỏ"))</f>
      </c>
      <c r="AE245" s="223">
        <f>IF(OR(N($AA245)=0,N($U245)=0),"",IF($AA245&lt;=$U245,"Đúng hạn","Trễ hạn"))</f>
      </c>
      <c r="AF245" s="220">
        <f>IF($A245="","",_xlfn.MAXIFS('Nhật ký tiến độ'!$B$6:$B$3005,'Nhật ký tiến độ'!$C$6:$C$3005,$A245))</f>
      </c>
      <c r="AG245" s="223">
        <f>IF($A245="","",IF(COUNTIF('Kế hoạch'!$M$6:$M$305,$A245)=0,"",COUNTIF('Kế hoạch'!$M$6:$M$305,$A245)&amp;" việc"))</f>
      </c>
      <c r="AH245" s="224">
        <f>IF(OR($A245="",N($O245)&lt;=0),"",IF($P245="Giờ",$O245,$O245*24))</f>
      </c>
      <c r="AI245" s="224">
        <f>IF(OR(N($AA245)=0,N($B245)=0),"",IF($AA245&lt;$B245,"",($AA245-$B245)*24))</f>
      </c>
      <c r="AJ245" s="225">
        <f>IF($A245="","",IF(COUNTIF('Nhật ký tiến độ'!$C$6:$C$3005,$A245)=0,0,_xlfn.MAXIFS('Nhật ký tiến độ'!$N$6:$N$3005,'Nhật ký tiến độ'!$C$6:$C$3005,$A245,'Nhật ký tiến độ'!$B$6:$B$3005,_xlfn.MAXIFS('Nhật ký tiến độ'!$B$6:$B$3005,'Nhật ký tiến độ'!$C$6:$C$3005,$A245))))</f>
      </c>
      <c r="AK245" s="225">
        <f>IF(OR($A245="",$V245="Đã xử lý"),"",IF(N($AO245)&gt;0,5-$AO245,IF($J245="Khẩn cấp",5,IF($Y245="Chậm tiến độ",6,IF(OR($Y245="Sắp đến hạn",$J245="Cao"),7,"")))))</f>
      </c>
      <c r="AL245" s="225">
        <f>IF($AK245="","",$AK245*100000+IF(N($U245)=0,99999,INT($U245))+ROW()/100000)</f>
      </c>
      <c r="AM245" s="225">
        <f>IF(OR($A245="",TRIM($K245)="",COUNTIF($K$6:$K245,$K245)&gt;1),0,1)</f>
      </c>
      <c r="AN245" s="225">
        <f>IF($AM245=1,SUM($AM$6:$AM245),"")</f>
      </c>
      <c r="AO245" s="225">
        <f>IF(OR($A245="",$V245="Đã xử lý",N($U245)=0),0,IF(TDBC&lt;=$U245,0,MAX(1,MIN(4,IF((TDBC-$U245)*24&lt;24,1,IF((TDBC-$U245)*24&lt;72,2,IF((TDBC-$U245)*24&lt;168,3,4)))+IFERROR(INDEX({2,1,0,-1},MATCH($J245,{"Khẩn cấp","Cao","Trung bình","Thấp"},0)),0)))))</f>
      </c>
    </row>
    <row r="246">
      <c r="A246" s="216"/>
      <c r="B246" s="217"/>
      <c r="C246" s="218"/>
      <c r="D246" s="218"/>
      <c r="E246" s="218"/>
      <c r="F246" s="218"/>
      <c r="G246" s="216"/>
      <c r="H246" s="218"/>
      <c r="I246" s="218"/>
      <c r="J246" s="216"/>
      <c r="K246" s="218"/>
      <c r="L246" s="218"/>
      <c r="M246" s="218"/>
      <c r="N246" s="218"/>
      <c r="O246" s="219"/>
      <c r="P246" s="216"/>
      <c r="Q246" s="217"/>
      <c r="R246" s="216"/>
      <c r="S246" s="218"/>
      <c r="T246" s="218"/>
      <c r="U246" s="220">
        <f>IF($A246="","",IF(N($Q246)&gt;0,IF(MOD($Q246,1)=0,$Q246+1-1/1440,$Q246),IF(N($B246)=0,"",$B246+IF(N($AH246)&gt;0,$AH246,IFERROR(INDEX(DM_SLA_Gio,MATCH($J246,DM_SLA_Cap,0)),168))/24)))</f>
      </c>
      <c r="V246" s="221">
        <f>IF($A246="","",IF(N($AJ246)=0,"Mới tiếp nhận",INDEX('Nhật ký tiến độ'!$E:$E,$AJ246)))</f>
      </c>
      <c r="W246" s="222">
        <f>IF($A246="","",IF($V246="Đã xử lý",1,IF(N($AJ246)=0,0,N(INDEX('Nhật ký tiến độ'!$D:$D,$AJ246)))))</f>
      </c>
      <c r="X246" s="222">
        <f>IF(OR($A246="",$V246="Đã xử lý",N($U246)=0,N($B246)=0),"",IF(TDBC&lt;=$B246,0,IF(TDBC&gt;=$U246,1,(TDBC-$B246)/($U246-$B246))))</f>
      </c>
      <c r="Y246" s="223">
        <f>IF($A246="","",IF($V246="Đã xử lý","Hoàn thành",IF(N($U246)=0,"Chưa đặt hạn",IF(TDBC&gt;$U246,"Quá hạn",IF(ROUND((N($X246)-$W246)*100,0)&gt;=20,"Chậm tiến độ",IF($U246-TDBC&lt;=1,"Sắp đến hạn","Đúng tiến độ"))))))</f>
      </c>
      <c r="Z246" s="223">
        <f>IF(OR($A246="",$V246="Đã xử lý",N($U246)=0),"",IF(TDBC&gt;$U246,"Quá "&amp;IF(((TDBC-$U246)*24)&lt;1,MAX(1,ROUND(((TDBC-$U246)*24)*60,0))&amp;" phút",IF(ROUND(((TDBC-$U246)*24),0)&lt;24,ROUND(((TDBC-$U246)*24),0)&amp;" giờ",INT(ROUND(((TDBC-$U246)*24),0)/24)&amp;" ngày"&amp;IF(MOD(ROUND(((TDBC-$U246)*24),0),24)&gt;0," "&amp;MOD(ROUND(((TDBC-$U246)*24),0),24)&amp;" giờ",""))),"Còn "&amp;IF((($U246-TDBC)*24)&lt;1,MAX(1,ROUND((($U246-TDBC)*24)*60,0))&amp;" phút",IF(ROUND((($U246-TDBC)*24),0)&lt;24,ROUND((($U246-TDBC)*24),0)&amp;" giờ",INT(ROUND((($U246-TDBC)*24),0)/24)&amp;" ngày"&amp;IF(MOD(ROUND((($U246-TDBC)*24),0),24)&gt;0," "&amp;MOD(ROUND((($U246-TDBC)*24),0),24)&amp;" giờ","")))))</f>
      </c>
      <c r="AA246" s="220">
        <f>IF($V246="Đã xử lý",_xlfn.MAXIFS('Nhật ký tiến độ'!$B$6:$B$3005,'Nhật ký tiến độ'!$C$6:$C$3005,$A246,'Nhật ký tiến độ'!$E$6:$E$3005,"Đã xử lý"),"")</f>
      </c>
      <c r="AB246" s="223">
        <f>IF($AI246="","",IF($AI246&lt;1,MAX(1,ROUND($AI246*60,0))&amp;" phút",IF(ROUND($AI246,0)&lt;24,ROUND($AI246,0)&amp;" giờ",INT(ROUND($AI246,0)/24)&amp;" ngày"&amp;IF(MOD(ROUND($AI246,0),24)&gt;0," "&amp;MOD(ROUND($AI246,0),24)&amp;" giờ",""))))</f>
      </c>
      <c r="AC246" s="223">
        <f>IF(OR($A246="",N($AH246)=0),"",IF($AI246&lt;&gt;"",IF($AI246&lt;=$AH246,"Trong ước tính","Vượt "&amp;IF(($AI246-$AH246)&lt;1,MAX(1,ROUND(($AI246-$AH246)*60,0))&amp;" phút",IF(ROUND(($AI246-$AH246),0)&lt;24,ROUND(($AI246-$AH246),0)&amp;" giờ",INT(ROUND(($AI246-$AH246),0)/24)&amp;" ngày"&amp;IF(MOD(ROUND(($AI246-$AH246),0),24)&gt;0," "&amp;MOD(ROUND(($AI246-$AH246),0),24)&amp;" giờ","")))),IF(OR($V246="Đã xử lý",N($B246)=0),"",IF((TDBC-$B246)*24&gt;$AH246,"Đã vượt ước tính","Đã dùng "&amp;TEXT((TDBC-$B246)*24/$AH246,"0%")))))</f>
      </c>
      <c r="AD246" s="223">
        <f>IF(N($AO246)=0,"",CHOOSE($AO246,"Nhắc nhở","Cảnh báo","Báo động","Báo động đỏ"))</f>
      </c>
      <c r="AE246" s="223">
        <f>IF(OR(N($AA246)=0,N($U246)=0),"",IF($AA246&lt;=$U246,"Đúng hạn","Trễ hạn"))</f>
      </c>
      <c r="AF246" s="220">
        <f>IF($A246="","",_xlfn.MAXIFS('Nhật ký tiến độ'!$B$6:$B$3005,'Nhật ký tiến độ'!$C$6:$C$3005,$A246))</f>
      </c>
      <c r="AG246" s="223">
        <f>IF($A246="","",IF(COUNTIF('Kế hoạch'!$M$6:$M$305,$A246)=0,"",COUNTIF('Kế hoạch'!$M$6:$M$305,$A246)&amp;" việc"))</f>
      </c>
      <c r="AH246" s="224">
        <f>IF(OR($A246="",N($O246)&lt;=0),"",IF($P246="Giờ",$O246,$O246*24))</f>
      </c>
      <c r="AI246" s="224">
        <f>IF(OR(N($AA246)=0,N($B246)=0),"",IF($AA246&lt;$B246,"",($AA246-$B246)*24))</f>
      </c>
      <c r="AJ246" s="225">
        <f>IF($A246="","",IF(COUNTIF('Nhật ký tiến độ'!$C$6:$C$3005,$A246)=0,0,_xlfn.MAXIFS('Nhật ký tiến độ'!$N$6:$N$3005,'Nhật ký tiến độ'!$C$6:$C$3005,$A246,'Nhật ký tiến độ'!$B$6:$B$3005,_xlfn.MAXIFS('Nhật ký tiến độ'!$B$6:$B$3005,'Nhật ký tiến độ'!$C$6:$C$3005,$A246))))</f>
      </c>
      <c r="AK246" s="225">
        <f>IF(OR($A246="",$V246="Đã xử lý"),"",IF(N($AO246)&gt;0,5-$AO246,IF($J246="Khẩn cấp",5,IF($Y246="Chậm tiến độ",6,IF(OR($Y246="Sắp đến hạn",$J246="Cao"),7,"")))))</f>
      </c>
      <c r="AL246" s="225">
        <f>IF($AK246="","",$AK246*100000+IF(N($U246)=0,99999,INT($U246))+ROW()/100000)</f>
      </c>
      <c r="AM246" s="225">
        <f>IF(OR($A246="",TRIM($K246)="",COUNTIF($K$6:$K246,$K246)&gt;1),0,1)</f>
      </c>
      <c r="AN246" s="225">
        <f>IF($AM246=1,SUM($AM$6:$AM246),"")</f>
      </c>
      <c r="AO246" s="225">
        <f>IF(OR($A246="",$V246="Đã xử lý",N($U246)=0),0,IF(TDBC&lt;=$U246,0,MAX(1,MIN(4,IF((TDBC-$U246)*24&lt;24,1,IF((TDBC-$U246)*24&lt;72,2,IF((TDBC-$U246)*24&lt;168,3,4)))+IFERROR(INDEX({2,1,0,-1},MATCH($J246,{"Khẩn cấp","Cao","Trung bình","Thấp"},0)),0)))))</f>
      </c>
    </row>
    <row r="247">
      <c r="A247" s="216"/>
      <c r="B247" s="217"/>
      <c r="C247" s="218"/>
      <c r="D247" s="218"/>
      <c r="E247" s="218"/>
      <c r="F247" s="218"/>
      <c r="G247" s="216"/>
      <c r="H247" s="218"/>
      <c r="I247" s="218"/>
      <c r="J247" s="216"/>
      <c r="K247" s="218"/>
      <c r="L247" s="218"/>
      <c r="M247" s="218"/>
      <c r="N247" s="218"/>
      <c r="O247" s="219"/>
      <c r="P247" s="216"/>
      <c r="Q247" s="217"/>
      <c r="R247" s="216"/>
      <c r="S247" s="218"/>
      <c r="T247" s="218"/>
      <c r="U247" s="220">
        <f>IF($A247="","",IF(N($Q247)&gt;0,IF(MOD($Q247,1)=0,$Q247+1-1/1440,$Q247),IF(N($B247)=0,"",$B247+IF(N($AH247)&gt;0,$AH247,IFERROR(INDEX(DM_SLA_Gio,MATCH($J247,DM_SLA_Cap,0)),168))/24)))</f>
      </c>
      <c r="V247" s="221">
        <f>IF($A247="","",IF(N($AJ247)=0,"Mới tiếp nhận",INDEX('Nhật ký tiến độ'!$E:$E,$AJ247)))</f>
      </c>
      <c r="W247" s="222">
        <f>IF($A247="","",IF($V247="Đã xử lý",1,IF(N($AJ247)=0,0,N(INDEX('Nhật ký tiến độ'!$D:$D,$AJ247)))))</f>
      </c>
      <c r="X247" s="222">
        <f>IF(OR($A247="",$V247="Đã xử lý",N($U247)=0,N($B247)=0),"",IF(TDBC&lt;=$B247,0,IF(TDBC&gt;=$U247,1,(TDBC-$B247)/($U247-$B247))))</f>
      </c>
      <c r="Y247" s="223">
        <f>IF($A247="","",IF($V247="Đã xử lý","Hoàn thành",IF(N($U247)=0,"Chưa đặt hạn",IF(TDBC&gt;$U247,"Quá hạn",IF(ROUND((N($X247)-$W247)*100,0)&gt;=20,"Chậm tiến độ",IF($U247-TDBC&lt;=1,"Sắp đến hạn","Đúng tiến độ"))))))</f>
      </c>
      <c r="Z247" s="223">
        <f>IF(OR($A247="",$V247="Đã xử lý",N($U247)=0),"",IF(TDBC&gt;$U247,"Quá "&amp;IF(((TDBC-$U247)*24)&lt;1,MAX(1,ROUND(((TDBC-$U247)*24)*60,0))&amp;" phút",IF(ROUND(((TDBC-$U247)*24),0)&lt;24,ROUND(((TDBC-$U247)*24),0)&amp;" giờ",INT(ROUND(((TDBC-$U247)*24),0)/24)&amp;" ngày"&amp;IF(MOD(ROUND(((TDBC-$U247)*24),0),24)&gt;0," "&amp;MOD(ROUND(((TDBC-$U247)*24),0),24)&amp;" giờ",""))),"Còn "&amp;IF((($U247-TDBC)*24)&lt;1,MAX(1,ROUND((($U247-TDBC)*24)*60,0))&amp;" phút",IF(ROUND((($U247-TDBC)*24),0)&lt;24,ROUND((($U247-TDBC)*24),0)&amp;" giờ",INT(ROUND((($U247-TDBC)*24),0)/24)&amp;" ngày"&amp;IF(MOD(ROUND((($U247-TDBC)*24),0),24)&gt;0," "&amp;MOD(ROUND((($U247-TDBC)*24),0),24)&amp;" giờ","")))))</f>
      </c>
      <c r="AA247" s="220">
        <f>IF($V247="Đã xử lý",_xlfn.MAXIFS('Nhật ký tiến độ'!$B$6:$B$3005,'Nhật ký tiến độ'!$C$6:$C$3005,$A247,'Nhật ký tiến độ'!$E$6:$E$3005,"Đã xử lý"),"")</f>
      </c>
      <c r="AB247" s="223">
        <f>IF($AI247="","",IF($AI247&lt;1,MAX(1,ROUND($AI247*60,0))&amp;" phút",IF(ROUND($AI247,0)&lt;24,ROUND($AI247,0)&amp;" giờ",INT(ROUND($AI247,0)/24)&amp;" ngày"&amp;IF(MOD(ROUND($AI247,0),24)&gt;0," "&amp;MOD(ROUND($AI247,0),24)&amp;" giờ",""))))</f>
      </c>
      <c r="AC247" s="223">
        <f>IF(OR($A247="",N($AH247)=0),"",IF($AI247&lt;&gt;"",IF($AI247&lt;=$AH247,"Trong ước tính","Vượt "&amp;IF(($AI247-$AH247)&lt;1,MAX(1,ROUND(($AI247-$AH247)*60,0))&amp;" phút",IF(ROUND(($AI247-$AH247),0)&lt;24,ROUND(($AI247-$AH247),0)&amp;" giờ",INT(ROUND(($AI247-$AH247),0)/24)&amp;" ngày"&amp;IF(MOD(ROUND(($AI247-$AH247),0),24)&gt;0," "&amp;MOD(ROUND(($AI247-$AH247),0),24)&amp;" giờ","")))),IF(OR($V247="Đã xử lý",N($B247)=0),"",IF((TDBC-$B247)*24&gt;$AH247,"Đã vượt ước tính","Đã dùng "&amp;TEXT((TDBC-$B247)*24/$AH247,"0%")))))</f>
      </c>
      <c r="AD247" s="223">
        <f>IF(N($AO247)=0,"",CHOOSE($AO247,"Nhắc nhở","Cảnh báo","Báo động","Báo động đỏ"))</f>
      </c>
      <c r="AE247" s="223">
        <f>IF(OR(N($AA247)=0,N($U247)=0),"",IF($AA247&lt;=$U247,"Đúng hạn","Trễ hạn"))</f>
      </c>
      <c r="AF247" s="220">
        <f>IF($A247="","",_xlfn.MAXIFS('Nhật ký tiến độ'!$B$6:$B$3005,'Nhật ký tiến độ'!$C$6:$C$3005,$A247))</f>
      </c>
      <c r="AG247" s="223">
        <f>IF($A247="","",IF(COUNTIF('Kế hoạch'!$M$6:$M$305,$A247)=0,"",COUNTIF('Kế hoạch'!$M$6:$M$305,$A247)&amp;" việc"))</f>
      </c>
      <c r="AH247" s="224">
        <f>IF(OR($A247="",N($O247)&lt;=0),"",IF($P247="Giờ",$O247,$O247*24))</f>
      </c>
      <c r="AI247" s="224">
        <f>IF(OR(N($AA247)=0,N($B247)=0),"",IF($AA247&lt;$B247,"",($AA247-$B247)*24))</f>
      </c>
      <c r="AJ247" s="225">
        <f>IF($A247="","",IF(COUNTIF('Nhật ký tiến độ'!$C$6:$C$3005,$A247)=0,0,_xlfn.MAXIFS('Nhật ký tiến độ'!$N$6:$N$3005,'Nhật ký tiến độ'!$C$6:$C$3005,$A247,'Nhật ký tiến độ'!$B$6:$B$3005,_xlfn.MAXIFS('Nhật ký tiến độ'!$B$6:$B$3005,'Nhật ký tiến độ'!$C$6:$C$3005,$A247))))</f>
      </c>
      <c r="AK247" s="225">
        <f>IF(OR($A247="",$V247="Đã xử lý"),"",IF(N($AO247)&gt;0,5-$AO247,IF($J247="Khẩn cấp",5,IF($Y247="Chậm tiến độ",6,IF(OR($Y247="Sắp đến hạn",$J247="Cao"),7,"")))))</f>
      </c>
      <c r="AL247" s="225">
        <f>IF($AK247="","",$AK247*100000+IF(N($U247)=0,99999,INT($U247))+ROW()/100000)</f>
      </c>
      <c r="AM247" s="225">
        <f>IF(OR($A247="",TRIM($K247)="",COUNTIF($K$6:$K247,$K247)&gt;1),0,1)</f>
      </c>
      <c r="AN247" s="225">
        <f>IF($AM247=1,SUM($AM$6:$AM247),"")</f>
      </c>
      <c r="AO247" s="225">
        <f>IF(OR($A247="",$V247="Đã xử lý",N($U247)=0),0,IF(TDBC&lt;=$U247,0,MAX(1,MIN(4,IF((TDBC-$U247)*24&lt;24,1,IF((TDBC-$U247)*24&lt;72,2,IF((TDBC-$U247)*24&lt;168,3,4)))+IFERROR(INDEX({2,1,0,-1},MATCH($J247,{"Khẩn cấp","Cao","Trung bình","Thấp"},0)),0)))))</f>
      </c>
    </row>
    <row r="248">
      <c r="A248" s="216"/>
      <c r="B248" s="217"/>
      <c r="C248" s="218"/>
      <c r="D248" s="218"/>
      <c r="E248" s="218"/>
      <c r="F248" s="218"/>
      <c r="G248" s="216"/>
      <c r="H248" s="218"/>
      <c r="I248" s="218"/>
      <c r="J248" s="216"/>
      <c r="K248" s="218"/>
      <c r="L248" s="218"/>
      <c r="M248" s="218"/>
      <c r="N248" s="218"/>
      <c r="O248" s="219"/>
      <c r="P248" s="216"/>
      <c r="Q248" s="217"/>
      <c r="R248" s="216"/>
      <c r="S248" s="218"/>
      <c r="T248" s="218"/>
      <c r="U248" s="220">
        <f>IF($A248="","",IF(N($Q248)&gt;0,IF(MOD($Q248,1)=0,$Q248+1-1/1440,$Q248),IF(N($B248)=0,"",$B248+IF(N($AH248)&gt;0,$AH248,IFERROR(INDEX(DM_SLA_Gio,MATCH($J248,DM_SLA_Cap,0)),168))/24)))</f>
      </c>
      <c r="V248" s="221">
        <f>IF($A248="","",IF(N($AJ248)=0,"Mới tiếp nhận",INDEX('Nhật ký tiến độ'!$E:$E,$AJ248)))</f>
      </c>
      <c r="W248" s="222">
        <f>IF($A248="","",IF($V248="Đã xử lý",1,IF(N($AJ248)=0,0,N(INDEX('Nhật ký tiến độ'!$D:$D,$AJ248)))))</f>
      </c>
      <c r="X248" s="222">
        <f>IF(OR($A248="",$V248="Đã xử lý",N($U248)=0,N($B248)=0),"",IF(TDBC&lt;=$B248,0,IF(TDBC&gt;=$U248,1,(TDBC-$B248)/($U248-$B248))))</f>
      </c>
      <c r="Y248" s="223">
        <f>IF($A248="","",IF($V248="Đã xử lý","Hoàn thành",IF(N($U248)=0,"Chưa đặt hạn",IF(TDBC&gt;$U248,"Quá hạn",IF(ROUND((N($X248)-$W248)*100,0)&gt;=20,"Chậm tiến độ",IF($U248-TDBC&lt;=1,"Sắp đến hạn","Đúng tiến độ"))))))</f>
      </c>
      <c r="Z248" s="223">
        <f>IF(OR($A248="",$V248="Đã xử lý",N($U248)=0),"",IF(TDBC&gt;$U248,"Quá "&amp;IF(((TDBC-$U248)*24)&lt;1,MAX(1,ROUND(((TDBC-$U248)*24)*60,0))&amp;" phút",IF(ROUND(((TDBC-$U248)*24),0)&lt;24,ROUND(((TDBC-$U248)*24),0)&amp;" giờ",INT(ROUND(((TDBC-$U248)*24),0)/24)&amp;" ngày"&amp;IF(MOD(ROUND(((TDBC-$U248)*24),0),24)&gt;0," "&amp;MOD(ROUND(((TDBC-$U248)*24),0),24)&amp;" giờ",""))),"Còn "&amp;IF((($U248-TDBC)*24)&lt;1,MAX(1,ROUND((($U248-TDBC)*24)*60,0))&amp;" phút",IF(ROUND((($U248-TDBC)*24),0)&lt;24,ROUND((($U248-TDBC)*24),0)&amp;" giờ",INT(ROUND((($U248-TDBC)*24),0)/24)&amp;" ngày"&amp;IF(MOD(ROUND((($U248-TDBC)*24),0),24)&gt;0," "&amp;MOD(ROUND((($U248-TDBC)*24),0),24)&amp;" giờ","")))))</f>
      </c>
      <c r="AA248" s="220">
        <f>IF($V248="Đã xử lý",_xlfn.MAXIFS('Nhật ký tiến độ'!$B$6:$B$3005,'Nhật ký tiến độ'!$C$6:$C$3005,$A248,'Nhật ký tiến độ'!$E$6:$E$3005,"Đã xử lý"),"")</f>
      </c>
      <c r="AB248" s="223">
        <f>IF($AI248="","",IF($AI248&lt;1,MAX(1,ROUND($AI248*60,0))&amp;" phút",IF(ROUND($AI248,0)&lt;24,ROUND($AI248,0)&amp;" giờ",INT(ROUND($AI248,0)/24)&amp;" ngày"&amp;IF(MOD(ROUND($AI248,0),24)&gt;0," "&amp;MOD(ROUND($AI248,0),24)&amp;" giờ",""))))</f>
      </c>
      <c r="AC248" s="223">
        <f>IF(OR($A248="",N($AH248)=0),"",IF($AI248&lt;&gt;"",IF($AI248&lt;=$AH248,"Trong ước tính","Vượt "&amp;IF(($AI248-$AH248)&lt;1,MAX(1,ROUND(($AI248-$AH248)*60,0))&amp;" phút",IF(ROUND(($AI248-$AH248),0)&lt;24,ROUND(($AI248-$AH248),0)&amp;" giờ",INT(ROUND(($AI248-$AH248),0)/24)&amp;" ngày"&amp;IF(MOD(ROUND(($AI248-$AH248),0),24)&gt;0," "&amp;MOD(ROUND(($AI248-$AH248),0),24)&amp;" giờ","")))),IF(OR($V248="Đã xử lý",N($B248)=0),"",IF((TDBC-$B248)*24&gt;$AH248,"Đã vượt ước tính","Đã dùng "&amp;TEXT((TDBC-$B248)*24/$AH248,"0%")))))</f>
      </c>
      <c r="AD248" s="223">
        <f>IF(N($AO248)=0,"",CHOOSE($AO248,"Nhắc nhở","Cảnh báo","Báo động","Báo động đỏ"))</f>
      </c>
      <c r="AE248" s="223">
        <f>IF(OR(N($AA248)=0,N($U248)=0),"",IF($AA248&lt;=$U248,"Đúng hạn","Trễ hạn"))</f>
      </c>
      <c r="AF248" s="220">
        <f>IF($A248="","",_xlfn.MAXIFS('Nhật ký tiến độ'!$B$6:$B$3005,'Nhật ký tiến độ'!$C$6:$C$3005,$A248))</f>
      </c>
      <c r="AG248" s="223">
        <f>IF($A248="","",IF(COUNTIF('Kế hoạch'!$M$6:$M$305,$A248)=0,"",COUNTIF('Kế hoạch'!$M$6:$M$305,$A248)&amp;" việc"))</f>
      </c>
      <c r="AH248" s="224">
        <f>IF(OR($A248="",N($O248)&lt;=0),"",IF($P248="Giờ",$O248,$O248*24))</f>
      </c>
      <c r="AI248" s="224">
        <f>IF(OR(N($AA248)=0,N($B248)=0),"",IF($AA248&lt;$B248,"",($AA248-$B248)*24))</f>
      </c>
      <c r="AJ248" s="225">
        <f>IF($A248="","",IF(COUNTIF('Nhật ký tiến độ'!$C$6:$C$3005,$A248)=0,0,_xlfn.MAXIFS('Nhật ký tiến độ'!$N$6:$N$3005,'Nhật ký tiến độ'!$C$6:$C$3005,$A248,'Nhật ký tiến độ'!$B$6:$B$3005,_xlfn.MAXIFS('Nhật ký tiến độ'!$B$6:$B$3005,'Nhật ký tiến độ'!$C$6:$C$3005,$A248))))</f>
      </c>
      <c r="AK248" s="225">
        <f>IF(OR($A248="",$V248="Đã xử lý"),"",IF(N($AO248)&gt;0,5-$AO248,IF($J248="Khẩn cấp",5,IF($Y248="Chậm tiến độ",6,IF(OR($Y248="Sắp đến hạn",$J248="Cao"),7,"")))))</f>
      </c>
      <c r="AL248" s="225">
        <f>IF($AK248="","",$AK248*100000+IF(N($U248)=0,99999,INT($U248))+ROW()/100000)</f>
      </c>
      <c r="AM248" s="225">
        <f>IF(OR($A248="",TRIM($K248)="",COUNTIF($K$6:$K248,$K248)&gt;1),0,1)</f>
      </c>
      <c r="AN248" s="225">
        <f>IF($AM248=1,SUM($AM$6:$AM248),"")</f>
      </c>
      <c r="AO248" s="225">
        <f>IF(OR($A248="",$V248="Đã xử lý",N($U248)=0),0,IF(TDBC&lt;=$U248,0,MAX(1,MIN(4,IF((TDBC-$U248)*24&lt;24,1,IF((TDBC-$U248)*24&lt;72,2,IF((TDBC-$U248)*24&lt;168,3,4)))+IFERROR(INDEX({2,1,0,-1},MATCH($J248,{"Khẩn cấp","Cao","Trung bình","Thấp"},0)),0)))))</f>
      </c>
    </row>
    <row r="249">
      <c r="A249" s="216"/>
      <c r="B249" s="217"/>
      <c r="C249" s="218"/>
      <c r="D249" s="218"/>
      <c r="E249" s="218"/>
      <c r="F249" s="218"/>
      <c r="G249" s="216"/>
      <c r="H249" s="218"/>
      <c r="I249" s="218"/>
      <c r="J249" s="216"/>
      <c r="K249" s="218"/>
      <c r="L249" s="218"/>
      <c r="M249" s="218"/>
      <c r="N249" s="218"/>
      <c r="O249" s="219"/>
      <c r="P249" s="216"/>
      <c r="Q249" s="217"/>
      <c r="R249" s="216"/>
      <c r="S249" s="218"/>
      <c r="T249" s="218"/>
      <c r="U249" s="220">
        <f>IF($A249="","",IF(N($Q249)&gt;0,IF(MOD($Q249,1)=0,$Q249+1-1/1440,$Q249),IF(N($B249)=0,"",$B249+IF(N($AH249)&gt;0,$AH249,IFERROR(INDEX(DM_SLA_Gio,MATCH($J249,DM_SLA_Cap,0)),168))/24)))</f>
      </c>
      <c r="V249" s="221">
        <f>IF($A249="","",IF(N($AJ249)=0,"Mới tiếp nhận",INDEX('Nhật ký tiến độ'!$E:$E,$AJ249)))</f>
      </c>
      <c r="W249" s="222">
        <f>IF($A249="","",IF($V249="Đã xử lý",1,IF(N($AJ249)=0,0,N(INDEX('Nhật ký tiến độ'!$D:$D,$AJ249)))))</f>
      </c>
      <c r="X249" s="222">
        <f>IF(OR($A249="",$V249="Đã xử lý",N($U249)=0,N($B249)=0),"",IF(TDBC&lt;=$B249,0,IF(TDBC&gt;=$U249,1,(TDBC-$B249)/($U249-$B249))))</f>
      </c>
      <c r="Y249" s="223">
        <f>IF($A249="","",IF($V249="Đã xử lý","Hoàn thành",IF(N($U249)=0,"Chưa đặt hạn",IF(TDBC&gt;$U249,"Quá hạn",IF(ROUND((N($X249)-$W249)*100,0)&gt;=20,"Chậm tiến độ",IF($U249-TDBC&lt;=1,"Sắp đến hạn","Đúng tiến độ"))))))</f>
      </c>
      <c r="Z249" s="223">
        <f>IF(OR($A249="",$V249="Đã xử lý",N($U249)=0),"",IF(TDBC&gt;$U249,"Quá "&amp;IF(((TDBC-$U249)*24)&lt;1,MAX(1,ROUND(((TDBC-$U249)*24)*60,0))&amp;" phút",IF(ROUND(((TDBC-$U249)*24),0)&lt;24,ROUND(((TDBC-$U249)*24),0)&amp;" giờ",INT(ROUND(((TDBC-$U249)*24),0)/24)&amp;" ngày"&amp;IF(MOD(ROUND(((TDBC-$U249)*24),0),24)&gt;0," "&amp;MOD(ROUND(((TDBC-$U249)*24),0),24)&amp;" giờ",""))),"Còn "&amp;IF((($U249-TDBC)*24)&lt;1,MAX(1,ROUND((($U249-TDBC)*24)*60,0))&amp;" phút",IF(ROUND((($U249-TDBC)*24),0)&lt;24,ROUND((($U249-TDBC)*24),0)&amp;" giờ",INT(ROUND((($U249-TDBC)*24),0)/24)&amp;" ngày"&amp;IF(MOD(ROUND((($U249-TDBC)*24),0),24)&gt;0," "&amp;MOD(ROUND((($U249-TDBC)*24),0),24)&amp;" giờ","")))))</f>
      </c>
      <c r="AA249" s="220">
        <f>IF($V249="Đã xử lý",_xlfn.MAXIFS('Nhật ký tiến độ'!$B$6:$B$3005,'Nhật ký tiến độ'!$C$6:$C$3005,$A249,'Nhật ký tiến độ'!$E$6:$E$3005,"Đã xử lý"),"")</f>
      </c>
      <c r="AB249" s="223">
        <f>IF($AI249="","",IF($AI249&lt;1,MAX(1,ROUND($AI249*60,0))&amp;" phút",IF(ROUND($AI249,0)&lt;24,ROUND($AI249,0)&amp;" giờ",INT(ROUND($AI249,0)/24)&amp;" ngày"&amp;IF(MOD(ROUND($AI249,0),24)&gt;0," "&amp;MOD(ROUND($AI249,0),24)&amp;" giờ",""))))</f>
      </c>
      <c r="AC249" s="223">
        <f>IF(OR($A249="",N($AH249)=0),"",IF($AI249&lt;&gt;"",IF($AI249&lt;=$AH249,"Trong ước tính","Vượt "&amp;IF(($AI249-$AH249)&lt;1,MAX(1,ROUND(($AI249-$AH249)*60,0))&amp;" phút",IF(ROUND(($AI249-$AH249),0)&lt;24,ROUND(($AI249-$AH249),0)&amp;" giờ",INT(ROUND(($AI249-$AH249),0)/24)&amp;" ngày"&amp;IF(MOD(ROUND(($AI249-$AH249),0),24)&gt;0," "&amp;MOD(ROUND(($AI249-$AH249),0),24)&amp;" giờ","")))),IF(OR($V249="Đã xử lý",N($B249)=0),"",IF((TDBC-$B249)*24&gt;$AH249,"Đã vượt ước tính","Đã dùng "&amp;TEXT((TDBC-$B249)*24/$AH249,"0%")))))</f>
      </c>
      <c r="AD249" s="223">
        <f>IF(N($AO249)=0,"",CHOOSE($AO249,"Nhắc nhở","Cảnh báo","Báo động","Báo động đỏ"))</f>
      </c>
      <c r="AE249" s="223">
        <f>IF(OR(N($AA249)=0,N($U249)=0),"",IF($AA249&lt;=$U249,"Đúng hạn","Trễ hạn"))</f>
      </c>
      <c r="AF249" s="220">
        <f>IF($A249="","",_xlfn.MAXIFS('Nhật ký tiến độ'!$B$6:$B$3005,'Nhật ký tiến độ'!$C$6:$C$3005,$A249))</f>
      </c>
      <c r="AG249" s="223">
        <f>IF($A249="","",IF(COUNTIF('Kế hoạch'!$M$6:$M$305,$A249)=0,"",COUNTIF('Kế hoạch'!$M$6:$M$305,$A249)&amp;" việc"))</f>
      </c>
      <c r="AH249" s="224">
        <f>IF(OR($A249="",N($O249)&lt;=0),"",IF($P249="Giờ",$O249,$O249*24))</f>
      </c>
      <c r="AI249" s="224">
        <f>IF(OR(N($AA249)=0,N($B249)=0),"",IF($AA249&lt;$B249,"",($AA249-$B249)*24))</f>
      </c>
      <c r="AJ249" s="225">
        <f>IF($A249="","",IF(COUNTIF('Nhật ký tiến độ'!$C$6:$C$3005,$A249)=0,0,_xlfn.MAXIFS('Nhật ký tiến độ'!$N$6:$N$3005,'Nhật ký tiến độ'!$C$6:$C$3005,$A249,'Nhật ký tiến độ'!$B$6:$B$3005,_xlfn.MAXIFS('Nhật ký tiến độ'!$B$6:$B$3005,'Nhật ký tiến độ'!$C$6:$C$3005,$A249))))</f>
      </c>
      <c r="AK249" s="225">
        <f>IF(OR($A249="",$V249="Đã xử lý"),"",IF(N($AO249)&gt;0,5-$AO249,IF($J249="Khẩn cấp",5,IF($Y249="Chậm tiến độ",6,IF(OR($Y249="Sắp đến hạn",$J249="Cao"),7,"")))))</f>
      </c>
      <c r="AL249" s="225">
        <f>IF($AK249="","",$AK249*100000+IF(N($U249)=0,99999,INT($U249))+ROW()/100000)</f>
      </c>
      <c r="AM249" s="225">
        <f>IF(OR($A249="",TRIM($K249)="",COUNTIF($K$6:$K249,$K249)&gt;1),0,1)</f>
      </c>
      <c r="AN249" s="225">
        <f>IF($AM249=1,SUM($AM$6:$AM249),"")</f>
      </c>
      <c r="AO249" s="225">
        <f>IF(OR($A249="",$V249="Đã xử lý",N($U249)=0),0,IF(TDBC&lt;=$U249,0,MAX(1,MIN(4,IF((TDBC-$U249)*24&lt;24,1,IF((TDBC-$U249)*24&lt;72,2,IF((TDBC-$U249)*24&lt;168,3,4)))+IFERROR(INDEX({2,1,0,-1},MATCH($J249,{"Khẩn cấp","Cao","Trung bình","Thấp"},0)),0)))))</f>
      </c>
    </row>
    <row r="250">
      <c r="A250" s="216"/>
      <c r="B250" s="217"/>
      <c r="C250" s="218"/>
      <c r="D250" s="218"/>
      <c r="E250" s="218"/>
      <c r="F250" s="218"/>
      <c r="G250" s="216"/>
      <c r="H250" s="218"/>
      <c r="I250" s="218"/>
      <c r="J250" s="216"/>
      <c r="K250" s="218"/>
      <c r="L250" s="218"/>
      <c r="M250" s="218"/>
      <c r="N250" s="218"/>
      <c r="O250" s="219"/>
      <c r="P250" s="216"/>
      <c r="Q250" s="217"/>
      <c r="R250" s="216"/>
      <c r="S250" s="218"/>
      <c r="T250" s="218"/>
      <c r="U250" s="220">
        <f>IF($A250="","",IF(N($Q250)&gt;0,IF(MOD($Q250,1)=0,$Q250+1-1/1440,$Q250),IF(N($B250)=0,"",$B250+IF(N($AH250)&gt;0,$AH250,IFERROR(INDEX(DM_SLA_Gio,MATCH($J250,DM_SLA_Cap,0)),168))/24)))</f>
      </c>
      <c r="V250" s="221">
        <f>IF($A250="","",IF(N($AJ250)=0,"Mới tiếp nhận",INDEX('Nhật ký tiến độ'!$E:$E,$AJ250)))</f>
      </c>
      <c r="W250" s="222">
        <f>IF($A250="","",IF($V250="Đã xử lý",1,IF(N($AJ250)=0,0,N(INDEX('Nhật ký tiến độ'!$D:$D,$AJ250)))))</f>
      </c>
      <c r="X250" s="222">
        <f>IF(OR($A250="",$V250="Đã xử lý",N($U250)=0,N($B250)=0),"",IF(TDBC&lt;=$B250,0,IF(TDBC&gt;=$U250,1,(TDBC-$B250)/($U250-$B250))))</f>
      </c>
      <c r="Y250" s="223">
        <f>IF($A250="","",IF($V250="Đã xử lý","Hoàn thành",IF(N($U250)=0,"Chưa đặt hạn",IF(TDBC&gt;$U250,"Quá hạn",IF(ROUND((N($X250)-$W250)*100,0)&gt;=20,"Chậm tiến độ",IF($U250-TDBC&lt;=1,"Sắp đến hạn","Đúng tiến độ"))))))</f>
      </c>
      <c r="Z250" s="223">
        <f>IF(OR($A250="",$V250="Đã xử lý",N($U250)=0),"",IF(TDBC&gt;$U250,"Quá "&amp;IF(((TDBC-$U250)*24)&lt;1,MAX(1,ROUND(((TDBC-$U250)*24)*60,0))&amp;" phút",IF(ROUND(((TDBC-$U250)*24),0)&lt;24,ROUND(((TDBC-$U250)*24),0)&amp;" giờ",INT(ROUND(((TDBC-$U250)*24),0)/24)&amp;" ngày"&amp;IF(MOD(ROUND(((TDBC-$U250)*24),0),24)&gt;0," "&amp;MOD(ROUND(((TDBC-$U250)*24),0),24)&amp;" giờ",""))),"Còn "&amp;IF((($U250-TDBC)*24)&lt;1,MAX(1,ROUND((($U250-TDBC)*24)*60,0))&amp;" phút",IF(ROUND((($U250-TDBC)*24),0)&lt;24,ROUND((($U250-TDBC)*24),0)&amp;" giờ",INT(ROUND((($U250-TDBC)*24),0)/24)&amp;" ngày"&amp;IF(MOD(ROUND((($U250-TDBC)*24),0),24)&gt;0," "&amp;MOD(ROUND((($U250-TDBC)*24),0),24)&amp;" giờ","")))))</f>
      </c>
      <c r="AA250" s="220">
        <f>IF($V250="Đã xử lý",_xlfn.MAXIFS('Nhật ký tiến độ'!$B$6:$B$3005,'Nhật ký tiến độ'!$C$6:$C$3005,$A250,'Nhật ký tiến độ'!$E$6:$E$3005,"Đã xử lý"),"")</f>
      </c>
      <c r="AB250" s="223">
        <f>IF($AI250="","",IF($AI250&lt;1,MAX(1,ROUND($AI250*60,0))&amp;" phút",IF(ROUND($AI250,0)&lt;24,ROUND($AI250,0)&amp;" giờ",INT(ROUND($AI250,0)/24)&amp;" ngày"&amp;IF(MOD(ROUND($AI250,0),24)&gt;0," "&amp;MOD(ROUND($AI250,0),24)&amp;" giờ",""))))</f>
      </c>
      <c r="AC250" s="223">
        <f>IF(OR($A250="",N($AH250)=0),"",IF($AI250&lt;&gt;"",IF($AI250&lt;=$AH250,"Trong ước tính","Vượt "&amp;IF(($AI250-$AH250)&lt;1,MAX(1,ROUND(($AI250-$AH250)*60,0))&amp;" phút",IF(ROUND(($AI250-$AH250),0)&lt;24,ROUND(($AI250-$AH250),0)&amp;" giờ",INT(ROUND(($AI250-$AH250),0)/24)&amp;" ngày"&amp;IF(MOD(ROUND(($AI250-$AH250),0),24)&gt;0," "&amp;MOD(ROUND(($AI250-$AH250),0),24)&amp;" giờ","")))),IF(OR($V250="Đã xử lý",N($B250)=0),"",IF((TDBC-$B250)*24&gt;$AH250,"Đã vượt ước tính","Đã dùng "&amp;TEXT((TDBC-$B250)*24/$AH250,"0%")))))</f>
      </c>
      <c r="AD250" s="223">
        <f>IF(N($AO250)=0,"",CHOOSE($AO250,"Nhắc nhở","Cảnh báo","Báo động","Báo động đỏ"))</f>
      </c>
      <c r="AE250" s="223">
        <f>IF(OR(N($AA250)=0,N($U250)=0),"",IF($AA250&lt;=$U250,"Đúng hạn","Trễ hạn"))</f>
      </c>
      <c r="AF250" s="220">
        <f>IF($A250="","",_xlfn.MAXIFS('Nhật ký tiến độ'!$B$6:$B$3005,'Nhật ký tiến độ'!$C$6:$C$3005,$A250))</f>
      </c>
      <c r="AG250" s="223">
        <f>IF($A250="","",IF(COUNTIF('Kế hoạch'!$M$6:$M$305,$A250)=0,"",COUNTIF('Kế hoạch'!$M$6:$M$305,$A250)&amp;" việc"))</f>
      </c>
      <c r="AH250" s="224">
        <f>IF(OR($A250="",N($O250)&lt;=0),"",IF($P250="Giờ",$O250,$O250*24))</f>
      </c>
      <c r="AI250" s="224">
        <f>IF(OR(N($AA250)=0,N($B250)=0),"",IF($AA250&lt;$B250,"",($AA250-$B250)*24))</f>
      </c>
      <c r="AJ250" s="225">
        <f>IF($A250="","",IF(COUNTIF('Nhật ký tiến độ'!$C$6:$C$3005,$A250)=0,0,_xlfn.MAXIFS('Nhật ký tiến độ'!$N$6:$N$3005,'Nhật ký tiến độ'!$C$6:$C$3005,$A250,'Nhật ký tiến độ'!$B$6:$B$3005,_xlfn.MAXIFS('Nhật ký tiến độ'!$B$6:$B$3005,'Nhật ký tiến độ'!$C$6:$C$3005,$A250))))</f>
      </c>
      <c r="AK250" s="225">
        <f>IF(OR($A250="",$V250="Đã xử lý"),"",IF(N($AO250)&gt;0,5-$AO250,IF($J250="Khẩn cấp",5,IF($Y250="Chậm tiến độ",6,IF(OR($Y250="Sắp đến hạn",$J250="Cao"),7,"")))))</f>
      </c>
      <c r="AL250" s="225">
        <f>IF($AK250="","",$AK250*100000+IF(N($U250)=0,99999,INT($U250))+ROW()/100000)</f>
      </c>
      <c r="AM250" s="225">
        <f>IF(OR($A250="",TRIM($K250)="",COUNTIF($K$6:$K250,$K250)&gt;1),0,1)</f>
      </c>
      <c r="AN250" s="225">
        <f>IF($AM250=1,SUM($AM$6:$AM250),"")</f>
      </c>
      <c r="AO250" s="225">
        <f>IF(OR($A250="",$V250="Đã xử lý",N($U250)=0),0,IF(TDBC&lt;=$U250,0,MAX(1,MIN(4,IF((TDBC-$U250)*24&lt;24,1,IF((TDBC-$U250)*24&lt;72,2,IF((TDBC-$U250)*24&lt;168,3,4)))+IFERROR(INDEX({2,1,0,-1},MATCH($J250,{"Khẩn cấp","Cao","Trung bình","Thấp"},0)),0)))))</f>
      </c>
    </row>
    <row r="251">
      <c r="A251" s="216"/>
      <c r="B251" s="217"/>
      <c r="C251" s="218"/>
      <c r="D251" s="218"/>
      <c r="E251" s="218"/>
      <c r="F251" s="218"/>
      <c r="G251" s="216"/>
      <c r="H251" s="218"/>
      <c r="I251" s="218"/>
      <c r="J251" s="216"/>
      <c r="K251" s="218"/>
      <c r="L251" s="218"/>
      <c r="M251" s="218"/>
      <c r="N251" s="218"/>
      <c r="O251" s="219"/>
      <c r="P251" s="216"/>
      <c r="Q251" s="217"/>
      <c r="R251" s="216"/>
      <c r="S251" s="218"/>
      <c r="T251" s="218"/>
      <c r="U251" s="220">
        <f>IF($A251="","",IF(N($Q251)&gt;0,IF(MOD($Q251,1)=0,$Q251+1-1/1440,$Q251),IF(N($B251)=0,"",$B251+IF(N($AH251)&gt;0,$AH251,IFERROR(INDEX(DM_SLA_Gio,MATCH($J251,DM_SLA_Cap,0)),168))/24)))</f>
      </c>
      <c r="V251" s="221">
        <f>IF($A251="","",IF(N($AJ251)=0,"Mới tiếp nhận",INDEX('Nhật ký tiến độ'!$E:$E,$AJ251)))</f>
      </c>
      <c r="W251" s="222">
        <f>IF($A251="","",IF($V251="Đã xử lý",1,IF(N($AJ251)=0,0,N(INDEX('Nhật ký tiến độ'!$D:$D,$AJ251)))))</f>
      </c>
      <c r="X251" s="222">
        <f>IF(OR($A251="",$V251="Đã xử lý",N($U251)=0,N($B251)=0),"",IF(TDBC&lt;=$B251,0,IF(TDBC&gt;=$U251,1,(TDBC-$B251)/($U251-$B251))))</f>
      </c>
      <c r="Y251" s="223">
        <f>IF($A251="","",IF($V251="Đã xử lý","Hoàn thành",IF(N($U251)=0,"Chưa đặt hạn",IF(TDBC&gt;$U251,"Quá hạn",IF(ROUND((N($X251)-$W251)*100,0)&gt;=20,"Chậm tiến độ",IF($U251-TDBC&lt;=1,"Sắp đến hạn","Đúng tiến độ"))))))</f>
      </c>
      <c r="Z251" s="223">
        <f>IF(OR($A251="",$V251="Đã xử lý",N($U251)=0),"",IF(TDBC&gt;$U251,"Quá "&amp;IF(((TDBC-$U251)*24)&lt;1,MAX(1,ROUND(((TDBC-$U251)*24)*60,0))&amp;" phút",IF(ROUND(((TDBC-$U251)*24),0)&lt;24,ROUND(((TDBC-$U251)*24),0)&amp;" giờ",INT(ROUND(((TDBC-$U251)*24),0)/24)&amp;" ngày"&amp;IF(MOD(ROUND(((TDBC-$U251)*24),0),24)&gt;0," "&amp;MOD(ROUND(((TDBC-$U251)*24),0),24)&amp;" giờ",""))),"Còn "&amp;IF((($U251-TDBC)*24)&lt;1,MAX(1,ROUND((($U251-TDBC)*24)*60,0))&amp;" phút",IF(ROUND((($U251-TDBC)*24),0)&lt;24,ROUND((($U251-TDBC)*24),0)&amp;" giờ",INT(ROUND((($U251-TDBC)*24),0)/24)&amp;" ngày"&amp;IF(MOD(ROUND((($U251-TDBC)*24),0),24)&gt;0," "&amp;MOD(ROUND((($U251-TDBC)*24),0),24)&amp;" giờ","")))))</f>
      </c>
      <c r="AA251" s="220">
        <f>IF($V251="Đã xử lý",_xlfn.MAXIFS('Nhật ký tiến độ'!$B$6:$B$3005,'Nhật ký tiến độ'!$C$6:$C$3005,$A251,'Nhật ký tiến độ'!$E$6:$E$3005,"Đã xử lý"),"")</f>
      </c>
      <c r="AB251" s="223">
        <f>IF($AI251="","",IF($AI251&lt;1,MAX(1,ROUND($AI251*60,0))&amp;" phút",IF(ROUND($AI251,0)&lt;24,ROUND($AI251,0)&amp;" giờ",INT(ROUND($AI251,0)/24)&amp;" ngày"&amp;IF(MOD(ROUND($AI251,0),24)&gt;0," "&amp;MOD(ROUND($AI251,0),24)&amp;" giờ",""))))</f>
      </c>
      <c r="AC251" s="223">
        <f>IF(OR($A251="",N($AH251)=0),"",IF($AI251&lt;&gt;"",IF($AI251&lt;=$AH251,"Trong ước tính","Vượt "&amp;IF(($AI251-$AH251)&lt;1,MAX(1,ROUND(($AI251-$AH251)*60,0))&amp;" phút",IF(ROUND(($AI251-$AH251),0)&lt;24,ROUND(($AI251-$AH251),0)&amp;" giờ",INT(ROUND(($AI251-$AH251),0)/24)&amp;" ngày"&amp;IF(MOD(ROUND(($AI251-$AH251),0),24)&gt;0," "&amp;MOD(ROUND(($AI251-$AH251),0),24)&amp;" giờ","")))),IF(OR($V251="Đã xử lý",N($B251)=0),"",IF((TDBC-$B251)*24&gt;$AH251,"Đã vượt ước tính","Đã dùng "&amp;TEXT((TDBC-$B251)*24/$AH251,"0%")))))</f>
      </c>
      <c r="AD251" s="223">
        <f>IF(N($AO251)=0,"",CHOOSE($AO251,"Nhắc nhở","Cảnh báo","Báo động","Báo động đỏ"))</f>
      </c>
      <c r="AE251" s="223">
        <f>IF(OR(N($AA251)=0,N($U251)=0),"",IF($AA251&lt;=$U251,"Đúng hạn","Trễ hạn"))</f>
      </c>
      <c r="AF251" s="220">
        <f>IF($A251="","",_xlfn.MAXIFS('Nhật ký tiến độ'!$B$6:$B$3005,'Nhật ký tiến độ'!$C$6:$C$3005,$A251))</f>
      </c>
      <c r="AG251" s="223">
        <f>IF($A251="","",IF(COUNTIF('Kế hoạch'!$M$6:$M$305,$A251)=0,"",COUNTIF('Kế hoạch'!$M$6:$M$305,$A251)&amp;" việc"))</f>
      </c>
      <c r="AH251" s="224">
        <f>IF(OR($A251="",N($O251)&lt;=0),"",IF($P251="Giờ",$O251,$O251*24))</f>
      </c>
      <c r="AI251" s="224">
        <f>IF(OR(N($AA251)=0,N($B251)=0),"",IF($AA251&lt;$B251,"",($AA251-$B251)*24))</f>
      </c>
      <c r="AJ251" s="225">
        <f>IF($A251="","",IF(COUNTIF('Nhật ký tiến độ'!$C$6:$C$3005,$A251)=0,0,_xlfn.MAXIFS('Nhật ký tiến độ'!$N$6:$N$3005,'Nhật ký tiến độ'!$C$6:$C$3005,$A251,'Nhật ký tiến độ'!$B$6:$B$3005,_xlfn.MAXIFS('Nhật ký tiến độ'!$B$6:$B$3005,'Nhật ký tiến độ'!$C$6:$C$3005,$A251))))</f>
      </c>
      <c r="AK251" s="225">
        <f>IF(OR($A251="",$V251="Đã xử lý"),"",IF(N($AO251)&gt;0,5-$AO251,IF($J251="Khẩn cấp",5,IF($Y251="Chậm tiến độ",6,IF(OR($Y251="Sắp đến hạn",$J251="Cao"),7,"")))))</f>
      </c>
      <c r="AL251" s="225">
        <f>IF($AK251="","",$AK251*100000+IF(N($U251)=0,99999,INT($U251))+ROW()/100000)</f>
      </c>
      <c r="AM251" s="225">
        <f>IF(OR($A251="",TRIM($K251)="",COUNTIF($K$6:$K251,$K251)&gt;1),0,1)</f>
      </c>
      <c r="AN251" s="225">
        <f>IF($AM251=1,SUM($AM$6:$AM251),"")</f>
      </c>
      <c r="AO251" s="225">
        <f>IF(OR($A251="",$V251="Đã xử lý",N($U251)=0),0,IF(TDBC&lt;=$U251,0,MAX(1,MIN(4,IF((TDBC-$U251)*24&lt;24,1,IF((TDBC-$U251)*24&lt;72,2,IF((TDBC-$U251)*24&lt;168,3,4)))+IFERROR(INDEX({2,1,0,-1},MATCH($J251,{"Khẩn cấp","Cao","Trung bình","Thấp"},0)),0)))))</f>
      </c>
    </row>
    <row r="252">
      <c r="A252" s="216"/>
      <c r="B252" s="217"/>
      <c r="C252" s="218"/>
      <c r="D252" s="218"/>
      <c r="E252" s="218"/>
      <c r="F252" s="218"/>
      <c r="G252" s="216"/>
      <c r="H252" s="218"/>
      <c r="I252" s="218"/>
      <c r="J252" s="216"/>
      <c r="K252" s="218"/>
      <c r="L252" s="218"/>
      <c r="M252" s="218"/>
      <c r="N252" s="218"/>
      <c r="O252" s="219"/>
      <c r="P252" s="216"/>
      <c r="Q252" s="217"/>
      <c r="R252" s="216"/>
      <c r="S252" s="218"/>
      <c r="T252" s="218"/>
      <c r="U252" s="220">
        <f>IF($A252="","",IF(N($Q252)&gt;0,IF(MOD($Q252,1)=0,$Q252+1-1/1440,$Q252),IF(N($B252)=0,"",$B252+IF(N($AH252)&gt;0,$AH252,IFERROR(INDEX(DM_SLA_Gio,MATCH($J252,DM_SLA_Cap,0)),168))/24)))</f>
      </c>
      <c r="V252" s="221">
        <f>IF($A252="","",IF(N($AJ252)=0,"Mới tiếp nhận",INDEX('Nhật ký tiến độ'!$E:$E,$AJ252)))</f>
      </c>
      <c r="W252" s="222">
        <f>IF($A252="","",IF($V252="Đã xử lý",1,IF(N($AJ252)=0,0,N(INDEX('Nhật ký tiến độ'!$D:$D,$AJ252)))))</f>
      </c>
      <c r="X252" s="222">
        <f>IF(OR($A252="",$V252="Đã xử lý",N($U252)=0,N($B252)=0),"",IF(TDBC&lt;=$B252,0,IF(TDBC&gt;=$U252,1,(TDBC-$B252)/($U252-$B252))))</f>
      </c>
      <c r="Y252" s="223">
        <f>IF($A252="","",IF($V252="Đã xử lý","Hoàn thành",IF(N($U252)=0,"Chưa đặt hạn",IF(TDBC&gt;$U252,"Quá hạn",IF(ROUND((N($X252)-$W252)*100,0)&gt;=20,"Chậm tiến độ",IF($U252-TDBC&lt;=1,"Sắp đến hạn","Đúng tiến độ"))))))</f>
      </c>
      <c r="Z252" s="223">
        <f>IF(OR($A252="",$V252="Đã xử lý",N($U252)=0),"",IF(TDBC&gt;$U252,"Quá "&amp;IF(((TDBC-$U252)*24)&lt;1,MAX(1,ROUND(((TDBC-$U252)*24)*60,0))&amp;" phút",IF(ROUND(((TDBC-$U252)*24),0)&lt;24,ROUND(((TDBC-$U252)*24),0)&amp;" giờ",INT(ROUND(((TDBC-$U252)*24),0)/24)&amp;" ngày"&amp;IF(MOD(ROUND(((TDBC-$U252)*24),0),24)&gt;0," "&amp;MOD(ROUND(((TDBC-$U252)*24),0),24)&amp;" giờ",""))),"Còn "&amp;IF((($U252-TDBC)*24)&lt;1,MAX(1,ROUND((($U252-TDBC)*24)*60,0))&amp;" phút",IF(ROUND((($U252-TDBC)*24),0)&lt;24,ROUND((($U252-TDBC)*24),0)&amp;" giờ",INT(ROUND((($U252-TDBC)*24),0)/24)&amp;" ngày"&amp;IF(MOD(ROUND((($U252-TDBC)*24),0),24)&gt;0," "&amp;MOD(ROUND((($U252-TDBC)*24),0),24)&amp;" giờ","")))))</f>
      </c>
      <c r="AA252" s="220">
        <f>IF($V252="Đã xử lý",_xlfn.MAXIFS('Nhật ký tiến độ'!$B$6:$B$3005,'Nhật ký tiến độ'!$C$6:$C$3005,$A252,'Nhật ký tiến độ'!$E$6:$E$3005,"Đã xử lý"),"")</f>
      </c>
      <c r="AB252" s="223">
        <f>IF($AI252="","",IF($AI252&lt;1,MAX(1,ROUND($AI252*60,0))&amp;" phút",IF(ROUND($AI252,0)&lt;24,ROUND($AI252,0)&amp;" giờ",INT(ROUND($AI252,0)/24)&amp;" ngày"&amp;IF(MOD(ROUND($AI252,0),24)&gt;0," "&amp;MOD(ROUND($AI252,0),24)&amp;" giờ",""))))</f>
      </c>
      <c r="AC252" s="223">
        <f>IF(OR($A252="",N($AH252)=0),"",IF($AI252&lt;&gt;"",IF($AI252&lt;=$AH252,"Trong ước tính","Vượt "&amp;IF(($AI252-$AH252)&lt;1,MAX(1,ROUND(($AI252-$AH252)*60,0))&amp;" phút",IF(ROUND(($AI252-$AH252),0)&lt;24,ROUND(($AI252-$AH252),0)&amp;" giờ",INT(ROUND(($AI252-$AH252),0)/24)&amp;" ngày"&amp;IF(MOD(ROUND(($AI252-$AH252),0),24)&gt;0," "&amp;MOD(ROUND(($AI252-$AH252),0),24)&amp;" giờ","")))),IF(OR($V252="Đã xử lý",N($B252)=0),"",IF((TDBC-$B252)*24&gt;$AH252,"Đã vượt ước tính","Đã dùng "&amp;TEXT((TDBC-$B252)*24/$AH252,"0%")))))</f>
      </c>
      <c r="AD252" s="223">
        <f>IF(N($AO252)=0,"",CHOOSE($AO252,"Nhắc nhở","Cảnh báo","Báo động","Báo động đỏ"))</f>
      </c>
      <c r="AE252" s="223">
        <f>IF(OR(N($AA252)=0,N($U252)=0),"",IF($AA252&lt;=$U252,"Đúng hạn","Trễ hạn"))</f>
      </c>
      <c r="AF252" s="220">
        <f>IF($A252="","",_xlfn.MAXIFS('Nhật ký tiến độ'!$B$6:$B$3005,'Nhật ký tiến độ'!$C$6:$C$3005,$A252))</f>
      </c>
      <c r="AG252" s="223">
        <f>IF($A252="","",IF(COUNTIF('Kế hoạch'!$M$6:$M$305,$A252)=0,"",COUNTIF('Kế hoạch'!$M$6:$M$305,$A252)&amp;" việc"))</f>
      </c>
      <c r="AH252" s="224">
        <f>IF(OR($A252="",N($O252)&lt;=0),"",IF($P252="Giờ",$O252,$O252*24))</f>
      </c>
      <c r="AI252" s="224">
        <f>IF(OR(N($AA252)=0,N($B252)=0),"",IF($AA252&lt;$B252,"",($AA252-$B252)*24))</f>
      </c>
      <c r="AJ252" s="225">
        <f>IF($A252="","",IF(COUNTIF('Nhật ký tiến độ'!$C$6:$C$3005,$A252)=0,0,_xlfn.MAXIFS('Nhật ký tiến độ'!$N$6:$N$3005,'Nhật ký tiến độ'!$C$6:$C$3005,$A252,'Nhật ký tiến độ'!$B$6:$B$3005,_xlfn.MAXIFS('Nhật ký tiến độ'!$B$6:$B$3005,'Nhật ký tiến độ'!$C$6:$C$3005,$A252))))</f>
      </c>
      <c r="AK252" s="225">
        <f>IF(OR($A252="",$V252="Đã xử lý"),"",IF(N($AO252)&gt;0,5-$AO252,IF($J252="Khẩn cấp",5,IF($Y252="Chậm tiến độ",6,IF(OR($Y252="Sắp đến hạn",$J252="Cao"),7,"")))))</f>
      </c>
      <c r="AL252" s="225">
        <f>IF($AK252="","",$AK252*100000+IF(N($U252)=0,99999,INT($U252))+ROW()/100000)</f>
      </c>
      <c r="AM252" s="225">
        <f>IF(OR($A252="",TRIM($K252)="",COUNTIF($K$6:$K252,$K252)&gt;1),0,1)</f>
      </c>
      <c r="AN252" s="225">
        <f>IF($AM252=1,SUM($AM$6:$AM252),"")</f>
      </c>
      <c r="AO252" s="225">
        <f>IF(OR($A252="",$V252="Đã xử lý",N($U252)=0),0,IF(TDBC&lt;=$U252,0,MAX(1,MIN(4,IF((TDBC-$U252)*24&lt;24,1,IF((TDBC-$U252)*24&lt;72,2,IF((TDBC-$U252)*24&lt;168,3,4)))+IFERROR(INDEX({2,1,0,-1},MATCH($J252,{"Khẩn cấp","Cao","Trung bình","Thấp"},0)),0)))))</f>
      </c>
    </row>
    <row r="253">
      <c r="A253" s="216"/>
      <c r="B253" s="217"/>
      <c r="C253" s="218"/>
      <c r="D253" s="218"/>
      <c r="E253" s="218"/>
      <c r="F253" s="218"/>
      <c r="G253" s="216"/>
      <c r="H253" s="218"/>
      <c r="I253" s="218"/>
      <c r="J253" s="216"/>
      <c r="K253" s="218"/>
      <c r="L253" s="218"/>
      <c r="M253" s="218"/>
      <c r="N253" s="218"/>
      <c r="O253" s="219"/>
      <c r="P253" s="216"/>
      <c r="Q253" s="217"/>
      <c r="R253" s="216"/>
      <c r="S253" s="218"/>
      <c r="T253" s="218"/>
      <c r="U253" s="220">
        <f>IF($A253="","",IF(N($Q253)&gt;0,IF(MOD($Q253,1)=0,$Q253+1-1/1440,$Q253),IF(N($B253)=0,"",$B253+IF(N($AH253)&gt;0,$AH253,IFERROR(INDEX(DM_SLA_Gio,MATCH($J253,DM_SLA_Cap,0)),168))/24)))</f>
      </c>
      <c r="V253" s="221">
        <f>IF($A253="","",IF(N($AJ253)=0,"Mới tiếp nhận",INDEX('Nhật ký tiến độ'!$E:$E,$AJ253)))</f>
      </c>
      <c r="W253" s="222">
        <f>IF($A253="","",IF($V253="Đã xử lý",1,IF(N($AJ253)=0,0,N(INDEX('Nhật ký tiến độ'!$D:$D,$AJ253)))))</f>
      </c>
      <c r="X253" s="222">
        <f>IF(OR($A253="",$V253="Đã xử lý",N($U253)=0,N($B253)=0),"",IF(TDBC&lt;=$B253,0,IF(TDBC&gt;=$U253,1,(TDBC-$B253)/($U253-$B253))))</f>
      </c>
      <c r="Y253" s="223">
        <f>IF($A253="","",IF($V253="Đã xử lý","Hoàn thành",IF(N($U253)=0,"Chưa đặt hạn",IF(TDBC&gt;$U253,"Quá hạn",IF(ROUND((N($X253)-$W253)*100,0)&gt;=20,"Chậm tiến độ",IF($U253-TDBC&lt;=1,"Sắp đến hạn","Đúng tiến độ"))))))</f>
      </c>
      <c r="Z253" s="223">
        <f>IF(OR($A253="",$V253="Đã xử lý",N($U253)=0),"",IF(TDBC&gt;$U253,"Quá "&amp;IF(((TDBC-$U253)*24)&lt;1,MAX(1,ROUND(((TDBC-$U253)*24)*60,0))&amp;" phút",IF(ROUND(((TDBC-$U253)*24),0)&lt;24,ROUND(((TDBC-$U253)*24),0)&amp;" giờ",INT(ROUND(((TDBC-$U253)*24),0)/24)&amp;" ngày"&amp;IF(MOD(ROUND(((TDBC-$U253)*24),0),24)&gt;0," "&amp;MOD(ROUND(((TDBC-$U253)*24),0),24)&amp;" giờ",""))),"Còn "&amp;IF((($U253-TDBC)*24)&lt;1,MAX(1,ROUND((($U253-TDBC)*24)*60,0))&amp;" phút",IF(ROUND((($U253-TDBC)*24),0)&lt;24,ROUND((($U253-TDBC)*24),0)&amp;" giờ",INT(ROUND((($U253-TDBC)*24),0)/24)&amp;" ngày"&amp;IF(MOD(ROUND((($U253-TDBC)*24),0),24)&gt;0," "&amp;MOD(ROUND((($U253-TDBC)*24),0),24)&amp;" giờ","")))))</f>
      </c>
      <c r="AA253" s="220">
        <f>IF($V253="Đã xử lý",_xlfn.MAXIFS('Nhật ký tiến độ'!$B$6:$B$3005,'Nhật ký tiến độ'!$C$6:$C$3005,$A253,'Nhật ký tiến độ'!$E$6:$E$3005,"Đã xử lý"),"")</f>
      </c>
      <c r="AB253" s="223">
        <f>IF($AI253="","",IF($AI253&lt;1,MAX(1,ROUND($AI253*60,0))&amp;" phút",IF(ROUND($AI253,0)&lt;24,ROUND($AI253,0)&amp;" giờ",INT(ROUND($AI253,0)/24)&amp;" ngày"&amp;IF(MOD(ROUND($AI253,0),24)&gt;0," "&amp;MOD(ROUND($AI253,0),24)&amp;" giờ",""))))</f>
      </c>
      <c r="AC253" s="223">
        <f>IF(OR($A253="",N($AH253)=0),"",IF($AI253&lt;&gt;"",IF($AI253&lt;=$AH253,"Trong ước tính","Vượt "&amp;IF(($AI253-$AH253)&lt;1,MAX(1,ROUND(($AI253-$AH253)*60,0))&amp;" phút",IF(ROUND(($AI253-$AH253),0)&lt;24,ROUND(($AI253-$AH253),0)&amp;" giờ",INT(ROUND(($AI253-$AH253),0)/24)&amp;" ngày"&amp;IF(MOD(ROUND(($AI253-$AH253),0),24)&gt;0," "&amp;MOD(ROUND(($AI253-$AH253),0),24)&amp;" giờ","")))),IF(OR($V253="Đã xử lý",N($B253)=0),"",IF((TDBC-$B253)*24&gt;$AH253,"Đã vượt ước tính","Đã dùng "&amp;TEXT((TDBC-$B253)*24/$AH253,"0%")))))</f>
      </c>
      <c r="AD253" s="223">
        <f>IF(N($AO253)=0,"",CHOOSE($AO253,"Nhắc nhở","Cảnh báo","Báo động","Báo động đỏ"))</f>
      </c>
      <c r="AE253" s="223">
        <f>IF(OR(N($AA253)=0,N($U253)=0),"",IF($AA253&lt;=$U253,"Đúng hạn","Trễ hạn"))</f>
      </c>
      <c r="AF253" s="220">
        <f>IF($A253="","",_xlfn.MAXIFS('Nhật ký tiến độ'!$B$6:$B$3005,'Nhật ký tiến độ'!$C$6:$C$3005,$A253))</f>
      </c>
      <c r="AG253" s="223">
        <f>IF($A253="","",IF(COUNTIF('Kế hoạch'!$M$6:$M$305,$A253)=0,"",COUNTIF('Kế hoạch'!$M$6:$M$305,$A253)&amp;" việc"))</f>
      </c>
      <c r="AH253" s="224">
        <f>IF(OR($A253="",N($O253)&lt;=0),"",IF($P253="Giờ",$O253,$O253*24))</f>
      </c>
      <c r="AI253" s="224">
        <f>IF(OR(N($AA253)=0,N($B253)=0),"",IF($AA253&lt;$B253,"",($AA253-$B253)*24))</f>
      </c>
      <c r="AJ253" s="225">
        <f>IF($A253="","",IF(COUNTIF('Nhật ký tiến độ'!$C$6:$C$3005,$A253)=0,0,_xlfn.MAXIFS('Nhật ký tiến độ'!$N$6:$N$3005,'Nhật ký tiến độ'!$C$6:$C$3005,$A253,'Nhật ký tiến độ'!$B$6:$B$3005,_xlfn.MAXIFS('Nhật ký tiến độ'!$B$6:$B$3005,'Nhật ký tiến độ'!$C$6:$C$3005,$A253))))</f>
      </c>
      <c r="AK253" s="225">
        <f>IF(OR($A253="",$V253="Đã xử lý"),"",IF(N($AO253)&gt;0,5-$AO253,IF($J253="Khẩn cấp",5,IF($Y253="Chậm tiến độ",6,IF(OR($Y253="Sắp đến hạn",$J253="Cao"),7,"")))))</f>
      </c>
      <c r="AL253" s="225">
        <f>IF($AK253="","",$AK253*100000+IF(N($U253)=0,99999,INT($U253))+ROW()/100000)</f>
      </c>
      <c r="AM253" s="225">
        <f>IF(OR($A253="",TRIM($K253)="",COUNTIF($K$6:$K253,$K253)&gt;1),0,1)</f>
      </c>
      <c r="AN253" s="225">
        <f>IF($AM253=1,SUM($AM$6:$AM253),"")</f>
      </c>
      <c r="AO253" s="225">
        <f>IF(OR($A253="",$V253="Đã xử lý",N($U253)=0),0,IF(TDBC&lt;=$U253,0,MAX(1,MIN(4,IF((TDBC-$U253)*24&lt;24,1,IF((TDBC-$U253)*24&lt;72,2,IF((TDBC-$U253)*24&lt;168,3,4)))+IFERROR(INDEX({2,1,0,-1},MATCH($J253,{"Khẩn cấp","Cao","Trung bình","Thấp"},0)),0)))))</f>
      </c>
    </row>
    <row r="254">
      <c r="A254" s="216"/>
      <c r="B254" s="217"/>
      <c r="C254" s="218"/>
      <c r="D254" s="218"/>
      <c r="E254" s="218"/>
      <c r="F254" s="218"/>
      <c r="G254" s="216"/>
      <c r="H254" s="218"/>
      <c r="I254" s="218"/>
      <c r="J254" s="216"/>
      <c r="K254" s="218"/>
      <c r="L254" s="218"/>
      <c r="M254" s="218"/>
      <c r="N254" s="218"/>
      <c r="O254" s="219"/>
      <c r="P254" s="216"/>
      <c r="Q254" s="217"/>
      <c r="R254" s="216"/>
      <c r="S254" s="218"/>
      <c r="T254" s="218"/>
      <c r="U254" s="220">
        <f>IF($A254="","",IF(N($Q254)&gt;0,IF(MOD($Q254,1)=0,$Q254+1-1/1440,$Q254),IF(N($B254)=0,"",$B254+IF(N($AH254)&gt;0,$AH254,IFERROR(INDEX(DM_SLA_Gio,MATCH($J254,DM_SLA_Cap,0)),168))/24)))</f>
      </c>
      <c r="V254" s="221">
        <f>IF($A254="","",IF(N($AJ254)=0,"Mới tiếp nhận",INDEX('Nhật ký tiến độ'!$E:$E,$AJ254)))</f>
      </c>
      <c r="W254" s="222">
        <f>IF($A254="","",IF($V254="Đã xử lý",1,IF(N($AJ254)=0,0,N(INDEX('Nhật ký tiến độ'!$D:$D,$AJ254)))))</f>
      </c>
      <c r="X254" s="222">
        <f>IF(OR($A254="",$V254="Đã xử lý",N($U254)=0,N($B254)=0),"",IF(TDBC&lt;=$B254,0,IF(TDBC&gt;=$U254,1,(TDBC-$B254)/($U254-$B254))))</f>
      </c>
      <c r="Y254" s="223">
        <f>IF($A254="","",IF($V254="Đã xử lý","Hoàn thành",IF(N($U254)=0,"Chưa đặt hạn",IF(TDBC&gt;$U254,"Quá hạn",IF(ROUND((N($X254)-$W254)*100,0)&gt;=20,"Chậm tiến độ",IF($U254-TDBC&lt;=1,"Sắp đến hạn","Đúng tiến độ"))))))</f>
      </c>
      <c r="Z254" s="223">
        <f>IF(OR($A254="",$V254="Đã xử lý",N($U254)=0),"",IF(TDBC&gt;$U254,"Quá "&amp;IF(((TDBC-$U254)*24)&lt;1,MAX(1,ROUND(((TDBC-$U254)*24)*60,0))&amp;" phút",IF(ROUND(((TDBC-$U254)*24),0)&lt;24,ROUND(((TDBC-$U254)*24),0)&amp;" giờ",INT(ROUND(((TDBC-$U254)*24),0)/24)&amp;" ngày"&amp;IF(MOD(ROUND(((TDBC-$U254)*24),0),24)&gt;0," "&amp;MOD(ROUND(((TDBC-$U254)*24),0),24)&amp;" giờ",""))),"Còn "&amp;IF((($U254-TDBC)*24)&lt;1,MAX(1,ROUND((($U254-TDBC)*24)*60,0))&amp;" phút",IF(ROUND((($U254-TDBC)*24),0)&lt;24,ROUND((($U254-TDBC)*24),0)&amp;" giờ",INT(ROUND((($U254-TDBC)*24),0)/24)&amp;" ngày"&amp;IF(MOD(ROUND((($U254-TDBC)*24),0),24)&gt;0," "&amp;MOD(ROUND((($U254-TDBC)*24),0),24)&amp;" giờ","")))))</f>
      </c>
      <c r="AA254" s="220">
        <f>IF($V254="Đã xử lý",_xlfn.MAXIFS('Nhật ký tiến độ'!$B$6:$B$3005,'Nhật ký tiến độ'!$C$6:$C$3005,$A254,'Nhật ký tiến độ'!$E$6:$E$3005,"Đã xử lý"),"")</f>
      </c>
      <c r="AB254" s="223">
        <f>IF($AI254="","",IF($AI254&lt;1,MAX(1,ROUND($AI254*60,0))&amp;" phút",IF(ROUND($AI254,0)&lt;24,ROUND($AI254,0)&amp;" giờ",INT(ROUND($AI254,0)/24)&amp;" ngày"&amp;IF(MOD(ROUND($AI254,0),24)&gt;0," "&amp;MOD(ROUND($AI254,0),24)&amp;" giờ",""))))</f>
      </c>
      <c r="AC254" s="223">
        <f>IF(OR($A254="",N($AH254)=0),"",IF($AI254&lt;&gt;"",IF($AI254&lt;=$AH254,"Trong ước tính","Vượt "&amp;IF(($AI254-$AH254)&lt;1,MAX(1,ROUND(($AI254-$AH254)*60,0))&amp;" phút",IF(ROUND(($AI254-$AH254),0)&lt;24,ROUND(($AI254-$AH254),0)&amp;" giờ",INT(ROUND(($AI254-$AH254),0)/24)&amp;" ngày"&amp;IF(MOD(ROUND(($AI254-$AH254),0),24)&gt;0," "&amp;MOD(ROUND(($AI254-$AH254),0),24)&amp;" giờ","")))),IF(OR($V254="Đã xử lý",N($B254)=0),"",IF((TDBC-$B254)*24&gt;$AH254,"Đã vượt ước tính","Đã dùng "&amp;TEXT((TDBC-$B254)*24/$AH254,"0%")))))</f>
      </c>
      <c r="AD254" s="223">
        <f>IF(N($AO254)=0,"",CHOOSE($AO254,"Nhắc nhở","Cảnh báo","Báo động","Báo động đỏ"))</f>
      </c>
      <c r="AE254" s="223">
        <f>IF(OR(N($AA254)=0,N($U254)=0),"",IF($AA254&lt;=$U254,"Đúng hạn","Trễ hạn"))</f>
      </c>
      <c r="AF254" s="220">
        <f>IF($A254="","",_xlfn.MAXIFS('Nhật ký tiến độ'!$B$6:$B$3005,'Nhật ký tiến độ'!$C$6:$C$3005,$A254))</f>
      </c>
      <c r="AG254" s="223">
        <f>IF($A254="","",IF(COUNTIF('Kế hoạch'!$M$6:$M$305,$A254)=0,"",COUNTIF('Kế hoạch'!$M$6:$M$305,$A254)&amp;" việc"))</f>
      </c>
      <c r="AH254" s="224">
        <f>IF(OR($A254="",N($O254)&lt;=0),"",IF($P254="Giờ",$O254,$O254*24))</f>
      </c>
      <c r="AI254" s="224">
        <f>IF(OR(N($AA254)=0,N($B254)=0),"",IF($AA254&lt;$B254,"",($AA254-$B254)*24))</f>
      </c>
      <c r="AJ254" s="225">
        <f>IF($A254="","",IF(COUNTIF('Nhật ký tiến độ'!$C$6:$C$3005,$A254)=0,0,_xlfn.MAXIFS('Nhật ký tiến độ'!$N$6:$N$3005,'Nhật ký tiến độ'!$C$6:$C$3005,$A254,'Nhật ký tiến độ'!$B$6:$B$3005,_xlfn.MAXIFS('Nhật ký tiến độ'!$B$6:$B$3005,'Nhật ký tiến độ'!$C$6:$C$3005,$A254))))</f>
      </c>
      <c r="AK254" s="225">
        <f>IF(OR($A254="",$V254="Đã xử lý"),"",IF(N($AO254)&gt;0,5-$AO254,IF($J254="Khẩn cấp",5,IF($Y254="Chậm tiến độ",6,IF(OR($Y254="Sắp đến hạn",$J254="Cao"),7,"")))))</f>
      </c>
      <c r="AL254" s="225">
        <f>IF($AK254="","",$AK254*100000+IF(N($U254)=0,99999,INT($U254))+ROW()/100000)</f>
      </c>
      <c r="AM254" s="225">
        <f>IF(OR($A254="",TRIM($K254)="",COUNTIF($K$6:$K254,$K254)&gt;1),0,1)</f>
      </c>
      <c r="AN254" s="225">
        <f>IF($AM254=1,SUM($AM$6:$AM254),"")</f>
      </c>
      <c r="AO254" s="225">
        <f>IF(OR($A254="",$V254="Đã xử lý",N($U254)=0),0,IF(TDBC&lt;=$U254,0,MAX(1,MIN(4,IF((TDBC-$U254)*24&lt;24,1,IF((TDBC-$U254)*24&lt;72,2,IF((TDBC-$U254)*24&lt;168,3,4)))+IFERROR(INDEX({2,1,0,-1},MATCH($J254,{"Khẩn cấp","Cao","Trung bình","Thấp"},0)),0)))))</f>
      </c>
    </row>
    <row r="255">
      <c r="A255" s="216"/>
      <c r="B255" s="217"/>
      <c r="C255" s="218"/>
      <c r="D255" s="218"/>
      <c r="E255" s="218"/>
      <c r="F255" s="218"/>
      <c r="G255" s="216"/>
      <c r="H255" s="218"/>
      <c r="I255" s="218"/>
      <c r="J255" s="216"/>
      <c r="K255" s="218"/>
      <c r="L255" s="218"/>
      <c r="M255" s="218"/>
      <c r="N255" s="218"/>
      <c r="O255" s="219"/>
      <c r="P255" s="216"/>
      <c r="Q255" s="217"/>
      <c r="R255" s="216"/>
      <c r="S255" s="218"/>
      <c r="T255" s="218"/>
      <c r="U255" s="220">
        <f>IF($A255="","",IF(N($Q255)&gt;0,IF(MOD($Q255,1)=0,$Q255+1-1/1440,$Q255),IF(N($B255)=0,"",$B255+IF(N($AH255)&gt;0,$AH255,IFERROR(INDEX(DM_SLA_Gio,MATCH($J255,DM_SLA_Cap,0)),168))/24)))</f>
      </c>
      <c r="V255" s="221">
        <f>IF($A255="","",IF(N($AJ255)=0,"Mới tiếp nhận",INDEX('Nhật ký tiến độ'!$E:$E,$AJ255)))</f>
      </c>
      <c r="W255" s="222">
        <f>IF($A255="","",IF($V255="Đã xử lý",1,IF(N($AJ255)=0,0,N(INDEX('Nhật ký tiến độ'!$D:$D,$AJ255)))))</f>
      </c>
      <c r="X255" s="222">
        <f>IF(OR($A255="",$V255="Đã xử lý",N($U255)=0,N($B255)=0),"",IF(TDBC&lt;=$B255,0,IF(TDBC&gt;=$U255,1,(TDBC-$B255)/($U255-$B255))))</f>
      </c>
      <c r="Y255" s="223">
        <f>IF($A255="","",IF($V255="Đã xử lý","Hoàn thành",IF(N($U255)=0,"Chưa đặt hạn",IF(TDBC&gt;$U255,"Quá hạn",IF(ROUND((N($X255)-$W255)*100,0)&gt;=20,"Chậm tiến độ",IF($U255-TDBC&lt;=1,"Sắp đến hạn","Đúng tiến độ"))))))</f>
      </c>
      <c r="Z255" s="223">
        <f>IF(OR($A255="",$V255="Đã xử lý",N($U255)=0),"",IF(TDBC&gt;$U255,"Quá "&amp;IF(((TDBC-$U255)*24)&lt;1,MAX(1,ROUND(((TDBC-$U255)*24)*60,0))&amp;" phút",IF(ROUND(((TDBC-$U255)*24),0)&lt;24,ROUND(((TDBC-$U255)*24),0)&amp;" giờ",INT(ROUND(((TDBC-$U255)*24),0)/24)&amp;" ngày"&amp;IF(MOD(ROUND(((TDBC-$U255)*24),0),24)&gt;0," "&amp;MOD(ROUND(((TDBC-$U255)*24),0),24)&amp;" giờ",""))),"Còn "&amp;IF((($U255-TDBC)*24)&lt;1,MAX(1,ROUND((($U255-TDBC)*24)*60,0))&amp;" phút",IF(ROUND((($U255-TDBC)*24),0)&lt;24,ROUND((($U255-TDBC)*24),0)&amp;" giờ",INT(ROUND((($U255-TDBC)*24),0)/24)&amp;" ngày"&amp;IF(MOD(ROUND((($U255-TDBC)*24),0),24)&gt;0," "&amp;MOD(ROUND((($U255-TDBC)*24),0),24)&amp;" giờ","")))))</f>
      </c>
      <c r="AA255" s="220">
        <f>IF($V255="Đã xử lý",_xlfn.MAXIFS('Nhật ký tiến độ'!$B$6:$B$3005,'Nhật ký tiến độ'!$C$6:$C$3005,$A255,'Nhật ký tiến độ'!$E$6:$E$3005,"Đã xử lý"),"")</f>
      </c>
      <c r="AB255" s="223">
        <f>IF($AI255="","",IF($AI255&lt;1,MAX(1,ROUND($AI255*60,0))&amp;" phút",IF(ROUND($AI255,0)&lt;24,ROUND($AI255,0)&amp;" giờ",INT(ROUND($AI255,0)/24)&amp;" ngày"&amp;IF(MOD(ROUND($AI255,0),24)&gt;0," "&amp;MOD(ROUND($AI255,0),24)&amp;" giờ",""))))</f>
      </c>
      <c r="AC255" s="223">
        <f>IF(OR($A255="",N($AH255)=0),"",IF($AI255&lt;&gt;"",IF($AI255&lt;=$AH255,"Trong ước tính","Vượt "&amp;IF(($AI255-$AH255)&lt;1,MAX(1,ROUND(($AI255-$AH255)*60,0))&amp;" phút",IF(ROUND(($AI255-$AH255),0)&lt;24,ROUND(($AI255-$AH255),0)&amp;" giờ",INT(ROUND(($AI255-$AH255),0)/24)&amp;" ngày"&amp;IF(MOD(ROUND(($AI255-$AH255),0),24)&gt;0," "&amp;MOD(ROUND(($AI255-$AH255),0),24)&amp;" giờ","")))),IF(OR($V255="Đã xử lý",N($B255)=0),"",IF((TDBC-$B255)*24&gt;$AH255,"Đã vượt ước tính","Đã dùng "&amp;TEXT((TDBC-$B255)*24/$AH255,"0%")))))</f>
      </c>
      <c r="AD255" s="223">
        <f>IF(N($AO255)=0,"",CHOOSE($AO255,"Nhắc nhở","Cảnh báo","Báo động","Báo động đỏ"))</f>
      </c>
      <c r="AE255" s="223">
        <f>IF(OR(N($AA255)=0,N($U255)=0),"",IF($AA255&lt;=$U255,"Đúng hạn","Trễ hạn"))</f>
      </c>
      <c r="AF255" s="220">
        <f>IF($A255="","",_xlfn.MAXIFS('Nhật ký tiến độ'!$B$6:$B$3005,'Nhật ký tiến độ'!$C$6:$C$3005,$A255))</f>
      </c>
      <c r="AG255" s="223">
        <f>IF($A255="","",IF(COUNTIF('Kế hoạch'!$M$6:$M$305,$A255)=0,"",COUNTIF('Kế hoạch'!$M$6:$M$305,$A255)&amp;" việc"))</f>
      </c>
      <c r="AH255" s="224">
        <f>IF(OR($A255="",N($O255)&lt;=0),"",IF($P255="Giờ",$O255,$O255*24))</f>
      </c>
      <c r="AI255" s="224">
        <f>IF(OR(N($AA255)=0,N($B255)=0),"",IF($AA255&lt;$B255,"",($AA255-$B255)*24))</f>
      </c>
      <c r="AJ255" s="225">
        <f>IF($A255="","",IF(COUNTIF('Nhật ký tiến độ'!$C$6:$C$3005,$A255)=0,0,_xlfn.MAXIFS('Nhật ký tiến độ'!$N$6:$N$3005,'Nhật ký tiến độ'!$C$6:$C$3005,$A255,'Nhật ký tiến độ'!$B$6:$B$3005,_xlfn.MAXIFS('Nhật ký tiến độ'!$B$6:$B$3005,'Nhật ký tiến độ'!$C$6:$C$3005,$A255))))</f>
      </c>
      <c r="AK255" s="225">
        <f>IF(OR($A255="",$V255="Đã xử lý"),"",IF(N($AO255)&gt;0,5-$AO255,IF($J255="Khẩn cấp",5,IF($Y255="Chậm tiến độ",6,IF(OR($Y255="Sắp đến hạn",$J255="Cao"),7,"")))))</f>
      </c>
      <c r="AL255" s="225">
        <f>IF($AK255="","",$AK255*100000+IF(N($U255)=0,99999,INT($U255))+ROW()/100000)</f>
      </c>
      <c r="AM255" s="225">
        <f>IF(OR($A255="",TRIM($K255)="",COUNTIF($K$6:$K255,$K255)&gt;1),0,1)</f>
      </c>
      <c r="AN255" s="225">
        <f>IF($AM255=1,SUM($AM$6:$AM255),"")</f>
      </c>
      <c r="AO255" s="225">
        <f>IF(OR($A255="",$V255="Đã xử lý",N($U255)=0),0,IF(TDBC&lt;=$U255,0,MAX(1,MIN(4,IF((TDBC-$U255)*24&lt;24,1,IF((TDBC-$U255)*24&lt;72,2,IF((TDBC-$U255)*24&lt;168,3,4)))+IFERROR(INDEX({2,1,0,-1},MATCH($J255,{"Khẩn cấp","Cao","Trung bình","Thấp"},0)),0)))))</f>
      </c>
    </row>
    <row r="256">
      <c r="A256" s="216"/>
      <c r="B256" s="217"/>
      <c r="C256" s="218"/>
      <c r="D256" s="218"/>
      <c r="E256" s="218"/>
      <c r="F256" s="218"/>
      <c r="G256" s="216"/>
      <c r="H256" s="218"/>
      <c r="I256" s="218"/>
      <c r="J256" s="216"/>
      <c r="K256" s="218"/>
      <c r="L256" s="218"/>
      <c r="M256" s="218"/>
      <c r="N256" s="218"/>
      <c r="O256" s="219"/>
      <c r="P256" s="216"/>
      <c r="Q256" s="217"/>
      <c r="R256" s="216"/>
      <c r="S256" s="218"/>
      <c r="T256" s="218"/>
      <c r="U256" s="220">
        <f>IF($A256="","",IF(N($Q256)&gt;0,IF(MOD($Q256,1)=0,$Q256+1-1/1440,$Q256),IF(N($B256)=0,"",$B256+IF(N($AH256)&gt;0,$AH256,IFERROR(INDEX(DM_SLA_Gio,MATCH($J256,DM_SLA_Cap,0)),168))/24)))</f>
      </c>
      <c r="V256" s="221">
        <f>IF($A256="","",IF(N($AJ256)=0,"Mới tiếp nhận",INDEX('Nhật ký tiến độ'!$E:$E,$AJ256)))</f>
      </c>
      <c r="W256" s="222">
        <f>IF($A256="","",IF($V256="Đã xử lý",1,IF(N($AJ256)=0,0,N(INDEX('Nhật ký tiến độ'!$D:$D,$AJ256)))))</f>
      </c>
      <c r="X256" s="222">
        <f>IF(OR($A256="",$V256="Đã xử lý",N($U256)=0,N($B256)=0),"",IF(TDBC&lt;=$B256,0,IF(TDBC&gt;=$U256,1,(TDBC-$B256)/($U256-$B256))))</f>
      </c>
      <c r="Y256" s="223">
        <f>IF($A256="","",IF($V256="Đã xử lý","Hoàn thành",IF(N($U256)=0,"Chưa đặt hạn",IF(TDBC&gt;$U256,"Quá hạn",IF(ROUND((N($X256)-$W256)*100,0)&gt;=20,"Chậm tiến độ",IF($U256-TDBC&lt;=1,"Sắp đến hạn","Đúng tiến độ"))))))</f>
      </c>
      <c r="Z256" s="223">
        <f>IF(OR($A256="",$V256="Đã xử lý",N($U256)=0),"",IF(TDBC&gt;$U256,"Quá "&amp;IF(((TDBC-$U256)*24)&lt;1,MAX(1,ROUND(((TDBC-$U256)*24)*60,0))&amp;" phút",IF(ROUND(((TDBC-$U256)*24),0)&lt;24,ROUND(((TDBC-$U256)*24),0)&amp;" giờ",INT(ROUND(((TDBC-$U256)*24),0)/24)&amp;" ngày"&amp;IF(MOD(ROUND(((TDBC-$U256)*24),0),24)&gt;0," "&amp;MOD(ROUND(((TDBC-$U256)*24),0),24)&amp;" giờ",""))),"Còn "&amp;IF((($U256-TDBC)*24)&lt;1,MAX(1,ROUND((($U256-TDBC)*24)*60,0))&amp;" phút",IF(ROUND((($U256-TDBC)*24),0)&lt;24,ROUND((($U256-TDBC)*24),0)&amp;" giờ",INT(ROUND((($U256-TDBC)*24),0)/24)&amp;" ngày"&amp;IF(MOD(ROUND((($U256-TDBC)*24),0),24)&gt;0," "&amp;MOD(ROUND((($U256-TDBC)*24),0),24)&amp;" giờ","")))))</f>
      </c>
      <c r="AA256" s="220">
        <f>IF($V256="Đã xử lý",_xlfn.MAXIFS('Nhật ký tiến độ'!$B$6:$B$3005,'Nhật ký tiến độ'!$C$6:$C$3005,$A256,'Nhật ký tiến độ'!$E$6:$E$3005,"Đã xử lý"),"")</f>
      </c>
      <c r="AB256" s="223">
        <f>IF($AI256="","",IF($AI256&lt;1,MAX(1,ROUND($AI256*60,0))&amp;" phút",IF(ROUND($AI256,0)&lt;24,ROUND($AI256,0)&amp;" giờ",INT(ROUND($AI256,0)/24)&amp;" ngày"&amp;IF(MOD(ROUND($AI256,0),24)&gt;0," "&amp;MOD(ROUND($AI256,0),24)&amp;" giờ",""))))</f>
      </c>
      <c r="AC256" s="223">
        <f>IF(OR($A256="",N($AH256)=0),"",IF($AI256&lt;&gt;"",IF($AI256&lt;=$AH256,"Trong ước tính","Vượt "&amp;IF(($AI256-$AH256)&lt;1,MAX(1,ROUND(($AI256-$AH256)*60,0))&amp;" phút",IF(ROUND(($AI256-$AH256),0)&lt;24,ROUND(($AI256-$AH256),0)&amp;" giờ",INT(ROUND(($AI256-$AH256),0)/24)&amp;" ngày"&amp;IF(MOD(ROUND(($AI256-$AH256),0),24)&gt;0," "&amp;MOD(ROUND(($AI256-$AH256),0),24)&amp;" giờ","")))),IF(OR($V256="Đã xử lý",N($B256)=0),"",IF((TDBC-$B256)*24&gt;$AH256,"Đã vượt ước tính","Đã dùng "&amp;TEXT((TDBC-$B256)*24/$AH256,"0%")))))</f>
      </c>
      <c r="AD256" s="223">
        <f>IF(N($AO256)=0,"",CHOOSE($AO256,"Nhắc nhở","Cảnh báo","Báo động","Báo động đỏ"))</f>
      </c>
      <c r="AE256" s="223">
        <f>IF(OR(N($AA256)=0,N($U256)=0),"",IF($AA256&lt;=$U256,"Đúng hạn","Trễ hạn"))</f>
      </c>
      <c r="AF256" s="220">
        <f>IF($A256="","",_xlfn.MAXIFS('Nhật ký tiến độ'!$B$6:$B$3005,'Nhật ký tiến độ'!$C$6:$C$3005,$A256))</f>
      </c>
      <c r="AG256" s="223">
        <f>IF($A256="","",IF(COUNTIF('Kế hoạch'!$M$6:$M$305,$A256)=0,"",COUNTIF('Kế hoạch'!$M$6:$M$305,$A256)&amp;" việc"))</f>
      </c>
      <c r="AH256" s="224">
        <f>IF(OR($A256="",N($O256)&lt;=0),"",IF($P256="Giờ",$O256,$O256*24))</f>
      </c>
      <c r="AI256" s="224">
        <f>IF(OR(N($AA256)=0,N($B256)=0),"",IF($AA256&lt;$B256,"",($AA256-$B256)*24))</f>
      </c>
      <c r="AJ256" s="225">
        <f>IF($A256="","",IF(COUNTIF('Nhật ký tiến độ'!$C$6:$C$3005,$A256)=0,0,_xlfn.MAXIFS('Nhật ký tiến độ'!$N$6:$N$3005,'Nhật ký tiến độ'!$C$6:$C$3005,$A256,'Nhật ký tiến độ'!$B$6:$B$3005,_xlfn.MAXIFS('Nhật ký tiến độ'!$B$6:$B$3005,'Nhật ký tiến độ'!$C$6:$C$3005,$A256))))</f>
      </c>
      <c r="AK256" s="225">
        <f>IF(OR($A256="",$V256="Đã xử lý"),"",IF(N($AO256)&gt;0,5-$AO256,IF($J256="Khẩn cấp",5,IF($Y256="Chậm tiến độ",6,IF(OR($Y256="Sắp đến hạn",$J256="Cao"),7,"")))))</f>
      </c>
      <c r="AL256" s="225">
        <f>IF($AK256="","",$AK256*100000+IF(N($U256)=0,99999,INT($U256))+ROW()/100000)</f>
      </c>
      <c r="AM256" s="225">
        <f>IF(OR($A256="",TRIM($K256)="",COUNTIF($K$6:$K256,$K256)&gt;1),0,1)</f>
      </c>
      <c r="AN256" s="225">
        <f>IF($AM256=1,SUM($AM$6:$AM256),"")</f>
      </c>
      <c r="AO256" s="225">
        <f>IF(OR($A256="",$V256="Đã xử lý",N($U256)=0),0,IF(TDBC&lt;=$U256,0,MAX(1,MIN(4,IF((TDBC-$U256)*24&lt;24,1,IF((TDBC-$U256)*24&lt;72,2,IF((TDBC-$U256)*24&lt;168,3,4)))+IFERROR(INDEX({2,1,0,-1},MATCH($J256,{"Khẩn cấp","Cao","Trung bình","Thấp"},0)),0)))))</f>
      </c>
    </row>
    <row r="257">
      <c r="A257" s="216"/>
      <c r="B257" s="217"/>
      <c r="C257" s="218"/>
      <c r="D257" s="218"/>
      <c r="E257" s="218"/>
      <c r="F257" s="218"/>
      <c r="G257" s="216"/>
      <c r="H257" s="218"/>
      <c r="I257" s="218"/>
      <c r="J257" s="216"/>
      <c r="K257" s="218"/>
      <c r="L257" s="218"/>
      <c r="M257" s="218"/>
      <c r="N257" s="218"/>
      <c r="O257" s="219"/>
      <c r="P257" s="216"/>
      <c r="Q257" s="217"/>
      <c r="R257" s="216"/>
      <c r="S257" s="218"/>
      <c r="T257" s="218"/>
      <c r="U257" s="220">
        <f>IF($A257="","",IF(N($Q257)&gt;0,IF(MOD($Q257,1)=0,$Q257+1-1/1440,$Q257),IF(N($B257)=0,"",$B257+IF(N($AH257)&gt;0,$AH257,IFERROR(INDEX(DM_SLA_Gio,MATCH($J257,DM_SLA_Cap,0)),168))/24)))</f>
      </c>
      <c r="V257" s="221">
        <f>IF($A257="","",IF(N($AJ257)=0,"Mới tiếp nhận",INDEX('Nhật ký tiến độ'!$E:$E,$AJ257)))</f>
      </c>
      <c r="W257" s="222">
        <f>IF($A257="","",IF($V257="Đã xử lý",1,IF(N($AJ257)=0,0,N(INDEX('Nhật ký tiến độ'!$D:$D,$AJ257)))))</f>
      </c>
      <c r="X257" s="222">
        <f>IF(OR($A257="",$V257="Đã xử lý",N($U257)=0,N($B257)=0),"",IF(TDBC&lt;=$B257,0,IF(TDBC&gt;=$U257,1,(TDBC-$B257)/($U257-$B257))))</f>
      </c>
      <c r="Y257" s="223">
        <f>IF($A257="","",IF($V257="Đã xử lý","Hoàn thành",IF(N($U257)=0,"Chưa đặt hạn",IF(TDBC&gt;$U257,"Quá hạn",IF(ROUND((N($X257)-$W257)*100,0)&gt;=20,"Chậm tiến độ",IF($U257-TDBC&lt;=1,"Sắp đến hạn","Đúng tiến độ"))))))</f>
      </c>
      <c r="Z257" s="223">
        <f>IF(OR($A257="",$V257="Đã xử lý",N($U257)=0),"",IF(TDBC&gt;$U257,"Quá "&amp;IF(((TDBC-$U257)*24)&lt;1,MAX(1,ROUND(((TDBC-$U257)*24)*60,0))&amp;" phút",IF(ROUND(((TDBC-$U257)*24),0)&lt;24,ROUND(((TDBC-$U257)*24),0)&amp;" giờ",INT(ROUND(((TDBC-$U257)*24),0)/24)&amp;" ngày"&amp;IF(MOD(ROUND(((TDBC-$U257)*24),0),24)&gt;0," "&amp;MOD(ROUND(((TDBC-$U257)*24),0),24)&amp;" giờ",""))),"Còn "&amp;IF((($U257-TDBC)*24)&lt;1,MAX(1,ROUND((($U257-TDBC)*24)*60,0))&amp;" phút",IF(ROUND((($U257-TDBC)*24),0)&lt;24,ROUND((($U257-TDBC)*24),0)&amp;" giờ",INT(ROUND((($U257-TDBC)*24),0)/24)&amp;" ngày"&amp;IF(MOD(ROUND((($U257-TDBC)*24),0),24)&gt;0," "&amp;MOD(ROUND((($U257-TDBC)*24),0),24)&amp;" giờ","")))))</f>
      </c>
      <c r="AA257" s="220">
        <f>IF($V257="Đã xử lý",_xlfn.MAXIFS('Nhật ký tiến độ'!$B$6:$B$3005,'Nhật ký tiến độ'!$C$6:$C$3005,$A257,'Nhật ký tiến độ'!$E$6:$E$3005,"Đã xử lý"),"")</f>
      </c>
      <c r="AB257" s="223">
        <f>IF($AI257="","",IF($AI257&lt;1,MAX(1,ROUND($AI257*60,0))&amp;" phút",IF(ROUND($AI257,0)&lt;24,ROUND($AI257,0)&amp;" giờ",INT(ROUND($AI257,0)/24)&amp;" ngày"&amp;IF(MOD(ROUND($AI257,0),24)&gt;0," "&amp;MOD(ROUND($AI257,0),24)&amp;" giờ",""))))</f>
      </c>
      <c r="AC257" s="223">
        <f>IF(OR($A257="",N($AH257)=0),"",IF($AI257&lt;&gt;"",IF($AI257&lt;=$AH257,"Trong ước tính","Vượt "&amp;IF(($AI257-$AH257)&lt;1,MAX(1,ROUND(($AI257-$AH257)*60,0))&amp;" phút",IF(ROUND(($AI257-$AH257),0)&lt;24,ROUND(($AI257-$AH257),0)&amp;" giờ",INT(ROUND(($AI257-$AH257),0)/24)&amp;" ngày"&amp;IF(MOD(ROUND(($AI257-$AH257),0),24)&gt;0," "&amp;MOD(ROUND(($AI257-$AH257),0),24)&amp;" giờ","")))),IF(OR($V257="Đã xử lý",N($B257)=0),"",IF((TDBC-$B257)*24&gt;$AH257,"Đã vượt ước tính","Đã dùng "&amp;TEXT((TDBC-$B257)*24/$AH257,"0%")))))</f>
      </c>
      <c r="AD257" s="223">
        <f>IF(N($AO257)=0,"",CHOOSE($AO257,"Nhắc nhở","Cảnh báo","Báo động","Báo động đỏ"))</f>
      </c>
      <c r="AE257" s="223">
        <f>IF(OR(N($AA257)=0,N($U257)=0),"",IF($AA257&lt;=$U257,"Đúng hạn","Trễ hạn"))</f>
      </c>
      <c r="AF257" s="220">
        <f>IF($A257="","",_xlfn.MAXIFS('Nhật ký tiến độ'!$B$6:$B$3005,'Nhật ký tiến độ'!$C$6:$C$3005,$A257))</f>
      </c>
      <c r="AG257" s="223">
        <f>IF($A257="","",IF(COUNTIF('Kế hoạch'!$M$6:$M$305,$A257)=0,"",COUNTIF('Kế hoạch'!$M$6:$M$305,$A257)&amp;" việc"))</f>
      </c>
      <c r="AH257" s="224">
        <f>IF(OR($A257="",N($O257)&lt;=0),"",IF($P257="Giờ",$O257,$O257*24))</f>
      </c>
      <c r="AI257" s="224">
        <f>IF(OR(N($AA257)=0,N($B257)=0),"",IF($AA257&lt;$B257,"",($AA257-$B257)*24))</f>
      </c>
      <c r="AJ257" s="225">
        <f>IF($A257="","",IF(COUNTIF('Nhật ký tiến độ'!$C$6:$C$3005,$A257)=0,0,_xlfn.MAXIFS('Nhật ký tiến độ'!$N$6:$N$3005,'Nhật ký tiến độ'!$C$6:$C$3005,$A257,'Nhật ký tiến độ'!$B$6:$B$3005,_xlfn.MAXIFS('Nhật ký tiến độ'!$B$6:$B$3005,'Nhật ký tiến độ'!$C$6:$C$3005,$A257))))</f>
      </c>
      <c r="AK257" s="225">
        <f>IF(OR($A257="",$V257="Đã xử lý"),"",IF(N($AO257)&gt;0,5-$AO257,IF($J257="Khẩn cấp",5,IF($Y257="Chậm tiến độ",6,IF(OR($Y257="Sắp đến hạn",$J257="Cao"),7,"")))))</f>
      </c>
      <c r="AL257" s="225">
        <f>IF($AK257="","",$AK257*100000+IF(N($U257)=0,99999,INT($U257))+ROW()/100000)</f>
      </c>
      <c r="AM257" s="225">
        <f>IF(OR($A257="",TRIM($K257)="",COUNTIF($K$6:$K257,$K257)&gt;1),0,1)</f>
      </c>
      <c r="AN257" s="225">
        <f>IF($AM257=1,SUM($AM$6:$AM257),"")</f>
      </c>
      <c r="AO257" s="225">
        <f>IF(OR($A257="",$V257="Đã xử lý",N($U257)=0),0,IF(TDBC&lt;=$U257,0,MAX(1,MIN(4,IF((TDBC-$U257)*24&lt;24,1,IF((TDBC-$U257)*24&lt;72,2,IF((TDBC-$U257)*24&lt;168,3,4)))+IFERROR(INDEX({2,1,0,-1},MATCH($J257,{"Khẩn cấp","Cao","Trung bình","Thấp"},0)),0)))))</f>
      </c>
    </row>
    <row r="258">
      <c r="A258" s="216"/>
      <c r="B258" s="217"/>
      <c r="C258" s="218"/>
      <c r="D258" s="218"/>
      <c r="E258" s="218"/>
      <c r="F258" s="218"/>
      <c r="G258" s="216"/>
      <c r="H258" s="218"/>
      <c r="I258" s="218"/>
      <c r="J258" s="216"/>
      <c r="K258" s="218"/>
      <c r="L258" s="218"/>
      <c r="M258" s="218"/>
      <c r="N258" s="218"/>
      <c r="O258" s="219"/>
      <c r="P258" s="216"/>
      <c r="Q258" s="217"/>
      <c r="R258" s="216"/>
      <c r="S258" s="218"/>
      <c r="T258" s="218"/>
      <c r="U258" s="220">
        <f>IF($A258="","",IF(N($Q258)&gt;0,IF(MOD($Q258,1)=0,$Q258+1-1/1440,$Q258),IF(N($B258)=0,"",$B258+IF(N($AH258)&gt;0,$AH258,IFERROR(INDEX(DM_SLA_Gio,MATCH($J258,DM_SLA_Cap,0)),168))/24)))</f>
      </c>
      <c r="V258" s="221">
        <f>IF($A258="","",IF(N($AJ258)=0,"Mới tiếp nhận",INDEX('Nhật ký tiến độ'!$E:$E,$AJ258)))</f>
      </c>
      <c r="W258" s="222">
        <f>IF($A258="","",IF($V258="Đã xử lý",1,IF(N($AJ258)=0,0,N(INDEX('Nhật ký tiến độ'!$D:$D,$AJ258)))))</f>
      </c>
      <c r="X258" s="222">
        <f>IF(OR($A258="",$V258="Đã xử lý",N($U258)=0,N($B258)=0),"",IF(TDBC&lt;=$B258,0,IF(TDBC&gt;=$U258,1,(TDBC-$B258)/($U258-$B258))))</f>
      </c>
      <c r="Y258" s="223">
        <f>IF($A258="","",IF($V258="Đã xử lý","Hoàn thành",IF(N($U258)=0,"Chưa đặt hạn",IF(TDBC&gt;$U258,"Quá hạn",IF(ROUND((N($X258)-$W258)*100,0)&gt;=20,"Chậm tiến độ",IF($U258-TDBC&lt;=1,"Sắp đến hạn","Đúng tiến độ"))))))</f>
      </c>
      <c r="Z258" s="223">
        <f>IF(OR($A258="",$V258="Đã xử lý",N($U258)=0),"",IF(TDBC&gt;$U258,"Quá "&amp;IF(((TDBC-$U258)*24)&lt;1,MAX(1,ROUND(((TDBC-$U258)*24)*60,0))&amp;" phút",IF(ROUND(((TDBC-$U258)*24),0)&lt;24,ROUND(((TDBC-$U258)*24),0)&amp;" giờ",INT(ROUND(((TDBC-$U258)*24),0)/24)&amp;" ngày"&amp;IF(MOD(ROUND(((TDBC-$U258)*24),0),24)&gt;0," "&amp;MOD(ROUND(((TDBC-$U258)*24),0),24)&amp;" giờ",""))),"Còn "&amp;IF((($U258-TDBC)*24)&lt;1,MAX(1,ROUND((($U258-TDBC)*24)*60,0))&amp;" phút",IF(ROUND((($U258-TDBC)*24),0)&lt;24,ROUND((($U258-TDBC)*24),0)&amp;" giờ",INT(ROUND((($U258-TDBC)*24),0)/24)&amp;" ngày"&amp;IF(MOD(ROUND((($U258-TDBC)*24),0),24)&gt;0," "&amp;MOD(ROUND((($U258-TDBC)*24),0),24)&amp;" giờ","")))))</f>
      </c>
      <c r="AA258" s="220">
        <f>IF($V258="Đã xử lý",_xlfn.MAXIFS('Nhật ký tiến độ'!$B$6:$B$3005,'Nhật ký tiến độ'!$C$6:$C$3005,$A258,'Nhật ký tiến độ'!$E$6:$E$3005,"Đã xử lý"),"")</f>
      </c>
      <c r="AB258" s="223">
        <f>IF($AI258="","",IF($AI258&lt;1,MAX(1,ROUND($AI258*60,0))&amp;" phút",IF(ROUND($AI258,0)&lt;24,ROUND($AI258,0)&amp;" giờ",INT(ROUND($AI258,0)/24)&amp;" ngày"&amp;IF(MOD(ROUND($AI258,0),24)&gt;0," "&amp;MOD(ROUND($AI258,0),24)&amp;" giờ",""))))</f>
      </c>
      <c r="AC258" s="223">
        <f>IF(OR($A258="",N($AH258)=0),"",IF($AI258&lt;&gt;"",IF($AI258&lt;=$AH258,"Trong ước tính","Vượt "&amp;IF(($AI258-$AH258)&lt;1,MAX(1,ROUND(($AI258-$AH258)*60,0))&amp;" phút",IF(ROUND(($AI258-$AH258),0)&lt;24,ROUND(($AI258-$AH258),0)&amp;" giờ",INT(ROUND(($AI258-$AH258),0)/24)&amp;" ngày"&amp;IF(MOD(ROUND(($AI258-$AH258),0),24)&gt;0," "&amp;MOD(ROUND(($AI258-$AH258),0),24)&amp;" giờ","")))),IF(OR($V258="Đã xử lý",N($B258)=0),"",IF((TDBC-$B258)*24&gt;$AH258,"Đã vượt ước tính","Đã dùng "&amp;TEXT((TDBC-$B258)*24/$AH258,"0%")))))</f>
      </c>
      <c r="AD258" s="223">
        <f>IF(N($AO258)=0,"",CHOOSE($AO258,"Nhắc nhở","Cảnh báo","Báo động","Báo động đỏ"))</f>
      </c>
      <c r="AE258" s="223">
        <f>IF(OR(N($AA258)=0,N($U258)=0),"",IF($AA258&lt;=$U258,"Đúng hạn","Trễ hạn"))</f>
      </c>
      <c r="AF258" s="220">
        <f>IF($A258="","",_xlfn.MAXIFS('Nhật ký tiến độ'!$B$6:$B$3005,'Nhật ký tiến độ'!$C$6:$C$3005,$A258))</f>
      </c>
      <c r="AG258" s="223">
        <f>IF($A258="","",IF(COUNTIF('Kế hoạch'!$M$6:$M$305,$A258)=0,"",COUNTIF('Kế hoạch'!$M$6:$M$305,$A258)&amp;" việc"))</f>
      </c>
      <c r="AH258" s="224">
        <f>IF(OR($A258="",N($O258)&lt;=0),"",IF($P258="Giờ",$O258,$O258*24))</f>
      </c>
      <c r="AI258" s="224">
        <f>IF(OR(N($AA258)=0,N($B258)=0),"",IF($AA258&lt;$B258,"",($AA258-$B258)*24))</f>
      </c>
      <c r="AJ258" s="225">
        <f>IF($A258="","",IF(COUNTIF('Nhật ký tiến độ'!$C$6:$C$3005,$A258)=0,0,_xlfn.MAXIFS('Nhật ký tiến độ'!$N$6:$N$3005,'Nhật ký tiến độ'!$C$6:$C$3005,$A258,'Nhật ký tiến độ'!$B$6:$B$3005,_xlfn.MAXIFS('Nhật ký tiến độ'!$B$6:$B$3005,'Nhật ký tiến độ'!$C$6:$C$3005,$A258))))</f>
      </c>
      <c r="AK258" s="225">
        <f>IF(OR($A258="",$V258="Đã xử lý"),"",IF(N($AO258)&gt;0,5-$AO258,IF($J258="Khẩn cấp",5,IF($Y258="Chậm tiến độ",6,IF(OR($Y258="Sắp đến hạn",$J258="Cao"),7,"")))))</f>
      </c>
      <c r="AL258" s="225">
        <f>IF($AK258="","",$AK258*100000+IF(N($U258)=0,99999,INT($U258))+ROW()/100000)</f>
      </c>
      <c r="AM258" s="225">
        <f>IF(OR($A258="",TRIM($K258)="",COUNTIF($K$6:$K258,$K258)&gt;1),0,1)</f>
      </c>
      <c r="AN258" s="225">
        <f>IF($AM258=1,SUM($AM$6:$AM258),"")</f>
      </c>
      <c r="AO258" s="225">
        <f>IF(OR($A258="",$V258="Đã xử lý",N($U258)=0),0,IF(TDBC&lt;=$U258,0,MAX(1,MIN(4,IF((TDBC-$U258)*24&lt;24,1,IF((TDBC-$U258)*24&lt;72,2,IF((TDBC-$U258)*24&lt;168,3,4)))+IFERROR(INDEX({2,1,0,-1},MATCH($J258,{"Khẩn cấp","Cao","Trung bình","Thấp"},0)),0)))))</f>
      </c>
    </row>
    <row r="259">
      <c r="A259" s="216"/>
      <c r="B259" s="217"/>
      <c r="C259" s="218"/>
      <c r="D259" s="218"/>
      <c r="E259" s="218"/>
      <c r="F259" s="218"/>
      <c r="G259" s="216"/>
      <c r="H259" s="218"/>
      <c r="I259" s="218"/>
      <c r="J259" s="216"/>
      <c r="K259" s="218"/>
      <c r="L259" s="218"/>
      <c r="M259" s="218"/>
      <c r="N259" s="218"/>
      <c r="O259" s="219"/>
      <c r="P259" s="216"/>
      <c r="Q259" s="217"/>
      <c r="R259" s="216"/>
      <c r="S259" s="218"/>
      <c r="T259" s="218"/>
      <c r="U259" s="220">
        <f>IF($A259="","",IF(N($Q259)&gt;0,IF(MOD($Q259,1)=0,$Q259+1-1/1440,$Q259),IF(N($B259)=0,"",$B259+IF(N($AH259)&gt;0,$AH259,IFERROR(INDEX(DM_SLA_Gio,MATCH($J259,DM_SLA_Cap,0)),168))/24)))</f>
      </c>
      <c r="V259" s="221">
        <f>IF($A259="","",IF(N($AJ259)=0,"Mới tiếp nhận",INDEX('Nhật ký tiến độ'!$E:$E,$AJ259)))</f>
      </c>
      <c r="W259" s="222">
        <f>IF($A259="","",IF($V259="Đã xử lý",1,IF(N($AJ259)=0,0,N(INDEX('Nhật ký tiến độ'!$D:$D,$AJ259)))))</f>
      </c>
      <c r="X259" s="222">
        <f>IF(OR($A259="",$V259="Đã xử lý",N($U259)=0,N($B259)=0),"",IF(TDBC&lt;=$B259,0,IF(TDBC&gt;=$U259,1,(TDBC-$B259)/($U259-$B259))))</f>
      </c>
      <c r="Y259" s="223">
        <f>IF($A259="","",IF($V259="Đã xử lý","Hoàn thành",IF(N($U259)=0,"Chưa đặt hạn",IF(TDBC&gt;$U259,"Quá hạn",IF(ROUND((N($X259)-$W259)*100,0)&gt;=20,"Chậm tiến độ",IF($U259-TDBC&lt;=1,"Sắp đến hạn","Đúng tiến độ"))))))</f>
      </c>
      <c r="Z259" s="223">
        <f>IF(OR($A259="",$V259="Đã xử lý",N($U259)=0),"",IF(TDBC&gt;$U259,"Quá "&amp;IF(((TDBC-$U259)*24)&lt;1,MAX(1,ROUND(((TDBC-$U259)*24)*60,0))&amp;" phút",IF(ROUND(((TDBC-$U259)*24),0)&lt;24,ROUND(((TDBC-$U259)*24),0)&amp;" giờ",INT(ROUND(((TDBC-$U259)*24),0)/24)&amp;" ngày"&amp;IF(MOD(ROUND(((TDBC-$U259)*24),0),24)&gt;0," "&amp;MOD(ROUND(((TDBC-$U259)*24),0),24)&amp;" giờ",""))),"Còn "&amp;IF((($U259-TDBC)*24)&lt;1,MAX(1,ROUND((($U259-TDBC)*24)*60,0))&amp;" phút",IF(ROUND((($U259-TDBC)*24),0)&lt;24,ROUND((($U259-TDBC)*24),0)&amp;" giờ",INT(ROUND((($U259-TDBC)*24),0)/24)&amp;" ngày"&amp;IF(MOD(ROUND((($U259-TDBC)*24),0),24)&gt;0," "&amp;MOD(ROUND((($U259-TDBC)*24),0),24)&amp;" giờ","")))))</f>
      </c>
      <c r="AA259" s="220">
        <f>IF($V259="Đã xử lý",_xlfn.MAXIFS('Nhật ký tiến độ'!$B$6:$B$3005,'Nhật ký tiến độ'!$C$6:$C$3005,$A259,'Nhật ký tiến độ'!$E$6:$E$3005,"Đã xử lý"),"")</f>
      </c>
      <c r="AB259" s="223">
        <f>IF($AI259="","",IF($AI259&lt;1,MAX(1,ROUND($AI259*60,0))&amp;" phút",IF(ROUND($AI259,0)&lt;24,ROUND($AI259,0)&amp;" giờ",INT(ROUND($AI259,0)/24)&amp;" ngày"&amp;IF(MOD(ROUND($AI259,0),24)&gt;0," "&amp;MOD(ROUND($AI259,0),24)&amp;" giờ",""))))</f>
      </c>
      <c r="AC259" s="223">
        <f>IF(OR($A259="",N($AH259)=0),"",IF($AI259&lt;&gt;"",IF($AI259&lt;=$AH259,"Trong ước tính","Vượt "&amp;IF(($AI259-$AH259)&lt;1,MAX(1,ROUND(($AI259-$AH259)*60,0))&amp;" phút",IF(ROUND(($AI259-$AH259),0)&lt;24,ROUND(($AI259-$AH259),0)&amp;" giờ",INT(ROUND(($AI259-$AH259),0)/24)&amp;" ngày"&amp;IF(MOD(ROUND(($AI259-$AH259),0),24)&gt;0," "&amp;MOD(ROUND(($AI259-$AH259),0),24)&amp;" giờ","")))),IF(OR($V259="Đã xử lý",N($B259)=0),"",IF((TDBC-$B259)*24&gt;$AH259,"Đã vượt ước tính","Đã dùng "&amp;TEXT((TDBC-$B259)*24/$AH259,"0%")))))</f>
      </c>
      <c r="AD259" s="223">
        <f>IF(N($AO259)=0,"",CHOOSE($AO259,"Nhắc nhở","Cảnh báo","Báo động","Báo động đỏ"))</f>
      </c>
      <c r="AE259" s="223">
        <f>IF(OR(N($AA259)=0,N($U259)=0),"",IF($AA259&lt;=$U259,"Đúng hạn","Trễ hạn"))</f>
      </c>
      <c r="AF259" s="220">
        <f>IF($A259="","",_xlfn.MAXIFS('Nhật ký tiến độ'!$B$6:$B$3005,'Nhật ký tiến độ'!$C$6:$C$3005,$A259))</f>
      </c>
      <c r="AG259" s="223">
        <f>IF($A259="","",IF(COUNTIF('Kế hoạch'!$M$6:$M$305,$A259)=0,"",COUNTIF('Kế hoạch'!$M$6:$M$305,$A259)&amp;" việc"))</f>
      </c>
      <c r="AH259" s="224">
        <f>IF(OR($A259="",N($O259)&lt;=0),"",IF($P259="Giờ",$O259,$O259*24))</f>
      </c>
      <c r="AI259" s="224">
        <f>IF(OR(N($AA259)=0,N($B259)=0),"",IF($AA259&lt;$B259,"",($AA259-$B259)*24))</f>
      </c>
      <c r="AJ259" s="225">
        <f>IF($A259="","",IF(COUNTIF('Nhật ký tiến độ'!$C$6:$C$3005,$A259)=0,0,_xlfn.MAXIFS('Nhật ký tiến độ'!$N$6:$N$3005,'Nhật ký tiến độ'!$C$6:$C$3005,$A259,'Nhật ký tiến độ'!$B$6:$B$3005,_xlfn.MAXIFS('Nhật ký tiến độ'!$B$6:$B$3005,'Nhật ký tiến độ'!$C$6:$C$3005,$A259))))</f>
      </c>
      <c r="AK259" s="225">
        <f>IF(OR($A259="",$V259="Đã xử lý"),"",IF(N($AO259)&gt;0,5-$AO259,IF($J259="Khẩn cấp",5,IF($Y259="Chậm tiến độ",6,IF(OR($Y259="Sắp đến hạn",$J259="Cao"),7,"")))))</f>
      </c>
      <c r="AL259" s="225">
        <f>IF($AK259="","",$AK259*100000+IF(N($U259)=0,99999,INT($U259))+ROW()/100000)</f>
      </c>
      <c r="AM259" s="225">
        <f>IF(OR($A259="",TRIM($K259)="",COUNTIF($K$6:$K259,$K259)&gt;1),0,1)</f>
      </c>
      <c r="AN259" s="225">
        <f>IF($AM259=1,SUM($AM$6:$AM259),"")</f>
      </c>
      <c r="AO259" s="225">
        <f>IF(OR($A259="",$V259="Đã xử lý",N($U259)=0),0,IF(TDBC&lt;=$U259,0,MAX(1,MIN(4,IF((TDBC-$U259)*24&lt;24,1,IF((TDBC-$U259)*24&lt;72,2,IF((TDBC-$U259)*24&lt;168,3,4)))+IFERROR(INDEX({2,1,0,-1},MATCH($J259,{"Khẩn cấp","Cao","Trung bình","Thấp"},0)),0)))))</f>
      </c>
    </row>
    <row r="260">
      <c r="A260" s="216"/>
      <c r="B260" s="217"/>
      <c r="C260" s="218"/>
      <c r="D260" s="218"/>
      <c r="E260" s="218"/>
      <c r="F260" s="218"/>
      <c r="G260" s="216"/>
      <c r="H260" s="218"/>
      <c r="I260" s="218"/>
      <c r="J260" s="216"/>
      <c r="K260" s="218"/>
      <c r="L260" s="218"/>
      <c r="M260" s="218"/>
      <c r="N260" s="218"/>
      <c r="O260" s="219"/>
      <c r="P260" s="216"/>
      <c r="Q260" s="217"/>
      <c r="R260" s="216"/>
      <c r="S260" s="218"/>
      <c r="T260" s="218"/>
      <c r="U260" s="220">
        <f>IF($A260="","",IF(N($Q260)&gt;0,IF(MOD($Q260,1)=0,$Q260+1-1/1440,$Q260),IF(N($B260)=0,"",$B260+IF(N($AH260)&gt;0,$AH260,IFERROR(INDEX(DM_SLA_Gio,MATCH($J260,DM_SLA_Cap,0)),168))/24)))</f>
      </c>
      <c r="V260" s="221">
        <f>IF($A260="","",IF(N($AJ260)=0,"Mới tiếp nhận",INDEX('Nhật ký tiến độ'!$E:$E,$AJ260)))</f>
      </c>
      <c r="W260" s="222">
        <f>IF($A260="","",IF($V260="Đã xử lý",1,IF(N($AJ260)=0,0,N(INDEX('Nhật ký tiến độ'!$D:$D,$AJ260)))))</f>
      </c>
      <c r="X260" s="222">
        <f>IF(OR($A260="",$V260="Đã xử lý",N($U260)=0,N($B260)=0),"",IF(TDBC&lt;=$B260,0,IF(TDBC&gt;=$U260,1,(TDBC-$B260)/($U260-$B260))))</f>
      </c>
      <c r="Y260" s="223">
        <f>IF($A260="","",IF($V260="Đã xử lý","Hoàn thành",IF(N($U260)=0,"Chưa đặt hạn",IF(TDBC&gt;$U260,"Quá hạn",IF(ROUND((N($X260)-$W260)*100,0)&gt;=20,"Chậm tiến độ",IF($U260-TDBC&lt;=1,"Sắp đến hạn","Đúng tiến độ"))))))</f>
      </c>
      <c r="Z260" s="223">
        <f>IF(OR($A260="",$V260="Đã xử lý",N($U260)=0),"",IF(TDBC&gt;$U260,"Quá "&amp;IF(((TDBC-$U260)*24)&lt;1,MAX(1,ROUND(((TDBC-$U260)*24)*60,0))&amp;" phút",IF(ROUND(((TDBC-$U260)*24),0)&lt;24,ROUND(((TDBC-$U260)*24),0)&amp;" giờ",INT(ROUND(((TDBC-$U260)*24),0)/24)&amp;" ngày"&amp;IF(MOD(ROUND(((TDBC-$U260)*24),0),24)&gt;0," "&amp;MOD(ROUND(((TDBC-$U260)*24),0),24)&amp;" giờ",""))),"Còn "&amp;IF((($U260-TDBC)*24)&lt;1,MAX(1,ROUND((($U260-TDBC)*24)*60,0))&amp;" phút",IF(ROUND((($U260-TDBC)*24),0)&lt;24,ROUND((($U260-TDBC)*24),0)&amp;" giờ",INT(ROUND((($U260-TDBC)*24),0)/24)&amp;" ngày"&amp;IF(MOD(ROUND((($U260-TDBC)*24),0),24)&gt;0," "&amp;MOD(ROUND((($U260-TDBC)*24),0),24)&amp;" giờ","")))))</f>
      </c>
      <c r="AA260" s="220">
        <f>IF($V260="Đã xử lý",_xlfn.MAXIFS('Nhật ký tiến độ'!$B$6:$B$3005,'Nhật ký tiến độ'!$C$6:$C$3005,$A260,'Nhật ký tiến độ'!$E$6:$E$3005,"Đã xử lý"),"")</f>
      </c>
      <c r="AB260" s="223">
        <f>IF($AI260="","",IF($AI260&lt;1,MAX(1,ROUND($AI260*60,0))&amp;" phút",IF(ROUND($AI260,0)&lt;24,ROUND($AI260,0)&amp;" giờ",INT(ROUND($AI260,0)/24)&amp;" ngày"&amp;IF(MOD(ROUND($AI260,0),24)&gt;0," "&amp;MOD(ROUND($AI260,0),24)&amp;" giờ",""))))</f>
      </c>
      <c r="AC260" s="223">
        <f>IF(OR($A260="",N($AH260)=0),"",IF($AI260&lt;&gt;"",IF($AI260&lt;=$AH260,"Trong ước tính","Vượt "&amp;IF(($AI260-$AH260)&lt;1,MAX(1,ROUND(($AI260-$AH260)*60,0))&amp;" phút",IF(ROUND(($AI260-$AH260),0)&lt;24,ROUND(($AI260-$AH260),0)&amp;" giờ",INT(ROUND(($AI260-$AH260),0)/24)&amp;" ngày"&amp;IF(MOD(ROUND(($AI260-$AH260),0),24)&gt;0," "&amp;MOD(ROUND(($AI260-$AH260),0),24)&amp;" giờ","")))),IF(OR($V260="Đã xử lý",N($B260)=0),"",IF((TDBC-$B260)*24&gt;$AH260,"Đã vượt ước tính","Đã dùng "&amp;TEXT((TDBC-$B260)*24/$AH260,"0%")))))</f>
      </c>
      <c r="AD260" s="223">
        <f>IF(N($AO260)=0,"",CHOOSE($AO260,"Nhắc nhở","Cảnh báo","Báo động","Báo động đỏ"))</f>
      </c>
      <c r="AE260" s="223">
        <f>IF(OR(N($AA260)=0,N($U260)=0),"",IF($AA260&lt;=$U260,"Đúng hạn","Trễ hạn"))</f>
      </c>
      <c r="AF260" s="220">
        <f>IF($A260="","",_xlfn.MAXIFS('Nhật ký tiến độ'!$B$6:$B$3005,'Nhật ký tiến độ'!$C$6:$C$3005,$A260))</f>
      </c>
      <c r="AG260" s="223">
        <f>IF($A260="","",IF(COUNTIF('Kế hoạch'!$M$6:$M$305,$A260)=0,"",COUNTIF('Kế hoạch'!$M$6:$M$305,$A260)&amp;" việc"))</f>
      </c>
      <c r="AH260" s="224">
        <f>IF(OR($A260="",N($O260)&lt;=0),"",IF($P260="Giờ",$O260,$O260*24))</f>
      </c>
      <c r="AI260" s="224">
        <f>IF(OR(N($AA260)=0,N($B260)=0),"",IF($AA260&lt;$B260,"",($AA260-$B260)*24))</f>
      </c>
      <c r="AJ260" s="225">
        <f>IF($A260="","",IF(COUNTIF('Nhật ký tiến độ'!$C$6:$C$3005,$A260)=0,0,_xlfn.MAXIFS('Nhật ký tiến độ'!$N$6:$N$3005,'Nhật ký tiến độ'!$C$6:$C$3005,$A260,'Nhật ký tiến độ'!$B$6:$B$3005,_xlfn.MAXIFS('Nhật ký tiến độ'!$B$6:$B$3005,'Nhật ký tiến độ'!$C$6:$C$3005,$A260))))</f>
      </c>
      <c r="AK260" s="225">
        <f>IF(OR($A260="",$V260="Đã xử lý"),"",IF(N($AO260)&gt;0,5-$AO260,IF($J260="Khẩn cấp",5,IF($Y260="Chậm tiến độ",6,IF(OR($Y260="Sắp đến hạn",$J260="Cao"),7,"")))))</f>
      </c>
      <c r="AL260" s="225">
        <f>IF($AK260="","",$AK260*100000+IF(N($U260)=0,99999,INT($U260))+ROW()/100000)</f>
      </c>
      <c r="AM260" s="225">
        <f>IF(OR($A260="",TRIM($K260)="",COUNTIF($K$6:$K260,$K260)&gt;1),0,1)</f>
      </c>
      <c r="AN260" s="225">
        <f>IF($AM260=1,SUM($AM$6:$AM260),"")</f>
      </c>
      <c r="AO260" s="225">
        <f>IF(OR($A260="",$V260="Đã xử lý",N($U260)=0),0,IF(TDBC&lt;=$U260,0,MAX(1,MIN(4,IF((TDBC-$U260)*24&lt;24,1,IF((TDBC-$U260)*24&lt;72,2,IF((TDBC-$U260)*24&lt;168,3,4)))+IFERROR(INDEX({2,1,0,-1},MATCH($J260,{"Khẩn cấp","Cao","Trung bình","Thấp"},0)),0)))))</f>
      </c>
    </row>
    <row r="261">
      <c r="A261" s="216"/>
      <c r="B261" s="217"/>
      <c r="C261" s="218"/>
      <c r="D261" s="218"/>
      <c r="E261" s="218"/>
      <c r="F261" s="218"/>
      <c r="G261" s="216"/>
      <c r="H261" s="218"/>
      <c r="I261" s="218"/>
      <c r="J261" s="216"/>
      <c r="K261" s="218"/>
      <c r="L261" s="218"/>
      <c r="M261" s="218"/>
      <c r="N261" s="218"/>
      <c r="O261" s="219"/>
      <c r="P261" s="216"/>
      <c r="Q261" s="217"/>
      <c r="R261" s="216"/>
      <c r="S261" s="218"/>
      <c r="T261" s="218"/>
      <c r="U261" s="220">
        <f>IF($A261="","",IF(N($Q261)&gt;0,IF(MOD($Q261,1)=0,$Q261+1-1/1440,$Q261),IF(N($B261)=0,"",$B261+IF(N($AH261)&gt;0,$AH261,IFERROR(INDEX(DM_SLA_Gio,MATCH($J261,DM_SLA_Cap,0)),168))/24)))</f>
      </c>
      <c r="V261" s="221">
        <f>IF($A261="","",IF(N($AJ261)=0,"Mới tiếp nhận",INDEX('Nhật ký tiến độ'!$E:$E,$AJ261)))</f>
      </c>
      <c r="W261" s="222">
        <f>IF($A261="","",IF($V261="Đã xử lý",1,IF(N($AJ261)=0,0,N(INDEX('Nhật ký tiến độ'!$D:$D,$AJ261)))))</f>
      </c>
      <c r="X261" s="222">
        <f>IF(OR($A261="",$V261="Đã xử lý",N($U261)=0,N($B261)=0),"",IF(TDBC&lt;=$B261,0,IF(TDBC&gt;=$U261,1,(TDBC-$B261)/($U261-$B261))))</f>
      </c>
      <c r="Y261" s="223">
        <f>IF($A261="","",IF($V261="Đã xử lý","Hoàn thành",IF(N($U261)=0,"Chưa đặt hạn",IF(TDBC&gt;$U261,"Quá hạn",IF(ROUND((N($X261)-$W261)*100,0)&gt;=20,"Chậm tiến độ",IF($U261-TDBC&lt;=1,"Sắp đến hạn","Đúng tiến độ"))))))</f>
      </c>
      <c r="Z261" s="223">
        <f>IF(OR($A261="",$V261="Đã xử lý",N($U261)=0),"",IF(TDBC&gt;$U261,"Quá "&amp;IF(((TDBC-$U261)*24)&lt;1,MAX(1,ROUND(((TDBC-$U261)*24)*60,0))&amp;" phút",IF(ROUND(((TDBC-$U261)*24),0)&lt;24,ROUND(((TDBC-$U261)*24),0)&amp;" giờ",INT(ROUND(((TDBC-$U261)*24),0)/24)&amp;" ngày"&amp;IF(MOD(ROUND(((TDBC-$U261)*24),0),24)&gt;0," "&amp;MOD(ROUND(((TDBC-$U261)*24),0),24)&amp;" giờ",""))),"Còn "&amp;IF((($U261-TDBC)*24)&lt;1,MAX(1,ROUND((($U261-TDBC)*24)*60,0))&amp;" phút",IF(ROUND((($U261-TDBC)*24),0)&lt;24,ROUND((($U261-TDBC)*24),0)&amp;" giờ",INT(ROUND((($U261-TDBC)*24),0)/24)&amp;" ngày"&amp;IF(MOD(ROUND((($U261-TDBC)*24),0),24)&gt;0," "&amp;MOD(ROUND((($U261-TDBC)*24),0),24)&amp;" giờ","")))))</f>
      </c>
      <c r="AA261" s="220">
        <f>IF($V261="Đã xử lý",_xlfn.MAXIFS('Nhật ký tiến độ'!$B$6:$B$3005,'Nhật ký tiến độ'!$C$6:$C$3005,$A261,'Nhật ký tiến độ'!$E$6:$E$3005,"Đã xử lý"),"")</f>
      </c>
      <c r="AB261" s="223">
        <f>IF($AI261="","",IF($AI261&lt;1,MAX(1,ROUND($AI261*60,0))&amp;" phút",IF(ROUND($AI261,0)&lt;24,ROUND($AI261,0)&amp;" giờ",INT(ROUND($AI261,0)/24)&amp;" ngày"&amp;IF(MOD(ROUND($AI261,0),24)&gt;0," "&amp;MOD(ROUND($AI261,0),24)&amp;" giờ",""))))</f>
      </c>
      <c r="AC261" s="223">
        <f>IF(OR($A261="",N($AH261)=0),"",IF($AI261&lt;&gt;"",IF($AI261&lt;=$AH261,"Trong ước tính","Vượt "&amp;IF(($AI261-$AH261)&lt;1,MAX(1,ROUND(($AI261-$AH261)*60,0))&amp;" phút",IF(ROUND(($AI261-$AH261),0)&lt;24,ROUND(($AI261-$AH261),0)&amp;" giờ",INT(ROUND(($AI261-$AH261),0)/24)&amp;" ngày"&amp;IF(MOD(ROUND(($AI261-$AH261),0),24)&gt;0," "&amp;MOD(ROUND(($AI261-$AH261),0),24)&amp;" giờ","")))),IF(OR($V261="Đã xử lý",N($B261)=0),"",IF((TDBC-$B261)*24&gt;$AH261,"Đã vượt ước tính","Đã dùng "&amp;TEXT((TDBC-$B261)*24/$AH261,"0%")))))</f>
      </c>
      <c r="AD261" s="223">
        <f>IF(N($AO261)=0,"",CHOOSE($AO261,"Nhắc nhở","Cảnh báo","Báo động","Báo động đỏ"))</f>
      </c>
      <c r="AE261" s="223">
        <f>IF(OR(N($AA261)=0,N($U261)=0),"",IF($AA261&lt;=$U261,"Đúng hạn","Trễ hạn"))</f>
      </c>
      <c r="AF261" s="220">
        <f>IF($A261="","",_xlfn.MAXIFS('Nhật ký tiến độ'!$B$6:$B$3005,'Nhật ký tiến độ'!$C$6:$C$3005,$A261))</f>
      </c>
      <c r="AG261" s="223">
        <f>IF($A261="","",IF(COUNTIF('Kế hoạch'!$M$6:$M$305,$A261)=0,"",COUNTIF('Kế hoạch'!$M$6:$M$305,$A261)&amp;" việc"))</f>
      </c>
      <c r="AH261" s="224">
        <f>IF(OR($A261="",N($O261)&lt;=0),"",IF($P261="Giờ",$O261,$O261*24))</f>
      </c>
      <c r="AI261" s="224">
        <f>IF(OR(N($AA261)=0,N($B261)=0),"",IF($AA261&lt;$B261,"",($AA261-$B261)*24))</f>
      </c>
      <c r="AJ261" s="225">
        <f>IF($A261="","",IF(COUNTIF('Nhật ký tiến độ'!$C$6:$C$3005,$A261)=0,0,_xlfn.MAXIFS('Nhật ký tiến độ'!$N$6:$N$3005,'Nhật ký tiến độ'!$C$6:$C$3005,$A261,'Nhật ký tiến độ'!$B$6:$B$3005,_xlfn.MAXIFS('Nhật ký tiến độ'!$B$6:$B$3005,'Nhật ký tiến độ'!$C$6:$C$3005,$A261))))</f>
      </c>
      <c r="AK261" s="225">
        <f>IF(OR($A261="",$V261="Đã xử lý"),"",IF(N($AO261)&gt;0,5-$AO261,IF($J261="Khẩn cấp",5,IF($Y261="Chậm tiến độ",6,IF(OR($Y261="Sắp đến hạn",$J261="Cao"),7,"")))))</f>
      </c>
      <c r="AL261" s="225">
        <f>IF($AK261="","",$AK261*100000+IF(N($U261)=0,99999,INT($U261))+ROW()/100000)</f>
      </c>
      <c r="AM261" s="225">
        <f>IF(OR($A261="",TRIM($K261)="",COUNTIF($K$6:$K261,$K261)&gt;1),0,1)</f>
      </c>
      <c r="AN261" s="225">
        <f>IF($AM261=1,SUM($AM$6:$AM261),"")</f>
      </c>
      <c r="AO261" s="225">
        <f>IF(OR($A261="",$V261="Đã xử lý",N($U261)=0),0,IF(TDBC&lt;=$U261,0,MAX(1,MIN(4,IF((TDBC-$U261)*24&lt;24,1,IF((TDBC-$U261)*24&lt;72,2,IF((TDBC-$U261)*24&lt;168,3,4)))+IFERROR(INDEX({2,1,0,-1},MATCH($J261,{"Khẩn cấp","Cao","Trung bình","Thấp"},0)),0)))))</f>
      </c>
    </row>
    <row r="262">
      <c r="A262" s="216"/>
      <c r="B262" s="217"/>
      <c r="C262" s="218"/>
      <c r="D262" s="218"/>
      <c r="E262" s="218"/>
      <c r="F262" s="218"/>
      <c r="G262" s="216"/>
      <c r="H262" s="218"/>
      <c r="I262" s="218"/>
      <c r="J262" s="216"/>
      <c r="K262" s="218"/>
      <c r="L262" s="218"/>
      <c r="M262" s="218"/>
      <c r="N262" s="218"/>
      <c r="O262" s="219"/>
      <c r="P262" s="216"/>
      <c r="Q262" s="217"/>
      <c r="R262" s="216"/>
      <c r="S262" s="218"/>
      <c r="T262" s="218"/>
      <c r="U262" s="220">
        <f>IF($A262="","",IF(N($Q262)&gt;0,IF(MOD($Q262,1)=0,$Q262+1-1/1440,$Q262),IF(N($B262)=0,"",$B262+IF(N($AH262)&gt;0,$AH262,IFERROR(INDEX(DM_SLA_Gio,MATCH($J262,DM_SLA_Cap,0)),168))/24)))</f>
      </c>
      <c r="V262" s="221">
        <f>IF($A262="","",IF(N($AJ262)=0,"Mới tiếp nhận",INDEX('Nhật ký tiến độ'!$E:$E,$AJ262)))</f>
      </c>
      <c r="W262" s="222">
        <f>IF($A262="","",IF($V262="Đã xử lý",1,IF(N($AJ262)=0,0,N(INDEX('Nhật ký tiến độ'!$D:$D,$AJ262)))))</f>
      </c>
      <c r="X262" s="222">
        <f>IF(OR($A262="",$V262="Đã xử lý",N($U262)=0,N($B262)=0),"",IF(TDBC&lt;=$B262,0,IF(TDBC&gt;=$U262,1,(TDBC-$B262)/($U262-$B262))))</f>
      </c>
      <c r="Y262" s="223">
        <f>IF($A262="","",IF($V262="Đã xử lý","Hoàn thành",IF(N($U262)=0,"Chưa đặt hạn",IF(TDBC&gt;$U262,"Quá hạn",IF(ROUND((N($X262)-$W262)*100,0)&gt;=20,"Chậm tiến độ",IF($U262-TDBC&lt;=1,"Sắp đến hạn","Đúng tiến độ"))))))</f>
      </c>
      <c r="Z262" s="223">
        <f>IF(OR($A262="",$V262="Đã xử lý",N($U262)=0),"",IF(TDBC&gt;$U262,"Quá "&amp;IF(((TDBC-$U262)*24)&lt;1,MAX(1,ROUND(((TDBC-$U262)*24)*60,0))&amp;" phút",IF(ROUND(((TDBC-$U262)*24),0)&lt;24,ROUND(((TDBC-$U262)*24),0)&amp;" giờ",INT(ROUND(((TDBC-$U262)*24),0)/24)&amp;" ngày"&amp;IF(MOD(ROUND(((TDBC-$U262)*24),0),24)&gt;0," "&amp;MOD(ROUND(((TDBC-$U262)*24),0),24)&amp;" giờ",""))),"Còn "&amp;IF((($U262-TDBC)*24)&lt;1,MAX(1,ROUND((($U262-TDBC)*24)*60,0))&amp;" phút",IF(ROUND((($U262-TDBC)*24),0)&lt;24,ROUND((($U262-TDBC)*24),0)&amp;" giờ",INT(ROUND((($U262-TDBC)*24),0)/24)&amp;" ngày"&amp;IF(MOD(ROUND((($U262-TDBC)*24),0),24)&gt;0," "&amp;MOD(ROUND((($U262-TDBC)*24),0),24)&amp;" giờ","")))))</f>
      </c>
      <c r="AA262" s="220">
        <f>IF($V262="Đã xử lý",_xlfn.MAXIFS('Nhật ký tiến độ'!$B$6:$B$3005,'Nhật ký tiến độ'!$C$6:$C$3005,$A262,'Nhật ký tiến độ'!$E$6:$E$3005,"Đã xử lý"),"")</f>
      </c>
      <c r="AB262" s="223">
        <f>IF($AI262="","",IF($AI262&lt;1,MAX(1,ROUND($AI262*60,0))&amp;" phút",IF(ROUND($AI262,0)&lt;24,ROUND($AI262,0)&amp;" giờ",INT(ROUND($AI262,0)/24)&amp;" ngày"&amp;IF(MOD(ROUND($AI262,0),24)&gt;0," "&amp;MOD(ROUND($AI262,0),24)&amp;" giờ",""))))</f>
      </c>
      <c r="AC262" s="223">
        <f>IF(OR($A262="",N($AH262)=0),"",IF($AI262&lt;&gt;"",IF($AI262&lt;=$AH262,"Trong ước tính","Vượt "&amp;IF(($AI262-$AH262)&lt;1,MAX(1,ROUND(($AI262-$AH262)*60,0))&amp;" phút",IF(ROUND(($AI262-$AH262),0)&lt;24,ROUND(($AI262-$AH262),0)&amp;" giờ",INT(ROUND(($AI262-$AH262),0)/24)&amp;" ngày"&amp;IF(MOD(ROUND(($AI262-$AH262),0),24)&gt;0," "&amp;MOD(ROUND(($AI262-$AH262),0),24)&amp;" giờ","")))),IF(OR($V262="Đã xử lý",N($B262)=0),"",IF((TDBC-$B262)*24&gt;$AH262,"Đã vượt ước tính","Đã dùng "&amp;TEXT((TDBC-$B262)*24/$AH262,"0%")))))</f>
      </c>
      <c r="AD262" s="223">
        <f>IF(N($AO262)=0,"",CHOOSE($AO262,"Nhắc nhở","Cảnh báo","Báo động","Báo động đỏ"))</f>
      </c>
      <c r="AE262" s="223">
        <f>IF(OR(N($AA262)=0,N($U262)=0),"",IF($AA262&lt;=$U262,"Đúng hạn","Trễ hạn"))</f>
      </c>
      <c r="AF262" s="220">
        <f>IF($A262="","",_xlfn.MAXIFS('Nhật ký tiến độ'!$B$6:$B$3005,'Nhật ký tiến độ'!$C$6:$C$3005,$A262))</f>
      </c>
      <c r="AG262" s="223">
        <f>IF($A262="","",IF(COUNTIF('Kế hoạch'!$M$6:$M$305,$A262)=0,"",COUNTIF('Kế hoạch'!$M$6:$M$305,$A262)&amp;" việc"))</f>
      </c>
      <c r="AH262" s="224">
        <f>IF(OR($A262="",N($O262)&lt;=0),"",IF($P262="Giờ",$O262,$O262*24))</f>
      </c>
      <c r="AI262" s="224">
        <f>IF(OR(N($AA262)=0,N($B262)=0),"",IF($AA262&lt;$B262,"",($AA262-$B262)*24))</f>
      </c>
      <c r="AJ262" s="225">
        <f>IF($A262="","",IF(COUNTIF('Nhật ký tiến độ'!$C$6:$C$3005,$A262)=0,0,_xlfn.MAXIFS('Nhật ký tiến độ'!$N$6:$N$3005,'Nhật ký tiến độ'!$C$6:$C$3005,$A262,'Nhật ký tiến độ'!$B$6:$B$3005,_xlfn.MAXIFS('Nhật ký tiến độ'!$B$6:$B$3005,'Nhật ký tiến độ'!$C$6:$C$3005,$A262))))</f>
      </c>
      <c r="AK262" s="225">
        <f>IF(OR($A262="",$V262="Đã xử lý"),"",IF(N($AO262)&gt;0,5-$AO262,IF($J262="Khẩn cấp",5,IF($Y262="Chậm tiến độ",6,IF(OR($Y262="Sắp đến hạn",$J262="Cao"),7,"")))))</f>
      </c>
      <c r="AL262" s="225">
        <f>IF($AK262="","",$AK262*100000+IF(N($U262)=0,99999,INT($U262))+ROW()/100000)</f>
      </c>
      <c r="AM262" s="225">
        <f>IF(OR($A262="",TRIM($K262)="",COUNTIF($K$6:$K262,$K262)&gt;1),0,1)</f>
      </c>
      <c r="AN262" s="225">
        <f>IF($AM262=1,SUM($AM$6:$AM262),"")</f>
      </c>
      <c r="AO262" s="225">
        <f>IF(OR($A262="",$V262="Đã xử lý",N($U262)=0),0,IF(TDBC&lt;=$U262,0,MAX(1,MIN(4,IF((TDBC-$U262)*24&lt;24,1,IF((TDBC-$U262)*24&lt;72,2,IF((TDBC-$U262)*24&lt;168,3,4)))+IFERROR(INDEX({2,1,0,-1},MATCH($J262,{"Khẩn cấp","Cao","Trung bình","Thấp"},0)),0)))))</f>
      </c>
    </row>
    <row r="263">
      <c r="A263" s="216"/>
      <c r="B263" s="217"/>
      <c r="C263" s="218"/>
      <c r="D263" s="218"/>
      <c r="E263" s="218"/>
      <c r="F263" s="218"/>
      <c r="G263" s="216"/>
      <c r="H263" s="218"/>
      <c r="I263" s="218"/>
      <c r="J263" s="216"/>
      <c r="K263" s="218"/>
      <c r="L263" s="218"/>
      <c r="M263" s="218"/>
      <c r="N263" s="218"/>
      <c r="O263" s="219"/>
      <c r="P263" s="216"/>
      <c r="Q263" s="217"/>
      <c r="R263" s="216"/>
      <c r="S263" s="218"/>
      <c r="T263" s="218"/>
      <c r="U263" s="220">
        <f>IF($A263="","",IF(N($Q263)&gt;0,IF(MOD($Q263,1)=0,$Q263+1-1/1440,$Q263),IF(N($B263)=0,"",$B263+IF(N($AH263)&gt;0,$AH263,IFERROR(INDEX(DM_SLA_Gio,MATCH($J263,DM_SLA_Cap,0)),168))/24)))</f>
      </c>
      <c r="V263" s="221">
        <f>IF($A263="","",IF(N($AJ263)=0,"Mới tiếp nhận",INDEX('Nhật ký tiến độ'!$E:$E,$AJ263)))</f>
      </c>
      <c r="W263" s="222">
        <f>IF($A263="","",IF($V263="Đã xử lý",1,IF(N($AJ263)=0,0,N(INDEX('Nhật ký tiến độ'!$D:$D,$AJ263)))))</f>
      </c>
      <c r="X263" s="222">
        <f>IF(OR($A263="",$V263="Đã xử lý",N($U263)=0,N($B263)=0),"",IF(TDBC&lt;=$B263,0,IF(TDBC&gt;=$U263,1,(TDBC-$B263)/($U263-$B263))))</f>
      </c>
      <c r="Y263" s="223">
        <f>IF($A263="","",IF($V263="Đã xử lý","Hoàn thành",IF(N($U263)=0,"Chưa đặt hạn",IF(TDBC&gt;$U263,"Quá hạn",IF(ROUND((N($X263)-$W263)*100,0)&gt;=20,"Chậm tiến độ",IF($U263-TDBC&lt;=1,"Sắp đến hạn","Đúng tiến độ"))))))</f>
      </c>
      <c r="Z263" s="223">
        <f>IF(OR($A263="",$V263="Đã xử lý",N($U263)=0),"",IF(TDBC&gt;$U263,"Quá "&amp;IF(((TDBC-$U263)*24)&lt;1,MAX(1,ROUND(((TDBC-$U263)*24)*60,0))&amp;" phút",IF(ROUND(((TDBC-$U263)*24),0)&lt;24,ROUND(((TDBC-$U263)*24),0)&amp;" giờ",INT(ROUND(((TDBC-$U263)*24),0)/24)&amp;" ngày"&amp;IF(MOD(ROUND(((TDBC-$U263)*24),0),24)&gt;0," "&amp;MOD(ROUND(((TDBC-$U263)*24),0),24)&amp;" giờ",""))),"Còn "&amp;IF((($U263-TDBC)*24)&lt;1,MAX(1,ROUND((($U263-TDBC)*24)*60,0))&amp;" phút",IF(ROUND((($U263-TDBC)*24),0)&lt;24,ROUND((($U263-TDBC)*24),0)&amp;" giờ",INT(ROUND((($U263-TDBC)*24),0)/24)&amp;" ngày"&amp;IF(MOD(ROUND((($U263-TDBC)*24),0),24)&gt;0," "&amp;MOD(ROUND((($U263-TDBC)*24),0),24)&amp;" giờ","")))))</f>
      </c>
      <c r="AA263" s="220">
        <f>IF($V263="Đã xử lý",_xlfn.MAXIFS('Nhật ký tiến độ'!$B$6:$B$3005,'Nhật ký tiến độ'!$C$6:$C$3005,$A263,'Nhật ký tiến độ'!$E$6:$E$3005,"Đã xử lý"),"")</f>
      </c>
      <c r="AB263" s="223">
        <f>IF($AI263="","",IF($AI263&lt;1,MAX(1,ROUND($AI263*60,0))&amp;" phút",IF(ROUND($AI263,0)&lt;24,ROUND($AI263,0)&amp;" giờ",INT(ROUND($AI263,0)/24)&amp;" ngày"&amp;IF(MOD(ROUND($AI263,0),24)&gt;0," "&amp;MOD(ROUND($AI263,0),24)&amp;" giờ",""))))</f>
      </c>
      <c r="AC263" s="223">
        <f>IF(OR($A263="",N($AH263)=0),"",IF($AI263&lt;&gt;"",IF($AI263&lt;=$AH263,"Trong ước tính","Vượt "&amp;IF(($AI263-$AH263)&lt;1,MAX(1,ROUND(($AI263-$AH263)*60,0))&amp;" phút",IF(ROUND(($AI263-$AH263),0)&lt;24,ROUND(($AI263-$AH263),0)&amp;" giờ",INT(ROUND(($AI263-$AH263),0)/24)&amp;" ngày"&amp;IF(MOD(ROUND(($AI263-$AH263),0),24)&gt;0," "&amp;MOD(ROUND(($AI263-$AH263),0),24)&amp;" giờ","")))),IF(OR($V263="Đã xử lý",N($B263)=0),"",IF((TDBC-$B263)*24&gt;$AH263,"Đã vượt ước tính","Đã dùng "&amp;TEXT((TDBC-$B263)*24/$AH263,"0%")))))</f>
      </c>
      <c r="AD263" s="223">
        <f>IF(N($AO263)=0,"",CHOOSE($AO263,"Nhắc nhở","Cảnh báo","Báo động","Báo động đỏ"))</f>
      </c>
      <c r="AE263" s="223">
        <f>IF(OR(N($AA263)=0,N($U263)=0),"",IF($AA263&lt;=$U263,"Đúng hạn","Trễ hạn"))</f>
      </c>
      <c r="AF263" s="220">
        <f>IF($A263="","",_xlfn.MAXIFS('Nhật ký tiến độ'!$B$6:$B$3005,'Nhật ký tiến độ'!$C$6:$C$3005,$A263))</f>
      </c>
      <c r="AG263" s="223">
        <f>IF($A263="","",IF(COUNTIF('Kế hoạch'!$M$6:$M$305,$A263)=0,"",COUNTIF('Kế hoạch'!$M$6:$M$305,$A263)&amp;" việc"))</f>
      </c>
      <c r="AH263" s="224">
        <f>IF(OR($A263="",N($O263)&lt;=0),"",IF($P263="Giờ",$O263,$O263*24))</f>
      </c>
      <c r="AI263" s="224">
        <f>IF(OR(N($AA263)=0,N($B263)=0),"",IF($AA263&lt;$B263,"",($AA263-$B263)*24))</f>
      </c>
      <c r="AJ263" s="225">
        <f>IF($A263="","",IF(COUNTIF('Nhật ký tiến độ'!$C$6:$C$3005,$A263)=0,0,_xlfn.MAXIFS('Nhật ký tiến độ'!$N$6:$N$3005,'Nhật ký tiến độ'!$C$6:$C$3005,$A263,'Nhật ký tiến độ'!$B$6:$B$3005,_xlfn.MAXIFS('Nhật ký tiến độ'!$B$6:$B$3005,'Nhật ký tiến độ'!$C$6:$C$3005,$A263))))</f>
      </c>
      <c r="AK263" s="225">
        <f>IF(OR($A263="",$V263="Đã xử lý"),"",IF(N($AO263)&gt;0,5-$AO263,IF($J263="Khẩn cấp",5,IF($Y263="Chậm tiến độ",6,IF(OR($Y263="Sắp đến hạn",$J263="Cao"),7,"")))))</f>
      </c>
      <c r="AL263" s="225">
        <f>IF($AK263="","",$AK263*100000+IF(N($U263)=0,99999,INT($U263))+ROW()/100000)</f>
      </c>
      <c r="AM263" s="225">
        <f>IF(OR($A263="",TRIM($K263)="",COUNTIF($K$6:$K263,$K263)&gt;1),0,1)</f>
      </c>
      <c r="AN263" s="225">
        <f>IF($AM263=1,SUM($AM$6:$AM263),"")</f>
      </c>
      <c r="AO263" s="225">
        <f>IF(OR($A263="",$V263="Đã xử lý",N($U263)=0),0,IF(TDBC&lt;=$U263,0,MAX(1,MIN(4,IF((TDBC-$U263)*24&lt;24,1,IF((TDBC-$U263)*24&lt;72,2,IF((TDBC-$U263)*24&lt;168,3,4)))+IFERROR(INDEX({2,1,0,-1},MATCH($J263,{"Khẩn cấp","Cao","Trung bình","Thấp"},0)),0)))))</f>
      </c>
    </row>
    <row r="264">
      <c r="A264" s="216"/>
      <c r="B264" s="217"/>
      <c r="C264" s="218"/>
      <c r="D264" s="218"/>
      <c r="E264" s="218"/>
      <c r="F264" s="218"/>
      <c r="G264" s="216"/>
      <c r="H264" s="218"/>
      <c r="I264" s="218"/>
      <c r="J264" s="216"/>
      <c r="K264" s="218"/>
      <c r="L264" s="218"/>
      <c r="M264" s="218"/>
      <c r="N264" s="218"/>
      <c r="O264" s="219"/>
      <c r="P264" s="216"/>
      <c r="Q264" s="217"/>
      <c r="R264" s="216"/>
      <c r="S264" s="218"/>
      <c r="T264" s="218"/>
      <c r="U264" s="220">
        <f>IF($A264="","",IF(N($Q264)&gt;0,IF(MOD($Q264,1)=0,$Q264+1-1/1440,$Q264),IF(N($B264)=0,"",$B264+IF(N($AH264)&gt;0,$AH264,IFERROR(INDEX(DM_SLA_Gio,MATCH($J264,DM_SLA_Cap,0)),168))/24)))</f>
      </c>
      <c r="V264" s="221">
        <f>IF($A264="","",IF(N($AJ264)=0,"Mới tiếp nhận",INDEX('Nhật ký tiến độ'!$E:$E,$AJ264)))</f>
      </c>
      <c r="W264" s="222">
        <f>IF($A264="","",IF($V264="Đã xử lý",1,IF(N($AJ264)=0,0,N(INDEX('Nhật ký tiến độ'!$D:$D,$AJ264)))))</f>
      </c>
      <c r="X264" s="222">
        <f>IF(OR($A264="",$V264="Đã xử lý",N($U264)=0,N($B264)=0),"",IF(TDBC&lt;=$B264,0,IF(TDBC&gt;=$U264,1,(TDBC-$B264)/($U264-$B264))))</f>
      </c>
      <c r="Y264" s="223">
        <f>IF($A264="","",IF($V264="Đã xử lý","Hoàn thành",IF(N($U264)=0,"Chưa đặt hạn",IF(TDBC&gt;$U264,"Quá hạn",IF(ROUND((N($X264)-$W264)*100,0)&gt;=20,"Chậm tiến độ",IF($U264-TDBC&lt;=1,"Sắp đến hạn","Đúng tiến độ"))))))</f>
      </c>
      <c r="Z264" s="223">
        <f>IF(OR($A264="",$V264="Đã xử lý",N($U264)=0),"",IF(TDBC&gt;$U264,"Quá "&amp;IF(((TDBC-$U264)*24)&lt;1,MAX(1,ROUND(((TDBC-$U264)*24)*60,0))&amp;" phút",IF(ROUND(((TDBC-$U264)*24),0)&lt;24,ROUND(((TDBC-$U264)*24),0)&amp;" giờ",INT(ROUND(((TDBC-$U264)*24),0)/24)&amp;" ngày"&amp;IF(MOD(ROUND(((TDBC-$U264)*24),0),24)&gt;0," "&amp;MOD(ROUND(((TDBC-$U264)*24),0),24)&amp;" giờ",""))),"Còn "&amp;IF((($U264-TDBC)*24)&lt;1,MAX(1,ROUND((($U264-TDBC)*24)*60,0))&amp;" phút",IF(ROUND((($U264-TDBC)*24),0)&lt;24,ROUND((($U264-TDBC)*24),0)&amp;" giờ",INT(ROUND((($U264-TDBC)*24),0)/24)&amp;" ngày"&amp;IF(MOD(ROUND((($U264-TDBC)*24),0),24)&gt;0," "&amp;MOD(ROUND((($U264-TDBC)*24),0),24)&amp;" giờ","")))))</f>
      </c>
      <c r="AA264" s="220">
        <f>IF($V264="Đã xử lý",_xlfn.MAXIFS('Nhật ký tiến độ'!$B$6:$B$3005,'Nhật ký tiến độ'!$C$6:$C$3005,$A264,'Nhật ký tiến độ'!$E$6:$E$3005,"Đã xử lý"),"")</f>
      </c>
      <c r="AB264" s="223">
        <f>IF($AI264="","",IF($AI264&lt;1,MAX(1,ROUND($AI264*60,0))&amp;" phút",IF(ROUND($AI264,0)&lt;24,ROUND($AI264,0)&amp;" giờ",INT(ROUND($AI264,0)/24)&amp;" ngày"&amp;IF(MOD(ROUND($AI264,0),24)&gt;0," "&amp;MOD(ROUND($AI264,0),24)&amp;" giờ",""))))</f>
      </c>
      <c r="AC264" s="223">
        <f>IF(OR($A264="",N($AH264)=0),"",IF($AI264&lt;&gt;"",IF($AI264&lt;=$AH264,"Trong ước tính","Vượt "&amp;IF(($AI264-$AH264)&lt;1,MAX(1,ROUND(($AI264-$AH264)*60,0))&amp;" phút",IF(ROUND(($AI264-$AH264),0)&lt;24,ROUND(($AI264-$AH264),0)&amp;" giờ",INT(ROUND(($AI264-$AH264),0)/24)&amp;" ngày"&amp;IF(MOD(ROUND(($AI264-$AH264),0),24)&gt;0," "&amp;MOD(ROUND(($AI264-$AH264),0),24)&amp;" giờ","")))),IF(OR($V264="Đã xử lý",N($B264)=0),"",IF((TDBC-$B264)*24&gt;$AH264,"Đã vượt ước tính","Đã dùng "&amp;TEXT((TDBC-$B264)*24/$AH264,"0%")))))</f>
      </c>
      <c r="AD264" s="223">
        <f>IF(N($AO264)=0,"",CHOOSE($AO264,"Nhắc nhở","Cảnh báo","Báo động","Báo động đỏ"))</f>
      </c>
      <c r="AE264" s="223">
        <f>IF(OR(N($AA264)=0,N($U264)=0),"",IF($AA264&lt;=$U264,"Đúng hạn","Trễ hạn"))</f>
      </c>
      <c r="AF264" s="220">
        <f>IF($A264="","",_xlfn.MAXIFS('Nhật ký tiến độ'!$B$6:$B$3005,'Nhật ký tiến độ'!$C$6:$C$3005,$A264))</f>
      </c>
      <c r="AG264" s="223">
        <f>IF($A264="","",IF(COUNTIF('Kế hoạch'!$M$6:$M$305,$A264)=0,"",COUNTIF('Kế hoạch'!$M$6:$M$305,$A264)&amp;" việc"))</f>
      </c>
      <c r="AH264" s="224">
        <f>IF(OR($A264="",N($O264)&lt;=0),"",IF($P264="Giờ",$O264,$O264*24))</f>
      </c>
      <c r="AI264" s="224">
        <f>IF(OR(N($AA264)=0,N($B264)=0),"",IF($AA264&lt;$B264,"",($AA264-$B264)*24))</f>
      </c>
      <c r="AJ264" s="225">
        <f>IF($A264="","",IF(COUNTIF('Nhật ký tiến độ'!$C$6:$C$3005,$A264)=0,0,_xlfn.MAXIFS('Nhật ký tiến độ'!$N$6:$N$3005,'Nhật ký tiến độ'!$C$6:$C$3005,$A264,'Nhật ký tiến độ'!$B$6:$B$3005,_xlfn.MAXIFS('Nhật ký tiến độ'!$B$6:$B$3005,'Nhật ký tiến độ'!$C$6:$C$3005,$A264))))</f>
      </c>
      <c r="AK264" s="225">
        <f>IF(OR($A264="",$V264="Đã xử lý"),"",IF(N($AO264)&gt;0,5-$AO264,IF($J264="Khẩn cấp",5,IF($Y264="Chậm tiến độ",6,IF(OR($Y264="Sắp đến hạn",$J264="Cao"),7,"")))))</f>
      </c>
      <c r="AL264" s="225">
        <f>IF($AK264="","",$AK264*100000+IF(N($U264)=0,99999,INT($U264))+ROW()/100000)</f>
      </c>
      <c r="AM264" s="225">
        <f>IF(OR($A264="",TRIM($K264)="",COUNTIF($K$6:$K264,$K264)&gt;1),0,1)</f>
      </c>
      <c r="AN264" s="225">
        <f>IF($AM264=1,SUM($AM$6:$AM264),"")</f>
      </c>
      <c r="AO264" s="225">
        <f>IF(OR($A264="",$V264="Đã xử lý",N($U264)=0),0,IF(TDBC&lt;=$U264,0,MAX(1,MIN(4,IF((TDBC-$U264)*24&lt;24,1,IF((TDBC-$U264)*24&lt;72,2,IF((TDBC-$U264)*24&lt;168,3,4)))+IFERROR(INDEX({2,1,0,-1},MATCH($J264,{"Khẩn cấp","Cao","Trung bình","Thấp"},0)),0)))))</f>
      </c>
    </row>
    <row r="265">
      <c r="A265" s="216"/>
      <c r="B265" s="217"/>
      <c r="C265" s="218"/>
      <c r="D265" s="218"/>
      <c r="E265" s="218"/>
      <c r="F265" s="218"/>
      <c r="G265" s="216"/>
      <c r="H265" s="218"/>
      <c r="I265" s="218"/>
      <c r="J265" s="216"/>
      <c r="K265" s="218"/>
      <c r="L265" s="218"/>
      <c r="M265" s="218"/>
      <c r="N265" s="218"/>
      <c r="O265" s="219"/>
      <c r="P265" s="216"/>
      <c r="Q265" s="217"/>
      <c r="R265" s="216"/>
      <c r="S265" s="218"/>
      <c r="T265" s="218"/>
      <c r="U265" s="220">
        <f>IF($A265="","",IF(N($Q265)&gt;0,IF(MOD($Q265,1)=0,$Q265+1-1/1440,$Q265),IF(N($B265)=0,"",$B265+IF(N($AH265)&gt;0,$AH265,IFERROR(INDEX(DM_SLA_Gio,MATCH($J265,DM_SLA_Cap,0)),168))/24)))</f>
      </c>
      <c r="V265" s="221">
        <f>IF($A265="","",IF(N($AJ265)=0,"Mới tiếp nhận",INDEX('Nhật ký tiến độ'!$E:$E,$AJ265)))</f>
      </c>
      <c r="W265" s="222">
        <f>IF($A265="","",IF($V265="Đã xử lý",1,IF(N($AJ265)=0,0,N(INDEX('Nhật ký tiến độ'!$D:$D,$AJ265)))))</f>
      </c>
      <c r="X265" s="222">
        <f>IF(OR($A265="",$V265="Đã xử lý",N($U265)=0,N($B265)=0),"",IF(TDBC&lt;=$B265,0,IF(TDBC&gt;=$U265,1,(TDBC-$B265)/($U265-$B265))))</f>
      </c>
      <c r="Y265" s="223">
        <f>IF($A265="","",IF($V265="Đã xử lý","Hoàn thành",IF(N($U265)=0,"Chưa đặt hạn",IF(TDBC&gt;$U265,"Quá hạn",IF(ROUND((N($X265)-$W265)*100,0)&gt;=20,"Chậm tiến độ",IF($U265-TDBC&lt;=1,"Sắp đến hạn","Đúng tiến độ"))))))</f>
      </c>
      <c r="Z265" s="223">
        <f>IF(OR($A265="",$V265="Đã xử lý",N($U265)=0),"",IF(TDBC&gt;$U265,"Quá "&amp;IF(((TDBC-$U265)*24)&lt;1,MAX(1,ROUND(((TDBC-$U265)*24)*60,0))&amp;" phút",IF(ROUND(((TDBC-$U265)*24),0)&lt;24,ROUND(((TDBC-$U265)*24),0)&amp;" giờ",INT(ROUND(((TDBC-$U265)*24),0)/24)&amp;" ngày"&amp;IF(MOD(ROUND(((TDBC-$U265)*24),0),24)&gt;0," "&amp;MOD(ROUND(((TDBC-$U265)*24),0),24)&amp;" giờ",""))),"Còn "&amp;IF((($U265-TDBC)*24)&lt;1,MAX(1,ROUND((($U265-TDBC)*24)*60,0))&amp;" phút",IF(ROUND((($U265-TDBC)*24),0)&lt;24,ROUND((($U265-TDBC)*24),0)&amp;" giờ",INT(ROUND((($U265-TDBC)*24),0)/24)&amp;" ngày"&amp;IF(MOD(ROUND((($U265-TDBC)*24),0),24)&gt;0," "&amp;MOD(ROUND((($U265-TDBC)*24),0),24)&amp;" giờ","")))))</f>
      </c>
      <c r="AA265" s="220">
        <f>IF($V265="Đã xử lý",_xlfn.MAXIFS('Nhật ký tiến độ'!$B$6:$B$3005,'Nhật ký tiến độ'!$C$6:$C$3005,$A265,'Nhật ký tiến độ'!$E$6:$E$3005,"Đã xử lý"),"")</f>
      </c>
      <c r="AB265" s="223">
        <f>IF($AI265="","",IF($AI265&lt;1,MAX(1,ROUND($AI265*60,0))&amp;" phút",IF(ROUND($AI265,0)&lt;24,ROUND($AI265,0)&amp;" giờ",INT(ROUND($AI265,0)/24)&amp;" ngày"&amp;IF(MOD(ROUND($AI265,0),24)&gt;0," "&amp;MOD(ROUND($AI265,0),24)&amp;" giờ",""))))</f>
      </c>
      <c r="AC265" s="223">
        <f>IF(OR($A265="",N($AH265)=0),"",IF($AI265&lt;&gt;"",IF($AI265&lt;=$AH265,"Trong ước tính","Vượt "&amp;IF(($AI265-$AH265)&lt;1,MAX(1,ROUND(($AI265-$AH265)*60,0))&amp;" phút",IF(ROUND(($AI265-$AH265),0)&lt;24,ROUND(($AI265-$AH265),0)&amp;" giờ",INT(ROUND(($AI265-$AH265),0)/24)&amp;" ngày"&amp;IF(MOD(ROUND(($AI265-$AH265),0),24)&gt;0," "&amp;MOD(ROUND(($AI265-$AH265),0),24)&amp;" giờ","")))),IF(OR($V265="Đã xử lý",N($B265)=0),"",IF((TDBC-$B265)*24&gt;$AH265,"Đã vượt ước tính","Đã dùng "&amp;TEXT((TDBC-$B265)*24/$AH265,"0%")))))</f>
      </c>
      <c r="AD265" s="223">
        <f>IF(N($AO265)=0,"",CHOOSE($AO265,"Nhắc nhở","Cảnh báo","Báo động","Báo động đỏ"))</f>
      </c>
      <c r="AE265" s="223">
        <f>IF(OR(N($AA265)=0,N($U265)=0),"",IF($AA265&lt;=$U265,"Đúng hạn","Trễ hạn"))</f>
      </c>
      <c r="AF265" s="220">
        <f>IF($A265="","",_xlfn.MAXIFS('Nhật ký tiến độ'!$B$6:$B$3005,'Nhật ký tiến độ'!$C$6:$C$3005,$A265))</f>
      </c>
      <c r="AG265" s="223">
        <f>IF($A265="","",IF(COUNTIF('Kế hoạch'!$M$6:$M$305,$A265)=0,"",COUNTIF('Kế hoạch'!$M$6:$M$305,$A265)&amp;" việc"))</f>
      </c>
      <c r="AH265" s="224">
        <f>IF(OR($A265="",N($O265)&lt;=0),"",IF($P265="Giờ",$O265,$O265*24))</f>
      </c>
      <c r="AI265" s="224">
        <f>IF(OR(N($AA265)=0,N($B265)=0),"",IF($AA265&lt;$B265,"",($AA265-$B265)*24))</f>
      </c>
      <c r="AJ265" s="225">
        <f>IF($A265="","",IF(COUNTIF('Nhật ký tiến độ'!$C$6:$C$3005,$A265)=0,0,_xlfn.MAXIFS('Nhật ký tiến độ'!$N$6:$N$3005,'Nhật ký tiến độ'!$C$6:$C$3005,$A265,'Nhật ký tiến độ'!$B$6:$B$3005,_xlfn.MAXIFS('Nhật ký tiến độ'!$B$6:$B$3005,'Nhật ký tiến độ'!$C$6:$C$3005,$A265))))</f>
      </c>
      <c r="AK265" s="225">
        <f>IF(OR($A265="",$V265="Đã xử lý"),"",IF(N($AO265)&gt;0,5-$AO265,IF($J265="Khẩn cấp",5,IF($Y265="Chậm tiến độ",6,IF(OR($Y265="Sắp đến hạn",$J265="Cao"),7,"")))))</f>
      </c>
      <c r="AL265" s="225">
        <f>IF($AK265="","",$AK265*100000+IF(N($U265)=0,99999,INT($U265))+ROW()/100000)</f>
      </c>
      <c r="AM265" s="225">
        <f>IF(OR($A265="",TRIM($K265)="",COUNTIF($K$6:$K265,$K265)&gt;1),0,1)</f>
      </c>
      <c r="AN265" s="225">
        <f>IF($AM265=1,SUM($AM$6:$AM265),"")</f>
      </c>
      <c r="AO265" s="225">
        <f>IF(OR($A265="",$V265="Đã xử lý",N($U265)=0),0,IF(TDBC&lt;=$U265,0,MAX(1,MIN(4,IF((TDBC-$U265)*24&lt;24,1,IF((TDBC-$U265)*24&lt;72,2,IF((TDBC-$U265)*24&lt;168,3,4)))+IFERROR(INDEX({2,1,0,-1},MATCH($J265,{"Khẩn cấp","Cao","Trung bình","Thấp"},0)),0)))))</f>
      </c>
    </row>
    <row r="266">
      <c r="A266" s="216"/>
      <c r="B266" s="217"/>
      <c r="C266" s="218"/>
      <c r="D266" s="218"/>
      <c r="E266" s="218"/>
      <c r="F266" s="218"/>
      <c r="G266" s="216"/>
      <c r="H266" s="218"/>
      <c r="I266" s="218"/>
      <c r="J266" s="216"/>
      <c r="K266" s="218"/>
      <c r="L266" s="218"/>
      <c r="M266" s="218"/>
      <c r="N266" s="218"/>
      <c r="O266" s="219"/>
      <c r="P266" s="216"/>
      <c r="Q266" s="217"/>
      <c r="R266" s="216"/>
      <c r="S266" s="218"/>
      <c r="T266" s="218"/>
      <c r="U266" s="220">
        <f>IF($A266="","",IF(N($Q266)&gt;0,IF(MOD($Q266,1)=0,$Q266+1-1/1440,$Q266),IF(N($B266)=0,"",$B266+IF(N($AH266)&gt;0,$AH266,IFERROR(INDEX(DM_SLA_Gio,MATCH($J266,DM_SLA_Cap,0)),168))/24)))</f>
      </c>
      <c r="V266" s="221">
        <f>IF($A266="","",IF(N($AJ266)=0,"Mới tiếp nhận",INDEX('Nhật ký tiến độ'!$E:$E,$AJ266)))</f>
      </c>
      <c r="W266" s="222">
        <f>IF($A266="","",IF($V266="Đã xử lý",1,IF(N($AJ266)=0,0,N(INDEX('Nhật ký tiến độ'!$D:$D,$AJ266)))))</f>
      </c>
      <c r="X266" s="222">
        <f>IF(OR($A266="",$V266="Đã xử lý",N($U266)=0,N($B266)=0),"",IF(TDBC&lt;=$B266,0,IF(TDBC&gt;=$U266,1,(TDBC-$B266)/($U266-$B266))))</f>
      </c>
      <c r="Y266" s="223">
        <f>IF($A266="","",IF($V266="Đã xử lý","Hoàn thành",IF(N($U266)=0,"Chưa đặt hạn",IF(TDBC&gt;$U266,"Quá hạn",IF(ROUND((N($X266)-$W266)*100,0)&gt;=20,"Chậm tiến độ",IF($U266-TDBC&lt;=1,"Sắp đến hạn","Đúng tiến độ"))))))</f>
      </c>
      <c r="Z266" s="223">
        <f>IF(OR($A266="",$V266="Đã xử lý",N($U266)=0),"",IF(TDBC&gt;$U266,"Quá "&amp;IF(((TDBC-$U266)*24)&lt;1,MAX(1,ROUND(((TDBC-$U266)*24)*60,0))&amp;" phút",IF(ROUND(((TDBC-$U266)*24),0)&lt;24,ROUND(((TDBC-$U266)*24),0)&amp;" giờ",INT(ROUND(((TDBC-$U266)*24),0)/24)&amp;" ngày"&amp;IF(MOD(ROUND(((TDBC-$U266)*24),0),24)&gt;0," "&amp;MOD(ROUND(((TDBC-$U266)*24),0),24)&amp;" giờ",""))),"Còn "&amp;IF((($U266-TDBC)*24)&lt;1,MAX(1,ROUND((($U266-TDBC)*24)*60,0))&amp;" phút",IF(ROUND((($U266-TDBC)*24),0)&lt;24,ROUND((($U266-TDBC)*24),0)&amp;" giờ",INT(ROUND((($U266-TDBC)*24),0)/24)&amp;" ngày"&amp;IF(MOD(ROUND((($U266-TDBC)*24),0),24)&gt;0," "&amp;MOD(ROUND((($U266-TDBC)*24),0),24)&amp;" giờ","")))))</f>
      </c>
      <c r="AA266" s="220">
        <f>IF($V266="Đã xử lý",_xlfn.MAXIFS('Nhật ký tiến độ'!$B$6:$B$3005,'Nhật ký tiến độ'!$C$6:$C$3005,$A266,'Nhật ký tiến độ'!$E$6:$E$3005,"Đã xử lý"),"")</f>
      </c>
      <c r="AB266" s="223">
        <f>IF($AI266="","",IF($AI266&lt;1,MAX(1,ROUND($AI266*60,0))&amp;" phút",IF(ROUND($AI266,0)&lt;24,ROUND($AI266,0)&amp;" giờ",INT(ROUND($AI266,0)/24)&amp;" ngày"&amp;IF(MOD(ROUND($AI266,0),24)&gt;0," "&amp;MOD(ROUND($AI266,0),24)&amp;" giờ",""))))</f>
      </c>
      <c r="AC266" s="223">
        <f>IF(OR($A266="",N($AH266)=0),"",IF($AI266&lt;&gt;"",IF($AI266&lt;=$AH266,"Trong ước tính","Vượt "&amp;IF(($AI266-$AH266)&lt;1,MAX(1,ROUND(($AI266-$AH266)*60,0))&amp;" phút",IF(ROUND(($AI266-$AH266),0)&lt;24,ROUND(($AI266-$AH266),0)&amp;" giờ",INT(ROUND(($AI266-$AH266),0)/24)&amp;" ngày"&amp;IF(MOD(ROUND(($AI266-$AH266),0),24)&gt;0," "&amp;MOD(ROUND(($AI266-$AH266),0),24)&amp;" giờ","")))),IF(OR($V266="Đã xử lý",N($B266)=0),"",IF((TDBC-$B266)*24&gt;$AH266,"Đã vượt ước tính","Đã dùng "&amp;TEXT((TDBC-$B266)*24/$AH266,"0%")))))</f>
      </c>
      <c r="AD266" s="223">
        <f>IF(N($AO266)=0,"",CHOOSE($AO266,"Nhắc nhở","Cảnh báo","Báo động","Báo động đỏ"))</f>
      </c>
      <c r="AE266" s="223">
        <f>IF(OR(N($AA266)=0,N($U266)=0),"",IF($AA266&lt;=$U266,"Đúng hạn","Trễ hạn"))</f>
      </c>
      <c r="AF266" s="220">
        <f>IF($A266="","",_xlfn.MAXIFS('Nhật ký tiến độ'!$B$6:$B$3005,'Nhật ký tiến độ'!$C$6:$C$3005,$A266))</f>
      </c>
      <c r="AG266" s="223">
        <f>IF($A266="","",IF(COUNTIF('Kế hoạch'!$M$6:$M$305,$A266)=0,"",COUNTIF('Kế hoạch'!$M$6:$M$305,$A266)&amp;" việc"))</f>
      </c>
      <c r="AH266" s="224">
        <f>IF(OR($A266="",N($O266)&lt;=0),"",IF($P266="Giờ",$O266,$O266*24))</f>
      </c>
      <c r="AI266" s="224">
        <f>IF(OR(N($AA266)=0,N($B266)=0),"",IF($AA266&lt;$B266,"",($AA266-$B266)*24))</f>
      </c>
      <c r="AJ266" s="225">
        <f>IF($A266="","",IF(COUNTIF('Nhật ký tiến độ'!$C$6:$C$3005,$A266)=0,0,_xlfn.MAXIFS('Nhật ký tiến độ'!$N$6:$N$3005,'Nhật ký tiến độ'!$C$6:$C$3005,$A266,'Nhật ký tiến độ'!$B$6:$B$3005,_xlfn.MAXIFS('Nhật ký tiến độ'!$B$6:$B$3005,'Nhật ký tiến độ'!$C$6:$C$3005,$A266))))</f>
      </c>
      <c r="AK266" s="225">
        <f>IF(OR($A266="",$V266="Đã xử lý"),"",IF(N($AO266)&gt;0,5-$AO266,IF($J266="Khẩn cấp",5,IF($Y266="Chậm tiến độ",6,IF(OR($Y266="Sắp đến hạn",$J266="Cao"),7,"")))))</f>
      </c>
      <c r="AL266" s="225">
        <f>IF($AK266="","",$AK266*100000+IF(N($U266)=0,99999,INT($U266))+ROW()/100000)</f>
      </c>
      <c r="AM266" s="225">
        <f>IF(OR($A266="",TRIM($K266)="",COUNTIF($K$6:$K266,$K266)&gt;1),0,1)</f>
      </c>
      <c r="AN266" s="225">
        <f>IF($AM266=1,SUM($AM$6:$AM266),"")</f>
      </c>
      <c r="AO266" s="225">
        <f>IF(OR($A266="",$V266="Đã xử lý",N($U266)=0),0,IF(TDBC&lt;=$U266,0,MAX(1,MIN(4,IF((TDBC-$U266)*24&lt;24,1,IF((TDBC-$U266)*24&lt;72,2,IF((TDBC-$U266)*24&lt;168,3,4)))+IFERROR(INDEX({2,1,0,-1},MATCH($J266,{"Khẩn cấp","Cao","Trung bình","Thấp"},0)),0)))))</f>
      </c>
    </row>
    <row r="267">
      <c r="A267" s="216"/>
      <c r="B267" s="217"/>
      <c r="C267" s="218"/>
      <c r="D267" s="218"/>
      <c r="E267" s="218"/>
      <c r="F267" s="218"/>
      <c r="G267" s="216"/>
      <c r="H267" s="218"/>
      <c r="I267" s="218"/>
      <c r="J267" s="216"/>
      <c r="K267" s="218"/>
      <c r="L267" s="218"/>
      <c r="M267" s="218"/>
      <c r="N267" s="218"/>
      <c r="O267" s="219"/>
      <c r="P267" s="216"/>
      <c r="Q267" s="217"/>
      <c r="R267" s="216"/>
      <c r="S267" s="218"/>
      <c r="T267" s="218"/>
      <c r="U267" s="220">
        <f>IF($A267="","",IF(N($Q267)&gt;0,IF(MOD($Q267,1)=0,$Q267+1-1/1440,$Q267),IF(N($B267)=0,"",$B267+IF(N($AH267)&gt;0,$AH267,IFERROR(INDEX(DM_SLA_Gio,MATCH($J267,DM_SLA_Cap,0)),168))/24)))</f>
      </c>
      <c r="V267" s="221">
        <f>IF($A267="","",IF(N($AJ267)=0,"Mới tiếp nhận",INDEX('Nhật ký tiến độ'!$E:$E,$AJ267)))</f>
      </c>
      <c r="W267" s="222">
        <f>IF($A267="","",IF($V267="Đã xử lý",1,IF(N($AJ267)=0,0,N(INDEX('Nhật ký tiến độ'!$D:$D,$AJ267)))))</f>
      </c>
      <c r="X267" s="222">
        <f>IF(OR($A267="",$V267="Đã xử lý",N($U267)=0,N($B267)=0),"",IF(TDBC&lt;=$B267,0,IF(TDBC&gt;=$U267,1,(TDBC-$B267)/($U267-$B267))))</f>
      </c>
      <c r="Y267" s="223">
        <f>IF($A267="","",IF($V267="Đã xử lý","Hoàn thành",IF(N($U267)=0,"Chưa đặt hạn",IF(TDBC&gt;$U267,"Quá hạn",IF(ROUND((N($X267)-$W267)*100,0)&gt;=20,"Chậm tiến độ",IF($U267-TDBC&lt;=1,"Sắp đến hạn","Đúng tiến độ"))))))</f>
      </c>
      <c r="Z267" s="223">
        <f>IF(OR($A267="",$V267="Đã xử lý",N($U267)=0),"",IF(TDBC&gt;$U267,"Quá "&amp;IF(((TDBC-$U267)*24)&lt;1,MAX(1,ROUND(((TDBC-$U267)*24)*60,0))&amp;" phút",IF(ROUND(((TDBC-$U267)*24),0)&lt;24,ROUND(((TDBC-$U267)*24),0)&amp;" giờ",INT(ROUND(((TDBC-$U267)*24),0)/24)&amp;" ngày"&amp;IF(MOD(ROUND(((TDBC-$U267)*24),0),24)&gt;0," "&amp;MOD(ROUND(((TDBC-$U267)*24),0),24)&amp;" giờ",""))),"Còn "&amp;IF((($U267-TDBC)*24)&lt;1,MAX(1,ROUND((($U267-TDBC)*24)*60,0))&amp;" phút",IF(ROUND((($U267-TDBC)*24),0)&lt;24,ROUND((($U267-TDBC)*24),0)&amp;" giờ",INT(ROUND((($U267-TDBC)*24),0)/24)&amp;" ngày"&amp;IF(MOD(ROUND((($U267-TDBC)*24),0),24)&gt;0," "&amp;MOD(ROUND((($U267-TDBC)*24),0),24)&amp;" giờ","")))))</f>
      </c>
      <c r="AA267" s="220">
        <f>IF($V267="Đã xử lý",_xlfn.MAXIFS('Nhật ký tiến độ'!$B$6:$B$3005,'Nhật ký tiến độ'!$C$6:$C$3005,$A267,'Nhật ký tiến độ'!$E$6:$E$3005,"Đã xử lý"),"")</f>
      </c>
      <c r="AB267" s="223">
        <f>IF($AI267="","",IF($AI267&lt;1,MAX(1,ROUND($AI267*60,0))&amp;" phút",IF(ROUND($AI267,0)&lt;24,ROUND($AI267,0)&amp;" giờ",INT(ROUND($AI267,0)/24)&amp;" ngày"&amp;IF(MOD(ROUND($AI267,0),24)&gt;0," "&amp;MOD(ROUND($AI267,0),24)&amp;" giờ",""))))</f>
      </c>
      <c r="AC267" s="223">
        <f>IF(OR($A267="",N($AH267)=0),"",IF($AI267&lt;&gt;"",IF($AI267&lt;=$AH267,"Trong ước tính","Vượt "&amp;IF(($AI267-$AH267)&lt;1,MAX(1,ROUND(($AI267-$AH267)*60,0))&amp;" phút",IF(ROUND(($AI267-$AH267),0)&lt;24,ROUND(($AI267-$AH267),0)&amp;" giờ",INT(ROUND(($AI267-$AH267),0)/24)&amp;" ngày"&amp;IF(MOD(ROUND(($AI267-$AH267),0),24)&gt;0," "&amp;MOD(ROUND(($AI267-$AH267),0),24)&amp;" giờ","")))),IF(OR($V267="Đã xử lý",N($B267)=0),"",IF((TDBC-$B267)*24&gt;$AH267,"Đã vượt ước tính","Đã dùng "&amp;TEXT((TDBC-$B267)*24/$AH267,"0%")))))</f>
      </c>
      <c r="AD267" s="223">
        <f>IF(N($AO267)=0,"",CHOOSE($AO267,"Nhắc nhở","Cảnh báo","Báo động","Báo động đỏ"))</f>
      </c>
      <c r="AE267" s="223">
        <f>IF(OR(N($AA267)=0,N($U267)=0),"",IF($AA267&lt;=$U267,"Đúng hạn","Trễ hạn"))</f>
      </c>
      <c r="AF267" s="220">
        <f>IF($A267="","",_xlfn.MAXIFS('Nhật ký tiến độ'!$B$6:$B$3005,'Nhật ký tiến độ'!$C$6:$C$3005,$A267))</f>
      </c>
      <c r="AG267" s="223">
        <f>IF($A267="","",IF(COUNTIF('Kế hoạch'!$M$6:$M$305,$A267)=0,"",COUNTIF('Kế hoạch'!$M$6:$M$305,$A267)&amp;" việc"))</f>
      </c>
      <c r="AH267" s="224">
        <f>IF(OR($A267="",N($O267)&lt;=0),"",IF($P267="Giờ",$O267,$O267*24))</f>
      </c>
      <c r="AI267" s="224">
        <f>IF(OR(N($AA267)=0,N($B267)=0),"",IF($AA267&lt;$B267,"",($AA267-$B267)*24))</f>
      </c>
      <c r="AJ267" s="225">
        <f>IF($A267="","",IF(COUNTIF('Nhật ký tiến độ'!$C$6:$C$3005,$A267)=0,0,_xlfn.MAXIFS('Nhật ký tiến độ'!$N$6:$N$3005,'Nhật ký tiến độ'!$C$6:$C$3005,$A267,'Nhật ký tiến độ'!$B$6:$B$3005,_xlfn.MAXIFS('Nhật ký tiến độ'!$B$6:$B$3005,'Nhật ký tiến độ'!$C$6:$C$3005,$A267))))</f>
      </c>
      <c r="AK267" s="225">
        <f>IF(OR($A267="",$V267="Đã xử lý"),"",IF(N($AO267)&gt;0,5-$AO267,IF($J267="Khẩn cấp",5,IF($Y267="Chậm tiến độ",6,IF(OR($Y267="Sắp đến hạn",$J267="Cao"),7,"")))))</f>
      </c>
      <c r="AL267" s="225">
        <f>IF($AK267="","",$AK267*100000+IF(N($U267)=0,99999,INT($U267))+ROW()/100000)</f>
      </c>
      <c r="AM267" s="225">
        <f>IF(OR($A267="",TRIM($K267)="",COUNTIF($K$6:$K267,$K267)&gt;1),0,1)</f>
      </c>
      <c r="AN267" s="225">
        <f>IF($AM267=1,SUM($AM$6:$AM267),"")</f>
      </c>
      <c r="AO267" s="225">
        <f>IF(OR($A267="",$V267="Đã xử lý",N($U267)=0),0,IF(TDBC&lt;=$U267,0,MAX(1,MIN(4,IF((TDBC-$U267)*24&lt;24,1,IF((TDBC-$U267)*24&lt;72,2,IF((TDBC-$U267)*24&lt;168,3,4)))+IFERROR(INDEX({2,1,0,-1},MATCH($J267,{"Khẩn cấp","Cao","Trung bình","Thấp"},0)),0)))))</f>
      </c>
    </row>
    <row r="268">
      <c r="A268" s="216"/>
      <c r="B268" s="217"/>
      <c r="C268" s="218"/>
      <c r="D268" s="218"/>
      <c r="E268" s="218"/>
      <c r="F268" s="218"/>
      <c r="G268" s="216"/>
      <c r="H268" s="218"/>
      <c r="I268" s="218"/>
      <c r="J268" s="216"/>
      <c r="K268" s="218"/>
      <c r="L268" s="218"/>
      <c r="M268" s="218"/>
      <c r="N268" s="218"/>
      <c r="O268" s="219"/>
      <c r="P268" s="216"/>
      <c r="Q268" s="217"/>
      <c r="R268" s="216"/>
      <c r="S268" s="218"/>
      <c r="T268" s="218"/>
      <c r="U268" s="220">
        <f>IF($A268="","",IF(N($Q268)&gt;0,IF(MOD($Q268,1)=0,$Q268+1-1/1440,$Q268),IF(N($B268)=0,"",$B268+IF(N($AH268)&gt;0,$AH268,IFERROR(INDEX(DM_SLA_Gio,MATCH($J268,DM_SLA_Cap,0)),168))/24)))</f>
      </c>
      <c r="V268" s="221">
        <f>IF($A268="","",IF(N($AJ268)=0,"Mới tiếp nhận",INDEX('Nhật ký tiến độ'!$E:$E,$AJ268)))</f>
      </c>
      <c r="W268" s="222">
        <f>IF($A268="","",IF($V268="Đã xử lý",1,IF(N($AJ268)=0,0,N(INDEX('Nhật ký tiến độ'!$D:$D,$AJ268)))))</f>
      </c>
      <c r="X268" s="222">
        <f>IF(OR($A268="",$V268="Đã xử lý",N($U268)=0,N($B268)=0),"",IF(TDBC&lt;=$B268,0,IF(TDBC&gt;=$U268,1,(TDBC-$B268)/($U268-$B268))))</f>
      </c>
      <c r="Y268" s="223">
        <f>IF($A268="","",IF($V268="Đã xử lý","Hoàn thành",IF(N($U268)=0,"Chưa đặt hạn",IF(TDBC&gt;$U268,"Quá hạn",IF(ROUND((N($X268)-$W268)*100,0)&gt;=20,"Chậm tiến độ",IF($U268-TDBC&lt;=1,"Sắp đến hạn","Đúng tiến độ"))))))</f>
      </c>
      <c r="Z268" s="223">
        <f>IF(OR($A268="",$V268="Đã xử lý",N($U268)=0),"",IF(TDBC&gt;$U268,"Quá "&amp;IF(((TDBC-$U268)*24)&lt;1,MAX(1,ROUND(((TDBC-$U268)*24)*60,0))&amp;" phút",IF(ROUND(((TDBC-$U268)*24),0)&lt;24,ROUND(((TDBC-$U268)*24),0)&amp;" giờ",INT(ROUND(((TDBC-$U268)*24),0)/24)&amp;" ngày"&amp;IF(MOD(ROUND(((TDBC-$U268)*24),0),24)&gt;0," "&amp;MOD(ROUND(((TDBC-$U268)*24),0),24)&amp;" giờ",""))),"Còn "&amp;IF((($U268-TDBC)*24)&lt;1,MAX(1,ROUND((($U268-TDBC)*24)*60,0))&amp;" phút",IF(ROUND((($U268-TDBC)*24),0)&lt;24,ROUND((($U268-TDBC)*24),0)&amp;" giờ",INT(ROUND((($U268-TDBC)*24),0)/24)&amp;" ngày"&amp;IF(MOD(ROUND((($U268-TDBC)*24),0),24)&gt;0," "&amp;MOD(ROUND((($U268-TDBC)*24),0),24)&amp;" giờ","")))))</f>
      </c>
      <c r="AA268" s="220">
        <f>IF($V268="Đã xử lý",_xlfn.MAXIFS('Nhật ký tiến độ'!$B$6:$B$3005,'Nhật ký tiến độ'!$C$6:$C$3005,$A268,'Nhật ký tiến độ'!$E$6:$E$3005,"Đã xử lý"),"")</f>
      </c>
      <c r="AB268" s="223">
        <f>IF($AI268="","",IF($AI268&lt;1,MAX(1,ROUND($AI268*60,0))&amp;" phút",IF(ROUND($AI268,0)&lt;24,ROUND($AI268,0)&amp;" giờ",INT(ROUND($AI268,0)/24)&amp;" ngày"&amp;IF(MOD(ROUND($AI268,0),24)&gt;0," "&amp;MOD(ROUND($AI268,0),24)&amp;" giờ",""))))</f>
      </c>
      <c r="AC268" s="223">
        <f>IF(OR($A268="",N($AH268)=0),"",IF($AI268&lt;&gt;"",IF($AI268&lt;=$AH268,"Trong ước tính","Vượt "&amp;IF(($AI268-$AH268)&lt;1,MAX(1,ROUND(($AI268-$AH268)*60,0))&amp;" phút",IF(ROUND(($AI268-$AH268),0)&lt;24,ROUND(($AI268-$AH268),0)&amp;" giờ",INT(ROUND(($AI268-$AH268),0)/24)&amp;" ngày"&amp;IF(MOD(ROUND(($AI268-$AH268),0),24)&gt;0," "&amp;MOD(ROUND(($AI268-$AH268),0),24)&amp;" giờ","")))),IF(OR($V268="Đã xử lý",N($B268)=0),"",IF((TDBC-$B268)*24&gt;$AH268,"Đã vượt ước tính","Đã dùng "&amp;TEXT((TDBC-$B268)*24/$AH268,"0%")))))</f>
      </c>
      <c r="AD268" s="223">
        <f>IF(N($AO268)=0,"",CHOOSE($AO268,"Nhắc nhở","Cảnh báo","Báo động","Báo động đỏ"))</f>
      </c>
      <c r="AE268" s="223">
        <f>IF(OR(N($AA268)=0,N($U268)=0),"",IF($AA268&lt;=$U268,"Đúng hạn","Trễ hạn"))</f>
      </c>
      <c r="AF268" s="220">
        <f>IF($A268="","",_xlfn.MAXIFS('Nhật ký tiến độ'!$B$6:$B$3005,'Nhật ký tiến độ'!$C$6:$C$3005,$A268))</f>
      </c>
      <c r="AG268" s="223">
        <f>IF($A268="","",IF(COUNTIF('Kế hoạch'!$M$6:$M$305,$A268)=0,"",COUNTIF('Kế hoạch'!$M$6:$M$305,$A268)&amp;" việc"))</f>
      </c>
      <c r="AH268" s="224">
        <f>IF(OR($A268="",N($O268)&lt;=0),"",IF($P268="Giờ",$O268,$O268*24))</f>
      </c>
      <c r="AI268" s="224">
        <f>IF(OR(N($AA268)=0,N($B268)=0),"",IF($AA268&lt;$B268,"",($AA268-$B268)*24))</f>
      </c>
      <c r="AJ268" s="225">
        <f>IF($A268="","",IF(COUNTIF('Nhật ký tiến độ'!$C$6:$C$3005,$A268)=0,0,_xlfn.MAXIFS('Nhật ký tiến độ'!$N$6:$N$3005,'Nhật ký tiến độ'!$C$6:$C$3005,$A268,'Nhật ký tiến độ'!$B$6:$B$3005,_xlfn.MAXIFS('Nhật ký tiến độ'!$B$6:$B$3005,'Nhật ký tiến độ'!$C$6:$C$3005,$A268))))</f>
      </c>
      <c r="AK268" s="225">
        <f>IF(OR($A268="",$V268="Đã xử lý"),"",IF(N($AO268)&gt;0,5-$AO268,IF($J268="Khẩn cấp",5,IF($Y268="Chậm tiến độ",6,IF(OR($Y268="Sắp đến hạn",$J268="Cao"),7,"")))))</f>
      </c>
      <c r="AL268" s="225">
        <f>IF($AK268="","",$AK268*100000+IF(N($U268)=0,99999,INT($U268))+ROW()/100000)</f>
      </c>
      <c r="AM268" s="225">
        <f>IF(OR($A268="",TRIM($K268)="",COUNTIF($K$6:$K268,$K268)&gt;1),0,1)</f>
      </c>
      <c r="AN268" s="225">
        <f>IF($AM268=1,SUM($AM$6:$AM268),"")</f>
      </c>
      <c r="AO268" s="225">
        <f>IF(OR($A268="",$V268="Đã xử lý",N($U268)=0),0,IF(TDBC&lt;=$U268,0,MAX(1,MIN(4,IF((TDBC-$U268)*24&lt;24,1,IF((TDBC-$U268)*24&lt;72,2,IF((TDBC-$U268)*24&lt;168,3,4)))+IFERROR(INDEX({2,1,0,-1},MATCH($J268,{"Khẩn cấp","Cao","Trung bình","Thấp"},0)),0)))))</f>
      </c>
    </row>
    <row r="269">
      <c r="A269" s="216"/>
      <c r="B269" s="217"/>
      <c r="C269" s="218"/>
      <c r="D269" s="218"/>
      <c r="E269" s="218"/>
      <c r="F269" s="218"/>
      <c r="G269" s="216"/>
      <c r="H269" s="218"/>
      <c r="I269" s="218"/>
      <c r="J269" s="216"/>
      <c r="K269" s="218"/>
      <c r="L269" s="218"/>
      <c r="M269" s="218"/>
      <c r="N269" s="218"/>
      <c r="O269" s="219"/>
      <c r="P269" s="216"/>
      <c r="Q269" s="217"/>
      <c r="R269" s="216"/>
      <c r="S269" s="218"/>
      <c r="T269" s="218"/>
      <c r="U269" s="220">
        <f>IF($A269="","",IF(N($Q269)&gt;0,IF(MOD($Q269,1)=0,$Q269+1-1/1440,$Q269),IF(N($B269)=0,"",$B269+IF(N($AH269)&gt;0,$AH269,IFERROR(INDEX(DM_SLA_Gio,MATCH($J269,DM_SLA_Cap,0)),168))/24)))</f>
      </c>
      <c r="V269" s="221">
        <f>IF($A269="","",IF(N($AJ269)=0,"Mới tiếp nhận",INDEX('Nhật ký tiến độ'!$E:$E,$AJ269)))</f>
      </c>
      <c r="W269" s="222">
        <f>IF($A269="","",IF($V269="Đã xử lý",1,IF(N($AJ269)=0,0,N(INDEX('Nhật ký tiến độ'!$D:$D,$AJ269)))))</f>
      </c>
      <c r="X269" s="222">
        <f>IF(OR($A269="",$V269="Đã xử lý",N($U269)=0,N($B269)=0),"",IF(TDBC&lt;=$B269,0,IF(TDBC&gt;=$U269,1,(TDBC-$B269)/($U269-$B269))))</f>
      </c>
      <c r="Y269" s="223">
        <f>IF($A269="","",IF($V269="Đã xử lý","Hoàn thành",IF(N($U269)=0,"Chưa đặt hạn",IF(TDBC&gt;$U269,"Quá hạn",IF(ROUND((N($X269)-$W269)*100,0)&gt;=20,"Chậm tiến độ",IF($U269-TDBC&lt;=1,"Sắp đến hạn","Đúng tiến độ"))))))</f>
      </c>
      <c r="Z269" s="223">
        <f>IF(OR($A269="",$V269="Đã xử lý",N($U269)=0),"",IF(TDBC&gt;$U269,"Quá "&amp;IF(((TDBC-$U269)*24)&lt;1,MAX(1,ROUND(((TDBC-$U269)*24)*60,0))&amp;" phút",IF(ROUND(((TDBC-$U269)*24),0)&lt;24,ROUND(((TDBC-$U269)*24),0)&amp;" giờ",INT(ROUND(((TDBC-$U269)*24),0)/24)&amp;" ngày"&amp;IF(MOD(ROUND(((TDBC-$U269)*24),0),24)&gt;0," "&amp;MOD(ROUND(((TDBC-$U269)*24),0),24)&amp;" giờ",""))),"Còn "&amp;IF((($U269-TDBC)*24)&lt;1,MAX(1,ROUND((($U269-TDBC)*24)*60,0))&amp;" phút",IF(ROUND((($U269-TDBC)*24),0)&lt;24,ROUND((($U269-TDBC)*24),0)&amp;" giờ",INT(ROUND((($U269-TDBC)*24),0)/24)&amp;" ngày"&amp;IF(MOD(ROUND((($U269-TDBC)*24),0),24)&gt;0," "&amp;MOD(ROUND((($U269-TDBC)*24),0),24)&amp;" giờ","")))))</f>
      </c>
      <c r="AA269" s="220">
        <f>IF($V269="Đã xử lý",_xlfn.MAXIFS('Nhật ký tiến độ'!$B$6:$B$3005,'Nhật ký tiến độ'!$C$6:$C$3005,$A269,'Nhật ký tiến độ'!$E$6:$E$3005,"Đã xử lý"),"")</f>
      </c>
      <c r="AB269" s="223">
        <f>IF($AI269="","",IF($AI269&lt;1,MAX(1,ROUND($AI269*60,0))&amp;" phút",IF(ROUND($AI269,0)&lt;24,ROUND($AI269,0)&amp;" giờ",INT(ROUND($AI269,0)/24)&amp;" ngày"&amp;IF(MOD(ROUND($AI269,0),24)&gt;0," "&amp;MOD(ROUND($AI269,0),24)&amp;" giờ",""))))</f>
      </c>
      <c r="AC269" s="223">
        <f>IF(OR($A269="",N($AH269)=0),"",IF($AI269&lt;&gt;"",IF($AI269&lt;=$AH269,"Trong ước tính","Vượt "&amp;IF(($AI269-$AH269)&lt;1,MAX(1,ROUND(($AI269-$AH269)*60,0))&amp;" phút",IF(ROUND(($AI269-$AH269),0)&lt;24,ROUND(($AI269-$AH269),0)&amp;" giờ",INT(ROUND(($AI269-$AH269),0)/24)&amp;" ngày"&amp;IF(MOD(ROUND(($AI269-$AH269),0),24)&gt;0," "&amp;MOD(ROUND(($AI269-$AH269),0),24)&amp;" giờ","")))),IF(OR($V269="Đã xử lý",N($B269)=0),"",IF((TDBC-$B269)*24&gt;$AH269,"Đã vượt ước tính","Đã dùng "&amp;TEXT((TDBC-$B269)*24/$AH269,"0%")))))</f>
      </c>
      <c r="AD269" s="223">
        <f>IF(N($AO269)=0,"",CHOOSE($AO269,"Nhắc nhở","Cảnh báo","Báo động","Báo động đỏ"))</f>
      </c>
      <c r="AE269" s="223">
        <f>IF(OR(N($AA269)=0,N($U269)=0),"",IF($AA269&lt;=$U269,"Đúng hạn","Trễ hạn"))</f>
      </c>
      <c r="AF269" s="220">
        <f>IF($A269="","",_xlfn.MAXIFS('Nhật ký tiến độ'!$B$6:$B$3005,'Nhật ký tiến độ'!$C$6:$C$3005,$A269))</f>
      </c>
      <c r="AG269" s="223">
        <f>IF($A269="","",IF(COUNTIF('Kế hoạch'!$M$6:$M$305,$A269)=0,"",COUNTIF('Kế hoạch'!$M$6:$M$305,$A269)&amp;" việc"))</f>
      </c>
      <c r="AH269" s="224">
        <f>IF(OR($A269="",N($O269)&lt;=0),"",IF($P269="Giờ",$O269,$O269*24))</f>
      </c>
      <c r="AI269" s="224">
        <f>IF(OR(N($AA269)=0,N($B269)=0),"",IF($AA269&lt;$B269,"",($AA269-$B269)*24))</f>
      </c>
      <c r="AJ269" s="225">
        <f>IF($A269="","",IF(COUNTIF('Nhật ký tiến độ'!$C$6:$C$3005,$A269)=0,0,_xlfn.MAXIFS('Nhật ký tiến độ'!$N$6:$N$3005,'Nhật ký tiến độ'!$C$6:$C$3005,$A269,'Nhật ký tiến độ'!$B$6:$B$3005,_xlfn.MAXIFS('Nhật ký tiến độ'!$B$6:$B$3005,'Nhật ký tiến độ'!$C$6:$C$3005,$A269))))</f>
      </c>
      <c r="AK269" s="225">
        <f>IF(OR($A269="",$V269="Đã xử lý"),"",IF(N($AO269)&gt;0,5-$AO269,IF($J269="Khẩn cấp",5,IF($Y269="Chậm tiến độ",6,IF(OR($Y269="Sắp đến hạn",$J269="Cao"),7,"")))))</f>
      </c>
      <c r="AL269" s="225">
        <f>IF($AK269="","",$AK269*100000+IF(N($U269)=0,99999,INT($U269))+ROW()/100000)</f>
      </c>
      <c r="AM269" s="225">
        <f>IF(OR($A269="",TRIM($K269)="",COUNTIF($K$6:$K269,$K269)&gt;1),0,1)</f>
      </c>
      <c r="AN269" s="225">
        <f>IF($AM269=1,SUM($AM$6:$AM269),"")</f>
      </c>
      <c r="AO269" s="225">
        <f>IF(OR($A269="",$V269="Đã xử lý",N($U269)=0),0,IF(TDBC&lt;=$U269,0,MAX(1,MIN(4,IF((TDBC-$U269)*24&lt;24,1,IF((TDBC-$U269)*24&lt;72,2,IF((TDBC-$U269)*24&lt;168,3,4)))+IFERROR(INDEX({2,1,0,-1},MATCH($J269,{"Khẩn cấp","Cao","Trung bình","Thấp"},0)),0)))))</f>
      </c>
    </row>
    <row r="270">
      <c r="A270" s="216"/>
      <c r="B270" s="217"/>
      <c r="C270" s="218"/>
      <c r="D270" s="218"/>
      <c r="E270" s="218"/>
      <c r="F270" s="218"/>
      <c r="G270" s="216"/>
      <c r="H270" s="218"/>
      <c r="I270" s="218"/>
      <c r="J270" s="216"/>
      <c r="K270" s="218"/>
      <c r="L270" s="218"/>
      <c r="M270" s="218"/>
      <c r="N270" s="218"/>
      <c r="O270" s="219"/>
      <c r="P270" s="216"/>
      <c r="Q270" s="217"/>
      <c r="R270" s="216"/>
      <c r="S270" s="218"/>
      <c r="T270" s="218"/>
      <c r="U270" s="220">
        <f>IF($A270="","",IF(N($Q270)&gt;0,IF(MOD($Q270,1)=0,$Q270+1-1/1440,$Q270),IF(N($B270)=0,"",$B270+IF(N($AH270)&gt;0,$AH270,IFERROR(INDEX(DM_SLA_Gio,MATCH($J270,DM_SLA_Cap,0)),168))/24)))</f>
      </c>
      <c r="V270" s="221">
        <f>IF($A270="","",IF(N($AJ270)=0,"Mới tiếp nhận",INDEX('Nhật ký tiến độ'!$E:$E,$AJ270)))</f>
      </c>
      <c r="W270" s="222">
        <f>IF($A270="","",IF($V270="Đã xử lý",1,IF(N($AJ270)=0,0,N(INDEX('Nhật ký tiến độ'!$D:$D,$AJ270)))))</f>
      </c>
      <c r="X270" s="222">
        <f>IF(OR($A270="",$V270="Đã xử lý",N($U270)=0,N($B270)=0),"",IF(TDBC&lt;=$B270,0,IF(TDBC&gt;=$U270,1,(TDBC-$B270)/($U270-$B270))))</f>
      </c>
      <c r="Y270" s="223">
        <f>IF($A270="","",IF($V270="Đã xử lý","Hoàn thành",IF(N($U270)=0,"Chưa đặt hạn",IF(TDBC&gt;$U270,"Quá hạn",IF(ROUND((N($X270)-$W270)*100,0)&gt;=20,"Chậm tiến độ",IF($U270-TDBC&lt;=1,"Sắp đến hạn","Đúng tiến độ"))))))</f>
      </c>
      <c r="Z270" s="223">
        <f>IF(OR($A270="",$V270="Đã xử lý",N($U270)=0),"",IF(TDBC&gt;$U270,"Quá "&amp;IF(((TDBC-$U270)*24)&lt;1,MAX(1,ROUND(((TDBC-$U270)*24)*60,0))&amp;" phút",IF(ROUND(((TDBC-$U270)*24),0)&lt;24,ROUND(((TDBC-$U270)*24),0)&amp;" giờ",INT(ROUND(((TDBC-$U270)*24),0)/24)&amp;" ngày"&amp;IF(MOD(ROUND(((TDBC-$U270)*24),0),24)&gt;0," "&amp;MOD(ROUND(((TDBC-$U270)*24),0),24)&amp;" giờ",""))),"Còn "&amp;IF((($U270-TDBC)*24)&lt;1,MAX(1,ROUND((($U270-TDBC)*24)*60,0))&amp;" phút",IF(ROUND((($U270-TDBC)*24),0)&lt;24,ROUND((($U270-TDBC)*24),0)&amp;" giờ",INT(ROUND((($U270-TDBC)*24),0)/24)&amp;" ngày"&amp;IF(MOD(ROUND((($U270-TDBC)*24),0),24)&gt;0," "&amp;MOD(ROUND((($U270-TDBC)*24),0),24)&amp;" giờ","")))))</f>
      </c>
      <c r="AA270" s="220">
        <f>IF($V270="Đã xử lý",_xlfn.MAXIFS('Nhật ký tiến độ'!$B$6:$B$3005,'Nhật ký tiến độ'!$C$6:$C$3005,$A270,'Nhật ký tiến độ'!$E$6:$E$3005,"Đã xử lý"),"")</f>
      </c>
      <c r="AB270" s="223">
        <f>IF($AI270="","",IF($AI270&lt;1,MAX(1,ROUND($AI270*60,0))&amp;" phút",IF(ROUND($AI270,0)&lt;24,ROUND($AI270,0)&amp;" giờ",INT(ROUND($AI270,0)/24)&amp;" ngày"&amp;IF(MOD(ROUND($AI270,0),24)&gt;0," "&amp;MOD(ROUND($AI270,0),24)&amp;" giờ",""))))</f>
      </c>
      <c r="AC270" s="223">
        <f>IF(OR($A270="",N($AH270)=0),"",IF($AI270&lt;&gt;"",IF($AI270&lt;=$AH270,"Trong ước tính","Vượt "&amp;IF(($AI270-$AH270)&lt;1,MAX(1,ROUND(($AI270-$AH270)*60,0))&amp;" phút",IF(ROUND(($AI270-$AH270),0)&lt;24,ROUND(($AI270-$AH270),0)&amp;" giờ",INT(ROUND(($AI270-$AH270),0)/24)&amp;" ngày"&amp;IF(MOD(ROUND(($AI270-$AH270),0),24)&gt;0," "&amp;MOD(ROUND(($AI270-$AH270),0),24)&amp;" giờ","")))),IF(OR($V270="Đã xử lý",N($B270)=0),"",IF((TDBC-$B270)*24&gt;$AH270,"Đã vượt ước tính","Đã dùng "&amp;TEXT((TDBC-$B270)*24/$AH270,"0%")))))</f>
      </c>
      <c r="AD270" s="223">
        <f>IF(N($AO270)=0,"",CHOOSE($AO270,"Nhắc nhở","Cảnh báo","Báo động","Báo động đỏ"))</f>
      </c>
      <c r="AE270" s="223">
        <f>IF(OR(N($AA270)=0,N($U270)=0),"",IF($AA270&lt;=$U270,"Đúng hạn","Trễ hạn"))</f>
      </c>
      <c r="AF270" s="220">
        <f>IF($A270="","",_xlfn.MAXIFS('Nhật ký tiến độ'!$B$6:$B$3005,'Nhật ký tiến độ'!$C$6:$C$3005,$A270))</f>
      </c>
      <c r="AG270" s="223">
        <f>IF($A270="","",IF(COUNTIF('Kế hoạch'!$M$6:$M$305,$A270)=0,"",COUNTIF('Kế hoạch'!$M$6:$M$305,$A270)&amp;" việc"))</f>
      </c>
      <c r="AH270" s="224">
        <f>IF(OR($A270="",N($O270)&lt;=0),"",IF($P270="Giờ",$O270,$O270*24))</f>
      </c>
      <c r="AI270" s="224">
        <f>IF(OR(N($AA270)=0,N($B270)=0),"",IF($AA270&lt;$B270,"",($AA270-$B270)*24))</f>
      </c>
      <c r="AJ270" s="225">
        <f>IF($A270="","",IF(COUNTIF('Nhật ký tiến độ'!$C$6:$C$3005,$A270)=0,0,_xlfn.MAXIFS('Nhật ký tiến độ'!$N$6:$N$3005,'Nhật ký tiến độ'!$C$6:$C$3005,$A270,'Nhật ký tiến độ'!$B$6:$B$3005,_xlfn.MAXIFS('Nhật ký tiến độ'!$B$6:$B$3005,'Nhật ký tiến độ'!$C$6:$C$3005,$A270))))</f>
      </c>
      <c r="AK270" s="225">
        <f>IF(OR($A270="",$V270="Đã xử lý"),"",IF(N($AO270)&gt;0,5-$AO270,IF($J270="Khẩn cấp",5,IF($Y270="Chậm tiến độ",6,IF(OR($Y270="Sắp đến hạn",$J270="Cao"),7,"")))))</f>
      </c>
      <c r="AL270" s="225">
        <f>IF($AK270="","",$AK270*100000+IF(N($U270)=0,99999,INT($U270))+ROW()/100000)</f>
      </c>
      <c r="AM270" s="225">
        <f>IF(OR($A270="",TRIM($K270)="",COUNTIF($K$6:$K270,$K270)&gt;1),0,1)</f>
      </c>
      <c r="AN270" s="225">
        <f>IF($AM270=1,SUM($AM$6:$AM270),"")</f>
      </c>
      <c r="AO270" s="225">
        <f>IF(OR($A270="",$V270="Đã xử lý",N($U270)=0),0,IF(TDBC&lt;=$U270,0,MAX(1,MIN(4,IF((TDBC-$U270)*24&lt;24,1,IF((TDBC-$U270)*24&lt;72,2,IF((TDBC-$U270)*24&lt;168,3,4)))+IFERROR(INDEX({2,1,0,-1},MATCH($J270,{"Khẩn cấp","Cao","Trung bình","Thấp"},0)),0)))))</f>
      </c>
    </row>
    <row r="271">
      <c r="A271" s="216"/>
      <c r="B271" s="217"/>
      <c r="C271" s="218"/>
      <c r="D271" s="218"/>
      <c r="E271" s="218"/>
      <c r="F271" s="218"/>
      <c r="G271" s="216"/>
      <c r="H271" s="218"/>
      <c r="I271" s="218"/>
      <c r="J271" s="216"/>
      <c r="K271" s="218"/>
      <c r="L271" s="218"/>
      <c r="M271" s="218"/>
      <c r="N271" s="218"/>
      <c r="O271" s="219"/>
      <c r="P271" s="216"/>
      <c r="Q271" s="217"/>
      <c r="R271" s="216"/>
      <c r="S271" s="218"/>
      <c r="T271" s="218"/>
      <c r="U271" s="220">
        <f>IF($A271="","",IF(N($Q271)&gt;0,IF(MOD($Q271,1)=0,$Q271+1-1/1440,$Q271),IF(N($B271)=0,"",$B271+IF(N($AH271)&gt;0,$AH271,IFERROR(INDEX(DM_SLA_Gio,MATCH($J271,DM_SLA_Cap,0)),168))/24)))</f>
      </c>
      <c r="V271" s="221">
        <f>IF($A271="","",IF(N($AJ271)=0,"Mới tiếp nhận",INDEX('Nhật ký tiến độ'!$E:$E,$AJ271)))</f>
      </c>
      <c r="W271" s="222">
        <f>IF($A271="","",IF($V271="Đã xử lý",1,IF(N($AJ271)=0,0,N(INDEX('Nhật ký tiến độ'!$D:$D,$AJ271)))))</f>
      </c>
      <c r="X271" s="222">
        <f>IF(OR($A271="",$V271="Đã xử lý",N($U271)=0,N($B271)=0),"",IF(TDBC&lt;=$B271,0,IF(TDBC&gt;=$U271,1,(TDBC-$B271)/($U271-$B271))))</f>
      </c>
      <c r="Y271" s="223">
        <f>IF($A271="","",IF($V271="Đã xử lý","Hoàn thành",IF(N($U271)=0,"Chưa đặt hạn",IF(TDBC&gt;$U271,"Quá hạn",IF(ROUND((N($X271)-$W271)*100,0)&gt;=20,"Chậm tiến độ",IF($U271-TDBC&lt;=1,"Sắp đến hạn","Đúng tiến độ"))))))</f>
      </c>
      <c r="Z271" s="223">
        <f>IF(OR($A271="",$V271="Đã xử lý",N($U271)=0),"",IF(TDBC&gt;$U271,"Quá "&amp;IF(((TDBC-$U271)*24)&lt;1,MAX(1,ROUND(((TDBC-$U271)*24)*60,0))&amp;" phút",IF(ROUND(((TDBC-$U271)*24),0)&lt;24,ROUND(((TDBC-$U271)*24),0)&amp;" giờ",INT(ROUND(((TDBC-$U271)*24),0)/24)&amp;" ngày"&amp;IF(MOD(ROUND(((TDBC-$U271)*24),0),24)&gt;0," "&amp;MOD(ROUND(((TDBC-$U271)*24),0),24)&amp;" giờ",""))),"Còn "&amp;IF((($U271-TDBC)*24)&lt;1,MAX(1,ROUND((($U271-TDBC)*24)*60,0))&amp;" phút",IF(ROUND((($U271-TDBC)*24),0)&lt;24,ROUND((($U271-TDBC)*24),0)&amp;" giờ",INT(ROUND((($U271-TDBC)*24),0)/24)&amp;" ngày"&amp;IF(MOD(ROUND((($U271-TDBC)*24),0),24)&gt;0," "&amp;MOD(ROUND((($U271-TDBC)*24),0),24)&amp;" giờ","")))))</f>
      </c>
      <c r="AA271" s="220">
        <f>IF($V271="Đã xử lý",_xlfn.MAXIFS('Nhật ký tiến độ'!$B$6:$B$3005,'Nhật ký tiến độ'!$C$6:$C$3005,$A271,'Nhật ký tiến độ'!$E$6:$E$3005,"Đã xử lý"),"")</f>
      </c>
      <c r="AB271" s="223">
        <f>IF($AI271="","",IF($AI271&lt;1,MAX(1,ROUND($AI271*60,0))&amp;" phút",IF(ROUND($AI271,0)&lt;24,ROUND($AI271,0)&amp;" giờ",INT(ROUND($AI271,0)/24)&amp;" ngày"&amp;IF(MOD(ROUND($AI271,0),24)&gt;0," "&amp;MOD(ROUND($AI271,0),24)&amp;" giờ",""))))</f>
      </c>
      <c r="AC271" s="223">
        <f>IF(OR($A271="",N($AH271)=0),"",IF($AI271&lt;&gt;"",IF($AI271&lt;=$AH271,"Trong ước tính","Vượt "&amp;IF(($AI271-$AH271)&lt;1,MAX(1,ROUND(($AI271-$AH271)*60,0))&amp;" phút",IF(ROUND(($AI271-$AH271),0)&lt;24,ROUND(($AI271-$AH271),0)&amp;" giờ",INT(ROUND(($AI271-$AH271),0)/24)&amp;" ngày"&amp;IF(MOD(ROUND(($AI271-$AH271),0),24)&gt;0," "&amp;MOD(ROUND(($AI271-$AH271),0),24)&amp;" giờ","")))),IF(OR($V271="Đã xử lý",N($B271)=0),"",IF((TDBC-$B271)*24&gt;$AH271,"Đã vượt ước tính","Đã dùng "&amp;TEXT((TDBC-$B271)*24/$AH271,"0%")))))</f>
      </c>
      <c r="AD271" s="223">
        <f>IF(N($AO271)=0,"",CHOOSE($AO271,"Nhắc nhở","Cảnh báo","Báo động","Báo động đỏ"))</f>
      </c>
      <c r="AE271" s="223">
        <f>IF(OR(N($AA271)=0,N($U271)=0),"",IF($AA271&lt;=$U271,"Đúng hạn","Trễ hạn"))</f>
      </c>
      <c r="AF271" s="220">
        <f>IF($A271="","",_xlfn.MAXIFS('Nhật ký tiến độ'!$B$6:$B$3005,'Nhật ký tiến độ'!$C$6:$C$3005,$A271))</f>
      </c>
      <c r="AG271" s="223">
        <f>IF($A271="","",IF(COUNTIF('Kế hoạch'!$M$6:$M$305,$A271)=0,"",COUNTIF('Kế hoạch'!$M$6:$M$305,$A271)&amp;" việc"))</f>
      </c>
      <c r="AH271" s="224">
        <f>IF(OR($A271="",N($O271)&lt;=0),"",IF($P271="Giờ",$O271,$O271*24))</f>
      </c>
      <c r="AI271" s="224">
        <f>IF(OR(N($AA271)=0,N($B271)=0),"",IF($AA271&lt;$B271,"",($AA271-$B271)*24))</f>
      </c>
      <c r="AJ271" s="225">
        <f>IF($A271="","",IF(COUNTIF('Nhật ký tiến độ'!$C$6:$C$3005,$A271)=0,0,_xlfn.MAXIFS('Nhật ký tiến độ'!$N$6:$N$3005,'Nhật ký tiến độ'!$C$6:$C$3005,$A271,'Nhật ký tiến độ'!$B$6:$B$3005,_xlfn.MAXIFS('Nhật ký tiến độ'!$B$6:$B$3005,'Nhật ký tiến độ'!$C$6:$C$3005,$A271))))</f>
      </c>
      <c r="AK271" s="225">
        <f>IF(OR($A271="",$V271="Đã xử lý"),"",IF(N($AO271)&gt;0,5-$AO271,IF($J271="Khẩn cấp",5,IF($Y271="Chậm tiến độ",6,IF(OR($Y271="Sắp đến hạn",$J271="Cao"),7,"")))))</f>
      </c>
      <c r="AL271" s="225">
        <f>IF($AK271="","",$AK271*100000+IF(N($U271)=0,99999,INT($U271))+ROW()/100000)</f>
      </c>
      <c r="AM271" s="225">
        <f>IF(OR($A271="",TRIM($K271)="",COUNTIF($K$6:$K271,$K271)&gt;1),0,1)</f>
      </c>
      <c r="AN271" s="225">
        <f>IF($AM271=1,SUM($AM$6:$AM271),"")</f>
      </c>
      <c r="AO271" s="225">
        <f>IF(OR($A271="",$V271="Đã xử lý",N($U271)=0),0,IF(TDBC&lt;=$U271,0,MAX(1,MIN(4,IF((TDBC-$U271)*24&lt;24,1,IF((TDBC-$U271)*24&lt;72,2,IF((TDBC-$U271)*24&lt;168,3,4)))+IFERROR(INDEX({2,1,0,-1},MATCH($J271,{"Khẩn cấp","Cao","Trung bình","Thấp"},0)),0)))))</f>
      </c>
    </row>
    <row r="272">
      <c r="A272" s="216"/>
      <c r="B272" s="217"/>
      <c r="C272" s="218"/>
      <c r="D272" s="218"/>
      <c r="E272" s="218"/>
      <c r="F272" s="218"/>
      <c r="G272" s="216"/>
      <c r="H272" s="218"/>
      <c r="I272" s="218"/>
      <c r="J272" s="216"/>
      <c r="K272" s="218"/>
      <c r="L272" s="218"/>
      <c r="M272" s="218"/>
      <c r="N272" s="218"/>
      <c r="O272" s="219"/>
      <c r="P272" s="216"/>
      <c r="Q272" s="217"/>
      <c r="R272" s="216"/>
      <c r="S272" s="218"/>
      <c r="T272" s="218"/>
      <c r="U272" s="220">
        <f>IF($A272="","",IF(N($Q272)&gt;0,IF(MOD($Q272,1)=0,$Q272+1-1/1440,$Q272),IF(N($B272)=0,"",$B272+IF(N($AH272)&gt;0,$AH272,IFERROR(INDEX(DM_SLA_Gio,MATCH($J272,DM_SLA_Cap,0)),168))/24)))</f>
      </c>
      <c r="V272" s="221">
        <f>IF($A272="","",IF(N($AJ272)=0,"Mới tiếp nhận",INDEX('Nhật ký tiến độ'!$E:$E,$AJ272)))</f>
      </c>
      <c r="W272" s="222">
        <f>IF($A272="","",IF($V272="Đã xử lý",1,IF(N($AJ272)=0,0,N(INDEX('Nhật ký tiến độ'!$D:$D,$AJ272)))))</f>
      </c>
      <c r="X272" s="222">
        <f>IF(OR($A272="",$V272="Đã xử lý",N($U272)=0,N($B272)=0),"",IF(TDBC&lt;=$B272,0,IF(TDBC&gt;=$U272,1,(TDBC-$B272)/($U272-$B272))))</f>
      </c>
      <c r="Y272" s="223">
        <f>IF($A272="","",IF($V272="Đã xử lý","Hoàn thành",IF(N($U272)=0,"Chưa đặt hạn",IF(TDBC&gt;$U272,"Quá hạn",IF(ROUND((N($X272)-$W272)*100,0)&gt;=20,"Chậm tiến độ",IF($U272-TDBC&lt;=1,"Sắp đến hạn","Đúng tiến độ"))))))</f>
      </c>
      <c r="Z272" s="223">
        <f>IF(OR($A272="",$V272="Đã xử lý",N($U272)=0),"",IF(TDBC&gt;$U272,"Quá "&amp;IF(((TDBC-$U272)*24)&lt;1,MAX(1,ROUND(((TDBC-$U272)*24)*60,0))&amp;" phút",IF(ROUND(((TDBC-$U272)*24),0)&lt;24,ROUND(((TDBC-$U272)*24),0)&amp;" giờ",INT(ROUND(((TDBC-$U272)*24),0)/24)&amp;" ngày"&amp;IF(MOD(ROUND(((TDBC-$U272)*24),0),24)&gt;0," "&amp;MOD(ROUND(((TDBC-$U272)*24),0),24)&amp;" giờ",""))),"Còn "&amp;IF((($U272-TDBC)*24)&lt;1,MAX(1,ROUND((($U272-TDBC)*24)*60,0))&amp;" phút",IF(ROUND((($U272-TDBC)*24),0)&lt;24,ROUND((($U272-TDBC)*24),0)&amp;" giờ",INT(ROUND((($U272-TDBC)*24),0)/24)&amp;" ngày"&amp;IF(MOD(ROUND((($U272-TDBC)*24),0),24)&gt;0," "&amp;MOD(ROUND((($U272-TDBC)*24),0),24)&amp;" giờ","")))))</f>
      </c>
      <c r="AA272" s="220">
        <f>IF($V272="Đã xử lý",_xlfn.MAXIFS('Nhật ký tiến độ'!$B$6:$B$3005,'Nhật ký tiến độ'!$C$6:$C$3005,$A272,'Nhật ký tiến độ'!$E$6:$E$3005,"Đã xử lý"),"")</f>
      </c>
      <c r="AB272" s="223">
        <f>IF($AI272="","",IF($AI272&lt;1,MAX(1,ROUND($AI272*60,0))&amp;" phút",IF(ROUND($AI272,0)&lt;24,ROUND($AI272,0)&amp;" giờ",INT(ROUND($AI272,0)/24)&amp;" ngày"&amp;IF(MOD(ROUND($AI272,0),24)&gt;0," "&amp;MOD(ROUND($AI272,0),24)&amp;" giờ",""))))</f>
      </c>
      <c r="AC272" s="223">
        <f>IF(OR($A272="",N($AH272)=0),"",IF($AI272&lt;&gt;"",IF($AI272&lt;=$AH272,"Trong ước tính","Vượt "&amp;IF(($AI272-$AH272)&lt;1,MAX(1,ROUND(($AI272-$AH272)*60,0))&amp;" phút",IF(ROUND(($AI272-$AH272),0)&lt;24,ROUND(($AI272-$AH272),0)&amp;" giờ",INT(ROUND(($AI272-$AH272),0)/24)&amp;" ngày"&amp;IF(MOD(ROUND(($AI272-$AH272),0),24)&gt;0," "&amp;MOD(ROUND(($AI272-$AH272),0),24)&amp;" giờ","")))),IF(OR($V272="Đã xử lý",N($B272)=0),"",IF((TDBC-$B272)*24&gt;$AH272,"Đã vượt ước tính","Đã dùng "&amp;TEXT((TDBC-$B272)*24/$AH272,"0%")))))</f>
      </c>
      <c r="AD272" s="223">
        <f>IF(N($AO272)=0,"",CHOOSE($AO272,"Nhắc nhở","Cảnh báo","Báo động","Báo động đỏ"))</f>
      </c>
      <c r="AE272" s="223">
        <f>IF(OR(N($AA272)=0,N($U272)=0),"",IF($AA272&lt;=$U272,"Đúng hạn","Trễ hạn"))</f>
      </c>
      <c r="AF272" s="220">
        <f>IF($A272="","",_xlfn.MAXIFS('Nhật ký tiến độ'!$B$6:$B$3005,'Nhật ký tiến độ'!$C$6:$C$3005,$A272))</f>
      </c>
      <c r="AG272" s="223">
        <f>IF($A272="","",IF(COUNTIF('Kế hoạch'!$M$6:$M$305,$A272)=0,"",COUNTIF('Kế hoạch'!$M$6:$M$305,$A272)&amp;" việc"))</f>
      </c>
      <c r="AH272" s="224">
        <f>IF(OR($A272="",N($O272)&lt;=0),"",IF($P272="Giờ",$O272,$O272*24))</f>
      </c>
      <c r="AI272" s="224">
        <f>IF(OR(N($AA272)=0,N($B272)=0),"",IF($AA272&lt;$B272,"",($AA272-$B272)*24))</f>
      </c>
      <c r="AJ272" s="225">
        <f>IF($A272="","",IF(COUNTIF('Nhật ký tiến độ'!$C$6:$C$3005,$A272)=0,0,_xlfn.MAXIFS('Nhật ký tiến độ'!$N$6:$N$3005,'Nhật ký tiến độ'!$C$6:$C$3005,$A272,'Nhật ký tiến độ'!$B$6:$B$3005,_xlfn.MAXIFS('Nhật ký tiến độ'!$B$6:$B$3005,'Nhật ký tiến độ'!$C$6:$C$3005,$A272))))</f>
      </c>
      <c r="AK272" s="225">
        <f>IF(OR($A272="",$V272="Đã xử lý"),"",IF(N($AO272)&gt;0,5-$AO272,IF($J272="Khẩn cấp",5,IF($Y272="Chậm tiến độ",6,IF(OR($Y272="Sắp đến hạn",$J272="Cao"),7,"")))))</f>
      </c>
      <c r="AL272" s="225">
        <f>IF($AK272="","",$AK272*100000+IF(N($U272)=0,99999,INT($U272))+ROW()/100000)</f>
      </c>
      <c r="AM272" s="225">
        <f>IF(OR($A272="",TRIM($K272)="",COUNTIF($K$6:$K272,$K272)&gt;1),0,1)</f>
      </c>
      <c r="AN272" s="225">
        <f>IF($AM272=1,SUM($AM$6:$AM272),"")</f>
      </c>
      <c r="AO272" s="225">
        <f>IF(OR($A272="",$V272="Đã xử lý",N($U272)=0),0,IF(TDBC&lt;=$U272,0,MAX(1,MIN(4,IF((TDBC-$U272)*24&lt;24,1,IF((TDBC-$U272)*24&lt;72,2,IF((TDBC-$U272)*24&lt;168,3,4)))+IFERROR(INDEX({2,1,0,-1},MATCH($J272,{"Khẩn cấp","Cao","Trung bình","Thấp"},0)),0)))))</f>
      </c>
    </row>
    <row r="273">
      <c r="A273" s="216"/>
      <c r="B273" s="217"/>
      <c r="C273" s="218"/>
      <c r="D273" s="218"/>
      <c r="E273" s="218"/>
      <c r="F273" s="218"/>
      <c r="G273" s="216"/>
      <c r="H273" s="218"/>
      <c r="I273" s="218"/>
      <c r="J273" s="216"/>
      <c r="K273" s="218"/>
      <c r="L273" s="218"/>
      <c r="M273" s="218"/>
      <c r="N273" s="218"/>
      <c r="O273" s="219"/>
      <c r="P273" s="216"/>
      <c r="Q273" s="217"/>
      <c r="R273" s="216"/>
      <c r="S273" s="218"/>
      <c r="T273" s="218"/>
      <c r="U273" s="220">
        <f>IF($A273="","",IF(N($Q273)&gt;0,IF(MOD($Q273,1)=0,$Q273+1-1/1440,$Q273),IF(N($B273)=0,"",$B273+IF(N($AH273)&gt;0,$AH273,IFERROR(INDEX(DM_SLA_Gio,MATCH($J273,DM_SLA_Cap,0)),168))/24)))</f>
      </c>
      <c r="V273" s="221">
        <f>IF($A273="","",IF(N($AJ273)=0,"Mới tiếp nhận",INDEX('Nhật ký tiến độ'!$E:$E,$AJ273)))</f>
      </c>
      <c r="W273" s="222">
        <f>IF($A273="","",IF($V273="Đã xử lý",1,IF(N($AJ273)=0,0,N(INDEX('Nhật ký tiến độ'!$D:$D,$AJ273)))))</f>
      </c>
      <c r="X273" s="222">
        <f>IF(OR($A273="",$V273="Đã xử lý",N($U273)=0,N($B273)=0),"",IF(TDBC&lt;=$B273,0,IF(TDBC&gt;=$U273,1,(TDBC-$B273)/($U273-$B273))))</f>
      </c>
      <c r="Y273" s="223">
        <f>IF($A273="","",IF($V273="Đã xử lý","Hoàn thành",IF(N($U273)=0,"Chưa đặt hạn",IF(TDBC&gt;$U273,"Quá hạn",IF(ROUND((N($X273)-$W273)*100,0)&gt;=20,"Chậm tiến độ",IF($U273-TDBC&lt;=1,"Sắp đến hạn","Đúng tiến độ"))))))</f>
      </c>
      <c r="Z273" s="223">
        <f>IF(OR($A273="",$V273="Đã xử lý",N($U273)=0),"",IF(TDBC&gt;$U273,"Quá "&amp;IF(((TDBC-$U273)*24)&lt;1,MAX(1,ROUND(((TDBC-$U273)*24)*60,0))&amp;" phút",IF(ROUND(((TDBC-$U273)*24),0)&lt;24,ROUND(((TDBC-$U273)*24),0)&amp;" giờ",INT(ROUND(((TDBC-$U273)*24),0)/24)&amp;" ngày"&amp;IF(MOD(ROUND(((TDBC-$U273)*24),0),24)&gt;0," "&amp;MOD(ROUND(((TDBC-$U273)*24),0),24)&amp;" giờ",""))),"Còn "&amp;IF((($U273-TDBC)*24)&lt;1,MAX(1,ROUND((($U273-TDBC)*24)*60,0))&amp;" phút",IF(ROUND((($U273-TDBC)*24),0)&lt;24,ROUND((($U273-TDBC)*24),0)&amp;" giờ",INT(ROUND((($U273-TDBC)*24),0)/24)&amp;" ngày"&amp;IF(MOD(ROUND((($U273-TDBC)*24),0),24)&gt;0," "&amp;MOD(ROUND((($U273-TDBC)*24),0),24)&amp;" giờ","")))))</f>
      </c>
      <c r="AA273" s="220">
        <f>IF($V273="Đã xử lý",_xlfn.MAXIFS('Nhật ký tiến độ'!$B$6:$B$3005,'Nhật ký tiến độ'!$C$6:$C$3005,$A273,'Nhật ký tiến độ'!$E$6:$E$3005,"Đã xử lý"),"")</f>
      </c>
      <c r="AB273" s="223">
        <f>IF($AI273="","",IF($AI273&lt;1,MAX(1,ROUND($AI273*60,0))&amp;" phút",IF(ROUND($AI273,0)&lt;24,ROUND($AI273,0)&amp;" giờ",INT(ROUND($AI273,0)/24)&amp;" ngày"&amp;IF(MOD(ROUND($AI273,0),24)&gt;0," "&amp;MOD(ROUND($AI273,0),24)&amp;" giờ",""))))</f>
      </c>
      <c r="AC273" s="223">
        <f>IF(OR($A273="",N($AH273)=0),"",IF($AI273&lt;&gt;"",IF($AI273&lt;=$AH273,"Trong ước tính","Vượt "&amp;IF(($AI273-$AH273)&lt;1,MAX(1,ROUND(($AI273-$AH273)*60,0))&amp;" phút",IF(ROUND(($AI273-$AH273),0)&lt;24,ROUND(($AI273-$AH273),0)&amp;" giờ",INT(ROUND(($AI273-$AH273),0)/24)&amp;" ngày"&amp;IF(MOD(ROUND(($AI273-$AH273),0),24)&gt;0," "&amp;MOD(ROUND(($AI273-$AH273),0),24)&amp;" giờ","")))),IF(OR($V273="Đã xử lý",N($B273)=0),"",IF((TDBC-$B273)*24&gt;$AH273,"Đã vượt ước tính","Đã dùng "&amp;TEXT((TDBC-$B273)*24/$AH273,"0%")))))</f>
      </c>
      <c r="AD273" s="223">
        <f>IF(N($AO273)=0,"",CHOOSE($AO273,"Nhắc nhở","Cảnh báo","Báo động","Báo động đỏ"))</f>
      </c>
      <c r="AE273" s="223">
        <f>IF(OR(N($AA273)=0,N($U273)=0),"",IF($AA273&lt;=$U273,"Đúng hạn","Trễ hạn"))</f>
      </c>
      <c r="AF273" s="220">
        <f>IF($A273="","",_xlfn.MAXIFS('Nhật ký tiến độ'!$B$6:$B$3005,'Nhật ký tiến độ'!$C$6:$C$3005,$A273))</f>
      </c>
      <c r="AG273" s="223">
        <f>IF($A273="","",IF(COUNTIF('Kế hoạch'!$M$6:$M$305,$A273)=0,"",COUNTIF('Kế hoạch'!$M$6:$M$305,$A273)&amp;" việc"))</f>
      </c>
      <c r="AH273" s="224">
        <f>IF(OR($A273="",N($O273)&lt;=0),"",IF($P273="Giờ",$O273,$O273*24))</f>
      </c>
      <c r="AI273" s="224">
        <f>IF(OR(N($AA273)=0,N($B273)=0),"",IF($AA273&lt;$B273,"",($AA273-$B273)*24))</f>
      </c>
      <c r="AJ273" s="225">
        <f>IF($A273="","",IF(COUNTIF('Nhật ký tiến độ'!$C$6:$C$3005,$A273)=0,0,_xlfn.MAXIFS('Nhật ký tiến độ'!$N$6:$N$3005,'Nhật ký tiến độ'!$C$6:$C$3005,$A273,'Nhật ký tiến độ'!$B$6:$B$3005,_xlfn.MAXIFS('Nhật ký tiến độ'!$B$6:$B$3005,'Nhật ký tiến độ'!$C$6:$C$3005,$A273))))</f>
      </c>
      <c r="AK273" s="225">
        <f>IF(OR($A273="",$V273="Đã xử lý"),"",IF(N($AO273)&gt;0,5-$AO273,IF($J273="Khẩn cấp",5,IF($Y273="Chậm tiến độ",6,IF(OR($Y273="Sắp đến hạn",$J273="Cao"),7,"")))))</f>
      </c>
      <c r="AL273" s="225">
        <f>IF($AK273="","",$AK273*100000+IF(N($U273)=0,99999,INT($U273))+ROW()/100000)</f>
      </c>
      <c r="AM273" s="225">
        <f>IF(OR($A273="",TRIM($K273)="",COUNTIF($K$6:$K273,$K273)&gt;1),0,1)</f>
      </c>
      <c r="AN273" s="225">
        <f>IF($AM273=1,SUM($AM$6:$AM273),"")</f>
      </c>
      <c r="AO273" s="225">
        <f>IF(OR($A273="",$V273="Đã xử lý",N($U273)=0),0,IF(TDBC&lt;=$U273,0,MAX(1,MIN(4,IF((TDBC-$U273)*24&lt;24,1,IF((TDBC-$U273)*24&lt;72,2,IF((TDBC-$U273)*24&lt;168,3,4)))+IFERROR(INDEX({2,1,0,-1},MATCH($J273,{"Khẩn cấp","Cao","Trung bình","Thấp"},0)),0)))))</f>
      </c>
    </row>
    <row r="274">
      <c r="A274" s="216"/>
      <c r="B274" s="217"/>
      <c r="C274" s="218"/>
      <c r="D274" s="218"/>
      <c r="E274" s="218"/>
      <c r="F274" s="218"/>
      <c r="G274" s="216"/>
      <c r="H274" s="218"/>
      <c r="I274" s="218"/>
      <c r="J274" s="216"/>
      <c r="K274" s="218"/>
      <c r="L274" s="218"/>
      <c r="M274" s="218"/>
      <c r="N274" s="218"/>
      <c r="O274" s="219"/>
      <c r="P274" s="216"/>
      <c r="Q274" s="217"/>
      <c r="R274" s="216"/>
      <c r="S274" s="218"/>
      <c r="T274" s="218"/>
      <c r="U274" s="220">
        <f>IF($A274="","",IF(N($Q274)&gt;0,IF(MOD($Q274,1)=0,$Q274+1-1/1440,$Q274),IF(N($B274)=0,"",$B274+IF(N($AH274)&gt;0,$AH274,IFERROR(INDEX(DM_SLA_Gio,MATCH($J274,DM_SLA_Cap,0)),168))/24)))</f>
      </c>
      <c r="V274" s="221">
        <f>IF($A274="","",IF(N($AJ274)=0,"Mới tiếp nhận",INDEX('Nhật ký tiến độ'!$E:$E,$AJ274)))</f>
      </c>
      <c r="W274" s="222">
        <f>IF($A274="","",IF($V274="Đã xử lý",1,IF(N($AJ274)=0,0,N(INDEX('Nhật ký tiến độ'!$D:$D,$AJ274)))))</f>
      </c>
      <c r="X274" s="222">
        <f>IF(OR($A274="",$V274="Đã xử lý",N($U274)=0,N($B274)=0),"",IF(TDBC&lt;=$B274,0,IF(TDBC&gt;=$U274,1,(TDBC-$B274)/($U274-$B274))))</f>
      </c>
      <c r="Y274" s="223">
        <f>IF($A274="","",IF($V274="Đã xử lý","Hoàn thành",IF(N($U274)=0,"Chưa đặt hạn",IF(TDBC&gt;$U274,"Quá hạn",IF(ROUND((N($X274)-$W274)*100,0)&gt;=20,"Chậm tiến độ",IF($U274-TDBC&lt;=1,"Sắp đến hạn","Đúng tiến độ"))))))</f>
      </c>
      <c r="Z274" s="223">
        <f>IF(OR($A274="",$V274="Đã xử lý",N($U274)=0),"",IF(TDBC&gt;$U274,"Quá "&amp;IF(((TDBC-$U274)*24)&lt;1,MAX(1,ROUND(((TDBC-$U274)*24)*60,0))&amp;" phút",IF(ROUND(((TDBC-$U274)*24),0)&lt;24,ROUND(((TDBC-$U274)*24),0)&amp;" giờ",INT(ROUND(((TDBC-$U274)*24),0)/24)&amp;" ngày"&amp;IF(MOD(ROUND(((TDBC-$U274)*24),0),24)&gt;0," "&amp;MOD(ROUND(((TDBC-$U274)*24),0),24)&amp;" giờ",""))),"Còn "&amp;IF((($U274-TDBC)*24)&lt;1,MAX(1,ROUND((($U274-TDBC)*24)*60,0))&amp;" phút",IF(ROUND((($U274-TDBC)*24),0)&lt;24,ROUND((($U274-TDBC)*24),0)&amp;" giờ",INT(ROUND((($U274-TDBC)*24),0)/24)&amp;" ngày"&amp;IF(MOD(ROUND((($U274-TDBC)*24),0),24)&gt;0," "&amp;MOD(ROUND((($U274-TDBC)*24),0),24)&amp;" giờ","")))))</f>
      </c>
      <c r="AA274" s="220">
        <f>IF($V274="Đã xử lý",_xlfn.MAXIFS('Nhật ký tiến độ'!$B$6:$B$3005,'Nhật ký tiến độ'!$C$6:$C$3005,$A274,'Nhật ký tiến độ'!$E$6:$E$3005,"Đã xử lý"),"")</f>
      </c>
      <c r="AB274" s="223">
        <f>IF($AI274="","",IF($AI274&lt;1,MAX(1,ROUND($AI274*60,0))&amp;" phút",IF(ROUND($AI274,0)&lt;24,ROUND($AI274,0)&amp;" giờ",INT(ROUND($AI274,0)/24)&amp;" ngày"&amp;IF(MOD(ROUND($AI274,0),24)&gt;0," "&amp;MOD(ROUND($AI274,0),24)&amp;" giờ",""))))</f>
      </c>
      <c r="AC274" s="223">
        <f>IF(OR($A274="",N($AH274)=0),"",IF($AI274&lt;&gt;"",IF($AI274&lt;=$AH274,"Trong ước tính","Vượt "&amp;IF(($AI274-$AH274)&lt;1,MAX(1,ROUND(($AI274-$AH274)*60,0))&amp;" phút",IF(ROUND(($AI274-$AH274),0)&lt;24,ROUND(($AI274-$AH274),0)&amp;" giờ",INT(ROUND(($AI274-$AH274),0)/24)&amp;" ngày"&amp;IF(MOD(ROUND(($AI274-$AH274),0),24)&gt;0," "&amp;MOD(ROUND(($AI274-$AH274),0),24)&amp;" giờ","")))),IF(OR($V274="Đã xử lý",N($B274)=0),"",IF((TDBC-$B274)*24&gt;$AH274,"Đã vượt ước tính","Đã dùng "&amp;TEXT((TDBC-$B274)*24/$AH274,"0%")))))</f>
      </c>
      <c r="AD274" s="223">
        <f>IF(N($AO274)=0,"",CHOOSE($AO274,"Nhắc nhở","Cảnh báo","Báo động","Báo động đỏ"))</f>
      </c>
      <c r="AE274" s="223">
        <f>IF(OR(N($AA274)=0,N($U274)=0),"",IF($AA274&lt;=$U274,"Đúng hạn","Trễ hạn"))</f>
      </c>
      <c r="AF274" s="220">
        <f>IF($A274="","",_xlfn.MAXIFS('Nhật ký tiến độ'!$B$6:$B$3005,'Nhật ký tiến độ'!$C$6:$C$3005,$A274))</f>
      </c>
      <c r="AG274" s="223">
        <f>IF($A274="","",IF(COUNTIF('Kế hoạch'!$M$6:$M$305,$A274)=0,"",COUNTIF('Kế hoạch'!$M$6:$M$305,$A274)&amp;" việc"))</f>
      </c>
      <c r="AH274" s="224">
        <f>IF(OR($A274="",N($O274)&lt;=0),"",IF($P274="Giờ",$O274,$O274*24))</f>
      </c>
      <c r="AI274" s="224">
        <f>IF(OR(N($AA274)=0,N($B274)=0),"",IF($AA274&lt;$B274,"",($AA274-$B274)*24))</f>
      </c>
      <c r="AJ274" s="225">
        <f>IF($A274="","",IF(COUNTIF('Nhật ký tiến độ'!$C$6:$C$3005,$A274)=0,0,_xlfn.MAXIFS('Nhật ký tiến độ'!$N$6:$N$3005,'Nhật ký tiến độ'!$C$6:$C$3005,$A274,'Nhật ký tiến độ'!$B$6:$B$3005,_xlfn.MAXIFS('Nhật ký tiến độ'!$B$6:$B$3005,'Nhật ký tiến độ'!$C$6:$C$3005,$A274))))</f>
      </c>
      <c r="AK274" s="225">
        <f>IF(OR($A274="",$V274="Đã xử lý"),"",IF(N($AO274)&gt;0,5-$AO274,IF($J274="Khẩn cấp",5,IF($Y274="Chậm tiến độ",6,IF(OR($Y274="Sắp đến hạn",$J274="Cao"),7,"")))))</f>
      </c>
      <c r="AL274" s="225">
        <f>IF($AK274="","",$AK274*100000+IF(N($U274)=0,99999,INT($U274))+ROW()/100000)</f>
      </c>
      <c r="AM274" s="225">
        <f>IF(OR($A274="",TRIM($K274)="",COUNTIF($K$6:$K274,$K274)&gt;1),0,1)</f>
      </c>
      <c r="AN274" s="225">
        <f>IF($AM274=1,SUM($AM$6:$AM274),"")</f>
      </c>
      <c r="AO274" s="225">
        <f>IF(OR($A274="",$V274="Đã xử lý",N($U274)=0),0,IF(TDBC&lt;=$U274,0,MAX(1,MIN(4,IF((TDBC-$U274)*24&lt;24,1,IF((TDBC-$U274)*24&lt;72,2,IF((TDBC-$U274)*24&lt;168,3,4)))+IFERROR(INDEX({2,1,0,-1},MATCH($J274,{"Khẩn cấp","Cao","Trung bình","Thấp"},0)),0)))))</f>
      </c>
    </row>
    <row r="275">
      <c r="A275" s="216"/>
      <c r="B275" s="217"/>
      <c r="C275" s="218"/>
      <c r="D275" s="218"/>
      <c r="E275" s="218"/>
      <c r="F275" s="218"/>
      <c r="G275" s="216"/>
      <c r="H275" s="218"/>
      <c r="I275" s="218"/>
      <c r="J275" s="216"/>
      <c r="K275" s="218"/>
      <c r="L275" s="218"/>
      <c r="M275" s="218"/>
      <c r="N275" s="218"/>
      <c r="O275" s="219"/>
      <c r="P275" s="216"/>
      <c r="Q275" s="217"/>
      <c r="R275" s="216"/>
      <c r="S275" s="218"/>
      <c r="T275" s="218"/>
      <c r="U275" s="220">
        <f>IF($A275="","",IF(N($Q275)&gt;0,IF(MOD($Q275,1)=0,$Q275+1-1/1440,$Q275),IF(N($B275)=0,"",$B275+IF(N($AH275)&gt;0,$AH275,IFERROR(INDEX(DM_SLA_Gio,MATCH($J275,DM_SLA_Cap,0)),168))/24)))</f>
      </c>
      <c r="V275" s="221">
        <f>IF($A275="","",IF(N($AJ275)=0,"Mới tiếp nhận",INDEX('Nhật ký tiến độ'!$E:$E,$AJ275)))</f>
      </c>
      <c r="W275" s="222">
        <f>IF($A275="","",IF($V275="Đã xử lý",1,IF(N($AJ275)=0,0,N(INDEX('Nhật ký tiến độ'!$D:$D,$AJ275)))))</f>
      </c>
      <c r="X275" s="222">
        <f>IF(OR($A275="",$V275="Đã xử lý",N($U275)=0,N($B275)=0),"",IF(TDBC&lt;=$B275,0,IF(TDBC&gt;=$U275,1,(TDBC-$B275)/($U275-$B275))))</f>
      </c>
      <c r="Y275" s="223">
        <f>IF($A275="","",IF($V275="Đã xử lý","Hoàn thành",IF(N($U275)=0,"Chưa đặt hạn",IF(TDBC&gt;$U275,"Quá hạn",IF(ROUND((N($X275)-$W275)*100,0)&gt;=20,"Chậm tiến độ",IF($U275-TDBC&lt;=1,"Sắp đến hạn","Đúng tiến độ"))))))</f>
      </c>
      <c r="Z275" s="223">
        <f>IF(OR($A275="",$V275="Đã xử lý",N($U275)=0),"",IF(TDBC&gt;$U275,"Quá "&amp;IF(((TDBC-$U275)*24)&lt;1,MAX(1,ROUND(((TDBC-$U275)*24)*60,0))&amp;" phút",IF(ROUND(((TDBC-$U275)*24),0)&lt;24,ROUND(((TDBC-$U275)*24),0)&amp;" giờ",INT(ROUND(((TDBC-$U275)*24),0)/24)&amp;" ngày"&amp;IF(MOD(ROUND(((TDBC-$U275)*24),0),24)&gt;0," "&amp;MOD(ROUND(((TDBC-$U275)*24),0),24)&amp;" giờ",""))),"Còn "&amp;IF((($U275-TDBC)*24)&lt;1,MAX(1,ROUND((($U275-TDBC)*24)*60,0))&amp;" phút",IF(ROUND((($U275-TDBC)*24),0)&lt;24,ROUND((($U275-TDBC)*24),0)&amp;" giờ",INT(ROUND((($U275-TDBC)*24),0)/24)&amp;" ngày"&amp;IF(MOD(ROUND((($U275-TDBC)*24),0),24)&gt;0," "&amp;MOD(ROUND((($U275-TDBC)*24),0),24)&amp;" giờ","")))))</f>
      </c>
      <c r="AA275" s="220">
        <f>IF($V275="Đã xử lý",_xlfn.MAXIFS('Nhật ký tiến độ'!$B$6:$B$3005,'Nhật ký tiến độ'!$C$6:$C$3005,$A275,'Nhật ký tiến độ'!$E$6:$E$3005,"Đã xử lý"),"")</f>
      </c>
      <c r="AB275" s="223">
        <f>IF($AI275="","",IF($AI275&lt;1,MAX(1,ROUND($AI275*60,0))&amp;" phút",IF(ROUND($AI275,0)&lt;24,ROUND($AI275,0)&amp;" giờ",INT(ROUND($AI275,0)/24)&amp;" ngày"&amp;IF(MOD(ROUND($AI275,0),24)&gt;0," "&amp;MOD(ROUND($AI275,0),24)&amp;" giờ",""))))</f>
      </c>
      <c r="AC275" s="223">
        <f>IF(OR($A275="",N($AH275)=0),"",IF($AI275&lt;&gt;"",IF($AI275&lt;=$AH275,"Trong ước tính","Vượt "&amp;IF(($AI275-$AH275)&lt;1,MAX(1,ROUND(($AI275-$AH275)*60,0))&amp;" phút",IF(ROUND(($AI275-$AH275),0)&lt;24,ROUND(($AI275-$AH275),0)&amp;" giờ",INT(ROUND(($AI275-$AH275),0)/24)&amp;" ngày"&amp;IF(MOD(ROUND(($AI275-$AH275),0),24)&gt;0," "&amp;MOD(ROUND(($AI275-$AH275),0),24)&amp;" giờ","")))),IF(OR($V275="Đã xử lý",N($B275)=0),"",IF((TDBC-$B275)*24&gt;$AH275,"Đã vượt ước tính","Đã dùng "&amp;TEXT((TDBC-$B275)*24/$AH275,"0%")))))</f>
      </c>
      <c r="AD275" s="223">
        <f>IF(N($AO275)=0,"",CHOOSE($AO275,"Nhắc nhở","Cảnh báo","Báo động","Báo động đỏ"))</f>
      </c>
      <c r="AE275" s="223">
        <f>IF(OR(N($AA275)=0,N($U275)=0),"",IF($AA275&lt;=$U275,"Đúng hạn","Trễ hạn"))</f>
      </c>
      <c r="AF275" s="220">
        <f>IF($A275="","",_xlfn.MAXIFS('Nhật ký tiến độ'!$B$6:$B$3005,'Nhật ký tiến độ'!$C$6:$C$3005,$A275))</f>
      </c>
      <c r="AG275" s="223">
        <f>IF($A275="","",IF(COUNTIF('Kế hoạch'!$M$6:$M$305,$A275)=0,"",COUNTIF('Kế hoạch'!$M$6:$M$305,$A275)&amp;" việc"))</f>
      </c>
      <c r="AH275" s="224">
        <f>IF(OR($A275="",N($O275)&lt;=0),"",IF($P275="Giờ",$O275,$O275*24))</f>
      </c>
      <c r="AI275" s="224">
        <f>IF(OR(N($AA275)=0,N($B275)=0),"",IF($AA275&lt;$B275,"",($AA275-$B275)*24))</f>
      </c>
      <c r="AJ275" s="225">
        <f>IF($A275="","",IF(COUNTIF('Nhật ký tiến độ'!$C$6:$C$3005,$A275)=0,0,_xlfn.MAXIFS('Nhật ký tiến độ'!$N$6:$N$3005,'Nhật ký tiến độ'!$C$6:$C$3005,$A275,'Nhật ký tiến độ'!$B$6:$B$3005,_xlfn.MAXIFS('Nhật ký tiến độ'!$B$6:$B$3005,'Nhật ký tiến độ'!$C$6:$C$3005,$A275))))</f>
      </c>
      <c r="AK275" s="225">
        <f>IF(OR($A275="",$V275="Đã xử lý"),"",IF(N($AO275)&gt;0,5-$AO275,IF($J275="Khẩn cấp",5,IF($Y275="Chậm tiến độ",6,IF(OR($Y275="Sắp đến hạn",$J275="Cao"),7,"")))))</f>
      </c>
      <c r="AL275" s="225">
        <f>IF($AK275="","",$AK275*100000+IF(N($U275)=0,99999,INT($U275))+ROW()/100000)</f>
      </c>
      <c r="AM275" s="225">
        <f>IF(OR($A275="",TRIM($K275)="",COUNTIF($K$6:$K275,$K275)&gt;1),0,1)</f>
      </c>
      <c r="AN275" s="225">
        <f>IF($AM275=1,SUM($AM$6:$AM275),"")</f>
      </c>
      <c r="AO275" s="225">
        <f>IF(OR($A275="",$V275="Đã xử lý",N($U275)=0),0,IF(TDBC&lt;=$U275,0,MAX(1,MIN(4,IF((TDBC-$U275)*24&lt;24,1,IF((TDBC-$U275)*24&lt;72,2,IF((TDBC-$U275)*24&lt;168,3,4)))+IFERROR(INDEX({2,1,0,-1},MATCH($J275,{"Khẩn cấp","Cao","Trung bình","Thấp"},0)),0)))))</f>
      </c>
    </row>
    <row r="276">
      <c r="A276" s="216"/>
      <c r="B276" s="217"/>
      <c r="C276" s="218"/>
      <c r="D276" s="218"/>
      <c r="E276" s="218"/>
      <c r="F276" s="218"/>
      <c r="G276" s="216"/>
      <c r="H276" s="218"/>
      <c r="I276" s="218"/>
      <c r="J276" s="216"/>
      <c r="K276" s="218"/>
      <c r="L276" s="218"/>
      <c r="M276" s="218"/>
      <c r="N276" s="218"/>
      <c r="O276" s="219"/>
      <c r="P276" s="216"/>
      <c r="Q276" s="217"/>
      <c r="R276" s="216"/>
      <c r="S276" s="218"/>
      <c r="T276" s="218"/>
      <c r="U276" s="220">
        <f>IF($A276="","",IF(N($Q276)&gt;0,IF(MOD($Q276,1)=0,$Q276+1-1/1440,$Q276),IF(N($B276)=0,"",$B276+IF(N($AH276)&gt;0,$AH276,IFERROR(INDEX(DM_SLA_Gio,MATCH($J276,DM_SLA_Cap,0)),168))/24)))</f>
      </c>
      <c r="V276" s="221">
        <f>IF($A276="","",IF(N($AJ276)=0,"Mới tiếp nhận",INDEX('Nhật ký tiến độ'!$E:$E,$AJ276)))</f>
      </c>
      <c r="W276" s="222">
        <f>IF($A276="","",IF($V276="Đã xử lý",1,IF(N($AJ276)=0,0,N(INDEX('Nhật ký tiến độ'!$D:$D,$AJ276)))))</f>
      </c>
      <c r="X276" s="222">
        <f>IF(OR($A276="",$V276="Đã xử lý",N($U276)=0,N($B276)=0),"",IF(TDBC&lt;=$B276,0,IF(TDBC&gt;=$U276,1,(TDBC-$B276)/($U276-$B276))))</f>
      </c>
      <c r="Y276" s="223">
        <f>IF($A276="","",IF($V276="Đã xử lý","Hoàn thành",IF(N($U276)=0,"Chưa đặt hạn",IF(TDBC&gt;$U276,"Quá hạn",IF(ROUND((N($X276)-$W276)*100,0)&gt;=20,"Chậm tiến độ",IF($U276-TDBC&lt;=1,"Sắp đến hạn","Đúng tiến độ"))))))</f>
      </c>
      <c r="Z276" s="223">
        <f>IF(OR($A276="",$V276="Đã xử lý",N($U276)=0),"",IF(TDBC&gt;$U276,"Quá "&amp;IF(((TDBC-$U276)*24)&lt;1,MAX(1,ROUND(((TDBC-$U276)*24)*60,0))&amp;" phút",IF(ROUND(((TDBC-$U276)*24),0)&lt;24,ROUND(((TDBC-$U276)*24),0)&amp;" giờ",INT(ROUND(((TDBC-$U276)*24),0)/24)&amp;" ngày"&amp;IF(MOD(ROUND(((TDBC-$U276)*24),0),24)&gt;0," "&amp;MOD(ROUND(((TDBC-$U276)*24),0),24)&amp;" giờ",""))),"Còn "&amp;IF((($U276-TDBC)*24)&lt;1,MAX(1,ROUND((($U276-TDBC)*24)*60,0))&amp;" phút",IF(ROUND((($U276-TDBC)*24),0)&lt;24,ROUND((($U276-TDBC)*24),0)&amp;" giờ",INT(ROUND((($U276-TDBC)*24),0)/24)&amp;" ngày"&amp;IF(MOD(ROUND((($U276-TDBC)*24),0),24)&gt;0," "&amp;MOD(ROUND((($U276-TDBC)*24),0),24)&amp;" giờ","")))))</f>
      </c>
      <c r="AA276" s="220">
        <f>IF($V276="Đã xử lý",_xlfn.MAXIFS('Nhật ký tiến độ'!$B$6:$B$3005,'Nhật ký tiến độ'!$C$6:$C$3005,$A276,'Nhật ký tiến độ'!$E$6:$E$3005,"Đã xử lý"),"")</f>
      </c>
      <c r="AB276" s="223">
        <f>IF($AI276="","",IF($AI276&lt;1,MAX(1,ROUND($AI276*60,0))&amp;" phút",IF(ROUND($AI276,0)&lt;24,ROUND($AI276,0)&amp;" giờ",INT(ROUND($AI276,0)/24)&amp;" ngày"&amp;IF(MOD(ROUND($AI276,0),24)&gt;0," "&amp;MOD(ROUND($AI276,0),24)&amp;" giờ",""))))</f>
      </c>
      <c r="AC276" s="223">
        <f>IF(OR($A276="",N($AH276)=0),"",IF($AI276&lt;&gt;"",IF($AI276&lt;=$AH276,"Trong ước tính","Vượt "&amp;IF(($AI276-$AH276)&lt;1,MAX(1,ROUND(($AI276-$AH276)*60,0))&amp;" phút",IF(ROUND(($AI276-$AH276),0)&lt;24,ROUND(($AI276-$AH276),0)&amp;" giờ",INT(ROUND(($AI276-$AH276),0)/24)&amp;" ngày"&amp;IF(MOD(ROUND(($AI276-$AH276),0),24)&gt;0," "&amp;MOD(ROUND(($AI276-$AH276),0),24)&amp;" giờ","")))),IF(OR($V276="Đã xử lý",N($B276)=0),"",IF((TDBC-$B276)*24&gt;$AH276,"Đã vượt ước tính","Đã dùng "&amp;TEXT((TDBC-$B276)*24/$AH276,"0%")))))</f>
      </c>
      <c r="AD276" s="223">
        <f>IF(N($AO276)=0,"",CHOOSE($AO276,"Nhắc nhở","Cảnh báo","Báo động","Báo động đỏ"))</f>
      </c>
      <c r="AE276" s="223">
        <f>IF(OR(N($AA276)=0,N($U276)=0),"",IF($AA276&lt;=$U276,"Đúng hạn","Trễ hạn"))</f>
      </c>
      <c r="AF276" s="220">
        <f>IF($A276="","",_xlfn.MAXIFS('Nhật ký tiến độ'!$B$6:$B$3005,'Nhật ký tiến độ'!$C$6:$C$3005,$A276))</f>
      </c>
      <c r="AG276" s="223">
        <f>IF($A276="","",IF(COUNTIF('Kế hoạch'!$M$6:$M$305,$A276)=0,"",COUNTIF('Kế hoạch'!$M$6:$M$305,$A276)&amp;" việc"))</f>
      </c>
      <c r="AH276" s="224">
        <f>IF(OR($A276="",N($O276)&lt;=0),"",IF($P276="Giờ",$O276,$O276*24))</f>
      </c>
      <c r="AI276" s="224">
        <f>IF(OR(N($AA276)=0,N($B276)=0),"",IF($AA276&lt;$B276,"",($AA276-$B276)*24))</f>
      </c>
      <c r="AJ276" s="225">
        <f>IF($A276="","",IF(COUNTIF('Nhật ký tiến độ'!$C$6:$C$3005,$A276)=0,0,_xlfn.MAXIFS('Nhật ký tiến độ'!$N$6:$N$3005,'Nhật ký tiến độ'!$C$6:$C$3005,$A276,'Nhật ký tiến độ'!$B$6:$B$3005,_xlfn.MAXIFS('Nhật ký tiến độ'!$B$6:$B$3005,'Nhật ký tiến độ'!$C$6:$C$3005,$A276))))</f>
      </c>
      <c r="AK276" s="225">
        <f>IF(OR($A276="",$V276="Đã xử lý"),"",IF(N($AO276)&gt;0,5-$AO276,IF($J276="Khẩn cấp",5,IF($Y276="Chậm tiến độ",6,IF(OR($Y276="Sắp đến hạn",$J276="Cao"),7,"")))))</f>
      </c>
      <c r="AL276" s="225">
        <f>IF($AK276="","",$AK276*100000+IF(N($U276)=0,99999,INT($U276))+ROW()/100000)</f>
      </c>
      <c r="AM276" s="225">
        <f>IF(OR($A276="",TRIM($K276)="",COUNTIF($K$6:$K276,$K276)&gt;1),0,1)</f>
      </c>
      <c r="AN276" s="225">
        <f>IF($AM276=1,SUM($AM$6:$AM276),"")</f>
      </c>
      <c r="AO276" s="225">
        <f>IF(OR($A276="",$V276="Đã xử lý",N($U276)=0),0,IF(TDBC&lt;=$U276,0,MAX(1,MIN(4,IF((TDBC-$U276)*24&lt;24,1,IF((TDBC-$U276)*24&lt;72,2,IF((TDBC-$U276)*24&lt;168,3,4)))+IFERROR(INDEX({2,1,0,-1},MATCH($J276,{"Khẩn cấp","Cao","Trung bình","Thấp"},0)),0)))))</f>
      </c>
    </row>
    <row r="277">
      <c r="A277" s="216"/>
      <c r="B277" s="217"/>
      <c r="C277" s="218"/>
      <c r="D277" s="218"/>
      <c r="E277" s="218"/>
      <c r="F277" s="218"/>
      <c r="G277" s="216"/>
      <c r="H277" s="218"/>
      <c r="I277" s="218"/>
      <c r="J277" s="216"/>
      <c r="K277" s="218"/>
      <c r="L277" s="218"/>
      <c r="M277" s="218"/>
      <c r="N277" s="218"/>
      <c r="O277" s="219"/>
      <c r="P277" s="216"/>
      <c r="Q277" s="217"/>
      <c r="R277" s="216"/>
      <c r="S277" s="218"/>
      <c r="T277" s="218"/>
      <c r="U277" s="220">
        <f>IF($A277="","",IF(N($Q277)&gt;0,IF(MOD($Q277,1)=0,$Q277+1-1/1440,$Q277),IF(N($B277)=0,"",$B277+IF(N($AH277)&gt;0,$AH277,IFERROR(INDEX(DM_SLA_Gio,MATCH($J277,DM_SLA_Cap,0)),168))/24)))</f>
      </c>
      <c r="V277" s="221">
        <f>IF($A277="","",IF(N($AJ277)=0,"Mới tiếp nhận",INDEX('Nhật ký tiến độ'!$E:$E,$AJ277)))</f>
      </c>
      <c r="W277" s="222">
        <f>IF($A277="","",IF($V277="Đã xử lý",1,IF(N($AJ277)=0,0,N(INDEX('Nhật ký tiến độ'!$D:$D,$AJ277)))))</f>
      </c>
      <c r="X277" s="222">
        <f>IF(OR($A277="",$V277="Đã xử lý",N($U277)=0,N($B277)=0),"",IF(TDBC&lt;=$B277,0,IF(TDBC&gt;=$U277,1,(TDBC-$B277)/($U277-$B277))))</f>
      </c>
      <c r="Y277" s="223">
        <f>IF($A277="","",IF($V277="Đã xử lý","Hoàn thành",IF(N($U277)=0,"Chưa đặt hạn",IF(TDBC&gt;$U277,"Quá hạn",IF(ROUND((N($X277)-$W277)*100,0)&gt;=20,"Chậm tiến độ",IF($U277-TDBC&lt;=1,"Sắp đến hạn","Đúng tiến độ"))))))</f>
      </c>
      <c r="Z277" s="223">
        <f>IF(OR($A277="",$V277="Đã xử lý",N($U277)=0),"",IF(TDBC&gt;$U277,"Quá "&amp;IF(((TDBC-$U277)*24)&lt;1,MAX(1,ROUND(((TDBC-$U277)*24)*60,0))&amp;" phút",IF(ROUND(((TDBC-$U277)*24),0)&lt;24,ROUND(((TDBC-$U277)*24),0)&amp;" giờ",INT(ROUND(((TDBC-$U277)*24),0)/24)&amp;" ngày"&amp;IF(MOD(ROUND(((TDBC-$U277)*24),0),24)&gt;0," "&amp;MOD(ROUND(((TDBC-$U277)*24),0),24)&amp;" giờ",""))),"Còn "&amp;IF((($U277-TDBC)*24)&lt;1,MAX(1,ROUND((($U277-TDBC)*24)*60,0))&amp;" phút",IF(ROUND((($U277-TDBC)*24),0)&lt;24,ROUND((($U277-TDBC)*24),0)&amp;" giờ",INT(ROUND((($U277-TDBC)*24),0)/24)&amp;" ngày"&amp;IF(MOD(ROUND((($U277-TDBC)*24),0),24)&gt;0," "&amp;MOD(ROUND((($U277-TDBC)*24),0),24)&amp;" giờ","")))))</f>
      </c>
      <c r="AA277" s="220">
        <f>IF($V277="Đã xử lý",_xlfn.MAXIFS('Nhật ký tiến độ'!$B$6:$B$3005,'Nhật ký tiến độ'!$C$6:$C$3005,$A277,'Nhật ký tiến độ'!$E$6:$E$3005,"Đã xử lý"),"")</f>
      </c>
      <c r="AB277" s="223">
        <f>IF($AI277="","",IF($AI277&lt;1,MAX(1,ROUND($AI277*60,0))&amp;" phút",IF(ROUND($AI277,0)&lt;24,ROUND($AI277,0)&amp;" giờ",INT(ROUND($AI277,0)/24)&amp;" ngày"&amp;IF(MOD(ROUND($AI277,0),24)&gt;0," "&amp;MOD(ROUND($AI277,0),24)&amp;" giờ",""))))</f>
      </c>
      <c r="AC277" s="223">
        <f>IF(OR($A277="",N($AH277)=0),"",IF($AI277&lt;&gt;"",IF($AI277&lt;=$AH277,"Trong ước tính","Vượt "&amp;IF(($AI277-$AH277)&lt;1,MAX(1,ROUND(($AI277-$AH277)*60,0))&amp;" phút",IF(ROUND(($AI277-$AH277),0)&lt;24,ROUND(($AI277-$AH277),0)&amp;" giờ",INT(ROUND(($AI277-$AH277),0)/24)&amp;" ngày"&amp;IF(MOD(ROUND(($AI277-$AH277),0),24)&gt;0," "&amp;MOD(ROUND(($AI277-$AH277),0),24)&amp;" giờ","")))),IF(OR($V277="Đã xử lý",N($B277)=0),"",IF((TDBC-$B277)*24&gt;$AH277,"Đã vượt ước tính","Đã dùng "&amp;TEXT((TDBC-$B277)*24/$AH277,"0%")))))</f>
      </c>
      <c r="AD277" s="223">
        <f>IF(N($AO277)=0,"",CHOOSE($AO277,"Nhắc nhở","Cảnh báo","Báo động","Báo động đỏ"))</f>
      </c>
      <c r="AE277" s="223">
        <f>IF(OR(N($AA277)=0,N($U277)=0),"",IF($AA277&lt;=$U277,"Đúng hạn","Trễ hạn"))</f>
      </c>
      <c r="AF277" s="220">
        <f>IF($A277="","",_xlfn.MAXIFS('Nhật ký tiến độ'!$B$6:$B$3005,'Nhật ký tiến độ'!$C$6:$C$3005,$A277))</f>
      </c>
      <c r="AG277" s="223">
        <f>IF($A277="","",IF(COUNTIF('Kế hoạch'!$M$6:$M$305,$A277)=0,"",COUNTIF('Kế hoạch'!$M$6:$M$305,$A277)&amp;" việc"))</f>
      </c>
      <c r="AH277" s="224">
        <f>IF(OR($A277="",N($O277)&lt;=0),"",IF($P277="Giờ",$O277,$O277*24))</f>
      </c>
      <c r="AI277" s="224">
        <f>IF(OR(N($AA277)=0,N($B277)=0),"",IF($AA277&lt;$B277,"",($AA277-$B277)*24))</f>
      </c>
      <c r="AJ277" s="225">
        <f>IF($A277="","",IF(COUNTIF('Nhật ký tiến độ'!$C$6:$C$3005,$A277)=0,0,_xlfn.MAXIFS('Nhật ký tiến độ'!$N$6:$N$3005,'Nhật ký tiến độ'!$C$6:$C$3005,$A277,'Nhật ký tiến độ'!$B$6:$B$3005,_xlfn.MAXIFS('Nhật ký tiến độ'!$B$6:$B$3005,'Nhật ký tiến độ'!$C$6:$C$3005,$A277))))</f>
      </c>
      <c r="AK277" s="225">
        <f>IF(OR($A277="",$V277="Đã xử lý"),"",IF(N($AO277)&gt;0,5-$AO277,IF($J277="Khẩn cấp",5,IF($Y277="Chậm tiến độ",6,IF(OR($Y277="Sắp đến hạn",$J277="Cao"),7,"")))))</f>
      </c>
      <c r="AL277" s="225">
        <f>IF($AK277="","",$AK277*100000+IF(N($U277)=0,99999,INT($U277))+ROW()/100000)</f>
      </c>
      <c r="AM277" s="225">
        <f>IF(OR($A277="",TRIM($K277)="",COUNTIF($K$6:$K277,$K277)&gt;1),0,1)</f>
      </c>
      <c r="AN277" s="225">
        <f>IF($AM277=1,SUM($AM$6:$AM277),"")</f>
      </c>
      <c r="AO277" s="225">
        <f>IF(OR($A277="",$V277="Đã xử lý",N($U277)=0),0,IF(TDBC&lt;=$U277,0,MAX(1,MIN(4,IF((TDBC-$U277)*24&lt;24,1,IF((TDBC-$U277)*24&lt;72,2,IF((TDBC-$U277)*24&lt;168,3,4)))+IFERROR(INDEX({2,1,0,-1},MATCH($J277,{"Khẩn cấp","Cao","Trung bình","Thấp"},0)),0)))))</f>
      </c>
    </row>
    <row r="278">
      <c r="A278" s="216"/>
      <c r="B278" s="217"/>
      <c r="C278" s="218"/>
      <c r="D278" s="218"/>
      <c r="E278" s="218"/>
      <c r="F278" s="218"/>
      <c r="G278" s="216"/>
      <c r="H278" s="218"/>
      <c r="I278" s="218"/>
      <c r="J278" s="216"/>
      <c r="K278" s="218"/>
      <c r="L278" s="218"/>
      <c r="M278" s="218"/>
      <c r="N278" s="218"/>
      <c r="O278" s="219"/>
      <c r="P278" s="216"/>
      <c r="Q278" s="217"/>
      <c r="R278" s="216"/>
      <c r="S278" s="218"/>
      <c r="T278" s="218"/>
      <c r="U278" s="220">
        <f>IF($A278="","",IF(N($Q278)&gt;0,IF(MOD($Q278,1)=0,$Q278+1-1/1440,$Q278),IF(N($B278)=0,"",$B278+IF(N($AH278)&gt;0,$AH278,IFERROR(INDEX(DM_SLA_Gio,MATCH($J278,DM_SLA_Cap,0)),168))/24)))</f>
      </c>
      <c r="V278" s="221">
        <f>IF($A278="","",IF(N($AJ278)=0,"Mới tiếp nhận",INDEX('Nhật ký tiến độ'!$E:$E,$AJ278)))</f>
      </c>
      <c r="W278" s="222">
        <f>IF($A278="","",IF($V278="Đã xử lý",1,IF(N($AJ278)=0,0,N(INDEX('Nhật ký tiến độ'!$D:$D,$AJ278)))))</f>
      </c>
      <c r="X278" s="222">
        <f>IF(OR($A278="",$V278="Đã xử lý",N($U278)=0,N($B278)=0),"",IF(TDBC&lt;=$B278,0,IF(TDBC&gt;=$U278,1,(TDBC-$B278)/($U278-$B278))))</f>
      </c>
      <c r="Y278" s="223">
        <f>IF($A278="","",IF($V278="Đã xử lý","Hoàn thành",IF(N($U278)=0,"Chưa đặt hạn",IF(TDBC&gt;$U278,"Quá hạn",IF(ROUND((N($X278)-$W278)*100,0)&gt;=20,"Chậm tiến độ",IF($U278-TDBC&lt;=1,"Sắp đến hạn","Đúng tiến độ"))))))</f>
      </c>
      <c r="Z278" s="223">
        <f>IF(OR($A278="",$V278="Đã xử lý",N($U278)=0),"",IF(TDBC&gt;$U278,"Quá "&amp;IF(((TDBC-$U278)*24)&lt;1,MAX(1,ROUND(((TDBC-$U278)*24)*60,0))&amp;" phút",IF(ROUND(((TDBC-$U278)*24),0)&lt;24,ROUND(((TDBC-$U278)*24),0)&amp;" giờ",INT(ROUND(((TDBC-$U278)*24),0)/24)&amp;" ngày"&amp;IF(MOD(ROUND(((TDBC-$U278)*24),0),24)&gt;0," "&amp;MOD(ROUND(((TDBC-$U278)*24),0),24)&amp;" giờ",""))),"Còn "&amp;IF((($U278-TDBC)*24)&lt;1,MAX(1,ROUND((($U278-TDBC)*24)*60,0))&amp;" phút",IF(ROUND((($U278-TDBC)*24),0)&lt;24,ROUND((($U278-TDBC)*24),0)&amp;" giờ",INT(ROUND((($U278-TDBC)*24),0)/24)&amp;" ngày"&amp;IF(MOD(ROUND((($U278-TDBC)*24),0),24)&gt;0," "&amp;MOD(ROUND((($U278-TDBC)*24),0),24)&amp;" giờ","")))))</f>
      </c>
      <c r="AA278" s="220">
        <f>IF($V278="Đã xử lý",_xlfn.MAXIFS('Nhật ký tiến độ'!$B$6:$B$3005,'Nhật ký tiến độ'!$C$6:$C$3005,$A278,'Nhật ký tiến độ'!$E$6:$E$3005,"Đã xử lý"),"")</f>
      </c>
      <c r="AB278" s="223">
        <f>IF($AI278="","",IF($AI278&lt;1,MAX(1,ROUND($AI278*60,0))&amp;" phút",IF(ROUND($AI278,0)&lt;24,ROUND($AI278,0)&amp;" giờ",INT(ROUND($AI278,0)/24)&amp;" ngày"&amp;IF(MOD(ROUND($AI278,0),24)&gt;0," "&amp;MOD(ROUND($AI278,0),24)&amp;" giờ",""))))</f>
      </c>
      <c r="AC278" s="223">
        <f>IF(OR($A278="",N($AH278)=0),"",IF($AI278&lt;&gt;"",IF($AI278&lt;=$AH278,"Trong ước tính","Vượt "&amp;IF(($AI278-$AH278)&lt;1,MAX(1,ROUND(($AI278-$AH278)*60,0))&amp;" phút",IF(ROUND(($AI278-$AH278),0)&lt;24,ROUND(($AI278-$AH278),0)&amp;" giờ",INT(ROUND(($AI278-$AH278),0)/24)&amp;" ngày"&amp;IF(MOD(ROUND(($AI278-$AH278),0),24)&gt;0," "&amp;MOD(ROUND(($AI278-$AH278),0),24)&amp;" giờ","")))),IF(OR($V278="Đã xử lý",N($B278)=0),"",IF((TDBC-$B278)*24&gt;$AH278,"Đã vượt ước tính","Đã dùng "&amp;TEXT((TDBC-$B278)*24/$AH278,"0%")))))</f>
      </c>
      <c r="AD278" s="223">
        <f>IF(N($AO278)=0,"",CHOOSE($AO278,"Nhắc nhở","Cảnh báo","Báo động","Báo động đỏ"))</f>
      </c>
      <c r="AE278" s="223">
        <f>IF(OR(N($AA278)=0,N($U278)=0),"",IF($AA278&lt;=$U278,"Đúng hạn","Trễ hạn"))</f>
      </c>
      <c r="AF278" s="220">
        <f>IF($A278="","",_xlfn.MAXIFS('Nhật ký tiến độ'!$B$6:$B$3005,'Nhật ký tiến độ'!$C$6:$C$3005,$A278))</f>
      </c>
      <c r="AG278" s="223">
        <f>IF($A278="","",IF(COUNTIF('Kế hoạch'!$M$6:$M$305,$A278)=0,"",COUNTIF('Kế hoạch'!$M$6:$M$305,$A278)&amp;" việc"))</f>
      </c>
      <c r="AH278" s="224">
        <f>IF(OR($A278="",N($O278)&lt;=0),"",IF($P278="Giờ",$O278,$O278*24))</f>
      </c>
      <c r="AI278" s="224">
        <f>IF(OR(N($AA278)=0,N($B278)=0),"",IF($AA278&lt;$B278,"",($AA278-$B278)*24))</f>
      </c>
      <c r="AJ278" s="225">
        <f>IF($A278="","",IF(COUNTIF('Nhật ký tiến độ'!$C$6:$C$3005,$A278)=0,0,_xlfn.MAXIFS('Nhật ký tiến độ'!$N$6:$N$3005,'Nhật ký tiến độ'!$C$6:$C$3005,$A278,'Nhật ký tiến độ'!$B$6:$B$3005,_xlfn.MAXIFS('Nhật ký tiến độ'!$B$6:$B$3005,'Nhật ký tiến độ'!$C$6:$C$3005,$A278))))</f>
      </c>
      <c r="AK278" s="225">
        <f>IF(OR($A278="",$V278="Đã xử lý"),"",IF(N($AO278)&gt;0,5-$AO278,IF($J278="Khẩn cấp",5,IF($Y278="Chậm tiến độ",6,IF(OR($Y278="Sắp đến hạn",$J278="Cao"),7,"")))))</f>
      </c>
      <c r="AL278" s="225">
        <f>IF($AK278="","",$AK278*100000+IF(N($U278)=0,99999,INT($U278))+ROW()/100000)</f>
      </c>
      <c r="AM278" s="225">
        <f>IF(OR($A278="",TRIM($K278)="",COUNTIF($K$6:$K278,$K278)&gt;1),0,1)</f>
      </c>
      <c r="AN278" s="225">
        <f>IF($AM278=1,SUM($AM$6:$AM278),"")</f>
      </c>
      <c r="AO278" s="225">
        <f>IF(OR($A278="",$V278="Đã xử lý",N($U278)=0),0,IF(TDBC&lt;=$U278,0,MAX(1,MIN(4,IF((TDBC-$U278)*24&lt;24,1,IF((TDBC-$U278)*24&lt;72,2,IF((TDBC-$U278)*24&lt;168,3,4)))+IFERROR(INDEX({2,1,0,-1},MATCH($J278,{"Khẩn cấp","Cao","Trung bình","Thấp"},0)),0)))))</f>
      </c>
    </row>
    <row r="279">
      <c r="A279" s="216"/>
      <c r="B279" s="217"/>
      <c r="C279" s="218"/>
      <c r="D279" s="218"/>
      <c r="E279" s="218"/>
      <c r="F279" s="218"/>
      <c r="G279" s="216"/>
      <c r="H279" s="218"/>
      <c r="I279" s="218"/>
      <c r="J279" s="216"/>
      <c r="K279" s="218"/>
      <c r="L279" s="218"/>
      <c r="M279" s="218"/>
      <c r="N279" s="218"/>
      <c r="O279" s="219"/>
      <c r="P279" s="216"/>
      <c r="Q279" s="217"/>
      <c r="R279" s="216"/>
      <c r="S279" s="218"/>
      <c r="T279" s="218"/>
      <c r="U279" s="220">
        <f>IF($A279="","",IF(N($Q279)&gt;0,IF(MOD($Q279,1)=0,$Q279+1-1/1440,$Q279),IF(N($B279)=0,"",$B279+IF(N($AH279)&gt;0,$AH279,IFERROR(INDEX(DM_SLA_Gio,MATCH($J279,DM_SLA_Cap,0)),168))/24)))</f>
      </c>
      <c r="V279" s="221">
        <f>IF($A279="","",IF(N($AJ279)=0,"Mới tiếp nhận",INDEX('Nhật ký tiến độ'!$E:$E,$AJ279)))</f>
      </c>
      <c r="W279" s="222">
        <f>IF($A279="","",IF($V279="Đã xử lý",1,IF(N($AJ279)=0,0,N(INDEX('Nhật ký tiến độ'!$D:$D,$AJ279)))))</f>
      </c>
      <c r="X279" s="222">
        <f>IF(OR($A279="",$V279="Đã xử lý",N($U279)=0,N($B279)=0),"",IF(TDBC&lt;=$B279,0,IF(TDBC&gt;=$U279,1,(TDBC-$B279)/($U279-$B279))))</f>
      </c>
      <c r="Y279" s="223">
        <f>IF($A279="","",IF($V279="Đã xử lý","Hoàn thành",IF(N($U279)=0,"Chưa đặt hạn",IF(TDBC&gt;$U279,"Quá hạn",IF(ROUND((N($X279)-$W279)*100,0)&gt;=20,"Chậm tiến độ",IF($U279-TDBC&lt;=1,"Sắp đến hạn","Đúng tiến độ"))))))</f>
      </c>
      <c r="Z279" s="223">
        <f>IF(OR($A279="",$V279="Đã xử lý",N($U279)=0),"",IF(TDBC&gt;$U279,"Quá "&amp;IF(((TDBC-$U279)*24)&lt;1,MAX(1,ROUND(((TDBC-$U279)*24)*60,0))&amp;" phút",IF(ROUND(((TDBC-$U279)*24),0)&lt;24,ROUND(((TDBC-$U279)*24),0)&amp;" giờ",INT(ROUND(((TDBC-$U279)*24),0)/24)&amp;" ngày"&amp;IF(MOD(ROUND(((TDBC-$U279)*24),0),24)&gt;0," "&amp;MOD(ROUND(((TDBC-$U279)*24),0),24)&amp;" giờ",""))),"Còn "&amp;IF((($U279-TDBC)*24)&lt;1,MAX(1,ROUND((($U279-TDBC)*24)*60,0))&amp;" phút",IF(ROUND((($U279-TDBC)*24),0)&lt;24,ROUND((($U279-TDBC)*24),0)&amp;" giờ",INT(ROUND((($U279-TDBC)*24),0)/24)&amp;" ngày"&amp;IF(MOD(ROUND((($U279-TDBC)*24),0),24)&gt;0," "&amp;MOD(ROUND((($U279-TDBC)*24),0),24)&amp;" giờ","")))))</f>
      </c>
      <c r="AA279" s="220">
        <f>IF($V279="Đã xử lý",_xlfn.MAXIFS('Nhật ký tiến độ'!$B$6:$B$3005,'Nhật ký tiến độ'!$C$6:$C$3005,$A279,'Nhật ký tiến độ'!$E$6:$E$3005,"Đã xử lý"),"")</f>
      </c>
      <c r="AB279" s="223">
        <f>IF($AI279="","",IF($AI279&lt;1,MAX(1,ROUND($AI279*60,0))&amp;" phút",IF(ROUND($AI279,0)&lt;24,ROUND($AI279,0)&amp;" giờ",INT(ROUND($AI279,0)/24)&amp;" ngày"&amp;IF(MOD(ROUND($AI279,0),24)&gt;0," "&amp;MOD(ROUND($AI279,0),24)&amp;" giờ",""))))</f>
      </c>
      <c r="AC279" s="223">
        <f>IF(OR($A279="",N($AH279)=0),"",IF($AI279&lt;&gt;"",IF($AI279&lt;=$AH279,"Trong ước tính","Vượt "&amp;IF(($AI279-$AH279)&lt;1,MAX(1,ROUND(($AI279-$AH279)*60,0))&amp;" phút",IF(ROUND(($AI279-$AH279),0)&lt;24,ROUND(($AI279-$AH279),0)&amp;" giờ",INT(ROUND(($AI279-$AH279),0)/24)&amp;" ngày"&amp;IF(MOD(ROUND(($AI279-$AH279),0),24)&gt;0," "&amp;MOD(ROUND(($AI279-$AH279),0),24)&amp;" giờ","")))),IF(OR($V279="Đã xử lý",N($B279)=0),"",IF((TDBC-$B279)*24&gt;$AH279,"Đã vượt ước tính","Đã dùng "&amp;TEXT((TDBC-$B279)*24/$AH279,"0%")))))</f>
      </c>
      <c r="AD279" s="223">
        <f>IF(N($AO279)=0,"",CHOOSE($AO279,"Nhắc nhở","Cảnh báo","Báo động","Báo động đỏ"))</f>
      </c>
      <c r="AE279" s="223">
        <f>IF(OR(N($AA279)=0,N($U279)=0),"",IF($AA279&lt;=$U279,"Đúng hạn","Trễ hạn"))</f>
      </c>
      <c r="AF279" s="220">
        <f>IF($A279="","",_xlfn.MAXIFS('Nhật ký tiến độ'!$B$6:$B$3005,'Nhật ký tiến độ'!$C$6:$C$3005,$A279))</f>
      </c>
      <c r="AG279" s="223">
        <f>IF($A279="","",IF(COUNTIF('Kế hoạch'!$M$6:$M$305,$A279)=0,"",COUNTIF('Kế hoạch'!$M$6:$M$305,$A279)&amp;" việc"))</f>
      </c>
      <c r="AH279" s="224">
        <f>IF(OR($A279="",N($O279)&lt;=0),"",IF($P279="Giờ",$O279,$O279*24))</f>
      </c>
      <c r="AI279" s="224">
        <f>IF(OR(N($AA279)=0,N($B279)=0),"",IF($AA279&lt;$B279,"",($AA279-$B279)*24))</f>
      </c>
      <c r="AJ279" s="225">
        <f>IF($A279="","",IF(COUNTIF('Nhật ký tiến độ'!$C$6:$C$3005,$A279)=0,0,_xlfn.MAXIFS('Nhật ký tiến độ'!$N$6:$N$3005,'Nhật ký tiến độ'!$C$6:$C$3005,$A279,'Nhật ký tiến độ'!$B$6:$B$3005,_xlfn.MAXIFS('Nhật ký tiến độ'!$B$6:$B$3005,'Nhật ký tiến độ'!$C$6:$C$3005,$A279))))</f>
      </c>
      <c r="AK279" s="225">
        <f>IF(OR($A279="",$V279="Đã xử lý"),"",IF(N($AO279)&gt;0,5-$AO279,IF($J279="Khẩn cấp",5,IF($Y279="Chậm tiến độ",6,IF(OR($Y279="Sắp đến hạn",$J279="Cao"),7,"")))))</f>
      </c>
      <c r="AL279" s="225">
        <f>IF($AK279="","",$AK279*100000+IF(N($U279)=0,99999,INT($U279))+ROW()/100000)</f>
      </c>
      <c r="AM279" s="225">
        <f>IF(OR($A279="",TRIM($K279)="",COUNTIF($K$6:$K279,$K279)&gt;1),0,1)</f>
      </c>
      <c r="AN279" s="225">
        <f>IF($AM279=1,SUM($AM$6:$AM279),"")</f>
      </c>
      <c r="AO279" s="225">
        <f>IF(OR($A279="",$V279="Đã xử lý",N($U279)=0),0,IF(TDBC&lt;=$U279,0,MAX(1,MIN(4,IF((TDBC-$U279)*24&lt;24,1,IF((TDBC-$U279)*24&lt;72,2,IF((TDBC-$U279)*24&lt;168,3,4)))+IFERROR(INDEX({2,1,0,-1},MATCH($J279,{"Khẩn cấp","Cao","Trung bình","Thấp"},0)),0)))))</f>
      </c>
    </row>
    <row r="280">
      <c r="A280" s="216"/>
      <c r="B280" s="217"/>
      <c r="C280" s="218"/>
      <c r="D280" s="218"/>
      <c r="E280" s="218"/>
      <c r="F280" s="218"/>
      <c r="G280" s="216"/>
      <c r="H280" s="218"/>
      <c r="I280" s="218"/>
      <c r="J280" s="216"/>
      <c r="K280" s="218"/>
      <c r="L280" s="218"/>
      <c r="M280" s="218"/>
      <c r="N280" s="218"/>
      <c r="O280" s="219"/>
      <c r="P280" s="216"/>
      <c r="Q280" s="217"/>
      <c r="R280" s="216"/>
      <c r="S280" s="218"/>
      <c r="T280" s="218"/>
      <c r="U280" s="220">
        <f>IF($A280="","",IF(N($Q280)&gt;0,IF(MOD($Q280,1)=0,$Q280+1-1/1440,$Q280),IF(N($B280)=0,"",$B280+IF(N($AH280)&gt;0,$AH280,IFERROR(INDEX(DM_SLA_Gio,MATCH($J280,DM_SLA_Cap,0)),168))/24)))</f>
      </c>
      <c r="V280" s="221">
        <f>IF($A280="","",IF(N($AJ280)=0,"Mới tiếp nhận",INDEX('Nhật ký tiến độ'!$E:$E,$AJ280)))</f>
      </c>
      <c r="W280" s="222">
        <f>IF($A280="","",IF($V280="Đã xử lý",1,IF(N($AJ280)=0,0,N(INDEX('Nhật ký tiến độ'!$D:$D,$AJ280)))))</f>
      </c>
      <c r="X280" s="222">
        <f>IF(OR($A280="",$V280="Đã xử lý",N($U280)=0,N($B280)=0),"",IF(TDBC&lt;=$B280,0,IF(TDBC&gt;=$U280,1,(TDBC-$B280)/($U280-$B280))))</f>
      </c>
      <c r="Y280" s="223">
        <f>IF($A280="","",IF($V280="Đã xử lý","Hoàn thành",IF(N($U280)=0,"Chưa đặt hạn",IF(TDBC&gt;$U280,"Quá hạn",IF(ROUND((N($X280)-$W280)*100,0)&gt;=20,"Chậm tiến độ",IF($U280-TDBC&lt;=1,"Sắp đến hạn","Đúng tiến độ"))))))</f>
      </c>
      <c r="Z280" s="223">
        <f>IF(OR($A280="",$V280="Đã xử lý",N($U280)=0),"",IF(TDBC&gt;$U280,"Quá "&amp;IF(((TDBC-$U280)*24)&lt;1,MAX(1,ROUND(((TDBC-$U280)*24)*60,0))&amp;" phút",IF(ROUND(((TDBC-$U280)*24),0)&lt;24,ROUND(((TDBC-$U280)*24),0)&amp;" giờ",INT(ROUND(((TDBC-$U280)*24),0)/24)&amp;" ngày"&amp;IF(MOD(ROUND(((TDBC-$U280)*24),0),24)&gt;0," "&amp;MOD(ROUND(((TDBC-$U280)*24),0),24)&amp;" giờ",""))),"Còn "&amp;IF((($U280-TDBC)*24)&lt;1,MAX(1,ROUND((($U280-TDBC)*24)*60,0))&amp;" phút",IF(ROUND((($U280-TDBC)*24),0)&lt;24,ROUND((($U280-TDBC)*24),0)&amp;" giờ",INT(ROUND((($U280-TDBC)*24),0)/24)&amp;" ngày"&amp;IF(MOD(ROUND((($U280-TDBC)*24),0),24)&gt;0," "&amp;MOD(ROUND((($U280-TDBC)*24),0),24)&amp;" giờ","")))))</f>
      </c>
      <c r="AA280" s="220">
        <f>IF($V280="Đã xử lý",_xlfn.MAXIFS('Nhật ký tiến độ'!$B$6:$B$3005,'Nhật ký tiến độ'!$C$6:$C$3005,$A280,'Nhật ký tiến độ'!$E$6:$E$3005,"Đã xử lý"),"")</f>
      </c>
      <c r="AB280" s="223">
        <f>IF($AI280="","",IF($AI280&lt;1,MAX(1,ROUND($AI280*60,0))&amp;" phút",IF(ROUND($AI280,0)&lt;24,ROUND($AI280,0)&amp;" giờ",INT(ROUND($AI280,0)/24)&amp;" ngày"&amp;IF(MOD(ROUND($AI280,0),24)&gt;0," "&amp;MOD(ROUND($AI280,0),24)&amp;" giờ",""))))</f>
      </c>
      <c r="AC280" s="223">
        <f>IF(OR($A280="",N($AH280)=0),"",IF($AI280&lt;&gt;"",IF($AI280&lt;=$AH280,"Trong ước tính","Vượt "&amp;IF(($AI280-$AH280)&lt;1,MAX(1,ROUND(($AI280-$AH280)*60,0))&amp;" phút",IF(ROUND(($AI280-$AH280),0)&lt;24,ROUND(($AI280-$AH280),0)&amp;" giờ",INT(ROUND(($AI280-$AH280),0)/24)&amp;" ngày"&amp;IF(MOD(ROUND(($AI280-$AH280),0),24)&gt;0," "&amp;MOD(ROUND(($AI280-$AH280),0),24)&amp;" giờ","")))),IF(OR($V280="Đã xử lý",N($B280)=0),"",IF((TDBC-$B280)*24&gt;$AH280,"Đã vượt ước tính","Đã dùng "&amp;TEXT((TDBC-$B280)*24/$AH280,"0%")))))</f>
      </c>
      <c r="AD280" s="223">
        <f>IF(N($AO280)=0,"",CHOOSE($AO280,"Nhắc nhở","Cảnh báo","Báo động","Báo động đỏ"))</f>
      </c>
      <c r="AE280" s="223">
        <f>IF(OR(N($AA280)=0,N($U280)=0),"",IF($AA280&lt;=$U280,"Đúng hạn","Trễ hạn"))</f>
      </c>
      <c r="AF280" s="220">
        <f>IF($A280="","",_xlfn.MAXIFS('Nhật ký tiến độ'!$B$6:$B$3005,'Nhật ký tiến độ'!$C$6:$C$3005,$A280))</f>
      </c>
      <c r="AG280" s="223">
        <f>IF($A280="","",IF(COUNTIF('Kế hoạch'!$M$6:$M$305,$A280)=0,"",COUNTIF('Kế hoạch'!$M$6:$M$305,$A280)&amp;" việc"))</f>
      </c>
      <c r="AH280" s="224">
        <f>IF(OR($A280="",N($O280)&lt;=0),"",IF($P280="Giờ",$O280,$O280*24))</f>
      </c>
      <c r="AI280" s="224">
        <f>IF(OR(N($AA280)=0,N($B280)=0),"",IF($AA280&lt;$B280,"",($AA280-$B280)*24))</f>
      </c>
      <c r="AJ280" s="225">
        <f>IF($A280="","",IF(COUNTIF('Nhật ký tiến độ'!$C$6:$C$3005,$A280)=0,0,_xlfn.MAXIFS('Nhật ký tiến độ'!$N$6:$N$3005,'Nhật ký tiến độ'!$C$6:$C$3005,$A280,'Nhật ký tiến độ'!$B$6:$B$3005,_xlfn.MAXIFS('Nhật ký tiến độ'!$B$6:$B$3005,'Nhật ký tiến độ'!$C$6:$C$3005,$A280))))</f>
      </c>
      <c r="AK280" s="225">
        <f>IF(OR($A280="",$V280="Đã xử lý"),"",IF(N($AO280)&gt;0,5-$AO280,IF($J280="Khẩn cấp",5,IF($Y280="Chậm tiến độ",6,IF(OR($Y280="Sắp đến hạn",$J280="Cao"),7,"")))))</f>
      </c>
      <c r="AL280" s="225">
        <f>IF($AK280="","",$AK280*100000+IF(N($U280)=0,99999,INT($U280))+ROW()/100000)</f>
      </c>
      <c r="AM280" s="225">
        <f>IF(OR($A280="",TRIM($K280)="",COUNTIF($K$6:$K280,$K280)&gt;1),0,1)</f>
      </c>
      <c r="AN280" s="225">
        <f>IF($AM280=1,SUM($AM$6:$AM280),"")</f>
      </c>
      <c r="AO280" s="225">
        <f>IF(OR($A280="",$V280="Đã xử lý",N($U280)=0),0,IF(TDBC&lt;=$U280,0,MAX(1,MIN(4,IF((TDBC-$U280)*24&lt;24,1,IF((TDBC-$U280)*24&lt;72,2,IF((TDBC-$U280)*24&lt;168,3,4)))+IFERROR(INDEX({2,1,0,-1},MATCH($J280,{"Khẩn cấp","Cao","Trung bình","Thấp"},0)),0)))))</f>
      </c>
    </row>
    <row r="281">
      <c r="A281" s="216"/>
      <c r="B281" s="217"/>
      <c r="C281" s="218"/>
      <c r="D281" s="218"/>
      <c r="E281" s="218"/>
      <c r="F281" s="218"/>
      <c r="G281" s="216"/>
      <c r="H281" s="218"/>
      <c r="I281" s="218"/>
      <c r="J281" s="216"/>
      <c r="K281" s="218"/>
      <c r="L281" s="218"/>
      <c r="M281" s="218"/>
      <c r="N281" s="218"/>
      <c r="O281" s="219"/>
      <c r="P281" s="216"/>
      <c r="Q281" s="217"/>
      <c r="R281" s="216"/>
      <c r="S281" s="218"/>
      <c r="T281" s="218"/>
      <c r="U281" s="220">
        <f>IF($A281="","",IF(N($Q281)&gt;0,IF(MOD($Q281,1)=0,$Q281+1-1/1440,$Q281),IF(N($B281)=0,"",$B281+IF(N($AH281)&gt;0,$AH281,IFERROR(INDEX(DM_SLA_Gio,MATCH($J281,DM_SLA_Cap,0)),168))/24)))</f>
      </c>
      <c r="V281" s="221">
        <f>IF($A281="","",IF(N($AJ281)=0,"Mới tiếp nhận",INDEX('Nhật ký tiến độ'!$E:$E,$AJ281)))</f>
      </c>
      <c r="W281" s="222">
        <f>IF($A281="","",IF($V281="Đã xử lý",1,IF(N($AJ281)=0,0,N(INDEX('Nhật ký tiến độ'!$D:$D,$AJ281)))))</f>
      </c>
      <c r="X281" s="222">
        <f>IF(OR($A281="",$V281="Đã xử lý",N($U281)=0,N($B281)=0),"",IF(TDBC&lt;=$B281,0,IF(TDBC&gt;=$U281,1,(TDBC-$B281)/($U281-$B281))))</f>
      </c>
      <c r="Y281" s="223">
        <f>IF($A281="","",IF($V281="Đã xử lý","Hoàn thành",IF(N($U281)=0,"Chưa đặt hạn",IF(TDBC&gt;$U281,"Quá hạn",IF(ROUND((N($X281)-$W281)*100,0)&gt;=20,"Chậm tiến độ",IF($U281-TDBC&lt;=1,"Sắp đến hạn","Đúng tiến độ"))))))</f>
      </c>
      <c r="Z281" s="223">
        <f>IF(OR($A281="",$V281="Đã xử lý",N($U281)=0),"",IF(TDBC&gt;$U281,"Quá "&amp;IF(((TDBC-$U281)*24)&lt;1,MAX(1,ROUND(((TDBC-$U281)*24)*60,0))&amp;" phút",IF(ROUND(((TDBC-$U281)*24),0)&lt;24,ROUND(((TDBC-$U281)*24),0)&amp;" giờ",INT(ROUND(((TDBC-$U281)*24),0)/24)&amp;" ngày"&amp;IF(MOD(ROUND(((TDBC-$U281)*24),0),24)&gt;0," "&amp;MOD(ROUND(((TDBC-$U281)*24),0),24)&amp;" giờ",""))),"Còn "&amp;IF((($U281-TDBC)*24)&lt;1,MAX(1,ROUND((($U281-TDBC)*24)*60,0))&amp;" phút",IF(ROUND((($U281-TDBC)*24),0)&lt;24,ROUND((($U281-TDBC)*24),0)&amp;" giờ",INT(ROUND((($U281-TDBC)*24),0)/24)&amp;" ngày"&amp;IF(MOD(ROUND((($U281-TDBC)*24),0),24)&gt;0," "&amp;MOD(ROUND((($U281-TDBC)*24),0),24)&amp;" giờ","")))))</f>
      </c>
      <c r="AA281" s="220">
        <f>IF($V281="Đã xử lý",_xlfn.MAXIFS('Nhật ký tiến độ'!$B$6:$B$3005,'Nhật ký tiến độ'!$C$6:$C$3005,$A281,'Nhật ký tiến độ'!$E$6:$E$3005,"Đã xử lý"),"")</f>
      </c>
      <c r="AB281" s="223">
        <f>IF($AI281="","",IF($AI281&lt;1,MAX(1,ROUND($AI281*60,0))&amp;" phút",IF(ROUND($AI281,0)&lt;24,ROUND($AI281,0)&amp;" giờ",INT(ROUND($AI281,0)/24)&amp;" ngày"&amp;IF(MOD(ROUND($AI281,0),24)&gt;0," "&amp;MOD(ROUND($AI281,0),24)&amp;" giờ",""))))</f>
      </c>
      <c r="AC281" s="223">
        <f>IF(OR($A281="",N($AH281)=0),"",IF($AI281&lt;&gt;"",IF($AI281&lt;=$AH281,"Trong ước tính","Vượt "&amp;IF(($AI281-$AH281)&lt;1,MAX(1,ROUND(($AI281-$AH281)*60,0))&amp;" phút",IF(ROUND(($AI281-$AH281),0)&lt;24,ROUND(($AI281-$AH281),0)&amp;" giờ",INT(ROUND(($AI281-$AH281),0)/24)&amp;" ngày"&amp;IF(MOD(ROUND(($AI281-$AH281),0),24)&gt;0," "&amp;MOD(ROUND(($AI281-$AH281),0),24)&amp;" giờ","")))),IF(OR($V281="Đã xử lý",N($B281)=0),"",IF((TDBC-$B281)*24&gt;$AH281,"Đã vượt ước tính","Đã dùng "&amp;TEXT((TDBC-$B281)*24/$AH281,"0%")))))</f>
      </c>
      <c r="AD281" s="223">
        <f>IF(N($AO281)=0,"",CHOOSE($AO281,"Nhắc nhở","Cảnh báo","Báo động","Báo động đỏ"))</f>
      </c>
      <c r="AE281" s="223">
        <f>IF(OR(N($AA281)=0,N($U281)=0),"",IF($AA281&lt;=$U281,"Đúng hạn","Trễ hạn"))</f>
      </c>
      <c r="AF281" s="220">
        <f>IF($A281="","",_xlfn.MAXIFS('Nhật ký tiến độ'!$B$6:$B$3005,'Nhật ký tiến độ'!$C$6:$C$3005,$A281))</f>
      </c>
      <c r="AG281" s="223">
        <f>IF($A281="","",IF(COUNTIF('Kế hoạch'!$M$6:$M$305,$A281)=0,"",COUNTIF('Kế hoạch'!$M$6:$M$305,$A281)&amp;" việc"))</f>
      </c>
      <c r="AH281" s="224">
        <f>IF(OR($A281="",N($O281)&lt;=0),"",IF($P281="Giờ",$O281,$O281*24))</f>
      </c>
      <c r="AI281" s="224">
        <f>IF(OR(N($AA281)=0,N($B281)=0),"",IF($AA281&lt;$B281,"",($AA281-$B281)*24))</f>
      </c>
      <c r="AJ281" s="225">
        <f>IF($A281="","",IF(COUNTIF('Nhật ký tiến độ'!$C$6:$C$3005,$A281)=0,0,_xlfn.MAXIFS('Nhật ký tiến độ'!$N$6:$N$3005,'Nhật ký tiến độ'!$C$6:$C$3005,$A281,'Nhật ký tiến độ'!$B$6:$B$3005,_xlfn.MAXIFS('Nhật ký tiến độ'!$B$6:$B$3005,'Nhật ký tiến độ'!$C$6:$C$3005,$A281))))</f>
      </c>
      <c r="AK281" s="225">
        <f>IF(OR($A281="",$V281="Đã xử lý"),"",IF(N($AO281)&gt;0,5-$AO281,IF($J281="Khẩn cấp",5,IF($Y281="Chậm tiến độ",6,IF(OR($Y281="Sắp đến hạn",$J281="Cao"),7,"")))))</f>
      </c>
      <c r="AL281" s="225">
        <f>IF($AK281="","",$AK281*100000+IF(N($U281)=0,99999,INT($U281))+ROW()/100000)</f>
      </c>
      <c r="AM281" s="225">
        <f>IF(OR($A281="",TRIM($K281)="",COUNTIF($K$6:$K281,$K281)&gt;1),0,1)</f>
      </c>
      <c r="AN281" s="225">
        <f>IF($AM281=1,SUM($AM$6:$AM281),"")</f>
      </c>
      <c r="AO281" s="225">
        <f>IF(OR($A281="",$V281="Đã xử lý",N($U281)=0),0,IF(TDBC&lt;=$U281,0,MAX(1,MIN(4,IF((TDBC-$U281)*24&lt;24,1,IF((TDBC-$U281)*24&lt;72,2,IF((TDBC-$U281)*24&lt;168,3,4)))+IFERROR(INDEX({2,1,0,-1},MATCH($J281,{"Khẩn cấp","Cao","Trung bình","Thấp"},0)),0)))))</f>
      </c>
    </row>
    <row r="282">
      <c r="A282" s="216"/>
      <c r="B282" s="217"/>
      <c r="C282" s="218"/>
      <c r="D282" s="218"/>
      <c r="E282" s="218"/>
      <c r="F282" s="218"/>
      <c r="G282" s="216"/>
      <c r="H282" s="218"/>
      <c r="I282" s="218"/>
      <c r="J282" s="216"/>
      <c r="K282" s="218"/>
      <c r="L282" s="218"/>
      <c r="M282" s="218"/>
      <c r="N282" s="218"/>
      <c r="O282" s="219"/>
      <c r="P282" s="216"/>
      <c r="Q282" s="217"/>
      <c r="R282" s="216"/>
      <c r="S282" s="218"/>
      <c r="T282" s="218"/>
      <c r="U282" s="220">
        <f>IF($A282="","",IF(N($Q282)&gt;0,IF(MOD($Q282,1)=0,$Q282+1-1/1440,$Q282),IF(N($B282)=0,"",$B282+IF(N($AH282)&gt;0,$AH282,IFERROR(INDEX(DM_SLA_Gio,MATCH($J282,DM_SLA_Cap,0)),168))/24)))</f>
      </c>
      <c r="V282" s="221">
        <f>IF($A282="","",IF(N($AJ282)=0,"Mới tiếp nhận",INDEX('Nhật ký tiến độ'!$E:$E,$AJ282)))</f>
      </c>
      <c r="W282" s="222">
        <f>IF($A282="","",IF($V282="Đã xử lý",1,IF(N($AJ282)=0,0,N(INDEX('Nhật ký tiến độ'!$D:$D,$AJ282)))))</f>
      </c>
      <c r="X282" s="222">
        <f>IF(OR($A282="",$V282="Đã xử lý",N($U282)=0,N($B282)=0),"",IF(TDBC&lt;=$B282,0,IF(TDBC&gt;=$U282,1,(TDBC-$B282)/($U282-$B282))))</f>
      </c>
      <c r="Y282" s="223">
        <f>IF($A282="","",IF($V282="Đã xử lý","Hoàn thành",IF(N($U282)=0,"Chưa đặt hạn",IF(TDBC&gt;$U282,"Quá hạn",IF(ROUND((N($X282)-$W282)*100,0)&gt;=20,"Chậm tiến độ",IF($U282-TDBC&lt;=1,"Sắp đến hạn","Đúng tiến độ"))))))</f>
      </c>
      <c r="Z282" s="223">
        <f>IF(OR($A282="",$V282="Đã xử lý",N($U282)=0),"",IF(TDBC&gt;$U282,"Quá "&amp;IF(((TDBC-$U282)*24)&lt;1,MAX(1,ROUND(((TDBC-$U282)*24)*60,0))&amp;" phút",IF(ROUND(((TDBC-$U282)*24),0)&lt;24,ROUND(((TDBC-$U282)*24),0)&amp;" giờ",INT(ROUND(((TDBC-$U282)*24),0)/24)&amp;" ngày"&amp;IF(MOD(ROUND(((TDBC-$U282)*24),0),24)&gt;0," "&amp;MOD(ROUND(((TDBC-$U282)*24),0),24)&amp;" giờ",""))),"Còn "&amp;IF((($U282-TDBC)*24)&lt;1,MAX(1,ROUND((($U282-TDBC)*24)*60,0))&amp;" phút",IF(ROUND((($U282-TDBC)*24),0)&lt;24,ROUND((($U282-TDBC)*24),0)&amp;" giờ",INT(ROUND((($U282-TDBC)*24),0)/24)&amp;" ngày"&amp;IF(MOD(ROUND((($U282-TDBC)*24),0),24)&gt;0," "&amp;MOD(ROUND((($U282-TDBC)*24),0),24)&amp;" giờ","")))))</f>
      </c>
      <c r="AA282" s="220">
        <f>IF($V282="Đã xử lý",_xlfn.MAXIFS('Nhật ký tiến độ'!$B$6:$B$3005,'Nhật ký tiến độ'!$C$6:$C$3005,$A282,'Nhật ký tiến độ'!$E$6:$E$3005,"Đã xử lý"),"")</f>
      </c>
      <c r="AB282" s="223">
        <f>IF($AI282="","",IF($AI282&lt;1,MAX(1,ROUND($AI282*60,0))&amp;" phút",IF(ROUND($AI282,0)&lt;24,ROUND($AI282,0)&amp;" giờ",INT(ROUND($AI282,0)/24)&amp;" ngày"&amp;IF(MOD(ROUND($AI282,0),24)&gt;0," "&amp;MOD(ROUND($AI282,0),24)&amp;" giờ",""))))</f>
      </c>
      <c r="AC282" s="223">
        <f>IF(OR($A282="",N($AH282)=0),"",IF($AI282&lt;&gt;"",IF($AI282&lt;=$AH282,"Trong ước tính","Vượt "&amp;IF(($AI282-$AH282)&lt;1,MAX(1,ROUND(($AI282-$AH282)*60,0))&amp;" phút",IF(ROUND(($AI282-$AH282),0)&lt;24,ROUND(($AI282-$AH282),0)&amp;" giờ",INT(ROUND(($AI282-$AH282),0)/24)&amp;" ngày"&amp;IF(MOD(ROUND(($AI282-$AH282),0),24)&gt;0," "&amp;MOD(ROUND(($AI282-$AH282),0),24)&amp;" giờ","")))),IF(OR($V282="Đã xử lý",N($B282)=0),"",IF((TDBC-$B282)*24&gt;$AH282,"Đã vượt ước tính","Đã dùng "&amp;TEXT((TDBC-$B282)*24/$AH282,"0%")))))</f>
      </c>
      <c r="AD282" s="223">
        <f>IF(N($AO282)=0,"",CHOOSE($AO282,"Nhắc nhở","Cảnh báo","Báo động","Báo động đỏ"))</f>
      </c>
      <c r="AE282" s="223">
        <f>IF(OR(N($AA282)=0,N($U282)=0),"",IF($AA282&lt;=$U282,"Đúng hạn","Trễ hạn"))</f>
      </c>
      <c r="AF282" s="220">
        <f>IF($A282="","",_xlfn.MAXIFS('Nhật ký tiến độ'!$B$6:$B$3005,'Nhật ký tiến độ'!$C$6:$C$3005,$A282))</f>
      </c>
      <c r="AG282" s="223">
        <f>IF($A282="","",IF(COUNTIF('Kế hoạch'!$M$6:$M$305,$A282)=0,"",COUNTIF('Kế hoạch'!$M$6:$M$305,$A282)&amp;" việc"))</f>
      </c>
      <c r="AH282" s="224">
        <f>IF(OR($A282="",N($O282)&lt;=0),"",IF($P282="Giờ",$O282,$O282*24))</f>
      </c>
      <c r="AI282" s="224">
        <f>IF(OR(N($AA282)=0,N($B282)=0),"",IF($AA282&lt;$B282,"",($AA282-$B282)*24))</f>
      </c>
      <c r="AJ282" s="225">
        <f>IF($A282="","",IF(COUNTIF('Nhật ký tiến độ'!$C$6:$C$3005,$A282)=0,0,_xlfn.MAXIFS('Nhật ký tiến độ'!$N$6:$N$3005,'Nhật ký tiến độ'!$C$6:$C$3005,$A282,'Nhật ký tiến độ'!$B$6:$B$3005,_xlfn.MAXIFS('Nhật ký tiến độ'!$B$6:$B$3005,'Nhật ký tiến độ'!$C$6:$C$3005,$A282))))</f>
      </c>
      <c r="AK282" s="225">
        <f>IF(OR($A282="",$V282="Đã xử lý"),"",IF(N($AO282)&gt;0,5-$AO282,IF($J282="Khẩn cấp",5,IF($Y282="Chậm tiến độ",6,IF(OR($Y282="Sắp đến hạn",$J282="Cao"),7,"")))))</f>
      </c>
      <c r="AL282" s="225">
        <f>IF($AK282="","",$AK282*100000+IF(N($U282)=0,99999,INT($U282))+ROW()/100000)</f>
      </c>
      <c r="AM282" s="225">
        <f>IF(OR($A282="",TRIM($K282)="",COUNTIF($K$6:$K282,$K282)&gt;1),0,1)</f>
      </c>
      <c r="AN282" s="225">
        <f>IF($AM282=1,SUM($AM$6:$AM282),"")</f>
      </c>
      <c r="AO282" s="225">
        <f>IF(OR($A282="",$V282="Đã xử lý",N($U282)=0),0,IF(TDBC&lt;=$U282,0,MAX(1,MIN(4,IF((TDBC-$U282)*24&lt;24,1,IF((TDBC-$U282)*24&lt;72,2,IF((TDBC-$U282)*24&lt;168,3,4)))+IFERROR(INDEX({2,1,0,-1},MATCH($J282,{"Khẩn cấp","Cao","Trung bình","Thấp"},0)),0)))))</f>
      </c>
    </row>
    <row r="283">
      <c r="A283" s="216"/>
      <c r="B283" s="217"/>
      <c r="C283" s="218"/>
      <c r="D283" s="218"/>
      <c r="E283" s="218"/>
      <c r="F283" s="218"/>
      <c r="G283" s="216"/>
      <c r="H283" s="218"/>
      <c r="I283" s="218"/>
      <c r="J283" s="216"/>
      <c r="K283" s="218"/>
      <c r="L283" s="218"/>
      <c r="M283" s="218"/>
      <c r="N283" s="218"/>
      <c r="O283" s="219"/>
      <c r="P283" s="216"/>
      <c r="Q283" s="217"/>
      <c r="R283" s="216"/>
      <c r="S283" s="218"/>
      <c r="T283" s="218"/>
      <c r="U283" s="220">
        <f>IF($A283="","",IF(N($Q283)&gt;0,IF(MOD($Q283,1)=0,$Q283+1-1/1440,$Q283),IF(N($B283)=0,"",$B283+IF(N($AH283)&gt;0,$AH283,IFERROR(INDEX(DM_SLA_Gio,MATCH($J283,DM_SLA_Cap,0)),168))/24)))</f>
      </c>
      <c r="V283" s="221">
        <f>IF($A283="","",IF(N($AJ283)=0,"Mới tiếp nhận",INDEX('Nhật ký tiến độ'!$E:$E,$AJ283)))</f>
      </c>
      <c r="W283" s="222">
        <f>IF($A283="","",IF($V283="Đã xử lý",1,IF(N($AJ283)=0,0,N(INDEX('Nhật ký tiến độ'!$D:$D,$AJ283)))))</f>
      </c>
      <c r="X283" s="222">
        <f>IF(OR($A283="",$V283="Đã xử lý",N($U283)=0,N($B283)=0),"",IF(TDBC&lt;=$B283,0,IF(TDBC&gt;=$U283,1,(TDBC-$B283)/($U283-$B283))))</f>
      </c>
      <c r="Y283" s="223">
        <f>IF($A283="","",IF($V283="Đã xử lý","Hoàn thành",IF(N($U283)=0,"Chưa đặt hạn",IF(TDBC&gt;$U283,"Quá hạn",IF(ROUND((N($X283)-$W283)*100,0)&gt;=20,"Chậm tiến độ",IF($U283-TDBC&lt;=1,"Sắp đến hạn","Đúng tiến độ"))))))</f>
      </c>
      <c r="Z283" s="223">
        <f>IF(OR($A283="",$V283="Đã xử lý",N($U283)=0),"",IF(TDBC&gt;$U283,"Quá "&amp;IF(((TDBC-$U283)*24)&lt;1,MAX(1,ROUND(((TDBC-$U283)*24)*60,0))&amp;" phút",IF(ROUND(((TDBC-$U283)*24),0)&lt;24,ROUND(((TDBC-$U283)*24),0)&amp;" giờ",INT(ROUND(((TDBC-$U283)*24),0)/24)&amp;" ngày"&amp;IF(MOD(ROUND(((TDBC-$U283)*24),0),24)&gt;0," "&amp;MOD(ROUND(((TDBC-$U283)*24),0),24)&amp;" giờ",""))),"Còn "&amp;IF((($U283-TDBC)*24)&lt;1,MAX(1,ROUND((($U283-TDBC)*24)*60,0))&amp;" phút",IF(ROUND((($U283-TDBC)*24),0)&lt;24,ROUND((($U283-TDBC)*24),0)&amp;" giờ",INT(ROUND((($U283-TDBC)*24),0)/24)&amp;" ngày"&amp;IF(MOD(ROUND((($U283-TDBC)*24),0),24)&gt;0," "&amp;MOD(ROUND((($U283-TDBC)*24),0),24)&amp;" giờ","")))))</f>
      </c>
      <c r="AA283" s="220">
        <f>IF($V283="Đã xử lý",_xlfn.MAXIFS('Nhật ký tiến độ'!$B$6:$B$3005,'Nhật ký tiến độ'!$C$6:$C$3005,$A283,'Nhật ký tiến độ'!$E$6:$E$3005,"Đã xử lý"),"")</f>
      </c>
      <c r="AB283" s="223">
        <f>IF($AI283="","",IF($AI283&lt;1,MAX(1,ROUND($AI283*60,0))&amp;" phút",IF(ROUND($AI283,0)&lt;24,ROUND($AI283,0)&amp;" giờ",INT(ROUND($AI283,0)/24)&amp;" ngày"&amp;IF(MOD(ROUND($AI283,0),24)&gt;0," "&amp;MOD(ROUND($AI283,0),24)&amp;" giờ",""))))</f>
      </c>
      <c r="AC283" s="223">
        <f>IF(OR($A283="",N($AH283)=0),"",IF($AI283&lt;&gt;"",IF($AI283&lt;=$AH283,"Trong ước tính","Vượt "&amp;IF(($AI283-$AH283)&lt;1,MAX(1,ROUND(($AI283-$AH283)*60,0))&amp;" phút",IF(ROUND(($AI283-$AH283),0)&lt;24,ROUND(($AI283-$AH283),0)&amp;" giờ",INT(ROUND(($AI283-$AH283),0)/24)&amp;" ngày"&amp;IF(MOD(ROUND(($AI283-$AH283),0),24)&gt;0," "&amp;MOD(ROUND(($AI283-$AH283),0),24)&amp;" giờ","")))),IF(OR($V283="Đã xử lý",N($B283)=0),"",IF((TDBC-$B283)*24&gt;$AH283,"Đã vượt ước tính","Đã dùng "&amp;TEXT((TDBC-$B283)*24/$AH283,"0%")))))</f>
      </c>
      <c r="AD283" s="223">
        <f>IF(N($AO283)=0,"",CHOOSE($AO283,"Nhắc nhở","Cảnh báo","Báo động","Báo động đỏ"))</f>
      </c>
      <c r="AE283" s="223">
        <f>IF(OR(N($AA283)=0,N($U283)=0),"",IF($AA283&lt;=$U283,"Đúng hạn","Trễ hạn"))</f>
      </c>
      <c r="AF283" s="220">
        <f>IF($A283="","",_xlfn.MAXIFS('Nhật ký tiến độ'!$B$6:$B$3005,'Nhật ký tiến độ'!$C$6:$C$3005,$A283))</f>
      </c>
      <c r="AG283" s="223">
        <f>IF($A283="","",IF(COUNTIF('Kế hoạch'!$M$6:$M$305,$A283)=0,"",COUNTIF('Kế hoạch'!$M$6:$M$305,$A283)&amp;" việc"))</f>
      </c>
      <c r="AH283" s="224">
        <f>IF(OR($A283="",N($O283)&lt;=0),"",IF($P283="Giờ",$O283,$O283*24))</f>
      </c>
      <c r="AI283" s="224">
        <f>IF(OR(N($AA283)=0,N($B283)=0),"",IF($AA283&lt;$B283,"",($AA283-$B283)*24))</f>
      </c>
      <c r="AJ283" s="225">
        <f>IF($A283="","",IF(COUNTIF('Nhật ký tiến độ'!$C$6:$C$3005,$A283)=0,0,_xlfn.MAXIFS('Nhật ký tiến độ'!$N$6:$N$3005,'Nhật ký tiến độ'!$C$6:$C$3005,$A283,'Nhật ký tiến độ'!$B$6:$B$3005,_xlfn.MAXIFS('Nhật ký tiến độ'!$B$6:$B$3005,'Nhật ký tiến độ'!$C$6:$C$3005,$A283))))</f>
      </c>
      <c r="AK283" s="225">
        <f>IF(OR($A283="",$V283="Đã xử lý"),"",IF(N($AO283)&gt;0,5-$AO283,IF($J283="Khẩn cấp",5,IF($Y283="Chậm tiến độ",6,IF(OR($Y283="Sắp đến hạn",$J283="Cao"),7,"")))))</f>
      </c>
      <c r="AL283" s="225">
        <f>IF($AK283="","",$AK283*100000+IF(N($U283)=0,99999,INT($U283))+ROW()/100000)</f>
      </c>
      <c r="AM283" s="225">
        <f>IF(OR($A283="",TRIM($K283)="",COUNTIF($K$6:$K283,$K283)&gt;1),0,1)</f>
      </c>
      <c r="AN283" s="225">
        <f>IF($AM283=1,SUM($AM$6:$AM283),"")</f>
      </c>
      <c r="AO283" s="225">
        <f>IF(OR($A283="",$V283="Đã xử lý",N($U283)=0),0,IF(TDBC&lt;=$U283,0,MAX(1,MIN(4,IF((TDBC-$U283)*24&lt;24,1,IF((TDBC-$U283)*24&lt;72,2,IF((TDBC-$U283)*24&lt;168,3,4)))+IFERROR(INDEX({2,1,0,-1},MATCH($J283,{"Khẩn cấp","Cao","Trung bình","Thấp"},0)),0)))))</f>
      </c>
    </row>
    <row r="284">
      <c r="A284" s="216"/>
      <c r="B284" s="217"/>
      <c r="C284" s="218"/>
      <c r="D284" s="218"/>
      <c r="E284" s="218"/>
      <c r="F284" s="218"/>
      <c r="G284" s="216"/>
      <c r="H284" s="218"/>
      <c r="I284" s="218"/>
      <c r="J284" s="216"/>
      <c r="K284" s="218"/>
      <c r="L284" s="218"/>
      <c r="M284" s="218"/>
      <c r="N284" s="218"/>
      <c r="O284" s="219"/>
      <c r="P284" s="216"/>
      <c r="Q284" s="217"/>
      <c r="R284" s="216"/>
      <c r="S284" s="218"/>
      <c r="T284" s="218"/>
      <c r="U284" s="220">
        <f>IF($A284="","",IF(N($Q284)&gt;0,IF(MOD($Q284,1)=0,$Q284+1-1/1440,$Q284),IF(N($B284)=0,"",$B284+IF(N($AH284)&gt;0,$AH284,IFERROR(INDEX(DM_SLA_Gio,MATCH($J284,DM_SLA_Cap,0)),168))/24)))</f>
      </c>
      <c r="V284" s="221">
        <f>IF($A284="","",IF(N($AJ284)=0,"Mới tiếp nhận",INDEX('Nhật ký tiến độ'!$E:$E,$AJ284)))</f>
      </c>
      <c r="W284" s="222">
        <f>IF($A284="","",IF($V284="Đã xử lý",1,IF(N($AJ284)=0,0,N(INDEX('Nhật ký tiến độ'!$D:$D,$AJ284)))))</f>
      </c>
      <c r="X284" s="222">
        <f>IF(OR($A284="",$V284="Đã xử lý",N($U284)=0,N($B284)=0),"",IF(TDBC&lt;=$B284,0,IF(TDBC&gt;=$U284,1,(TDBC-$B284)/($U284-$B284))))</f>
      </c>
      <c r="Y284" s="223">
        <f>IF($A284="","",IF($V284="Đã xử lý","Hoàn thành",IF(N($U284)=0,"Chưa đặt hạn",IF(TDBC&gt;$U284,"Quá hạn",IF(ROUND((N($X284)-$W284)*100,0)&gt;=20,"Chậm tiến độ",IF($U284-TDBC&lt;=1,"Sắp đến hạn","Đúng tiến độ"))))))</f>
      </c>
      <c r="Z284" s="223">
        <f>IF(OR($A284="",$V284="Đã xử lý",N($U284)=0),"",IF(TDBC&gt;$U284,"Quá "&amp;IF(((TDBC-$U284)*24)&lt;1,MAX(1,ROUND(((TDBC-$U284)*24)*60,0))&amp;" phút",IF(ROUND(((TDBC-$U284)*24),0)&lt;24,ROUND(((TDBC-$U284)*24),0)&amp;" giờ",INT(ROUND(((TDBC-$U284)*24),0)/24)&amp;" ngày"&amp;IF(MOD(ROUND(((TDBC-$U284)*24),0),24)&gt;0," "&amp;MOD(ROUND(((TDBC-$U284)*24),0),24)&amp;" giờ",""))),"Còn "&amp;IF((($U284-TDBC)*24)&lt;1,MAX(1,ROUND((($U284-TDBC)*24)*60,0))&amp;" phút",IF(ROUND((($U284-TDBC)*24),0)&lt;24,ROUND((($U284-TDBC)*24),0)&amp;" giờ",INT(ROUND((($U284-TDBC)*24),0)/24)&amp;" ngày"&amp;IF(MOD(ROUND((($U284-TDBC)*24),0),24)&gt;0," "&amp;MOD(ROUND((($U284-TDBC)*24),0),24)&amp;" giờ","")))))</f>
      </c>
      <c r="AA284" s="220">
        <f>IF($V284="Đã xử lý",_xlfn.MAXIFS('Nhật ký tiến độ'!$B$6:$B$3005,'Nhật ký tiến độ'!$C$6:$C$3005,$A284,'Nhật ký tiến độ'!$E$6:$E$3005,"Đã xử lý"),"")</f>
      </c>
      <c r="AB284" s="223">
        <f>IF($AI284="","",IF($AI284&lt;1,MAX(1,ROUND($AI284*60,0))&amp;" phút",IF(ROUND($AI284,0)&lt;24,ROUND($AI284,0)&amp;" giờ",INT(ROUND($AI284,0)/24)&amp;" ngày"&amp;IF(MOD(ROUND($AI284,0),24)&gt;0," "&amp;MOD(ROUND($AI284,0),24)&amp;" giờ",""))))</f>
      </c>
      <c r="AC284" s="223">
        <f>IF(OR($A284="",N($AH284)=0),"",IF($AI284&lt;&gt;"",IF($AI284&lt;=$AH284,"Trong ước tính","Vượt "&amp;IF(($AI284-$AH284)&lt;1,MAX(1,ROUND(($AI284-$AH284)*60,0))&amp;" phút",IF(ROUND(($AI284-$AH284),0)&lt;24,ROUND(($AI284-$AH284),0)&amp;" giờ",INT(ROUND(($AI284-$AH284),0)/24)&amp;" ngày"&amp;IF(MOD(ROUND(($AI284-$AH284),0),24)&gt;0," "&amp;MOD(ROUND(($AI284-$AH284),0),24)&amp;" giờ","")))),IF(OR($V284="Đã xử lý",N($B284)=0),"",IF((TDBC-$B284)*24&gt;$AH284,"Đã vượt ước tính","Đã dùng "&amp;TEXT((TDBC-$B284)*24/$AH284,"0%")))))</f>
      </c>
      <c r="AD284" s="223">
        <f>IF(N($AO284)=0,"",CHOOSE($AO284,"Nhắc nhở","Cảnh báo","Báo động","Báo động đỏ"))</f>
      </c>
      <c r="AE284" s="223">
        <f>IF(OR(N($AA284)=0,N($U284)=0),"",IF($AA284&lt;=$U284,"Đúng hạn","Trễ hạn"))</f>
      </c>
      <c r="AF284" s="220">
        <f>IF($A284="","",_xlfn.MAXIFS('Nhật ký tiến độ'!$B$6:$B$3005,'Nhật ký tiến độ'!$C$6:$C$3005,$A284))</f>
      </c>
      <c r="AG284" s="223">
        <f>IF($A284="","",IF(COUNTIF('Kế hoạch'!$M$6:$M$305,$A284)=0,"",COUNTIF('Kế hoạch'!$M$6:$M$305,$A284)&amp;" việc"))</f>
      </c>
      <c r="AH284" s="224">
        <f>IF(OR($A284="",N($O284)&lt;=0),"",IF($P284="Giờ",$O284,$O284*24))</f>
      </c>
      <c r="AI284" s="224">
        <f>IF(OR(N($AA284)=0,N($B284)=0),"",IF($AA284&lt;$B284,"",($AA284-$B284)*24))</f>
      </c>
      <c r="AJ284" s="225">
        <f>IF($A284="","",IF(COUNTIF('Nhật ký tiến độ'!$C$6:$C$3005,$A284)=0,0,_xlfn.MAXIFS('Nhật ký tiến độ'!$N$6:$N$3005,'Nhật ký tiến độ'!$C$6:$C$3005,$A284,'Nhật ký tiến độ'!$B$6:$B$3005,_xlfn.MAXIFS('Nhật ký tiến độ'!$B$6:$B$3005,'Nhật ký tiến độ'!$C$6:$C$3005,$A284))))</f>
      </c>
      <c r="AK284" s="225">
        <f>IF(OR($A284="",$V284="Đã xử lý"),"",IF(N($AO284)&gt;0,5-$AO284,IF($J284="Khẩn cấp",5,IF($Y284="Chậm tiến độ",6,IF(OR($Y284="Sắp đến hạn",$J284="Cao"),7,"")))))</f>
      </c>
      <c r="AL284" s="225">
        <f>IF($AK284="","",$AK284*100000+IF(N($U284)=0,99999,INT($U284))+ROW()/100000)</f>
      </c>
      <c r="AM284" s="225">
        <f>IF(OR($A284="",TRIM($K284)="",COUNTIF($K$6:$K284,$K284)&gt;1),0,1)</f>
      </c>
      <c r="AN284" s="225">
        <f>IF($AM284=1,SUM($AM$6:$AM284),"")</f>
      </c>
      <c r="AO284" s="225">
        <f>IF(OR($A284="",$V284="Đã xử lý",N($U284)=0),0,IF(TDBC&lt;=$U284,0,MAX(1,MIN(4,IF((TDBC-$U284)*24&lt;24,1,IF((TDBC-$U284)*24&lt;72,2,IF((TDBC-$U284)*24&lt;168,3,4)))+IFERROR(INDEX({2,1,0,-1},MATCH($J284,{"Khẩn cấp","Cao","Trung bình","Thấp"},0)),0)))))</f>
      </c>
    </row>
    <row r="285">
      <c r="A285" s="216"/>
      <c r="B285" s="217"/>
      <c r="C285" s="218"/>
      <c r="D285" s="218"/>
      <c r="E285" s="218"/>
      <c r="F285" s="218"/>
      <c r="G285" s="216"/>
      <c r="H285" s="218"/>
      <c r="I285" s="218"/>
      <c r="J285" s="216"/>
      <c r="K285" s="218"/>
      <c r="L285" s="218"/>
      <c r="M285" s="218"/>
      <c r="N285" s="218"/>
      <c r="O285" s="219"/>
      <c r="P285" s="216"/>
      <c r="Q285" s="217"/>
      <c r="R285" s="216"/>
      <c r="S285" s="218"/>
      <c r="T285" s="218"/>
      <c r="U285" s="220">
        <f>IF($A285="","",IF(N($Q285)&gt;0,IF(MOD($Q285,1)=0,$Q285+1-1/1440,$Q285),IF(N($B285)=0,"",$B285+IF(N($AH285)&gt;0,$AH285,IFERROR(INDEX(DM_SLA_Gio,MATCH($J285,DM_SLA_Cap,0)),168))/24)))</f>
      </c>
      <c r="V285" s="221">
        <f>IF($A285="","",IF(N($AJ285)=0,"Mới tiếp nhận",INDEX('Nhật ký tiến độ'!$E:$E,$AJ285)))</f>
      </c>
      <c r="W285" s="222">
        <f>IF($A285="","",IF($V285="Đã xử lý",1,IF(N($AJ285)=0,0,N(INDEX('Nhật ký tiến độ'!$D:$D,$AJ285)))))</f>
      </c>
      <c r="X285" s="222">
        <f>IF(OR($A285="",$V285="Đã xử lý",N($U285)=0,N($B285)=0),"",IF(TDBC&lt;=$B285,0,IF(TDBC&gt;=$U285,1,(TDBC-$B285)/($U285-$B285))))</f>
      </c>
      <c r="Y285" s="223">
        <f>IF($A285="","",IF($V285="Đã xử lý","Hoàn thành",IF(N($U285)=0,"Chưa đặt hạn",IF(TDBC&gt;$U285,"Quá hạn",IF(ROUND((N($X285)-$W285)*100,0)&gt;=20,"Chậm tiến độ",IF($U285-TDBC&lt;=1,"Sắp đến hạn","Đúng tiến độ"))))))</f>
      </c>
      <c r="Z285" s="223">
        <f>IF(OR($A285="",$V285="Đã xử lý",N($U285)=0),"",IF(TDBC&gt;$U285,"Quá "&amp;IF(((TDBC-$U285)*24)&lt;1,MAX(1,ROUND(((TDBC-$U285)*24)*60,0))&amp;" phút",IF(ROUND(((TDBC-$U285)*24),0)&lt;24,ROUND(((TDBC-$U285)*24),0)&amp;" giờ",INT(ROUND(((TDBC-$U285)*24),0)/24)&amp;" ngày"&amp;IF(MOD(ROUND(((TDBC-$U285)*24),0),24)&gt;0," "&amp;MOD(ROUND(((TDBC-$U285)*24),0),24)&amp;" giờ",""))),"Còn "&amp;IF((($U285-TDBC)*24)&lt;1,MAX(1,ROUND((($U285-TDBC)*24)*60,0))&amp;" phút",IF(ROUND((($U285-TDBC)*24),0)&lt;24,ROUND((($U285-TDBC)*24),0)&amp;" giờ",INT(ROUND((($U285-TDBC)*24),0)/24)&amp;" ngày"&amp;IF(MOD(ROUND((($U285-TDBC)*24),0),24)&gt;0," "&amp;MOD(ROUND((($U285-TDBC)*24),0),24)&amp;" giờ","")))))</f>
      </c>
      <c r="AA285" s="220">
        <f>IF($V285="Đã xử lý",_xlfn.MAXIFS('Nhật ký tiến độ'!$B$6:$B$3005,'Nhật ký tiến độ'!$C$6:$C$3005,$A285,'Nhật ký tiến độ'!$E$6:$E$3005,"Đã xử lý"),"")</f>
      </c>
      <c r="AB285" s="223">
        <f>IF($AI285="","",IF($AI285&lt;1,MAX(1,ROUND($AI285*60,0))&amp;" phút",IF(ROUND($AI285,0)&lt;24,ROUND($AI285,0)&amp;" giờ",INT(ROUND($AI285,0)/24)&amp;" ngày"&amp;IF(MOD(ROUND($AI285,0),24)&gt;0," "&amp;MOD(ROUND($AI285,0),24)&amp;" giờ",""))))</f>
      </c>
      <c r="AC285" s="223">
        <f>IF(OR($A285="",N($AH285)=0),"",IF($AI285&lt;&gt;"",IF($AI285&lt;=$AH285,"Trong ước tính","Vượt "&amp;IF(($AI285-$AH285)&lt;1,MAX(1,ROUND(($AI285-$AH285)*60,0))&amp;" phút",IF(ROUND(($AI285-$AH285),0)&lt;24,ROUND(($AI285-$AH285),0)&amp;" giờ",INT(ROUND(($AI285-$AH285),0)/24)&amp;" ngày"&amp;IF(MOD(ROUND(($AI285-$AH285),0),24)&gt;0," "&amp;MOD(ROUND(($AI285-$AH285),0),24)&amp;" giờ","")))),IF(OR($V285="Đã xử lý",N($B285)=0),"",IF((TDBC-$B285)*24&gt;$AH285,"Đã vượt ước tính","Đã dùng "&amp;TEXT((TDBC-$B285)*24/$AH285,"0%")))))</f>
      </c>
      <c r="AD285" s="223">
        <f>IF(N($AO285)=0,"",CHOOSE($AO285,"Nhắc nhở","Cảnh báo","Báo động","Báo động đỏ"))</f>
      </c>
      <c r="AE285" s="223">
        <f>IF(OR(N($AA285)=0,N($U285)=0),"",IF($AA285&lt;=$U285,"Đúng hạn","Trễ hạn"))</f>
      </c>
      <c r="AF285" s="220">
        <f>IF($A285="","",_xlfn.MAXIFS('Nhật ký tiến độ'!$B$6:$B$3005,'Nhật ký tiến độ'!$C$6:$C$3005,$A285))</f>
      </c>
      <c r="AG285" s="223">
        <f>IF($A285="","",IF(COUNTIF('Kế hoạch'!$M$6:$M$305,$A285)=0,"",COUNTIF('Kế hoạch'!$M$6:$M$305,$A285)&amp;" việc"))</f>
      </c>
      <c r="AH285" s="224">
        <f>IF(OR($A285="",N($O285)&lt;=0),"",IF($P285="Giờ",$O285,$O285*24))</f>
      </c>
      <c r="AI285" s="224">
        <f>IF(OR(N($AA285)=0,N($B285)=0),"",IF($AA285&lt;$B285,"",($AA285-$B285)*24))</f>
      </c>
      <c r="AJ285" s="225">
        <f>IF($A285="","",IF(COUNTIF('Nhật ký tiến độ'!$C$6:$C$3005,$A285)=0,0,_xlfn.MAXIFS('Nhật ký tiến độ'!$N$6:$N$3005,'Nhật ký tiến độ'!$C$6:$C$3005,$A285,'Nhật ký tiến độ'!$B$6:$B$3005,_xlfn.MAXIFS('Nhật ký tiến độ'!$B$6:$B$3005,'Nhật ký tiến độ'!$C$6:$C$3005,$A285))))</f>
      </c>
      <c r="AK285" s="225">
        <f>IF(OR($A285="",$V285="Đã xử lý"),"",IF(N($AO285)&gt;0,5-$AO285,IF($J285="Khẩn cấp",5,IF($Y285="Chậm tiến độ",6,IF(OR($Y285="Sắp đến hạn",$J285="Cao"),7,"")))))</f>
      </c>
      <c r="AL285" s="225">
        <f>IF($AK285="","",$AK285*100000+IF(N($U285)=0,99999,INT($U285))+ROW()/100000)</f>
      </c>
      <c r="AM285" s="225">
        <f>IF(OR($A285="",TRIM($K285)="",COUNTIF($K$6:$K285,$K285)&gt;1),0,1)</f>
      </c>
      <c r="AN285" s="225">
        <f>IF($AM285=1,SUM($AM$6:$AM285),"")</f>
      </c>
      <c r="AO285" s="225">
        <f>IF(OR($A285="",$V285="Đã xử lý",N($U285)=0),0,IF(TDBC&lt;=$U285,0,MAX(1,MIN(4,IF((TDBC-$U285)*24&lt;24,1,IF((TDBC-$U285)*24&lt;72,2,IF((TDBC-$U285)*24&lt;168,3,4)))+IFERROR(INDEX({2,1,0,-1},MATCH($J285,{"Khẩn cấp","Cao","Trung bình","Thấp"},0)),0)))))</f>
      </c>
    </row>
    <row r="286">
      <c r="A286" s="216"/>
      <c r="B286" s="217"/>
      <c r="C286" s="218"/>
      <c r="D286" s="218"/>
      <c r="E286" s="218"/>
      <c r="F286" s="218"/>
      <c r="G286" s="216"/>
      <c r="H286" s="218"/>
      <c r="I286" s="218"/>
      <c r="J286" s="216"/>
      <c r="K286" s="218"/>
      <c r="L286" s="218"/>
      <c r="M286" s="218"/>
      <c r="N286" s="218"/>
      <c r="O286" s="219"/>
      <c r="P286" s="216"/>
      <c r="Q286" s="217"/>
      <c r="R286" s="216"/>
      <c r="S286" s="218"/>
      <c r="T286" s="218"/>
      <c r="U286" s="220">
        <f>IF($A286="","",IF(N($Q286)&gt;0,IF(MOD($Q286,1)=0,$Q286+1-1/1440,$Q286),IF(N($B286)=0,"",$B286+IF(N($AH286)&gt;0,$AH286,IFERROR(INDEX(DM_SLA_Gio,MATCH($J286,DM_SLA_Cap,0)),168))/24)))</f>
      </c>
      <c r="V286" s="221">
        <f>IF($A286="","",IF(N($AJ286)=0,"Mới tiếp nhận",INDEX('Nhật ký tiến độ'!$E:$E,$AJ286)))</f>
      </c>
      <c r="W286" s="222">
        <f>IF($A286="","",IF($V286="Đã xử lý",1,IF(N($AJ286)=0,0,N(INDEX('Nhật ký tiến độ'!$D:$D,$AJ286)))))</f>
      </c>
      <c r="X286" s="222">
        <f>IF(OR($A286="",$V286="Đã xử lý",N($U286)=0,N($B286)=0),"",IF(TDBC&lt;=$B286,0,IF(TDBC&gt;=$U286,1,(TDBC-$B286)/($U286-$B286))))</f>
      </c>
      <c r="Y286" s="223">
        <f>IF($A286="","",IF($V286="Đã xử lý","Hoàn thành",IF(N($U286)=0,"Chưa đặt hạn",IF(TDBC&gt;$U286,"Quá hạn",IF(ROUND((N($X286)-$W286)*100,0)&gt;=20,"Chậm tiến độ",IF($U286-TDBC&lt;=1,"Sắp đến hạn","Đúng tiến độ"))))))</f>
      </c>
      <c r="Z286" s="223">
        <f>IF(OR($A286="",$V286="Đã xử lý",N($U286)=0),"",IF(TDBC&gt;$U286,"Quá "&amp;IF(((TDBC-$U286)*24)&lt;1,MAX(1,ROUND(((TDBC-$U286)*24)*60,0))&amp;" phút",IF(ROUND(((TDBC-$U286)*24),0)&lt;24,ROUND(((TDBC-$U286)*24),0)&amp;" giờ",INT(ROUND(((TDBC-$U286)*24),0)/24)&amp;" ngày"&amp;IF(MOD(ROUND(((TDBC-$U286)*24),0),24)&gt;0," "&amp;MOD(ROUND(((TDBC-$U286)*24),0),24)&amp;" giờ",""))),"Còn "&amp;IF((($U286-TDBC)*24)&lt;1,MAX(1,ROUND((($U286-TDBC)*24)*60,0))&amp;" phút",IF(ROUND((($U286-TDBC)*24),0)&lt;24,ROUND((($U286-TDBC)*24),0)&amp;" giờ",INT(ROUND((($U286-TDBC)*24),0)/24)&amp;" ngày"&amp;IF(MOD(ROUND((($U286-TDBC)*24),0),24)&gt;0," "&amp;MOD(ROUND((($U286-TDBC)*24),0),24)&amp;" giờ","")))))</f>
      </c>
      <c r="AA286" s="220">
        <f>IF($V286="Đã xử lý",_xlfn.MAXIFS('Nhật ký tiến độ'!$B$6:$B$3005,'Nhật ký tiến độ'!$C$6:$C$3005,$A286,'Nhật ký tiến độ'!$E$6:$E$3005,"Đã xử lý"),"")</f>
      </c>
      <c r="AB286" s="223">
        <f>IF($AI286="","",IF($AI286&lt;1,MAX(1,ROUND($AI286*60,0))&amp;" phút",IF(ROUND($AI286,0)&lt;24,ROUND($AI286,0)&amp;" giờ",INT(ROUND($AI286,0)/24)&amp;" ngày"&amp;IF(MOD(ROUND($AI286,0),24)&gt;0," "&amp;MOD(ROUND($AI286,0),24)&amp;" giờ",""))))</f>
      </c>
      <c r="AC286" s="223">
        <f>IF(OR($A286="",N($AH286)=0),"",IF($AI286&lt;&gt;"",IF($AI286&lt;=$AH286,"Trong ước tính","Vượt "&amp;IF(($AI286-$AH286)&lt;1,MAX(1,ROUND(($AI286-$AH286)*60,0))&amp;" phút",IF(ROUND(($AI286-$AH286),0)&lt;24,ROUND(($AI286-$AH286),0)&amp;" giờ",INT(ROUND(($AI286-$AH286),0)/24)&amp;" ngày"&amp;IF(MOD(ROUND(($AI286-$AH286),0),24)&gt;0," "&amp;MOD(ROUND(($AI286-$AH286),0),24)&amp;" giờ","")))),IF(OR($V286="Đã xử lý",N($B286)=0),"",IF((TDBC-$B286)*24&gt;$AH286,"Đã vượt ước tính","Đã dùng "&amp;TEXT((TDBC-$B286)*24/$AH286,"0%")))))</f>
      </c>
      <c r="AD286" s="223">
        <f>IF(N($AO286)=0,"",CHOOSE($AO286,"Nhắc nhở","Cảnh báo","Báo động","Báo động đỏ"))</f>
      </c>
      <c r="AE286" s="223">
        <f>IF(OR(N($AA286)=0,N($U286)=0),"",IF($AA286&lt;=$U286,"Đúng hạn","Trễ hạn"))</f>
      </c>
      <c r="AF286" s="220">
        <f>IF($A286="","",_xlfn.MAXIFS('Nhật ký tiến độ'!$B$6:$B$3005,'Nhật ký tiến độ'!$C$6:$C$3005,$A286))</f>
      </c>
      <c r="AG286" s="223">
        <f>IF($A286="","",IF(COUNTIF('Kế hoạch'!$M$6:$M$305,$A286)=0,"",COUNTIF('Kế hoạch'!$M$6:$M$305,$A286)&amp;" việc"))</f>
      </c>
      <c r="AH286" s="224">
        <f>IF(OR($A286="",N($O286)&lt;=0),"",IF($P286="Giờ",$O286,$O286*24))</f>
      </c>
      <c r="AI286" s="224">
        <f>IF(OR(N($AA286)=0,N($B286)=0),"",IF($AA286&lt;$B286,"",($AA286-$B286)*24))</f>
      </c>
      <c r="AJ286" s="225">
        <f>IF($A286="","",IF(COUNTIF('Nhật ký tiến độ'!$C$6:$C$3005,$A286)=0,0,_xlfn.MAXIFS('Nhật ký tiến độ'!$N$6:$N$3005,'Nhật ký tiến độ'!$C$6:$C$3005,$A286,'Nhật ký tiến độ'!$B$6:$B$3005,_xlfn.MAXIFS('Nhật ký tiến độ'!$B$6:$B$3005,'Nhật ký tiến độ'!$C$6:$C$3005,$A286))))</f>
      </c>
      <c r="AK286" s="225">
        <f>IF(OR($A286="",$V286="Đã xử lý"),"",IF(N($AO286)&gt;0,5-$AO286,IF($J286="Khẩn cấp",5,IF($Y286="Chậm tiến độ",6,IF(OR($Y286="Sắp đến hạn",$J286="Cao"),7,"")))))</f>
      </c>
      <c r="AL286" s="225">
        <f>IF($AK286="","",$AK286*100000+IF(N($U286)=0,99999,INT($U286))+ROW()/100000)</f>
      </c>
      <c r="AM286" s="225">
        <f>IF(OR($A286="",TRIM($K286)="",COUNTIF($K$6:$K286,$K286)&gt;1),0,1)</f>
      </c>
      <c r="AN286" s="225">
        <f>IF($AM286=1,SUM($AM$6:$AM286),"")</f>
      </c>
      <c r="AO286" s="225">
        <f>IF(OR($A286="",$V286="Đã xử lý",N($U286)=0),0,IF(TDBC&lt;=$U286,0,MAX(1,MIN(4,IF((TDBC-$U286)*24&lt;24,1,IF((TDBC-$U286)*24&lt;72,2,IF((TDBC-$U286)*24&lt;168,3,4)))+IFERROR(INDEX({2,1,0,-1},MATCH($J286,{"Khẩn cấp","Cao","Trung bình","Thấp"},0)),0)))))</f>
      </c>
    </row>
    <row r="287">
      <c r="A287" s="216"/>
      <c r="B287" s="217"/>
      <c r="C287" s="218"/>
      <c r="D287" s="218"/>
      <c r="E287" s="218"/>
      <c r="F287" s="218"/>
      <c r="G287" s="216"/>
      <c r="H287" s="218"/>
      <c r="I287" s="218"/>
      <c r="J287" s="216"/>
      <c r="K287" s="218"/>
      <c r="L287" s="218"/>
      <c r="M287" s="218"/>
      <c r="N287" s="218"/>
      <c r="O287" s="219"/>
      <c r="P287" s="216"/>
      <c r="Q287" s="217"/>
      <c r="R287" s="216"/>
      <c r="S287" s="218"/>
      <c r="T287" s="218"/>
      <c r="U287" s="220">
        <f>IF($A287="","",IF(N($Q287)&gt;0,IF(MOD($Q287,1)=0,$Q287+1-1/1440,$Q287),IF(N($B287)=0,"",$B287+IF(N($AH287)&gt;0,$AH287,IFERROR(INDEX(DM_SLA_Gio,MATCH($J287,DM_SLA_Cap,0)),168))/24)))</f>
      </c>
      <c r="V287" s="221">
        <f>IF($A287="","",IF(N($AJ287)=0,"Mới tiếp nhận",INDEX('Nhật ký tiến độ'!$E:$E,$AJ287)))</f>
      </c>
      <c r="W287" s="222">
        <f>IF($A287="","",IF($V287="Đã xử lý",1,IF(N($AJ287)=0,0,N(INDEX('Nhật ký tiến độ'!$D:$D,$AJ287)))))</f>
      </c>
      <c r="X287" s="222">
        <f>IF(OR($A287="",$V287="Đã xử lý",N($U287)=0,N($B287)=0),"",IF(TDBC&lt;=$B287,0,IF(TDBC&gt;=$U287,1,(TDBC-$B287)/($U287-$B287))))</f>
      </c>
      <c r="Y287" s="223">
        <f>IF($A287="","",IF($V287="Đã xử lý","Hoàn thành",IF(N($U287)=0,"Chưa đặt hạn",IF(TDBC&gt;$U287,"Quá hạn",IF(ROUND((N($X287)-$W287)*100,0)&gt;=20,"Chậm tiến độ",IF($U287-TDBC&lt;=1,"Sắp đến hạn","Đúng tiến độ"))))))</f>
      </c>
      <c r="Z287" s="223">
        <f>IF(OR($A287="",$V287="Đã xử lý",N($U287)=0),"",IF(TDBC&gt;$U287,"Quá "&amp;IF(((TDBC-$U287)*24)&lt;1,MAX(1,ROUND(((TDBC-$U287)*24)*60,0))&amp;" phút",IF(ROUND(((TDBC-$U287)*24),0)&lt;24,ROUND(((TDBC-$U287)*24),0)&amp;" giờ",INT(ROUND(((TDBC-$U287)*24),0)/24)&amp;" ngày"&amp;IF(MOD(ROUND(((TDBC-$U287)*24),0),24)&gt;0," "&amp;MOD(ROUND(((TDBC-$U287)*24),0),24)&amp;" giờ",""))),"Còn "&amp;IF((($U287-TDBC)*24)&lt;1,MAX(1,ROUND((($U287-TDBC)*24)*60,0))&amp;" phút",IF(ROUND((($U287-TDBC)*24),0)&lt;24,ROUND((($U287-TDBC)*24),0)&amp;" giờ",INT(ROUND((($U287-TDBC)*24),0)/24)&amp;" ngày"&amp;IF(MOD(ROUND((($U287-TDBC)*24),0),24)&gt;0," "&amp;MOD(ROUND((($U287-TDBC)*24),0),24)&amp;" giờ","")))))</f>
      </c>
      <c r="AA287" s="220">
        <f>IF($V287="Đã xử lý",_xlfn.MAXIFS('Nhật ký tiến độ'!$B$6:$B$3005,'Nhật ký tiến độ'!$C$6:$C$3005,$A287,'Nhật ký tiến độ'!$E$6:$E$3005,"Đã xử lý"),"")</f>
      </c>
      <c r="AB287" s="223">
        <f>IF($AI287="","",IF($AI287&lt;1,MAX(1,ROUND($AI287*60,0))&amp;" phút",IF(ROUND($AI287,0)&lt;24,ROUND($AI287,0)&amp;" giờ",INT(ROUND($AI287,0)/24)&amp;" ngày"&amp;IF(MOD(ROUND($AI287,0),24)&gt;0," "&amp;MOD(ROUND($AI287,0),24)&amp;" giờ",""))))</f>
      </c>
      <c r="AC287" s="223">
        <f>IF(OR($A287="",N($AH287)=0),"",IF($AI287&lt;&gt;"",IF($AI287&lt;=$AH287,"Trong ước tính","Vượt "&amp;IF(($AI287-$AH287)&lt;1,MAX(1,ROUND(($AI287-$AH287)*60,0))&amp;" phút",IF(ROUND(($AI287-$AH287),0)&lt;24,ROUND(($AI287-$AH287),0)&amp;" giờ",INT(ROUND(($AI287-$AH287),0)/24)&amp;" ngày"&amp;IF(MOD(ROUND(($AI287-$AH287),0),24)&gt;0," "&amp;MOD(ROUND(($AI287-$AH287),0),24)&amp;" giờ","")))),IF(OR($V287="Đã xử lý",N($B287)=0),"",IF((TDBC-$B287)*24&gt;$AH287,"Đã vượt ước tính","Đã dùng "&amp;TEXT((TDBC-$B287)*24/$AH287,"0%")))))</f>
      </c>
      <c r="AD287" s="223">
        <f>IF(N($AO287)=0,"",CHOOSE($AO287,"Nhắc nhở","Cảnh báo","Báo động","Báo động đỏ"))</f>
      </c>
      <c r="AE287" s="223">
        <f>IF(OR(N($AA287)=0,N($U287)=0),"",IF($AA287&lt;=$U287,"Đúng hạn","Trễ hạn"))</f>
      </c>
      <c r="AF287" s="220">
        <f>IF($A287="","",_xlfn.MAXIFS('Nhật ký tiến độ'!$B$6:$B$3005,'Nhật ký tiến độ'!$C$6:$C$3005,$A287))</f>
      </c>
      <c r="AG287" s="223">
        <f>IF($A287="","",IF(COUNTIF('Kế hoạch'!$M$6:$M$305,$A287)=0,"",COUNTIF('Kế hoạch'!$M$6:$M$305,$A287)&amp;" việc"))</f>
      </c>
      <c r="AH287" s="224">
        <f>IF(OR($A287="",N($O287)&lt;=0),"",IF($P287="Giờ",$O287,$O287*24))</f>
      </c>
      <c r="AI287" s="224">
        <f>IF(OR(N($AA287)=0,N($B287)=0),"",IF($AA287&lt;$B287,"",($AA287-$B287)*24))</f>
      </c>
      <c r="AJ287" s="225">
        <f>IF($A287="","",IF(COUNTIF('Nhật ký tiến độ'!$C$6:$C$3005,$A287)=0,0,_xlfn.MAXIFS('Nhật ký tiến độ'!$N$6:$N$3005,'Nhật ký tiến độ'!$C$6:$C$3005,$A287,'Nhật ký tiến độ'!$B$6:$B$3005,_xlfn.MAXIFS('Nhật ký tiến độ'!$B$6:$B$3005,'Nhật ký tiến độ'!$C$6:$C$3005,$A287))))</f>
      </c>
      <c r="AK287" s="225">
        <f>IF(OR($A287="",$V287="Đã xử lý"),"",IF(N($AO287)&gt;0,5-$AO287,IF($J287="Khẩn cấp",5,IF($Y287="Chậm tiến độ",6,IF(OR($Y287="Sắp đến hạn",$J287="Cao"),7,"")))))</f>
      </c>
      <c r="AL287" s="225">
        <f>IF($AK287="","",$AK287*100000+IF(N($U287)=0,99999,INT($U287))+ROW()/100000)</f>
      </c>
      <c r="AM287" s="225">
        <f>IF(OR($A287="",TRIM($K287)="",COUNTIF($K$6:$K287,$K287)&gt;1),0,1)</f>
      </c>
      <c r="AN287" s="225">
        <f>IF($AM287=1,SUM($AM$6:$AM287),"")</f>
      </c>
      <c r="AO287" s="225">
        <f>IF(OR($A287="",$V287="Đã xử lý",N($U287)=0),0,IF(TDBC&lt;=$U287,0,MAX(1,MIN(4,IF((TDBC-$U287)*24&lt;24,1,IF((TDBC-$U287)*24&lt;72,2,IF((TDBC-$U287)*24&lt;168,3,4)))+IFERROR(INDEX({2,1,0,-1},MATCH($J287,{"Khẩn cấp","Cao","Trung bình","Thấp"},0)),0)))))</f>
      </c>
    </row>
    <row r="288">
      <c r="A288" s="216"/>
      <c r="B288" s="217"/>
      <c r="C288" s="218"/>
      <c r="D288" s="218"/>
      <c r="E288" s="218"/>
      <c r="F288" s="218"/>
      <c r="G288" s="216"/>
      <c r="H288" s="218"/>
      <c r="I288" s="218"/>
      <c r="J288" s="216"/>
      <c r="K288" s="218"/>
      <c r="L288" s="218"/>
      <c r="M288" s="218"/>
      <c r="N288" s="218"/>
      <c r="O288" s="219"/>
      <c r="P288" s="216"/>
      <c r="Q288" s="217"/>
      <c r="R288" s="216"/>
      <c r="S288" s="218"/>
      <c r="T288" s="218"/>
      <c r="U288" s="220">
        <f>IF($A288="","",IF(N($Q288)&gt;0,IF(MOD($Q288,1)=0,$Q288+1-1/1440,$Q288),IF(N($B288)=0,"",$B288+IF(N($AH288)&gt;0,$AH288,IFERROR(INDEX(DM_SLA_Gio,MATCH($J288,DM_SLA_Cap,0)),168))/24)))</f>
      </c>
      <c r="V288" s="221">
        <f>IF($A288="","",IF(N($AJ288)=0,"Mới tiếp nhận",INDEX('Nhật ký tiến độ'!$E:$E,$AJ288)))</f>
      </c>
      <c r="W288" s="222">
        <f>IF($A288="","",IF($V288="Đã xử lý",1,IF(N($AJ288)=0,0,N(INDEX('Nhật ký tiến độ'!$D:$D,$AJ288)))))</f>
      </c>
      <c r="X288" s="222">
        <f>IF(OR($A288="",$V288="Đã xử lý",N($U288)=0,N($B288)=0),"",IF(TDBC&lt;=$B288,0,IF(TDBC&gt;=$U288,1,(TDBC-$B288)/($U288-$B288))))</f>
      </c>
      <c r="Y288" s="223">
        <f>IF($A288="","",IF($V288="Đã xử lý","Hoàn thành",IF(N($U288)=0,"Chưa đặt hạn",IF(TDBC&gt;$U288,"Quá hạn",IF(ROUND((N($X288)-$W288)*100,0)&gt;=20,"Chậm tiến độ",IF($U288-TDBC&lt;=1,"Sắp đến hạn","Đúng tiến độ"))))))</f>
      </c>
      <c r="Z288" s="223">
        <f>IF(OR($A288="",$V288="Đã xử lý",N($U288)=0),"",IF(TDBC&gt;$U288,"Quá "&amp;IF(((TDBC-$U288)*24)&lt;1,MAX(1,ROUND(((TDBC-$U288)*24)*60,0))&amp;" phút",IF(ROUND(((TDBC-$U288)*24),0)&lt;24,ROUND(((TDBC-$U288)*24),0)&amp;" giờ",INT(ROUND(((TDBC-$U288)*24),0)/24)&amp;" ngày"&amp;IF(MOD(ROUND(((TDBC-$U288)*24),0),24)&gt;0," "&amp;MOD(ROUND(((TDBC-$U288)*24),0),24)&amp;" giờ",""))),"Còn "&amp;IF((($U288-TDBC)*24)&lt;1,MAX(1,ROUND((($U288-TDBC)*24)*60,0))&amp;" phút",IF(ROUND((($U288-TDBC)*24),0)&lt;24,ROUND((($U288-TDBC)*24),0)&amp;" giờ",INT(ROUND((($U288-TDBC)*24),0)/24)&amp;" ngày"&amp;IF(MOD(ROUND((($U288-TDBC)*24),0),24)&gt;0," "&amp;MOD(ROUND((($U288-TDBC)*24),0),24)&amp;" giờ","")))))</f>
      </c>
      <c r="AA288" s="220">
        <f>IF($V288="Đã xử lý",_xlfn.MAXIFS('Nhật ký tiến độ'!$B$6:$B$3005,'Nhật ký tiến độ'!$C$6:$C$3005,$A288,'Nhật ký tiến độ'!$E$6:$E$3005,"Đã xử lý"),"")</f>
      </c>
      <c r="AB288" s="223">
        <f>IF($AI288="","",IF($AI288&lt;1,MAX(1,ROUND($AI288*60,0))&amp;" phút",IF(ROUND($AI288,0)&lt;24,ROUND($AI288,0)&amp;" giờ",INT(ROUND($AI288,0)/24)&amp;" ngày"&amp;IF(MOD(ROUND($AI288,0),24)&gt;0," "&amp;MOD(ROUND($AI288,0),24)&amp;" giờ",""))))</f>
      </c>
      <c r="AC288" s="223">
        <f>IF(OR($A288="",N($AH288)=0),"",IF($AI288&lt;&gt;"",IF($AI288&lt;=$AH288,"Trong ước tính","Vượt "&amp;IF(($AI288-$AH288)&lt;1,MAX(1,ROUND(($AI288-$AH288)*60,0))&amp;" phút",IF(ROUND(($AI288-$AH288),0)&lt;24,ROUND(($AI288-$AH288),0)&amp;" giờ",INT(ROUND(($AI288-$AH288),0)/24)&amp;" ngày"&amp;IF(MOD(ROUND(($AI288-$AH288),0),24)&gt;0," "&amp;MOD(ROUND(($AI288-$AH288),0),24)&amp;" giờ","")))),IF(OR($V288="Đã xử lý",N($B288)=0),"",IF((TDBC-$B288)*24&gt;$AH288,"Đã vượt ước tính","Đã dùng "&amp;TEXT((TDBC-$B288)*24/$AH288,"0%")))))</f>
      </c>
      <c r="AD288" s="223">
        <f>IF(N($AO288)=0,"",CHOOSE($AO288,"Nhắc nhở","Cảnh báo","Báo động","Báo động đỏ"))</f>
      </c>
      <c r="AE288" s="223">
        <f>IF(OR(N($AA288)=0,N($U288)=0),"",IF($AA288&lt;=$U288,"Đúng hạn","Trễ hạn"))</f>
      </c>
      <c r="AF288" s="220">
        <f>IF($A288="","",_xlfn.MAXIFS('Nhật ký tiến độ'!$B$6:$B$3005,'Nhật ký tiến độ'!$C$6:$C$3005,$A288))</f>
      </c>
      <c r="AG288" s="223">
        <f>IF($A288="","",IF(COUNTIF('Kế hoạch'!$M$6:$M$305,$A288)=0,"",COUNTIF('Kế hoạch'!$M$6:$M$305,$A288)&amp;" việc"))</f>
      </c>
      <c r="AH288" s="224">
        <f>IF(OR($A288="",N($O288)&lt;=0),"",IF($P288="Giờ",$O288,$O288*24))</f>
      </c>
      <c r="AI288" s="224">
        <f>IF(OR(N($AA288)=0,N($B288)=0),"",IF($AA288&lt;$B288,"",($AA288-$B288)*24))</f>
      </c>
      <c r="AJ288" s="225">
        <f>IF($A288="","",IF(COUNTIF('Nhật ký tiến độ'!$C$6:$C$3005,$A288)=0,0,_xlfn.MAXIFS('Nhật ký tiến độ'!$N$6:$N$3005,'Nhật ký tiến độ'!$C$6:$C$3005,$A288,'Nhật ký tiến độ'!$B$6:$B$3005,_xlfn.MAXIFS('Nhật ký tiến độ'!$B$6:$B$3005,'Nhật ký tiến độ'!$C$6:$C$3005,$A288))))</f>
      </c>
      <c r="AK288" s="225">
        <f>IF(OR($A288="",$V288="Đã xử lý"),"",IF(N($AO288)&gt;0,5-$AO288,IF($J288="Khẩn cấp",5,IF($Y288="Chậm tiến độ",6,IF(OR($Y288="Sắp đến hạn",$J288="Cao"),7,"")))))</f>
      </c>
      <c r="AL288" s="225">
        <f>IF($AK288="","",$AK288*100000+IF(N($U288)=0,99999,INT($U288))+ROW()/100000)</f>
      </c>
      <c r="AM288" s="225">
        <f>IF(OR($A288="",TRIM($K288)="",COUNTIF($K$6:$K288,$K288)&gt;1),0,1)</f>
      </c>
      <c r="AN288" s="225">
        <f>IF($AM288=1,SUM($AM$6:$AM288),"")</f>
      </c>
      <c r="AO288" s="225">
        <f>IF(OR($A288="",$V288="Đã xử lý",N($U288)=0),0,IF(TDBC&lt;=$U288,0,MAX(1,MIN(4,IF((TDBC-$U288)*24&lt;24,1,IF((TDBC-$U288)*24&lt;72,2,IF((TDBC-$U288)*24&lt;168,3,4)))+IFERROR(INDEX({2,1,0,-1},MATCH($J288,{"Khẩn cấp","Cao","Trung bình","Thấp"},0)),0)))))</f>
      </c>
    </row>
    <row r="289">
      <c r="A289" s="216"/>
      <c r="B289" s="217"/>
      <c r="C289" s="218"/>
      <c r="D289" s="218"/>
      <c r="E289" s="218"/>
      <c r="F289" s="218"/>
      <c r="G289" s="216"/>
      <c r="H289" s="218"/>
      <c r="I289" s="218"/>
      <c r="J289" s="216"/>
      <c r="K289" s="218"/>
      <c r="L289" s="218"/>
      <c r="M289" s="218"/>
      <c r="N289" s="218"/>
      <c r="O289" s="219"/>
      <c r="P289" s="216"/>
      <c r="Q289" s="217"/>
      <c r="R289" s="216"/>
      <c r="S289" s="218"/>
      <c r="T289" s="218"/>
      <c r="U289" s="220">
        <f>IF($A289="","",IF(N($Q289)&gt;0,IF(MOD($Q289,1)=0,$Q289+1-1/1440,$Q289),IF(N($B289)=0,"",$B289+IF(N($AH289)&gt;0,$AH289,IFERROR(INDEX(DM_SLA_Gio,MATCH($J289,DM_SLA_Cap,0)),168))/24)))</f>
      </c>
      <c r="V289" s="221">
        <f>IF($A289="","",IF(N($AJ289)=0,"Mới tiếp nhận",INDEX('Nhật ký tiến độ'!$E:$E,$AJ289)))</f>
      </c>
      <c r="W289" s="222">
        <f>IF($A289="","",IF($V289="Đã xử lý",1,IF(N($AJ289)=0,0,N(INDEX('Nhật ký tiến độ'!$D:$D,$AJ289)))))</f>
      </c>
      <c r="X289" s="222">
        <f>IF(OR($A289="",$V289="Đã xử lý",N($U289)=0,N($B289)=0),"",IF(TDBC&lt;=$B289,0,IF(TDBC&gt;=$U289,1,(TDBC-$B289)/($U289-$B289))))</f>
      </c>
      <c r="Y289" s="223">
        <f>IF($A289="","",IF($V289="Đã xử lý","Hoàn thành",IF(N($U289)=0,"Chưa đặt hạn",IF(TDBC&gt;$U289,"Quá hạn",IF(ROUND((N($X289)-$W289)*100,0)&gt;=20,"Chậm tiến độ",IF($U289-TDBC&lt;=1,"Sắp đến hạn","Đúng tiến độ"))))))</f>
      </c>
      <c r="Z289" s="223">
        <f>IF(OR($A289="",$V289="Đã xử lý",N($U289)=0),"",IF(TDBC&gt;$U289,"Quá "&amp;IF(((TDBC-$U289)*24)&lt;1,MAX(1,ROUND(((TDBC-$U289)*24)*60,0))&amp;" phút",IF(ROUND(((TDBC-$U289)*24),0)&lt;24,ROUND(((TDBC-$U289)*24),0)&amp;" giờ",INT(ROUND(((TDBC-$U289)*24),0)/24)&amp;" ngày"&amp;IF(MOD(ROUND(((TDBC-$U289)*24),0),24)&gt;0," "&amp;MOD(ROUND(((TDBC-$U289)*24),0),24)&amp;" giờ",""))),"Còn "&amp;IF((($U289-TDBC)*24)&lt;1,MAX(1,ROUND((($U289-TDBC)*24)*60,0))&amp;" phút",IF(ROUND((($U289-TDBC)*24),0)&lt;24,ROUND((($U289-TDBC)*24),0)&amp;" giờ",INT(ROUND((($U289-TDBC)*24),0)/24)&amp;" ngày"&amp;IF(MOD(ROUND((($U289-TDBC)*24),0),24)&gt;0," "&amp;MOD(ROUND((($U289-TDBC)*24),0),24)&amp;" giờ","")))))</f>
      </c>
      <c r="AA289" s="220">
        <f>IF($V289="Đã xử lý",_xlfn.MAXIFS('Nhật ký tiến độ'!$B$6:$B$3005,'Nhật ký tiến độ'!$C$6:$C$3005,$A289,'Nhật ký tiến độ'!$E$6:$E$3005,"Đã xử lý"),"")</f>
      </c>
      <c r="AB289" s="223">
        <f>IF($AI289="","",IF($AI289&lt;1,MAX(1,ROUND($AI289*60,0))&amp;" phút",IF(ROUND($AI289,0)&lt;24,ROUND($AI289,0)&amp;" giờ",INT(ROUND($AI289,0)/24)&amp;" ngày"&amp;IF(MOD(ROUND($AI289,0),24)&gt;0," "&amp;MOD(ROUND($AI289,0),24)&amp;" giờ",""))))</f>
      </c>
      <c r="AC289" s="223">
        <f>IF(OR($A289="",N($AH289)=0),"",IF($AI289&lt;&gt;"",IF($AI289&lt;=$AH289,"Trong ước tính","Vượt "&amp;IF(($AI289-$AH289)&lt;1,MAX(1,ROUND(($AI289-$AH289)*60,0))&amp;" phút",IF(ROUND(($AI289-$AH289),0)&lt;24,ROUND(($AI289-$AH289),0)&amp;" giờ",INT(ROUND(($AI289-$AH289),0)/24)&amp;" ngày"&amp;IF(MOD(ROUND(($AI289-$AH289),0),24)&gt;0," "&amp;MOD(ROUND(($AI289-$AH289),0),24)&amp;" giờ","")))),IF(OR($V289="Đã xử lý",N($B289)=0),"",IF((TDBC-$B289)*24&gt;$AH289,"Đã vượt ước tính","Đã dùng "&amp;TEXT((TDBC-$B289)*24/$AH289,"0%")))))</f>
      </c>
      <c r="AD289" s="223">
        <f>IF(N($AO289)=0,"",CHOOSE($AO289,"Nhắc nhở","Cảnh báo","Báo động","Báo động đỏ"))</f>
      </c>
      <c r="AE289" s="223">
        <f>IF(OR(N($AA289)=0,N($U289)=0),"",IF($AA289&lt;=$U289,"Đúng hạn","Trễ hạn"))</f>
      </c>
      <c r="AF289" s="220">
        <f>IF($A289="","",_xlfn.MAXIFS('Nhật ký tiến độ'!$B$6:$B$3005,'Nhật ký tiến độ'!$C$6:$C$3005,$A289))</f>
      </c>
      <c r="AG289" s="223">
        <f>IF($A289="","",IF(COUNTIF('Kế hoạch'!$M$6:$M$305,$A289)=0,"",COUNTIF('Kế hoạch'!$M$6:$M$305,$A289)&amp;" việc"))</f>
      </c>
      <c r="AH289" s="224">
        <f>IF(OR($A289="",N($O289)&lt;=0),"",IF($P289="Giờ",$O289,$O289*24))</f>
      </c>
      <c r="AI289" s="224">
        <f>IF(OR(N($AA289)=0,N($B289)=0),"",IF($AA289&lt;$B289,"",($AA289-$B289)*24))</f>
      </c>
      <c r="AJ289" s="225">
        <f>IF($A289="","",IF(COUNTIF('Nhật ký tiến độ'!$C$6:$C$3005,$A289)=0,0,_xlfn.MAXIFS('Nhật ký tiến độ'!$N$6:$N$3005,'Nhật ký tiến độ'!$C$6:$C$3005,$A289,'Nhật ký tiến độ'!$B$6:$B$3005,_xlfn.MAXIFS('Nhật ký tiến độ'!$B$6:$B$3005,'Nhật ký tiến độ'!$C$6:$C$3005,$A289))))</f>
      </c>
      <c r="AK289" s="225">
        <f>IF(OR($A289="",$V289="Đã xử lý"),"",IF(N($AO289)&gt;0,5-$AO289,IF($J289="Khẩn cấp",5,IF($Y289="Chậm tiến độ",6,IF(OR($Y289="Sắp đến hạn",$J289="Cao"),7,"")))))</f>
      </c>
      <c r="AL289" s="225">
        <f>IF($AK289="","",$AK289*100000+IF(N($U289)=0,99999,INT($U289))+ROW()/100000)</f>
      </c>
      <c r="AM289" s="225">
        <f>IF(OR($A289="",TRIM($K289)="",COUNTIF($K$6:$K289,$K289)&gt;1),0,1)</f>
      </c>
      <c r="AN289" s="225">
        <f>IF($AM289=1,SUM($AM$6:$AM289),"")</f>
      </c>
      <c r="AO289" s="225">
        <f>IF(OR($A289="",$V289="Đã xử lý",N($U289)=0),0,IF(TDBC&lt;=$U289,0,MAX(1,MIN(4,IF((TDBC-$U289)*24&lt;24,1,IF((TDBC-$U289)*24&lt;72,2,IF((TDBC-$U289)*24&lt;168,3,4)))+IFERROR(INDEX({2,1,0,-1},MATCH($J289,{"Khẩn cấp","Cao","Trung bình","Thấp"},0)),0)))))</f>
      </c>
    </row>
    <row r="290">
      <c r="A290" s="216"/>
      <c r="B290" s="217"/>
      <c r="C290" s="218"/>
      <c r="D290" s="218"/>
      <c r="E290" s="218"/>
      <c r="F290" s="218"/>
      <c r="G290" s="216"/>
      <c r="H290" s="218"/>
      <c r="I290" s="218"/>
      <c r="J290" s="216"/>
      <c r="K290" s="218"/>
      <c r="L290" s="218"/>
      <c r="M290" s="218"/>
      <c r="N290" s="218"/>
      <c r="O290" s="219"/>
      <c r="P290" s="216"/>
      <c r="Q290" s="217"/>
      <c r="R290" s="216"/>
      <c r="S290" s="218"/>
      <c r="T290" s="218"/>
      <c r="U290" s="220">
        <f>IF($A290="","",IF(N($Q290)&gt;0,IF(MOD($Q290,1)=0,$Q290+1-1/1440,$Q290),IF(N($B290)=0,"",$B290+IF(N($AH290)&gt;0,$AH290,IFERROR(INDEX(DM_SLA_Gio,MATCH($J290,DM_SLA_Cap,0)),168))/24)))</f>
      </c>
      <c r="V290" s="221">
        <f>IF($A290="","",IF(N($AJ290)=0,"Mới tiếp nhận",INDEX('Nhật ký tiến độ'!$E:$E,$AJ290)))</f>
      </c>
      <c r="W290" s="222">
        <f>IF($A290="","",IF($V290="Đã xử lý",1,IF(N($AJ290)=0,0,N(INDEX('Nhật ký tiến độ'!$D:$D,$AJ290)))))</f>
      </c>
      <c r="X290" s="222">
        <f>IF(OR($A290="",$V290="Đã xử lý",N($U290)=0,N($B290)=0),"",IF(TDBC&lt;=$B290,0,IF(TDBC&gt;=$U290,1,(TDBC-$B290)/($U290-$B290))))</f>
      </c>
      <c r="Y290" s="223">
        <f>IF($A290="","",IF($V290="Đã xử lý","Hoàn thành",IF(N($U290)=0,"Chưa đặt hạn",IF(TDBC&gt;$U290,"Quá hạn",IF(ROUND((N($X290)-$W290)*100,0)&gt;=20,"Chậm tiến độ",IF($U290-TDBC&lt;=1,"Sắp đến hạn","Đúng tiến độ"))))))</f>
      </c>
      <c r="Z290" s="223">
        <f>IF(OR($A290="",$V290="Đã xử lý",N($U290)=0),"",IF(TDBC&gt;$U290,"Quá "&amp;IF(((TDBC-$U290)*24)&lt;1,MAX(1,ROUND(((TDBC-$U290)*24)*60,0))&amp;" phút",IF(ROUND(((TDBC-$U290)*24),0)&lt;24,ROUND(((TDBC-$U290)*24),0)&amp;" giờ",INT(ROUND(((TDBC-$U290)*24),0)/24)&amp;" ngày"&amp;IF(MOD(ROUND(((TDBC-$U290)*24),0),24)&gt;0," "&amp;MOD(ROUND(((TDBC-$U290)*24),0),24)&amp;" giờ",""))),"Còn "&amp;IF((($U290-TDBC)*24)&lt;1,MAX(1,ROUND((($U290-TDBC)*24)*60,0))&amp;" phút",IF(ROUND((($U290-TDBC)*24),0)&lt;24,ROUND((($U290-TDBC)*24),0)&amp;" giờ",INT(ROUND((($U290-TDBC)*24),0)/24)&amp;" ngày"&amp;IF(MOD(ROUND((($U290-TDBC)*24),0),24)&gt;0," "&amp;MOD(ROUND((($U290-TDBC)*24),0),24)&amp;" giờ","")))))</f>
      </c>
      <c r="AA290" s="220">
        <f>IF($V290="Đã xử lý",_xlfn.MAXIFS('Nhật ký tiến độ'!$B$6:$B$3005,'Nhật ký tiến độ'!$C$6:$C$3005,$A290,'Nhật ký tiến độ'!$E$6:$E$3005,"Đã xử lý"),"")</f>
      </c>
      <c r="AB290" s="223">
        <f>IF($AI290="","",IF($AI290&lt;1,MAX(1,ROUND($AI290*60,0))&amp;" phút",IF(ROUND($AI290,0)&lt;24,ROUND($AI290,0)&amp;" giờ",INT(ROUND($AI290,0)/24)&amp;" ngày"&amp;IF(MOD(ROUND($AI290,0),24)&gt;0," "&amp;MOD(ROUND($AI290,0),24)&amp;" giờ",""))))</f>
      </c>
      <c r="AC290" s="223">
        <f>IF(OR($A290="",N($AH290)=0),"",IF($AI290&lt;&gt;"",IF($AI290&lt;=$AH290,"Trong ước tính","Vượt "&amp;IF(($AI290-$AH290)&lt;1,MAX(1,ROUND(($AI290-$AH290)*60,0))&amp;" phút",IF(ROUND(($AI290-$AH290),0)&lt;24,ROUND(($AI290-$AH290),0)&amp;" giờ",INT(ROUND(($AI290-$AH290),0)/24)&amp;" ngày"&amp;IF(MOD(ROUND(($AI290-$AH290),0),24)&gt;0," "&amp;MOD(ROUND(($AI290-$AH290),0),24)&amp;" giờ","")))),IF(OR($V290="Đã xử lý",N($B290)=0),"",IF((TDBC-$B290)*24&gt;$AH290,"Đã vượt ước tính","Đã dùng "&amp;TEXT((TDBC-$B290)*24/$AH290,"0%")))))</f>
      </c>
      <c r="AD290" s="223">
        <f>IF(N($AO290)=0,"",CHOOSE($AO290,"Nhắc nhở","Cảnh báo","Báo động","Báo động đỏ"))</f>
      </c>
      <c r="AE290" s="223">
        <f>IF(OR(N($AA290)=0,N($U290)=0),"",IF($AA290&lt;=$U290,"Đúng hạn","Trễ hạn"))</f>
      </c>
      <c r="AF290" s="220">
        <f>IF($A290="","",_xlfn.MAXIFS('Nhật ký tiến độ'!$B$6:$B$3005,'Nhật ký tiến độ'!$C$6:$C$3005,$A290))</f>
      </c>
      <c r="AG290" s="223">
        <f>IF($A290="","",IF(COUNTIF('Kế hoạch'!$M$6:$M$305,$A290)=0,"",COUNTIF('Kế hoạch'!$M$6:$M$305,$A290)&amp;" việc"))</f>
      </c>
      <c r="AH290" s="224">
        <f>IF(OR($A290="",N($O290)&lt;=0),"",IF($P290="Giờ",$O290,$O290*24))</f>
      </c>
      <c r="AI290" s="224">
        <f>IF(OR(N($AA290)=0,N($B290)=0),"",IF($AA290&lt;$B290,"",($AA290-$B290)*24))</f>
      </c>
      <c r="AJ290" s="225">
        <f>IF($A290="","",IF(COUNTIF('Nhật ký tiến độ'!$C$6:$C$3005,$A290)=0,0,_xlfn.MAXIFS('Nhật ký tiến độ'!$N$6:$N$3005,'Nhật ký tiến độ'!$C$6:$C$3005,$A290,'Nhật ký tiến độ'!$B$6:$B$3005,_xlfn.MAXIFS('Nhật ký tiến độ'!$B$6:$B$3005,'Nhật ký tiến độ'!$C$6:$C$3005,$A290))))</f>
      </c>
      <c r="AK290" s="225">
        <f>IF(OR($A290="",$V290="Đã xử lý"),"",IF(N($AO290)&gt;0,5-$AO290,IF($J290="Khẩn cấp",5,IF($Y290="Chậm tiến độ",6,IF(OR($Y290="Sắp đến hạn",$J290="Cao"),7,"")))))</f>
      </c>
      <c r="AL290" s="225">
        <f>IF($AK290="","",$AK290*100000+IF(N($U290)=0,99999,INT($U290))+ROW()/100000)</f>
      </c>
      <c r="AM290" s="225">
        <f>IF(OR($A290="",TRIM($K290)="",COUNTIF($K$6:$K290,$K290)&gt;1),0,1)</f>
      </c>
      <c r="AN290" s="225">
        <f>IF($AM290=1,SUM($AM$6:$AM290),"")</f>
      </c>
      <c r="AO290" s="225">
        <f>IF(OR($A290="",$V290="Đã xử lý",N($U290)=0),0,IF(TDBC&lt;=$U290,0,MAX(1,MIN(4,IF((TDBC-$U290)*24&lt;24,1,IF((TDBC-$U290)*24&lt;72,2,IF((TDBC-$U290)*24&lt;168,3,4)))+IFERROR(INDEX({2,1,0,-1},MATCH($J290,{"Khẩn cấp","Cao","Trung bình","Thấp"},0)),0)))))</f>
      </c>
    </row>
    <row r="291">
      <c r="A291" s="216"/>
      <c r="B291" s="217"/>
      <c r="C291" s="218"/>
      <c r="D291" s="218"/>
      <c r="E291" s="218"/>
      <c r="F291" s="218"/>
      <c r="G291" s="216"/>
      <c r="H291" s="218"/>
      <c r="I291" s="218"/>
      <c r="J291" s="216"/>
      <c r="K291" s="218"/>
      <c r="L291" s="218"/>
      <c r="M291" s="218"/>
      <c r="N291" s="218"/>
      <c r="O291" s="219"/>
      <c r="P291" s="216"/>
      <c r="Q291" s="217"/>
      <c r="R291" s="216"/>
      <c r="S291" s="218"/>
      <c r="T291" s="218"/>
      <c r="U291" s="220">
        <f>IF($A291="","",IF(N($Q291)&gt;0,IF(MOD($Q291,1)=0,$Q291+1-1/1440,$Q291),IF(N($B291)=0,"",$B291+IF(N($AH291)&gt;0,$AH291,IFERROR(INDEX(DM_SLA_Gio,MATCH($J291,DM_SLA_Cap,0)),168))/24)))</f>
      </c>
      <c r="V291" s="221">
        <f>IF($A291="","",IF(N($AJ291)=0,"Mới tiếp nhận",INDEX('Nhật ký tiến độ'!$E:$E,$AJ291)))</f>
      </c>
      <c r="W291" s="222">
        <f>IF($A291="","",IF($V291="Đã xử lý",1,IF(N($AJ291)=0,0,N(INDEX('Nhật ký tiến độ'!$D:$D,$AJ291)))))</f>
      </c>
      <c r="X291" s="222">
        <f>IF(OR($A291="",$V291="Đã xử lý",N($U291)=0,N($B291)=0),"",IF(TDBC&lt;=$B291,0,IF(TDBC&gt;=$U291,1,(TDBC-$B291)/($U291-$B291))))</f>
      </c>
      <c r="Y291" s="223">
        <f>IF($A291="","",IF($V291="Đã xử lý","Hoàn thành",IF(N($U291)=0,"Chưa đặt hạn",IF(TDBC&gt;$U291,"Quá hạn",IF(ROUND((N($X291)-$W291)*100,0)&gt;=20,"Chậm tiến độ",IF($U291-TDBC&lt;=1,"Sắp đến hạn","Đúng tiến độ"))))))</f>
      </c>
      <c r="Z291" s="223">
        <f>IF(OR($A291="",$V291="Đã xử lý",N($U291)=0),"",IF(TDBC&gt;$U291,"Quá "&amp;IF(((TDBC-$U291)*24)&lt;1,MAX(1,ROUND(((TDBC-$U291)*24)*60,0))&amp;" phút",IF(ROUND(((TDBC-$U291)*24),0)&lt;24,ROUND(((TDBC-$U291)*24),0)&amp;" giờ",INT(ROUND(((TDBC-$U291)*24),0)/24)&amp;" ngày"&amp;IF(MOD(ROUND(((TDBC-$U291)*24),0),24)&gt;0," "&amp;MOD(ROUND(((TDBC-$U291)*24),0),24)&amp;" giờ",""))),"Còn "&amp;IF((($U291-TDBC)*24)&lt;1,MAX(1,ROUND((($U291-TDBC)*24)*60,0))&amp;" phút",IF(ROUND((($U291-TDBC)*24),0)&lt;24,ROUND((($U291-TDBC)*24),0)&amp;" giờ",INT(ROUND((($U291-TDBC)*24),0)/24)&amp;" ngày"&amp;IF(MOD(ROUND((($U291-TDBC)*24),0),24)&gt;0," "&amp;MOD(ROUND((($U291-TDBC)*24),0),24)&amp;" giờ","")))))</f>
      </c>
      <c r="AA291" s="220">
        <f>IF($V291="Đã xử lý",_xlfn.MAXIFS('Nhật ký tiến độ'!$B$6:$B$3005,'Nhật ký tiến độ'!$C$6:$C$3005,$A291,'Nhật ký tiến độ'!$E$6:$E$3005,"Đã xử lý"),"")</f>
      </c>
      <c r="AB291" s="223">
        <f>IF($AI291="","",IF($AI291&lt;1,MAX(1,ROUND($AI291*60,0))&amp;" phút",IF(ROUND($AI291,0)&lt;24,ROUND($AI291,0)&amp;" giờ",INT(ROUND($AI291,0)/24)&amp;" ngày"&amp;IF(MOD(ROUND($AI291,0),24)&gt;0," "&amp;MOD(ROUND($AI291,0),24)&amp;" giờ",""))))</f>
      </c>
      <c r="AC291" s="223">
        <f>IF(OR($A291="",N($AH291)=0),"",IF($AI291&lt;&gt;"",IF($AI291&lt;=$AH291,"Trong ước tính","Vượt "&amp;IF(($AI291-$AH291)&lt;1,MAX(1,ROUND(($AI291-$AH291)*60,0))&amp;" phút",IF(ROUND(($AI291-$AH291),0)&lt;24,ROUND(($AI291-$AH291),0)&amp;" giờ",INT(ROUND(($AI291-$AH291),0)/24)&amp;" ngày"&amp;IF(MOD(ROUND(($AI291-$AH291),0),24)&gt;0," "&amp;MOD(ROUND(($AI291-$AH291),0),24)&amp;" giờ","")))),IF(OR($V291="Đã xử lý",N($B291)=0),"",IF((TDBC-$B291)*24&gt;$AH291,"Đã vượt ước tính","Đã dùng "&amp;TEXT((TDBC-$B291)*24/$AH291,"0%")))))</f>
      </c>
      <c r="AD291" s="223">
        <f>IF(N($AO291)=0,"",CHOOSE($AO291,"Nhắc nhở","Cảnh báo","Báo động","Báo động đỏ"))</f>
      </c>
      <c r="AE291" s="223">
        <f>IF(OR(N($AA291)=0,N($U291)=0),"",IF($AA291&lt;=$U291,"Đúng hạn","Trễ hạn"))</f>
      </c>
      <c r="AF291" s="220">
        <f>IF($A291="","",_xlfn.MAXIFS('Nhật ký tiến độ'!$B$6:$B$3005,'Nhật ký tiến độ'!$C$6:$C$3005,$A291))</f>
      </c>
      <c r="AG291" s="223">
        <f>IF($A291="","",IF(COUNTIF('Kế hoạch'!$M$6:$M$305,$A291)=0,"",COUNTIF('Kế hoạch'!$M$6:$M$305,$A291)&amp;" việc"))</f>
      </c>
      <c r="AH291" s="224">
        <f>IF(OR($A291="",N($O291)&lt;=0),"",IF($P291="Giờ",$O291,$O291*24))</f>
      </c>
      <c r="AI291" s="224">
        <f>IF(OR(N($AA291)=0,N($B291)=0),"",IF($AA291&lt;$B291,"",($AA291-$B291)*24))</f>
      </c>
      <c r="AJ291" s="225">
        <f>IF($A291="","",IF(COUNTIF('Nhật ký tiến độ'!$C$6:$C$3005,$A291)=0,0,_xlfn.MAXIFS('Nhật ký tiến độ'!$N$6:$N$3005,'Nhật ký tiến độ'!$C$6:$C$3005,$A291,'Nhật ký tiến độ'!$B$6:$B$3005,_xlfn.MAXIFS('Nhật ký tiến độ'!$B$6:$B$3005,'Nhật ký tiến độ'!$C$6:$C$3005,$A291))))</f>
      </c>
      <c r="AK291" s="225">
        <f>IF(OR($A291="",$V291="Đã xử lý"),"",IF(N($AO291)&gt;0,5-$AO291,IF($J291="Khẩn cấp",5,IF($Y291="Chậm tiến độ",6,IF(OR($Y291="Sắp đến hạn",$J291="Cao"),7,"")))))</f>
      </c>
      <c r="AL291" s="225">
        <f>IF($AK291="","",$AK291*100000+IF(N($U291)=0,99999,INT($U291))+ROW()/100000)</f>
      </c>
      <c r="AM291" s="225">
        <f>IF(OR($A291="",TRIM($K291)="",COUNTIF($K$6:$K291,$K291)&gt;1),0,1)</f>
      </c>
      <c r="AN291" s="225">
        <f>IF($AM291=1,SUM($AM$6:$AM291),"")</f>
      </c>
      <c r="AO291" s="225">
        <f>IF(OR($A291="",$V291="Đã xử lý",N($U291)=0),0,IF(TDBC&lt;=$U291,0,MAX(1,MIN(4,IF((TDBC-$U291)*24&lt;24,1,IF((TDBC-$U291)*24&lt;72,2,IF((TDBC-$U291)*24&lt;168,3,4)))+IFERROR(INDEX({2,1,0,-1},MATCH($J291,{"Khẩn cấp","Cao","Trung bình","Thấp"},0)),0)))))</f>
      </c>
    </row>
    <row r="292">
      <c r="A292" s="216"/>
      <c r="B292" s="217"/>
      <c r="C292" s="218"/>
      <c r="D292" s="218"/>
      <c r="E292" s="218"/>
      <c r="F292" s="218"/>
      <c r="G292" s="216"/>
      <c r="H292" s="218"/>
      <c r="I292" s="218"/>
      <c r="J292" s="216"/>
      <c r="K292" s="218"/>
      <c r="L292" s="218"/>
      <c r="M292" s="218"/>
      <c r="N292" s="218"/>
      <c r="O292" s="219"/>
      <c r="P292" s="216"/>
      <c r="Q292" s="217"/>
      <c r="R292" s="216"/>
      <c r="S292" s="218"/>
      <c r="T292" s="218"/>
      <c r="U292" s="220">
        <f>IF($A292="","",IF(N($Q292)&gt;0,IF(MOD($Q292,1)=0,$Q292+1-1/1440,$Q292),IF(N($B292)=0,"",$B292+IF(N($AH292)&gt;0,$AH292,IFERROR(INDEX(DM_SLA_Gio,MATCH($J292,DM_SLA_Cap,0)),168))/24)))</f>
      </c>
      <c r="V292" s="221">
        <f>IF($A292="","",IF(N($AJ292)=0,"Mới tiếp nhận",INDEX('Nhật ký tiến độ'!$E:$E,$AJ292)))</f>
      </c>
      <c r="W292" s="222">
        <f>IF($A292="","",IF($V292="Đã xử lý",1,IF(N($AJ292)=0,0,N(INDEX('Nhật ký tiến độ'!$D:$D,$AJ292)))))</f>
      </c>
      <c r="X292" s="222">
        <f>IF(OR($A292="",$V292="Đã xử lý",N($U292)=0,N($B292)=0),"",IF(TDBC&lt;=$B292,0,IF(TDBC&gt;=$U292,1,(TDBC-$B292)/($U292-$B292))))</f>
      </c>
      <c r="Y292" s="223">
        <f>IF($A292="","",IF($V292="Đã xử lý","Hoàn thành",IF(N($U292)=0,"Chưa đặt hạn",IF(TDBC&gt;$U292,"Quá hạn",IF(ROUND((N($X292)-$W292)*100,0)&gt;=20,"Chậm tiến độ",IF($U292-TDBC&lt;=1,"Sắp đến hạn","Đúng tiến độ"))))))</f>
      </c>
      <c r="Z292" s="223">
        <f>IF(OR($A292="",$V292="Đã xử lý",N($U292)=0),"",IF(TDBC&gt;$U292,"Quá "&amp;IF(((TDBC-$U292)*24)&lt;1,MAX(1,ROUND(((TDBC-$U292)*24)*60,0))&amp;" phút",IF(ROUND(((TDBC-$U292)*24),0)&lt;24,ROUND(((TDBC-$U292)*24),0)&amp;" giờ",INT(ROUND(((TDBC-$U292)*24),0)/24)&amp;" ngày"&amp;IF(MOD(ROUND(((TDBC-$U292)*24),0),24)&gt;0," "&amp;MOD(ROUND(((TDBC-$U292)*24),0),24)&amp;" giờ",""))),"Còn "&amp;IF((($U292-TDBC)*24)&lt;1,MAX(1,ROUND((($U292-TDBC)*24)*60,0))&amp;" phút",IF(ROUND((($U292-TDBC)*24),0)&lt;24,ROUND((($U292-TDBC)*24),0)&amp;" giờ",INT(ROUND((($U292-TDBC)*24),0)/24)&amp;" ngày"&amp;IF(MOD(ROUND((($U292-TDBC)*24),0),24)&gt;0," "&amp;MOD(ROUND((($U292-TDBC)*24),0),24)&amp;" giờ","")))))</f>
      </c>
      <c r="AA292" s="220">
        <f>IF($V292="Đã xử lý",_xlfn.MAXIFS('Nhật ký tiến độ'!$B$6:$B$3005,'Nhật ký tiến độ'!$C$6:$C$3005,$A292,'Nhật ký tiến độ'!$E$6:$E$3005,"Đã xử lý"),"")</f>
      </c>
      <c r="AB292" s="223">
        <f>IF($AI292="","",IF($AI292&lt;1,MAX(1,ROUND($AI292*60,0))&amp;" phút",IF(ROUND($AI292,0)&lt;24,ROUND($AI292,0)&amp;" giờ",INT(ROUND($AI292,0)/24)&amp;" ngày"&amp;IF(MOD(ROUND($AI292,0),24)&gt;0," "&amp;MOD(ROUND($AI292,0),24)&amp;" giờ",""))))</f>
      </c>
      <c r="AC292" s="223">
        <f>IF(OR($A292="",N($AH292)=0),"",IF($AI292&lt;&gt;"",IF($AI292&lt;=$AH292,"Trong ước tính","Vượt "&amp;IF(($AI292-$AH292)&lt;1,MAX(1,ROUND(($AI292-$AH292)*60,0))&amp;" phút",IF(ROUND(($AI292-$AH292),0)&lt;24,ROUND(($AI292-$AH292),0)&amp;" giờ",INT(ROUND(($AI292-$AH292),0)/24)&amp;" ngày"&amp;IF(MOD(ROUND(($AI292-$AH292),0),24)&gt;0," "&amp;MOD(ROUND(($AI292-$AH292),0),24)&amp;" giờ","")))),IF(OR($V292="Đã xử lý",N($B292)=0),"",IF((TDBC-$B292)*24&gt;$AH292,"Đã vượt ước tính","Đã dùng "&amp;TEXT((TDBC-$B292)*24/$AH292,"0%")))))</f>
      </c>
      <c r="AD292" s="223">
        <f>IF(N($AO292)=0,"",CHOOSE($AO292,"Nhắc nhở","Cảnh báo","Báo động","Báo động đỏ"))</f>
      </c>
      <c r="AE292" s="223">
        <f>IF(OR(N($AA292)=0,N($U292)=0),"",IF($AA292&lt;=$U292,"Đúng hạn","Trễ hạn"))</f>
      </c>
      <c r="AF292" s="220">
        <f>IF($A292="","",_xlfn.MAXIFS('Nhật ký tiến độ'!$B$6:$B$3005,'Nhật ký tiến độ'!$C$6:$C$3005,$A292))</f>
      </c>
      <c r="AG292" s="223">
        <f>IF($A292="","",IF(COUNTIF('Kế hoạch'!$M$6:$M$305,$A292)=0,"",COUNTIF('Kế hoạch'!$M$6:$M$305,$A292)&amp;" việc"))</f>
      </c>
      <c r="AH292" s="224">
        <f>IF(OR($A292="",N($O292)&lt;=0),"",IF($P292="Giờ",$O292,$O292*24))</f>
      </c>
      <c r="AI292" s="224">
        <f>IF(OR(N($AA292)=0,N($B292)=0),"",IF($AA292&lt;$B292,"",($AA292-$B292)*24))</f>
      </c>
      <c r="AJ292" s="225">
        <f>IF($A292="","",IF(COUNTIF('Nhật ký tiến độ'!$C$6:$C$3005,$A292)=0,0,_xlfn.MAXIFS('Nhật ký tiến độ'!$N$6:$N$3005,'Nhật ký tiến độ'!$C$6:$C$3005,$A292,'Nhật ký tiến độ'!$B$6:$B$3005,_xlfn.MAXIFS('Nhật ký tiến độ'!$B$6:$B$3005,'Nhật ký tiến độ'!$C$6:$C$3005,$A292))))</f>
      </c>
      <c r="AK292" s="225">
        <f>IF(OR($A292="",$V292="Đã xử lý"),"",IF(N($AO292)&gt;0,5-$AO292,IF($J292="Khẩn cấp",5,IF($Y292="Chậm tiến độ",6,IF(OR($Y292="Sắp đến hạn",$J292="Cao"),7,"")))))</f>
      </c>
      <c r="AL292" s="225">
        <f>IF($AK292="","",$AK292*100000+IF(N($U292)=0,99999,INT($U292))+ROW()/100000)</f>
      </c>
      <c r="AM292" s="225">
        <f>IF(OR($A292="",TRIM($K292)="",COUNTIF($K$6:$K292,$K292)&gt;1),0,1)</f>
      </c>
      <c r="AN292" s="225">
        <f>IF($AM292=1,SUM($AM$6:$AM292),"")</f>
      </c>
      <c r="AO292" s="225">
        <f>IF(OR($A292="",$V292="Đã xử lý",N($U292)=0),0,IF(TDBC&lt;=$U292,0,MAX(1,MIN(4,IF((TDBC-$U292)*24&lt;24,1,IF((TDBC-$U292)*24&lt;72,2,IF((TDBC-$U292)*24&lt;168,3,4)))+IFERROR(INDEX({2,1,0,-1},MATCH($J292,{"Khẩn cấp","Cao","Trung bình","Thấp"},0)),0)))))</f>
      </c>
    </row>
    <row r="293">
      <c r="A293" s="216"/>
      <c r="B293" s="217"/>
      <c r="C293" s="218"/>
      <c r="D293" s="218"/>
      <c r="E293" s="218"/>
      <c r="F293" s="218"/>
      <c r="G293" s="216"/>
      <c r="H293" s="218"/>
      <c r="I293" s="218"/>
      <c r="J293" s="216"/>
      <c r="K293" s="218"/>
      <c r="L293" s="218"/>
      <c r="M293" s="218"/>
      <c r="N293" s="218"/>
      <c r="O293" s="219"/>
      <c r="P293" s="216"/>
      <c r="Q293" s="217"/>
      <c r="R293" s="216"/>
      <c r="S293" s="218"/>
      <c r="T293" s="218"/>
      <c r="U293" s="220">
        <f>IF($A293="","",IF(N($Q293)&gt;0,IF(MOD($Q293,1)=0,$Q293+1-1/1440,$Q293),IF(N($B293)=0,"",$B293+IF(N($AH293)&gt;0,$AH293,IFERROR(INDEX(DM_SLA_Gio,MATCH($J293,DM_SLA_Cap,0)),168))/24)))</f>
      </c>
      <c r="V293" s="221">
        <f>IF($A293="","",IF(N($AJ293)=0,"Mới tiếp nhận",INDEX('Nhật ký tiến độ'!$E:$E,$AJ293)))</f>
      </c>
      <c r="W293" s="222">
        <f>IF($A293="","",IF($V293="Đã xử lý",1,IF(N($AJ293)=0,0,N(INDEX('Nhật ký tiến độ'!$D:$D,$AJ293)))))</f>
      </c>
      <c r="X293" s="222">
        <f>IF(OR($A293="",$V293="Đã xử lý",N($U293)=0,N($B293)=0),"",IF(TDBC&lt;=$B293,0,IF(TDBC&gt;=$U293,1,(TDBC-$B293)/($U293-$B293))))</f>
      </c>
      <c r="Y293" s="223">
        <f>IF($A293="","",IF($V293="Đã xử lý","Hoàn thành",IF(N($U293)=0,"Chưa đặt hạn",IF(TDBC&gt;$U293,"Quá hạn",IF(ROUND((N($X293)-$W293)*100,0)&gt;=20,"Chậm tiến độ",IF($U293-TDBC&lt;=1,"Sắp đến hạn","Đúng tiến độ"))))))</f>
      </c>
      <c r="Z293" s="223">
        <f>IF(OR($A293="",$V293="Đã xử lý",N($U293)=0),"",IF(TDBC&gt;$U293,"Quá "&amp;IF(((TDBC-$U293)*24)&lt;1,MAX(1,ROUND(((TDBC-$U293)*24)*60,0))&amp;" phút",IF(ROUND(((TDBC-$U293)*24),0)&lt;24,ROUND(((TDBC-$U293)*24),0)&amp;" giờ",INT(ROUND(((TDBC-$U293)*24),0)/24)&amp;" ngày"&amp;IF(MOD(ROUND(((TDBC-$U293)*24),0),24)&gt;0," "&amp;MOD(ROUND(((TDBC-$U293)*24),0),24)&amp;" giờ",""))),"Còn "&amp;IF((($U293-TDBC)*24)&lt;1,MAX(1,ROUND((($U293-TDBC)*24)*60,0))&amp;" phút",IF(ROUND((($U293-TDBC)*24),0)&lt;24,ROUND((($U293-TDBC)*24),0)&amp;" giờ",INT(ROUND((($U293-TDBC)*24),0)/24)&amp;" ngày"&amp;IF(MOD(ROUND((($U293-TDBC)*24),0),24)&gt;0," "&amp;MOD(ROUND((($U293-TDBC)*24),0),24)&amp;" giờ","")))))</f>
      </c>
      <c r="AA293" s="220">
        <f>IF($V293="Đã xử lý",_xlfn.MAXIFS('Nhật ký tiến độ'!$B$6:$B$3005,'Nhật ký tiến độ'!$C$6:$C$3005,$A293,'Nhật ký tiến độ'!$E$6:$E$3005,"Đã xử lý"),"")</f>
      </c>
      <c r="AB293" s="223">
        <f>IF($AI293="","",IF($AI293&lt;1,MAX(1,ROUND($AI293*60,0))&amp;" phút",IF(ROUND($AI293,0)&lt;24,ROUND($AI293,0)&amp;" giờ",INT(ROUND($AI293,0)/24)&amp;" ngày"&amp;IF(MOD(ROUND($AI293,0),24)&gt;0," "&amp;MOD(ROUND($AI293,0),24)&amp;" giờ",""))))</f>
      </c>
      <c r="AC293" s="223">
        <f>IF(OR($A293="",N($AH293)=0),"",IF($AI293&lt;&gt;"",IF($AI293&lt;=$AH293,"Trong ước tính","Vượt "&amp;IF(($AI293-$AH293)&lt;1,MAX(1,ROUND(($AI293-$AH293)*60,0))&amp;" phút",IF(ROUND(($AI293-$AH293),0)&lt;24,ROUND(($AI293-$AH293),0)&amp;" giờ",INT(ROUND(($AI293-$AH293),0)/24)&amp;" ngày"&amp;IF(MOD(ROUND(($AI293-$AH293),0),24)&gt;0," "&amp;MOD(ROUND(($AI293-$AH293),0),24)&amp;" giờ","")))),IF(OR($V293="Đã xử lý",N($B293)=0),"",IF((TDBC-$B293)*24&gt;$AH293,"Đã vượt ước tính","Đã dùng "&amp;TEXT((TDBC-$B293)*24/$AH293,"0%")))))</f>
      </c>
      <c r="AD293" s="223">
        <f>IF(N($AO293)=0,"",CHOOSE($AO293,"Nhắc nhở","Cảnh báo","Báo động","Báo động đỏ"))</f>
      </c>
      <c r="AE293" s="223">
        <f>IF(OR(N($AA293)=0,N($U293)=0),"",IF($AA293&lt;=$U293,"Đúng hạn","Trễ hạn"))</f>
      </c>
      <c r="AF293" s="220">
        <f>IF($A293="","",_xlfn.MAXIFS('Nhật ký tiến độ'!$B$6:$B$3005,'Nhật ký tiến độ'!$C$6:$C$3005,$A293))</f>
      </c>
      <c r="AG293" s="223">
        <f>IF($A293="","",IF(COUNTIF('Kế hoạch'!$M$6:$M$305,$A293)=0,"",COUNTIF('Kế hoạch'!$M$6:$M$305,$A293)&amp;" việc"))</f>
      </c>
      <c r="AH293" s="224">
        <f>IF(OR($A293="",N($O293)&lt;=0),"",IF($P293="Giờ",$O293,$O293*24))</f>
      </c>
      <c r="AI293" s="224">
        <f>IF(OR(N($AA293)=0,N($B293)=0),"",IF($AA293&lt;$B293,"",($AA293-$B293)*24))</f>
      </c>
      <c r="AJ293" s="225">
        <f>IF($A293="","",IF(COUNTIF('Nhật ký tiến độ'!$C$6:$C$3005,$A293)=0,0,_xlfn.MAXIFS('Nhật ký tiến độ'!$N$6:$N$3005,'Nhật ký tiến độ'!$C$6:$C$3005,$A293,'Nhật ký tiến độ'!$B$6:$B$3005,_xlfn.MAXIFS('Nhật ký tiến độ'!$B$6:$B$3005,'Nhật ký tiến độ'!$C$6:$C$3005,$A293))))</f>
      </c>
      <c r="AK293" s="225">
        <f>IF(OR($A293="",$V293="Đã xử lý"),"",IF(N($AO293)&gt;0,5-$AO293,IF($J293="Khẩn cấp",5,IF($Y293="Chậm tiến độ",6,IF(OR($Y293="Sắp đến hạn",$J293="Cao"),7,"")))))</f>
      </c>
      <c r="AL293" s="225">
        <f>IF($AK293="","",$AK293*100000+IF(N($U293)=0,99999,INT($U293))+ROW()/100000)</f>
      </c>
      <c r="AM293" s="225">
        <f>IF(OR($A293="",TRIM($K293)="",COUNTIF($K$6:$K293,$K293)&gt;1),0,1)</f>
      </c>
      <c r="AN293" s="225">
        <f>IF($AM293=1,SUM($AM$6:$AM293),"")</f>
      </c>
      <c r="AO293" s="225">
        <f>IF(OR($A293="",$V293="Đã xử lý",N($U293)=0),0,IF(TDBC&lt;=$U293,0,MAX(1,MIN(4,IF((TDBC-$U293)*24&lt;24,1,IF((TDBC-$U293)*24&lt;72,2,IF((TDBC-$U293)*24&lt;168,3,4)))+IFERROR(INDEX({2,1,0,-1},MATCH($J293,{"Khẩn cấp","Cao","Trung bình","Thấp"},0)),0)))))</f>
      </c>
    </row>
    <row r="294">
      <c r="A294" s="216"/>
      <c r="B294" s="217"/>
      <c r="C294" s="218"/>
      <c r="D294" s="218"/>
      <c r="E294" s="218"/>
      <c r="F294" s="218"/>
      <c r="G294" s="216"/>
      <c r="H294" s="218"/>
      <c r="I294" s="218"/>
      <c r="J294" s="216"/>
      <c r="K294" s="218"/>
      <c r="L294" s="218"/>
      <c r="M294" s="218"/>
      <c r="N294" s="218"/>
      <c r="O294" s="219"/>
      <c r="P294" s="216"/>
      <c r="Q294" s="217"/>
      <c r="R294" s="216"/>
      <c r="S294" s="218"/>
      <c r="T294" s="218"/>
      <c r="U294" s="220">
        <f>IF($A294="","",IF(N($Q294)&gt;0,IF(MOD($Q294,1)=0,$Q294+1-1/1440,$Q294),IF(N($B294)=0,"",$B294+IF(N($AH294)&gt;0,$AH294,IFERROR(INDEX(DM_SLA_Gio,MATCH($J294,DM_SLA_Cap,0)),168))/24)))</f>
      </c>
      <c r="V294" s="221">
        <f>IF($A294="","",IF(N($AJ294)=0,"Mới tiếp nhận",INDEX('Nhật ký tiến độ'!$E:$E,$AJ294)))</f>
      </c>
      <c r="W294" s="222">
        <f>IF($A294="","",IF($V294="Đã xử lý",1,IF(N($AJ294)=0,0,N(INDEX('Nhật ký tiến độ'!$D:$D,$AJ294)))))</f>
      </c>
      <c r="X294" s="222">
        <f>IF(OR($A294="",$V294="Đã xử lý",N($U294)=0,N($B294)=0),"",IF(TDBC&lt;=$B294,0,IF(TDBC&gt;=$U294,1,(TDBC-$B294)/($U294-$B294))))</f>
      </c>
      <c r="Y294" s="223">
        <f>IF($A294="","",IF($V294="Đã xử lý","Hoàn thành",IF(N($U294)=0,"Chưa đặt hạn",IF(TDBC&gt;$U294,"Quá hạn",IF(ROUND((N($X294)-$W294)*100,0)&gt;=20,"Chậm tiến độ",IF($U294-TDBC&lt;=1,"Sắp đến hạn","Đúng tiến độ"))))))</f>
      </c>
      <c r="Z294" s="223">
        <f>IF(OR($A294="",$V294="Đã xử lý",N($U294)=0),"",IF(TDBC&gt;$U294,"Quá "&amp;IF(((TDBC-$U294)*24)&lt;1,MAX(1,ROUND(((TDBC-$U294)*24)*60,0))&amp;" phút",IF(ROUND(((TDBC-$U294)*24),0)&lt;24,ROUND(((TDBC-$U294)*24),0)&amp;" giờ",INT(ROUND(((TDBC-$U294)*24),0)/24)&amp;" ngày"&amp;IF(MOD(ROUND(((TDBC-$U294)*24),0),24)&gt;0," "&amp;MOD(ROUND(((TDBC-$U294)*24),0),24)&amp;" giờ",""))),"Còn "&amp;IF((($U294-TDBC)*24)&lt;1,MAX(1,ROUND((($U294-TDBC)*24)*60,0))&amp;" phút",IF(ROUND((($U294-TDBC)*24),0)&lt;24,ROUND((($U294-TDBC)*24),0)&amp;" giờ",INT(ROUND((($U294-TDBC)*24),0)/24)&amp;" ngày"&amp;IF(MOD(ROUND((($U294-TDBC)*24),0),24)&gt;0," "&amp;MOD(ROUND((($U294-TDBC)*24),0),24)&amp;" giờ","")))))</f>
      </c>
      <c r="AA294" s="220">
        <f>IF($V294="Đã xử lý",_xlfn.MAXIFS('Nhật ký tiến độ'!$B$6:$B$3005,'Nhật ký tiến độ'!$C$6:$C$3005,$A294,'Nhật ký tiến độ'!$E$6:$E$3005,"Đã xử lý"),"")</f>
      </c>
      <c r="AB294" s="223">
        <f>IF($AI294="","",IF($AI294&lt;1,MAX(1,ROUND($AI294*60,0))&amp;" phút",IF(ROUND($AI294,0)&lt;24,ROUND($AI294,0)&amp;" giờ",INT(ROUND($AI294,0)/24)&amp;" ngày"&amp;IF(MOD(ROUND($AI294,0),24)&gt;0," "&amp;MOD(ROUND($AI294,0),24)&amp;" giờ",""))))</f>
      </c>
      <c r="AC294" s="223">
        <f>IF(OR($A294="",N($AH294)=0),"",IF($AI294&lt;&gt;"",IF($AI294&lt;=$AH294,"Trong ước tính","Vượt "&amp;IF(($AI294-$AH294)&lt;1,MAX(1,ROUND(($AI294-$AH294)*60,0))&amp;" phút",IF(ROUND(($AI294-$AH294),0)&lt;24,ROUND(($AI294-$AH294),0)&amp;" giờ",INT(ROUND(($AI294-$AH294),0)/24)&amp;" ngày"&amp;IF(MOD(ROUND(($AI294-$AH294),0),24)&gt;0," "&amp;MOD(ROUND(($AI294-$AH294),0),24)&amp;" giờ","")))),IF(OR($V294="Đã xử lý",N($B294)=0),"",IF((TDBC-$B294)*24&gt;$AH294,"Đã vượt ước tính","Đã dùng "&amp;TEXT((TDBC-$B294)*24/$AH294,"0%")))))</f>
      </c>
      <c r="AD294" s="223">
        <f>IF(N($AO294)=0,"",CHOOSE($AO294,"Nhắc nhở","Cảnh báo","Báo động","Báo động đỏ"))</f>
      </c>
      <c r="AE294" s="223">
        <f>IF(OR(N($AA294)=0,N($U294)=0),"",IF($AA294&lt;=$U294,"Đúng hạn","Trễ hạn"))</f>
      </c>
      <c r="AF294" s="220">
        <f>IF($A294="","",_xlfn.MAXIFS('Nhật ký tiến độ'!$B$6:$B$3005,'Nhật ký tiến độ'!$C$6:$C$3005,$A294))</f>
      </c>
      <c r="AG294" s="223">
        <f>IF($A294="","",IF(COUNTIF('Kế hoạch'!$M$6:$M$305,$A294)=0,"",COUNTIF('Kế hoạch'!$M$6:$M$305,$A294)&amp;" việc"))</f>
      </c>
      <c r="AH294" s="224">
        <f>IF(OR($A294="",N($O294)&lt;=0),"",IF($P294="Giờ",$O294,$O294*24))</f>
      </c>
      <c r="AI294" s="224">
        <f>IF(OR(N($AA294)=0,N($B294)=0),"",IF($AA294&lt;$B294,"",($AA294-$B294)*24))</f>
      </c>
      <c r="AJ294" s="225">
        <f>IF($A294="","",IF(COUNTIF('Nhật ký tiến độ'!$C$6:$C$3005,$A294)=0,0,_xlfn.MAXIFS('Nhật ký tiến độ'!$N$6:$N$3005,'Nhật ký tiến độ'!$C$6:$C$3005,$A294,'Nhật ký tiến độ'!$B$6:$B$3005,_xlfn.MAXIFS('Nhật ký tiến độ'!$B$6:$B$3005,'Nhật ký tiến độ'!$C$6:$C$3005,$A294))))</f>
      </c>
      <c r="AK294" s="225">
        <f>IF(OR($A294="",$V294="Đã xử lý"),"",IF(N($AO294)&gt;0,5-$AO294,IF($J294="Khẩn cấp",5,IF($Y294="Chậm tiến độ",6,IF(OR($Y294="Sắp đến hạn",$J294="Cao"),7,"")))))</f>
      </c>
      <c r="AL294" s="225">
        <f>IF($AK294="","",$AK294*100000+IF(N($U294)=0,99999,INT($U294))+ROW()/100000)</f>
      </c>
      <c r="AM294" s="225">
        <f>IF(OR($A294="",TRIM($K294)="",COUNTIF($K$6:$K294,$K294)&gt;1),0,1)</f>
      </c>
      <c r="AN294" s="225">
        <f>IF($AM294=1,SUM($AM$6:$AM294),"")</f>
      </c>
      <c r="AO294" s="225">
        <f>IF(OR($A294="",$V294="Đã xử lý",N($U294)=0),0,IF(TDBC&lt;=$U294,0,MAX(1,MIN(4,IF((TDBC-$U294)*24&lt;24,1,IF((TDBC-$U294)*24&lt;72,2,IF((TDBC-$U294)*24&lt;168,3,4)))+IFERROR(INDEX({2,1,0,-1},MATCH($J294,{"Khẩn cấp","Cao","Trung bình","Thấp"},0)),0)))))</f>
      </c>
    </row>
    <row r="295">
      <c r="A295" s="216"/>
      <c r="B295" s="217"/>
      <c r="C295" s="218"/>
      <c r="D295" s="218"/>
      <c r="E295" s="218"/>
      <c r="F295" s="218"/>
      <c r="G295" s="216"/>
      <c r="H295" s="218"/>
      <c r="I295" s="218"/>
      <c r="J295" s="216"/>
      <c r="K295" s="218"/>
      <c r="L295" s="218"/>
      <c r="M295" s="218"/>
      <c r="N295" s="218"/>
      <c r="O295" s="219"/>
      <c r="P295" s="216"/>
      <c r="Q295" s="217"/>
      <c r="R295" s="216"/>
      <c r="S295" s="218"/>
      <c r="T295" s="218"/>
      <c r="U295" s="220">
        <f>IF($A295="","",IF(N($Q295)&gt;0,IF(MOD($Q295,1)=0,$Q295+1-1/1440,$Q295),IF(N($B295)=0,"",$B295+IF(N($AH295)&gt;0,$AH295,IFERROR(INDEX(DM_SLA_Gio,MATCH($J295,DM_SLA_Cap,0)),168))/24)))</f>
      </c>
      <c r="V295" s="221">
        <f>IF($A295="","",IF(N($AJ295)=0,"Mới tiếp nhận",INDEX('Nhật ký tiến độ'!$E:$E,$AJ295)))</f>
      </c>
      <c r="W295" s="222">
        <f>IF($A295="","",IF($V295="Đã xử lý",1,IF(N($AJ295)=0,0,N(INDEX('Nhật ký tiến độ'!$D:$D,$AJ295)))))</f>
      </c>
      <c r="X295" s="222">
        <f>IF(OR($A295="",$V295="Đã xử lý",N($U295)=0,N($B295)=0),"",IF(TDBC&lt;=$B295,0,IF(TDBC&gt;=$U295,1,(TDBC-$B295)/($U295-$B295))))</f>
      </c>
      <c r="Y295" s="223">
        <f>IF($A295="","",IF($V295="Đã xử lý","Hoàn thành",IF(N($U295)=0,"Chưa đặt hạn",IF(TDBC&gt;$U295,"Quá hạn",IF(ROUND((N($X295)-$W295)*100,0)&gt;=20,"Chậm tiến độ",IF($U295-TDBC&lt;=1,"Sắp đến hạn","Đúng tiến độ"))))))</f>
      </c>
      <c r="Z295" s="223">
        <f>IF(OR($A295="",$V295="Đã xử lý",N($U295)=0),"",IF(TDBC&gt;$U295,"Quá "&amp;IF(((TDBC-$U295)*24)&lt;1,MAX(1,ROUND(((TDBC-$U295)*24)*60,0))&amp;" phút",IF(ROUND(((TDBC-$U295)*24),0)&lt;24,ROUND(((TDBC-$U295)*24),0)&amp;" giờ",INT(ROUND(((TDBC-$U295)*24),0)/24)&amp;" ngày"&amp;IF(MOD(ROUND(((TDBC-$U295)*24),0),24)&gt;0," "&amp;MOD(ROUND(((TDBC-$U295)*24),0),24)&amp;" giờ",""))),"Còn "&amp;IF((($U295-TDBC)*24)&lt;1,MAX(1,ROUND((($U295-TDBC)*24)*60,0))&amp;" phút",IF(ROUND((($U295-TDBC)*24),0)&lt;24,ROUND((($U295-TDBC)*24),0)&amp;" giờ",INT(ROUND((($U295-TDBC)*24),0)/24)&amp;" ngày"&amp;IF(MOD(ROUND((($U295-TDBC)*24),0),24)&gt;0," "&amp;MOD(ROUND((($U295-TDBC)*24),0),24)&amp;" giờ","")))))</f>
      </c>
      <c r="AA295" s="220">
        <f>IF($V295="Đã xử lý",_xlfn.MAXIFS('Nhật ký tiến độ'!$B$6:$B$3005,'Nhật ký tiến độ'!$C$6:$C$3005,$A295,'Nhật ký tiến độ'!$E$6:$E$3005,"Đã xử lý"),"")</f>
      </c>
      <c r="AB295" s="223">
        <f>IF($AI295="","",IF($AI295&lt;1,MAX(1,ROUND($AI295*60,0))&amp;" phút",IF(ROUND($AI295,0)&lt;24,ROUND($AI295,0)&amp;" giờ",INT(ROUND($AI295,0)/24)&amp;" ngày"&amp;IF(MOD(ROUND($AI295,0),24)&gt;0," "&amp;MOD(ROUND($AI295,0),24)&amp;" giờ",""))))</f>
      </c>
      <c r="AC295" s="223">
        <f>IF(OR($A295="",N($AH295)=0),"",IF($AI295&lt;&gt;"",IF($AI295&lt;=$AH295,"Trong ước tính","Vượt "&amp;IF(($AI295-$AH295)&lt;1,MAX(1,ROUND(($AI295-$AH295)*60,0))&amp;" phút",IF(ROUND(($AI295-$AH295),0)&lt;24,ROUND(($AI295-$AH295),0)&amp;" giờ",INT(ROUND(($AI295-$AH295),0)/24)&amp;" ngày"&amp;IF(MOD(ROUND(($AI295-$AH295),0),24)&gt;0," "&amp;MOD(ROUND(($AI295-$AH295),0),24)&amp;" giờ","")))),IF(OR($V295="Đã xử lý",N($B295)=0),"",IF((TDBC-$B295)*24&gt;$AH295,"Đã vượt ước tính","Đã dùng "&amp;TEXT((TDBC-$B295)*24/$AH295,"0%")))))</f>
      </c>
      <c r="AD295" s="223">
        <f>IF(N($AO295)=0,"",CHOOSE($AO295,"Nhắc nhở","Cảnh báo","Báo động","Báo động đỏ"))</f>
      </c>
      <c r="AE295" s="223">
        <f>IF(OR(N($AA295)=0,N($U295)=0),"",IF($AA295&lt;=$U295,"Đúng hạn","Trễ hạn"))</f>
      </c>
      <c r="AF295" s="220">
        <f>IF($A295="","",_xlfn.MAXIFS('Nhật ký tiến độ'!$B$6:$B$3005,'Nhật ký tiến độ'!$C$6:$C$3005,$A295))</f>
      </c>
      <c r="AG295" s="223">
        <f>IF($A295="","",IF(COUNTIF('Kế hoạch'!$M$6:$M$305,$A295)=0,"",COUNTIF('Kế hoạch'!$M$6:$M$305,$A295)&amp;" việc"))</f>
      </c>
      <c r="AH295" s="224">
        <f>IF(OR($A295="",N($O295)&lt;=0),"",IF($P295="Giờ",$O295,$O295*24))</f>
      </c>
      <c r="AI295" s="224">
        <f>IF(OR(N($AA295)=0,N($B295)=0),"",IF($AA295&lt;$B295,"",($AA295-$B295)*24))</f>
      </c>
      <c r="AJ295" s="225">
        <f>IF($A295="","",IF(COUNTIF('Nhật ký tiến độ'!$C$6:$C$3005,$A295)=0,0,_xlfn.MAXIFS('Nhật ký tiến độ'!$N$6:$N$3005,'Nhật ký tiến độ'!$C$6:$C$3005,$A295,'Nhật ký tiến độ'!$B$6:$B$3005,_xlfn.MAXIFS('Nhật ký tiến độ'!$B$6:$B$3005,'Nhật ký tiến độ'!$C$6:$C$3005,$A295))))</f>
      </c>
      <c r="AK295" s="225">
        <f>IF(OR($A295="",$V295="Đã xử lý"),"",IF(N($AO295)&gt;0,5-$AO295,IF($J295="Khẩn cấp",5,IF($Y295="Chậm tiến độ",6,IF(OR($Y295="Sắp đến hạn",$J295="Cao"),7,"")))))</f>
      </c>
      <c r="AL295" s="225">
        <f>IF($AK295="","",$AK295*100000+IF(N($U295)=0,99999,INT($U295))+ROW()/100000)</f>
      </c>
      <c r="AM295" s="225">
        <f>IF(OR($A295="",TRIM($K295)="",COUNTIF($K$6:$K295,$K295)&gt;1),0,1)</f>
      </c>
      <c r="AN295" s="225">
        <f>IF($AM295=1,SUM($AM$6:$AM295),"")</f>
      </c>
      <c r="AO295" s="225">
        <f>IF(OR($A295="",$V295="Đã xử lý",N($U295)=0),0,IF(TDBC&lt;=$U295,0,MAX(1,MIN(4,IF((TDBC-$U295)*24&lt;24,1,IF((TDBC-$U295)*24&lt;72,2,IF((TDBC-$U295)*24&lt;168,3,4)))+IFERROR(INDEX({2,1,0,-1},MATCH($J295,{"Khẩn cấp","Cao","Trung bình","Thấp"},0)),0)))))</f>
      </c>
    </row>
    <row r="296">
      <c r="A296" s="216"/>
      <c r="B296" s="217"/>
      <c r="C296" s="218"/>
      <c r="D296" s="218"/>
      <c r="E296" s="218"/>
      <c r="F296" s="218"/>
      <c r="G296" s="216"/>
      <c r="H296" s="218"/>
      <c r="I296" s="218"/>
      <c r="J296" s="216"/>
      <c r="K296" s="218"/>
      <c r="L296" s="218"/>
      <c r="M296" s="218"/>
      <c r="N296" s="218"/>
      <c r="O296" s="219"/>
      <c r="P296" s="216"/>
      <c r="Q296" s="217"/>
      <c r="R296" s="216"/>
      <c r="S296" s="218"/>
      <c r="T296" s="218"/>
      <c r="U296" s="220">
        <f>IF($A296="","",IF(N($Q296)&gt;0,IF(MOD($Q296,1)=0,$Q296+1-1/1440,$Q296),IF(N($B296)=0,"",$B296+IF(N($AH296)&gt;0,$AH296,IFERROR(INDEX(DM_SLA_Gio,MATCH($J296,DM_SLA_Cap,0)),168))/24)))</f>
      </c>
      <c r="V296" s="221">
        <f>IF($A296="","",IF(N($AJ296)=0,"Mới tiếp nhận",INDEX('Nhật ký tiến độ'!$E:$E,$AJ296)))</f>
      </c>
      <c r="W296" s="222">
        <f>IF($A296="","",IF($V296="Đã xử lý",1,IF(N($AJ296)=0,0,N(INDEX('Nhật ký tiến độ'!$D:$D,$AJ296)))))</f>
      </c>
      <c r="X296" s="222">
        <f>IF(OR($A296="",$V296="Đã xử lý",N($U296)=0,N($B296)=0),"",IF(TDBC&lt;=$B296,0,IF(TDBC&gt;=$U296,1,(TDBC-$B296)/($U296-$B296))))</f>
      </c>
      <c r="Y296" s="223">
        <f>IF($A296="","",IF($V296="Đã xử lý","Hoàn thành",IF(N($U296)=0,"Chưa đặt hạn",IF(TDBC&gt;$U296,"Quá hạn",IF(ROUND((N($X296)-$W296)*100,0)&gt;=20,"Chậm tiến độ",IF($U296-TDBC&lt;=1,"Sắp đến hạn","Đúng tiến độ"))))))</f>
      </c>
      <c r="Z296" s="223">
        <f>IF(OR($A296="",$V296="Đã xử lý",N($U296)=0),"",IF(TDBC&gt;$U296,"Quá "&amp;IF(((TDBC-$U296)*24)&lt;1,MAX(1,ROUND(((TDBC-$U296)*24)*60,0))&amp;" phút",IF(ROUND(((TDBC-$U296)*24),0)&lt;24,ROUND(((TDBC-$U296)*24),0)&amp;" giờ",INT(ROUND(((TDBC-$U296)*24),0)/24)&amp;" ngày"&amp;IF(MOD(ROUND(((TDBC-$U296)*24),0),24)&gt;0," "&amp;MOD(ROUND(((TDBC-$U296)*24),0),24)&amp;" giờ",""))),"Còn "&amp;IF((($U296-TDBC)*24)&lt;1,MAX(1,ROUND((($U296-TDBC)*24)*60,0))&amp;" phút",IF(ROUND((($U296-TDBC)*24),0)&lt;24,ROUND((($U296-TDBC)*24),0)&amp;" giờ",INT(ROUND((($U296-TDBC)*24),0)/24)&amp;" ngày"&amp;IF(MOD(ROUND((($U296-TDBC)*24),0),24)&gt;0," "&amp;MOD(ROUND((($U296-TDBC)*24),0),24)&amp;" giờ","")))))</f>
      </c>
      <c r="AA296" s="220">
        <f>IF($V296="Đã xử lý",_xlfn.MAXIFS('Nhật ký tiến độ'!$B$6:$B$3005,'Nhật ký tiến độ'!$C$6:$C$3005,$A296,'Nhật ký tiến độ'!$E$6:$E$3005,"Đã xử lý"),"")</f>
      </c>
      <c r="AB296" s="223">
        <f>IF($AI296="","",IF($AI296&lt;1,MAX(1,ROUND($AI296*60,0))&amp;" phút",IF(ROUND($AI296,0)&lt;24,ROUND($AI296,0)&amp;" giờ",INT(ROUND($AI296,0)/24)&amp;" ngày"&amp;IF(MOD(ROUND($AI296,0),24)&gt;0," "&amp;MOD(ROUND($AI296,0),24)&amp;" giờ",""))))</f>
      </c>
      <c r="AC296" s="223">
        <f>IF(OR($A296="",N($AH296)=0),"",IF($AI296&lt;&gt;"",IF($AI296&lt;=$AH296,"Trong ước tính","Vượt "&amp;IF(($AI296-$AH296)&lt;1,MAX(1,ROUND(($AI296-$AH296)*60,0))&amp;" phút",IF(ROUND(($AI296-$AH296),0)&lt;24,ROUND(($AI296-$AH296),0)&amp;" giờ",INT(ROUND(($AI296-$AH296),0)/24)&amp;" ngày"&amp;IF(MOD(ROUND(($AI296-$AH296),0),24)&gt;0," "&amp;MOD(ROUND(($AI296-$AH296),0),24)&amp;" giờ","")))),IF(OR($V296="Đã xử lý",N($B296)=0),"",IF((TDBC-$B296)*24&gt;$AH296,"Đã vượt ước tính","Đã dùng "&amp;TEXT((TDBC-$B296)*24/$AH296,"0%")))))</f>
      </c>
      <c r="AD296" s="223">
        <f>IF(N($AO296)=0,"",CHOOSE($AO296,"Nhắc nhở","Cảnh báo","Báo động","Báo động đỏ"))</f>
      </c>
      <c r="AE296" s="223">
        <f>IF(OR(N($AA296)=0,N($U296)=0),"",IF($AA296&lt;=$U296,"Đúng hạn","Trễ hạn"))</f>
      </c>
      <c r="AF296" s="220">
        <f>IF($A296="","",_xlfn.MAXIFS('Nhật ký tiến độ'!$B$6:$B$3005,'Nhật ký tiến độ'!$C$6:$C$3005,$A296))</f>
      </c>
      <c r="AG296" s="223">
        <f>IF($A296="","",IF(COUNTIF('Kế hoạch'!$M$6:$M$305,$A296)=0,"",COUNTIF('Kế hoạch'!$M$6:$M$305,$A296)&amp;" việc"))</f>
      </c>
      <c r="AH296" s="224">
        <f>IF(OR($A296="",N($O296)&lt;=0),"",IF($P296="Giờ",$O296,$O296*24))</f>
      </c>
      <c r="AI296" s="224">
        <f>IF(OR(N($AA296)=0,N($B296)=0),"",IF($AA296&lt;$B296,"",($AA296-$B296)*24))</f>
      </c>
      <c r="AJ296" s="225">
        <f>IF($A296="","",IF(COUNTIF('Nhật ký tiến độ'!$C$6:$C$3005,$A296)=0,0,_xlfn.MAXIFS('Nhật ký tiến độ'!$N$6:$N$3005,'Nhật ký tiến độ'!$C$6:$C$3005,$A296,'Nhật ký tiến độ'!$B$6:$B$3005,_xlfn.MAXIFS('Nhật ký tiến độ'!$B$6:$B$3005,'Nhật ký tiến độ'!$C$6:$C$3005,$A296))))</f>
      </c>
      <c r="AK296" s="225">
        <f>IF(OR($A296="",$V296="Đã xử lý"),"",IF(N($AO296)&gt;0,5-$AO296,IF($J296="Khẩn cấp",5,IF($Y296="Chậm tiến độ",6,IF(OR($Y296="Sắp đến hạn",$J296="Cao"),7,"")))))</f>
      </c>
      <c r="AL296" s="225">
        <f>IF($AK296="","",$AK296*100000+IF(N($U296)=0,99999,INT($U296))+ROW()/100000)</f>
      </c>
      <c r="AM296" s="225">
        <f>IF(OR($A296="",TRIM($K296)="",COUNTIF($K$6:$K296,$K296)&gt;1),0,1)</f>
      </c>
      <c r="AN296" s="225">
        <f>IF($AM296=1,SUM($AM$6:$AM296),"")</f>
      </c>
      <c r="AO296" s="225">
        <f>IF(OR($A296="",$V296="Đã xử lý",N($U296)=0),0,IF(TDBC&lt;=$U296,0,MAX(1,MIN(4,IF((TDBC-$U296)*24&lt;24,1,IF((TDBC-$U296)*24&lt;72,2,IF((TDBC-$U296)*24&lt;168,3,4)))+IFERROR(INDEX({2,1,0,-1},MATCH($J296,{"Khẩn cấp","Cao","Trung bình","Thấp"},0)),0)))))</f>
      </c>
    </row>
    <row r="297">
      <c r="A297" s="216"/>
      <c r="B297" s="217"/>
      <c r="C297" s="218"/>
      <c r="D297" s="218"/>
      <c r="E297" s="218"/>
      <c r="F297" s="218"/>
      <c r="G297" s="216"/>
      <c r="H297" s="218"/>
      <c r="I297" s="218"/>
      <c r="J297" s="216"/>
      <c r="K297" s="218"/>
      <c r="L297" s="218"/>
      <c r="M297" s="218"/>
      <c r="N297" s="218"/>
      <c r="O297" s="219"/>
      <c r="P297" s="216"/>
      <c r="Q297" s="217"/>
      <c r="R297" s="216"/>
      <c r="S297" s="218"/>
      <c r="T297" s="218"/>
      <c r="U297" s="220">
        <f>IF($A297="","",IF(N($Q297)&gt;0,IF(MOD($Q297,1)=0,$Q297+1-1/1440,$Q297),IF(N($B297)=0,"",$B297+IF(N($AH297)&gt;0,$AH297,IFERROR(INDEX(DM_SLA_Gio,MATCH($J297,DM_SLA_Cap,0)),168))/24)))</f>
      </c>
      <c r="V297" s="221">
        <f>IF($A297="","",IF(N($AJ297)=0,"Mới tiếp nhận",INDEX('Nhật ký tiến độ'!$E:$E,$AJ297)))</f>
      </c>
      <c r="W297" s="222">
        <f>IF($A297="","",IF($V297="Đã xử lý",1,IF(N($AJ297)=0,0,N(INDEX('Nhật ký tiến độ'!$D:$D,$AJ297)))))</f>
      </c>
      <c r="X297" s="222">
        <f>IF(OR($A297="",$V297="Đã xử lý",N($U297)=0,N($B297)=0),"",IF(TDBC&lt;=$B297,0,IF(TDBC&gt;=$U297,1,(TDBC-$B297)/($U297-$B297))))</f>
      </c>
      <c r="Y297" s="223">
        <f>IF($A297="","",IF($V297="Đã xử lý","Hoàn thành",IF(N($U297)=0,"Chưa đặt hạn",IF(TDBC&gt;$U297,"Quá hạn",IF(ROUND((N($X297)-$W297)*100,0)&gt;=20,"Chậm tiến độ",IF($U297-TDBC&lt;=1,"Sắp đến hạn","Đúng tiến độ"))))))</f>
      </c>
      <c r="Z297" s="223">
        <f>IF(OR($A297="",$V297="Đã xử lý",N($U297)=0),"",IF(TDBC&gt;$U297,"Quá "&amp;IF(((TDBC-$U297)*24)&lt;1,MAX(1,ROUND(((TDBC-$U297)*24)*60,0))&amp;" phút",IF(ROUND(((TDBC-$U297)*24),0)&lt;24,ROUND(((TDBC-$U297)*24),0)&amp;" giờ",INT(ROUND(((TDBC-$U297)*24),0)/24)&amp;" ngày"&amp;IF(MOD(ROUND(((TDBC-$U297)*24),0),24)&gt;0," "&amp;MOD(ROUND(((TDBC-$U297)*24),0),24)&amp;" giờ",""))),"Còn "&amp;IF((($U297-TDBC)*24)&lt;1,MAX(1,ROUND((($U297-TDBC)*24)*60,0))&amp;" phút",IF(ROUND((($U297-TDBC)*24),0)&lt;24,ROUND((($U297-TDBC)*24),0)&amp;" giờ",INT(ROUND((($U297-TDBC)*24),0)/24)&amp;" ngày"&amp;IF(MOD(ROUND((($U297-TDBC)*24),0),24)&gt;0," "&amp;MOD(ROUND((($U297-TDBC)*24),0),24)&amp;" giờ","")))))</f>
      </c>
      <c r="AA297" s="220">
        <f>IF($V297="Đã xử lý",_xlfn.MAXIFS('Nhật ký tiến độ'!$B$6:$B$3005,'Nhật ký tiến độ'!$C$6:$C$3005,$A297,'Nhật ký tiến độ'!$E$6:$E$3005,"Đã xử lý"),"")</f>
      </c>
      <c r="AB297" s="223">
        <f>IF($AI297="","",IF($AI297&lt;1,MAX(1,ROUND($AI297*60,0))&amp;" phút",IF(ROUND($AI297,0)&lt;24,ROUND($AI297,0)&amp;" giờ",INT(ROUND($AI297,0)/24)&amp;" ngày"&amp;IF(MOD(ROUND($AI297,0),24)&gt;0," "&amp;MOD(ROUND($AI297,0),24)&amp;" giờ",""))))</f>
      </c>
      <c r="AC297" s="223">
        <f>IF(OR($A297="",N($AH297)=0),"",IF($AI297&lt;&gt;"",IF($AI297&lt;=$AH297,"Trong ước tính","Vượt "&amp;IF(($AI297-$AH297)&lt;1,MAX(1,ROUND(($AI297-$AH297)*60,0))&amp;" phút",IF(ROUND(($AI297-$AH297),0)&lt;24,ROUND(($AI297-$AH297),0)&amp;" giờ",INT(ROUND(($AI297-$AH297),0)/24)&amp;" ngày"&amp;IF(MOD(ROUND(($AI297-$AH297),0),24)&gt;0," "&amp;MOD(ROUND(($AI297-$AH297),0),24)&amp;" giờ","")))),IF(OR($V297="Đã xử lý",N($B297)=0),"",IF((TDBC-$B297)*24&gt;$AH297,"Đã vượt ước tính","Đã dùng "&amp;TEXT((TDBC-$B297)*24/$AH297,"0%")))))</f>
      </c>
      <c r="AD297" s="223">
        <f>IF(N($AO297)=0,"",CHOOSE($AO297,"Nhắc nhở","Cảnh báo","Báo động","Báo động đỏ"))</f>
      </c>
      <c r="AE297" s="223">
        <f>IF(OR(N($AA297)=0,N($U297)=0),"",IF($AA297&lt;=$U297,"Đúng hạn","Trễ hạn"))</f>
      </c>
      <c r="AF297" s="220">
        <f>IF($A297="","",_xlfn.MAXIFS('Nhật ký tiến độ'!$B$6:$B$3005,'Nhật ký tiến độ'!$C$6:$C$3005,$A297))</f>
      </c>
      <c r="AG297" s="223">
        <f>IF($A297="","",IF(COUNTIF('Kế hoạch'!$M$6:$M$305,$A297)=0,"",COUNTIF('Kế hoạch'!$M$6:$M$305,$A297)&amp;" việc"))</f>
      </c>
      <c r="AH297" s="224">
        <f>IF(OR($A297="",N($O297)&lt;=0),"",IF($P297="Giờ",$O297,$O297*24))</f>
      </c>
      <c r="AI297" s="224">
        <f>IF(OR(N($AA297)=0,N($B297)=0),"",IF($AA297&lt;$B297,"",($AA297-$B297)*24))</f>
      </c>
      <c r="AJ297" s="225">
        <f>IF($A297="","",IF(COUNTIF('Nhật ký tiến độ'!$C$6:$C$3005,$A297)=0,0,_xlfn.MAXIFS('Nhật ký tiến độ'!$N$6:$N$3005,'Nhật ký tiến độ'!$C$6:$C$3005,$A297,'Nhật ký tiến độ'!$B$6:$B$3005,_xlfn.MAXIFS('Nhật ký tiến độ'!$B$6:$B$3005,'Nhật ký tiến độ'!$C$6:$C$3005,$A297))))</f>
      </c>
      <c r="AK297" s="225">
        <f>IF(OR($A297="",$V297="Đã xử lý"),"",IF(N($AO297)&gt;0,5-$AO297,IF($J297="Khẩn cấp",5,IF($Y297="Chậm tiến độ",6,IF(OR($Y297="Sắp đến hạn",$J297="Cao"),7,"")))))</f>
      </c>
      <c r="AL297" s="225">
        <f>IF($AK297="","",$AK297*100000+IF(N($U297)=0,99999,INT($U297))+ROW()/100000)</f>
      </c>
      <c r="AM297" s="225">
        <f>IF(OR($A297="",TRIM($K297)="",COUNTIF($K$6:$K297,$K297)&gt;1),0,1)</f>
      </c>
      <c r="AN297" s="225">
        <f>IF($AM297=1,SUM($AM$6:$AM297),"")</f>
      </c>
      <c r="AO297" s="225">
        <f>IF(OR($A297="",$V297="Đã xử lý",N($U297)=0),0,IF(TDBC&lt;=$U297,0,MAX(1,MIN(4,IF((TDBC-$U297)*24&lt;24,1,IF((TDBC-$U297)*24&lt;72,2,IF((TDBC-$U297)*24&lt;168,3,4)))+IFERROR(INDEX({2,1,0,-1},MATCH($J297,{"Khẩn cấp","Cao","Trung bình","Thấp"},0)),0)))))</f>
      </c>
    </row>
    <row r="298">
      <c r="A298" s="216"/>
      <c r="B298" s="217"/>
      <c r="C298" s="218"/>
      <c r="D298" s="218"/>
      <c r="E298" s="218"/>
      <c r="F298" s="218"/>
      <c r="G298" s="216"/>
      <c r="H298" s="218"/>
      <c r="I298" s="218"/>
      <c r="J298" s="216"/>
      <c r="K298" s="218"/>
      <c r="L298" s="218"/>
      <c r="M298" s="218"/>
      <c r="N298" s="218"/>
      <c r="O298" s="219"/>
      <c r="P298" s="216"/>
      <c r="Q298" s="217"/>
      <c r="R298" s="216"/>
      <c r="S298" s="218"/>
      <c r="T298" s="218"/>
      <c r="U298" s="220">
        <f>IF($A298="","",IF(N($Q298)&gt;0,IF(MOD($Q298,1)=0,$Q298+1-1/1440,$Q298),IF(N($B298)=0,"",$B298+IF(N($AH298)&gt;0,$AH298,IFERROR(INDEX(DM_SLA_Gio,MATCH($J298,DM_SLA_Cap,0)),168))/24)))</f>
      </c>
      <c r="V298" s="221">
        <f>IF($A298="","",IF(N($AJ298)=0,"Mới tiếp nhận",INDEX('Nhật ký tiến độ'!$E:$E,$AJ298)))</f>
      </c>
      <c r="W298" s="222">
        <f>IF($A298="","",IF($V298="Đã xử lý",1,IF(N($AJ298)=0,0,N(INDEX('Nhật ký tiến độ'!$D:$D,$AJ298)))))</f>
      </c>
      <c r="X298" s="222">
        <f>IF(OR($A298="",$V298="Đã xử lý",N($U298)=0,N($B298)=0),"",IF(TDBC&lt;=$B298,0,IF(TDBC&gt;=$U298,1,(TDBC-$B298)/($U298-$B298))))</f>
      </c>
      <c r="Y298" s="223">
        <f>IF($A298="","",IF($V298="Đã xử lý","Hoàn thành",IF(N($U298)=0,"Chưa đặt hạn",IF(TDBC&gt;$U298,"Quá hạn",IF(ROUND((N($X298)-$W298)*100,0)&gt;=20,"Chậm tiến độ",IF($U298-TDBC&lt;=1,"Sắp đến hạn","Đúng tiến độ"))))))</f>
      </c>
      <c r="Z298" s="223">
        <f>IF(OR($A298="",$V298="Đã xử lý",N($U298)=0),"",IF(TDBC&gt;$U298,"Quá "&amp;IF(((TDBC-$U298)*24)&lt;1,MAX(1,ROUND(((TDBC-$U298)*24)*60,0))&amp;" phút",IF(ROUND(((TDBC-$U298)*24),0)&lt;24,ROUND(((TDBC-$U298)*24),0)&amp;" giờ",INT(ROUND(((TDBC-$U298)*24),0)/24)&amp;" ngày"&amp;IF(MOD(ROUND(((TDBC-$U298)*24),0),24)&gt;0," "&amp;MOD(ROUND(((TDBC-$U298)*24),0),24)&amp;" giờ",""))),"Còn "&amp;IF((($U298-TDBC)*24)&lt;1,MAX(1,ROUND((($U298-TDBC)*24)*60,0))&amp;" phút",IF(ROUND((($U298-TDBC)*24),0)&lt;24,ROUND((($U298-TDBC)*24),0)&amp;" giờ",INT(ROUND((($U298-TDBC)*24),0)/24)&amp;" ngày"&amp;IF(MOD(ROUND((($U298-TDBC)*24),0),24)&gt;0," "&amp;MOD(ROUND((($U298-TDBC)*24),0),24)&amp;" giờ","")))))</f>
      </c>
      <c r="AA298" s="220">
        <f>IF($V298="Đã xử lý",_xlfn.MAXIFS('Nhật ký tiến độ'!$B$6:$B$3005,'Nhật ký tiến độ'!$C$6:$C$3005,$A298,'Nhật ký tiến độ'!$E$6:$E$3005,"Đã xử lý"),"")</f>
      </c>
      <c r="AB298" s="223">
        <f>IF($AI298="","",IF($AI298&lt;1,MAX(1,ROUND($AI298*60,0))&amp;" phút",IF(ROUND($AI298,0)&lt;24,ROUND($AI298,0)&amp;" giờ",INT(ROUND($AI298,0)/24)&amp;" ngày"&amp;IF(MOD(ROUND($AI298,0),24)&gt;0," "&amp;MOD(ROUND($AI298,0),24)&amp;" giờ",""))))</f>
      </c>
      <c r="AC298" s="223">
        <f>IF(OR($A298="",N($AH298)=0),"",IF($AI298&lt;&gt;"",IF($AI298&lt;=$AH298,"Trong ước tính","Vượt "&amp;IF(($AI298-$AH298)&lt;1,MAX(1,ROUND(($AI298-$AH298)*60,0))&amp;" phút",IF(ROUND(($AI298-$AH298),0)&lt;24,ROUND(($AI298-$AH298),0)&amp;" giờ",INT(ROUND(($AI298-$AH298),0)/24)&amp;" ngày"&amp;IF(MOD(ROUND(($AI298-$AH298),0),24)&gt;0," "&amp;MOD(ROUND(($AI298-$AH298),0),24)&amp;" giờ","")))),IF(OR($V298="Đã xử lý",N($B298)=0),"",IF((TDBC-$B298)*24&gt;$AH298,"Đã vượt ước tính","Đã dùng "&amp;TEXT((TDBC-$B298)*24/$AH298,"0%")))))</f>
      </c>
      <c r="AD298" s="223">
        <f>IF(N($AO298)=0,"",CHOOSE($AO298,"Nhắc nhở","Cảnh báo","Báo động","Báo động đỏ"))</f>
      </c>
      <c r="AE298" s="223">
        <f>IF(OR(N($AA298)=0,N($U298)=0),"",IF($AA298&lt;=$U298,"Đúng hạn","Trễ hạn"))</f>
      </c>
      <c r="AF298" s="220">
        <f>IF($A298="","",_xlfn.MAXIFS('Nhật ký tiến độ'!$B$6:$B$3005,'Nhật ký tiến độ'!$C$6:$C$3005,$A298))</f>
      </c>
      <c r="AG298" s="223">
        <f>IF($A298="","",IF(COUNTIF('Kế hoạch'!$M$6:$M$305,$A298)=0,"",COUNTIF('Kế hoạch'!$M$6:$M$305,$A298)&amp;" việc"))</f>
      </c>
      <c r="AH298" s="224">
        <f>IF(OR($A298="",N($O298)&lt;=0),"",IF($P298="Giờ",$O298,$O298*24))</f>
      </c>
      <c r="AI298" s="224">
        <f>IF(OR(N($AA298)=0,N($B298)=0),"",IF($AA298&lt;$B298,"",($AA298-$B298)*24))</f>
      </c>
      <c r="AJ298" s="225">
        <f>IF($A298="","",IF(COUNTIF('Nhật ký tiến độ'!$C$6:$C$3005,$A298)=0,0,_xlfn.MAXIFS('Nhật ký tiến độ'!$N$6:$N$3005,'Nhật ký tiến độ'!$C$6:$C$3005,$A298,'Nhật ký tiến độ'!$B$6:$B$3005,_xlfn.MAXIFS('Nhật ký tiến độ'!$B$6:$B$3005,'Nhật ký tiến độ'!$C$6:$C$3005,$A298))))</f>
      </c>
      <c r="AK298" s="225">
        <f>IF(OR($A298="",$V298="Đã xử lý"),"",IF(N($AO298)&gt;0,5-$AO298,IF($J298="Khẩn cấp",5,IF($Y298="Chậm tiến độ",6,IF(OR($Y298="Sắp đến hạn",$J298="Cao"),7,"")))))</f>
      </c>
      <c r="AL298" s="225">
        <f>IF($AK298="","",$AK298*100000+IF(N($U298)=0,99999,INT($U298))+ROW()/100000)</f>
      </c>
      <c r="AM298" s="225">
        <f>IF(OR($A298="",TRIM($K298)="",COUNTIF($K$6:$K298,$K298)&gt;1),0,1)</f>
      </c>
      <c r="AN298" s="225">
        <f>IF($AM298=1,SUM($AM$6:$AM298),"")</f>
      </c>
      <c r="AO298" s="225">
        <f>IF(OR($A298="",$V298="Đã xử lý",N($U298)=0),0,IF(TDBC&lt;=$U298,0,MAX(1,MIN(4,IF((TDBC-$U298)*24&lt;24,1,IF((TDBC-$U298)*24&lt;72,2,IF((TDBC-$U298)*24&lt;168,3,4)))+IFERROR(INDEX({2,1,0,-1},MATCH($J298,{"Khẩn cấp","Cao","Trung bình","Thấp"},0)),0)))))</f>
      </c>
    </row>
    <row r="299">
      <c r="A299" s="216"/>
      <c r="B299" s="217"/>
      <c r="C299" s="218"/>
      <c r="D299" s="218"/>
      <c r="E299" s="218"/>
      <c r="F299" s="218"/>
      <c r="G299" s="216"/>
      <c r="H299" s="218"/>
      <c r="I299" s="218"/>
      <c r="J299" s="216"/>
      <c r="K299" s="218"/>
      <c r="L299" s="218"/>
      <c r="M299" s="218"/>
      <c r="N299" s="218"/>
      <c r="O299" s="219"/>
      <c r="P299" s="216"/>
      <c r="Q299" s="217"/>
      <c r="R299" s="216"/>
      <c r="S299" s="218"/>
      <c r="T299" s="218"/>
      <c r="U299" s="220">
        <f>IF($A299="","",IF(N($Q299)&gt;0,IF(MOD($Q299,1)=0,$Q299+1-1/1440,$Q299),IF(N($B299)=0,"",$B299+IF(N($AH299)&gt;0,$AH299,IFERROR(INDEX(DM_SLA_Gio,MATCH($J299,DM_SLA_Cap,0)),168))/24)))</f>
      </c>
      <c r="V299" s="221">
        <f>IF($A299="","",IF(N($AJ299)=0,"Mới tiếp nhận",INDEX('Nhật ký tiến độ'!$E:$E,$AJ299)))</f>
      </c>
      <c r="W299" s="222">
        <f>IF($A299="","",IF($V299="Đã xử lý",1,IF(N($AJ299)=0,0,N(INDEX('Nhật ký tiến độ'!$D:$D,$AJ299)))))</f>
      </c>
      <c r="X299" s="222">
        <f>IF(OR($A299="",$V299="Đã xử lý",N($U299)=0,N($B299)=0),"",IF(TDBC&lt;=$B299,0,IF(TDBC&gt;=$U299,1,(TDBC-$B299)/($U299-$B299))))</f>
      </c>
      <c r="Y299" s="223">
        <f>IF($A299="","",IF($V299="Đã xử lý","Hoàn thành",IF(N($U299)=0,"Chưa đặt hạn",IF(TDBC&gt;$U299,"Quá hạn",IF(ROUND((N($X299)-$W299)*100,0)&gt;=20,"Chậm tiến độ",IF($U299-TDBC&lt;=1,"Sắp đến hạn","Đúng tiến độ"))))))</f>
      </c>
      <c r="Z299" s="223">
        <f>IF(OR($A299="",$V299="Đã xử lý",N($U299)=0),"",IF(TDBC&gt;$U299,"Quá "&amp;IF(((TDBC-$U299)*24)&lt;1,MAX(1,ROUND(((TDBC-$U299)*24)*60,0))&amp;" phút",IF(ROUND(((TDBC-$U299)*24),0)&lt;24,ROUND(((TDBC-$U299)*24),0)&amp;" giờ",INT(ROUND(((TDBC-$U299)*24),0)/24)&amp;" ngày"&amp;IF(MOD(ROUND(((TDBC-$U299)*24),0),24)&gt;0," "&amp;MOD(ROUND(((TDBC-$U299)*24),0),24)&amp;" giờ",""))),"Còn "&amp;IF((($U299-TDBC)*24)&lt;1,MAX(1,ROUND((($U299-TDBC)*24)*60,0))&amp;" phút",IF(ROUND((($U299-TDBC)*24),0)&lt;24,ROUND((($U299-TDBC)*24),0)&amp;" giờ",INT(ROUND((($U299-TDBC)*24),0)/24)&amp;" ngày"&amp;IF(MOD(ROUND((($U299-TDBC)*24),0),24)&gt;0," "&amp;MOD(ROUND((($U299-TDBC)*24),0),24)&amp;" giờ","")))))</f>
      </c>
      <c r="AA299" s="220">
        <f>IF($V299="Đã xử lý",_xlfn.MAXIFS('Nhật ký tiến độ'!$B$6:$B$3005,'Nhật ký tiến độ'!$C$6:$C$3005,$A299,'Nhật ký tiến độ'!$E$6:$E$3005,"Đã xử lý"),"")</f>
      </c>
      <c r="AB299" s="223">
        <f>IF($AI299="","",IF($AI299&lt;1,MAX(1,ROUND($AI299*60,0))&amp;" phút",IF(ROUND($AI299,0)&lt;24,ROUND($AI299,0)&amp;" giờ",INT(ROUND($AI299,0)/24)&amp;" ngày"&amp;IF(MOD(ROUND($AI299,0),24)&gt;0," "&amp;MOD(ROUND($AI299,0),24)&amp;" giờ",""))))</f>
      </c>
      <c r="AC299" s="223">
        <f>IF(OR($A299="",N($AH299)=0),"",IF($AI299&lt;&gt;"",IF($AI299&lt;=$AH299,"Trong ước tính","Vượt "&amp;IF(($AI299-$AH299)&lt;1,MAX(1,ROUND(($AI299-$AH299)*60,0))&amp;" phút",IF(ROUND(($AI299-$AH299),0)&lt;24,ROUND(($AI299-$AH299),0)&amp;" giờ",INT(ROUND(($AI299-$AH299),0)/24)&amp;" ngày"&amp;IF(MOD(ROUND(($AI299-$AH299),0),24)&gt;0," "&amp;MOD(ROUND(($AI299-$AH299),0),24)&amp;" giờ","")))),IF(OR($V299="Đã xử lý",N($B299)=0),"",IF((TDBC-$B299)*24&gt;$AH299,"Đã vượt ước tính","Đã dùng "&amp;TEXT((TDBC-$B299)*24/$AH299,"0%")))))</f>
      </c>
      <c r="AD299" s="223">
        <f>IF(N($AO299)=0,"",CHOOSE($AO299,"Nhắc nhở","Cảnh báo","Báo động","Báo động đỏ"))</f>
      </c>
      <c r="AE299" s="223">
        <f>IF(OR(N($AA299)=0,N($U299)=0),"",IF($AA299&lt;=$U299,"Đúng hạn","Trễ hạn"))</f>
      </c>
      <c r="AF299" s="220">
        <f>IF($A299="","",_xlfn.MAXIFS('Nhật ký tiến độ'!$B$6:$B$3005,'Nhật ký tiến độ'!$C$6:$C$3005,$A299))</f>
      </c>
      <c r="AG299" s="223">
        <f>IF($A299="","",IF(COUNTIF('Kế hoạch'!$M$6:$M$305,$A299)=0,"",COUNTIF('Kế hoạch'!$M$6:$M$305,$A299)&amp;" việc"))</f>
      </c>
      <c r="AH299" s="224">
        <f>IF(OR($A299="",N($O299)&lt;=0),"",IF($P299="Giờ",$O299,$O299*24))</f>
      </c>
      <c r="AI299" s="224">
        <f>IF(OR(N($AA299)=0,N($B299)=0),"",IF($AA299&lt;$B299,"",($AA299-$B299)*24))</f>
      </c>
      <c r="AJ299" s="225">
        <f>IF($A299="","",IF(COUNTIF('Nhật ký tiến độ'!$C$6:$C$3005,$A299)=0,0,_xlfn.MAXIFS('Nhật ký tiến độ'!$N$6:$N$3005,'Nhật ký tiến độ'!$C$6:$C$3005,$A299,'Nhật ký tiến độ'!$B$6:$B$3005,_xlfn.MAXIFS('Nhật ký tiến độ'!$B$6:$B$3005,'Nhật ký tiến độ'!$C$6:$C$3005,$A299))))</f>
      </c>
      <c r="AK299" s="225">
        <f>IF(OR($A299="",$V299="Đã xử lý"),"",IF(N($AO299)&gt;0,5-$AO299,IF($J299="Khẩn cấp",5,IF($Y299="Chậm tiến độ",6,IF(OR($Y299="Sắp đến hạn",$J299="Cao"),7,"")))))</f>
      </c>
      <c r="AL299" s="225">
        <f>IF($AK299="","",$AK299*100000+IF(N($U299)=0,99999,INT($U299))+ROW()/100000)</f>
      </c>
      <c r="AM299" s="225">
        <f>IF(OR($A299="",TRIM($K299)="",COUNTIF($K$6:$K299,$K299)&gt;1),0,1)</f>
      </c>
      <c r="AN299" s="225">
        <f>IF($AM299=1,SUM($AM$6:$AM299),"")</f>
      </c>
      <c r="AO299" s="225">
        <f>IF(OR($A299="",$V299="Đã xử lý",N($U299)=0),0,IF(TDBC&lt;=$U299,0,MAX(1,MIN(4,IF((TDBC-$U299)*24&lt;24,1,IF((TDBC-$U299)*24&lt;72,2,IF((TDBC-$U299)*24&lt;168,3,4)))+IFERROR(INDEX({2,1,0,-1},MATCH($J299,{"Khẩn cấp","Cao","Trung bình","Thấp"},0)),0)))))</f>
      </c>
    </row>
    <row r="300">
      <c r="A300" s="216"/>
      <c r="B300" s="217"/>
      <c r="C300" s="218"/>
      <c r="D300" s="218"/>
      <c r="E300" s="218"/>
      <c r="F300" s="218"/>
      <c r="G300" s="216"/>
      <c r="H300" s="218"/>
      <c r="I300" s="218"/>
      <c r="J300" s="216"/>
      <c r="K300" s="218"/>
      <c r="L300" s="218"/>
      <c r="M300" s="218"/>
      <c r="N300" s="218"/>
      <c r="O300" s="219"/>
      <c r="P300" s="216"/>
      <c r="Q300" s="217"/>
      <c r="R300" s="216"/>
      <c r="S300" s="218"/>
      <c r="T300" s="218"/>
      <c r="U300" s="220">
        <f>IF($A300="","",IF(N($Q300)&gt;0,IF(MOD($Q300,1)=0,$Q300+1-1/1440,$Q300),IF(N($B300)=0,"",$B300+IF(N($AH300)&gt;0,$AH300,IFERROR(INDEX(DM_SLA_Gio,MATCH($J300,DM_SLA_Cap,0)),168))/24)))</f>
      </c>
      <c r="V300" s="221">
        <f>IF($A300="","",IF(N($AJ300)=0,"Mới tiếp nhận",INDEX('Nhật ký tiến độ'!$E:$E,$AJ300)))</f>
      </c>
      <c r="W300" s="222">
        <f>IF($A300="","",IF($V300="Đã xử lý",1,IF(N($AJ300)=0,0,N(INDEX('Nhật ký tiến độ'!$D:$D,$AJ300)))))</f>
      </c>
      <c r="X300" s="222">
        <f>IF(OR($A300="",$V300="Đã xử lý",N($U300)=0,N($B300)=0),"",IF(TDBC&lt;=$B300,0,IF(TDBC&gt;=$U300,1,(TDBC-$B300)/($U300-$B300))))</f>
      </c>
      <c r="Y300" s="223">
        <f>IF($A300="","",IF($V300="Đã xử lý","Hoàn thành",IF(N($U300)=0,"Chưa đặt hạn",IF(TDBC&gt;$U300,"Quá hạn",IF(ROUND((N($X300)-$W300)*100,0)&gt;=20,"Chậm tiến độ",IF($U300-TDBC&lt;=1,"Sắp đến hạn","Đúng tiến độ"))))))</f>
      </c>
      <c r="Z300" s="223">
        <f>IF(OR($A300="",$V300="Đã xử lý",N($U300)=0),"",IF(TDBC&gt;$U300,"Quá "&amp;IF(((TDBC-$U300)*24)&lt;1,MAX(1,ROUND(((TDBC-$U300)*24)*60,0))&amp;" phút",IF(ROUND(((TDBC-$U300)*24),0)&lt;24,ROUND(((TDBC-$U300)*24),0)&amp;" giờ",INT(ROUND(((TDBC-$U300)*24),0)/24)&amp;" ngày"&amp;IF(MOD(ROUND(((TDBC-$U300)*24),0),24)&gt;0," "&amp;MOD(ROUND(((TDBC-$U300)*24),0),24)&amp;" giờ",""))),"Còn "&amp;IF((($U300-TDBC)*24)&lt;1,MAX(1,ROUND((($U300-TDBC)*24)*60,0))&amp;" phút",IF(ROUND((($U300-TDBC)*24),0)&lt;24,ROUND((($U300-TDBC)*24),0)&amp;" giờ",INT(ROUND((($U300-TDBC)*24),0)/24)&amp;" ngày"&amp;IF(MOD(ROUND((($U300-TDBC)*24),0),24)&gt;0," "&amp;MOD(ROUND((($U300-TDBC)*24),0),24)&amp;" giờ","")))))</f>
      </c>
      <c r="AA300" s="220">
        <f>IF($V300="Đã xử lý",_xlfn.MAXIFS('Nhật ký tiến độ'!$B$6:$B$3005,'Nhật ký tiến độ'!$C$6:$C$3005,$A300,'Nhật ký tiến độ'!$E$6:$E$3005,"Đã xử lý"),"")</f>
      </c>
      <c r="AB300" s="223">
        <f>IF($AI300="","",IF($AI300&lt;1,MAX(1,ROUND($AI300*60,0))&amp;" phút",IF(ROUND($AI300,0)&lt;24,ROUND($AI300,0)&amp;" giờ",INT(ROUND($AI300,0)/24)&amp;" ngày"&amp;IF(MOD(ROUND($AI300,0),24)&gt;0," "&amp;MOD(ROUND($AI300,0),24)&amp;" giờ",""))))</f>
      </c>
      <c r="AC300" s="223">
        <f>IF(OR($A300="",N($AH300)=0),"",IF($AI300&lt;&gt;"",IF($AI300&lt;=$AH300,"Trong ước tính","Vượt "&amp;IF(($AI300-$AH300)&lt;1,MAX(1,ROUND(($AI300-$AH300)*60,0))&amp;" phút",IF(ROUND(($AI300-$AH300),0)&lt;24,ROUND(($AI300-$AH300),0)&amp;" giờ",INT(ROUND(($AI300-$AH300),0)/24)&amp;" ngày"&amp;IF(MOD(ROUND(($AI300-$AH300),0),24)&gt;0," "&amp;MOD(ROUND(($AI300-$AH300),0),24)&amp;" giờ","")))),IF(OR($V300="Đã xử lý",N($B300)=0),"",IF((TDBC-$B300)*24&gt;$AH300,"Đã vượt ước tính","Đã dùng "&amp;TEXT((TDBC-$B300)*24/$AH300,"0%")))))</f>
      </c>
      <c r="AD300" s="223">
        <f>IF(N($AO300)=0,"",CHOOSE($AO300,"Nhắc nhở","Cảnh báo","Báo động","Báo động đỏ"))</f>
      </c>
      <c r="AE300" s="223">
        <f>IF(OR(N($AA300)=0,N($U300)=0),"",IF($AA300&lt;=$U300,"Đúng hạn","Trễ hạn"))</f>
      </c>
      <c r="AF300" s="220">
        <f>IF($A300="","",_xlfn.MAXIFS('Nhật ký tiến độ'!$B$6:$B$3005,'Nhật ký tiến độ'!$C$6:$C$3005,$A300))</f>
      </c>
      <c r="AG300" s="223">
        <f>IF($A300="","",IF(COUNTIF('Kế hoạch'!$M$6:$M$305,$A300)=0,"",COUNTIF('Kế hoạch'!$M$6:$M$305,$A300)&amp;" việc"))</f>
      </c>
      <c r="AH300" s="224">
        <f>IF(OR($A300="",N($O300)&lt;=0),"",IF($P300="Giờ",$O300,$O300*24))</f>
      </c>
      <c r="AI300" s="224">
        <f>IF(OR(N($AA300)=0,N($B300)=0),"",IF($AA300&lt;$B300,"",($AA300-$B300)*24))</f>
      </c>
      <c r="AJ300" s="225">
        <f>IF($A300="","",IF(COUNTIF('Nhật ký tiến độ'!$C$6:$C$3005,$A300)=0,0,_xlfn.MAXIFS('Nhật ký tiến độ'!$N$6:$N$3005,'Nhật ký tiến độ'!$C$6:$C$3005,$A300,'Nhật ký tiến độ'!$B$6:$B$3005,_xlfn.MAXIFS('Nhật ký tiến độ'!$B$6:$B$3005,'Nhật ký tiến độ'!$C$6:$C$3005,$A300))))</f>
      </c>
      <c r="AK300" s="225">
        <f>IF(OR($A300="",$V300="Đã xử lý"),"",IF(N($AO300)&gt;0,5-$AO300,IF($J300="Khẩn cấp",5,IF($Y300="Chậm tiến độ",6,IF(OR($Y300="Sắp đến hạn",$J300="Cao"),7,"")))))</f>
      </c>
      <c r="AL300" s="225">
        <f>IF($AK300="","",$AK300*100000+IF(N($U300)=0,99999,INT($U300))+ROW()/100000)</f>
      </c>
      <c r="AM300" s="225">
        <f>IF(OR($A300="",TRIM($K300)="",COUNTIF($K$6:$K300,$K300)&gt;1),0,1)</f>
      </c>
      <c r="AN300" s="225">
        <f>IF($AM300=1,SUM($AM$6:$AM300),"")</f>
      </c>
      <c r="AO300" s="225">
        <f>IF(OR($A300="",$V300="Đã xử lý",N($U300)=0),0,IF(TDBC&lt;=$U300,0,MAX(1,MIN(4,IF((TDBC-$U300)*24&lt;24,1,IF((TDBC-$U300)*24&lt;72,2,IF((TDBC-$U300)*24&lt;168,3,4)))+IFERROR(INDEX({2,1,0,-1},MATCH($J300,{"Khẩn cấp","Cao","Trung bình","Thấp"},0)),0)))))</f>
      </c>
    </row>
    <row r="301">
      <c r="A301" s="216"/>
      <c r="B301" s="217"/>
      <c r="C301" s="218"/>
      <c r="D301" s="218"/>
      <c r="E301" s="218"/>
      <c r="F301" s="218"/>
      <c r="G301" s="216"/>
      <c r="H301" s="218"/>
      <c r="I301" s="218"/>
      <c r="J301" s="216"/>
      <c r="K301" s="218"/>
      <c r="L301" s="218"/>
      <c r="M301" s="218"/>
      <c r="N301" s="218"/>
      <c r="O301" s="219"/>
      <c r="P301" s="216"/>
      <c r="Q301" s="217"/>
      <c r="R301" s="216"/>
      <c r="S301" s="218"/>
      <c r="T301" s="218"/>
      <c r="U301" s="220">
        <f>IF($A301="","",IF(N($Q301)&gt;0,IF(MOD($Q301,1)=0,$Q301+1-1/1440,$Q301),IF(N($B301)=0,"",$B301+IF(N($AH301)&gt;0,$AH301,IFERROR(INDEX(DM_SLA_Gio,MATCH($J301,DM_SLA_Cap,0)),168))/24)))</f>
      </c>
      <c r="V301" s="221">
        <f>IF($A301="","",IF(N($AJ301)=0,"Mới tiếp nhận",INDEX('Nhật ký tiến độ'!$E:$E,$AJ301)))</f>
      </c>
      <c r="W301" s="222">
        <f>IF($A301="","",IF($V301="Đã xử lý",1,IF(N($AJ301)=0,0,N(INDEX('Nhật ký tiến độ'!$D:$D,$AJ301)))))</f>
      </c>
      <c r="X301" s="222">
        <f>IF(OR($A301="",$V301="Đã xử lý",N($U301)=0,N($B301)=0),"",IF(TDBC&lt;=$B301,0,IF(TDBC&gt;=$U301,1,(TDBC-$B301)/($U301-$B301))))</f>
      </c>
      <c r="Y301" s="223">
        <f>IF($A301="","",IF($V301="Đã xử lý","Hoàn thành",IF(N($U301)=0,"Chưa đặt hạn",IF(TDBC&gt;$U301,"Quá hạn",IF(ROUND((N($X301)-$W301)*100,0)&gt;=20,"Chậm tiến độ",IF($U301-TDBC&lt;=1,"Sắp đến hạn","Đúng tiến độ"))))))</f>
      </c>
      <c r="Z301" s="223">
        <f>IF(OR($A301="",$V301="Đã xử lý",N($U301)=0),"",IF(TDBC&gt;$U301,"Quá "&amp;IF(((TDBC-$U301)*24)&lt;1,MAX(1,ROUND(((TDBC-$U301)*24)*60,0))&amp;" phút",IF(ROUND(((TDBC-$U301)*24),0)&lt;24,ROUND(((TDBC-$U301)*24),0)&amp;" giờ",INT(ROUND(((TDBC-$U301)*24),0)/24)&amp;" ngày"&amp;IF(MOD(ROUND(((TDBC-$U301)*24),0),24)&gt;0," "&amp;MOD(ROUND(((TDBC-$U301)*24),0),24)&amp;" giờ",""))),"Còn "&amp;IF((($U301-TDBC)*24)&lt;1,MAX(1,ROUND((($U301-TDBC)*24)*60,0))&amp;" phút",IF(ROUND((($U301-TDBC)*24),0)&lt;24,ROUND((($U301-TDBC)*24),0)&amp;" giờ",INT(ROUND((($U301-TDBC)*24),0)/24)&amp;" ngày"&amp;IF(MOD(ROUND((($U301-TDBC)*24),0),24)&gt;0," "&amp;MOD(ROUND((($U301-TDBC)*24),0),24)&amp;" giờ","")))))</f>
      </c>
      <c r="AA301" s="220">
        <f>IF($V301="Đã xử lý",_xlfn.MAXIFS('Nhật ký tiến độ'!$B$6:$B$3005,'Nhật ký tiến độ'!$C$6:$C$3005,$A301,'Nhật ký tiến độ'!$E$6:$E$3005,"Đã xử lý"),"")</f>
      </c>
      <c r="AB301" s="223">
        <f>IF($AI301="","",IF($AI301&lt;1,MAX(1,ROUND($AI301*60,0))&amp;" phút",IF(ROUND($AI301,0)&lt;24,ROUND($AI301,0)&amp;" giờ",INT(ROUND($AI301,0)/24)&amp;" ngày"&amp;IF(MOD(ROUND($AI301,0),24)&gt;0," "&amp;MOD(ROUND($AI301,0),24)&amp;" giờ",""))))</f>
      </c>
      <c r="AC301" s="223">
        <f>IF(OR($A301="",N($AH301)=0),"",IF($AI301&lt;&gt;"",IF($AI301&lt;=$AH301,"Trong ước tính","Vượt "&amp;IF(($AI301-$AH301)&lt;1,MAX(1,ROUND(($AI301-$AH301)*60,0))&amp;" phút",IF(ROUND(($AI301-$AH301),0)&lt;24,ROUND(($AI301-$AH301),0)&amp;" giờ",INT(ROUND(($AI301-$AH301),0)/24)&amp;" ngày"&amp;IF(MOD(ROUND(($AI301-$AH301),0),24)&gt;0," "&amp;MOD(ROUND(($AI301-$AH301),0),24)&amp;" giờ","")))),IF(OR($V301="Đã xử lý",N($B301)=0),"",IF((TDBC-$B301)*24&gt;$AH301,"Đã vượt ước tính","Đã dùng "&amp;TEXT((TDBC-$B301)*24/$AH301,"0%")))))</f>
      </c>
      <c r="AD301" s="223">
        <f>IF(N($AO301)=0,"",CHOOSE($AO301,"Nhắc nhở","Cảnh báo","Báo động","Báo động đỏ"))</f>
      </c>
      <c r="AE301" s="223">
        <f>IF(OR(N($AA301)=0,N($U301)=0),"",IF($AA301&lt;=$U301,"Đúng hạn","Trễ hạn"))</f>
      </c>
      <c r="AF301" s="220">
        <f>IF($A301="","",_xlfn.MAXIFS('Nhật ký tiến độ'!$B$6:$B$3005,'Nhật ký tiến độ'!$C$6:$C$3005,$A301))</f>
      </c>
      <c r="AG301" s="223">
        <f>IF($A301="","",IF(COUNTIF('Kế hoạch'!$M$6:$M$305,$A301)=0,"",COUNTIF('Kế hoạch'!$M$6:$M$305,$A301)&amp;" việc"))</f>
      </c>
      <c r="AH301" s="224">
        <f>IF(OR($A301="",N($O301)&lt;=0),"",IF($P301="Giờ",$O301,$O301*24))</f>
      </c>
      <c r="AI301" s="224">
        <f>IF(OR(N($AA301)=0,N($B301)=0),"",IF($AA301&lt;$B301,"",($AA301-$B301)*24))</f>
      </c>
      <c r="AJ301" s="225">
        <f>IF($A301="","",IF(COUNTIF('Nhật ký tiến độ'!$C$6:$C$3005,$A301)=0,0,_xlfn.MAXIFS('Nhật ký tiến độ'!$N$6:$N$3005,'Nhật ký tiến độ'!$C$6:$C$3005,$A301,'Nhật ký tiến độ'!$B$6:$B$3005,_xlfn.MAXIFS('Nhật ký tiến độ'!$B$6:$B$3005,'Nhật ký tiến độ'!$C$6:$C$3005,$A301))))</f>
      </c>
      <c r="AK301" s="225">
        <f>IF(OR($A301="",$V301="Đã xử lý"),"",IF(N($AO301)&gt;0,5-$AO301,IF($J301="Khẩn cấp",5,IF($Y301="Chậm tiến độ",6,IF(OR($Y301="Sắp đến hạn",$J301="Cao"),7,"")))))</f>
      </c>
      <c r="AL301" s="225">
        <f>IF($AK301="","",$AK301*100000+IF(N($U301)=0,99999,INT($U301))+ROW()/100000)</f>
      </c>
      <c r="AM301" s="225">
        <f>IF(OR($A301="",TRIM($K301)="",COUNTIF($K$6:$K301,$K301)&gt;1),0,1)</f>
      </c>
      <c r="AN301" s="225">
        <f>IF($AM301=1,SUM($AM$6:$AM301),"")</f>
      </c>
      <c r="AO301" s="225">
        <f>IF(OR($A301="",$V301="Đã xử lý",N($U301)=0),0,IF(TDBC&lt;=$U301,0,MAX(1,MIN(4,IF((TDBC-$U301)*24&lt;24,1,IF((TDBC-$U301)*24&lt;72,2,IF((TDBC-$U301)*24&lt;168,3,4)))+IFERROR(INDEX({2,1,0,-1},MATCH($J301,{"Khẩn cấp","Cao","Trung bình","Thấp"},0)),0)))))</f>
      </c>
    </row>
    <row r="302">
      <c r="A302" s="216"/>
      <c r="B302" s="217"/>
      <c r="C302" s="218"/>
      <c r="D302" s="218"/>
      <c r="E302" s="218"/>
      <c r="F302" s="218"/>
      <c r="G302" s="216"/>
      <c r="H302" s="218"/>
      <c r="I302" s="218"/>
      <c r="J302" s="216"/>
      <c r="K302" s="218"/>
      <c r="L302" s="218"/>
      <c r="M302" s="218"/>
      <c r="N302" s="218"/>
      <c r="O302" s="219"/>
      <c r="P302" s="216"/>
      <c r="Q302" s="217"/>
      <c r="R302" s="216"/>
      <c r="S302" s="218"/>
      <c r="T302" s="218"/>
      <c r="U302" s="220">
        <f>IF($A302="","",IF(N($Q302)&gt;0,IF(MOD($Q302,1)=0,$Q302+1-1/1440,$Q302),IF(N($B302)=0,"",$B302+IF(N($AH302)&gt;0,$AH302,IFERROR(INDEX(DM_SLA_Gio,MATCH($J302,DM_SLA_Cap,0)),168))/24)))</f>
      </c>
      <c r="V302" s="221">
        <f>IF($A302="","",IF(N($AJ302)=0,"Mới tiếp nhận",INDEX('Nhật ký tiến độ'!$E:$E,$AJ302)))</f>
      </c>
      <c r="W302" s="222">
        <f>IF($A302="","",IF($V302="Đã xử lý",1,IF(N($AJ302)=0,0,N(INDEX('Nhật ký tiến độ'!$D:$D,$AJ302)))))</f>
      </c>
      <c r="X302" s="222">
        <f>IF(OR($A302="",$V302="Đã xử lý",N($U302)=0,N($B302)=0),"",IF(TDBC&lt;=$B302,0,IF(TDBC&gt;=$U302,1,(TDBC-$B302)/($U302-$B302))))</f>
      </c>
      <c r="Y302" s="223">
        <f>IF($A302="","",IF($V302="Đã xử lý","Hoàn thành",IF(N($U302)=0,"Chưa đặt hạn",IF(TDBC&gt;$U302,"Quá hạn",IF(ROUND((N($X302)-$W302)*100,0)&gt;=20,"Chậm tiến độ",IF($U302-TDBC&lt;=1,"Sắp đến hạn","Đúng tiến độ"))))))</f>
      </c>
      <c r="Z302" s="223">
        <f>IF(OR($A302="",$V302="Đã xử lý",N($U302)=0),"",IF(TDBC&gt;$U302,"Quá "&amp;IF(((TDBC-$U302)*24)&lt;1,MAX(1,ROUND(((TDBC-$U302)*24)*60,0))&amp;" phút",IF(ROUND(((TDBC-$U302)*24),0)&lt;24,ROUND(((TDBC-$U302)*24),0)&amp;" giờ",INT(ROUND(((TDBC-$U302)*24),0)/24)&amp;" ngày"&amp;IF(MOD(ROUND(((TDBC-$U302)*24),0),24)&gt;0," "&amp;MOD(ROUND(((TDBC-$U302)*24),0),24)&amp;" giờ",""))),"Còn "&amp;IF((($U302-TDBC)*24)&lt;1,MAX(1,ROUND((($U302-TDBC)*24)*60,0))&amp;" phút",IF(ROUND((($U302-TDBC)*24),0)&lt;24,ROUND((($U302-TDBC)*24),0)&amp;" giờ",INT(ROUND((($U302-TDBC)*24),0)/24)&amp;" ngày"&amp;IF(MOD(ROUND((($U302-TDBC)*24),0),24)&gt;0," "&amp;MOD(ROUND((($U302-TDBC)*24),0),24)&amp;" giờ","")))))</f>
      </c>
      <c r="AA302" s="220">
        <f>IF($V302="Đã xử lý",_xlfn.MAXIFS('Nhật ký tiến độ'!$B$6:$B$3005,'Nhật ký tiến độ'!$C$6:$C$3005,$A302,'Nhật ký tiến độ'!$E$6:$E$3005,"Đã xử lý"),"")</f>
      </c>
      <c r="AB302" s="223">
        <f>IF($AI302="","",IF($AI302&lt;1,MAX(1,ROUND($AI302*60,0))&amp;" phút",IF(ROUND($AI302,0)&lt;24,ROUND($AI302,0)&amp;" giờ",INT(ROUND($AI302,0)/24)&amp;" ngày"&amp;IF(MOD(ROUND($AI302,0),24)&gt;0," "&amp;MOD(ROUND($AI302,0),24)&amp;" giờ",""))))</f>
      </c>
      <c r="AC302" s="223">
        <f>IF(OR($A302="",N($AH302)=0),"",IF($AI302&lt;&gt;"",IF($AI302&lt;=$AH302,"Trong ước tính","Vượt "&amp;IF(($AI302-$AH302)&lt;1,MAX(1,ROUND(($AI302-$AH302)*60,0))&amp;" phút",IF(ROUND(($AI302-$AH302),0)&lt;24,ROUND(($AI302-$AH302),0)&amp;" giờ",INT(ROUND(($AI302-$AH302),0)/24)&amp;" ngày"&amp;IF(MOD(ROUND(($AI302-$AH302),0),24)&gt;0," "&amp;MOD(ROUND(($AI302-$AH302),0),24)&amp;" giờ","")))),IF(OR($V302="Đã xử lý",N($B302)=0),"",IF((TDBC-$B302)*24&gt;$AH302,"Đã vượt ước tính","Đã dùng "&amp;TEXT((TDBC-$B302)*24/$AH302,"0%")))))</f>
      </c>
      <c r="AD302" s="223">
        <f>IF(N($AO302)=0,"",CHOOSE($AO302,"Nhắc nhở","Cảnh báo","Báo động","Báo động đỏ"))</f>
      </c>
      <c r="AE302" s="223">
        <f>IF(OR(N($AA302)=0,N($U302)=0),"",IF($AA302&lt;=$U302,"Đúng hạn","Trễ hạn"))</f>
      </c>
      <c r="AF302" s="220">
        <f>IF($A302="","",_xlfn.MAXIFS('Nhật ký tiến độ'!$B$6:$B$3005,'Nhật ký tiến độ'!$C$6:$C$3005,$A302))</f>
      </c>
      <c r="AG302" s="223">
        <f>IF($A302="","",IF(COUNTIF('Kế hoạch'!$M$6:$M$305,$A302)=0,"",COUNTIF('Kế hoạch'!$M$6:$M$305,$A302)&amp;" việc"))</f>
      </c>
      <c r="AH302" s="224">
        <f>IF(OR($A302="",N($O302)&lt;=0),"",IF($P302="Giờ",$O302,$O302*24))</f>
      </c>
      <c r="AI302" s="224">
        <f>IF(OR(N($AA302)=0,N($B302)=0),"",IF($AA302&lt;$B302,"",($AA302-$B302)*24))</f>
      </c>
      <c r="AJ302" s="225">
        <f>IF($A302="","",IF(COUNTIF('Nhật ký tiến độ'!$C$6:$C$3005,$A302)=0,0,_xlfn.MAXIFS('Nhật ký tiến độ'!$N$6:$N$3005,'Nhật ký tiến độ'!$C$6:$C$3005,$A302,'Nhật ký tiến độ'!$B$6:$B$3005,_xlfn.MAXIFS('Nhật ký tiến độ'!$B$6:$B$3005,'Nhật ký tiến độ'!$C$6:$C$3005,$A302))))</f>
      </c>
      <c r="AK302" s="225">
        <f>IF(OR($A302="",$V302="Đã xử lý"),"",IF(N($AO302)&gt;0,5-$AO302,IF($J302="Khẩn cấp",5,IF($Y302="Chậm tiến độ",6,IF(OR($Y302="Sắp đến hạn",$J302="Cao"),7,"")))))</f>
      </c>
      <c r="AL302" s="225">
        <f>IF($AK302="","",$AK302*100000+IF(N($U302)=0,99999,INT($U302))+ROW()/100000)</f>
      </c>
      <c r="AM302" s="225">
        <f>IF(OR($A302="",TRIM($K302)="",COUNTIF($K$6:$K302,$K302)&gt;1),0,1)</f>
      </c>
      <c r="AN302" s="225">
        <f>IF($AM302=1,SUM($AM$6:$AM302),"")</f>
      </c>
      <c r="AO302" s="225">
        <f>IF(OR($A302="",$V302="Đã xử lý",N($U302)=0),0,IF(TDBC&lt;=$U302,0,MAX(1,MIN(4,IF((TDBC-$U302)*24&lt;24,1,IF((TDBC-$U302)*24&lt;72,2,IF((TDBC-$U302)*24&lt;168,3,4)))+IFERROR(INDEX({2,1,0,-1},MATCH($J302,{"Khẩn cấp","Cao","Trung bình","Thấp"},0)),0)))))</f>
      </c>
    </row>
    <row r="303">
      <c r="A303" s="216"/>
      <c r="B303" s="217"/>
      <c r="C303" s="218"/>
      <c r="D303" s="218"/>
      <c r="E303" s="218"/>
      <c r="F303" s="218"/>
      <c r="G303" s="216"/>
      <c r="H303" s="218"/>
      <c r="I303" s="218"/>
      <c r="J303" s="216"/>
      <c r="K303" s="218"/>
      <c r="L303" s="218"/>
      <c r="M303" s="218"/>
      <c r="N303" s="218"/>
      <c r="O303" s="219"/>
      <c r="P303" s="216"/>
      <c r="Q303" s="217"/>
      <c r="R303" s="216"/>
      <c r="S303" s="218"/>
      <c r="T303" s="218"/>
      <c r="U303" s="220">
        <f>IF($A303="","",IF(N($Q303)&gt;0,IF(MOD($Q303,1)=0,$Q303+1-1/1440,$Q303),IF(N($B303)=0,"",$B303+IF(N($AH303)&gt;0,$AH303,IFERROR(INDEX(DM_SLA_Gio,MATCH($J303,DM_SLA_Cap,0)),168))/24)))</f>
      </c>
      <c r="V303" s="221">
        <f>IF($A303="","",IF(N($AJ303)=0,"Mới tiếp nhận",INDEX('Nhật ký tiến độ'!$E:$E,$AJ303)))</f>
      </c>
      <c r="W303" s="222">
        <f>IF($A303="","",IF($V303="Đã xử lý",1,IF(N($AJ303)=0,0,N(INDEX('Nhật ký tiến độ'!$D:$D,$AJ303)))))</f>
      </c>
      <c r="X303" s="222">
        <f>IF(OR($A303="",$V303="Đã xử lý",N($U303)=0,N($B303)=0),"",IF(TDBC&lt;=$B303,0,IF(TDBC&gt;=$U303,1,(TDBC-$B303)/($U303-$B303))))</f>
      </c>
      <c r="Y303" s="223">
        <f>IF($A303="","",IF($V303="Đã xử lý","Hoàn thành",IF(N($U303)=0,"Chưa đặt hạn",IF(TDBC&gt;$U303,"Quá hạn",IF(ROUND((N($X303)-$W303)*100,0)&gt;=20,"Chậm tiến độ",IF($U303-TDBC&lt;=1,"Sắp đến hạn","Đúng tiến độ"))))))</f>
      </c>
      <c r="Z303" s="223">
        <f>IF(OR($A303="",$V303="Đã xử lý",N($U303)=0),"",IF(TDBC&gt;$U303,"Quá "&amp;IF(((TDBC-$U303)*24)&lt;1,MAX(1,ROUND(((TDBC-$U303)*24)*60,0))&amp;" phút",IF(ROUND(((TDBC-$U303)*24),0)&lt;24,ROUND(((TDBC-$U303)*24),0)&amp;" giờ",INT(ROUND(((TDBC-$U303)*24),0)/24)&amp;" ngày"&amp;IF(MOD(ROUND(((TDBC-$U303)*24),0),24)&gt;0," "&amp;MOD(ROUND(((TDBC-$U303)*24),0),24)&amp;" giờ",""))),"Còn "&amp;IF((($U303-TDBC)*24)&lt;1,MAX(1,ROUND((($U303-TDBC)*24)*60,0))&amp;" phút",IF(ROUND((($U303-TDBC)*24),0)&lt;24,ROUND((($U303-TDBC)*24),0)&amp;" giờ",INT(ROUND((($U303-TDBC)*24),0)/24)&amp;" ngày"&amp;IF(MOD(ROUND((($U303-TDBC)*24),0),24)&gt;0," "&amp;MOD(ROUND((($U303-TDBC)*24),0),24)&amp;" giờ","")))))</f>
      </c>
      <c r="AA303" s="220">
        <f>IF($V303="Đã xử lý",_xlfn.MAXIFS('Nhật ký tiến độ'!$B$6:$B$3005,'Nhật ký tiến độ'!$C$6:$C$3005,$A303,'Nhật ký tiến độ'!$E$6:$E$3005,"Đã xử lý"),"")</f>
      </c>
      <c r="AB303" s="223">
        <f>IF($AI303="","",IF($AI303&lt;1,MAX(1,ROUND($AI303*60,0))&amp;" phút",IF(ROUND($AI303,0)&lt;24,ROUND($AI303,0)&amp;" giờ",INT(ROUND($AI303,0)/24)&amp;" ngày"&amp;IF(MOD(ROUND($AI303,0),24)&gt;0," "&amp;MOD(ROUND($AI303,0),24)&amp;" giờ",""))))</f>
      </c>
      <c r="AC303" s="223">
        <f>IF(OR($A303="",N($AH303)=0),"",IF($AI303&lt;&gt;"",IF($AI303&lt;=$AH303,"Trong ước tính","Vượt "&amp;IF(($AI303-$AH303)&lt;1,MAX(1,ROUND(($AI303-$AH303)*60,0))&amp;" phút",IF(ROUND(($AI303-$AH303),0)&lt;24,ROUND(($AI303-$AH303),0)&amp;" giờ",INT(ROUND(($AI303-$AH303),0)/24)&amp;" ngày"&amp;IF(MOD(ROUND(($AI303-$AH303),0),24)&gt;0," "&amp;MOD(ROUND(($AI303-$AH303),0),24)&amp;" giờ","")))),IF(OR($V303="Đã xử lý",N($B303)=0),"",IF((TDBC-$B303)*24&gt;$AH303,"Đã vượt ước tính","Đã dùng "&amp;TEXT((TDBC-$B303)*24/$AH303,"0%")))))</f>
      </c>
      <c r="AD303" s="223">
        <f>IF(N($AO303)=0,"",CHOOSE($AO303,"Nhắc nhở","Cảnh báo","Báo động","Báo động đỏ"))</f>
      </c>
      <c r="AE303" s="223">
        <f>IF(OR(N($AA303)=0,N($U303)=0),"",IF($AA303&lt;=$U303,"Đúng hạn","Trễ hạn"))</f>
      </c>
      <c r="AF303" s="220">
        <f>IF($A303="","",_xlfn.MAXIFS('Nhật ký tiến độ'!$B$6:$B$3005,'Nhật ký tiến độ'!$C$6:$C$3005,$A303))</f>
      </c>
      <c r="AG303" s="223">
        <f>IF($A303="","",IF(COUNTIF('Kế hoạch'!$M$6:$M$305,$A303)=0,"",COUNTIF('Kế hoạch'!$M$6:$M$305,$A303)&amp;" việc"))</f>
      </c>
      <c r="AH303" s="224">
        <f>IF(OR($A303="",N($O303)&lt;=0),"",IF($P303="Giờ",$O303,$O303*24))</f>
      </c>
      <c r="AI303" s="224">
        <f>IF(OR(N($AA303)=0,N($B303)=0),"",IF($AA303&lt;$B303,"",($AA303-$B303)*24))</f>
      </c>
      <c r="AJ303" s="225">
        <f>IF($A303="","",IF(COUNTIF('Nhật ký tiến độ'!$C$6:$C$3005,$A303)=0,0,_xlfn.MAXIFS('Nhật ký tiến độ'!$N$6:$N$3005,'Nhật ký tiến độ'!$C$6:$C$3005,$A303,'Nhật ký tiến độ'!$B$6:$B$3005,_xlfn.MAXIFS('Nhật ký tiến độ'!$B$6:$B$3005,'Nhật ký tiến độ'!$C$6:$C$3005,$A303))))</f>
      </c>
      <c r="AK303" s="225">
        <f>IF(OR($A303="",$V303="Đã xử lý"),"",IF(N($AO303)&gt;0,5-$AO303,IF($J303="Khẩn cấp",5,IF($Y303="Chậm tiến độ",6,IF(OR($Y303="Sắp đến hạn",$J303="Cao"),7,"")))))</f>
      </c>
      <c r="AL303" s="225">
        <f>IF($AK303="","",$AK303*100000+IF(N($U303)=0,99999,INT($U303))+ROW()/100000)</f>
      </c>
      <c r="AM303" s="225">
        <f>IF(OR($A303="",TRIM($K303)="",COUNTIF($K$6:$K303,$K303)&gt;1),0,1)</f>
      </c>
      <c r="AN303" s="225">
        <f>IF($AM303=1,SUM($AM$6:$AM303),"")</f>
      </c>
      <c r="AO303" s="225">
        <f>IF(OR($A303="",$V303="Đã xử lý",N($U303)=0),0,IF(TDBC&lt;=$U303,0,MAX(1,MIN(4,IF((TDBC-$U303)*24&lt;24,1,IF((TDBC-$U303)*24&lt;72,2,IF((TDBC-$U303)*24&lt;168,3,4)))+IFERROR(INDEX({2,1,0,-1},MATCH($J303,{"Khẩn cấp","Cao","Trung bình","Thấp"},0)),0)))))</f>
      </c>
    </row>
    <row r="304">
      <c r="A304" s="216"/>
      <c r="B304" s="217"/>
      <c r="C304" s="218"/>
      <c r="D304" s="218"/>
      <c r="E304" s="218"/>
      <c r="F304" s="218"/>
      <c r="G304" s="216"/>
      <c r="H304" s="218"/>
      <c r="I304" s="218"/>
      <c r="J304" s="216"/>
      <c r="K304" s="218"/>
      <c r="L304" s="218"/>
      <c r="M304" s="218"/>
      <c r="N304" s="218"/>
      <c r="O304" s="219"/>
      <c r="P304" s="216"/>
      <c r="Q304" s="217"/>
      <c r="R304" s="216"/>
      <c r="S304" s="218"/>
      <c r="T304" s="218"/>
      <c r="U304" s="220">
        <f>IF($A304="","",IF(N($Q304)&gt;0,IF(MOD($Q304,1)=0,$Q304+1-1/1440,$Q304),IF(N($B304)=0,"",$B304+IF(N($AH304)&gt;0,$AH304,IFERROR(INDEX(DM_SLA_Gio,MATCH($J304,DM_SLA_Cap,0)),168))/24)))</f>
      </c>
      <c r="V304" s="221">
        <f>IF($A304="","",IF(N($AJ304)=0,"Mới tiếp nhận",INDEX('Nhật ký tiến độ'!$E:$E,$AJ304)))</f>
      </c>
      <c r="W304" s="222">
        <f>IF($A304="","",IF($V304="Đã xử lý",1,IF(N($AJ304)=0,0,N(INDEX('Nhật ký tiến độ'!$D:$D,$AJ304)))))</f>
      </c>
      <c r="X304" s="222">
        <f>IF(OR($A304="",$V304="Đã xử lý",N($U304)=0,N($B304)=0),"",IF(TDBC&lt;=$B304,0,IF(TDBC&gt;=$U304,1,(TDBC-$B304)/($U304-$B304))))</f>
      </c>
      <c r="Y304" s="223">
        <f>IF($A304="","",IF($V304="Đã xử lý","Hoàn thành",IF(N($U304)=0,"Chưa đặt hạn",IF(TDBC&gt;$U304,"Quá hạn",IF(ROUND((N($X304)-$W304)*100,0)&gt;=20,"Chậm tiến độ",IF($U304-TDBC&lt;=1,"Sắp đến hạn","Đúng tiến độ"))))))</f>
      </c>
      <c r="Z304" s="223">
        <f>IF(OR($A304="",$V304="Đã xử lý",N($U304)=0),"",IF(TDBC&gt;$U304,"Quá "&amp;IF(((TDBC-$U304)*24)&lt;1,MAX(1,ROUND(((TDBC-$U304)*24)*60,0))&amp;" phút",IF(ROUND(((TDBC-$U304)*24),0)&lt;24,ROUND(((TDBC-$U304)*24),0)&amp;" giờ",INT(ROUND(((TDBC-$U304)*24),0)/24)&amp;" ngày"&amp;IF(MOD(ROUND(((TDBC-$U304)*24),0),24)&gt;0," "&amp;MOD(ROUND(((TDBC-$U304)*24),0),24)&amp;" giờ",""))),"Còn "&amp;IF((($U304-TDBC)*24)&lt;1,MAX(1,ROUND((($U304-TDBC)*24)*60,0))&amp;" phút",IF(ROUND((($U304-TDBC)*24),0)&lt;24,ROUND((($U304-TDBC)*24),0)&amp;" giờ",INT(ROUND((($U304-TDBC)*24),0)/24)&amp;" ngày"&amp;IF(MOD(ROUND((($U304-TDBC)*24),0),24)&gt;0," "&amp;MOD(ROUND((($U304-TDBC)*24),0),24)&amp;" giờ","")))))</f>
      </c>
      <c r="AA304" s="220">
        <f>IF($V304="Đã xử lý",_xlfn.MAXIFS('Nhật ký tiến độ'!$B$6:$B$3005,'Nhật ký tiến độ'!$C$6:$C$3005,$A304,'Nhật ký tiến độ'!$E$6:$E$3005,"Đã xử lý"),"")</f>
      </c>
      <c r="AB304" s="223">
        <f>IF($AI304="","",IF($AI304&lt;1,MAX(1,ROUND($AI304*60,0))&amp;" phút",IF(ROUND($AI304,0)&lt;24,ROUND($AI304,0)&amp;" giờ",INT(ROUND($AI304,0)/24)&amp;" ngày"&amp;IF(MOD(ROUND($AI304,0),24)&gt;0," "&amp;MOD(ROUND($AI304,0),24)&amp;" giờ",""))))</f>
      </c>
      <c r="AC304" s="223">
        <f>IF(OR($A304="",N($AH304)=0),"",IF($AI304&lt;&gt;"",IF($AI304&lt;=$AH304,"Trong ước tính","Vượt "&amp;IF(($AI304-$AH304)&lt;1,MAX(1,ROUND(($AI304-$AH304)*60,0))&amp;" phút",IF(ROUND(($AI304-$AH304),0)&lt;24,ROUND(($AI304-$AH304),0)&amp;" giờ",INT(ROUND(($AI304-$AH304),0)/24)&amp;" ngày"&amp;IF(MOD(ROUND(($AI304-$AH304),0),24)&gt;0," "&amp;MOD(ROUND(($AI304-$AH304),0),24)&amp;" giờ","")))),IF(OR($V304="Đã xử lý",N($B304)=0),"",IF((TDBC-$B304)*24&gt;$AH304,"Đã vượt ước tính","Đã dùng "&amp;TEXT((TDBC-$B304)*24/$AH304,"0%")))))</f>
      </c>
      <c r="AD304" s="223">
        <f>IF(N($AO304)=0,"",CHOOSE($AO304,"Nhắc nhở","Cảnh báo","Báo động","Báo động đỏ"))</f>
      </c>
      <c r="AE304" s="223">
        <f>IF(OR(N($AA304)=0,N($U304)=0),"",IF($AA304&lt;=$U304,"Đúng hạn","Trễ hạn"))</f>
      </c>
      <c r="AF304" s="220">
        <f>IF($A304="","",_xlfn.MAXIFS('Nhật ký tiến độ'!$B$6:$B$3005,'Nhật ký tiến độ'!$C$6:$C$3005,$A304))</f>
      </c>
      <c r="AG304" s="223">
        <f>IF($A304="","",IF(COUNTIF('Kế hoạch'!$M$6:$M$305,$A304)=0,"",COUNTIF('Kế hoạch'!$M$6:$M$305,$A304)&amp;" việc"))</f>
      </c>
      <c r="AH304" s="224">
        <f>IF(OR($A304="",N($O304)&lt;=0),"",IF($P304="Giờ",$O304,$O304*24))</f>
      </c>
      <c r="AI304" s="224">
        <f>IF(OR(N($AA304)=0,N($B304)=0),"",IF($AA304&lt;$B304,"",($AA304-$B304)*24))</f>
      </c>
      <c r="AJ304" s="225">
        <f>IF($A304="","",IF(COUNTIF('Nhật ký tiến độ'!$C$6:$C$3005,$A304)=0,0,_xlfn.MAXIFS('Nhật ký tiến độ'!$N$6:$N$3005,'Nhật ký tiến độ'!$C$6:$C$3005,$A304,'Nhật ký tiến độ'!$B$6:$B$3005,_xlfn.MAXIFS('Nhật ký tiến độ'!$B$6:$B$3005,'Nhật ký tiến độ'!$C$6:$C$3005,$A304))))</f>
      </c>
      <c r="AK304" s="225">
        <f>IF(OR($A304="",$V304="Đã xử lý"),"",IF(N($AO304)&gt;0,5-$AO304,IF($J304="Khẩn cấp",5,IF($Y304="Chậm tiến độ",6,IF(OR($Y304="Sắp đến hạn",$J304="Cao"),7,"")))))</f>
      </c>
      <c r="AL304" s="225">
        <f>IF($AK304="","",$AK304*100000+IF(N($U304)=0,99999,INT($U304))+ROW()/100000)</f>
      </c>
      <c r="AM304" s="225">
        <f>IF(OR($A304="",TRIM($K304)="",COUNTIF($K$6:$K304,$K304)&gt;1),0,1)</f>
      </c>
      <c r="AN304" s="225">
        <f>IF($AM304=1,SUM($AM$6:$AM304),"")</f>
      </c>
      <c r="AO304" s="225">
        <f>IF(OR($A304="",$V304="Đã xử lý",N($U304)=0),0,IF(TDBC&lt;=$U304,0,MAX(1,MIN(4,IF((TDBC-$U304)*24&lt;24,1,IF((TDBC-$U304)*24&lt;72,2,IF((TDBC-$U304)*24&lt;168,3,4)))+IFERROR(INDEX({2,1,0,-1},MATCH($J304,{"Khẩn cấp","Cao","Trung bình","Thấp"},0)),0)))))</f>
      </c>
    </row>
    <row r="305">
      <c r="A305" s="216"/>
      <c r="B305" s="217"/>
      <c r="C305" s="218"/>
      <c r="D305" s="218"/>
      <c r="E305" s="218"/>
      <c r="F305" s="218"/>
      <c r="G305" s="216"/>
      <c r="H305" s="218"/>
      <c r="I305" s="218"/>
      <c r="J305" s="216"/>
      <c r="K305" s="218"/>
      <c r="L305" s="218"/>
      <c r="M305" s="218"/>
      <c r="N305" s="218"/>
      <c r="O305" s="219"/>
      <c r="P305" s="216"/>
      <c r="Q305" s="217"/>
      <c r="R305" s="216"/>
      <c r="S305" s="218"/>
      <c r="T305" s="218"/>
      <c r="U305" s="220">
        <f>IF($A305="","",IF(N($Q305)&gt;0,IF(MOD($Q305,1)=0,$Q305+1-1/1440,$Q305),IF(N($B305)=0,"",$B305+IF(N($AH305)&gt;0,$AH305,IFERROR(INDEX(DM_SLA_Gio,MATCH($J305,DM_SLA_Cap,0)),168))/24)))</f>
      </c>
      <c r="V305" s="221">
        <f>IF($A305="","",IF(N($AJ305)=0,"Mới tiếp nhận",INDEX('Nhật ký tiến độ'!$E:$E,$AJ305)))</f>
      </c>
      <c r="W305" s="222">
        <f>IF($A305="","",IF($V305="Đã xử lý",1,IF(N($AJ305)=0,0,N(INDEX('Nhật ký tiến độ'!$D:$D,$AJ305)))))</f>
      </c>
      <c r="X305" s="222">
        <f>IF(OR($A305="",$V305="Đã xử lý",N($U305)=0,N($B305)=0),"",IF(TDBC&lt;=$B305,0,IF(TDBC&gt;=$U305,1,(TDBC-$B305)/($U305-$B305))))</f>
      </c>
      <c r="Y305" s="223">
        <f>IF($A305="","",IF($V305="Đã xử lý","Hoàn thành",IF(N($U305)=0,"Chưa đặt hạn",IF(TDBC&gt;$U305,"Quá hạn",IF(ROUND((N($X305)-$W305)*100,0)&gt;=20,"Chậm tiến độ",IF($U305-TDBC&lt;=1,"Sắp đến hạn","Đúng tiến độ"))))))</f>
      </c>
      <c r="Z305" s="223">
        <f>IF(OR($A305="",$V305="Đã xử lý",N($U305)=0),"",IF(TDBC&gt;$U305,"Quá "&amp;IF(((TDBC-$U305)*24)&lt;1,MAX(1,ROUND(((TDBC-$U305)*24)*60,0))&amp;" phút",IF(ROUND(((TDBC-$U305)*24),0)&lt;24,ROUND(((TDBC-$U305)*24),0)&amp;" giờ",INT(ROUND(((TDBC-$U305)*24),0)/24)&amp;" ngày"&amp;IF(MOD(ROUND(((TDBC-$U305)*24),0),24)&gt;0," "&amp;MOD(ROUND(((TDBC-$U305)*24),0),24)&amp;" giờ",""))),"Còn "&amp;IF((($U305-TDBC)*24)&lt;1,MAX(1,ROUND((($U305-TDBC)*24)*60,0))&amp;" phút",IF(ROUND((($U305-TDBC)*24),0)&lt;24,ROUND((($U305-TDBC)*24),0)&amp;" giờ",INT(ROUND((($U305-TDBC)*24),0)/24)&amp;" ngày"&amp;IF(MOD(ROUND((($U305-TDBC)*24),0),24)&gt;0," "&amp;MOD(ROUND((($U305-TDBC)*24),0),24)&amp;" giờ","")))))</f>
      </c>
      <c r="AA305" s="220">
        <f>IF($V305="Đã xử lý",_xlfn.MAXIFS('Nhật ký tiến độ'!$B$6:$B$3005,'Nhật ký tiến độ'!$C$6:$C$3005,$A305,'Nhật ký tiến độ'!$E$6:$E$3005,"Đã xử lý"),"")</f>
      </c>
      <c r="AB305" s="223">
        <f>IF($AI305="","",IF($AI305&lt;1,MAX(1,ROUND($AI305*60,0))&amp;" phút",IF(ROUND($AI305,0)&lt;24,ROUND($AI305,0)&amp;" giờ",INT(ROUND($AI305,0)/24)&amp;" ngày"&amp;IF(MOD(ROUND($AI305,0),24)&gt;0," "&amp;MOD(ROUND($AI305,0),24)&amp;" giờ",""))))</f>
      </c>
      <c r="AC305" s="223">
        <f>IF(OR($A305="",N($AH305)=0),"",IF($AI305&lt;&gt;"",IF($AI305&lt;=$AH305,"Trong ước tính","Vượt "&amp;IF(($AI305-$AH305)&lt;1,MAX(1,ROUND(($AI305-$AH305)*60,0))&amp;" phút",IF(ROUND(($AI305-$AH305),0)&lt;24,ROUND(($AI305-$AH305),0)&amp;" giờ",INT(ROUND(($AI305-$AH305),0)/24)&amp;" ngày"&amp;IF(MOD(ROUND(($AI305-$AH305),0),24)&gt;0," "&amp;MOD(ROUND(($AI305-$AH305),0),24)&amp;" giờ","")))),IF(OR($V305="Đã xử lý",N($B305)=0),"",IF((TDBC-$B305)*24&gt;$AH305,"Đã vượt ước tính","Đã dùng "&amp;TEXT((TDBC-$B305)*24/$AH305,"0%")))))</f>
      </c>
      <c r="AD305" s="223">
        <f>IF(N($AO305)=0,"",CHOOSE($AO305,"Nhắc nhở","Cảnh báo","Báo động","Báo động đỏ"))</f>
      </c>
      <c r="AE305" s="223">
        <f>IF(OR(N($AA305)=0,N($U305)=0),"",IF($AA305&lt;=$U305,"Đúng hạn","Trễ hạn"))</f>
      </c>
      <c r="AF305" s="220">
        <f>IF($A305="","",_xlfn.MAXIFS('Nhật ký tiến độ'!$B$6:$B$3005,'Nhật ký tiến độ'!$C$6:$C$3005,$A305))</f>
      </c>
      <c r="AG305" s="223">
        <f>IF($A305="","",IF(COUNTIF('Kế hoạch'!$M$6:$M$305,$A305)=0,"",COUNTIF('Kế hoạch'!$M$6:$M$305,$A305)&amp;" việc"))</f>
      </c>
      <c r="AH305" s="224">
        <f>IF(OR($A305="",N($O305)&lt;=0),"",IF($P305="Giờ",$O305,$O305*24))</f>
      </c>
      <c r="AI305" s="224">
        <f>IF(OR(N($AA305)=0,N($B305)=0),"",IF($AA305&lt;$B305,"",($AA305-$B305)*24))</f>
      </c>
      <c r="AJ305" s="225">
        <f>IF($A305="","",IF(COUNTIF('Nhật ký tiến độ'!$C$6:$C$3005,$A305)=0,0,_xlfn.MAXIFS('Nhật ký tiến độ'!$N$6:$N$3005,'Nhật ký tiến độ'!$C$6:$C$3005,$A305,'Nhật ký tiến độ'!$B$6:$B$3005,_xlfn.MAXIFS('Nhật ký tiến độ'!$B$6:$B$3005,'Nhật ký tiến độ'!$C$6:$C$3005,$A305))))</f>
      </c>
      <c r="AK305" s="225">
        <f>IF(OR($A305="",$V305="Đã xử lý"),"",IF(N($AO305)&gt;0,5-$AO305,IF($J305="Khẩn cấp",5,IF($Y305="Chậm tiến độ",6,IF(OR($Y305="Sắp đến hạn",$J305="Cao"),7,"")))))</f>
      </c>
      <c r="AL305" s="225">
        <f>IF($AK305="","",$AK305*100000+IF(N($U305)=0,99999,INT($U305))+ROW()/100000)</f>
      </c>
      <c r="AM305" s="225">
        <f>IF(OR($A305="",TRIM($K305)="",COUNTIF($K$6:$K305,$K305)&gt;1),0,1)</f>
      </c>
      <c r="AN305" s="225">
        <f>IF($AM305=1,SUM($AM$6:$AM305),"")</f>
      </c>
      <c r="AO305" s="225">
        <f>IF(OR($A305="",$V305="Đã xử lý",N($U305)=0),0,IF(TDBC&lt;=$U305,0,MAX(1,MIN(4,IF((TDBC-$U305)*24&lt;24,1,IF((TDBC-$U305)*24&lt;72,2,IF((TDBC-$U305)*24&lt;168,3,4)))+IFERROR(INDEX({2,1,0,-1},MATCH($J305,{"Khẩn cấp","Cao","Trung bình","Thấp"},0)),0)))))</f>
      </c>
    </row>
    <row r="306">
      <c r="A306" s="216"/>
      <c r="B306" s="217"/>
      <c r="C306" s="218"/>
      <c r="D306" s="218"/>
      <c r="E306" s="218"/>
      <c r="F306" s="218"/>
      <c r="G306" s="216"/>
      <c r="H306" s="218"/>
      <c r="I306" s="218"/>
      <c r="J306" s="216"/>
      <c r="K306" s="218"/>
      <c r="L306" s="218"/>
      <c r="M306" s="218"/>
      <c r="N306" s="218"/>
      <c r="O306" s="219"/>
      <c r="P306" s="216"/>
      <c r="Q306" s="217"/>
      <c r="R306" s="216"/>
      <c r="S306" s="218"/>
      <c r="T306" s="218"/>
      <c r="U306" s="220">
        <f>IF($A306="","",IF(N($Q306)&gt;0,IF(MOD($Q306,1)=0,$Q306+1-1/1440,$Q306),IF(N($B306)=0,"",$B306+IF(N($AH306)&gt;0,$AH306,IFERROR(INDEX(DM_SLA_Gio,MATCH($J306,DM_SLA_Cap,0)),168))/24)))</f>
      </c>
      <c r="V306" s="221">
        <f>IF($A306="","",IF(N($AJ306)=0,"Mới tiếp nhận",INDEX('Nhật ký tiến độ'!$E:$E,$AJ306)))</f>
      </c>
      <c r="W306" s="222">
        <f>IF($A306="","",IF($V306="Đã xử lý",1,IF(N($AJ306)=0,0,N(INDEX('Nhật ký tiến độ'!$D:$D,$AJ306)))))</f>
      </c>
      <c r="X306" s="222">
        <f>IF(OR($A306="",$V306="Đã xử lý",N($U306)=0,N($B306)=0),"",IF(TDBC&lt;=$B306,0,IF(TDBC&gt;=$U306,1,(TDBC-$B306)/($U306-$B306))))</f>
      </c>
      <c r="Y306" s="223">
        <f>IF($A306="","",IF($V306="Đã xử lý","Hoàn thành",IF(N($U306)=0,"Chưa đặt hạn",IF(TDBC&gt;$U306,"Quá hạn",IF(ROUND((N($X306)-$W306)*100,0)&gt;=20,"Chậm tiến độ",IF($U306-TDBC&lt;=1,"Sắp đến hạn","Đúng tiến độ"))))))</f>
      </c>
      <c r="Z306" s="223">
        <f>IF(OR($A306="",$V306="Đã xử lý",N($U306)=0),"",IF(TDBC&gt;$U306,"Quá "&amp;IF(((TDBC-$U306)*24)&lt;1,MAX(1,ROUND(((TDBC-$U306)*24)*60,0))&amp;" phút",IF(ROUND(((TDBC-$U306)*24),0)&lt;24,ROUND(((TDBC-$U306)*24),0)&amp;" giờ",INT(ROUND(((TDBC-$U306)*24),0)/24)&amp;" ngày"&amp;IF(MOD(ROUND(((TDBC-$U306)*24),0),24)&gt;0," "&amp;MOD(ROUND(((TDBC-$U306)*24),0),24)&amp;" giờ",""))),"Còn "&amp;IF((($U306-TDBC)*24)&lt;1,MAX(1,ROUND((($U306-TDBC)*24)*60,0))&amp;" phút",IF(ROUND((($U306-TDBC)*24),0)&lt;24,ROUND((($U306-TDBC)*24),0)&amp;" giờ",INT(ROUND((($U306-TDBC)*24),0)/24)&amp;" ngày"&amp;IF(MOD(ROUND((($U306-TDBC)*24),0),24)&gt;0," "&amp;MOD(ROUND((($U306-TDBC)*24),0),24)&amp;" giờ","")))))</f>
      </c>
      <c r="AA306" s="220">
        <f>IF($V306="Đã xử lý",_xlfn.MAXIFS('Nhật ký tiến độ'!$B$6:$B$3005,'Nhật ký tiến độ'!$C$6:$C$3005,$A306,'Nhật ký tiến độ'!$E$6:$E$3005,"Đã xử lý"),"")</f>
      </c>
      <c r="AB306" s="223">
        <f>IF($AI306="","",IF($AI306&lt;1,MAX(1,ROUND($AI306*60,0))&amp;" phút",IF(ROUND($AI306,0)&lt;24,ROUND($AI306,0)&amp;" giờ",INT(ROUND($AI306,0)/24)&amp;" ngày"&amp;IF(MOD(ROUND($AI306,0),24)&gt;0," "&amp;MOD(ROUND($AI306,0),24)&amp;" giờ",""))))</f>
      </c>
      <c r="AC306" s="223">
        <f>IF(OR($A306="",N($AH306)=0),"",IF($AI306&lt;&gt;"",IF($AI306&lt;=$AH306,"Trong ước tính","Vượt "&amp;IF(($AI306-$AH306)&lt;1,MAX(1,ROUND(($AI306-$AH306)*60,0))&amp;" phút",IF(ROUND(($AI306-$AH306),0)&lt;24,ROUND(($AI306-$AH306),0)&amp;" giờ",INT(ROUND(($AI306-$AH306),0)/24)&amp;" ngày"&amp;IF(MOD(ROUND(($AI306-$AH306),0),24)&gt;0," "&amp;MOD(ROUND(($AI306-$AH306),0),24)&amp;" giờ","")))),IF(OR($V306="Đã xử lý",N($B306)=0),"",IF((TDBC-$B306)*24&gt;$AH306,"Đã vượt ước tính","Đã dùng "&amp;TEXT((TDBC-$B306)*24/$AH306,"0%")))))</f>
      </c>
      <c r="AD306" s="223">
        <f>IF(N($AO306)=0,"",CHOOSE($AO306,"Nhắc nhở","Cảnh báo","Báo động","Báo động đỏ"))</f>
      </c>
      <c r="AE306" s="223">
        <f>IF(OR(N($AA306)=0,N($U306)=0),"",IF($AA306&lt;=$U306,"Đúng hạn","Trễ hạn"))</f>
      </c>
      <c r="AF306" s="220">
        <f>IF($A306="","",_xlfn.MAXIFS('Nhật ký tiến độ'!$B$6:$B$3005,'Nhật ký tiến độ'!$C$6:$C$3005,$A306))</f>
      </c>
      <c r="AG306" s="223">
        <f>IF($A306="","",IF(COUNTIF('Kế hoạch'!$M$6:$M$305,$A306)=0,"",COUNTIF('Kế hoạch'!$M$6:$M$305,$A306)&amp;" việc"))</f>
      </c>
      <c r="AH306" s="224">
        <f>IF(OR($A306="",N($O306)&lt;=0),"",IF($P306="Giờ",$O306,$O306*24))</f>
      </c>
      <c r="AI306" s="224">
        <f>IF(OR(N($AA306)=0,N($B306)=0),"",IF($AA306&lt;$B306,"",($AA306-$B306)*24))</f>
      </c>
      <c r="AJ306" s="225">
        <f>IF($A306="","",IF(COUNTIF('Nhật ký tiến độ'!$C$6:$C$3005,$A306)=0,0,_xlfn.MAXIFS('Nhật ký tiến độ'!$N$6:$N$3005,'Nhật ký tiến độ'!$C$6:$C$3005,$A306,'Nhật ký tiến độ'!$B$6:$B$3005,_xlfn.MAXIFS('Nhật ký tiến độ'!$B$6:$B$3005,'Nhật ký tiến độ'!$C$6:$C$3005,$A306))))</f>
      </c>
      <c r="AK306" s="225">
        <f>IF(OR($A306="",$V306="Đã xử lý"),"",IF(N($AO306)&gt;0,5-$AO306,IF($J306="Khẩn cấp",5,IF($Y306="Chậm tiến độ",6,IF(OR($Y306="Sắp đến hạn",$J306="Cao"),7,"")))))</f>
      </c>
      <c r="AL306" s="225">
        <f>IF($AK306="","",$AK306*100000+IF(N($U306)=0,99999,INT($U306))+ROW()/100000)</f>
      </c>
      <c r="AM306" s="225">
        <f>IF(OR($A306="",TRIM($K306)="",COUNTIF($K$6:$K306,$K306)&gt;1),0,1)</f>
      </c>
      <c r="AN306" s="225">
        <f>IF($AM306=1,SUM($AM$6:$AM306),"")</f>
      </c>
      <c r="AO306" s="225">
        <f>IF(OR($A306="",$V306="Đã xử lý",N($U306)=0),0,IF(TDBC&lt;=$U306,0,MAX(1,MIN(4,IF((TDBC-$U306)*24&lt;24,1,IF((TDBC-$U306)*24&lt;72,2,IF((TDBC-$U306)*24&lt;168,3,4)))+IFERROR(INDEX({2,1,0,-1},MATCH($J306,{"Khẩn cấp","Cao","Trung bình","Thấp"},0)),0)))))</f>
      </c>
    </row>
    <row r="307">
      <c r="A307" s="216"/>
      <c r="B307" s="217"/>
      <c r="C307" s="218"/>
      <c r="D307" s="218"/>
      <c r="E307" s="218"/>
      <c r="F307" s="218"/>
      <c r="G307" s="216"/>
      <c r="H307" s="218"/>
      <c r="I307" s="218"/>
      <c r="J307" s="216"/>
      <c r="K307" s="218"/>
      <c r="L307" s="218"/>
      <c r="M307" s="218"/>
      <c r="N307" s="218"/>
      <c r="O307" s="219"/>
      <c r="P307" s="216"/>
      <c r="Q307" s="217"/>
      <c r="R307" s="216"/>
      <c r="S307" s="218"/>
      <c r="T307" s="218"/>
      <c r="U307" s="220">
        <f>IF($A307="","",IF(N($Q307)&gt;0,IF(MOD($Q307,1)=0,$Q307+1-1/1440,$Q307),IF(N($B307)=0,"",$B307+IF(N($AH307)&gt;0,$AH307,IFERROR(INDEX(DM_SLA_Gio,MATCH($J307,DM_SLA_Cap,0)),168))/24)))</f>
      </c>
      <c r="V307" s="221">
        <f>IF($A307="","",IF(N($AJ307)=0,"Mới tiếp nhận",INDEX('Nhật ký tiến độ'!$E:$E,$AJ307)))</f>
      </c>
      <c r="W307" s="222">
        <f>IF($A307="","",IF($V307="Đã xử lý",1,IF(N($AJ307)=0,0,N(INDEX('Nhật ký tiến độ'!$D:$D,$AJ307)))))</f>
      </c>
      <c r="X307" s="222">
        <f>IF(OR($A307="",$V307="Đã xử lý",N($U307)=0,N($B307)=0),"",IF(TDBC&lt;=$B307,0,IF(TDBC&gt;=$U307,1,(TDBC-$B307)/($U307-$B307))))</f>
      </c>
      <c r="Y307" s="223">
        <f>IF($A307="","",IF($V307="Đã xử lý","Hoàn thành",IF(N($U307)=0,"Chưa đặt hạn",IF(TDBC&gt;$U307,"Quá hạn",IF(ROUND((N($X307)-$W307)*100,0)&gt;=20,"Chậm tiến độ",IF($U307-TDBC&lt;=1,"Sắp đến hạn","Đúng tiến độ"))))))</f>
      </c>
      <c r="Z307" s="223">
        <f>IF(OR($A307="",$V307="Đã xử lý",N($U307)=0),"",IF(TDBC&gt;$U307,"Quá "&amp;IF(((TDBC-$U307)*24)&lt;1,MAX(1,ROUND(((TDBC-$U307)*24)*60,0))&amp;" phút",IF(ROUND(((TDBC-$U307)*24),0)&lt;24,ROUND(((TDBC-$U307)*24),0)&amp;" giờ",INT(ROUND(((TDBC-$U307)*24),0)/24)&amp;" ngày"&amp;IF(MOD(ROUND(((TDBC-$U307)*24),0),24)&gt;0," "&amp;MOD(ROUND(((TDBC-$U307)*24),0),24)&amp;" giờ",""))),"Còn "&amp;IF((($U307-TDBC)*24)&lt;1,MAX(1,ROUND((($U307-TDBC)*24)*60,0))&amp;" phút",IF(ROUND((($U307-TDBC)*24),0)&lt;24,ROUND((($U307-TDBC)*24),0)&amp;" giờ",INT(ROUND((($U307-TDBC)*24),0)/24)&amp;" ngày"&amp;IF(MOD(ROUND((($U307-TDBC)*24),0),24)&gt;0," "&amp;MOD(ROUND((($U307-TDBC)*24),0),24)&amp;" giờ","")))))</f>
      </c>
      <c r="AA307" s="220">
        <f>IF($V307="Đã xử lý",_xlfn.MAXIFS('Nhật ký tiến độ'!$B$6:$B$3005,'Nhật ký tiến độ'!$C$6:$C$3005,$A307,'Nhật ký tiến độ'!$E$6:$E$3005,"Đã xử lý"),"")</f>
      </c>
      <c r="AB307" s="223">
        <f>IF($AI307="","",IF($AI307&lt;1,MAX(1,ROUND($AI307*60,0))&amp;" phút",IF(ROUND($AI307,0)&lt;24,ROUND($AI307,0)&amp;" giờ",INT(ROUND($AI307,0)/24)&amp;" ngày"&amp;IF(MOD(ROUND($AI307,0),24)&gt;0," "&amp;MOD(ROUND($AI307,0),24)&amp;" giờ",""))))</f>
      </c>
      <c r="AC307" s="223">
        <f>IF(OR($A307="",N($AH307)=0),"",IF($AI307&lt;&gt;"",IF($AI307&lt;=$AH307,"Trong ước tính","Vượt "&amp;IF(($AI307-$AH307)&lt;1,MAX(1,ROUND(($AI307-$AH307)*60,0))&amp;" phút",IF(ROUND(($AI307-$AH307),0)&lt;24,ROUND(($AI307-$AH307),0)&amp;" giờ",INT(ROUND(($AI307-$AH307),0)/24)&amp;" ngày"&amp;IF(MOD(ROUND(($AI307-$AH307),0),24)&gt;0," "&amp;MOD(ROUND(($AI307-$AH307),0),24)&amp;" giờ","")))),IF(OR($V307="Đã xử lý",N($B307)=0),"",IF((TDBC-$B307)*24&gt;$AH307,"Đã vượt ước tính","Đã dùng "&amp;TEXT((TDBC-$B307)*24/$AH307,"0%")))))</f>
      </c>
      <c r="AD307" s="223">
        <f>IF(N($AO307)=0,"",CHOOSE($AO307,"Nhắc nhở","Cảnh báo","Báo động","Báo động đỏ"))</f>
      </c>
      <c r="AE307" s="223">
        <f>IF(OR(N($AA307)=0,N($U307)=0),"",IF($AA307&lt;=$U307,"Đúng hạn","Trễ hạn"))</f>
      </c>
      <c r="AF307" s="220">
        <f>IF($A307="","",_xlfn.MAXIFS('Nhật ký tiến độ'!$B$6:$B$3005,'Nhật ký tiến độ'!$C$6:$C$3005,$A307))</f>
      </c>
      <c r="AG307" s="223">
        <f>IF($A307="","",IF(COUNTIF('Kế hoạch'!$M$6:$M$305,$A307)=0,"",COUNTIF('Kế hoạch'!$M$6:$M$305,$A307)&amp;" việc"))</f>
      </c>
      <c r="AH307" s="224">
        <f>IF(OR($A307="",N($O307)&lt;=0),"",IF($P307="Giờ",$O307,$O307*24))</f>
      </c>
      <c r="AI307" s="224">
        <f>IF(OR(N($AA307)=0,N($B307)=0),"",IF($AA307&lt;$B307,"",($AA307-$B307)*24))</f>
      </c>
      <c r="AJ307" s="225">
        <f>IF($A307="","",IF(COUNTIF('Nhật ký tiến độ'!$C$6:$C$3005,$A307)=0,0,_xlfn.MAXIFS('Nhật ký tiến độ'!$N$6:$N$3005,'Nhật ký tiến độ'!$C$6:$C$3005,$A307,'Nhật ký tiến độ'!$B$6:$B$3005,_xlfn.MAXIFS('Nhật ký tiến độ'!$B$6:$B$3005,'Nhật ký tiến độ'!$C$6:$C$3005,$A307))))</f>
      </c>
      <c r="AK307" s="225">
        <f>IF(OR($A307="",$V307="Đã xử lý"),"",IF(N($AO307)&gt;0,5-$AO307,IF($J307="Khẩn cấp",5,IF($Y307="Chậm tiến độ",6,IF(OR($Y307="Sắp đến hạn",$J307="Cao"),7,"")))))</f>
      </c>
      <c r="AL307" s="225">
        <f>IF($AK307="","",$AK307*100000+IF(N($U307)=0,99999,INT($U307))+ROW()/100000)</f>
      </c>
      <c r="AM307" s="225">
        <f>IF(OR($A307="",TRIM($K307)="",COUNTIF($K$6:$K307,$K307)&gt;1),0,1)</f>
      </c>
      <c r="AN307" s="225">
        <f>IF($AM307=1,SUM($AM$6:$AM307),"")</f>
      </c>
      <c r="AO307" s="225">
        <f>IF(OR($A307="",$V307="Đã xử lý",N($U307)=0),0,IF(TDBC&lt;=$U307,0,MAX(1,MIN(4,IF((TDBC-$U307)*24&lt;24,1,IF((TDBC-$U307)*24&lt;72,2,IF((TDBC-$U307)*24&lt;168,3,4)))+IFERROR(INDEX({2,1,0,-1},MATCH($J307,{"Khẩn cấp","Cao","Trung bình","Thấp"},0)),0)))))</f>
      </c>
    </row>
    <row r="308">
      <c r="A308" s="216"/>
      <c r="B308" s="217"/>
      <c r="C308" s="218"/>
      <c r="D308" s="218"/>
      <c r="E308" s="218"/>
      <c r="F308" s="218"/>
      <c r="G308" s="216"/>
      <c r="H308" s="218"/>
      <c r="I308" s="218"/>
      <c r="J308" s="216"/>
      <c r="K308" s="218"/>
      <c r="L308" s="218"/>
      <c r="M308" s="218"/>
      <c r="N308" s="218"/>
      <c r="O308" s="219"/>
      <c r="P308" s="216"/>
      <c r="Q308" s="217"/>
      <c r="R308" s="216"/>
      <c r="S308" s="218"/>
      <c r="T308" s="218"/>
      <c r="U308" s="220">
        <f>IF($A308="","",IF(N($Q308)&gt;0,IF(MOD($Q308,1)=0,$Q308+1-1/1440,$Q308),IF(N($B308)=0,"",$B308+IF(N($AH308)&gt;0,$AH308,IFERROR(INDEX(DM_SLA_Gio,MATCH($J308,DM_SLA_Cap,0)),168))/24)))</f>
      </c>
      <c r="V308" s="221">
        <f>IF($A308="","",IF(N($AJ308)=0,"Mới tiếp nhận",INDEX('Nhật ký tiến độ'!$E:$E,$AJ308)))</f>
      </c>
      <c r="W308" s="222">
        <f>IF($A308="","",IF($V308="Đã xử lý",1,IF(N($AJ308)=0,0,N(INDEX('Nhật ký tiến độ'!$D:$D,$AJ308)))))</f>
      </c>
      <c r="X308" s="222">
        <f>IF(OR($A308="",$V308="Đã xử lý",N($U308)=0,N($B308)=0),"",IF(TDBC&lt;=$B308,0,IF(TDBC&gt;=$U308,1,(TDBC-$B308)/($U308-$B308))))</f>
      </c>
      <c r="Y308" s="223">
        <f>IF($A308="","",IF($V308="Đã xử lý","Hoàn thành",IF(N($U308)=0,"Chưa đặt hạn",IF(TDBC&gt;$U308,"Quá hạn",IF(ROUND((N($X308)-$W308)*100,0)&gt;=20,"Chậm tiến độ",IF($U308-TDBC&lt;=1,"Sắp đến hạn","Đúng tiến độ"))))))</f>
      </c>
      <c r="Z308" s="223">
        <f>IF(OR($A308="",$V308="Đã xử lý",N($U308)=0),"",IF(TDBC&gt;$U308,"Quá "&amp;IF(((TDBC-$U308)*24)&lt;1,MAX(1,ROUND(((TDBC-$U308)*24)*60,0))&amp;" phút",IF(ROUND(((TDBC-$U308)*24),0)&lt;24,ROUND(((TDBC-$U308)*24),0)&amp;" giờ",INT(ROUND(((TDBC-$U308)*24),0)/24)&amp;" ngày"&amp;IF(MOD(ROUND(((TDBC-$U308)*24),0),24)&gt;0," "&amp;MOD(ROUND(((TDBC-$U308)*24),0),24)&amp;" giờ",""))),"Còn "&amp;IF((($U308-TDBC)*24)&lt;1,MAX(1,ROUND((($U308-TDBC)*24)*60,0))&amp;" phút",IF(ROUND((($U308-TDBC)*24),0)&lt;24,ROUND((($U308-TDBC)*24),0)&amp;" giờ",INT(ROUND((($U308-TDBC)*24),0)/24)&amp;" ngày"&amp;IF(MOD(ROUND((($U308-TDBC)*24),0),24)&gt;0," "&amp;MOD(ROUND((($U308-TDBC)*24),0),24)&amp;" giờ","")))))</f>
      </c>
      <c r="AA308" s="220">
        <f>IF($V308="Đã xử lý",_xlfn.MAXIFS('Nhật ký tiến độ'!$B$6:$B$3005,'Nhật ký tiến độ'!$C$6:$C$3005,$A308,'Nhật ký tiến độ'!$E$6:$E$3005,"Đã xử lý"),"")</f>
      </c>
      <c r="AB308" s="223">
        <f>IF($AI308="","",IF($AI308&lt;1,MAX(1,ROUND($AI308*60,0))&amp;" phút",IF(ROUND($AI308,0)&lt;24,ROUND($AI308,0)&amp;" giờ",INT(ROUND($AI308,0)/24)&amp;" ngày"&amp;IF(MOD(ROUND($AI308,0),24)&gt;0," "&amp;MOD(ROUND($AI308,0),24)&amp;" giờ",""))))</f>
      </c>
      <c r="AC308" s="223">
        <f>IF(OR($A308="",N($AH308)=0),"",IF($AI308&lt;&gt;"",IF($AI308&lt;=$AH308,"Trong ước tính","Vượt "&amp;IF(($AI308-$AH308)&lt;1,MAX(1,ROUND(($AI308-$AH308)*60,0))&amp;" phút",IF(ROUND(($AI308-$AH308),0)&lt;24,ROUND(($AI308-$AH308),0)&amp;" giờ",INT(ROUND(($AI308-$AH308),0)/24)&amp;" ngày"&amp;IF(MOD(ROUND(($AI308-$AH308),0),24)&gt;0," "&amp;MOD(ROUND(($AI308-$AH308),0),24)&amp;" giờ","")))),IF(OR($V308="Đã xử lý",N($B308)=0),"",IF((TDBC-$B308)*24&gt;$AH308,"Đã vượt ước tính","Đã dùng "&amp;TEXT((TDBC-$B308)*24/$AH308,"0%")))))</f>
      </c>
      <c r="AD308" s="223">
        <f>IF(N($AO308)=0,"",CHOOSE($AO308,"Nhắc nhở","Cảnh báo","Báo động","Báo động đỏ"))</f>
      </c>
      <c r="AE308" s="223">
        <f>IF(OR(N($AA308)=0,N($U308)=0),"",IF($AA308&lt;=$U308,"Đúng hạn","Trễ hạn"))</f>
      </c>
      <c r="AF308" s="220">
        <f>IF($A308="","",_xlfn.MAXIFS('Nhật ký tiến độ'!$B$6:$B$3005,'Nhật ký tiến độ'!$C$6:$C$3005,$A308))</f>
      </c>
      <c r="AG308" s="223">
        <f>IF($A308="","",IF(COUNTIF('Kế hoạch'!$M$6:$M$305,$A308)=0,"",COUNTIF('Kế hoạch'!$M$6:$M$305,$A308)&amp;" việc"))</f>
      </c>
      <c r="AH308" s="224">
        <f>IF(OR($A308="",N($O308)&lt;=0),"",IF($P308="Giờ",$O308,$O308*24))</f>
      </c>
      <c r="AI308" s="224">
        <f>IF(OR(N($AA308)=0,N($B308)=0),"",IF($AA308&lt;$B308,"",($AA308-$B308)*24))</f>
      </c>
      <c r="AJ308" s="225">
        <f>IF($A308="","",IF(COUNTIF('Nhật ký tiến độ'!$C$6:$C$3005,$A308)=0,0,_xlfn.MAXIFS('Nhật ký tiến độ'!$N$6:$N$3005,'Nhật ký tiến độ'!$C$6:$C$3005,$A308,'Nhật ký tiến độ'!$B$6:$B$3005,_xlfn.MAXIFS('Nhật ký tiến độ'!$B$6:$B$3005,'Nhật ký tiến độ'!$C$6:$C$3005,$A308))))</f>
      </c>
      <c r="AK308" s="225">
        <f>IF(OR($A308="",$V308="Đã xử lý"),"",IF(N($AO308)&gt;0,5-$AO308,IF($J308="Khẩn cấp",5,IF($Y308="Chậm tiến độ",6,IF(OR($Y308="Sắp đến hạn",$J308="Cao"),7,"")))))</f>
      </c>
      <c r="AL308" s="225">
        <f>IF($AK308="","",$AK308*100000+IF(N($U308)=0,99999,INT($U308))+ROW()/100000)</f>
      </c>
      <c r="AM308" s="225">
        <f>IF(OR($A308="",TRIM($K308)="",COUNTIF($K$6:$K308,$K308)&gt;1),0,1)</f>
      </c>
      <c r="AN308" s="225">
        <f>IF($AM308=1,SUM($AM$6:$AM308),"")</f>
      </c>
      <c r="AO308" s="225">
        <f>IF(OR($A308="",$V308="Đã xử lý",N($U308)=0),0,IF(TDBC&lt;=$U308,0,MAX(1,MIN(4,IF((TDBC-$U308)*24&lt;24,1,IF((TDBC-$U308)*24&lt;72,2,IF((TDBC-$U308)*24&lt;168,3,4)))+IFERROR(INDEX({2,1,0,-1},MATCH($J308,{"Khẩn cấp","Cao","Trung bình","Thấp"},0)),0)))))</f>
      </c>
    </row>
    <row r="309">
      <c r="A309" s="216"/>
      <c r="B309" s="217"/>
      <c r="C309" s="218"/>
      <c r="D309" s="218"/>
      <c r="E309" s="218"/>
      <c r="F309" s="218"/>
      <c r="G309" s="216"/>
      <c r="H309" s="218"/>
      <c r="I309" s="218"/>
      <c r="J309" s="216"/>
      <c r="K309" s="218"/>
      <c r="L309" s="218"/>
      <c r="M309" s="218"/>
      <c r="N309" s="218"/>
      <c r="O309" s="219"/>
      <c r="P309" s="216"/>
      <c r="Q309" s="217"/>
      <c r="R309" s="216"/>
      <c r="S309" s="218"/>
      <c r="T309" s="218"/>
      <c r="U309" s="220">
        <f>IF($A309="","",IF(N($Q309)&gt;0,IF(MOD($Q309,1)=0,$Q309+1-1/1440,$Q309),IF(N($B309)=0,"",$B309+IF(N($AH309)&gt;0,$AH309,IFERROR(INDEX(DM_SLA_Gio,MATCH($J309,DM_SLA_Cap,0)),168))/24)))</f>
      </c>
      <c r="V309" s="221">
        <f>IF($A309="","",IF(N($AJ309)=0,"Mới tiếp nhận",INDEX('Nhật ký tiến độ'!$E:$E,$AJ309)))</f>
      </c>
      <c r="W309" s="222">
        <f>IF($A309="","",IF($V309="Đã xử lý",1,IF(N($AJ309)=0,0,N(INDEX('Nhật ký tiến độ'!$D:$D,$AJ309)))))</f>
      </c>
      <c r="X309" s="222">
        <f>IF(OR($A309="",$V309="Đã xử lý",N($U309)=0,N($B309)=0),"",IF(TDBC&lt;=$B309,0,IF(TDBC&gt;=$U309,1,(TDBC-$B309)/($U309-$B309))))</f>
      </c>
      <c r="Y309" s="223">
        <f>IF($A309="","",IF($V309="Đã xử lý","Hoàn thành",IF(N($U309)=0,"Chưa đặt hạn",IF(TDBC&gt;$U309,"Quá hạn",IF(ROUND((N($X309)-$W309)*100,0)&gt;=20,"Chậm tiến độ",IF($U309-TDBC&lt;=1,"Sắp đến hạn","Đúng tiến độ"))))))</f>
      </c>
      <c r="Z309" s="223">
        <f>IF(OR($A309="",$V309="Đã xử lý",N($U309)=0),"",IF(TDBC&gt;$U309,"Quá "&amp;IF(((TDBC-$U309)*24)&lt;1,MAX(1,ROUND(((TDBC-$U309)*24)*60,0))&amp;" phút",IF(ROUND(((TDBC-$U309)*24),0)&lt;24,ROUND(((TDBC-$U309)*24),0)&amp;" giờ",INT(ROUND(((TDBC-$U309)*24),0)/24)&amp;" ngày"&amp;IF(MOD(ROUND(((TDBC-$U309)*24),0),24)&gt;0," "&amp;MOD(ROUND(((TDBC-$U309)*24),0),24)&amp;" giờ",""))),"Còn "&amp;IF((($U309-TDBC)*24)&lt;1,MAX(1,ROUND((($U309-TDBC)*24)*60,0))&amp;" phút",IF(ROUND((($U309-TDBC)*24),0)&lt;24,ROUND((($U309-TDBC)*24),0)&amp;" giờ",INT(ROUND((($U309-TDBC)*24),0)/24)&amp;" ngày"&amp;IF(MOD(ROUND((($U309-TDBC)*24),0),24)&gt;0," "&amp;MOD(ROUND((($U309-TDBC)*24),0),24)&amp;" giờ","")))))</f>
      </c>
      <c r="AA309" s="220">
        <f>IF($V309="Đã xử lý",_xlfn.MAXIFS('Nhật ký tiến độ'!$B$6:$B$3005,'Nhật ký tiến độ'!$C$6:$C$3005,$A309,'Nhật ký tiến độ'!$E$6:$E$3005,"Đã xử lý"),"")</f>
      </c>
      <c r="AB309" s="223">
        <f>IF($AI309="","",IF($AI309&lt;1,MAX(1,ROUND($AI309*60,0))&amp;" phút",IF(ROUND($AI309,0)&lt;24,ROUND($AI309,0)&amp;" giờ",INT(ROUND($AI309,0)/24)&amp;" ngày"&amp;IF(MOD(ROUND($AI309,0),24)&gt;0," "&amp;MOD(ROUND($AI309,0),24)&amp;" giờ",""))))</f>
      </c>
      <c r="AC309" s="223">
        <f>IF(OR($A309="",N($AH309)=0),"",IF($AI309&lt;&gt;"",IF($AI309&lt;=$AH309,"Trong ước tính","Vượt "&amp;IF(($AI309-$AH309)&lt;1,MAX(1,ROUND(($AI309-$AH309)*60,0))&amp;" phút",IF(ROUND(($AI309-$AH309),0)&lt;24,ROUND(($AI309-$AH309),0)&amp;" giờ",INT(ROUND(($AI309-$AH309),0)/24)&amp;" ngày"&amp;IF(MOD(ROUND(($AI309-$AH309),0),24)&gt;0," "&amp;MOD(ROUND(($AI309-$AH309),0),24)&amp;" giờ","")))),IF(OR($V309="Đã xử lý",N($B309)=0),"",IF((TDBC-$B309)*24&gt;$AH309,"Đã vượt ước tính","Đã dùng "&amp;TEXT((TDBC-$B309)*24/$AH309,"0%")))))</f>
      </c>
      <c r="AD309" s="223">
        <f>IF(N($AO309)=0,"",CHOOSE($AO309,"Nhắc nhở","Cảnh báo","Báo động","Báo động đỏ"))</f>
      </c>
      <c r="AE309" s="223">
        <f>IF(OR(N($AA309)=0,N($U309)=0),"",IF($AA309&lt;=$U309,"Đúng hạn","Trễ hạn"))</f>
      </c>
      <c r="AF309" s="220">
        <f>IF($A309="","",_xlfn.MAXIFS('Nhật ký tiến độ'!$B$6:$B$3005,'Nhật ký tiến độ'!$C$6:$C$3005,$A309))</f>
      </c>
      <c r="AG309" s="223">
        <f>IF($A309="","",IF(COUNTIF('Kế hoạch'!$M$6:$M$305,$A309)=0,"",COUNTIF('Kế hoạch'!$M$6:$M$305,$A309)&amp;" việc"))</f>
      </c>
      <c r="AH309" s="224">
        <f>IF(OR($A309="",N($O309)&lt;=0),"",IF($P309="Giờ",$O309,$O309*24))</f>
      </c>
      <c r="AI309" s="224">
        <f>IF(OR(N($AA309)=0,N($B309)=0),"",IF($AA309&lt;$B309,"",($AA309-$B309)*24))</f>
      </c>
      <c r="AJ309" s="225">
        <f>IF($A309="","",IF(COUNTIF('Nhật ký tiến độ'!$C$6:$C$3005,$A309)=0,0,_xlfn.MAXIFS('Nhật ký tiến độ'!$N$6:$N$3005,'Nhật ký tiến độ'!$C$6:$C$3005,$A309,'Nhật ký tiến độ'!$B$6:$B$3005,_xlfn.MAXIFS('Nhật ký tiến độ'!$B$6:$B$3005,'Nhật ký tiến độ'!$C$6:$C$3005,$A309))))</f>
      </c>
      <c r="AK309" s="225">
        <f>IF(OR($A309="",$V309="Đã xử lý"),"",IF(N($AO309)&gt;0,5-$AO309,IF($J309="Khẩn cấp",5,IF($Y309="Chậm tiến độ",6,IF(OR($Y309="Sắp đến hạn",$J309="Cao"),7,"")))))</f>
      </c>
      <c r="AL309" s="225">
        <f>IF($AK309="","",$AK309*100000+IF(N($U309)=0,99999,INT($U309))+ROW()/100000)</f>
      </c>
      <c r="AM309" s="225">
        <f>IF(OR($A309="",TRIM($K309)="",COUNTIF($K$6:$K309,$K309)&gt;1),0,1)</f>
      </c>
      <c r="AN309" s="225">
        <f>IF($AM309=1,SUM($AM$6:$AM309),"")</f>
      </c>
      <c r="AO309" s="225">
        <f>IF(OR($A309="",$V309="Đã xử lý",N($U309)=0),0,IF(TDBC&lt;=$U309,0,MAX(1,MIN(4,IF((TDBC-$U309)*24&lt;24,1,IF((TDBC-$U309)*24&lt;72,2,IF((TDBC-$U309)*24&lt;168,3,4)))+IFERROR(INDEX({2,1,0,-1},MATCH($J309,{"Khẩn cấp","Cao","Trung bình","Thấp"},0)),0)))))</f>
      </c>
    </row>
    <row r="310">
      <c r="A310" s="216"/>
      <c r="B310" s="217"/>
      <c r="C310" s="218"/>
      <c r="D310" s="218"/>
      <c r="E310" s="218"/>
      <c r="F310" s="218"/>
      <c r="G310" s="216"/>
      <c r="H310" s="218"/>
      <c r="I310" s="218"/>
      <c r="J310" s="216"/>
      <c r="K310" s="218"/>
      <c r="L310" s="218"/>
      <c r="M310" s="218"/>
      <c r="N310" s="218"/>
      <c r="O310" s="219"/>
      <c r="P310" s="216"/>
      <c r="Q310" s="217"/>
      <c r="R310" s="216"/>
      <c r="S310" s="218"/>
      <c r="T310" s="218"/>
      <c r="U310" s="220">
        <f>IF($A310="","",IF(N($Q310)&gt;0,IF(MOD($Q310,1)=0,$Q310+1-1/1440,$Q310),IF(N($B310)=0,"",$B310+IF(N($AH310)&gt;0,$AH310,IFERROR(INDEX(DM_SLA_Gio,MATCH($J310,DM_SLA_Cap,0)),168))/24)))</f>
      </c>
      <c r="V310" s="221">
        <f>IF($A310="","",IF(N($AJ310)=0,"Mới tiếp nhận",INDEX('Nhật ký tiến độ'!$E:$E,$AJ310)))</f>
      </c>
      <c r="W310" s="222">
        <f>IF($A310="","",IF($V310="Đã xử lý",1,IF(N($AJ310)=0,0,N(INDEX('Nhật ký tiến độ'!$D:$D,$AJ310)))))</f>
      </c>
      <c r="X310" s="222">
        <f>IF(OR($A310="",$V310="Đã xử lý",N($U310)=0,N($B310)=0),"",IF(TDBC&lt;=$B310,0,IF(TDBC&gt;=$U310,1,(TDBC-$B310)/($U310-$B310))))</f>
      </c>
      <c r="Y310" s="223">
        <f>IF($A310="","",IF($V310="Đã xử lý","Hoàn thành",IF(N($U310)=0,"Chưa đặt hạn",IF(TDBC&gt;$U310,"Quá hạn",IF(ROUND((N($X310)-$W310)*100,0)&gt;=20,"Chậm tiến độ",IF($U310-TDBC&lt;=1,"Sắp đến hạn","Đúng tiến độ"))))))</f>
      </c>
      <c r="Z310" s="223">
        <f>IF(OR($A310="",$V310="Đã xử lý",N($U310)=0),"",IF(TDBC&gt;$U310,"Quá "&amp;IF(((TDBC-$U310)*24)&lt;1,MAX(1,ROUND(((TDBC-$U310)*24)*60,0))&amp;" phút",IF(ROUND(((TDBC-$U310)*24),0)&lt;24,ROUND(((TDBC-$U310)*24),0)&amp;" giờ",INT(ROUND(((TDBC-$U310)*24),0)/24)&amp;" ngày"&amp;IF(MOD(ROUND(((TDBC-$U310)*24),0),24)&gt;0," "&amp;MOD(ROUND(((TDBC-$U310)*24),0),24)&amp;" giờ",""))),"Còn "&amp;IF((($U310-TDBC)*24)&lt;1,MAX(1,ROUND((($U310-TDBC)*24)*60,0))&amp;" phút",IF(ROUND((($U310-TDBC)*24),0)&lt;24,ROUND((($U310-TDBC)*24),0)&amp;" giờ",INT(ROUND((($U310-TDBC)*24),0)/24)&amp;" ngày"&amp;IF(MOD(ROUND((($U310-TDBC)*24),0),24)&gt;0," "&amp;MOD(ROUND((($U310-TDBC)*24),0),24)&amp;" giờ","")))))</f>
      </c>
      <c r="AA310" s="220">
        <f>IF($V310="Đã xử lý",_xlfn.MAXIFS('Nhật ký tiến độ'!$B$6:$B$3005,'Nhật ký tiến độ'!$C$6:$C$3005,$A310,'Nhật ký tiến độ'!$E$6:$E$3005,"Đã xử lý"),"")</f>
      </c>
      <c r="AB310" s="223">
        <f>IF($AI310="","",IF($AI310&lt;1,MAX(1,ROUND($AI310*60,0))&amp;" phút",IF(ROUND($AI310,0)&lt;24,ROUND($AI310,0)&amp;" giờ",INT(ROUND($AI310,0)/24)&amp;" ngày"&amp;IF(MOD(ROUND($AI310,0),24)&gt;0," "&amp;MOD(ROUND($AI310,0),24)&amp;" giờ",""))))</f>
      </c>
      <c r="AC310" s="223">
        <f>IF(OR($A310="",N($AH310)=0),"",IF($AI310&lt;&gt;"",IF($AI310&lt;=$AH310,"Trong ước tính","Vượt "&amp;IF(($AI310-$AH310)&lt;1,MAX(1,ROUND(($AI310-$AH310)*60,0))&amp;" phút",IF(ROUND(($AI310-$AH310),0)&lt;24,ROUND(($AI310-$AH310),0)&amp;" giờ",INT(ROUND(($AI310-$AH310),0)/24)&amp;" ngày"&amp;IF(MOD(ROUND(($AI310-$AH310),0),24)&gt;0," "&amp;MOD(ROUND(($AI310-$AH310),0),24)&amp;" giờ","")))),IF(OR($V310="Đã xử lý",N($B310)=0),"",IF((TDBC-$B310)*24&gt;$AH310,"Đã vượt ước tính","Đã dùng "&amp;TEXT((TDBC-$B310)*24/$AH310,"0%")))))</f>
      </c>
      <c r="AD310" s="223">
        <f>IF(N($AO310)=0,"",CHOOSE($AO310,"Nhắc nhở","Cảnh báo","Báo động","Báo động đỏ"))</f>
      </c>
      <c r="AE310" s="223">
        <f>IF(OR(N($AA310)=0,N($U310)=0),"",IF($AA310&lt;=$U310,"Đúng hạn","Trễ hạn"))</f>
      </c>
      <c r="AF310" s="220">
        <f>IF($A310="","",_xlfn.MAXIFS('Nhật ký tiến độ'!$B$6:$B$3005,'Nhật ký tiến độ'!$C$6:$C$3005,$A310))</f>
      </c>
      <c r="AG310" s="223">
        <f>IF($A310="","",IF(COUNTIF('Kế hoạch'!$M$6:$M$305,$A310)=0,"",COUNTIF('Kế hoạch'!$M$6:$M$305,$A310)&amp;" việc"))</f>
      </c>
      <c r="AH310" s="224">
        <f>IF(OR($A310="",N($O310)&lt;=0),"",IF($P310="Giờ",$O310,$O310*24))</f>
      </c>
      <c r="AI310" s="224">
        <f>IF(OR(N($AA310)=0,N($B310)=0),"",IF($AA310&lt;$B310,"",($AA310-$B310)*24))</f>
      </c>
      <c r="AJ310" s="225">
        <f>IF($A310="","",IF(COUNTIF('Nhật ký tiến độ'!$C$6:$C$3005,$A310)=0,0,_xlfn.MAXIFS('Nhật ký tiến độ'!$N$6:$N$3005,'Nhật ký tiến độ'!$C$6:$C$3005,$A310,'Nhật ký tiến độ'!$B$6:$B$3005,_xlfn.MAXIFS('Nhật ký tiến độ'!$B$6:$B$3005,'Nhật ký tiến độ'!$C$6:$C$3005,$A310))))</f>
      </c>
      <c r="AK310" s="225">
        <f>IF(OR($A310="",$V310="Đã xử lý"),"",IF(N($AO310)&gt;0,5-$AO310,IF($J310="Khẩn cấp",5,IF($Y310="Chậm tiến độ",6,IF(OR($Y310="Sắp đến hạn",$J310="Cao"),7,"")))))</f>
      </c>
      <c r="AL310" s="225">
        <f>IF($AK310="","",$AK310*100000+IF(N($U310)=0,99999,INT($U310))+ROW()/100000)</f>
      </c>
      <c r="AM310" s="225">
        <f>IF(OR($A310="",TRIM($K310)="",COUNTIF($K$6:$K310,$K310)&gt;1),0,1)</f>
      </c>
      <c r="AN310" s="225">
        <f>IF($AM310=1,SUM($AM$6:$AM310),"")</f>
      </c>
      <c r="AO310" s="225">
        <f>IF(OR($A310="",$V310="Đã xử lý",N($U310)=0),0,IF(TDBC&lt;=$U310,0,MAX(1,MIN(4,IF((TDBC-$U310)*24&lt;24,1,IF((TDBC-$U310)*24&lt;72,2,IF((TDBC-$U310)*24&lt;168,3,4)))+IFERROR(INDEX({2,1,0,-1},MATCH($J310,{"Khẩn cấp","Cao","Trung bình","Thấp"},0)),0)))))</f>
      </c>
    </row>
    <row r="311">
      <c r="A311" s="216"/>
      <c r="B311" s="217"/>
      <c r="C311" s="218"/>
      <c r="D311" s="218"/>
      <c r="E311" s="218"/>
      <c r="F311" s="218"/>
      <c r="G311" s="216"/>
      <c r="H311" s="218"/>
      <c r="I311" s="218"/>
      <c r="J311" s="216"/>
      <c r="K311" s="218"/>
      <c r="L311" s="218"/>
      <c r="M311" s="218"/>
      <c r="N311" s="218"/>
      <c r="O311" s="219"/>
      <c r="P311" s="216"/>
      <c r="Q311" s="217"/>
      <c r="R311" s="216"/>
      <c r="S311" s="218"/>
      <c r="T311" s="218"/>
      <c r="U311" s="220">
        <f>IF($A311="","",IF(N($Q311)&gt;0,IF(MOD($Q311,1)=0,$Q311+1-1/1440,$Q311),IF(N($B311)=0,"",$B311+IF(N($AH311)&gt;0,$AH311,IFERROR(INDEX(DM_SLA_Gio,MATCH($J311,DM_SLA_Cap,0)),168))/24)))</f>
      </c>
      <c r="V311" s="221">
        <f>IF($A311="","",IF(N($AJ311)=0,"Mới tiếp nhận",INDEX('Nhật ký tiến độ'!$E:$E,$AJ311)))</f>
      </c>
      <c r="W311" s="222">
        <f>IF($A311="","",IF($V311="Đã xử lý",1,IF(N($AJ311)=0,0,N(INDEX('Nhật ký tiến độ'!$D:$D,$AJ311)))))</f>
      </c>
      <c r="X311" s="222">
        <f>IF(OR($A311="",$V311="Đã xử lý",N($U311)=0,N($B311)=0),"",IF(TDBC&lt;=$B311,0,IF(TDBC&gt;=$U311,1,(TDBC-$B311)/($U311-$B311))))</f>
      </c>
      <c r="Y311" s="223">
        <f>IF($A311="","",IF($V311="Đã xử lý","Hoàn thành",IF(N($U311)=0,"Chưa đặt hạn",IF(TDBC&gt;$U311,"Quá hạn",IF(ROUND((N($X311)-$W311)*100,0)&gt;=20,"Chậm tiến độ",IF($U311-TDBC&lt;=1,"Sắp đến hạn","Đúng tiến độ"))))))</f>
      </c>
      <c r="Z311" s="223">
        <f>IF(OR($A311="",$V311="Đã xử lý",N($U311)=0),"",IF(TDBC&gt;$U311,"Quá "&amp;IF(((TDBC-$U311)*24)&lt;1,MAX(1,ROUND(((TDBC-$U311)*24)*60,0))&amp;" phút",IF(ROUND(((TDBC-$U311)*24),0)&lt;24,ROUND(((TDBC-$U311)*24),0)&amp;" giờ",INT(ROUND(((TDBC-$U311)*24),0)/24)&amp;" ngày"&amp;IF(MOD(ROUND(((TDBC-$U311)*24),0),24)&gt;0," "&amp;MOD(ROUND(((TDBC-$U311)*24),0),24)&amp;" giờ",""))),"Còn "&amp;IF((($U311-TDBC)*24)&lt;1,MAX(1,ROUND((($U311-TDBC)*24)*60,0))&amp;" phút",IF(ROUND((($U311-TDBC)*24),0)&lt;24,ROUND((($U311-TDBC)*24),0)&amp;" giờ",INT(ROUND((($U311-TDBC)*24),0)/24)&amp;" ngày"&amp;IF(MOD(ROUND((($U311-TDBC)*24),0),24)&gt;0," "&amp;MOD(ROUND((($U311-TDBC)*24),0),24)&amp;" giờ","")))))</f>
      </c>
      <c r="AA311" s="220">
        <f>IF($V311="Đã xử lý",_xlfn.MAXIFS('Nhật ký tiến độ'!$B$6:$B$3005,'Nhật ký tiến độ'!$C$6:$C$3005,$A311,'Nhật ký tiến độ'!$E$6:$E$3005,"Đã xử lý"),"")</f>
      </c>
      <c r="AB311" s="223">
        <f>IF($AI311="","",IF($AI311&lt;1,MAX(1,ROUND($AI311*60,0))&amp;" phút",IF(ROUND($AI311,0)&lt;24,ROUND($AI311,0)&amp;" giờ",INT(ROUND($AI311,0)/24)&amp;" ngày"&amp;IF(MOD(ROUND($AI311,0),24)&gt;0," "&amp;MOD(ROUND($AI311,0),24)&amp;" giờ",""))))</f>
      </c>
      <c r="AC311" s="223">
        <f>IF(OR($A311="",N($AH311)=0),"",IF($AI311&lt;&gt;"",IF($AI311&lt;=$AH311,"Trong ước tính","Vượt "&amp;IF(($AI311-$AH311)&lt;1,MAX(1,ROUND(($AI311-$AH311)*60,0))&amp;" phút",IF(ROUND(($AI311-$AH311),0)&lt;24,ROUND(($AI311-$AH311),0)&amp;" giờ",INT(ROUND(($AI311-$AH311),0)/24)&amp;" ngày"&amp;IF(MOD(ROUND(($AI311-$AH311),0),24)&gt;0," "&amp;MOD(ROUND(($AI311-$AH311),0),24)&amp;" giờ","")))),IF(OR($V311="Đã xử lý",N($B311)=0),"",IF((TDBC-$B311)*24&gt;$AH311,"Đã vượt ước tính","Đã dùng "&amp;TEXT((TDBC-$B311)*24/$AH311,"0%")))))</f>
      </c>
      <c r="AD311" s="223">
        <f>IF(N($AO311)=0,"",CHOOSE($AO311,"Nhắc nhở","Cảnh báo","Báo động","Báo động đỏ"))</f>
      </c>
      <c r="AE311" s="223">
        <f>IF(OR(N($AA311)=0,N($U311)=0),"",IF($AA311&lt;=$U311,"Đúng hạn","Trễ hạn"))</f>
      </c>
      <c r="AF311" s="220">
        <f>IF($A311="","",_xlfn.MAXIFS('Nhật ký tiến độ'!$B$6:$B$3005,'Nhật ký tiến độ'!$C$6:$C$3005,$A311))</f>
      </c>
      <c r="AG311" s="223">
        <f>IF($A311="","",IF(COUNTIF('Kế hoạch'!$M$6:$M$305,$A311)=0,"",COUNTIF('Kế hoạch'!$M$6:$M$305,$A311)&amp;" việc"))</f>
      </c>
      <c r="AH311" s="224">
        <f>IF(OR($A311="",N($O311)&lt;=0),"",IF($P311="Giờ",$O311,$O311*24))</f>
      </c>
      <c r="AI311" s="224">
        <f>IF(OR(N($AA311)=0,N($B311)=0),"",IF($AA311&lt;$B311,"",($AA311-$B311)*24))</f>
      </c>
      <c r="AJ311" s="225">
        <f>IF($A311="","",IF(COUNTIF('Nhật ký tiến độ'!$C$6:$C$3005,$A311)=0,0,_xlfn.MAXIFS('Nhật ký tiến độ'!$N$6:$N$3005,'Nhật ký tiến độ'!$C$6:$C$3005,$A311,'Nhật ký tiến độ'!$B$6:$B$3005,_xlfn.MAXIFS('Nhật ký tiến độ'!$B$6:$B$3005,'Nhật ký tiến độ'!$C$6:$C$3005,$A311))))</f>
      </c>
      <c r="AK311" s="225">
        <f>IF(OR($A311="",$V311="Đã xử lý"),"",IF(N($AO311)&gt;0,5-$AO311,IF($J311="Khẩn cấp",5,IF($Y311="Chậm tiến độ",6,IF(OR($Y311="Sắp đến hạn",$J311="Cao"),7,"")))))</f>
      </c>
      <c r="AL311" s="225">
        <f>IF($AK311="","",$AK311*100000+IF(N($U311)=0,99999,INT($U311))+ROW()/100000)</f>
      </c>
      <c r="AM311" s="225">
        <f>IF(OR($A311="",TRIM($K311)="",COUNTIF($K$6:$K311,$K311)&gt;1),0,1)</f>
      </c>
      <c r="AN311" s="225">
        <f>IF($AM311=1,SUM($AM$6:$AM311),"")</f>
      </c>
      <c r="AO311" s="225">
        <f>IF(OR($A311="",$V311="Đã xử lý",N($U311)=0),0,IF(TDBC&lt;=$U311,0,MAX(1,MIN(4,IF((TDBC-$U311)*24&lt;24,1,IF((TDBC-$U311)*24&lt;72,2,IF((TDBC-$U311)*24&lt;168,3,4)))+IFERROR(INDEX({2,1,0,-1},MATCH($J311,{"Khẩn cấp","Cao","Trung bình","Thấp"},0)),0)))))</f>
      </c>
    </row>
    <row r="312">
      <c r="A312" s="216"/>
      <c r="B312" s="217"/>
      <c r="C312" s="218"/>
      <c r="D312" s="218"/>
      <c r="E312" s="218"/>
      <c r="F312" s="218"/>
      <c r="G312" s="216"/>
      <c r="H312" s="218"/>
      <c r="I312" s="218"/>
      <c r="J312" s="216"/>
      <c r="K312" s="218"/>
      <c r="L312" s="218"/>
      <c r="M312" s="218"/>
      <c r="N312" s="218"/>
      <c r="O312" s="219"/>
      <c r="P312" s="216"/>
      <c r="Q312" s="217"/>
      <c r="R312" s="216"/>
      <c r="S312" s="218"/>
      <c r="T312" s="218"/>
      <c r="U312" s="220">
        <f>IF($A312="","",IF(N($Q312)&gt;0,IF(MOD($Q312,1)=0,$Q312+1-1/1440,$Q312),IF(N($B312)=0,"",$B312+IF(N($AH312)&gt;0,$AH312,IFERROR(INDEX(DM_SLA_Gio,MATCH($J312,DM_SLA_Cap,0)),168))/24)))</f>
      </c>
      <c r="V312" s="221">
        <f>IF($A312="","",IF(N($AJ312)=0,"Mới tiếp nhận",INDEX('Nhật ký tiến độ'!$E:$E,$AJ312)))</f>
      </c>
      <c r="W312" s="222">
        <f>IF($A312="","",IF($V312="Đã xử lý",1,IF(N($AJ312)=0,0,N(INDEX('Nhật ký tiến độ'!$D:$D,$AJ312)))))</f>
      </c>
      <c r="X312" s="222">
        <f>IF(OR($A312="",$V312="Đã xử lý",N($U312)=0,N($B312)=0),"",IF(TDBC&lt;=$B312,0,IF(TDBC&gt;=$U312,1,(TDBC-$B312)/($U312-$B312))))</f>
      </c>
      <c r="Y312" s="223">
        <f>IF($A312="","",IF($V312="Đã xử lý","Hoàn thành",IF(N($U312)=0,"Chưa đặt hạn",IF(TDBC&gt;$U312,"Quá hạn",IF(ROUND((N($X312)-$W312)*100,0)&gt;=20,"Chậm tiến độ",IF($U312-TDBC&lt;=1,"Sắp đến hạn","Đúng tiến độ"))))))</f>
      </c>
      <c r="Z312" s="223">
        <f>IF(OR($A312="",$V312="Đã xử lý",N($U312)=0),"",IF(TDBC&gt;$U312,"Quá "&amp;IF(((TDBC-$U312)*24)&lt;1,MAX(1,ROUND(((TDBC-$U312)*24)*60,0))&amp;" phút",IF(ROUND(((TDBC-$U312)*24),0)&lt;24,ROUND(((TDBC-$U312)*24),0)&amp;" giờ",INT(ROUND(((TDBC-$U312)*24),0)/24)&amp;" ngày"&amp;IF(MOD(ROUND(((TDBC-$U312)*24),0),24)&gt;0," "&amp;MOD(ROUND(((TDBC-$U312)*24),0),24)&amp;" giờ",""))),"Còn "&amp;IF((($U312-TDBC)*24)&lt;1,MAX(1,ROUND((($U312-TDBC)*24)*60,0))&amp;" phút",IF(ROUND((($U312-TDBC)*24),0)&lt;24,ROUND((($U312-TDBC)*24),0)&amp;" giờ",INT(ROUND((($U312-TDBC)*24),0)/24)&amp;" ngày"&amp;IF(MOD(ROUND((($U312-TDBC)*24),0),24)&gt;0," "&amp;MOD(ROUND((($U312-TDBC)*24),0),24)&amp;" giờ","")))))</f>
      </c>
      <c r="AA312" s="220">
        <f>IF($V312="Đã xử lý",_xlfn.MAXIFS('Nhật ký tiến độ'!$B$6:$B$3005,'Nhật ký tiến độ'!$C$6:$C$3005,$A312,'Nhật ký tiến độ'!$E$6:$E$3005,"Đã xử lý"),"")</f>
      </c>
      <c r="AB312" s="223">
        <f>IF($AI312="","",IF($AI312&lt;1,MAX(1,ROUND($AI312*60,0))&amp;" phút",IF(ROUND($AI312,0)&lt;24,ROUND($AI312,0)&amp;" giờ",INT(ROUND($AI312,0)/24)&amp;" ngày"&amp;IF(MOD(ROUND($AI312,0),24)&gt;0," "&amp;MOD(ROUND($AI312,0),24)&amp;" giờ",""))))</f>
      </c>
      <c r="AC312" s="223">
        <f>IF(OR($A312="",N($AH312)=0),"",IF($AI312&lt;&gt;"",IF($AI312&lt;=$AH312,"Trong ước tính","Vượt "&amp;IF(($AI312-$AH312)&lt;1,MAX(1,ROUND(($AI312-$AH312)*60,0))&amp;" phút",IF(ROUND(($AI312-$AH312),0)&lt;24,ROUND(($AI312-$AH312),0)&amp;" giờ",INT(ROUND(($AI312-$AH312),0)/24)&amp;" ngày"&amp;IF(MOD(ROUND(($AI312-$AH312),0),24)&gt;0," "&amp;MOD(ROUND(($AI312-$AH312),0),24)&amp;" giờ","")))),IF(OR($V312="Đã xử lý",N($B312)=0),"",IF((TDBC-$B312)*24&gt;$AH312,"Đã vượt ước tính","Đã dùng "&amp;TEXT((TDBC-$B312)*24/$AH312,"0%")))))</f>
      </c>
      <c r="AD312" s="223">
        <f>IF(N($AO312)=0,"",CHOOSE($AO312,"Nhắc nhở","Cảnh báo","Báo động","Báo động đỏ"))</f>
      </c>
      <c r="AE312" s="223">
        <f>IF(OR(N($AA312)=0,N($U312)=0),"",IF($AA312&lt;=$U312,"Đúng hạn","Trễ hạn"))</f>
      </c>
      <c r="AF312" s="220">
        <f>IF($A312="","",_xlfn.MAXIFS('Nhật ký tiến độ'!$B$6:$B$3005,'Nhật ký tiến độ'!$C$6:$C$3005,$A312))</f>
      </c>
      <c r="AG312" s="223">
        <f>IF($A312="","",IF(COUNTIF('Kế hoạch'!$M$6:$M$305,$A312)=0,"",COUNTIF('Kế hoạch'!$M$6:$M$305,$A312)&amp;" việc"))</f>
      </c>
      <c r="AH312" s="224">
        <f>IF(OR($A312="",N($O312)&lt;=0),"",IF($P312="Giờ",$O312,$O312*24))</f>
      </c>
      <c r="AI312" s="224">
        <f>IF(OR(N($AA312)=0,N($B312)=0),"",IF($AA312&lt;$B312,"",($AA312-$B312)*24))</f>
      </c>
      <c r="AJ312" s="225">
        <f>IF($A312="","",IF(COUNTIF('Nhật ký tiến độ'!$C$6:$C$3005,$A312)=0,0,_xlfn.MAXIFS('Nhật ký tiến độ'!$N$6:$N$3005,'Nhật ký tiến độ'!$C$6:$C$3005,$A312,'Nhật ký tiến độ'!$B$6:$B$3005,_xlfn.MAXIFS('Nhật ký tiến độ'!$B$6:$B$3005,'Nhật ký tiến độ'!$C$6:$C$3005,$A312))))</f>
      </c>
      <c r="AK312" s="225">
        <f>IF(OR($A312="",$V312="Đã xử lý"),"",IF(N($AO312)&gt;0,5-$AO312,IF($J312="Khẩn cấp",5,IF($Y312="Chậm tiến độ",6,IF(OR($Y312="Sắp đến hạn",$J312="Cao"),7,"")))))</f>
      </c>
      <c r="AL312" s="225">
        <f>IF($AK312="","",$AK312*100000+IF(N($U312)=0,99999,INT($U312))+ROW()/100000)</f>
      </c>
      <c r="AM312" s="225">
        <f>IF(OR($A312="",TRIM($K312)="",COUNTIF($K$6:$K312,$K312)&gt;1),0,1)</f>
      </c>
      <c r="AN312" s="225">
        <f>IF($AM312=1,SUM($AM$6:$AM312),"")</f>
      </c>
      <c r="AO312" s="225">
        <f>IF(OR($A312="",$V312="Đã xử lý",N($U312)=0),0,IF(TDBC&lt;=$U312,0,MAX(1,MIN(4,IF((TDBC-$U312)*24&lt;24,1,IF((TDBC-$U312)*24&lt;72,2,IF((TDBC-$U312)*24&lt;168,3,4)))+IFERROR(INDEX({2,1,0,-1},MATCH($J312,{"Khẩn cấp","Cao","Trung bình","Thấp"},0)),0)))))</f>
      </c>
    </row>
    <row r="313">
      <c r="A313" s="216"/>
      <c r="B313" s="217"/>
      <c r="C313" s="218"/>
      <c r="D313" s="218"/>
      <c r="E313" s="218"/>
      <c r="F313" s="218"/>
      <c r="G313" s="216"/>
      <c r="H313" s="218"/>
      <c r="I313" s="218"/>
      <c r="J313" s="216"/>
      <c r="K313" s="218"/>
      <c r="L313" s="218"/>
      <c r="M313" s="218"/>
      <c r="N313" s="218"/>
      <c r="O313" s="219"/>
      <c r="P313" s="216"/>
      <c r="Q313" s="217"/>
      <c r="R313" s="216"/>
      <c r="S313" s="218"/>
      <c r="T313" s="218"/>
      <c r="U313" s="220">
        <f>IF($A313="","",IF(N($Q313)&gt;0,IF(MOD($Q313,1)=0,$Q313+1-1/1440,$Q313),IF(N($B313)=0,"",$B313+IF(N($AH313)&gt;0,$AH313,IFERROR(INDEX(DM_SLA_Gio,MATCH($J313,DM_SLA_Cap,0)),168))/24)))</f>
      </c>
      <c r="V313" s="221">
        <f>IF($A313="","",IF(N($AJ313)=0,"Mới tiếp nhận",INDEX('Nhật ký tiến độ'!$E:$E,$AJ313)))</f>
      </c>
      <c r="W313" s="222">
        <f>IF($A313="","",IF($V313="Đã xử lý",1,IF(N($AJ313)=0,0,N(INDEX('Nhật ký tiến độ'!$D:$D,$AJ313)))))</f>
      </c>
      <c r="X313" s="222">
        <f>IF(OR($A313="",$V313="Đã xử lý",N($U313)=0,N($B313)=0),"",IF(TDBC&lt;=$B313,0,IF(TDBC&gt;=$U313,1,(TDBC-$B313)/($U313-$B313))))</f>
      </c>
      <c r="Y313" s="223">
        <f>IF($A313="","",IF($V313="Đã xử lý","Hoàn thành",IF(N($U313)=0,"Chưa đặt hạn",IF(TDBC&gt;$U313,"Quá hạn",IF(ROUND((N($X313)-$W313)*100,0)&gt;=20,"Chậm tiến độ",IF($U313-TDBC&lt;=1,"Sắp đến hạn","Đúng tiến độ"))))))</f>
      </c>
      <c r="Z313" s="223">
        <f>IF(OR($A313="",$V313="Đã xử lý",N($U313)=0),"",IF(TDBC&gt;$U313,"Quá "&amp;IF(((TDBC-$U313)*24)&lt;1,MAX(1,ROUND(((TDBC-$U313)*24)*60,0))&amp;" phút",IF(ROUND(((TDBC-$U313)*24),0)&lt;24,ROUND(((TDBC-$U313)*24),0)&amp;" giờ",INT(ROUND(((TDBC-$U313)*24),0)/24)&amp;" ngày"&amp;IF(MOD(ROUND(((TDBC-$U313)*24),0),24)&gt;0," "&amp;MOD(ROUND(((TDBC-$U313)*24),0),24)&amp;" giờ",""))),"Còn "&amp;IF((($U313-TDBC)*24)&lt;1,MAX(1,ROUND((($U313-TDBC)*24)*60,0))&amp;" phút",IF(ROUND((($U313-TDBC)*24),0)&lt;24,ROUND((($U313-TDBC)*24),0)&amp;" giờ",INT(ROUND((($U313-TDBC)*24),0)/24)&amp;" ngày"&amp;IF(MOD(ROUND((($U313-TDBC)*24),0),24)&gt;0," "&amp;MOD(ROUND((($U313-TDBC)*24),0),24)&amp;" giờ","")))))</f>
      </c>
      <c r="AA313" s="220">
        <f>IF($V313="Đã xử lý",_xlfn.MAXIFS('Nhật ký tiến độ'!$B$6:$B$3005,'Nhật ký tiến độ'!$C$6:$C$3005,$A313,'Nhật ký tiến độ'!$E$6:$E$3005,"Đã xử lý"),"")</f>
      </c>
      <c r="AB313" s="223">
        <f>IF($AI313="","",IF($AI313&lt;1,MAX(1,ROUND($AI313*60,0))&amp;" phút",IF(ROUND($AI313,0)&lt;24,ROUND($AI313,0)&amp;" giờ",INT(ROUND($AI313,0)/24)&amp;" ngày"&amp;IF(MOD(ROUND($AI313,0),24)&gt;0," "&amp;MOD(ROUND($AI313,0),24)&amp;" giờ",""))))</f>
      </c>
      <c r="AC313" s="223">
        <f>IF(OR($A313="",N($AH313)=0),"",IF($AI313&lt;&gt;"",IF($AI313&lt;=$AH313,"Trong ước tính","Vượt "&amp;IF(($AI313-$AH313)&lt;1,MAX(1,ROUND(($AI313-$AH313)*60,0))&amp;" phút",IF(ROUND(($AI313-$AH313),0)&lt;24,ROUND(($AI313-$AH313),0)&amp;" giờ",INT(ROUND(($AI313-$AH313),0)/24)&amp;" ngày"&amp;IF(MOD(ROUND(($AI313-$AH313),0),24)&gt;0," "&amp;MOD(ROUND(($AI313-$AH313),0),24)&amp;" giờ","")))),IF(OR($V313="Đã xử lý",N($B313)=0),"",IF((TDBC-$B313)*24&gt;$AH313,"Đã vượt ước tính","Đã dùng "&amp;TEXT((TDBC-$B313)*24/$AH313,"0%")))))</f>
      </c>
      <c r="AD313" s="223">
        <f>IF(N($AO313)=0,"",CHOOSE($AO313,"Nhắc nhở","Cảnh báo","Báo động","Báo động đỏ"))</f>
      </c>
      <c r="AE313" s="223">
        <f>IF(OR(N($AA313)=0,N($U313)=0),"",IF($AA313&lt;=$U313,"Đúng hạn","Trễ hạn"))</f>
      </c>
      <c r="AF313" s="220">
        <f>IF($A313="","",_xlfn.MAXIFS('Nhật ký tiến độ'!$B$6:$B$3005,'Nhật ký tiến độ'!$C$6:$C$3005,$A313))</f>
      </c>
      <c r="AG313" s="223">
        <f>IF($A313="","",IF(COUNTIF('Kế hoạch'!$M$6:$M$305,$A313)=0,"",COUNTIF('Kế hoạch'!$M$6:$M$305,$A313)&amp;" việc"))</f>
      </c>
      <c r="AH313" s="224">
        <f>IF(OR($A313="",N($O313)&lt;=0),"",IF($P313="Giờ",$O313,$O313*24))</f>
      </c>
      <c r="AI313" s="224">
        <f>IF(OR(N($AA313)=0,N($B313)=0),"",IF($AA313&lt;$B313,"",($AA313-$B313)*24))</f>
      </c>
      <c r="AJ313" s="225">
        <f>IF($A313="","",IF(COUNTIF('Nhật ký tiến độ'!$C$6:$C$3005,$A313)=0,0,_xlfn.MAXIFS('Nhật ký tiến độ'!$N$6:$N$3005,'Nhật ký tiến độ'!$C$6:$C$3005,$A313,'Nhật ký tiến độ'!$B$6:$B$3005,_xlfn.MAXIFS('Nhật ký tiến độ'!$B$6:$B$3005,'Nhật ký tiến độ'!$C$6:$C$3005,$A313))))</f>
      </c>
      <c r="AK313" s="225">
        <f>IF(OR($A313="",$V313="Đã xử lý"),"",IF(N($AO313)&gt;0,5-$AO313,IF($J313="Khẩn cấp",5,IF($Y313="Chậm tiến độ",6,IF(OR($Y313="Sắp đến hạn",$J313="Cao"),7,"")))))</f>
      </c>
      <c r="AL313" s="225">
        <f>IF($AK313="","",$AK313*100000+IF(N($U313)=0,99999,INT($U313))+ROW()/100000)</f>
      </c>
      <c r="AM313" s="225">
        <f>IF(OR($A313="",TRIM($K313)="",COUNTIF($K$6:$K313,$K313)&gt;1),0,1)</f>
      </c>
      <c r="AN313" s="225">
        <f>IF($AM313=1,SUM($AM$6:$AM313),"")</f>
      </c>
      <c r="AO313" s="225">
        <f>IF(OR($A313="",$V313="Đã xử lý",N($U313)=0),0,IF(TDBC&lt;=$U313,0,MAX(1,MIN(4,IF((TDBC-$U313)*24&lt;24,1,IF((TDBC-$U313)*24&lt;72,2,IF((TDBC-$U313)*24&lt;168,3,4)))+IFERROR(INDEX({2,1,0,-1},MATCH($J313,{"Khẩn cấp","Cao","Trung bình","Thấp"},0)),0)))))</f>
      </c>
    </row>
    <row r="314">
      <c r="A314" s="216"/>
      <c r="B314" s="217"/>
      <c r="C314" s="218"/>
      <c r="D314" s="218"/>
      <c r="E314" s="218"/>
      <c r="F314" s="218"/>
      <c r="G314" s="216"/>
      <c r="H314" s="218"/>
      <c r="I314" s="218"/>
      <c r="J314" s="216"/>
      <c r="K314" s="218"/>
      <c r="L314" s="218"/>
      <c r="M314" s="218"/>
      <c r="N314" s="218"/>
      <c r="O314" s="219"/>
      <c r="P314" s="216"/>
      <c r="Q314" s="217"/>
      <c r="R314" s="216"/>
      <c r="S314" s="218"/>
      <c r="T314" s="218"/>
      <c r="U314" s="220">
        <f>IF($A314="","",IF(N($Q314)&gt;0,IF(MOD($Q314,1)=0,$Q314+1-1/1440,$Q314),IF(N($B314)=0,"",$B314+IF(N($AH314)&gt;0,$AH314,IFERROR(INDEX(DM_SLA_Gio,MATCH($J314,DM_SLA_Cap,0)),168))/24)))</f>
      </c>
      <c r="V314" s="221">
        <f>IF($A314="","",IF(N($AJ314)=0,"Mới tiếp nhận",INDEX('Nhật ký tiến độ'!$E:$E,$AJ314)))</f>
      </c>
      <c r="W314" s="222">
        <f>IF($A314="","",IF($V314="Đã xử lý",1,IF(N($AJ314)=0,0,N(INDEX('Nhật ký tiến độ'!$D:$D,$AJ314)))))</f>
      </c>
      <c r="X314" s="222">
        <f>IF(OR($A314="",$V314="Đã xử lý",N($U314)=0,N($B314)=0),"",IF(TDBC&lt;=$B314,0,IF(TDBC&gt;=$U314,1,(TDBC-$B314)/($U314-$B314))))</f>
      </c>
      <c r="Y314" s="223">
        <f>IF($A314="","",IF($V314="Đã xử lý","Hoàn thành",IF(N($U314)=0,"Chưa đặt hạn",IF(TDBC&gt;$U314,"Quá hạn",IF(ROUND((N($X314)-$W314)*100,0)&gt;=20,"Chậm tiến độ",IF($U314-TDBC&lt;=1,"Sắp đến hạn","Đúng tiến độ"))))))</f>
      </c>
      <c r="Z314" s="223">
        <f>IF(OR($A314="",$V314="Đã xử lý",N($U314)=0),"",IF(TDBC&gt;$U314,"Quá "&amp;IF(((TDBC-$U314)*24)&lt;1,MAX(1,ROUND(((TDBC-$U314)*24)*60,0))&amp;" phút",IF(ROUND(((TDBC-$U314)*24),0)&lt;24,ROUND(((TDBC-$U314)*24),0)&amp;" giờ",INT(ROUND(((TDBC-$U314)*24),0)/24)&amp;" ngày"&amp;IF(MOD(ROUND(((TDBC-$U314)*24),0),24)&gt;0," "&amp;MOD(ROUND(((TDBC-$U314)*24),0),24)&amp;" giờ",""))),"Còn "&amp;IF((($U314-TDBC)*24)&lt;1,MAX(1,ROUND((($U314-TDBC)*24)*60,0))&amp;" phút",IF(ROUND((($U314-TDBC)*24),0)&lt;24,ROUND((($U314-TDBC)*24),0)&amp;" giờ",INT(ROUND((($U314-TDBC)*24),0)/24)&amp;" ngày"&amp;IF(MOD(ROUND((($U314-TDBC)*24),0),24)&gt;0," "&amp;MOD(ROUND((($U314-TDBC)*24),0),24)&amp;" giờ","")))))</f>
      </c>
      <c r="AA314" s="220">
        <f>IF($V314="Đã xử lý",_xlfn.MAXIFS('Nhật ký tiến độ'!$B$6:$B$3005,'Nhật ký tiến độ'!$C$6:$C$3005,$A314,'Nhật ký tiến độ'!$E$6:$E$3005,"Đã xử lý"),"")</f>
      </c>
      <c r="AB314" s="223">
        <f>IF($AI314="","",IF($AI314&lt;1,MAX(1,ROUND($AI314*60,0))&amp;" phút",IF(ROUND($AI314,0)&lt;24,ROUND($AI314,0)&amp;" giờ",INT(ROUND($AI314,0)/24)&amp;" ngày"&amp;IF(MOD(ROUND($AI314,0),24)&gt;0," "&amp;MOD(ROUND($AI314,0),24)&amp;" giờ",""))))</f>
      </c>
      <c r="AC314" s="223">
        <f>IF(OR($A314="",N($AH314)=0),"",IF($AI314&lt;&gt;"",IF($AI314&lt;=$AH314,"Trong ước tính","Vượt "&amp;IF(($AI314-$AH314)&lt;1,MAX(1,ROUND(($AI314-$AH314)*60,0))&amp;" phút",IF(ROUND(($AI314-$AH314),0)&lt;24,ROUND(($AI314-$AH314),0)&amp;" giờ",INT(ROUND(($AI314-$AH314),0)/24)&amp;" ngày"&amp;IF(MOD(ROUND(($AI314-$AH314),0),24)&gt;0," "&amp;MOD(ROUND(($AI314-$AH314),0),24)&amp;" giờ","")))),IF(OR($V314="Đã xử lý",N($B314)=0),"",IF((TDBC-$B314)*24&gt;$AH314,"Đã vượt ước tính","Đã dùng "&amp;TEXT((TDBC-$B314)*24/$AH314,"0%")))))</f>
      </c>
      <c r="AD314" s="223">
        <f>IF(N($AO314)=0,"",CHOOSE($AO314,"Nhắc nhở","Cảnh báo","Báo động","Báo động đỏ"))</f>
      </c>
      <c r="AE314" s="223">
        <f>IF(OR(N($AA314)=0,N($U314)=0),"",IF($AA314&lt;=$U314,"Đúng hạn","Trễ hạn"))</f>
      </c>
      <c r="AF314" s="220">
        <f>IF($A314="","",_xlfn.MAXIFS('Nhật ký tiến độ'!$B$6:$B$3005,'Nhật ký tiến độ'!$C$6:$C$3005,$A314))</f>
      </c>
      <c r="AG314" s="223">
        <f>IF($A314="","",IF(COUNTIF('Kế hoạch'!$M$6:$M$305,$A314)=0,"",COUNTIF('Kế hoạch'!$M$6:$M$305,$A314)&amp;" việc"))</f>
      </c>
      <c r="AH314" s="224">
        <f>IF(OR($A314="",N($O314)&lt;=0),"",IF($P314="Giờ",$O314,$O314*24))</f>
      </c>
      <c r="AI314" s="224">
        <f>IF(OR(N($AA314)=0,N($B314)=0),"",IF($AA314&lt;$B314,"",($AA314-$B314)*24))</f>
      </c>
      <c r="AJ314" s="225">
        <f>IF($A314="","",IF(COUNTIF('Nhật ký tiến độ'!$C$6:$C$3005,$A314)=0,0,_xlfn.MAXIFS('Nhật ký tiến độ'!$N$6:$N$3005,'Nhật ký tiến độ'!$C$6:$C$3005,$A314,'Nhật ký tiến độ'!$B$6:$B$3005,_xlfn.MAXIFS('Nhật ký tiến độ'!$B$6:$B$3005,'Nhật ký tiến độ'!$C$6:$C$3005,$A314))))</f>
      </c>
      <c r="AK314" s="225">
        <f>IF(OR($A314="",$V314="Đã xử lý"),"",IF(N($AO314)&gt;0,5-$AO314,IF($J314="Khẩn cấp",5,IF($Y314="Chậm tiến độ",6,IF(OR($Y314="Sắp đến hạn",$J314="Cao"),7,"")))))</f>
      </c>
      <c r="AL314" s="225">
        <f>IF($AK314="","",$AK314*100000+IF(N($U314)=0,99999,INT($U314))+ROW()/100000)</f>
      </c>
      <c r="AM314" s="225">
        <f>IF(OR($A314="",TRIM($K314)="",COUNTIF($K$6:$K314,$K314)&gt;1),0,1)</f>
      </c>
      <c r="AN314" s="225">
        <f>IF($AM314=1,SUM($AM$6:$AM314),"")</f>
      </c>
      <c r="AO314" s="225">
        <f>IF(OR($A314="",$V314="Đã xử lý",N($U314)=0),0,IF(TDBC&lt;=$U314,0,MAX(1,MIN(4,IF((TDBC-$U314)*24&lt;24,1,IF((TDBC-$U314)*24&lt;72,2,IF((TDBC-$U314)*24&lt;168,3,4)))+IFERROR(INDEX({2,1,0,-1},MATCH($J314,{"Khẩn cấp","Cao","Trung bình","Thấp"},0)),0)))))</f>
      </c>
    </row>
    <row r="315">
      <c r="A315" s="216"/>
      <c r="B315" s="217"/>
      <c r="C315" s="218"/>
      <c r="D315" s="218"/>
      <c r="E315" s="218"/>
      <c r="F315" s="218"/>
      <c r="G315" s="216"/>
      <c r="H315" s="218"/>
      <c r="I315" s="218"/>
      <c r="J315" s="216"/>
      <c r="K315" s="218"/>
      <c r="L315" s="218"/>
      <c r="M315" s="218"/>
      <c r="N315" s="218"/>
      <c r="O315" s="219"/>
      <c r="P315" s="216"/>
      <c r="Q315" s="217"/>
      <c r="R315" s="216"/>
      <c r="S315" s="218"/>
      <c r="T315" s="218"/>
      <c r="U315" s="220">
        <f>IF($A315="","",IF(N($Q315)&gt;0,IF(MOD($Q315,1)=0,$Q315+1-1/1440,$Q315),IF(N($B315)=0,"",$B315+IF(N($AH315)&gt;0,$AH315,IFERROR(INDEX(DM_SLA_Gio,MATCH($J315,DM_SLA_Cap,0)),168))/24)))</f>
      </c>
      <c r="V315" s="221">
        <f>IF($A315="","",IF(N($AJ315)=0,"Mới tiếp nhận",INDEX('Nhật ký tiến độ'!$E:$E,$AJ315)))</f>
      </c>
      <c r="W315" s="222">
        <f>IF($A315="","",IF($V315="Đã xử lý",1,IF(N($AJ315)=0,0,N(INDEX('Nhật ký tiến độ'!$D:$D,$AJ315)))))</f>
      </c>
      <c r="X315" s="222">
        <f>IF(OR($A315="",$V315="Đã xử lý",N($U315)=0,N($B315)=0),"",IF(TDBC&lt;=$B315,0,IF(TDBC&gt;=$U315,1,(TDBC-$B315)/($U315-$B315))))</f>
      </c>
      <c r="Y315" s="223">
        <f>IF($A315="","",IF($V315="Đã xử lý","Hoàn thành",IF(N($U315)=0,"Chưa đặt hạn",IF(TDBC&gt;$U315,"Quá hạn",IF(ROUND((N($X315)-$W315)*100,0)&gt;=20,"Chậm tiến độ",IF($U315-TDBC&lt;=1,"Sắp đến hạn","Đúng tiến độ"))))))</f>
      </c>
      <c r="Z315" s="223">
        <f>IF(OR($A315="",$V315="Đã xử lý",N($U315)=0),"",IF(TDBC&gt;$U315,"Quá "&amp;IF(((TDBC-$U315)*24)&lt;1,MAX(1,ROUND(((TDBC-$U315)*24)*60,0))&amp;" phút",IF(ROUND(((TDBC-$U315)*24),0)&lt;24,ROUND(((TDBC-$U315)*24),0)&amp;" giờ",INT(ROUND(((TDBC-$U315)*24),0)/24)&amp;" ngày"&amp;IF(MOD(ROUND(((TDBC-$U315)*24),0),24)&gt;0," "&amp;MOD(ROUND(((TDBC-$U315)*24),0),24)&amp;" giờ",""))),"Còn "&amp;IF((($U315-TDBC)*24)&lt;1,MAX(1,ROUND((($U315-TDBC)*24)*60,0))&amp;" phút",IF(ROUND((($U315-TDBC)*24),0)&lt;24,ROUND((($U315-TDBC)*24),0)&amp;" giờ",INT(ROUND((($U315-TDBC)*24),0)/24)&amp;" ngày"&amp;IF(MOD(ROUND((($U315-TDBC)*24),0),24)&gt;0," "&amp;MOD(ROUND((($U315-TDBC)*24),0),24)&amp;" giờ","")))))</f>
      </c>
      <c r="AA315" s="220">
        <f>IF($V315="Đã xử lý",_xlfn.MAXIFS('Nhật ký tiến độ'!$B$6:$B$3005,'Nhật ký tiến độ'!$C$6:$C$3005,$A315,'Nhật ký tiến độ'!$E$6:$E$3005,"Đã xử lý"),"")</f>
      </c>
      <c r="AB315" s="223">
        <f>IF($AI315="","",IF($AI315&lt;1,MAX(1,ROUND($AI315*60,0))&amp;" phút",IF(ROUND($AI315,0)&lt;24,ROUND($AI315,0)&amp;" giờ",INT(ROUND($AI315,0)/24)&amp;" ngày"&amp;IF(MOD(ROUND($AI315,0),24)&gt;0," "&amp;MOD(ROUND($AI315,0),24)&amp;" giờ",""))))</f>
      </c>
      <c r="AC315" s="223">
        <f>IF(OR($A315="",N($AH315)=0),"",IF($AI315&lt;&gt;"",IF($AI315&lt;=$AH315,"Trong ước tính","Vượt "&amp;IF(($AI315-$AH315)&lt;1,MAX(1,ROUND(($AI315-$AH315)*60,0))&amp;" phút",IF(ROUND(($AI315-$AH315),0)&lt;24,ROUND(($AI315-$AH315),0)&amp;" giờ",INT(ROUND(($AI315-$AH315),0)/24)&amp;" ngày"&amp;IF(MOD(ROUND(($AI315-$AH315),0),24)&gt;0," "&amp;MOD(ROUND(($AI315-$AH315),0),24)&amp;" giờ","")))),IF(OR($V315="Đã xử lý",N($B315)=0),"",IF((TDBC-$B315)*24&gt;$AH315,"Đã vượt ước tính","Đã dùng "&amp;TEXT((TDBC-$B315)*24/$AH315,"0%")))))</f>
      </c>
      <c r="AD315" s="223">
        <f>IF(N($AO315)=0,"",CHOOSE($AO315,"Nhắc nhở","Cảnh báo","Báo động","Báo động đỏ"))</f>
      </c>
      <c r="AE315" s="223">
        <f>IF(OR(N($AA315)=0,N($U315)=0),"",IF($AA315&lt;=$U315,"Đúng hạn","Trễ hạn"))</f>
      </c>
      <c r="AF315" s="220">
        <f>IF($A315="","",_xlfn.MAXIFS('Nhật ký tiến độ'!$B$6:$B$3005,'Nhật ký tiến độ'!$C$6:$C$3005,$A315))</f>
      </c>
      <c r="AG315" s="223">
        <f>IF($A315="","",IF(COUNTIF('Kế hoạch'!$M$6:$M$305,$A315)=0,"",COUNTIF('Kế hoạch'!$M$6:$M$305,$A315)&amp;" việc"))</f>
      </c>
      <c r="AH315" s="224">
        <f>IF(OR($A315="",N($O315)&lt;=0),"",IF($P315="Giờ",$O315,$O315*24))</f>
      </c>
      <c r="AI315" s="224">
        <f>IF(OR(N($AA315)=0,N($B315)=0),"",IF($AA315&lt;$B315,"",($AA315-$B315)*24))</f>
      </c>
      <c r="AJ315" s="225">
        <f>IF($A315="","",IF(COUNTIF('Nhật ký tiến độ'!$C$6:$C$3005,$A315)=0,0,_xlfn.MAXIFS('Nhật ký tiến độ'!$N$6:$N$3005,'Nhật ký tiến độ'!$C$6:$C$3005,$A315,'Nhật ký tiến độ'!$B$6:$B$3005,_xlfn.MAXIFS('Nhật ký tiến độ'!$B$6:$B$3005,'Nhật ký tiến độ'!$C$6:$C$3005,$A315))))</f>
      </c>
      <c r="AK315" s="225">
        <f>IF(OR($A315="",$V315="Đã xử lý"),"",IF(N($AO315)&gt;0,5-$AO315,IF($J315="Khẩn cấp",5,IF($Y315="Chậm tiến độ",6,IF(OR($Y315="Sắp đến hạn",$J315="Cao"),7,"")))))</f>
      </c>
      <c r="AL315" s="225">
        <f>IF($AK315="","",$AK315*100000+IF(N($U315)=0,99999,INT($U315))+ROW()/100000)</f>
      </c>
      <c r="AM315" s="225">
        <f>IF(OR($A315="",TRIM($K315)="",COUNTIF($K$6:$K315,$K315)&gt;1),0,1)</f>
      </c>
      <c r="AN315" s="225">
        <f>IF($AM315=1,SUM($AM$6:$AM315),"")</f>
      </c>
      <c r="AO315" s="225">
        <f>IF(OR($A315="",$V315="Đã xử lý",N($U315)=0),0,IF(TDBC&lt;=$U315,0,MAX(1,MIN(4,IF((TDBC-$U315)*24&lt;24,1,IF((TDBC-$U315)*24&lt;72,2,IF((TDBC-$U315)*24&lt;168,3,4)))+IFERROR(INDEX({2,1,0,-1},MATCH($J315,{"Khẩn cấp","Cao","Trung bình","Thấp"},0)),0)))))</f>
      </c>
    </row>
    <row r="316">
      <c r="A316" s="216"/>
      <c r="B316" s="217"/>
      <c r="C316" s="218"/>
      <c r="D316" s="218"/>
      <c r="E316" s="218"/>
      <c r="F316" s="218"/>
      <c r="G316" s="216"/>
      <c r="H316" s="218"/>
      <c r="I316" s="218"/>
      <c r="J316" s="216"/>
      <c r="K316" s="218"/>
      <c r="L316" s="218"/>
      <c r="M316" s="218"/>
      <c r="N316" s="218"/>
      <c r="O316" s="219"/>
      <c r="P316" s="216"/>
      <c r="Q316" s="217"/>
      <c r="R316" s="216"/>
      <c r="S316" s="218"/>
      <c r="T316" s="218"/>
      <c r="U316" s="220">
        <f>IF($A316="","",IF(N($Q316)&gt;0,IF(MOD($Q316,1)=0,$Q316+1-1/1440,$Q316),IF(N($B316)=0,"",$B316+IF(N($AH316)&gt;0,$AH316,IFERROR(INDEX(DM_SLA_Gio,MATCH($J316,DM_SLA_Cap,0)),168))/24)))</f>
      </c>
      <c r="V316" s="221">
        <f>IF($A316="","",IF(N($AJ316)=0,"Mới tiếp nhận",INDEX('Nhật ký tiến độ'!$E:$E,$AJ316)))</f>
      </c>
      <c r="W316" s="222">
        <f>IF($A316="","",IF($V316="Đã xử lý",1,IF(N($AJ316)=0,0,N(INDEX('Nhật ký tiến độ'!$D:$D,$AJ316)))))</f>
      </c>
      <c r="X316" s="222">
        <f>IF(OR($A316="",$V316="Đã xử lý",N($U316)=0,N($B316)=0),"",IF(TDBC&lt;=$B316,0,IF(TDBC&gt;=$U316,1,(TDBC-$B316)/($U316-$B316))))</f>
      </c>
      <c r="Y316" s="223">
        <f>IF($A316="","",IF($V316="Đã xử lý","Hoàn thành",IF(N($U316)=0,"Chưa đặt hạn",IF(TDBC&gt;$U316,"Quá hạn",IF(ROUND((N($X316)-$W316)*100,0)&gt;=20,"Chậm tiến độ",IF($U316-TDBC&lt;=1,"Sắp đến hạn","Đúng tiến độ"))))))</f>
      </c>
      <c r="Z316" s="223">
        <f>IF(OR($A316="",$V316="Đã xử lý",N($U316)=0),"",IF(TDBC&gt;$U316,"Quá "&amp;IF(((TDBC-$U316)*24)&lt;1,MAX(1,ROUND(((TDBC-$U316)*24)*60,0))&amp;" phút",IF(ROUND(((TDBC-$U316)*24),0)&lt;24,ROUND(((TDBC-$U316)*24),0)&amp;" giờ",INT(ROUND(((TDBC-$U316)*24),0)/24)&amp;" ngày"&amp;IF(MOD(ROUND(((TDBC-$U316)*24),0),24)&gt;0," "&amp;MOD(ROUND(((TDBC-$U316)*24),0),24)&amp;" giờ",""))),"Còn "&amp;IF((($U316-TDBC)*24)&lt;1,MAX(1,ROUND((($U316-TDBC)*24)*60,0))&amp;" phút",IF(ROUND((($U316-TDBC)*24),0)&lt;24,ROUND((($U316-TDBC)*24),0)&amp;" giờ",INT(ROUND((($U316-TDBC)*24),0)/24)&amp;" ngày"&amp;IF(MOD(ROUND((($U316-TDBC)*24),0),24)&gt;0," "&amp;MOD(ROUND((($U316-TDBC)*24),0),24)&amp;" giờ","")))))</f>
      </c>
      <c r="AA316" s="220">
        <f>IF($V316="Đã xử lý",_xlfn.MAXIFS('Nhật ký tiến độ'!$B$6:$B$3005,'Nhật ký tiến độ'!$C$6:$C$3005,$A316,'Nhật ký tiến độ'!$E$6:$E$3005,"Đã xử lý"),"")</f>
      </c>
      <c r="AB316" s="223">
        <f>IF($AI316="","",IF($AI316&lt;1,MAX(1,ROUND($AI316*60,0))&amp;" phút",IF(ROUND($AI316,0)&lt;24,ROUND($AI316,0)&amp;" giờ",INT(ROUND($AI316,0)/24)&amp;" ngày"&amp;IF(MOD(ROUND($AI316,0),24)&gt;0," "&amp;MOD(ROUND($AI316,0),24)&amp;" giờ",""))))</f>
      </c>
      <c r="AC316" s="223">
        <f>IF(OR($A316="",N($AH316)=0),"",IF($AI316&lt;&gt;"",IF($AI316&lt;=$AH316,"Trong ước tính","Vượt "&amp;IF(($AI316-$AH316)&lt;1,MAX(1,ROUND(($AI316-$AH316)*60,0))&amp;" phút",IF(ROUND(($AI316-$AH316),0)&lt;24,ROUND(($AI316-$AH316),0)&amp;" giờ",INT(ROUND(($AI316-$AH316),0)/24)&amp;" ngày"&amp;IF(MOD(ROUND(($AI316-$AH316),0),24)&gt;0," "&amp;MOD(ROUND(($AI316-$AH316),0),24)&amp;" giờ","")))),IF(OR($V316="Đã xử lý",N($B316)=0),"",IF((TDBC-$B316)*24&gt;$AH316,"Đã vượt ước tính","Đã dùng "&amp;TEXT((TDBC-$B316)*24/$AH316,"0%")))))</f>
      </c>
      <c r="AD316" s="223">
        <f>IF(N($AO316)=0,"",CHOOSE($AO316,"Nhắc nhở","Cảnh báo","Báo động","Báo động đỏ"))</f>
      </c>
      <c r="AE316" s="223">
        <f>IF(OR(N($AA316)=0,N($U316)=0),"",IF($AA316&lt;=$U316,"Đúng hạn","Trễ hạn"))</f>
      </c>
      <c r="AF316" s="220">
        <f>IF($A316="","",_xlfn.MAXIFS('Nhật ký tiến độ'!$B$6:$B$3005,'Nhật ký tiến độ'!$C$6:$C$3005,$A316))</f>
      </c>
      <c r="AG316" s="223">
        <f>IF($A316="","",IF(COUNTIF('Kế hoạch'!$M$6:$M$305,$A316)=0,"",COUNTIF('Kế hoạch'!$M$6:$M$305,$A316)&amp;" việc"))</f>
      </c>
      <c r="AH316" s="224">
        <f>IF(OR($A316="",N($O316)&lt;=0),"",IF($P316="Giờ",$O316,$O316*24))</f>
      </c>
      <c r="AI316" s="224">
        <f>IF(OR(N($AA316)=0,N($B316)=0),"",IF($AA316&lt;$B316,"",($AA316-$B316)*24))</f>
      </c>
      <c r="AJ316" s="225">
        <f>IF($A316="","",IF(COUNTIF('Nhật ký tiến độ'!$C$6:$C$3005,$A316)=0,0,_xlfn.MAXIFS('Nhật ký tiến độ'!$N$6:$N$3005,'Nhật ký tiến độ'!$C$6:$C$3005,$A316,'Nhật ký tiến độ'!$B$6:$B$3005,_xlfn.MAXIFS('Nhật ký tiến độ'!$B$6:$B$3005,'Nhật ký tiến độ'!$C$6:$C$3005,$A316))))</f>
      </c>
      <c r="AK316" s="225">
        <f>IF(OR($A316="",$V316="Đã xử lý"),"",IF(N($AO316)&gt;0,5-$AO316,IF($J316="Khẩn cấp",5,IF($Y316="Chậm tiến độ",6,IF(OR($Y316="Sắp đến hạn",$J316="Cao"),7,"")))))</f>
      </c>
      <c r="AL316" s="225">
        <f>IF($AK316="","",$AK316*100000+IF(N($U316)=0,99999,INT($U316))+ROW()/100000)</f>
      </c>
      <c r="AM316" s="225">
        <f>IF(OR($A316="",TRIM($K316)="",COUNTIF($K$6:$K316,$K316)&gt;1),0,1)</f>
      </c>
      <c r="AN316" s="225">
        <f>IF($AM316=1,SUM($AM$6:$AM316),"")</f>
      </c>
      <c r="AO316" s="225">
        <f>IF(OR($A316="",$V316="Đã xử lý",N($U316)=0),0,IF(TDBC&lt;=$U316,0,MAX(1,MIN(4,IF((TDBC-$U316)*24&lt;24,1,IF((TDBC-$U316)*24&lt;72,2,IF((TDBC-$U316)*24&lt;168,3,4)))+IFERROR(INDEX({2,1,0,-1},MATCH($J316,{"Khẩn cấp","Cao","Trung bình","Thấp"},0)),0)))))</f>
      </c>
    </row>
    <row r="317">
      <c r="A317" s="216"/>
      <c r="B317" s="217"/>
      <c r="C317" s="218"/>
      <c r="D317" s="218"/>
      <c r="E317" s="218"/>
      <c r="F317" s="218"/>
      <c r="G317" s="216"/>
      <c r="H317" s="218"/>
      <c r="I317" s="218"/>
      <c r="J317" s="216"/>
      <c r="K317" s="218"/>
      <c r="L317" s="218"/>
      <c r="M317" s="218"/>
      <c r="N317" s="218"/>
      <c r="O317" s="219"/>
      <c r="P317" s="216"/>
      <c r="Q317" s="217"/>
      <c r="R317" s="216"/>
      <c r="S317" s="218"/>
      <c r="T317" s="218"/>
      <c r="U317" s="220">
        <f>IF($A317="","",IF(N($Q317)&gt;0,IF(MOD($Q317,1)=0,$Q317+1-1/1440,$Q317),IF(N($B317)=0,"",$B317+IF(N($AH317)&gt;0,$AH317,IFERROR(INDEX(DM_SLA_Gio,MATCH($J317,DM_SLA_Cap,0)),168))/24)))</f>
      </c>
      <c r="V317" s="221">
        <f>IF($A317="","",IF(N($AJ317)=0,"Mới tiếp nhận",INDEX('Nhật ký tiến độ'!$E:$E,$AJ317)))</f>
      </c>
      <c r="W317" s="222">
        <f>IF($A317="","",IF($V317="Đã xử lý",1,IF(N($AJ317)=0,0,N(INDEX('Nhật ký tiến độ'!$D:$D,$AJ317)))))</f>
      </c>
      <c r="X317" s="222">
        <f>IF(OR($A317="",$V317="Đã xử lý",N($U317)=0,N($B317)=0),"",IF(TDBC&lt;=$B317,0,IF(TDBC&gt;=$U317,1,(TDBC-$B317)/($U317-$B317))))</f>
      </c>
      <c r="Y317" s="223">
        <f>IF($A317="","",IF($V317="Đã xử lý","Hoàn thành",IF(N($U317)=0,"Chưa đặt hạn",IF(TDBC&gt;$U317,"Quá hạn",IF(ROUND((N($X317)-$W317)*100,0)&gt;=20,"Chậm tiến độ",IF($U317-TDBC&lt;=1,"Sắp đến hạn","Đúng tiến độ"))))))</f>
      </c>
      <c r="Z317" s="223">
        <f>IF(OR($A317="",$V317="Đã xử lý",N($U317)=0),"",IF(TDBC&gt;$U317,"Quá "&amp;IF(((TDBC-$U317)*24)&lt;1,MAX(1,ROUND(((TDBC-$U317)*24)*60,0))&amp;" phút",IF(ROUND(((TDBC-$U317)*24),0)&lt;24,ROUND(((TDBC-$U317)*24),0)&amp;" giờ",INT(ROUND(((TDBC-$U317)*24),0)/24)&amp;" ngày"&amp;IF(MOD(ROUND(((TDBC-$U317)*24),0),24)&gt;0," "&amp;MOD(ROUND(((TDBC-$U317)*24),0),24)&amp;" giờ",""))),"Còn "&amp;IF((($U317-TDBC)*24)&lt;1,MAX(1,ROUND((($U317-TDBC)*24)*60,0))&amp;" phút",IF(ROUND((($U317-TDBC)*24),0)&lt;24,ROUND((($U317-TDBC)*24),0)&amp;" giờ",INT(ROUND((($U317-TDBC)*24),0)/24)&amp;" ngày"&amp;IF(MOD(ROUND((($U317-TDBC)*24),0),24)&gt;0," "&amp;MOD(ROUND((($U317-TDBC)*24),0),24)&amp;" giờ","")))))</f>
      </c>
      <c r="AA317" s="220">
        <f>IF($V317="Đã xử lý",_xlfn.MAXIFS('Nhật ký tiến độ'!$B$6:$B$3005,'Nhật ký tiến độ'!$C$6:$C$3005,$A317,'Nhật ký tiến độ'!$E$6:$E$3005,"Đã xử lý"),"")</f>
      </c>
      <c r="AB317" s="223">
        <f>IF($AI317="","",IF($AI317&lt;1,MAX(1,ROUND($AI317*60,0))&amp;" phút",IF(ROUND($AI317,0)&lt;24,ROUND($AI317,0)&amp;" giờ",INT(ROUND($AI317,0)/24)&amp;" ngày"&amp;IF(MOD(ROUND($AI317,0),24)&gt;0," "&amp;MOD(ROUND($AI317,0),24)&amp;" giờ",""))))</f>
      </c>
      <c r="AC317" s="223">
        <f>IF(OR($A317="",N($AH317)=0),"",IF($AI317&lt;&gt;"",IF($AI317&lt;=$AH317,"Trong ước tính","Vượt "&amp;IF(($AI317-$AH317)&lt;1,MAX(1,ROUND(($AI317-$AH317)*60,0))&amp;" phút",IF(ROUND(($AI317-$AH317),0)&lt;24,ROUND(($AI317-$AH317),0)&amp;" giờ",INT(ROUND(($AI317-$AH317),0)/24)&amp;" ngày"&amp;IF(MOD(ROUND(($AI317-$AH317),0),24)&gt;0," "&amp;MOD(ROUND(($AI317-$AH317),0),24)&amp;" giờ","")))),IF(OR($V317="Đã xử lý",N($B317)=0),"",IF((TDBC-$B317)*24&gt;$AH317,"Đã vượt ước tính","Đã dùng "&amp;TEXT((TDBC-$B317)*24/$AH317,"0%")))))</f>
      </c>
      <c r="AD317" s="223">
        <f>IF(N($AO317)=0,"",CHOOSE($AO317,"Nhắc nhở","Cảnh báo","Báo động","Báo động đỏ"))</f>
      </c>
      <c r="AE317" s="223">
        <f>IF(OR(N($AA317)=0,N($U317)=0),"",IF($AA317&lt;=$U317,"Đúng hạn","Trễ hạn"))</f>
      </c>
      <c r="AF317" s="220">
        <f>IF($A317="","",_xlfn.MAXIFS('Nhật ký tiến độ'!$B$6:$B$3005,'Nhật ký tiến độ'!$C$6:$C$3005,$A317))</f>
      </c>
      <c r="AG317" s="223">
        <f>IF($A317="","",IF(COUNTIF('Kế hoạch'!$M$6:$M$305,$A317)=0,"",COUNTIF('Kế hoạch'!$M$6:$M$305,$A317)&amp;" việc"))</f>
      </c>
      <c r="AH317" s="224">
        <f>IF(OR($A317="",N($O317)&lt;=0),"",IF($P317="Giờ",$O317,$O317*24))</f>
      </c>
      <c r="AI317" s="224">
        <f>IF(OR(N($AA317)=0,N($B317)=0),"",IF($AA317&lt;$B317,"",($AA317-$B317)*24))</f>
      </c>
      <c r="AJ317" s="225">
        <f>IF($A317="","",IF(COUNTIF('Nhật ký tiến độ'!$C$6:$C$3005,$A317)=0,0,_xlfn.MAXIFS('Nhật ký tiến độ'!$N$6:$N$3005,'Nhật ký tiến độ'!$C$6:$C$3005,$A317,'Nhật ký tiến độ'!$B$6:$B$3005,_xlfn.MAXIFS('Nhật ký tiến độ'!$B$6:$B$3005,'Nhật ký tiến độ'!$C$6:$C$3005,$A317))))</f>
      </c>
      <c r="AK317" s="225">
        <f>IF(OR($A317="",$V317="Đã xử lý"),"",IF(N($AO317)&gt;0,5-$AO317,IF($J317="Khẩn cấp",5,IF($Y317="Chậm tiến độ",6,IF(OR($Y317="Sắp đến hạn",$J317="Cao"),7,"")))))</f>
      </c>
      <c r="AL317" s="225">
        <f>IF($AK317="","",$AK317*100000+IF(N($U317)=0,99999,INT($U317))+ROW()/100000)</f>
      </c>
      <c r="AM317" s="225">
        <f>IF(OR($A317="",TRIM($K317)="",COUNTIF($K$6:$K317,$K317)&gt;1),0,1)</f>
      </c>
      <c r="AN317" s="225">
        <f>IF($AM317=1,SUM($AM$6:$AM317),"")</f>
      </c>
      <c r="AO317" s="225">
        <f>IF(OR($A317="",$V317="Đã xử lý",N($U317)=0),0,IF(TDBC&lt;=$U317,0,MAX(1,MIN(4,IF((TDBC-$U317)*24&lt;24,1,IF((TDBC-$U317)*24&lt;72,2,IF((TDBC-$U317)*24&lt;168,3,4)))+IFERROR(INDEX({2,1,0,-1},MATCH($J317,{"Khẩn cấp","Cao","Trung bình","Thấp"},0)),0)))))</f>
      </c>
    </row>
    <row r="318">
      <c r="A318" s="216"/>
      <c r="B318" s="217"/>
      <c r="C318" s="218"/>
      <c r="D318" s="218"/>
      <c r="E318" s="218"/>
      <c r="F318" s="218"/>
      <c r="G318" s="216"/>
      <c r="H318" s="218"/>
      <c r="I318" s="218"/>
      <c r="J318" s="216"/>
      <c r="K318" s="218"/>
      <c r="L318" s="218"/>
      <c r="M318" s="218"/>
      <c r="N318" s="218"/>
      <c r="O318" s="219"/>
      <c r="P318" s="216"/>
      <c r="Q318" s="217"/>
      <c r="R318" s="216"/>
      <c r="S318" s="218"/>
      <c r="T318" s="218"/>
      <c r="U318" s="220">
        <f>IF($A318="","",IF(N($Q318)&gt;0,IF(MOD($Q318,1)=0,$Q318+1-1/1440,$Q318),IF(N($B318)=0,"",$B318+IF(N($AH318)&gt;0,$AH318,IFERROR(INDEX(DM_SLA_Gio,MATCH($J318,DM_SLA_Cap,0)),168))/24)))</f>
      </c>
      <c r="V318" s="221">
        <f>IF($A318="","",IF(N($AJ318)=0,"Mới tiếp nhận",INDEX('Nhật ký tiến độ'!$E:$E,$AJ318)))</f>
      </c>
      <c r="W318" s="222">
        <f>IF($A318="","",IF($V318="Đã xử lý",1,IF(N($AJ318)=0,0,N(INDEX('Nhật ký tiến độ'!$D:$D,$AJ318)))))</f>
      </c>
      <c r="X318" s="222">
        <f>IF(OR($A318="",$V318="Đã xử lý",N($U318)=0,N($B318)=0),"",IF(TDBC&lt;=$B318,0,IF(TDBC&gt;=$U318,1,(TDBC-$B318)/($U318-$B318))))</f>
      </c>
      <c r="Y318" s="223">
        <f>IF($A318="","",IF($V318="Đã xử lý","Hoàn thành",IF(N($U318)=0,"Chưa đặt hạn",IF(TDBC&gt;$U318,"Quá hạn",IF(ROUND((N($X318)-$W318)*100,0)&gt;=20,"Chậm tiến độ",IF($U318-TDBC&lt;=1,"Sắp đến hạn","Đúng tiến độ"))))))</f>
      </c>
      <c r="Z318" s="223">
        <f>IF(OR($A318="",$V318="Đã xử lý",N($U318)=0),"",IF(TDBC&gt;$U318,"Quá "&amp;IF(((TDBC-$U318)*24)&lt;1,MAX(1,ROUND(((TDBC-$U318)*24)*60,0))&amp;" phút",IF(ROUND(((TDBC-$U318)*24),0)&lt;24,ROUND(((TDBC-$U318)*24),0)&amp;" giờ",INT(ROUND(((TDBC-$U318)*24),0)/24)&amp;" ngày"&amp;IF(MOD(ROUND(((TDBC-$U318)*24),0),24)&gt;0," "&amp;MOD(ROUND(((TDBC-$U318)*24),0),24)&amp;" giờ",""))),"Còn "&amp;IF((($U318-TDBC)*24)&lt;1,MAX(1,ROUND((($U318-TDBC)*24)*60,0))&amp;" phút",IF(ROUND((($U318-TDBC)*24),0)&lt;24,ROUND((($U318-TDBC)*24),0)&amp;" giờ",INT(ROUND((($U318-TDBC)*24),0)/24)&amp;" ngày"&amp;IF(MOD(ROUND((($U318-TDBC)*24),0),24)&gt;0," "&amp;MOD(ROUND((($U318-TDBC)*24),0),24)&amp;" giờ","")))))</f>
      </c>
      <c r="AA318" s="220">
        <f>IF($V318="Đã xử lý",_xlfn.MAXIFS('Nhật ký tiến độ'!$B$6:$B$3005,'Nhật ký tiến độ'!$C$6:$C$3005,$A318,'Nhật ký tiến độ'!$E$6:$E$3005,"Đã xử lý"),"")</f>
      </c>
      <c r="AB318" s="223">
        <f>IF($AI318="","",IF($AI318&lt;1,MAX(1,ROUND($AI318*60,0))&amp;" phút",IF(ROUND($AI318,0)&lt;24,ROUND($AI318,0)&amp;" giờ",INT(ROUND($AI318,0)/24)&amp;" ngày"&amp;IF(MOD(ROUND($AI318,0),24)&gt;0," "&amp;MOD(ROUND($AI318,0),24)&amp;" giờ",""))))</f>
      </c>
      <c r="AC318" s="223">
        <f>IF(OR($A318="",N($AH318)=0),"",IF($AI318&lt;&gt;"",IF($AI318&lt;=$AH318,"Trong ước tính","Vượt "&amp;IF(($AI318-$AH318)&lt;1,MAX(1,ROUND(($AI318-$AH318)*60,0))&amp;" phút",IF(ROUND(($AI318-$AH318),0)&lt;24,ROUND(($AI318-$AH318),0)&amp;" giờ",INT(ROUND(($AI318-$AH318),0)/24)&amp;" ngày"&amp;IF(MOD(ROUND(($AI318-$AH318),0),24)&gt;0," "&amp;MOD(ROUND(($AI318-$AH318),0),24)&amp;" giờ","")))),IF(OR($V318="Đã xử lý",N($B318)=0),"",IF((TDBC-$B318)*24&gt;$AH318,"Đã vượt ước tính","Đã dùng "&amp;TEXT((TDBC-$B318)*24/$AH318,"0%")))))</f>
      </c>
      <c r="AD318" s="223">
        <f>IF(N($AO318)=0,"",CHOOSE($AO318,"Nhắc nhở","Cảnh báo","Báo động","Báo động đỏ"))</f>
      </c>
      <c r="AE318" s="223">
        <f>IF(OR(N($AA318)=0,N($U318)=0),"",IF($AA318&lt;=$U318,"Đúng hạn","Trễ hạn"))</f>
      </c>
      <c r="AF318" s="220">
        <f>IF($A318="","",_xlfn.MAXIFS('Nhật ký tiến độ'!$B$6:$B$3005,'Nhật ký tiến độ'!$C$6:$C$3005,$A318))</f>
      </c>
      <c r="AG318" s="223">
        <f>IF($A318="","",IF(COUNTIF('Kế hoạch'!$M$6:$M$305,$A318)=0,"",COUNTIF('Kế hoạch'!$M$6:$M$305,$A318)&amp;" việc"))</f>
      </c>
      <c r="AH318" s="224">
        <f>IF(OR($A318="",N($O318)&lt;=0),"",IF($P318="Giờ",$O318,$O318*24))</f>
      </c>
      <c r="AI318" s="224">
        <f>IF(OR(N($AA318)=0,N($B318)=0),"",IF($AA318&lt;$B318,"",($AA318-$B318)*24))</f>
      </c>
      <c r="AJ318" s="225">
        <f>IF($A318="","",IF(COUNTIF('Nhật ký tiến độ'!$C$6:$C$3005,$A318)=0,0,_xlfn.MAXIFS('Nhật ký tiến độ'!$N$6:$N$3005,'Nhật ký tiến độ'!$C$6:$C$3005,$A318,'Nhật ký tiến độ'!$B$6:$B$3005,_xlfn.MAXIFS('Nhật ký tiến độ'!$B$6:$B$3005,'Nhật ký tiến độ'!$C$6:$C$3005,$A318))))</f>
      </c>
      <c r="AK318" s="225">
        <f>IF(OR($A318="",$V318="Đã xử lý"),"",IF(N($AO318)&gt;0,5-$AO318,IF($J318="Khẩn cấp",5,IF($Y318="Chậm tiến độ",6,IF(OR($Y318="Sắp đến hạn",$J318="Cao"),7,"")))))</f>
      </c>
      <c r="AL318" s="225">
        <f>IF($AK318="","",$AK318*100000+IF(N($U318)=0,99999,INT($U318))+ROW()/100000)</f>
      </c>
      <c r="AM318" s="225">
        <f>IF(OR($A318="",TRIM($K318)="",COUNTIF($K$6:$K318,$K318)&gt;1),0,1)</f>
      </c>
      <c r="AN318" s="225">
        <f>IF($AM318=1,SUM($AM$6:$AM318),"")</f>
      </c>
      <c r="AO318" s="225">
        <f>IF(OR($A318="",$V318="Đã xử lý",N($U318)=0),0,IF(TDBC&lt;=$U318,0,MAX(1,MIN(4,IF((TDBC-$U318)*24&lt;24,1,IF((TDBC-$U318)*24&lt;72,2,IF((TDBC-$U318)*24&lt;168,3,4)))+IFERROR(INDEX({2,1,0,-1},MATCH($J318,{"Khẩn cấp","Cao","Trung bình","Thấp"},0)),0)))))</f>
      </c>
    </row>
    <row r="319">
      <c r="A319" s="216"/>
      <c r="B319" s="217"/>
      <c r="C319" s="218"/>
      <c r="D319" s="218"/>
      <c r="E319" s="218"/>
      <c r="F319" s="218"/>
      <c r="G319" s="216"/>
      <c r="H319" s="218"/>
      <c r="I319" s="218"/>
      <c r="J319" s="216"/>
      <c r="K319" s="218"/>
      <c r="L319" s="218"/>
      <c r="M319" s="218"/>
      <c r="N319" s="218"/>
      <c r="O319" s="219"/>
      <c r="P319" s="216"/>
      <c r="Q319" s="217"/>
      <c r="R319" s="216"/>
      <c r="S319" s="218"/>
      <c r="T319" s="218"/>
      <c r="U319" s="220">
        <f>IF($A319="","",IF(N($Q319)&gt;0,IF(MOD($Q319,1)=0,$Q319+1-1/1440,$Q319),IF(N($B319)=0,"",$B319+IF(N($AH319)&gt;0,$AH319,IFERROR(INDEX(DM_SLA_Gio,MATCH($J319,DM_SLA_Cap,0)),168))/24)))</f>
      </c>
      <c r="V319" s="221">
        <f>IF($A319="","",IF(N($AJ319)=0,"Mới tiếp nhận",INDEX('Nhật ký tiến độ'!$E:$E,$AJ319)))</f>
      </c>
      <c r="W319" s="222">
        <f>IF($A319="","",IF($V319="Đã xử lý",1,IF(N($AJ319)=0,0,N(INDEX('Nhật ký tiến độ'!$D:$D,$AJ319)))))</f>
      </c>
      <c r="X319" s="222">
        <f>IF(OR($A319="",$V319="Đã xử lý",N($U319)=0,N($B319)=0),"",IF(TDBC&lt;=$B319,0,IF(TDBC&gt;=$U319,1,(TDBC-$B319)/($U319-$B319))))</f>
      </c>
      <c r="Y319" s="223">
        <f>IF($A319="","",IF($V319="Đã xử lý","Hoàn thành",IF(N($U319)=0,"Chưa đặt hạn",IF(TDBC&gt;$U319,"Quá hạn",IF(ROUND((N($X319)-$W319)*100,0)&gt;=20,"Chậm tiến độ",IF($U319-TDBC&lt;=1,"Sắp đến hạn","Đúng tiến độ"))))))</f>
      </c>
      <c r="Z319" s="223">
        <f>IF(OR($A319="",$V319="Đã xử lý",N($U319)=0),"",IF(TDBC&gt;$U319,"Quá "&amp;IF(((TDBC-$U319)*24)&lt;1,MAX(1,ROUND(((TDBC-$U319)*24)*60,0))&amp;" phút",IF(ROUND(((TDBC-$U319)*24),0)&lt;24,ROUND(((TDBC-$U319)*24),0)&amp;" giờ",INT(ROUND(((TDBC-$U319)*24),0)/24)&amp;" ngày"&amp;IF(MOD(ROUND(((TDBC-$U319)*24),0),24)&gt;0," "&amp;MOD(ROUND(((TDBC-$U319)*24),0),24)&amp;" giờ",""))),"Còn "&amp;IF((($U319-TDBC)*24)&lt;1,MAX(1,ROUND((($U319-TDBC)*24)*60,0))&amp;" phút",IF(ROUND((($U319-TDBC)*24),0)&lt;24,ROUND((($U319-TDBC)*24),0)&amp;" giờ",INT(ROUND((($U319-TDBC)*24),0)/24)&amp;" ngày"&amp;IF(MOD(ROUND((($U319-TDBC)*24),0),24)&gt;0," "&amp;MOD(ROUND((($U319-TDBC)*24),0),24)&amp;" giờ","")))))</f>
      </c>
      <c r="AA319" s="220">
        <f>IF($V319="Đã xử lý",_xlfn.MAXIFS('Nhật ký tiến độ'!$B$6:$B$3005,'Nhật ký tiến độ'!$C$6:$C$3005,$A319,'Nhật ký tiến độ'!$E$6:$E$3005,"Đã xử lý"),"")</f>
      </c>
      <c r="AB319" s="223">
        <f>IF($AI319="","",IF($AI319&lt;1,MAX(1,ROUND($AI319*60,0))&amp;" phút",IF(ROUND($AI319,0)&lt;24,ROUND($AI319,0)&amp;" giờ",INT(ROUND($AI319,0)/24)&amp;" ngày"&amp;IF(MOD(ROUND($AI319,0),24)&gt;0," "&amp;MOD(ROUND($AI319,0),24)&amp;" giờ",""))))</f>
      </c>
      <c r="AC319" s="223">
        <f>IF(OR($A319="",N($AH319)=0),"",IF($AI319&lt;&gt;"",IF($AI319&lt;=$AH319,"Trong ước tính","Vượt "&amp;IF(($AI319-$AH319)&lt;1,MAX(1,ROUND(($AI319-$AH319)*60,0))&amp;" phút",IF(ROUND(($AI319-$AH319),0)&lt;24,ROUND(($AI319-$AH319),0)&amp;" giờ",INT(ROUND(($AI319-$AH319),0)/24)&amp;" ngày"&amp;IF(MOD(ROUND(($AI319-$AH319),0),24)&gt;0," "&amp;MOD(ROUND(($AI319-$AH319),0),24)&amp;" giờ","")))),IF(OR($V319="Đã xử lý",N($B319)=0),"",IF((TDBC-$B319)*24&gt;$AH319,"Đã vượt ước tính","Đã dùng "&amp;TEXT((TDBC-$B319)*24/$AH319,"0%")))))</f>
      </c>
      <c r="AD319" s="223">
        <f>IF(N($AO319)=0,"",CHOOSE($AO319,"Nhắc nhở","Cảnh báo","Báo động","Báo động đỏ"))</f>
      </c>
      <c r="AE319" s="223">
        <f>IF(OR(N($AA319)=0,N($U319)=0),"",IF($AA319&lt;=$U319,"Đúng hạn","Trễ hạn"))</f>
      </c>
      <c r="AF319" s="220">
        <f>IF($A319="","",_xlfn.MAXIFS('Nhật ký tiến độ'!$B$6:$B$3005,'Nhật ký tiến độ'!$C$6:$C$3005,$A319))</f>
      </c>
      <c r="AG319" s="223">
        <f>IF($A319="","",IF(COUNTIF('Kế hoạch'!$M$6:$M$305,$A319)=0,"",COUNTIF('Kế hoạch'!$M$6:$M$305,$A319)&amp;" việc"))</f>
      </c>
      <c r="AH319" s="224">
        <f>IF(OR($A319="",N($O319)&lt;=0),"",IF($P319="Giờ",$O319,$O319*24))</f>
      </c>
      <c r="AI319" s="224">
        <f>IF(OR(N($AA319)=0,N($B319)=0),"",IF($AA319&lt;$B319,"",($AA319-$B319)*24))</f>
      </c>
      <c r="AJ319" s="225">
        <f>IF($A319="","",IF(COUNTIF('Nhật ký tiến độ'!$C$6:$C$3005,$A319)=0,0,_xlfn.MAXIFS('Nhật ký tiến độ'!$N$6:$N$3005,'Nhật ký tiến độ'!$C$6:$C$3005,$A319,'Nhật ký tiến độ'!$B$6:$B$3005,_xlfn.MAXIFS('Nhật ký tiến độ'!$B$6:$B$3005,'Nhật ký tiến độ'!$C$6:$C$3005,$A319))))</f>
      </c>
      <c r="AK319" s="225">
        <f>IF(OR($A319="",$V319="Đã xử lý"),"",IF(N($AO319)&gt;0,5-$AO319,IF($J319="Khẩn cấp",5,IF($Y319="Chậm tiến độ",6,IF(OR($Y319="Sắp đến hạn",$J319="Cao"),7,"")))))</f>
      </c>
      <c r="AL319" s="225">
        <f>IF($AK319="","",$AK319*100000+IF(N($U319)=0,99999,INT($U319))+ROW()/100000)</f>
      </c>
      <c r="AM319" s="225">
        <f>IF(OR($A319="",TRIM($K319)="",COUNTIF($K$6:$K319,$K319)&gt;1),0,1)</f>
      </c>
      <c r="AN319" s="225">
        <f>IF($AM319=1,SUM($AM$6:$AM319),"")</f>
      </c>
      <c r="AO319" s="225">
        <f>IF(OR($A319="",$V319="Đã xử lý",N($U319)=0),0,IF(TDBC&lt;=$U319,0,MAX(1,MIN(4,IF((TDBC-$U319)*24&lt;24,1,IF((TDBC-$U319)*24&lt;72,2,IF((TDBC-$U319)*24&lt;168,3,4)))+IFERROR(INDEX({2,1,0,-1},MATCH($J319,{"Khẩn cấp","Cao","Trung bình","Thấp"},0)),0)))))</f>
      </c>
    </row>
    <row r="320">
      <c r="A320" s="216"/>
      <c r="B320" s="217"/>
      <c r="C320" s="218"/>
      <c r="D320" s="218"/>
      <c r="E320" s="218"/>
      <c r="F320" s="218"/>
      <c r="G320" s="216"/>
      <c r="H320" s="218"/>
      <c r="I320" s="218"/>
      <c r="J320" s="216"/>
      <c r="K320" s="218"/>
      <c r="L320" s="218"/>
      <c r="M320" s="218"/>
      <c r="N320" s="218"/>
      <c r="O320" s="219"/>
      <c r="P320" s="216"/>
      <c r="Q320" s="217"/>
      <c r="R320" s="216"/>
      <c r="S320" s="218"/>
      <c r="T320" s="218"/>
      <c r="U320" s="220">
        <f>IF($A320="","",IF(N($Q320)&gt;0,IF(MOD($Q320,1)=0,$Q320+1-1/1440,$Q320),IF(N($B320)=0,"",$B320+IF(N($AH320)&gt;0,$AH320,IFERROR(INDEX(DM_SLA_Gio,MATCH($J320,DM_SLA_Cap,0)),168))/24)))</f>
      </c>
      <c r="V320" s="221">
        <f>IF($A320="","",IF(N($AJ320)=0,"Mới tiếp nhận",INDEX('Nhật ký tiến độ'!$E:$E,$AJ320)))</f>
      </c>
      <c r="W320" s="222">
        <f>IF($A320="","",IF($V320="Đã xử lý",1,IF(N($AJ320)=0,0,N(INDEX('Nhật ký tiến độ'!$D:$D,$AJ320)))))</f>
      </c>
      <c r="X320" s="222">
        <f>IF(OR($A320="",$V320="Đã xử lý",N($U320)=0,N($B320)=0),"",IF(TDBC&lt;=$B320,0,IF(TDBC&gt;=$U320,1,(TDBC-$B320)/($U320-$B320))))</f>
      </c>
      <c r="Y320" s="223">
        <f>IF($A320="","",IF($V320="Đã xử lý","Hoàn thành",IF(N($U320)=0,"Chưa đặt hạn",IF(TDBC&gt;$U320,"Quá hạn",IF(ROUND((N($X320)-$W320)*100,0)&gt;=20,"Chậm tiến độ",IF($U320-TDBC&lt;=1,"Sắp đến hạn","Đúng tiến độ"))))))</f>
      </c>
      <c r="Z320" s="223">
        <f>IF(OR($A320="",$V320="Đã xử lý",N($U320)=0),"",IF(TDBC&gt;$U320,"Quá "&amp;IF(((TDBC-$U320)*24)&lt;1,MAX(1,ROUND(((TDBC-$U320)*24)*60,0))&amp;" phút",IF(ROUND(((TDBC-$U320)*24),0)&lt;24,ROUND(((TDBC-$U320)*24),0)&amp;" giờ",INT(ROUND(((TDBC-$U320)*24),0)/24)&amp;" ngày"&amp;IF(MOD(ROUND(((TDBC-$U320)*24),0),24)&gt;0," "&amp;MOD(ROUND(((TDBC-$U320)*24),0),24)&amp;" giờ",""))),"Còn "&amp;IF((($U320-TDBC)*24)&lt;1,MAX(1,ROUND((($U320-TDBC)*24)*60,0))&amp;" phút",IF(ROUND((($U320-TDBC)*24),0)&lt;24,ROUND((($U320-TDBC)*24),0)&amp;" giờ",INT(ROUND((($U320-TDBC)*24),0)/24)&amp;" ngày"&amp;IF(MOD(ROUND((($U320-TDBC)*24),0),24)&gt;0," "&amp;MOD(ROUND((($U320-TDBC)*24),0),24)&amp;" giờ","")))))</f>
      </c>
      <c r="AA320" s="220">
        <f>IF($V320="Đã xử lý",_xlfn.MAXIFS('Nhật ký tiến độ'!$B$6:$B$3005,'Nhật ký tiến độ'!$C$6:$C$3005,$A320,'Nhật ký tiến độ'!$E$6:$E$3005,"Đã xử lý"),"")</f>
      </c>
      <c r="AB320" s="223">
        <f>IF($AI320="","",IF($AI320&lt;1,MAX(1,ROUND($AI320*60,0))&amp;" phút",IF(ROUND($AI320,0)&lt;24,ROUND($AI320,0)&amp;" giờ",INT(ROUND($AI320,0)/24)&amp;" ngày"&amp;IF(MOD(ROUND($AI320,0),24)&gt;0," "&amp;MOD(ROUND($AI320,0),24)&amp;" giờ",""))))</f>
      </c>
      <c r="AC320" s="223">
        <f>IF(OR($A320="",N($AH320)=0),"",IF($AI320&lt;&gt;"",IF($AI320&lt;=$AH320,"Trong ước tính","Vượt "&amp;IF(($AI320-$AH320)&lt;1,MAX(1,ROUND(($AI320-$AH320)*60,0))&amp;" phút",IF(ROUND(($AI320-$AH320),0)&lt;24,ROUND(($AI320-$AH320),0)&amp;" giờ",INT(ROUND(($AI320-$AH320),0)/24)&amp;" ngày"&amp;IF(MOD(ROUND(($AI320-$AH320),0),24)&gt;0," "&amp;MOD(ROUND(($AI320-$AH320),0),24)&amp;" giờ","")))),IF(OR($V320="Đã xử lý",N($B320)=0),"",IF((TDBC-$B320)*24&gt;$AH320,"Đã vượt ước tính","Đã dùng "&amp;TEXT((TDBC-$B320)*24/$AH320,"0%")))))</f>
      </c>
      <c r="AD320" s="223">
        <f>IF(N($AO320)=0,"",CHOOSE($AO320,"Nhắc nhở","Cảnh báo","Báo động","Báo động đỏ"))</f>
      </c>
      <c r="AE320" s="223">
        <f>IF(OR(N($AA320)=0,N($U320)=0),"",IF($AA320&lt;=$U320,"Đúng hạn","Trễ hạn"))</f>
      </c>
      <c r="AF320" s="220">
        <f>IF($A320="","",_xlfn.MAXIFS('Nhật ký tiến độ'!$B$6:$B$3005,'Nhật ký tiến độ'!$C$6:$C$3005,$A320))</f>
      </c>
      <c r="AG320" s="223">
        <f>IF($A320="","",IF(COUNTIF('Kế hoạch'!$M$6:$M$305,$A320)=0,"",COUNTIF('Kế hoạch'!$M$6:$M$305,$A320)&amp;" việc"))</f>
      </c>
      <c r="AH320" s="224">
        <f>IF(OR($A320="",N($O320)&lt;=0),"",IF($P320="Giờ",$O320,$O320*24))</f>
      </c>
      <c r="AI320" s="224">
        <f>IF(OR(N($AA320)=0,N($B320)=0),"",IF($AA320&lt;$B320,"",($AA320-$B320)*24))</f>
      </c>
      <c r="AJ320" s="225">
        <f>IF($A320="","",IF(COUNTIF('Nhật ký tiến độ'!$C$6:$C$3005,$A320)=0,0,_xlfn.MAXIFS('Nhật ký tiến độ'!$N$6:$N$3005,'Nhật ký tiến độ'!$C$6:$C$3005,$A320,'Nhật ký tiến độ'!$B$6:$B$3005,_xlfn.MAXIFS('Nhật ký tiến độ'!$B$6:$B$3005,'Nhật ký tiến độ'!$C$6:$C$3005,$A320))))</f>
      </c>
      <c r="AK320" s="225">
        <f>IF(OR($A320="",$V320="Đã xử lý"),"",IF(N($AO320)&gt;0,5-$AO320,IF($J320="Khẩn cấp",5,IF($Y320="Chậm tiến độ",6,IF(OR($Y320="Sắp đến hạn",$J320="Cao"),7,"")))))</f>
      </c>
      <c r="AL320" s="225">
        <f>IF($AK320="","",$AK320*100000+IF(N($U320)=0,99999,INT($U320))+ROW()/100000)</f>
      </c>
      <c r="AM320" s="225">
        <f>IF(OR($A320="",TRIM($K320)="",COUNTIF($K$6:$K320,$K320)&gt;1),0,1)</f>
      </c>
      <c r="AN320" s="225">
        <f>IF($AM320=1,SUM($AM$6:$AM320),"")</f>
      </c>
      <c r="AO320" s="225">
        <f>IF(OR($A320="",$V320="Đã xử lý",N($U320)=0),0,IF(TDBC&lt;=$U320,0,MAX(1,MIN(4,IF((TDBC-$U320)*24&lt;24,1,IF((TDBC-$U320)*24&lt;72,2,IF((TDBC-$U320)*24&lt;168,3,4)))+IFERROR(INDEX({2,1,0,-1},MATCH($J320,{"Khẩn cấp","Cao","Trung bình","Thấp"},0)),0)))))</f>
      </c>
    </row>
    <row r="321">
      <c r="A321" s="216"/>
      <c r="B321" s="217"/>
      <c r="C321" s="218"/>
      <c r="D321" s="218"/>
      <c r="E321" s="218"/>
      <c r="F321" s="218"/>
      <c r="G321" s="216"/>
      <c r="H321" s="218"/>
      <c r="I321" s="218"/>
      <c r="J321" s="216"/>
      <c r="K321" s="218"/>
      <c r="L321" s="218"/>
      <c r="M321" s="218"/>
      <c r="N321" s="218"/>
      <c r="O321" s="219"/>
      <c r="P321" s="216"/>
      <c r="Q321" s="217"/>
      <c r="R321" s="216"/>
      <c r="S321" s="218"/>
      <c r="T321" s="218"/>
      <c r="U321" s="220">
        <f>IF($A321="","",IF(N($Q321)&gt;0,IF(MOD($Q321,1)=0,$Q321+1-1/1440,$Q321),IF(N($B321)=0,"",$B321+IF(N($AH321)&gt;0,$AH321,IFERROR(INDEX(DM_SLA_Gio,MATCH($J321,DM_SLA_Cap,0)),168))/24)))</f>
      </c>
      <c r="V321" s="221">
        <f>IF($A321="","",IF(N($AJ321)=0,"Mới tiếp nhận",INDEX('Nhật ký tiến độ'!$E:$E,$AJ321)))</f>
      </c>
      <c r="W321" s="222">
        <f>IF($A321="","",IF($V321="Đã xử lý",1,IF(N($AJ321)=0,0,N(INDEX('Nhật ký tiến độ'!$D:$D,$AJ321)))))</f>
      </c>
      <c r="X321" s="222">
        <f>IF(OR($A321="",$V321="Đã xử lý",N($U321)=0,N($B321)=0),"",IF(TDBC&lt;=$B321,0,IF(TDBC&gt;=$U321,1,(TDBC-$B321)/($U321-$B321))))</f>
      </c>
      <c r="Y321" s="223">
        <f>IF($A321="","",IF($V321="Đã xử lý","Hoàn thành",IF(N($U321)=0,"Chưa đặt hạn",IF(TDBC&gt;$U321,"Quá hạn",IF(ROUND((N($X321)-$W321)*100,0)&gt;=20,"Chậm tiến độ",IF($U321-TDBC&lt;=1,"Sắp đến hạn","Đúng tiến độ"))))))</f>
      </c>
      <c r="Z321" s="223">
        <f>IF(OR($A321="",$V321="Đã xử lý",N($U321)=0),"",IF(TDBC&gt;$U321,"Quá "&amp;IF(((TDBC-$U321)*24)&lt;1,MAX(1,ROUND(((TDBC-$U321)*24)*60,0))&amp;" phút",IF(ROUND(((TDBC-$U321)*24),0)&lt;24,ROUND(((TDBC-$U321)*24),0)&amp;" giờ",INT(ROUND(((TDBC-$U321)*24),0)/24)&amp;" ngày"&amp;IF(MOD(ROUND(((TDBC-$U321)*24),0),24)&gt;0," "&amp;MOD(ROUND(((TDBC-$U321)*24),0),24)&amp;" giờ",""))),"Còn "&amp;IF((($U321-TDBC)*24)&lt;1,MAX(1,ROUND((($U321-TDBC)*24)*60,0))&amp;" phút",IF(ROUND((($U321-TDBC)*24),0)&lt;24,ROUND((($U321-TDBC)*24),0)&amp;" giờ",INT(ROUND((($U321-TDBC)*24),0)/24)&amp;" ngày"&amp;IF(MOD(ROUND((($U321-TDBC)*24),0),24)&gt;0," "&amp;MOD(ROUND((($U321-TDBC)*24),0),24)&amp;" giờ","")))))</f>
      </c>
      <c r="AA321" s="220">
        <f>IF($V321="Đã xử lý",_xlfn.MAXIFS('Nhật ký tiến độ'!$B$6:$B$3005,'Nhật ký tiến độ'!$C$6:$C$3005,$A321,'Nhật ký tiến độ'!$E$6:$E$3005,"Đã xử lý"),"")</f>
      </c>
      <c r="AB321" s="223">
        <f>IF($AI321="","",IF($AI321&lt;1,MAX(1,ROUND($AI321*60,0))&amp;" phút",IF(ROUND($AI321,0)&lt;24,ROUND($AI321,0)&amp;" giờ",INT(ROUND($AI321,0)/24)&amp;" ngày"&amp;IF(MOD(ROUND($AI321,0),24)&gt;0," "&amp;MOD(ROUND($AI321,0),24)&amp;" giờ",""))))</f>
      </c>
      <c r="AC321" s="223">
        <f>IF(OR($A321="",N($AH321)=0),"",IF($AI321&lt;&gt;"",IF($AI321&lt;=$AH321,"Trong ước tính","Vượt "&amp;IF(($AI321-$AH321)&lt;1,MAX(1,ROUND(($AI321-$AH321)*60,0))&amp;" phút",IF(ROUND(($AI321-$AH321),0)&lt;24,ROUND(($AI321-$AH321),0)&amp;" giờ",INT(ROUND(($AI321-$AH321),0)/24)&amp;" ngày"&amp;IF(MOD(ROUND(($AI321-$AH321),0),24)&gt;0," "&amp;MOD(ROUND(($AI321-$AH321),0),24)&amp;" giờ","")))),IF(OR($V321="Đã xử lý",N($B321)=0),"",IF((TDBC-$B321)*24&gt;$AH321,"Đã vượt ước tính","Đã dùng "&amp;TEXT((TDBC-$B321)*24/$AH321,"0%")))))</f>
      </c>
      <c r="AD321" s="223">
        <f>IF(N($AO321)=0,"",CHOOSE($AO321,"Nhắc nhở","Cảnh báo","Báo động","Báo động đỏ"))</f>
      </c>
      <c r="AE321" s="223">
        <f>IF(OR(N($AA321)=0,N($U321)=0),"",IF($AA321&lt;=$U321,"Đúng hạn","Trễ hạn"))</f>
      </c>
      <c r="AF321" s="220">
        <f>IF($A321="","",_xlfn.MAXIFS('Nhật ký tiến độ'!$B$6:$B$3005,'Nhật ký tiến độ'!$C$6:$C$3005,$A321))</f>
      </c>
      <c r="AG321" s="223">
        <f>IF($A321="","",IF(COUNTIF('Kế hoạch'!$M$6:$M$305,$A321)=0,"",COUNTIF('Kế hoạch'!$M$6:$M$305,$A321)&amp;" việc"))</f>
      </c>
      <c r="AH321" s="224">
        <f>IF(OR($A321="",N($O321)&lt;=0),"",IF($P321="Giờ",$O321,$O321*24))</f>
      </c>
      <c r="AI321" s="224">
        <f>IF(OR(N($AA321)=0,N($B321)=0),"",IF($AA321&lt;$B321,"",($AA321-$B321)*24))</f>
      </c>
      <c r="AJ321" s="225">
        <f>IF($A321="","",IF(COUNTIF('Nhật ký tiến độ'!$C$6:$C$3005,$A321)=0,0,_xlfn.MAXIFS('Nhật ký tiến độ'!$N$6:$N$3005,'Nhật ký tiến độ'!$C$6:$C$3005,$A321,'Nhật ký tiến độ'!$B$6:$B$3005,_xlfn.MAXIFS('Nhật ký tiến độ'!$B$6:$B$3005,'Nhật ký tiến độ'!$C$6:$C$3005,$A321))))</f>
      </c>
      <c r="AK321" s="225">
        <f>IF(OR($A321="",$V321="Đã xử lý"),"",IF(N($AO321)&gt;0,5-$AO321,IF($J321="Khẩn cấp",5,IF($Y321="Chậm tiến độ",6,IF(OR($Y321="Sắp đến hạn",$J321="Cao"),7,"")))))</f>
      </c>
      <c r="AL321" s="225">
        <f>IF($AK321="","",$AK321*100000+IF(N($U321)=0,99999,INT($U321))+ROW()/100000)</f>
      </c>
      <c r="AM321" s="225">
        <f>IF(OR($A321="",TRIM($K321)="",COUNTIF($K$6:$K321,$K321)&gt;1),0,1)</f>
      </c>
      <c r="AN321" s="225">
        <f>IF($AM321=1,SUM($AM$6:$AM321),"")</f>
      </c>
      <c r="AO321" s="225">
        <f>IF(OR($A321="",$V321="Đã xử lý",N($U321)=0),0,IF(TDBC&lt;=$U321,0,MAX(1,MIN(4,IF((TDBC-$U321)*24&lt;24,1,IF((TDBC-$U321)*24&lt;72,2,IF((TDBC-$U321)*24&lt;168,3,4)))+IFERROR(INDEX({2,1,0,-1},MATCH($J321,{"Khẩn cấp","Cao","Trung bình","Thấp"},0)),0)))))</f>
      </c>
    </row>
    <row r="322">
      <c r="A322" s="216"/>
      <c r="B322" s="217"/>
      <c r="C322" s="218"/>
      <c r="D322" s="218"/>
      <c r="E322" s="218"/>
      <c r="F322" s="218"/>
      <c r="G322" s="216"/>
      <c r="H322" s="218"/>
      <c r="I322" s="218"/>
      <c r="J322" s="216"/>
      <c r="K322" s="218"/>
      <c r="L322" s="218"/>
      <c r="M322" s="218"/>
      <c r="N322" s="218"/>
      <c r="O322" s="219"/>
      <c r="P322" s="216"/>
      <c r="Q322" s="217"/>
      <c r="R322" s="216"/>
      <c r="S322" s="218"/>
      <c r="T322" s="218"/>
      <c r="U322" s="220">
        <f>IF($A322="","",IF(N($Q322)&gt;0,IF(MOD($Q322,1)=0,$Q322+1-1/1440,$Q322),IF(N($B322)=0,"",$B322+IF(N($AH322)&gt;0,$AH322,IFERROR(INDEX(DM_SLA_Gio,MATCH($J322,DM_SLA_Cap,0)),168))/24)))</f>
      </c>
      <c r="V322" s="221">
        <f>IF($A322="","",IF(N($AJ322)=0,"Mới tiếp nhận",INDEX('Nhật ký tiến độ'!$E:$E,$AJ322)))</f>
      </c>
      <c r="W322" s="222">
        <f>IF($A322="","",IF($V322="Đã xử lý",1,IF(N($AJ322)=0,0,N(INDEX('Nhật ký tiến độ'!$D:$D,$AJ322)))))</f>
      </c>
      <c r="X322" s="222">
        <f>IF(OR($A322="",$V322="Đã xử lý",N($U322)=0,N($B322)=0),"",IF(TDBC&lt;=$B322,0,IF(TDBC&gt;=$U322,1,(TDBC-$B322)/($U322-$B322))))</f>
      </c>
      <c r="Y322" s="223">
        <f>IF($A322="","",IF($V322="Đã xử lý","Hoàn thành",IF(N($U322)=0,"Chưa đặt hạn",IF(TDBC&gt;$U322,"Quá hạn",IF(ROUND((N($X322)-$W322)*100,0)&gt;=20,"Chậm tiến độ",IF($U322-TDBC&lt;=1,"Sắp đến hạn","Đúng tiến độ"))))))</f>
      </c>
      <c r="Z322" s="223">
        <f>IF(OR($A322="",$V322="Đã xử lý",N($U322)=0),"",IF(TDBC&gt;$U322,"Quá "&amp;IF(((TDBC-$U322)*24)&lt;1,MAX(1,ROUND(((TDBC-$U322)*24)*60,0))&amp;" phút",IF(ROUND(((TDBC-$U322)*24),0)&lt;24,ROUND(((TDBC-$U322)*24),0)&amp;" giờ",INT(ROUND(((TDBC-$U322)*24),0)/24)&amp;" ngày"&amp;IF(MOD(ROUND(((TDBC-$U322)*24),0),24)&gt;0," "&amp;MOD(ROUND(((TDBC-$U322)*24),0),24)&amp;" giờ",""))),"Còn "&amp;IF((($U322-TDBC)*24)&lt;1,MAX(1,ROUND((($U322-TDBC)*24)*60,0))&amp;" phút",IF(ROUND((($U322-TDBC)*24),0)&lt;24,ROUND((($U322-TDBC)*24),0)&amp;" giờ",INT(ROUND((($U322-TDBC)*24),0)/24)&amp;" ngày"&amp;IF(MOD(ROUND((($U322-TDBC)*24),0),24)&gt;0," "&amp;MOD(ROUND((($U322-TDBC)*24),0),24)&amp;" giờ","")))))</f>
      </c>
      <c r="AA322" s="220">
        <f>IF($V322="Đã xử lý",_xlfn.MAXIFS('Nhật ký tiến độ'!$B$6:$B$3005,'Nhật ký tiến độ'!$C$6:$C$3005,$A322,'Nhật ký tiến độ'!$E$6:$E$3005,"Đã xử lý"),"")</f>
      </c>
      <c r="AB322" s="223">
        <f>IF($AI322="","",IF($AI322&lt;1,MAX(1,ROUND($AI322*60,0))&amp;" phút",IF(ROUND($AI322,0)&lt;24,ROUND($AI322,0)&amp;" giờ",INT(ROUND($AI322,0)/24)&amp;" ngày"&amp;IF(MOD(ROUND($AI322,0),24)&gt;0," "&amp;MOD(ROUND($AI322,0),24)&amp;" giờ",""))))</f>
      </c>
      <c r="AC322" s="223">
        <f>IF(OR($A322="",N($AH322)=0),"",IF($AI322&lt;&gt;"",IF($AI322&lt;=$AH322,"Trong ước tính","Vượt "&amp;IF(($AI322-$AH322)&lt;1,MAX(1,ROUND(($AI322-$AH322)*60,0))&amp;" phút",IF(ROUND(($AI322-$AH322),0)&lt;24,ROUND(($AI322-$AH322),0)&amp;" giờ",INT(ROUND(($AI322-$AH322),0)/24)&amp;" ngày"&amp;IF(MOD(ROUND(($AI322-$AH322),0),24)&gt;0," "&amp;MOD(ROUND(($AI322-$AH322),0),24)&amp;" giờ","")))),IF(OR($V322="Đã xử lý",N($B322)=0),"",IF((TDBC-$B322)*24&gt;$AH322,"Đã vượt ước tính","Đã dùng "&amp;TEXT((TDBC-$B322)*24/$AH322,"0%")))))</f>
      </c>
      <c r="AD322" s="223">
        <f>IF(N($AO322)=0,"",CHOOSE($AO322,"Nhắc nhở","Cảnh báo","Báo động","Báo động đỏ"))</f>
      </c>
      <c r="AE322" s="223">
        <f>IF(OR(N($AA322)=0,N($U322)=0),"",IF($AA322&lt;=$U322,"Đúng hạn","Trễ hạn"))</f>
      </c>
      <c r="AF322" s="220">
        <f>IF($A322="","",_xlfn.MAXIFS('Nhật ký tiến độ'!$B$6:$B$3005,'Nhật ký tiến độ'!$C$6:$C$3005,$A322))</f>
      </c>
      <c r="AG322" s="223">
        <f>IF($A322="","",IF(COUNTIF('Kế hoạch'!$M$6:$M$305,$A322)=0,"",COUNTIF('Kế hoạch'!$M$6:$M$305,$A322)&amp;" việc"))</f>
      </c>
      <c r="AH322" s="224">
        <f>IF(OR($A322="",N($O322)&lt;=0),"",IF($P322="Giờ",$O322,$O322*24))</f>
      </c>
      <c r="AI322" s="224">
        <f>IF(OR(N($AA322)=0,N($B322)=0),"",IF($AA322&lt;$B322,"",($AA322-$B322)*24))</f>
      </c>
      <c r="AJ322" s="225">
        <f>IF($A322="","",IF(COUNTIF('Nhật ký tiến độ'!$C$6:$C$3005,$A322)=0,0,_xlfn.MAXIFS('Nhật ký tiến độ'!$N$6:$N$3005,'Nhật ký tiến độ'!$C$6:$C$3005,$A322,'Nhật ký tiến độ'!$B$6:$B$3005,_xlfn.MAXIFS('Nhật ký tiến độ'!$B$6:$B$3005,'Nhật ký tiến độ'!$C$6:$C$3005,$A322))))</f>
      </c>
      <c r="AK322" s="225">
        <f>IF(OR($A322="",$V322="Đã xử lý"),"",IF(N($AO322)&gt;0,5-$AO322,IF($J322="Khẩn cấp",5,IF($Y322="Chậm tiến độ",6,IF(OR($Y322="Sắp đến hạn",$J322="Cao"),7,"")))))</f>
      </c>
      <c r="AL322" s="225">
        <f>IF($AK322="","",$AK322*100000+IF(N($U322)=0,99999,INT($U322))+ROW()/100000)</f>
      </c>
      <c r="AM322" s="225">
        <f>IF(OR($A322="",TRIM($K322)="",COUNTIF($K$6:$K322,$K322)&gt;1),0,1)</f>
      </c>
      <c r="AN322" s="225">
        <f>IF($AM322=1,SUM($AM$6:$AM322),"")</f>
      </c>
      <c r="AO322" s="225">
        <f>IF(OR($A322="",$V322="Đã xử lý",N($U322)=0),0,IF(TDBC&lt;=$U322,0,MAX(1,MIN(4,IF((TDBC-$U322)*24&lt;24,1,IF((TDBC-$U322)*24&lt;72,2,IF((TDBC-$U322)*24&lt;168,3,4)))+IFERROR(INDEX({2,1,0,-1},MATCH($J322,{"Khẩn cấp","Cao","Trung bình","Thấp"},0)),0)))))</f>
      </c>
    </row>
    <row r="323">
      <c r="A323" s="216"/>
      <c r="B323" s="217"/>
      <c r="C323" s="218"/>
      <c r="D323" s="218"/>
      <c r="E323" s="218"/>
      <c r="F323" s="218"/>
      <c r="G323" s="216"/>
      <c r="H323" s="218"/>
      <c r="I323" s="218"/>
      <c r="J323" s="216"/>
      <c r="K323" s="218"/>
      <c r="L323" s="218"/>
      <c r="M323" s="218"/>
      <c r="N323" s="218"/>
      <c r="O323" s="219"/>
      <c r="P323" s="216"/>
      <c r="Q323" s="217"/>
      <c r="R323" s="216"/>
      <c r="S323" s="218"/>
      <c r="T323" s="218"/>
      <c r="U323" s="220">
        <f>IF($A323="","",IF(N($Q323)&gt;0,IF(MOD($Q323,1)=0,$Q323+1-1/1440,$Q323),IF(N($B323)=0,"",$B323+IF(N($AH323)&gt;0,$AH323,IFERROR(INDEX(DM_SLA_Gio,MATCH($J323,DM_SLA_Cap,0)),168))/24)))</f>
      </c>
      <c r="V323" s="221">
        <f>IF($A323="","",IF(N($AJ323)=0,"Mới tiếp nhận",INDEX('Nhật ký tiến độ'!$E:$E,$AJ323)))</f>
      </c>
      <c r="W323" s="222">
        <f>IF($A323="","",IF($V323="Đã xử lý",1,IF(N($AJ323)=0,0,N(INDEX('Nhật ký tiến độ'!$D:$D,$AJ323)))))</f>
      </c>
      <c r="X323" s="222">
        <f>IF(OR($A323="",$V323="Đã xử lý",N($U323)=0,N($B323)=0),"",IF(TDBC&lt;=$B323,0,IF(TDBC&gt;=$U323,1,(TDBC-$B323)/($U323-$B323))))</f>
      </c>
      <c r="Y323" s="223">
        <f>IF($A323="","",IF($V323="Đã xử lý","Hoàn thành",IF(N($U323)=0,"Chưa đặt hạn",IF(TDBC&gt;$U323,"Quá hạn",IF(ROUND((N($X323)-$W323)*100,0)&gt;=20,"Chậm tiến độ",IF($U323-TDBC&lt;=1,"Sắp đến hạn","Đúng tiến độ"))))))</f>
      </c>
      <c r="Z323" s="223">
        <f>IF(OR($A323="",$V323="Đã xử lý",N($U323)=0),"",IF(TDBC&gt;$U323,"Quá "&amp;IF(((TDBC-$U323)*24)&lt;1,MAX(1,ROUND(((TDBC-$U323)*24)*60,0))&amp;" phút",IF(ROUND(((TDBC-$U323)*24),0)&lt;24,ROUND(((TDBC-$U323)*24),0)&amp;" giờ",INT(ROUND(((TDBC-$U323)*24),0)/24)&amp;" ngày"&amp;IF(MOD(ROUND(((TDBC-$U323)*24),0),24)&gt;0," "&amp;MOD(ROUND(((TDBC-$U323)*24),0),24)&amp;" giờ",""))),"Còn "&amp;IF((($U323-TDBC)*24)&lt;1,MAX(1,ROUND((($U323-TDBC)*24)*60,0))&amp;" phút",IF(ROUND((($U323-TDBC)*24),0)&lt;24,ROUND((($U323-TDBC)*24),0)&amp;" giờ",INT(ROUND((($U323-TDBC)*24),0)/24)&amp;" ngày"&amp;IF(MOD(ROUND((($U323-TDBC)*24),0),24)&gt;0," "&amp;MOD(ROUND((($U323-TDBC)*24),0),24)&amp;" giờ","")))))</f>
      </c>
      <c r="AA323" s="220">
        <f>IF($V323="Đã xử lý",_xlfn.MAXIFS('Nhật ký tiến độ'!$B$6:$B$3005,'Nhật ký tiến độ'!$C$6:$C$3005,$A323,'Nhật ký tiến độ'!$E$6:$E$3005,"Đã xử lý"),"")</f>
      </c>
      <c r="AB323" s="223">
        <f>IF($AI323="","",IF($AI323&lt;1,MAX(1,ROUND($AI323*60,0))&amp;" phút",IF(ROUND($AI323,0)&lt;24,ROUND($AI323,0)&amp;" giờ",INT(ROUND($AI323,0)/24)&amp;" ngày"&amp;IF(MOD(ROUND($AI323,0),24)&gt;0," "&amp;MOD(ROUND($AI323,0),24)&amp;" giờ",""))))</f>
      </c>
      <c r="AC323" s="223">
        <f>IF(OR($A323="",N($AH323)=0),"",IF($AI323&lt;&gt;"",IF($AI323&lt;=$AH323,"Trong ước tính","Vượt "&amp;IF(($AI323-$AH323)&lt;1,MAX(1,ROUND(($AI323-$AH323)*60,0))&amp;" phút",IF(ROUND(($AI323-$AH323),0)&lt;24,ROUND(($AI323-$AH323),0)&amp;" giờ",INT(ROUND(($AI323-$AH323),0)/24)&amp;" ngày"&amp;IF(MOD(ROUND(($AI323-$AH323),0),24)&gt;0," "&amp;MOD(ROUND(($AI323-$AH323),0),24)&amp;" giờ","")))),IF(OR($V323="Đã xử lý",N($B323)=0),"",IF((TDBC-$B323)*24&gt;$AH323,"Đã vượt ước tính","Đã dùng "&amp;TEXT((TDBC-$B323)*24/$AH323,"0%")))))</f>
      </c>
      <c r="AD323" s="223">
        <f>IF(N($AO323)=0,"",CHOOSE($AO323,"Nhắc nhở","Cảnh báo","Báo động","Báo động đỏ"))</f>
      </c>
      <c r="AE323" s="223">
        <f>IF(OR(N($AA323)=0,N($U323)=0),"",IF($AA323&lt;=$U323,"Đúng hạn","Trễ hạn"))</f>
      </c>
      <c r="AF323" s="220">
        <f>IF($A323="","",_xlfn.MAXIFS('Nhật ký tiến độ'!$B$6:$B$3005,'Nhật ký tiến độ'!$C$6:$C$3005,$A323))</f>
      </c>
      <c r="AG323" s="223">
        <f>IF($A323="","",IF(COUNTIF('Kế hoạch'!$M$6:$M$305,$A323)=0,"",COUNTIF('Kế hoạch'!$M$6:$M$305,$A323)&amp;" việc"))</f>
      </c>
      <c r="AH323" s="224">
        <f>IF(OR($A323="",N($O323)&lt;=0),"",IF($P323="Giờ",$O323,$O323*24))</f>
      </c>
      <c r="AI323" s="224">
        <f>IF(OR(N($AA323)=0,N($B323)=0),"",IF($AA323&lt;$B323,"",($AA323-$B323)*24))</f>
      </c>
      <c r="AJ323" s="225">
        <f>IF($A323="","",IF(COUNTIF('Nhật ký tiến độ'!$C$6:$C$3005,$A323)=0,0,_xlfn.MAXIFS('Nhật ký tiến độ'!$N$6:$N$3005,'Nhật ký tiến độ'!$C$6:$C$3005,$A323,'Nhật ký tiến độ'!$B$6:$B$3005,_xlfn.MAXIFS('Nhật ký tiến độ'!$B$6:$B$3005,'Nhật ký tiến độ'!$C$6:$C$3005,$A323))))</f>
      </c>
      <c r="AK323" s="225">
        <f>IF(OR($A323="",$V323="Đã xử lý"),"",IF(N($AO323)&gt;0,5-$AO323,IF($J323="Khẩn cấp",5,IF($Y323="Chậm tiến độ",6,IF(OR($Y323="Sắp đến hạn",$J323="Cao"),7,"")))))</f>
      </c>
      <c r="AL323" s="225">
        <f>IF($AK323="","",$AK323*100000+IF(N($U323)=0,99999,INT($U323))+ROW()/100000)</f>
      </c>
      <c r="AM323" s="225">
        <f>IF(OR($A323="",TRIM($K323)="",COUNTIF($K$6:$K323,$K323)&gt;1),0,1)</f>
      </c>
      <c r="AN323" s="225">
        <f>IF($AM323=1,SUM($AM$6:$AM323),"")</f>
      </c>
      <c r="AO323" s="225">
        <f>IF(OR($A323="",$V323="Đã xử lý",N($U323)=0),0,IF(TDBC&lt;=$U323,0,MAX(1,MIN(4,IF((TDBC-$U323)*24&lt;24,1,IF((TDBC-$U323)*24&lt;72,2,IF((TDBC-$U323)*24&lt;168,3,4)))+IFERROR(INDEX({2,1,0,-1},MATCH($J323,{"Khẩn cấp","Cao","Trung bình","Thấp"},0)),0)))))</f>
      </c>
    </row>
    <row r="324">
      <c r="A324" s="216"/>
      <c r="B324" s="217"/>
      <c r="C324" s="218"/>
      <c r="D324" s="218"/>
      <c r="E324" s="218"/>
      <c r="F324" s="218"/>
      <c r="G324" s="216"/>
      <c r="H324" s="218"/>
      <c r="I324" s="218"/>
      <c r="J324" s="216"/>
      <c r="K324" s="218"/>
      <c r="L324" s="218"/>
      <c r="M324" s="218"/>
      <c r="N324" s="218"/>
      <c r="O324" s="219"/>
      <c r="P324" s="216"/>
      <c r="Q324" s="217"/>
      <c r="R324" s="216"/>
      <c r="S324" s="218"/>
      <c r="T324" s="218"/>
      <c r="U324" s="220">
        <f>IF($A324="","",IF(N($Q324)&gt;0,IF(MOD($Q324,1)=0,$Q324+1-1/1440,$Q324),IF(N($B324)=0,"",$B324+IF(N($AH324)&gt;0,$AH324,IFERROR(INDEX(DM_SLA_Gio,MATCH($J324,DM_SLA_Cap,0)),168))/24)))</f>
      </c>
      <c r="V324" s="221">
        <f>IF($A324="","",IF(N($AJ324)=0,"Mới tiếp nhận",INDEX('Nhật ký tiến độ'!$E:$E,$AJ324)))</f>
      </c>
      <c r="W324" s="222">
        <f>IF($A324="","",IF($V324="Đã xử lý",1,IF(N($AJ324)=0,0,N(INDEX('Nhật ký tiến độ'!$D:$D,$AJ324)))))</f>
      </c>
      <c r="X324" s="222">
        <f>IF(OR($A324="",$V324="Đã xử lý",N($U324)=0,N($B324)=0),"",IF(TDBC&lt;=$B324,0,IF(TDBC&gt;=$U324,1,(TDBC-$B324)/($U324-$B324))))</f>
      </c>
      <c r="Y324" s="223">
        <f>IF($A324="","",IF($V324="Đã xử lý","Hoàn thành",IF(N($U324)=0,"Chưa đặt hạn",IF(TDBC&gt;$U324,"Quá hạn",IF(ROUND((N($X324)-$W324)*100,0)&gt;=20,"Chậm tiến độ",IF($U324-TDBC&lt;=1,"Sắp đến hạn","Đúng tiến độ"))))))</f>
      </c>
      <c r="Z324" s="223">
        <f>IF(OR($A324="",$V324="Đã xử lý",N($U324)=0),"",IF(TDBC&gt;$U324,"Quá "&amp;IF(((TDBC-$U324)*24)&lt;1,MAX(1,ROUND(((TDBC-$U324)*24)*60,0))&amp;" phút",IF(ROUND(((TDBC-$U324)*24),0)&lt;24,ROUND(((TDBC-$U324)*24),0)&amp;" giờ",INT(ROUND(((TDBC-$U324)*24),0)/24)&amp;" ngày"&amp;IF(MOD(ROUND(((TDBC-$U324)*24),0),24)&gt;0," "&amp;MOD(ROUND(((TDBC-$U324)*24),0),24)&amp;" giờ",""))),"Còn "&amp;IF((($U324-TDBC)*24)&lt;1,MAX(1,ROUND((($U324-TDBC)*24)*60,0))&amp;" phút",IF(ROUND((($U324-TDBC)*24),0)&lt;24,ROUND((($U324-TDBC)*24),0)&amp;" giờ",INT(ROUND((($U324-TDBC)*24),0)/24)&amp;" ngày"&amp;IF(MOD(ROUND((($U324-TDBC)*24),0),24)&gt;0," "&amp;MOD(ROUND((($U324-TDBC)*24),0),24)&amp;" giờ","")))))</f>
      </c>
      <c r="AA324" s="220">
        <f>IF($V324="Đã xử lý",_xlfn.MAXIFS('Nhật ký tiến độ'!$B$6:$B$3005,'Nhật ký tiến độ'!$C$6:$C$3005,$A324,'Nhật ký tiến độ'!$E$6:$E$3005,"Đã xử lý"),"")</f>
      </c>
      <c r="AB324" s="223">
        <f>IF($AI324="","",IF($AI324&lt;1,MAX(1,ROUND($AI324*60,0))&amp;" phút",IF(ROUND($AI324,0)&lt;24,ROUND($AI324,0)&amp;" giờ",INT(ROUND($AI324,0)/24)&amp;" ngày"&amp;IF(MOD(ROUND($AI324,0),24)&gt;0," "&amp;MOD(ROUND($AI324,0),24)&amp;" giờ",""))))</f>
      </c>
      <c r="AC324" s="223">
        <f>IF(OR($A324="",N($AH324)=0),"",IF($AI324&lt;&gt;"",IF($AI324&lt;=$AH324,"Trong ước tính","Vượt "&amp;IF(($AI324-$AH324)&lt;1,MAX(1,ROUND(($AI324-$AH324)*60,0))&amp;" phút",IF(ROUND(($AI324-$AH324),0)&lt;24,ROUND(($AI324-$AH324),0)&amp;" giờ",INT(ROUND(($AI324-$AH324),0)/24)&amp;" ngày"&amp;IF(MOD(ROUND(($AI324-$AH324),0),24)&gt;0," "&amp;MOD(ROUND(($AI324-$AH324),0),24)&amp;" giờ","")))),IF(OR($V324="Đã xử lý",N($B324)=0),"",IF((TDBC-$B324)*24&gt;$AH324,"Đã vượt ước tính","Đã dùng "&amp;TEXT((TDBC-$B324)*24/$AH324,"0%")))))</f>
      </c>
      <c r="AD324" s="223">
        <f>IF(N($AO324)=0,"",CHOOSE($AO324,"Nhắc nhở","Cảnh báo","Báo động","Báo động đỏ"))</f>
      </c>
      <c r="AE324" s="223">
        <f>IF(OR(N($AA324)=0,N($U324)=0),"",IF($AA324&lt;=$U324,"Đúng hạn","Trễ hạn"))</f>
      </c>
      <c r="AF324" s="220">
        <f>IF($A324="","",_xlfn.MAXIFS('Nhật ký tiến độ'!$B$6:$B$3005,'Nhật ký tiến độ'!$C$6:$C$3005,$A324))</f>
      </c>
      <c r="AG324" s="223">
        <f>IF($A324="","",IF(COUNTIF('Kế hoạch'!$M$6:$M$305,$A324)=0,"",COUNTIF('Kế hoạch'!$M$6:$M$305,$A324)&amp;" việc"))</f>
      </c>
      <c r="AH324" s="224">
        <f>IF(OR($A324="",N($O324)&lt;=0),"",IF($P324="Giờ",$O324,$O324*24))</f>
      </c>
      <c r="AI324" s="224">
        <f>IF(OR(N($AA324)=0,N($B324)=0),"",IF($AA324&lt;$B324,"",($AA324-$B324)*24))</f>
      </c>
      <c r="AJ324" s="225">
        <f>IF($A324="","",IF(COUNTIF('Nhật ký tiến độ'!$C$6:$C$3005,$A324)=0,0,_xlfn.MAXIFS('Nhật ký tiến độ'!$N$6:$N$3005,'Nhật ký tiến độ'!$C$6:$C$3005,$A324,'Nhật ký tiến độ'!$B$6:$B$3005,_xlfn.MAXIFS('Nhật ký tiến độ'!$B$6:$B$3005,'Nhật ký tiến độ'!$C$6:$C$3005,$A324))))</f>
      </c>
      <c r="AK324" s="225">
        <f>IF(OR($A324="",$V324="Đã xử lý"),"",IF(N($AO324)&gt;0,5-$AO324,IF($J324="Khẩn cấp",5,IF($Y324="Chậm tiến độ",6,IF(OR($Y324="Sắp đến hạn",$J324="Cao"),7,"")))))</f>
      </c>
      <c r="AL324" s="225">
        <f>IF($AK324="","",$AK324*100000+IF(N($U324)=0,99999,INT($U324))+ROW()/100000)</f>
      </c>
      <c r="AM324" s="225">
        <f>IF(OR($A324="",TRIM($K324)="",COUNTIF($K$6:$K324,$K324)&gt;1),0,1)</f>
      </c>
      <c r="AN324" s="225">
        <f>IF($AM324=1,SUM($AM$6:$AM324),"")</f>
      </c>
      <c r="AO324" s="225">
        <f>IF(OR($A324="",$V324="Đã xử lý",N($U324)=0),0,IF(TDBC&lt;=$U324,0,MAX(1,MIN(4,IF((TDBC-$U324)*24&lt;24,1,IF((TDBC-$U324)*24&lt;72,2,IF((TDBC-$U324)*24&lt;168,3,4)))+IFERROR(INDEX({2,1,0,-1},MATCH($J324,{"Khẩn cấp","Cao","Trung bình","Thấp"},0)),0)))))</f>
      </c>
    </row>
    <row r="325">
      <c r="A325" s="216"/>
      <c r="B325" s="217"/>
      <c r="C325" s="218"/>
      <c r="D325" s="218"/>
      <c r="E325" s="218"/>
      <c r="F325" s="218"/>
      <c r="G325" s="216"/>
      <c r="H325" s="218"/>
      <c r="I325" s="218"/>
      <c r="J325" s="216"/>
      <c r="K325" s="218"/>
      <c r="L325" s="218"/>
      <c r="M325" s="218"/>
      <c r="N325" s="218"/>
      <c r="O325" s="219"/>
      <c r="P325" s="216"/>
      <c r="Q325" s="217"/>
      <c r="R325" s="216"/>
      <c r="S325" s="218"/>
      <c r="T325" s="218"/>
      <c r="U325" s="220">
        <f>IF($A325="","",IF(N($Q325)&gt;0,IF(MOD($Q325,1)=0,$Q325+1-1/1440,$Q325),IF(N($B325)=0,"",$B325+IF(N($AH325)&gt;0,$AH325,IFERROR(INDEX(DM_SLA_Gio,MATCH($J325,DM_SLA_Cap,0)),168))/24)))</f>
      </c>
      <c r="V325" s="221">
        <f>IF($A325="","",IF(N($AJ325)=0,"Mới tiếp nhận",INDEX('Nhật ký tiến độ'!$E:$E,$AJ325)))</f>
      </c>
      <c r="W325" s="222">
        <f>IF($A325="","",IF($V325="Đã xử lý",1,IF(N($AJ325)=0,0,N(INDEX('Nhật ký tiến độ'!$D:$D,$AJ325)))))</f>
      </c>
      <c r="X325" s="222">
        <f>IF(OR($A325="",$V325="Đã xử lý",N($U325)=0,N($B325)=0),"",IF(TDBC&lt;=$B325,0,IF(TDBC&gt;=$U325,1,(TDBC-$B325)/($U325-$B325))))</f>
      </c>
      <c r="Y325" s="223">
        <f>IF($A325="","",IF($V325="Đã xử lý","Hoàn thành",IF(N($U325)=0,"Chưa đặt hạn",IF(TDBC&gt;$U325,"Quá hạn",IF(ROUND((N($X325)-$W325)*100,0)&gt;=20,"Chậm tiến độ",IF($U325-TDBC&lt;=1,"Sắp đến hạn","Đúng tiến độ"))))))</f>
      </c>
      <c r="Z325" s="223">
        <f>IF(OR($A325="",$V325="Đã xử lý",N($U325)=0),"",IF(TDBC&gt;$U325,"Quá "&amp;IF(((TDBC-$U325)*24)&lt;1,MAX(1,ROUND(((TDBC-$U325)*24)*60,0))&amp;" phút",IF(ROUND(((TDBC-$U325)*24),0)&lt;24,ROUND(((TDBC-$U325)*24),0)&amp;" giờ",INT(ROUND(((TDBC-$U325)*24),0)/24)&amp;" ngày"&amp;IF(MOD(ROUND(((TDBC-$U325)*24),0),24)&gt;0," "&amp;MOD(ROUND(((TDBC-$U325)*24),0),24)&amp;" giờ",""))),"Còn "&amp;IF((($U325-TDBC)*24)&lt;1,MAX(1,ROUND((($U325-TDBC)*24)*60,0))&amp;" phút",IF(ROUND((($U325-TDBC)*24),0)&lt;24,ROUND((($U325-TDBC)*24),0)&amp;" giờ",INT(ROUND((($U325-TDBC)*24),0)/24)&amp;" ngày"&amp;IF(MOD(ROUND((($U325-TDBC)*24),0),24)&gt;0," "&amp;MOD(ROUND((($U325-TDBC)*24),0),24)&amp;" giờ","")))))</f>
      </c>
      <c r="AA325" s="220">
        <f>IF($V325="Đã xử lý",_xlfn.MAXIFS('Nhật ký tiến độ'!$B$6:$B$3005,'Nhật ký tiến độ'!$C$6:$C$3005,$A325,'Nhật ký tiến độ'!$E$6:$E$3005,"Đã xử lý"),"")</f>
      </c>
      <c r="AB325" s="223">
        <f>IF($AI325="","",IF($AI325&lt;1,MAX(1,ROUND($AI325*60,0))&amp;" phút",IF(ROUND($AI325,0)&lt;24,ROUND($AI325,0)&amp;" giờ",INT(ROUND($AI325,0)/24)&amp;" ngày"&amp;IF(MOD(ROUND($AI325,0),24)&gt;0," "&amp;MOD(ROUND($AI325,0),24)&amp;" giờ",""))))</f>
      </c>
      <c r="AC325" s="223">
        <f>IF(OR($A325="",N($AH325)=0),"",IF($AI325&lt;&gt;"",IF($AI325&lt;=$AH325,"Trong ước tính","Vượt "&amp;IF(($AI325-$AH325)&lt;1,MAX(1,ROUND(($AI325-$AH325)*60,0))&amp;" phút",IF(ROUND(($AI325-$AH325),0)&lt;24,ROUND(($AI325-$AH325),0)&amp;" giờ",INT(ROUND(($AI325-$AH325),0)/24)&amp;" ngày"&amp;IF(MOD(ROUND(($AI325-$AH325),0),24)&gt;0," "&amp;MOD(ROUND(($AI325-$AH325),0),24)&amp;" giờ","")))),IF(OR($V325="Đã xử lý",N($B325)=0),"",IF((TDBC-$B325)*24&gt;$AH325,"Đã vượt ước tính","Đã dùng "&amp;TEXT((TDBC-$B325)*24/$AH325,"0%")))))</f>
      </c>
      <c r="AD325" s="223">
        <f>IF(N($AO325)=0,"",CHOOSE($AO325,"Nhắc nhở","Cảnh báo","Báo động","Báo động đỏ"))</f>
      </c>
      <c r="AE325" s="223">
        <f>IF(OR(N($AA325)=0,N($U325)=0),"",IF($AA325&lt;=$U325,"Đúng hạn","Trễ hạn"))</f>
      </c>
      <c r="AF325" s="220">
        <f>IF($A325="","",_xlfn.MAXIFS('Nhật ký tiến độ'!$B$6:$B$3005,'Nhật ký tiến độ'!$C$6:$C$3005,$A325))</f>
      </c>
      <c r="AG325" s="223">
        <f>IF($A325="","",IF(COUNTIF('Kế hoạch'!$M$6:$M$305,$A325)=0,"",COUNTIF('Kế hoạch'!$M$6:$M$305,$A325)&amp;" việc"))</f>
      </c>
      <c r="AH325" s="224">
        <f>IF(OR($A325="",N($O325)&lt;=0),"",IF($P325="Giờ",$O325,$O325*24))</f>
      </c>
      <c r="AI325" s="224">
        <f>IF(OR(N($AA325)=0,N($B325)=0),"",IF($AA325&lt;$B325,"",($AA325-$B325)*24))</f>
      </c>
      <c r="AJ325" s="225">
        <f>IF($A325="","",IF(COUNTIF('Nhật ký tiến độ'!$C$6:$C$3005,$A325)=0,0,_xlfn.MAXIFS('Nhật ký tiến độ'!$N$6:$N$3005,'Nhật ký tiến độ'!$C$6:$C$3005,$A325,'Nhật ký tiến độ'!$B$6:$B$3005,_xlfn.MAXIFS('Nhật ký tiến độ'!$B$6:$B$3005,'Nhật ký tiến độ'!$C$6:$C$3005,$A325))))</f>
      </c>
      <c r="AK325" s="225">
        <f>IF(OR($A325="",$V325="Đã xử lý"),"",IF(N($AO325)&gt;0,5-$AO325,IF($J325="Khẩn cấp",5,IF($Y325="Chậm tiến độ",6,IF(OR($Y325="Sắp đến hạn",$J325="Cao"),7,"")))))</f>
      </c>
      <c r="AL325" s="225">
        <f>IF($AK325="","",$AK325*100000+IF(N($U325)=0,99999,INT($U325))+ROW()/100000)</f>
      </c>
      <c r="AM325" s="225">
        <f>IF(OR($A325="",TRIM($K325)="",COUNTIF($K$6:$K325,$K325)&gt;1),0,1)</f>
      </c>
      <c r="AN325" s="225">
        <f>IF($AM325=1,SUM($AM$6:$AM325),"")</f>
      </c>
      <c r="AO325" s="225">
        <f>IF(OR($A325="",$V325="Đã xử lý",N($U325)=0),0,IF(TDBC&lt;=$U325,0,MAX(1,MIN(4,IF((TDBC-$U325)*24&lt;24,1,IF((TDBC-$U325)*24&lt;72,2,IF((TDBC-$U325)*24&lt;168,3,4)))+IFERROR(INDEX({2,1,0,-1},MATCH($J325,{"Khẩn cấp","Cao","Trung bình","Thấp"},0)),0)))))</f>
      </c>
    </row>
    <row r="326">
      <c r="A326" s="216"/>
      <c r="B326" s="217"/>
      <c r="C326" s="218"/>
      <c r="D326" s="218"/>
      <c r="E326" s="218"/>
      <c r="F326" s="218"/>
      <c r="G326" s="216"/>
      <c r="H326" s="218"/>
      <c r="I326" s="218"/>
      <c r="J326" s="216"/>
      <c r="K326" s="218"/>
      <c r="L326" s="218"/>
      <c r="M326" s="218"/>
      <c r="N326" s="218"/>
      <c r="O326" s="219"/>
      <c r="P326" s="216"/>
      <c r="Q326" s="217"/>
      <c r="R326" s="216"/>
      <c r="S326" s="218"/>
      <c r="T326" s="218"/>
      <c r="U326" s="220">
        <f>IF($A326="","",IF(N($Q326)&gt;0,IF(MOD($Q326,1)=0,$Q326+1-1/1440,$Q326),IF(N($B326)=0,"",$B326+IF(N($AH326)&gt;0,$AH326,IFERROR(INDEX(DM_SLA_Gio,MATCH($J326,DM_SLA_Cap,0)),168))/24)))</f>
      </c>
      <c r="V326" s="221">
        <f>IF($A326="","",IF(N($AJ326)=0,"Mới tiếp nhận",INDEX('Nhật ký tiến độ'!$E:$E,$AJ326)))</f>
      </c>
      <c r="W326" s="222">
        <f>IF($A326="","",IF($V326="Đã xử lý",1,IF(N($AJ326)=0,0,N(INDEX('Nhật ký tiến độ'!$D:$D,$AJ326)))))</f>
      </c>
      <c r="X326" s="222">
        <f>IF(OR($A326="",$V326="Đã xử lý",N($U326)=0,N($B326)=0),"",IF(TDBC&lt;=$B326,0,IF(TDBC&gt;=$U326,1,(TDBC-$B326)/($U326-$B326))))</f>
      </c>
      <c r="Y326" s="223">
        <f>IF($A326="","",IF($V326="Đã xử lý","Hoàn thành",IF(N($U326)=0,"Chưa đặt hạn",IF(TDBC&gt;$U326,"Quá hạn",IF(ROUND((N($X326)-$W326)*100,0)&gt;=20,"Chậm tiến độ",IF($U326-TDBC&lt;=1,"Sắp đến hạn","Đúng tiến độ"))))))</f>
      </c>
      <c r="Z326" s="223">
        <f>IF(OR($A326="",$V326="Đã xử lý",N($U326)=0),"",IF(TDBC&gt;$U326,"Quá "&amp;IF(((TDBC-$U326)*24)&lt;1,MAX(1,ROUND(((TDBC-$U326)*24)*60,0))&amp;" phút",IF(ROUND(((TDBC-$U326)*24),0)&lt;24,ROUND(((TDBC-$U326)*24),0)&amp;" giờ",INT(ROUND(((TDBC-$U326)*24),0)/24)&amp;" ngày"&amp;IF(MOD(ROUND(((TDBC-$U326)*24),0),24)&gt;0," "&amp;MOD(ROUND(((TDBC-$U326)*24),0),24)&amp;" giờ",""))),"Còn "&amp;IF((($U326-TDBC)*24)&lt;1,MAX(1,ROUND((($U326-TDBC)*24)*60,0))&amp;" phút",IF(ROUND((($U326-TDBC)*24),0)&lt;24,ROUND((($U326-TDBC)*24),0)&amp;" giờ",INT(ROUND((($U326-TDBC)*24),0)/24)&amp;" ngày"&amp;IF(MOD(ROUND((($U326-TDBC)*24),0),24)&gt;0," "&amp;MOD(ROUND((($U326-TDBC)*24),0),24)&amp;" giờ","")))))</f>
      </c>
      <c r="AA326" s="220">
        <f>IF($V326="Đã xử lý",_xlfn.MAXIFS('Nhật ký tiến độ'!$B$6:$B$3005,'Nhật ký tiến độ'!$C$6:$C$3005,$A326,'Nhật ký tiến độ'!$E$6:$E$3005,"Đã xử lý"),"")</f>
      </c>
      <c r="AB326" s="223">
        <f>IF($AI326="","",IF($AI326&lt;1,MAX(1,ROUND($AI326*60,0))&amp;" phút",IF(ROUND($AI326,0)&lt;24,ROUND($AI326,0)&amp;" giờ",INT(ROUND($AI326,0)/24)&amp;" ngày"&amp;IF(MOD(ROUND($AI326,0),24)&gt;0," "&amp;MOD(ROUND($AI326,0),24)&amp;" giờ",""))))</f>
      </c>
      <c r="AC326" s="223">
        <f>IF(OR($A326="",N($AH326)=0),"",IF($AI326&lt;&gt;"",IF($AI326&lt;=$AH326,"Trong ước tính","Vượt "&amp;IF(($AI326-$AH326)&lt;1,MAX(1,ROUND(($AI326-$AH326)*60,0))&amp;" phút",IF(ROUND(($AI326-$AH326),0)&lt;24,ROUND(($AI326-$AH326),0)&amp;" giờ",INT(ROUND(($AI326-$AH326),0)/24)&amp;" ngày"&amp;IF(MOD(ROUND(($AI326-$AH326),0),24)&gt;0," "&amp;MOD(ROUND(($AI326-$AH326),0),24)&amp;" giờ","")))),IF(OR($V326="Đã xử lý",N($B326)=0),"",IF((TDBC-$B326)*24&gt;$AH326,"Đã vượt ước tính","Đã dùng "&amp;TEXT((TDBC-$B326)*24/$AH326,"0%")))))</f>
      </c>
      <c r="AD326" s="223">
        <f>IF(N($AO326)=0,"",CHOOSE($AO326,"Nhắc nhở","Cảnh báo","Báo động","Báo động đỏ"))</f>
      </c>
      <c r="AE326" s="223">
        <f>IF(OR(N($AA326)=0,N($U326)=0),"",IF($AA326&lt;=$U326,"Đúng hạn","Trễ hạn"))</f>
      </c>
      <c r="AF326" s="220">
        <f>IF($A326="","",_xlfn.MAXIFS('Nhật ký tiến độ'!$B$6:$B$3005,'Nhật ký tiến độ'!$C$6:$C$3005,$A326))</f>
      </c>
      <c r="AG326" s="223">
        <f>IF($A326="","",IF(COUNTIF('Kế hoạch'!$M$6:$M$305,$A326)=0,"",COUNTIF('Kế hoạch'!$M$6:$M$305,$A326)&amp;" việc"))</f>
      </c>
      <c r="AH326" s="224">
        <f>IF(OR($A326="",N($O326)&lt;=0),"",IF($P326="Giờ",$O326,$O326*24))</f>
      </c>
      <c r="AI326" s="224">
        <f>IF(OR(N($AA326)=0,N($B326)=0),"",IF($AA326&lt;$B326,"",($AA326-$B326)*24))</f>
      </c>
      <c r="AJ326" s="225">
        <f>IF($A326="","",IF(COUNTIF('Nhật ký tiến độ'!$C$6:$C$3005,$A326)=0,0,_xlfn.MAXIFS('Nhật ký tiến độ'!$N$6:$N$3005,'Nhật ký tiến độ'!$C$6:$C$3005,$A326,'Nhật ký tiến độ'!$B$6:$B$3005,_xlfn.MAXIFS('Nhật ký tiến độ'!$B$6:$B$3005,'Nhật ký tiến độ'!$C$6:$C$3005,$A326))))</f>
      </c>
      <c r="AK326" s="225">
        <f>IF(OR($A326="",$V326="Đã xử lý"),"",IF(N($AO326)&gt;0,5-$AO326,IF($J326="Khẩn cấp",5,IF($Y326="Chậm tiến độ",6,IF(OR($Y326="Sắp đến hạn",$J326="Cao"),7,"")))))</f>
      </c>
      <c r="AL326" s="225">
        <f>IF($AK326="","",$AK326*100000+IF(N($U326)=0,99999,INT($U326))+ROW()/100000)</f>
      </c>
      <c r="AM326" s="225">
        <f>IF(OR($A326="",TRIM($K326)="",COUNTIF($K$6:$K326,$K326)&gt;1),0,1)</f>
      </c>
      <c r="AN326" s="225">
        <f>IF($AM326=1,SUM($AM$6:$AM326),"")</f>
      </c>
      <c r="AO326" s="225">
        <f>IF(OR($A326="",$V326="Đã xử lý",N($U326)=0),0,IF(TDBC&lt;=$U326,0,MAX(1,MIN(4,IF((TDBC-$U326)*24&lt;24,1,IF((TDBC-$U326)*24&lt;72,2,IF((TDBC-$U326)*24&lt;168,3,4)))+IFERROR(INDEX({2,1,0,-1},MATCH($J326,{"Khẩn cấp","Cao","Trung bình","Thấp"},0)),0)))))</f>
      </c>
    </row>
    <row r="327">
      <c r="A327" s="216"/>
      <c r="B327" s="217"/>
      <c r="C327" s="218"/>
      <c r="D327" s="218"/>
      <c r="E327" s="218"/>
      <c r="F327" s="218"/>
      <c r="G327" s="216"/>
      <c r="H327" s="218"/>
      <c r="I327" s="218"/>
      <c r="J327" s="216"/>
      <c r="K327" s="218"/>
      <c r="L327" s="218"/>
      <c r="M327" s="218"/>
      <c r="N327" s="218"/>
      <c r="O327" s="219"/>
      <c r="P327" s="216"/>
      <c r="Q327" s="217"/>
      <c r="R327" s="216"/>
      <c r="S327" s="218"/>
      <c r="T327" s="218"/>
      <c r="U327" s="220">
        <f>IF($A327="","",IF(N($Q327)&gt;0,IF(MOD($Q327,1)=0,$Q327+1-1/1440,$Q327),IF(N($B327)=0,"",$B327+IF(N($AH327)&gt;0,$AH327,IFERROR(INDEX(DM_SLA_Gio,MATCH($J327,DM_SLA_Cap,0)),168))/24)))</f>
      </c>
      <c r="V327" s="221">
        <f>IF($A327="","",IF(N($AJ327)=0,"Mới tiếp nhận",INDEX('Nhật ký tiến độ'!$E:$E,$AJ327)))</f>
      </c>
      <c r="W327" s="222">
        <f>IF($A327="","",IF($V327="Đã xử lý",1,IF(N($AJ327)=0,0,N(INDEX('Nhật ký tiến độ'!$D:$D,$AJ327)))))</f>
      </c>
      <c r="X327" s="222">
        <f>IF(OR($A327="",$V327="Đã xử lý",N($U327)=0,N($B327)=0),"",IF(TDBC&lt;=$B327,0,IF(TDBC&gt;=$U327,1,(TDBC-$B327)/($U327-$B327))))</f>
      </c>
      <c r="Y327" s="223">
        <f>IF($A327="","",IF($V327="Đã xử lý","Hoàn thành",IF(N($U327)=0,"Chưa đặt hạn",IF(TDBC&gt;$U327,"Quá hạn",IF(ROUND((N($X327)-$W327)*100,0)&gt;=20,"Chậm tiến độ",IF($U327-TDBC&lt;=1,"Sắp đến hạn","Đúng tiến độ"))))))</f>
      </c>
      <c r="Z327" s="223">
        <f>IF(OR($A327="",$V327="Đã xử lý",N($U327)=0),"",IF(TDBC&gt;$U327,"Quá "&amp;IF(((TDBC-$U327)*24)&lt;1,MAX(1,ROUND(((TDBC-$U327)*24)*60,0))&amp;" phút",IF(ROUND(((TDBC-$U327)*24),0)&lt;24,ROUND(((TDBC-$U327)*24),0)&amp;" giờ",INT(ROUND(((TDBC-$U327)*24),0)/24)&amp;" ngày"&amp;IF(MOD(ROUND(((TDBC-$U327)*24),0),24)&gt;0," "&amp;MOD(ROUND(((TDBC-$U327)*24),0),24)&amp;" giờ",""))),"Còn "&amp;IF((($U327-TDBC)*24)&lt;1,MAX(1,ROUND((($U327-TDBC)*24)*60,0))&amp;" phút",IF(ROUND((($U327-TDBC)*24),0)&lt;24,ROUND((($U327-TDBC)*24),0)&amp;" giờ",INT(ROUND((($U327-TDBC)*24),0)/24)&amp;" ngày"&amp;IF(MOD(ROUND((($U327-TDBC)*24),0),24)&gt;0," "&amp;MOD(ROUND((($U327-TDBC)*24),0),24)&amp;" giờ","")))))</f>
      </c>
      <c r="AA327" s="220">
        <f>IF($V327="Đã xử lý",_xlfn.MAXIFS('Nhật ký tiến độ'!$B$6:$B$3005,'Nhật ký tiến độ'!$C$6:$C$3005,$A327,'Nhật ký tiến độ'!$E$6:$E$3005,"Đã xử lý"),"")</f>
      </c>
      <c r="AB327" s="223">
        <f>IF($AI327="","",IF($AI327&lt;1,MAX(1,ROUND($AI327*60,0))&amp;" phút",IF(ROUND($AI327,0)&lt;24,ROUND($AI327,0)&amp;" giờ",INT(ROUND($AI327,0)/24)&amp;" ngày"&amp;IF(MOD(ROUND($AI327,0),24)&gt;0," "&amp;MOD(ROUND($AI327,0),24)&amp;" giờ",""))))</f>
      </c>
      <c r="AC327" s="223">
        <f>IF(OR($A327="",N($AH327)=0),"",IF($AI327&lt;&gt;"",IF($AI327&lt;=$AH327,"Trong ước tính","Vượt "&amp;IF(($AI327-$AH327)&lt;1,MAX(1,ROUND(($AI327-$AH327)*60,0))&amp;" phút",IF(ROUND(($AI327-$AH327),0)&lt;24,ROUND(($AI327-$AH327),0)&amp;" giờ",INT(ROUND(($AI327-$AH327),0)/24)&amp;" ngày"&amp;IF(MOD(ROUND(($AI327-$AH327),0),24)&gt;0," "&amp;MOD(ROUND(($AI327-$AH327),0),24)&amp;" giờ","")))),IF(OR($V327="Đã xử lý",N($B327)=0),"",IF((TDBC-$B327)*24&gt;$AH327,"Đã vượt ước tính","Đã dùng "&amp;TEXT((TDBC-$B327)*24/$AH327,"0%")))))</f>
      </c>
      <c r="AD327" s="223">
        <f>IF(N($AO327)=0,"",CHOOSE($AO327,"Nhắc nhở","Cảnh báo","Báo động","Báo động đỏ"))</f>
      </c>
      <c r="AE327" s="223">
        <f>IF(OR(N($AA327)=0,N($U327)=0),"",IF($AA327&lt;=$U327,"Đúng hạn","Trễ hạn"))</f>
      </c>
      <c r="AF327" s="220">
        <f>IF($A327="","",_xlfn.MAXIFS('Nhật ký tiến độ'!$B$6:$B$3005,'Nhật ký tiến độ'!$C$6:$C$3005,$A327))</f>
      </c>
      <c r="AG327" s="223">
        <f>IF($A327="","",IF(COUNTIF('Kế hoạch'!$M$6:$M$305,$A327)=0,"",COUNTIF('Kế hoạch'!$M$6:$M$305,$A327)&amp;" việc"))</f>
      </c>
      <c r="AH327" s="224">
        <f>IF(OR($A327="",N($O327)&lt;=0),"",IF($P327="Giờ",$O327,$O327*24))</f>
      </c>
      <c r="AI327" s="224">
        <f>IF(OR(N($AA327)=0,N($B327)=0),"",IF($AA327&lt;$B327,"",($AA327-$B327)*24))</f>
      </c>
      <c r="AJ327" s="225">
        <f>IF($A327="","",IF(COUNTIF('Nhật ký tiến độ'!$C$6:$C$3005,$A327)=0,0,_xlfn.MAXIFS('Nhật ký tiến độ'!$N$6:$N$3005,'Nhật ký tiến độ'!$C$6:$C$3005,$A327,'Nhật ký tiến độ'!$B$6:$B$3005,_xlfn.MAXIFS('Nhật ký tiến độ'!$B$6:$B$3005,'Nhật ký tiến độ'!$C$6:$C$3005,$A327))))</f>
      </c>
      <c r="AK327" s="225">
        <f>IF(OR($A327="",$V327="Đã xử lý"),"",IF(N($AO327)&gt;0,5-$AO327,IF($J327="Khẩn cấp",5,IF($Y327="Chậm tiến độ",6,IF(OR($Y327="Sắp đến hạn",$J327="Cao"),7,"")))))</f>
      </c>
      <c r="AL327" s="225">
        <f>IF($AK327="","",$AK327*100000+IF(N($U327)=0,99999,INT($U327))+ROW()/100000)</f>
      </c>
      <c r="AM327" s="225">
        <f>IF(OR($A327="",TRIM($K327)="",COUNTIF($K$6:$K327,$K327)&gt;1),0,1)</f>
      </c>
      <c r="AN327" s="225">
        <f>IF($AM327=1,SUM($AM$6:$AM327),"")</f>
      </c>
      <c r="AO327" s="225">
        <f>IF(OR($A327="",$V327="Đã xử lý",N($U327)=0),0,IF(TDBC&lt;=$U327,0,MAX(1,MIN(4,IF((TDBC-$U327)*24&lt;24,1,IF((TDBC-$U327)*24&lt;72,2,IF((TDBC-$U327)*24&lt;168,3,4)))+IFERROR(INDEX({2,1,0,-1},MATCH($J327,{"Khẩn cấp","Cao","Trung bình","Thấp"},0)),0)))))</f>
      </c>
    </row>
    <row r="328">
      <c r="A328" s="216"/>
      <c r="B328" s="217"/>
      <c r="C328" s="218"/>
      <c r="D328" s="218"/>
      <c r="E328" s="218"/>
      <c r="F328" s="218"/>
      <c r="G328" s="216"/>
      <c r="H328" s="218"/>
      <c r="I328" s="218"/>
      <c r="J328" s="216"/>
      <c r="K328" s="218"/>
      <c r="L328" s="218"/>
      <c r="M328" s="218"/>
      <c r="N328" s="218"/>
      <c r="O328" s="219"/>
      <c r="P328" s="216"/>
      <c r="Q328" s="217"/>
      <c r="R328" s="216"/>
      <c r="S328" s="218"/>
      <c r="T328" s="218"/>
      <c r="U328" s="220">
        <f>IF($A328="","",IF(N($Q328)&gt;0,IF(MOD($Q328,1)=0,$Q328+1-1/1440,$Q328),IF(N($B328)=0,"",$B328+IF(N($AH328)&gt;0,$AH328,IFERROR(INDEX(DM_SLA_Gio,MATCH($J328,DM_SLA_Cap,0)),168))/24)))</f>
      </c>
      <c r="V328" s="221">
        <f>IF($A328="","",IF(N($AJ328)=0,"Mới tiếp nhận",INDEX('Nhật ký tiến độ'!$E:$E,$AJ328)))</f>
      </c>
      <c r="W328" s="222">
        <f>IF($A328="","",IF($V328="Đã xử lý",1,IF(N($AJ328)=0,0,N(INDEX('Nhật ký tiến độ'!$D:$D,$AJ328)))))</f>
      </c>
      <c r="X328" s="222">
        <f>IF(OR($A328="",$V328="Đã xử lý",N($U328)=0,N($B328)=0),"",IF(TDBC&lt;=$B328,0,IF(TDBC&gt;=$U328,1,(TDBC-$B328)/($U328-$B328))))</f>
      </c>
      <c r="Y328" s="223">
        <f>IF($A328="","",IF($V328="Đã xử lý","Hoàn thành",IF(N($U328)=0,"Chưa đặt hạn",IF(TDBC&gt;$U328,"Quá hạn",IF(ROUND((N($X328)-$W328)*100,0)&gt;=20,"Chậm tiến độ",IF($U328-TDBC&lt;=1,"Sắp đến hạn","Đúng tiến độ"))))))</f>
      </c>
      <c r="Z328" s="223">
        <f>IF(OR($A328="",$V328="Đã xử lý",N($U328)=0),"",IF(TDBC&gt;$U328,"Quá "&amp;IF(((TDBC-$U328)*24)&lt;1,MAX(1,ROUND(((TDBC-$U328)*24)*60,0))&amp;" phút",IF(ROUND(((TDBC-$U328)*24),0)&lt;24,ROUND(((TDBC-$U328)*24),0)&amp;" giờ",INT(ROUND(((TDBC-$U328)*24),0)/24)&amp;" ngày"&amp;IF(MOD(ROUND(((TDBC-$U328)*24),0),24)&gt;0," "&amp;MOD(ROUND(((TDBC-$U328)*24),0),24)&amp;" giờ",""))),"Còn "&amp;IF((($U328-TDBC)*24)&lt;1,MAX(1,ROUND((($U328-TDBC)*24)*60,0))&amp;" phút",IF(ROUND((($U328-TDBC)*24),0)&lt;24,ROUND((($U328-TDBC)*24),0)&amp;" giờ",INT(ROUND((($U328-TDBC)*24),0)/24)&amp;" ngày"&amp;IF(MOD(ROUND((($U328-TDBC)*24),0),24)&gt;0," "&amp;MOD(ROUND((($U328-TDBC)*24),0),24)&amp;" giờ","")))))</f>
      </c>
      <c r="AA328" s="220">
        <f>IF($V328="Đã xử lý",_xlfn.MAXIFS('Nhật ký tiến độ'!$B$6:$B$3005,'Nhật ký tiến độ'!$C$6:$C$3005,$A328,'Nhật ký tiến độ'!$E$6:$E$3005,"Đã xử lý"),"")</f>
      </c>
      <c r="AB328" s="223">
        <f>IF($AI328="","",IF($AI328&lt;1,MAX(1,ROUND($AI328*60,0))&amp;" phút",IF(ROUND($AI328,0)&lt;24,ROUND($AI328,0)&amp;" giờ",INT(ROUND($AI328,0)/24)&amp;" ngày"&amp;IF(MOD(ROUND($AI328,0),24)&gt;0," "&amp;MOD(ROUND($AI328,0),24)&amp;" giờ",""))))</f>
      </c>
      <c r="AC328" s="223">
        <f>IF(OR($A328="",N($AH328)=0),"",IF($AI328&lt;&gt;"",IF($AI328&lt;=$AH328,"Trong ước tính","Vượt "&amp;IF(($AI328-$AH328)&lt;1,MAX(1,ROUND(($AI328-$AH328)*60,0))&amp;" phút",IF(ROUND(($AI328-$AH328),0)&lt;24,ROUND(($AI328-$AH328),0)&amp;" giờ",INT(ROUND(($AI328-$AH328),0)/24)&amp;" ngày"&amp;IF(MOD(ROUND(($AI328-$AH328),0),24)&gt;0," "&amp;MOD(ROUND(($AI328-$AH328),0),24)&amp;" giờ","")))),IF(OR($V328="Đã xử lý",N($B328)=0),"",IF((TDBC-$B328)*24&gt;$AH328,"Đã vượt ước tính","Đã dùng "&amp;TEXT((TDBC-$B328)*24/$AH328,"0%")))))</f>
      </c>
      <c r="AD328" s="223">
        <f>IF(N($AO328)=0,"",CHOOSE($AO328,"Nhắc nhở","Cảnh báo","Báo động","Báo động đỏ"))</f>
      </c>
      <c r="AE328" s="223">
        <f>IF(OR(N($AA328)=0,N($U328)=0),"",IF($AA328&lt;=$U328,"Đúng hạn","Trễ hạn"))</f>
      </c>
      <c r="AF328" s="220">
        <f>IF($A328="","",_xlfn.MAXIFS('Nhật ký tiến độ'!$B$6:$B$3005,'Nhật ký tiến độ'!$C$6:$C$3005,$A328))</f>
      </c>
      <c r="AG328" s="223">
        <f>IF($A328="","",IF(COUNTIF('Kế hoạch'!$M$6:$M$305,$A328)=0,"",COUNTIF('Kế hoạch'!$M$6:$M$305,$A328)&amp;" việc"))</f>
      </c>
      <c r="AH328" s="224">
        <f>IF(OR($A328="",N($O328)&lt;=0),"",IF($P328="Giờ",$O328,$O328*24))</f>
      </c>
      <c r="AI328" s="224">
        <f>IF(OR(N($AA328)=0,N($B328)=0),"",IF($AA328&lt;$B328,"",($AA328-$B328)*24))</f>
      </c>
      <c r="AJ328" s="225">
        <f>IF($A328="","",IF(COUNTIF('Nhật ký tiến độ'!$C$6:$C$3005,$A328)=0,0,_xlfn.MAXIFS('Nhật ký tiến độ'!$N$6:$N$3005,'Nhật ký tiến độ'!$C$6:$C$3005,$A328,'Nhật ký tiến độ'!$B$6:$B$3005,_xlfn.MAXIFS('Nhật ký tiến độ'!$B$6:$B$3005,'Nhật ký tiến độ'!$C$6:$C$3005,$A328))))</f>
      </c>
      <c r="AK328" s="225">
        <f>IF(OR($A328="",$V328="Đã xử lý"),"",IF(N($AO328)&gt;0,5-$AO328,IF($J328="Khẩn cấp",5,IF($Y328="Chậm tiến độ",6,IF(OR($Y328="Sắp đến hạn",$J328="Cao"),7,"")))))</f>
      </c>
      <c r="AL328" s="225">
        <f>IF($AK328="","",$AK328*100000+IF(N($U328)=0,99999,INT($U328))+ROW()/100000)</f>
      </c>
      <c r="AM328" s="225">
        <f>IF(OR($A328="",TRIM($K328)="",COUNTIF($K$6:$K328,$K328)&gt;1),0,1)</f>
      </c>
      <c r="AN328" s="225">
        <f>IF($AM328=1,SUM($AM$6:$AM328),"")</f>
      </c>
      <c r="AO328" s="225">
        <f>IF(OR($A328="",$V328="Đã xử lý",N($U328)=0),0,IF(TDBC&lt;=$U328,0,MAX(1,MIN(4,IF((TDBC-$U328)*24&lt;24,1,IF((TDBC-$U328)*24&lt;72,2,IF((TDBC-$U328)*24&lt;168,3,4)))+IFERROR(INDEX({2,1,0,-1},MATCH($J328,{"Khẩn cấp","Cao","Trung bình","Thấp"},0)),0)))))</f>
      </c>
    </row>
    <row r="329">
      <c r="A329" s="216"/>
      <c r="B329" s="217"/>
      <c r="C329" s="218"/>
      <c r="D329" s="218"/>
      <c r="E329" s="218"/>
      <c r="F329" s="218"/>
      <c r="G329" s="216"/>
      <c r="H329" s="218"/>
      <c r="I329" s="218"/>
      <c r="J329" s="216"/>
      <c r="K329" s="218"/>
      <c r="L329" s="218"/>
      <c r="M329" s="218"/>
      <c r="N329" s="218"/>
      <c r="O329" s="219"/>
      <c r="P329" s="216"/>
      <c r="Q329" s="217"/>
      <c r="R329" s="216"/>
      <c r="S329" s="218"/>
      <c r="T329" s="218"/>
      <c r="U329" s="220">
        <f>IF($A329="","",IF(N($Q329)&gt;0,IF(MOD($Q329,1)=0,$Q329+1-1/1440,$Q329),IF(N($B329)=0,"",$B329+IF(N($AH329)&gt;0,$AH329,IFERROR(INDEX(DM_SLA_Gio,MATCH($J329,DM_SLA_Cap,0)),168))/24)))</f>
      </c>
      <c r="V329" s="221">
        <f>IF($A329="","",IF(N($AJ329)=0,"Mới tiếp nhận",INDEX('Nhật ký tiến độ'!$E:$E,$AJ329)))</f>
      </c>
      <c r="W329" s="222">
        <f>IF($A329="","",IF($V329="Đã xử lý",1,IF(N($AJ329)=0,0,N(INDEX('Nhật ký tiến độ'!$D:$D,$AJ329)))))</f>
      </c>
      <c r="X329" s="222">
        <f>IF(OR($A329="",$V329="Đã xử lý",N($U329)=0,N($B329)=0),"",IF(TDBC&lt;=$B329,0,IF(TDBC&gt;=$U329,1,(TDBC-$B329)/($U329-$B329))))</f>
      </c>
      <c r="Y329" s="223">
        <f>IF($A329="","",IF($V329="Đã xử lý","Hoàn thành",IF(N($U329)=0,"Chưa đặt hạn",IF(TDBC&gt;$U329,"Quá hạn",IF(ROUND((N($X329)-$W329)*100,0)&gt;=20,"Chậm tiến độ",IF($U329-TDBC&lt;=1,"Sắp đến hạn","Đúng tiến độ"))))))</f>
      </c>
      <c r="Z329" s="223">
        <f>IF(OR($A329="",$V329="Đã xử lý",N($U329)=0),"",IF(TDBC&gt;$U329,"Quá "&amp;IF(((TDBC-$U329)*24)&lt;1,MAX(1,ROUND(((TDBC-$U329)*24)*60,0))&amp;" phút",IF(ROUND(((TDBC-$U329)*24),0)&lt;24,ROUND(((TDBC-$U329)*24),0)&amp;" giờ",INT(ROUND(((TDBC-$U329)*24),0)/24)&amp;" ngày"&amp;IF(MOD(ROUND(((TDBC-$U329)*24),0),24)&gt;0," "&amp;MOD(ROUND(((TDBC-$U329)*24),0),24)&amp;" giờ",""))),"Còn "&amp;IF((($U329-TDBC)*24)&lt;1,MAX(1,ROUND((($U329-TDBC)*24)*60,0))&amp;" phút",IF(ROUND((($U329-TDBC)*24),0)&lt;24,ROUND((($U329-TDBC)*24),0)&amp;" giờ",INT(ROUND((($U329-TDBC)*24),0)/24)&amp;" ngày"&amp;IF(MOD(ROUND((($U329-TDBC)*24),0),24)&gt;0," "&amp;MOD(ROUND((($U329-TDBC)*24),0),24)&amp;" giờ","")))))</f>
      </c>
      <c r="AA329" s="220">
        <f>IF($V329="Đã xử lý",_xlfn.MAXIFS('Nhật ký tiến độ'!$B$6:$B$3005,'Nhật ký tiến độ'!$C$6:$C$3005,$A329,'Nhật ký tiến độ'!$E$6:$E$3005,"Đã xử lý"),"")</f>
      </c>
      <c r="AB329" s="223">
        <f>IF($AI329="","",IF($AI329&lt;1,MAX(1,ROUND($AI329*60,0))&amp;" phút",IF(ROUND($AI329,0)&lt;24,ROUND($AI329,0)&amp;" giờ",INT(ROUND($AI329,0)/24)&amp;" ngày"&amp;IF(MOD(ROUND($AI329,0),24)&gt;0," "&amp;MOD(ROUND($AI329,0),24)&amp;" giờ",""))))</f>
      </c>
      <c r="AC329" s="223">
        <f>IF(OR($A329="",N($AH329)=0),"",IF($AI329&lt;&gt;"",IF($AI329&lt;=$AH329,"Trong ước tính","Vượt "&amp;IF(($AI329-$AH329)&lt;1,MAX(1,ROUND(($AI329-$AH329)*60,0))&amp;" phút",IF(ROUND(($AI329-$AH329),0)&lt;24,ROUND(($AI329-$AH329),0)&amp;" giờ",INT(ROUND(($AI329-$AH329),0)/24)&amp;" ngày"&amp;IF(MOD(ROUND(($AI329-$AH329),0),24)&gt;0," "&amp;MOD(ROUND(($AI329-$AH329),0),24)&amp;" giờ","")))),IF(OR($V329="Đã xử lý",N($B329)=0),"",IF((TDBC-$B329)*24&gt;$AH329,"Đã vượt ước tính","Đã dùng "&amp;TEXT((TDBC-$B329)*24/$AH329,"0%")))))</f>
      </c>
      <c r="AD329" s="223">
        <f>IF(N($AO329)=0,"",CHOOSE($AO329,"Nhắc nhở","Cảnh báo","Báo động","Báo động đỏ"))</f>
      </c>
      <c r="AE329" s="223">
        <f>IF(OR(N($AA329)=0,N($U329)=0),"",IF($AA329&lt;=$U329,"Đúng hạn","Trễ hạn"))</f>
      </c>
      <c r="AF329" s="220">
        <f>IF($A329="","",_xlfn.MAXIFS('Nhật ký tiến độ'!$B$6:$B$3005,'Nhật ký tiến độ'!$C$6:$C$3005,$A329))</f>
      </c>
      <c r="AG329" s="223">
        <f>IF($A329="","",IF(COUNTIF('Kế hoạch'!$M$6:$M$305,$A329)=0,"",COUNTIF('Kế hoạch'!$M$6:$M$305,$A329)&amp;" việc"))</f>
      </c>
      <c r="AH329" s="224">
        <f>IF(OR($A329="",N($O329)&lt;=0),"",IF($P329="Giờ",$O329,$O329*24))</f>
      </c>
      <c r="AI329" s="224">
        <f>IF(OR(N($AA329)=0,N($B329)=0),"",IF($AA329&lt;$B329,"",($AA329-$B329)*24))</f>
      </c>
      <c r="AJ329" s="225">
        <f>IF($A329="","",IF(COUNTIF('Nhật ký tiến độ'!$C$6:$C$3005,$A329)=0,0,_xlfn.MAXIFS('Nhật ký tiến độ'!$N$6:$N$3005,'Nhật ký tiến độ'!$C$6:$C$3005,$A329,'Nhật ký tiến độ'!$B$6:$B$3005,_xlfn.MAXIFS('Nhật ký tiến độ'!$B$6:$B$3005,'Nhật ký tiến độ'!$C$6:$C$3005,$A329))))</f>
      </c>
      <c r="AK329" s="225">
        <f>IF(OR($A329="",$V329="Đã xử lý"),"",IF(N($AO329)&gt;0,5-$AO329,IF($J329="Khẩn cấp",5,IF($Y329="Chậm tiến độ",6,IF(OR($Y329="Sắp đến hạn",$J329="Cao"),7,"")))))</f>
      </c>
      <c r="AL329" s="225">
        <f>IF($AK329="","",$AK329*100000+IF(N($U329)=0,99999,INT($U329))+ROW()/100000)</f>
      </c>
      <c r="AM329" s="225">
        <f>IF(OR($A329="",TRIM($K329)="",COUNTIF($K$6:$K329,$K329)&gt;1),0,1)</f>
      </c>
      <c r="AN329" s="225">
        <f>IF($AM329=1,SUM($AM$6:$AM329),"")</f>
      </c>
      <c r="AO329" s="225">
        <f>IF(OR($A329="",$V329="Đã xử lý",N($U329)=0),0,IF(TDBC&lt;=$U329,0,MAX(1,MIN(4,IF((TDBC-$U329)*24&lt;24,1,IF((TDBC-$U329)*24&lt;72,2,IF((TDBC-$U329)*24&lt;168,3,4)))+IFERROR(INDEX({2,1,0,-1},MATCH($J329,{"Khẩn cấp","Cao","Trung bình","Thấp"},0)),0)))))</f>
      </c>
    </row>
    <row r="330">
      <c r="A330" s="216"/>
      <c r="B330" s="217"/>
      <c r="C330" s="218"/>
      <c r="D330" s="218"/>
      <c r="E330" s="218"/>
      <c r="F330" s="218"/>
      <c r="G330" s="216"/>
      <c r="H330" s="218"/>
      <c r="I330" s="218"/>
      <c r="J330" s="216"/>
      <c r="K330" s="218"/>
      <c r="L330" s="218"/>
      <c r="M330" s="218"/>
      <c r="N330" s="218"/>
      <c r="O330" s="219"/>
      <c r="P330" s="216"/>
      <c r="Q330" s="217"/>
      <c r="R330" s="216"/>
      <c r="S330" s="218"/>
      <c r="T330" s="218"/>
      <c r="U330" s="220">
        <f>IF($A330="","",IF(N($Q330)&gt;0,IF(MOD($Q330,1)=0,$Q330+1-1/1440,$Q330),IF(N($B330)=0,"",$B330+IF(N($AH330)&gt;0,$AH330,IFERROR(INDEX(DM_SLA_Gio,MATCH($J330,DM_SLA_Cap,0)),168))/24)))</f>
      </c>
      <c r="V330" s="221">
        <f>IF($A330="","",IF(N($AJ330)=0,"Mới tiếp nhận",INDEX('Nhật ký tiến độ'!$E:$E,$AJ330)))</f>
      </c>
      <c r="W330" s="222">
        <f>IF($A330="","",IF($V330="Đã xử lý",1,IF(N($AJ330)=0,0,N(INDEX('Nhật ký tiến độ'!$D:$D,$AJ330)))))</f>
      </c>
      <c r="X330" s="222">
        <f>IF(OR($A330="",$V330="Đã xử lý",N($U330)=0,N($B330)=0),"",IF(TDBC&lt;=$B330,0,IF(TDBC&gt;=$U330,1,(TDBC-$B330)/($U330-$B330))))</f>
      </c>
      <c r="Y330" s="223">
        <f>IF($A330="","",IF($V330="Đã xử lý","Hoàn thành",IF(N($U330)=0,"Chưa đặt hạn",IF(TDBC&gt;$U330,"Quá hạn",IF(ROUND((N($X330)-$W330)*100,0)&gt;=20,"Chậm tiến độ",IF($U330-TDBC&lt;=1,"Sắp đến hạn","Đúng tiến độ"))))))</f>
      </c>
      <c r="Z330" s="223">
        <f>IF(OR($A330="",$V330="Đã xử lý",N($U330)=0),"",IF(TDBC&gt;$U330,"Quá "&amp;IF(((TDBC-$U330)*24)&lt;1,MAX(1,ROUND(((TDBC-$U330)*24)*60,0))&amp;" phút",IF(ROUND(((TDBC-$U330)*24),0)&lt;24,ROUND(((TDBC-$U330)*24),0)&amp;" giờ",INT(ROUND(((TDBC-$U330)*24),0)/24)&amp;" ngày"&amp;IF(MOD(ROUND(((TDBC-$U330)*24),0),24)&gt;0," "&amp;MOD(ROUND(((TDBC-$U330)*24),0),24)&amp;" giờ",""))),"Còn "&amp;IF((($U330-TDBC)*24)&lt;1,MAX(1,ROUND((($U330-TDBC)*24)*60,0))&amp;" phút",IF(ROUND((($U330-TDBC)*24),0)&lt;24,ROUND((($U330-TDBC)*24),0)&amp;" giờ",INT(ROUND((($U330-TDBC)*24),0)/24)&amp;" ngày"&amp;IF(MOD(ROUND((($U330-TDBC)*24),0),24)&gt;0," "&amp;MOD(ROUND((($U330-TDBC)*24),0),24)&amp;" giờ","")))))</f>
      </c>
      <c r="AA330" s="220">
        <f>IF($V330="Đã xử lý",_xlfn.MAXIFS('Nhật ký tiến độ'!$B$6:$B$3005,'Nhật ký tiến độ'!$C$6:$C$3005,$A330,'Nhật ký tiến độ'!$E$6:$E$3005,"Đã xử lý"),"")</f>
      </c>
      <c r="AB330" s="223">
        <f>IF($AI330="","",IF($AI330&lt;1,MAX(1,ROUND($AI330*60,0))&amp;" phút",IF(ROUND($AI330,0)&lt;24,ROUND($AI330,0)&amp;" giờ",INT(ROUND($AI330,0)/24)&amp;" ngày"&amp;IF(MOD(ROUND($AI330,0),24)&gt;0," "&amp;MOD(ROUND($AI330,0),24)&amp;" giờ",""))))</f>
      </c>
      <c r="AC330" s="223">
        <f>IF(OR($A330="",N($AH330)=0),"",IF($AI330&lt;&gt;"",IF($AI330&lt;=$AH330,"Trong ước tính","Vượt "&amp;IF(($AI330-$AH330)&lt;1,MAX(1,ROUND(($AI330-$AH330)*60,0))&amp;" phút",IF(ROUND(($AI330-$AH330),0)&lt;24,ROUND(($AI330-$AH330),0)&amp;" giờ",INT(ROUND(($AI330-$AH330),0)/24)&amp;" ngày"&amp;IF(MOD(ROUND(($AI330-$AH330),0),24)&gt;0," "&amp;MOD(ROUND(($AI330-$AH330),0),24)&amp;" giờ","")))),IF(OR($V330="Đã xử lý",N($B330)=0),"",IF((TDBC-$B330)*24&gt;$AH330,"Đã vượt ước tính","Đã dùng "&amp;TEXT((TDBC-$B330)*24/$AH330,"0%")))))</f>
      </c>
      <c r="AD330" s="223">
        <f>IF(N($AO330)=0,"",CHOOSE($AO330,"Nhắc nhở","Cảnh báo","Báo động","Báo động đỏ"))</f>
      </c>
      <c r="AE330" s="223">
        <f>IF(OR(N($AA330)=0,N($U330)=0),"",IF($AA330&lt;=$U330,"Đúng hạn","Trễ hạn"))</f>
      </c>
      <c r="AF330" s="220">
        <f>IF($A330="","",_xlfn.MAXIFS('Nhật ký tiến độ'!$B$6:$B$3005,'Nhật ký tiến độ'!$C$6:$C$3005,$A330))</f>
      </c>
      <c r="AG330" s="223">
        <f>IF($A330="","",IF(COUNTIF('Kế hoạch'!$M$6:$M$305,$A330)=0,"",COUNTIF('Kế hoạch'!$M$6:$M$305,$A330)&amp;" việc"))</f>
      </c>
      <c r="AH330" s="224">
        <f>IF(OR($A330="",N($O330)&lt;=0),"",IF($P330="Giờ",$O330,$O330*24))</f>
      </c>
      <c r="AI330" s="224">
        <f>IF(OR(N($AA330)=0,N($B330)=0),"",IF($AA330&lt;$B330,"",($AA330-$B330)*24))</f>
      </c>
      <c r="AJ330" s="225">
        <f>IF($A330="","",IF(COUNTIF('Nhật ký tiến độ'!$C$6:$C$3005,$A330)=0,0,_xlfn.MAXIFS('Nhật ký tiến độ'!$N$6:$N$3005,'Nhật ký tiến độ'!$C$6:$C$3005,$A330,'Nhật ký tiến độ'!$B$6:$B$3005,_xlfn.MAXIFS('Nhật ký tiến độ'!$B$6:$B$3005,'Nhật ký tiến độ'!$C$6:$C$3005,$A330))))</f>
      </c>
      <c r="AK330" s="225">
        <f>IF(OR($A330="",$V330="Đã xử lý"),"",IF(N($AO330)&gt;0,5-$AO330,IF($J330="Khẩn cấp",5,IF($Y330="Chậm tiến độ",6,IF(OR($Y330="Sắp đến hạn",$J330="Cao"),7,"")))))</f>
      </c>
      <c r="AL330" s="225">
        <f>IF($AK330="","",$AK330*100000+IF(N($U330)=0,99999,INT($U330))+ROW()/100000)</f>
      </c>
      <c r="AM330" s="225">
        <f>IF(OR($A330="",TRIM($K330)="",COUNTIF($K$6:$K330,$K330)&gt;1),0,1)</f>
      </c>
      <c r="AN330" s="225">
        <f>IF($AM330=1,SUM($AM$6:$AM330),"")</f>
      </c>
      <c r="AO330" s="225">
        <f>IF(OR($A330="",$V330="Đã xử lý",N($U330)=0),0,IF(TDBC&lt;=$U330,0,MAX(1,MIN(4,IF((TDBC-$U330)*24&lt;24,1,IF((TDBC-$U330)*24&lt;72,2,IF((TDBC-$U330)*24&lt;168,3,4)))+IFERROR(INDEX({2,1,0,-1},MATCH($J330,{"Khẩn cấp","Cao","Trung bình","Thấp"},0)),0)))))</f>
      </c>
    </row>
    <row r="331">
      <c r="A331" s="216"/>
      <c r="B331" s="217"/>
      <c r="C331" s="218"/>
      <c r="D331" s="218"/>
      <c r="E331" s="218"/>
      <c r="F331" s="218"/>
      <c r="G331" s="216"/>
      <c r="H331" s="218"/>
      <c r="I331" s="218"/>
      <c r="J331" s="216"/>
      <c r="K331" s="218"/>
      <c r="L331" s="218"/>
      <c r="M331" s="218"/>
      <c r="N331" s="218"/>
      <c r="O331" s="219"/>
      <c r="P331" s="216"/>
      <c r="Q331" s="217"/>
      <c r="R331" s="216"/>
      <c r="S331" s="218"/>
      <c r="T331" s="218"/>
      <c r="U331" s="220">
        <f>IF($A331="","",IF(N($Q331)&gt;0,IF(MOD($Q331,1)=0,$Q331+1-1/1440,$Q331),IF(N($B331)=0,"",$B331+IF(N($AH331)&gt;0,$AH331,IFERROR(INDEX(DM_SLA_Gio,MATCH($J331,DM_SLA_Cap,0)),168))/24)))</f>
      </c>
      <c r="V331" s="221">
        <f>IF($A331="","",IF(N($AJ331)=0,"Mới tiếp nhận",INDEX('Nhật ký tiến độ'!$E:$E,$AJ331)))</f>
      </c>
      <c r="W331" s="222">
        <f>IF($A331="","",IF($V331="Đã xử lý",1,IF(N($AJ331)=0,0,N(INDEX('Nhật ký tiến độ'!$D:$D,$AJ331)))))</f>
      </c>
      <c r="X331" s="222">
        <f>IF(OR($A331="",$V331="Đã xử lý",N($U331)=0,N($B331)=0),"",IF(TDBC&lt;=$B331,0,IF(TDBC&gt;=$U331,1,(TDBC-$B331)/($U331-$B331))))</f>
      </c>
      <c r="Y331" s="223">
        <f>IF($A331="","",IF($V331="Đã xử lý","Hoàn thành",IF(N($U331)=0,"Chưa đặt hạn",IF(TDBC&gt;$U331,"Quá hạn",IF(ROUND((N($X331)-$W331)*100,0)&gt;=20,"Chậm tiến độ",IF($U331-TDBC&lt;=1,"Sắp đến hạn","Đúng tiến độ"))))))</f>
      </c>
      <c r="Z331" s="223">
        <f>IF(OR($A331="",$V331="Đã xử lý",N($U331)=0),"",IF(TDBC&gt;$U331,"Quá "&amp;IF(((TDBC-$U331)*24)&lt;1,MAX(1,ROUND(((TDBC-$U331)*24)*60,0))&amp;" phút",IF(ROUND(((TDBC-$U331)*24),0)&lt;24,ROUND(((TDBC-$U331)*24),0)&amp;" giờ",INT(ROUND(((TDBC-$U331)*24),0)/24)&amp;" ngày"&amp;IF(MOD(ROUND(((TDBC-$U331)*24),0),24)&gt;0," "&amp;MOD(ROUND(((TDBC-$U331)*24),0),24)&amp;" giờ",""))),"Còn "&amp;IF((($U331-TDBC)*24)&lt;1,MAX(1,ROUND((($U331-TDBC)*24)*60,0))&amp;" phút",IF(ROUND((($U331-TDBC)*24),0)&lt;24,ROUND((($U331-TDBC)*24),0)&amp;" giờ",INT(ROUND((($U331-TDBC)*24),0)/24)&amp;" ngày"&amp;IF(MOD(ROUND((($U331-TDBC)*24),0),24)&gt;0," "&amp;MOD(ROUND((($U331-TDBC)*24),0),24)&amp;" giờ","")))))</f>
      </c>
      <c r="AA331" s="220">
        <f>IF($V331="Đã xử lý",_xlfn.MAXIFS('Nhật ký tiến độ'!$B$6:$B$3005,'Nhật ký tiến độ'!$C$6:$C$3005,$A331,'Nhật ký tiến độ'!$E$6:$E$3005,"Đã xử lý"),"")</f>
      </c>
      <c r="AB331" s="223">
        <f>IF($AI331="","",IF($AI331&lt;1,MAX(1,ROUND($AI331*60,0))&amp;" phút",IF(ROUND($AI331,0)&lt;24,ROUND($AI331,0)&amp;" giờ",INT(ROUND($AI331,0)/24)&amp;" ngày"&amp;IF(MOD(ROUND($AI331,0),24)&gt;0," "&amp;MOD(ROUND($AI331,0),24)&amp;" giờ",""))))</f>
      </c>
      <c r="AC331" s="223">
        <f>IF(OR($A331="",N($AH331)=0),"",IF($AI331&lt;&gt;"",IF($AI331&lt;=$AH331,"Trong ước tính","Vượt "&amp;IF(($AI331-$AH331)&lt;1,MAX(1,ROUND(($AI331-$AH331)*60,0))&amp;" phút",IF(ROUND(($AI331-$AH331),0)&lt;24,ROUND(($AI331-$AH331),0)&amp;" giờ",INT(ROUND(($AI331-$AH331),0)/24)&amp;" ngày"&amp;IF(MOD(ROUND(($AI331-$AH331),0),24)&gt;0," "&amp;MOD(ROUND(($AI331-$AH331),0),24)&amp;" giờ","")))),IF(OR($V331="Đã xử lý",N($B331)=0),"",IF((TDBC-$B331)*24&gt;$AH331,"Đã vượt ước tính","Đã dùng "&amp;TEXT((TDBC-$B331)*24/$AH331,"0%")))))</f>
      </c>
      <c r="AD331" s="223">
        <f>IF(N($AO331)=0,"",CHOOSE($AO331,"Nhắc nhở","Cảnh báo","Báo động","Báo động đỏ"))</f>
      </c>
      <c r="AE331" s="223">
        <f>IF(OR(N($AA331)=0,N($U331)=0),"",IF($AA331&lt;=$U331,"Đúng hạn","Trễ hạn"))</f>
      </c>
      <c r="AF331" s="220">
        <f>IF($A331="","",_xlfn.MAXIFS('Nhật ký tiến độ'!$B$6:$B$3005,'Nhật ký tiến độ'!$C$6:$C$3005,$A331))</f>
      </c>
      <c r="AG331" s="223">
        <f>IF($A331="","",IF(COUNTIF('Kế hoạch'!$M$6:$M$305,$A331)=0,"",COUNTIF('Kế hoạch'!$M$6:$M$305,$A331)&amp;" việc"))</f>
      </c>
      <c r="AH331" s="224">
        <f>IF(OR($A331="",N($O331)&lt;=0),"",IF($P331="Giờ",$O331,$O331*24))</f>
      </c>
      <c r="AI331" s="224">
        <f>IF(OR(N($AA331)=0,N($B331)=0),"",IF($AA331&lt;$B331,"",($AA331-$B331)*24))</f>
      </c>
      <c r="AJ331" s="225">
        <f>IF($A331="","",IF(COUNTIF('Nhật ký tiến độ'!$C$6:$C$3005,$A331)=0,0,_xlfn.MAXIFS('Nhật ký tiến độ'!$N$6:$N$3005,'Nhật ký tiến độ'!$C$6:$C$3005,$A331,'Nhật ký tiến độ'!$B$6:$B$3005,_xlfn.MAXIFS('Nhật ký tiến độ'!$B$6:$B$3005,'Nhật ký tiến độ'!$C$6:$C$3005,$A331))))</f>
      </c>
      <c r="AK331" s="225">
        <f>IF(OR($A331="",$V331="Đã xử lý"),"",IF(N($AO331)&gt;0,5-$AO331,IF($J331="Khẩn cấp",5,IF($Y331="Chậm tiến độ",6,IF(OR($Y331="Sắp đến hạn",$J331="Cao"),7,"")))))</f>
      </c>
      <c r="AL331" s="225">
        <f>IF($AK331="","",$AK331*100000+IF(N($U331)=0,99999,INT($U331))+ROW()/100000)</f>
      </c>
      <c r="AM331" s="225">
        <f>IF(OR($A331="",TRIM($K331)="",COUNTIF($K$6:$K331,$K331)&gt;1),0,1)</f>
      </c>
      <c r="AN331" s="225">
        <f>IF($AM331=1,SUM($AM$6:$AM331),"")</f>
      </c>
      <c r="AO331" s="225">
        <f>IF(OR($A331="",$V331="Đã xử lý",N($U331)=0),0,IF(TDBC&lt;=$U331,0,MAX(1,MIN(4,IF((TDBC-$U331)*24&lt;24,1,IF((TDBC-$U331)*24&lt;72,2,IF((TDBC-$U331)*24&lt;168,3,4)))+IFERROR(INDEX({2,1,0,-1},MATCH($J331,{"Khẩn cấp","Cao","Trung bình","Thấp"},0)),0)))))</f>
      </c>
    </row>
    <row r="332">
      <c r="A332" s="216"/>
      <c r="B332" s="217"/>
      <c r="C332" s="218"/>
      <c r="D332" s="218"/>
      <c r="E332" s="218"/>
      <c r="F332" s="218"/>
      <c r="G332" s="216"/>
      <c r="H332" s="218"/>
      <c r="I332" s="218"/>
      <c r="J332" s="216"/>
      <c r="K332" s="218"/>
      <c r="L332" s="218"/>
      <c r="M332" s="218"/>
      <c r="N332" s="218"/>
      <c r="O332" s="219"/>
      <c r="P332" s="216"/>
      <c r="Q332" s="217"/>
      <c r="R332" s="216"/>
      <c r="S332" s="218"/>
      <c r="T332" s="218"/>
      <c r="U332" s="220">
        <f>IF($A332="","",IF(N($Q332)&gt;0,IF(MOD($Q332,1)=0,$Q332+1-1/1440,$Q332),IF(N($B332)=0,"",$B332+IF(N($AH332)&gt;0,$AH332,IFERROR(INDEX(DM_SLA_Gio,MATCH($J332,DM_SLA_Cap,0)),168))/24)))</f>
      </c>
      <c r="V332" s="221">
        <f>IF($A332="","",IF(N($AJ332)=0,"Mới tiếp nhận",INDEX('Nhật ký tiến độ'!$E:$E,$AJ332)))</f>
      </c>
      <c r="W332" s="222">
        <f>IF($A332="","",IF($V332="Đã xử lý",1,IF(N($AJ332)=0,0,N(INDEX('Nhật ký tiến độ'!$D:$D,$AJ332)))))</f>
      </c>
      <c r="X332" s="222">
        <f>IF(OR($A332="",$V332="Đã xử lý",N($U332)=0,N($B332)=0),"",IF(TDBC&lt;=$B332,0,IF(TDBC&gt;=$U332,1,(TDBC-$B332)/($U332-$B332))))</f>
      </c>
      <c r="Y332" s="223">
        <f>IF($A332="","",IF($V332="Đã xử lý","Hoàn thành",IF(N($U332)=0,"Chưa đặt hạn",IF(TDBC&gt;$U332,"Quá hạn",IF(ROUND((N($X332)-$W332)*100,0)&gt;=20,"Chậm tiến độ",IF($U332-TDBC&lt;=1,"Sắp đến hạn","Đúng tiến độ"))))))</f>
      </c>
      <c r="Z332" s="223">
        <f>IF(OR($A332="",$V332="Đã xử lý",N($U332)=0),"",IF(TDBC&gt;$U332,"Quá "&amp;IF(((TDBC-$U332)*24)&lt;1,MAX(1,ROUND(((TDBC-$U332)*24)*60,0))&amp;" phút",IF(ROUND(((TDBC-$U332)*24),0)&lt;24,ROUND(((TDBC-$U332)*24),0)&amp;" giờ",INT(ROUND(((TDBC-$U332)*24),0)/24)&amp;" ngày"&amp;IF(MOD(ROUND(((TDBC-$U332)*24),0),24)&gt;0," "&amp;MOD(ROUND(((TDBC-$U332)*24),0),24)&amp;" giờ",""))),"Còn "&amp;IF((($U332-TDBC)*24)&lt;1,MAX(1,ROUND((($U332-TDBC)*24)*60,0))&amp;" phút",IF(ROUND((($U332-TDBC)*24),0)&lt;24,ROUND((($U332-TDBC)*24),0)&amp;" giờ",INT(ROUND((($U332-TDBC)*24),0)/24)&amp;" ngày"&amp;IF(MOD(ROUND((($U332-TDBC)*24),0),24)&gt;0," "&amp;MOD(ROUND((($U332-TDBC)*24),0),24)&amp;" giờ","")))))</f>
      </c>
      <c r="AA332" s="220">
        <f>IF($V332="Đã xử lý",_xlfn.MAXIFS('Nhật ký tiến độ'!$B$6:$B$3005,'Nhật ký tiến độ'!$C$6:$C$3005,$A332,'Nhật ký tiến độ'!$E$6:$E$3005,"Đã xử lý"),"")</f>
      </c>
      <c r="AB332" s="223">
        <f>IF($AI332="","",IF($AI332&lt;1,MAX(1,ROUND($AI332*60,0))&amp;" phút",IF(ROUND($AI332,0)&lt;24,ROUND($AI332,0)&amp;" giờ",INT(ROUND($AI332,0)/24)&amp;" ngày"&amp;IF(MOD(ROUND($AI332,0),24)&gt;0," "&amp;MOD(ROUND($AI332,0),24)&amp;" giờ",""))))</f>
      </c>
      <c r="AC332" s="223">
        <f>IF(OR($A332="",N($AH332)=0),"",IF($AI332&lt;&gt;"",IF($AI332&lt;=$AH332,"Trong ước tính","Vượt "&amp;IF(($AI332-$AH332)&lt;1,MAX(1,ROUND(($AI332-$AH332)*60,0))&amp;" phút",IF(ROUND(($AI332-$AH332),0)&lt;24,ROUND(($AI332-$AH332),0)&amp;" giờ",INT(ROUND(($AI332-$AH332),0)/24)&amp;" ngày"&amp;IF(MOD(ROUND(($AI332-$AH332),0),24)&gt;0," "&amp;MOD(ROUND(($AI332-$AH332),0),24)&amp;" giờ","")))),IF(OR($V332="Đã xử lý",N($B332)=0),"",IF((TDBC-$B332)*24&gt;$AH332,"Đã vượt ước tính","Đã dùng "&amp;TEXT((TDBC-$B332)*24/$AH332,"0%")))))</f>
      </c>
      <c r="AD332" s="223">
        <f>IF(N($AO332)=0,"",CHOOSE($AO332,"Nhắc nhở","Cảnh báo","Báo động","Báo động đỏ"))</f>
      </c>
      <c r="AE332" s="223">
        <f>IF(OR(N($AA332)=0,N($U332)=0),"",IF($AA332&lt;=$U332,"Đúng hạn","Trễ hạn"))</f>
      </c>
      <c r="AF332" s="220">
        <f>IF($A332="","",_xlfn.MAXIFS('Nhật ký tiến độ'!$B$6:$B$3005,'Nhật ký tiến độ'!$C$6:$C$3005,$A332))</f>
      </c>
      <c r="AG332" s="223">
        <f>IF($A332="","",IF(COUNTIF('Kế hoạch'!$M$6:$M$305,$A332)=0,"",COUNTIF('Kế hoạch'!$M$6:$M$305,$A332)&amp;" việc"))</f>
      </c>
      <c r="AH332" s="224">
        <f>IF(OR($A332="",N($O332)&lt;=0),"",IF($P332="Giờ",$O332,$O332*24))</f>
      </c>
      <c r="AI332" s="224">
        <f>IF(OR(N($AA332)=0,N($B332)=0),"",IF($AA332&lt;$B332,"",($AA332-$B332)*24))</f>
      </c>
      <c r="AJ332" s="225">
        <f>IF($A332="","",IF(COUNTIF('Nhật ký tiến độ'!$C$6:$C$3005,$A332)=0,0,_xlfn.MAXIFS('Nhật ký tiến độ'!$N$6:$N$3005,'Nhật ký tiến độ'!$C$6:$C$3005,$A332,'Nhật ký tiến độ'!$B$6:$B$3005,_xlfn.MAXIFS('Nhật ký tiến độ'!$B$6:$B$3005,'Nhật ký tiến độ'!$C$6:$C$3005,$A332))))</f>
      </c>
      <c r="AK332" s="225">
        <f>IF(OR($A332="",$V332="Đã xử lý"),"",IF(N($AO332)&gt;0,5-$AO332,IF($J332="Khẩn cấp",5,IF($Y332="Chậm tiến độ",6,IF(OR($Y332="Sắp đến hạn",$J332="Cao"),7,"")))))</f>
      </c>
      <c r="AL332" s="225">
        <f>IF($AK332="","",$AK332*100000+IF(N($U332)=0,99999,INT($U332))+ROW()/100000)</f>
      </c>
      <c r="AM332" s="225">
        <f>IF(OR($A332="",TRIM($K332)="",COUNTIF($K$6:$K332,$K332)&gt;1),0,1)</f>
      </c>
      <c r="AN332" s="225">
        <f>IF($AM332=1,SUM($AM$6:$AM332),"")</f>
      </c>
      <c r="AO332" s="225">
        <f>IF(OR($A332="",$V332="Đã xử lý",N($U332)=0),0,IF(TDBC&lt;=$U332,0,MAX(1,MIN(4,IF((TDBC-$U332)*24&lt;24,1,IF((TDBC-$U332)*24&lt;72,2,IF((TDBC-$U332)*24&lt;168,3,4)))+IFERROR(INDEX({2,1,0,-1},MATCH($J332,{"Khẩn cấp","Cao","Trung bình","Thấp"},0)),0)))))</f>
      </c>
    </row>
    <row r="333">
      <c r="A333" s="216"/>
      <c r="B333" s="217"/>
      <c r="C333" s="218"/>
      <c r="D333" s="218"/>
      <c r="E333" s="218"/>
      <c r="F333" s="218"/>
      <c r="G333" s="216"/>
      <c r="H333" s="218"/>
      <c r="I333" s="218"/>
      <c r="J333" s="216"/>
      <c r="K333" s="218"/>
      <c r="L333" s="218"/>
      <c r="M333" s="218"/>
      <c r="N333" s="218"/>
      <c r="O333" s="219"/>
      <c r="P333" s="216"/>
      <c r="Q333" s="217"/>
      <c r="R333" s="216"/>
      <c r="S333" s="218"/>
      <c r="T333" s="218"/>
      <c r="U333" s="220">
        <f>IF($A333="","",IF(N($Q333)&gt;0,IF(MOD($Q333,1)=0,$Q333+1-1/1440,$Q333),IF(N($B333)=0,"",$B333+IF(N($AH333)&gt;0,$AH333,IFERROR(INDEX(DM_SLA_Gio,MATCH($J333,DM_SLA_Cap,0)),168))/24)))</f>
      </c>
      <c r="V333" s="221">
        <f>IF($A333="","",IF(N($AJ333)=0,"Mới tiếp nhận",INDEX('Nhật ký tiến độ'!$E:$E,$AJ333)))</f>
      </c>
      <c r="W333" s="222">
        <f>IF($A333="","",IF($V333="Đã xử lý",1,IF(N($AJ333)=0,0,N(INDEX('Nhật ký tiến độ'!$D:$D,$AJ333)))))</f>
      </c>
      <c r="X333" s="222">
        <f>IF(OR($A333="",$V333="Đã xử lý",N($U333)=0,N($B333)=0),"",IF(TDBC&lt;=$B333,0,IF(TDBC&gt;=$U333,1,(TDBC-$B333)/($U333-$B333))))</f>
      </c>
      <c r="Y333" s="223">
        <f>IF($A333="","",IF($V333="Đã xử lý","Hoàn thành",IF(N($U333)=0,"Chưa đặt hạn",IF(TDBC&gt;$U333,"Quá hạn",IF(ROUND((N($X333)-$W333)*100,0)&gt;=20,"Chậm tiến độ",IF($U333-TDBC&lt;=1,"Sắp đến hạn","Đúng tiến độ"))))))</f>
      </c>
      <c r="Z333" s="223">
        <f>IF(OR($A333="",$V333="Đã xử lý",N($U333)=0),"",IF(TDBC&gt;$U333,"Quá "&amp;IF(((TDBC-$U333)*24)&lt;1,MAX(1,ROUND(((TDBC-$U333)*24)*60,0))&amp;" phút",IF(ROUND(((TDBC-$U333)*24),0)&lt;24,ROUND(((TDBC-$U333)*24),0)&amp;" giờ",INT(ROUND(((TDBC-$U333)*24),0)/24)&amp;" ngày"&amp;IF(MOD(ROUND(((TDBC-$U333)*24),0),24)&gt;0," "&amp;MOD(ROUND(((TDBC-$U333)*24),0),24)&amp;" giờ",""))),"Còn "&amp;IF((($U333-TDBC)*24)&lt;1,MAX(1,ROUND((($U333-TDBC)*24)*60,0))&amp;" phút",IF(ROUND((($U333-TDBC)*24),0)&lt;24,ROUND((($U333-TDBC)*24),0)&amp;" giờ",INT(ROUND((($U333-TDBC)*24),0)/24)&amp;" ngày"&amp;IF(MOD(ROUND((($U333-TDBC)*24),0),24)&gt;0," "&amp;MOD(ROUND((($U333-TDBC)*24),0),24)&amp;" giờ","")))))</f>
      </c>
      <c r="AA333" s="220">
        <f>IF($V333="Đã xử lý",_xlfn.MAXIFS('Nhật ký tiến độ'!$B$6:$B$3005,'Nhật ký tiến độ'!$C$6:$C$3005,$A333,'Nhật ký tiến độ'!$E$6:$E$3005,"Đã xử lý"),"")</f>
      </c>
      <c r="AB333" s="223">
        <f>IF($AI333="","",IF($AI333&lt;1,MAX(1,ROUND($AI333*60,0))&amp;" phút",IF(ROUND($AI333,0)&lt;24,ROUND($AI333,0)&amp;" giờ",INT(ROUND($AI333,0)/24)&amp;" ngày"&amp;IF(MOD(ROUND($AI333,0),24)&gt;0," "&amp;MOD(ROUND($AI333,0),24)&amp;" giờ",""))))</f>
      </c>
      <c r="AC333" s="223">
        <f>IF(OR($A333="",N($AH333)=0),"",IF($AI333&lt;&gt;"",IF($AI333&lt;=$AH333,"Trong ước tính","Vượt "&amp;IF(($AI333-$AH333)&lt;1,MAX(1,ROUND(($AI333-$AH333)*60,0))&amp;" phút",IF(ROUND(($AI333-$AH333),0)&lt;24,ROUND(($AI333-$AH333),0)&amp;" giờ",INT(ROUND(($AI333-$AH333),0)/24)&amp;" ngày"&amp;IF(MOD(ROUND(($AI333-$AH333),0),24)&gt;0," "&amp;MOD(ROUND(($AI333-$AH333),0),24)&amp;" giờ","")))),IF(OR($V333="Đã xử lý",N($B333)=0),"",IF((TDBC-$B333)*24&gt;$AH333,"Đã vượt ước tính","Đã dùng "&amp;TEXT((TDBC-$B333)*24/$AH333,"0%")))))</f>
      </c>
      <c r="AD333" s="223">
        <f>IF(N($AO333)=0,"",CHOOSE($AO333,"Nhắc nhở","Cảnh báo","Báo động","Báo động đỏ"))</f>
      </c>
      <c r="AE333" s="223">
        <f>IF(OR(N($AA333)=0,N($U333)=0),"",IF($AA333&lt;=$U333,"Đúng hạn","Trễ hạn"))</f>
      </c>
      <c r="AF333" s="220">
        <f>IF($A333="","",_xlfn.MAXIFS('Nhật ký tiến độ'!$B$6:$B$3005,'Nhật ký tiến độ'!$C$6:$C$3005,$A333))</f>
      </c>
      <c r="AG333" s="223">
        <f>IF($A333="","",IF(COUNTIF('Kế hoạch'!$M$6:$M$305,$A333)=0,"",COUNTIF('Kế hoạch'!$M$6:$M$305,$A333)&amp;" việc"))</f>
      </c>
      <c r="AH333" s="224">
        <f>IF(OR($A333="",N($O333)&lt;=0),"",IF($P333="Giờ",$O333,$O333*24))</f>
      </c>
      <c r="AI333" s="224">
        <f>IF(OR(N($AA333)=0,N($B333)=0),"",IF($AA333&lt;$B333,"",($AA333-$B333)*24))</f>
      </c>
      <c r="AJ333" s="225">
        <f>IF($A333="","",IF(COUNTIF('Nhật ký tiến độ'!$C$6:$C$3005,$A333)=0,0,_xlfn.MAXIFS('Nhật ký tiến độ'!$N$6:$N$3005,'Nhật ký tiến độ'!$C$6:$C$3005,$A333,'Nhật ký tiến độ'!$B$6:$B$3005,_xlfn.MAXIFS('Nhật ký tiến độ'!$B$6:$B$3005,'Nhật ký tiến độ'!$C$6:$C$3005,$A333))))</f>
      </c>
      <c r="AK333" s="225">
        <f>IF(OR($A333="",$V333="Đã xử lý"),"",IF(N($AO333)&gt;0,5-$AO333,IF($J333="Khẩn cấp",5,IF($Y333="Chậm tiến độ",6,IF(OR($Y333="Sắp đến hạn",$J333="Cao"),7,"")))))</f>
      </c>
      <c r="AL333" s="225">
        <f>IF($AK333="","",$AK333*100000+IF(N($U333)=0,99999,INT($U333))+ROW()/100000)</f>
      </c>
      <c r="AM333" s="225">
        <f>IF(OR($A333="",TRIM($K333)="",COUNTIF($K$6:$K333,$K333)&gt;1),0,1)</f>
      </c>
      <c r="AN333" s="225">
        <f>IF($AM333=1,SUM($AM$6:$AM333),"")</f>
      </c>
      <c r="AO333" s="225">
        <f>IF(OR($A333="",$V333="Đã xử lý",N($U333)=0),0,IF(TDBC&lt;=$U333,0,MAX(1,MIN(4,IF((TDBC-$U333)*24&lt;24,1,IF((TDBC-$U333)*24&lt;72,2,IF((TDBC-$U333)*24&lt;168,3,4)))+IFERROR(INDEX({2,1,0,-1},MATCH($J333,{"Khẩn cấp","Cao","Trung bình","Thấp"},0)),0)))))</f>
      </c>
    </row>
    <row r="334">
      <c r="A334" s="216"/>
      <c r="B334" s="217"/>
      <c r="C334" s="218"/>
      <c r="D334" s="218"/>
      <c r="E334" s="218"/>
      <c r="F334" s="218"/>
      <c r="G334" s="216"/>
      <c r="H334" s="218"/>
      <c r="I334" s="218"/>
      <c r="J334" s="216"/>
      <c r="K334" s="218"/>
      <c r="L334" s="218"/>
      <c r="M334" s="218"/>
      <c r="N334" s="218"/>
      <c r="O334" s="219"/>
      <c r="P334" s="216"/>
      <c r="Q334" s="217"/>
      <c r="R334" s="216"/>
      <c r="S334" s="218"/>
      <c r="T334" s="218"/>
      <c r="U334" s="220">
        <f>IF($A334="","",IF(N($Q334)&gt;0,IF(MOD($Q334,1)=0,$Q334+1-1/1440,$Q334),IF(N($B334)=0,"",$B334+IF(N($AH334)&gt;0,$AH334,IFERROR(INDEX(DM_SLA_Gio,MATCH($J334,DM_SLA_Cap,0)),168))/24)))</f>
      </c>
      <c r="V334" s="221">
        <f>IF($A334="","",IF(N($AJ334)=0,"Mới tiếp nhận",INDEX('Nhật ký tiến độ'!$E:$E,$AJ334)))</f>
      </c>
      <c r="W334" s="222">
        <f>IF($A334="","",IF($V334="Đã xử lý",1,IF(N($AJ334)=0,0,N(INDEX('Nhật ký tiến độ'!$D:$D,$AJ334)))))</f>
      </c>
      <c r="X334" s="222">
        <f>IF(OR($A334="",$V334="Đã xử lý",N($U334)=0,N($B334)=0),"",IF(TDBC&lt;=$B334,0,IF(TDBC&gt;=$U334,1,(TDBC-$B334)/($U334-$B334))))</f>
      </c>
      <c r="Y334" s="223">
        <f>IF($A334="","",IF($V334="Đã xử lý","Hoàn thành",IF(N($U334)=0,"Chưa đặt hạn",IF(TDBC&gt;$U334,"Quá hạn",IF(ROUND((N($X334)-$W334)*100,0)&gt;=20,"Chậm tiến độ",IF($U334-TDBC&lt;=1,"Sắp đến hạn","Đúng tiến độ"))))))</f>
      </c>
      <c r="Z334" s="223">
        <f>IF(OR($A334="",$V334="Đã xử lý",N($U334)=0),"",IF(TDBC&gt;$U334,"Quá "&amp;IF(((TDBC-$U334)*24)&lt;1,MAX(1,ROUND(((TDBC-$U334)*24)*60,0))&amp;" phút",IF(ROUND(((TDBC-$U334)*24),0)&lt;24,ROUND(((TDBC-$U334)*24),0)&amp;" giờ",INT(ROUND(((TDBC-$U334)*24),0)/24)&amp;" ngày"&amp;IF(MOD(ROUND(((TDBC-$U334)*24),0),24)&gt;0," "&amp;MOD(ROUND(((TDBC-$U334)*24),0),24)&amp;" giờ",""))),"Còn "&amp;IF((($U334-TDBC)*24)&lt;1,MAX(1,ROUND((($U334-TDBC)*24)*60,0))&amp;" phút",IF(ROUND((($U334-TDBC)*24),0)&lt;24,ROUND((($U334-TDBC)*24),0)&amp;" giờ",INT(ROUND((($U334-TDBC)*24),0)/24)&amp;" ngày"&amp;IF(MOD(ROUND((($U334-TDBC)*24),0),24)&gt;0," "&amp;MOD(ROUND((($U334-TDBC)*24),0),24)&amp;" giờ","")))))</f>
      </c>
      <c r="AA334" s="220">
        <f>IF($V334="Đã xử lý",_xlfn.MAXIFS('Nhật ký tiến độ'!$B$6:$B$3005,'Nhật ký tiến độ'!$C$6:$C$3005,$A334,'Nhật ký tiến độ'!$E$6:$E$3005,"Đã xử lý"),"")</f>
      </c>
      <c r="AB334" s="223">
        <f>IF($AI334="","",IF($AI334&lt;1,MAX(1,ROUND($AI334*60,0))&amp;" phút",IF(ROUND($AI334,0)&lt;24,ROUND($AI334,0)&amp;" giờ",INT(ROUND($AI334,0)/24)&amp;" ngày"&amp;IF(MOD(ROUND($AI334,0),24)&gt;0," "&amp;MOD(ROUND($AI334,0),24)&amp;" giờ",""))))</f>
      </c>
      <c r="AC334" s="223">
        <f>IF(OR($A334="",N($AH334)=0),"",IF($AI334&lt;&gt;"",IF($AI334&lt;=$AH334,"Trong ước tính","Vượt "&amp;IF(($AI334-$AH334)&lt;1,MAX(1,ROUND(($AI334-$AH334)*60,0))&amp;" phút",IF(ROUND(($AI334-$AH334),0)&lt;24,ROUND(($AI334-$AH334),0)&amp;" giờ",INT(ROUND(($AI334-$AH334),0)/24)&amp;" ngày"&amp;IF(MOD(ROUND(($AI334-$AH334),0),24)&gt;0," "&amp;MOD(ROUND(($AI334-$AH334),0),24)&amp;" giờ","")))),IF(OR($V334="Đã xử lý",N($B334)=0),"",IF((TDBC-$B334)*24&gt;$AH334,"Đã vượt ước tính","Đã dùng "&amp;TEXT((TDBC-$B334)*24/$AH334,"0%")))))</f>
      </c>
      <c r="AD334" s="223">
        <f>IF(N($AO334)=0,"",CHOOSE($AO334,"Nhắc nhở","Cảnh báo","Báo động","Báo động đỏ"))</f>
      </c>
      <c r="AE334" s="223">
        <f>IF(OR(N($AA334)=0,N($U334)=0),"",IF($AA334&lt;=$U334,"Đúng hạn","Trễ hạn"))</f>
      </c>
      <c r="AF334" s="220">
        <f>IF($A334="","",_xlfn.MAXIFS('Nhật ký tiến độ'!$B$6:$B$3005,'Nhật ký tiến độ'!$C$6:$C$3005,$A334))</f>
      </c>
      <c r="AG334" s="223">
        <f>IF($A334="","",IF(COUNTIF('Kế hoạch'!$M$6:$M$305,$A334)=0,"",COUNTIF('Kế hoạch'!$M$6:$M$305,$A334)&amp;" việc"))</f>
      </c>
      <c r="AH334" s="224">
        <f>IF(OR($A334="",N($O334)&lt;=0),"",IF($P334="Giờ",$O334,$O334*24))</f>
      </c>
      <c r="AI334" s="224">
        <f>IF(OR(N($AA334)=0,N($B334)=0),"",IF($AA334&lt;$B334,"",($AA334-$B334)*24))</f>
      </c>
      <c r="AJ334" s="225">
        <f>IF($A334="","",IF(COUNTIF('Nhật ký tiến độ'!$C$6:$C$3005,$A334)=0,0,_xlfn.MAXIFS('Nhật ký tiến độ'!$N$6:$N$3005,'Nhật ký tiến độ'!$C$6:$C$3005,$A334,'Nhật ký tiến độ'!$B$6:$B$3005,_xlfn.MAXIFS('Nhật ký tiến độ'!$B$6:$B$3005,'Nhật ký tiến độ'!$C$6:$C$3005,$A334))))</f>
      </c>
      <c r="AK334" s="225">
        <f>IF(OR($A334="",$V334="Đã xử lý"),"",IF(N($AO334)&gt;0,5-$AO334,IF($J334="Khẩn cấp",5,IF($Y334="Chậm tiến độ",6,IF(OR($Y334="Sắp đến hạn",$J334="Cao"),7,"")))))</f>
      </c>
      <c r="AL334" s="225">
        <f>IF($AK334="","",$AK334*100000+IF(N($U334)=0,99999,INT($U334))+ROW()/100000)</f>
      </c>
      <c r="AM334" s="225">
        <f>IF(OR($A334="",TRIM($K334)="",COUNTIF($K$6:$K334,$K334)&gt;1),0,1)</f>
      </c>
      <c r="AN334" s="225">
        <f>IF($AM334=1,SUM($AM$6:$AM334),"")</f>
      </c>
      <c r="AO334" s="225">
        <f>IF(OR($A334="",$V334="Đã xử lý",N($U334)=0),0,IF(TDBC&lt;=$U334,0,MAX(1,MIN(4,IF((TDBC-$U334)*24&lt;24,1,IF((TDBC-$U334)*24&lt;72,2,IF((TDBC-$U334)*24&lt;168,3,4)))+IFERROR(INDEX({2,1,0,-1},MATCH($J334,{"Khẩn cấp","Cao","Trung bình","Thấp"},0)),0)))))</f>
      </c>
    </row>
    <row r="335">
      <c r="A335" s="216"/>
      <c r="B335" s="217"/>
      <c r="C335" s="218"/>
      <c r="D335" s="218"/>
      <c r="E335" s="218"/>
      <c r="F335" s="218"/>
      <c r="G335" s="216"/>
      <c r="H335" s="218"/>
      <c r="I335" s="218"/>
      <c r="J335" s="216"/>
      <c r="K335" s="218"/>
      <c r="L335" s="218"/>
      <c r="M335" s="218"/>
      <c r="N335" s="218"/>
      <c r="O335" s="219"/>
      <c r="P335" s="216"/>
      <c r="Q335" s="217"/>
      <c r="R335" s="216"/>
      <c r="S335" s="218"/>
      <c r="T335" s="218"/>
      <c r="U335" s="220">
        <f>IF($A335="","",IF(N($Q335)&gt;0,IF(MOD($Q335,1)=0,$Q335+1-1/1440,$Q335),IF(N($B335)=0,"",$B335+IF(N($AH335)&gt;0,$AH335,IFERROR(INDEX(DM_SLA_Gio,MATCH($J335,DM_SLA_Cap,0)),168))/24)))</f>
      </c>
      <c r="V335" s="221">
        <f>IF($A335="","",IF(N($AJ335)=0,"Mới tiếp nhận",INDEX('Nhật ký tiến độ'!$E:$E,$AJ335)))</f>
      </c>
      <c r="W335" s="222">
        <f>IF($A335="","",IF($V335="Đã xử lý",1,IF(N($AJ335)=0,0,N(INDEX('Nhật ký tiến độ'!$D:$D,$AJ335)))))</f>
      </c>
      <c r="X335" s="222">
        <f>IF(OR($A335="",$V335="Đã xử lý",N($U335)=0,N($B335)=0),"",IF(TDBC&lt;=$B335,0,IF(TDBC&gt;=$U335,1,(TDBC-$B335)/($U335-$B335))))</f>
      </c>
      <c r="Y335" s="223">
        <f>IF($A335="","",IF($V335="Đã xử lý","Hoàn thành",IF(N($U335)=0,"Chưa đặt hạn",IF(TDBC&gt;$U335,"Quá hạn",IF(ROUND((N($X335)-$W335)*100,0)&gt;=20,"Chậm tiến độ",IF($U335-TDBC&lt;=1,"Sắp đến hạn","Đúng tiến độ"))))))</f>
      </c>
      <c r="Z335" s="223">
        <f>IF(OR($A335="",$V335="Đã xử lý",N($U335)=0),"",IF(TDBC&gt;$U335,"Quá "&amp;IF(((TDBC-$U335)*24)&lt;1,MAX(1,ROUND(((TDBC-$U335)*24)*60,0))&amp;" phút",IF(ROUND(((TDBC-$U335)*24),0)&lt;24,ROUND(((TDBC-$U335)*24),0)&amp;" giờ",INT(ROUND(((TDBC-$U335)*24),0)/24)&amp;" ngày"&amp;IF(MOD(ROUND(((TDBC-$U335)*24),0),24)&gt;0," "&amp;MOD(ROUND(((TDBC-$U335)*24),0),24)&amp;" giờ",""))),"Còn "&amp;IF((($U335-TDBC)*24)&lt;1,MAX(1,ROUND((($U335-TDBC)*24)*60,0))&amp;" phút",IF(ROUND((($U335-TDBC)*24),0)&lt;24,ROUND((($U335-TDBC)*24),0)&amp;" giờ",INT(ROUND((($U335-TDBC)*24),0)/24)&amp;" ngày"&amp;IF(MOD(ROUND((($U335-TDBC)*24),0),24)&gt;0," "&amp;MOD(ROUND((($U335-TDBC)*24),0),24)&amp;" giờ","")))))</f>
      </c>
      <c r="AA335" s="220">
        <f>IF($V335="Đã xử lý",_xlfn.MAXIFS('Nhật ký tiến độ'!$B$6:$B$3005,'Nhật ký tiến độ'!$C$6:$C$3005,$A335,'Nhật ký tiến độ'!$E$6:$E$3005,"Đã xử lý"),"")</f>
      </c>
      <c r="AB335" s="223">
        <f>IF($AI335="","",IF($AI335&lt;1,MAX(1,ROUND($AI335*60,0))&amp;" phút",IF(ROUND($AI335,0)&lt;24,ROUND($AI335,0)&amp;" giờ",INT(ROUND($AI335,0)/24)&amp;" ngày"&amp;IF(MOD(ROUND($AI335,0),24)&gt;0," "&amp;MOD(ROUND($AI335,0),24)&amp;" giờ",""))))</f>
      </c>
      <c r="AC335" s="223">
        <f>IF(OR($A335="",N($AH335)=0),"",IF($AI335&lt;&gt;"",IF($AI335&lt;=$AH335,"Trong ước tính","Vượt "&amp;IF(($AI335-$AH335)&lt;1,MAX(1,ROUND(($AI335-$AH335)*60,0))&amp;" phút",IF(ROUND(($AI335-$AH335),0)&lt;24,ROUND(($AI335-$AH335),0)&amp;" giờ",INT(ROUND(($AI335-$AH335),0)/24)&amp;" ngày"&amp;IF(MOD(ROUND(($AI335-$AH335),0),24)&gt;0," "&amp;MOD(ROUND(($AI335-$AH335),0),24)&amp;" giờ","")))),IF(OR($V335="Đã xử lý",N($B335)=0),"",IF((TDBC-$B335)*24&gt;$AH335,"Đã vượt ước tính","Đã dùng "&amp;TEXT((TDBC-$B335)*24/$AH335,"0%")))))</f>
      </c>
      <c r="AD335" s="223">
        <f>IF(N($AO335)=0,"",CHOOSE($AO335,"Nhắc nhở","Cảnh báo","Báo động","Báo động đỏ"))</f>
      </c>
      <c r="AE335" s="223">
        <f>IF(OR(N($AA335)=0,N($U335)=0),"",IF($AA335&lt;=$U335,"Đúng hạn","Trễ hạn"))</f>
      </c>
      <c r="AF335" s="220">
        <f>IF($A335="","",_xlfn.MAXIFS('Nhật ký tiến độ'!$B$6:$B$3005,'Nhật ký tiến độ'!$C$6:$C$3005,$A335))</f>
      </c>
      <c r="AG335" s="223">
        <f>IF($A335="","",IF(COUNTIF('Kế hoạch'!$M$6:$M$305,$A335)=0,"",COUNTIF('Kế hoạch'!$M$6:$M$305,$A335)&amp;" việc"))</f>
      </c>
      <c r="AH335" s="224">
        <f>IF(OR($A335="",N($O335)&lt;=0),"",IF($P335="Giờ",$O335,$O335*24))</f>
      </c>
      <c r="AI335" s="224">
        <f>IF(OR(N($AA335)=0,N($B335)=0),"",IF($AA335&lt;$B335,"",($AA335-$B335)*24))</f>
      </c>
      <c r="AJ335" s="225">
        <f>IF($A335="","",IF(COUNTIF('Nhật ký tiến độ'!$C$6:$C$3005,$A335)=0,0,_xlfn.MAXIFS('Nhật ký tiến độ'!$N$6:$N$3005,'Nhật ký tiến độ'!$C$6:$C$3005,$A335,'Nhật ký tiến độ'!$B$6:$B$3005,_xlfn.MAXIFS('Nhật ký tiến độ'!$B$6:$B$3005,'Nhật ký tiến độ'!$C$6:$C$3005,$A335))))</f>
      </c>
      <c r="AK335" s="225">
        <f>IF(OR($A335="",$V335="Đã xử lý"),"",IF(N($AO335)&gt;0,5-$AO335,IF($J335="Khẩn cấp",5,IF($Y335="Chậm tiến độ",6,IF(OR($Y335="Sắp đến hạn",$J335="Cao"),7,"")))))</f>
      </c>
      <c r="AL335" s="225">
        <f>IF($AK335="","",$AK335*100000+IF(N($U335)=0,99999,INT($U335))+ROW()/100000)</f>
      </c>
      <c r="AM335" s="225">
        <f>IF(OR($A335="",TRIM($K335)="",COUNTIF($K$6:$K335,$K335)&gt;1),0,1)</f>
      </c>
      <c r="AN335" s="225">
        <f>IF($AM335=1,SUM($AM$6:$AM335),"")</f>
      </c>
      <c r="AO335" s="225">
        <f>IF(OR($A335="",$V335="Đã xử lý",N($U335)=0),0,IF(TDBC&lt;=$U335,0,MAX(1,MIN(4,IF((TDBC-$U335)*24&lt;24,1,IF((TDBC-$U335)*24&lt;72,2,IF((TDBC-$U335)*24&lt;168,3,4)))+IFERROR(INDEX({2,1,0,-1},MATCH($J335,{"Khẩn cấp","Cao","Trung bình","Thấp"},0)),0)))))</f>
      </c>
    </row>
    <row r="336">
      <c r="A336" s="216"/>
      <c r="B336" s="217"/>
      <c r="C336" s="218"/>
      <c r="D336" s="218"/>
      <c r="E336" s="218"/>
      <c r="F336" s="218"/>
      <c r="G336" s="216"/>
      <c r="H336" s="218"/>
      <c r="I336" s="218"/>
      <c r="J336" s="216"/>
      <c r="K336" s="218"/>
      <c r="L336" s="218"/>
      <c r="M336" s="218"/>
      <c r="N336" s="218"/>
      <c r="O336" s="219"/>
      <c r="P336" s="216"/>
      <c r="Q336" s="217"/>
      <c r="R336" s="216"/>
      <c r="S336" s="218"/>
      <c r="T336" s="218"/>
      <c r="U336" s="220">
        <f>IF($A336="","",IF(N($Q336)&gt;0,IF(MOD($Q336,1)=0,$Q336+1-1/1440,$Q336),IF(N($B336)=0,"",$B336+IF(N($AH336)&gt;0,$AH336,IFERROR(INDEX(DM_SLA_Gio,MATCH($J336,DM_SLA_Cap,0)),168))/24)))</f>
      </c>
      <c r="V336" s="221">
        <f>IF($A336="","",IF(N($AJ336)=0,"Mới tiếp nhận",INDEX('Nhật ký tiến độ'!$E:$E,$AJ336)))</f>
      </c>
      <c r="W336" s="222">
        <f>IF($A336="","",IF($V336="Đã xử lý",1,IF(N($AJ336)=0,0,N(INDEX('Nhật ký tiến độ'!$D:$D,$AJ336)))))</f>
      </c>
      <c r="X336" s="222">
        <f>IF(OR($A336="",$V336="Đã xử lý",N($U336)=0,N($B336)=0),"",IF(TDBC&lt;=$B336,0,IF(TDBC&gt;=$U336,1,(TDBC-$B336)/($U336-$B336))))</f>
      </c>
      <c r="Y336" s="223">
        <f>IF($A336="","",IF($V336="Đã xử lý","Hoàn thành",IF(N($U336)=0,"Chưa đặt hạn",IF(TDBC&gt;$U336,"Quá hạn",IF(ROUND((N($X336)-$W336)*100,0)&gt;=20,"Chậm tiến độ",IF($U336-TDBC&lt;=1,"Sắp đến hạn","Đúng tiến độ"))))))</f>
      </c>
      <c r="Z336" s="223">
        <f>IF(OR($A336="",$V336="Đã xử lý",N($U336)=0),"",IF(TDBC&gt;$U336,"Quá "&amp;IF(((TDBC-$U336)*24)&lt;1,MAX(1,ROUND(((TDBC-$U336)*24)*60,0))&amp;" phút",IF(ROUND(((TDBC-$U336)*24),0)&lt;24,ROUND(((TDBC-$U336)*24),0)&amp;" giờ",INT(ROUND(((TDBC-$U336)*24),0)/24)&amp;" ngày"&amp;IF(MOD(ROUND(((TDBC-$U336)*24),0),24)&gt;0," "&amp;MOD(ROUND(((TDBC-$U336)*24),0),24)&amp;" giờ",""))),"Còn "&amp;IF((($U336-TDBC)*24)&lt;1,MAX(1,ROUND((($U336-TDBC)*24)*60,0))&amp;" phút",IF(ROUND((($U336-TDBC)*24),0)&lt;24,ROUND((($U336-TDBC)*24),0)&amp;" giờ",INT(ROUND((($U336-TDBC)*24),0)/24)&amp;" ngày"&amp;IF(MOD(ROUND((($U336-TDBC)*24),0),24)&gt;0," "&amp;MOD(ROUND((($U336-TDBC)*24),0),24)&amp;" giờ","")))))</f>
      </c>
      <c r="AA336" s="220">
        <f>IF($V336="Đã xử lý",_xlfn.MAXIFS('Nhật ký tiến độ'!$B$6:$B$3005,'Nhật ký tiến độ'!$C$6:$C$3005,$A336,'Nhật ký tiến độ'!$E$6:$E$3005,"Đã xử lý"),"")</f>
      </c>
      <c r="AB336" s="223">
        <f>IF($AI336="","",IF($AI336&lt;1,MAX(1,ROUND($AI336*60,0))&amp;" phút",IF(ROUND($AI336,0)&lt;24,ROUND($AI336,0)&amp;" giờ",INT(ROUND($AI336,0)/24)&amp;" ngày"&amp;IF(MOD(ROUND($AI336,0),24)&gt;0," "&amp;MOD(ROUND($AI336,0),24)&amp;" giờ",""))))</f>
      </c>
      <c r="AC336" s="223">
        <f>IF(OR($A336="",N($AH336)=0),"",IF($AI336&lt;&gt;"",IF($AI336&lt;=$AH336,"Trong ước tính","Vượt "&amp;IF(($AI336-$AH336)&lt;1,MAX(1,ROUND(($AI336-$AH336)*60,0))&amp;" phút",IF(ROUND(($AI336-$AH336),0)&lt;24,ROUND(($AI336-$AH336),0)&amp;" giờ",INT(ROUND(($AI336-$AH336),0)/24)&amp;" ngày"&amp;IF(MOD(ROUND(($AI336-$AH336),0),24)&gt;0," "&amp;MOD(ROUND(($AI336-$AH336),0),24)&amp;" giờ","")))),IF(OR($V336="Đã xử lý",N($B336)=0),"",IF((TDBC-$B336)*24&gt;$AH336,"Đã vượt ước tính","Đã dùng "&amp;TEXT((TDBC-$B336)*24/$AH336,"0%")))))</f>
      </c>
      <c r="AD336" s="223">
        <f>IF(N($AO336)=0,"",CHOOSE($AO336,"Nhắc nhở","Cảnh báo","Báo động","Báo động đỏ"))</f>
      </c>
      <c r="AE336" s="223">
        <f>IF(OR(N($AA336)=0,N($U336)=0),"",IF($AA336&lt;=$U336,"Đúng hạn","Trễ hạn"))</f>
      </c>
      <c r="AF336" s="220">
        <f>IF($A336="","",_xlfn.MAXIFS('Nhật ký tiến độ'!$B$6:$B$3005,'Nhật ký tiến độ'!$C$6:$C$3005,$A336))</f>
      </c>
      <c r="AG336" s="223">
        <f>IF($A336="","",IF(COUNTIF('Kế hoạch'!$M$6:$M$305,$A336)=0,"",COUNTIF('Kế hoạch'!$M$6:$M$305,$A336)&amp;" việc"))</f>
      </c>
      <c r="AH336" s="224">
        <f>IF(OR($A336="",N($O336)&lt;=0),"",IF($P336="Giờ",$O336,$O336*24))</f>
      </c>
      <c r="AI336" s="224">
        <f>IF(OR(N($AA336)=0,N($B336)=0),"",IF($AA336&lt;$B336,"",($AA336-$B336)*24))</f>
      </c>
      <c r="AJ336" s="225">
        <f>IF($A336="","",IF(COUNTIF('Nhật ký tiến độ'!$C$6:$C$3005,$A336)=0,0,_xlfn.MAXIFS('Nhật ký tiến độ'!$N$6:$N$3005,'Nhật ký tiến độ'!$C$6:$C$3005,$A336,'Nhật ký tiến độ'!$B$6:$B$3005,_xlfn.MAXIFS('Nhật ký tiến độ'!$B$6:$B$3005,'Nhật ký tiến độ'!$C$6:$C$3005,$A336))))</f>
      </c>
      <c r="AK336" s="225">
        <f>IF(OR($A336="",$V336="Đã xử lý"),"",IF(N($AO336)&gt;0,5-$AO336,IF($J336="Khẩn cấp",5,IF($Y336="Chậm tiến độ",6,IF(OR($Y336="Sắp đến hạn",$J336="Cao"),7,"")))))</f>
      </c>
      <c r="AL336" s="225">
        <f>IF($AK336="","",$AK336*100000+IF(N($U336)=0,99999,INT($U336))+ROW()/100000)</f>
      </c>
      <c r="AM336" s="225">
        <f>IF(OR($A336="",TRIM($K336)="",COUNTIF($K$6:$K336,$K336)&gt;1),0,1)</f>
      </c>
      <c r="AN336" s="225">
        <f>IF($AM336=1,SUM($AM$6:$AM336),"")</f>
      </c>
      <c r="AO336" s="225">
        <f>IF(OR($A336="",$V336="Đã xử lý",N($U336)=0),0,IF(TDBC&lt;=$U336,0,MAX(1,MIN(4,IF((TDBC-$U336)*24&lt;24,1,IF((TDBC-$U336)*24&lt;72,2,IF((TDBC-$U336)*24&lt;168,3,4)))+IFERROR(INDEX({2,1,0,-1},MATCH($J336,{"Khẩn cấp","Cao","Trung bình","Thấp"},0)),0)))))</f>
      </c>
    </row>
    <row r="337">
      <c r="A337" s="216"/>
      <c r="B337" s="217"/>
      <c r="C337" s="218"/>
      <c r="D337" s="218"/>
      <c r="E337" s="218"/>
      <c r="F337" s="218"/>
      <c r="G337" s="216"/>
      <c r="H337" s="218"/>
      <c r="I337" s="218"/>
      <c r="J337" s="216"/>
      <c r="K337" s="218"/>
      <c r="L337" s="218"/>
      <c r="M337" s="218"/>
      <c r="N337" s="218"/>
      <c r="O337" s="219"/>
      <c r="P337" s="216"/>
      <c r="Q337" s="217"/>
      <c r="R337" s="216"/>
      <c r="S337" s="218"/>
      <c r="T337" s="218"/>
      <c r="U337" s="220">
        <f>IF($A337="","",IF(N($Q337)&gt;0,IF(MOD($Q337,1)=0,$Q337+1-1/1440,$Q337),IF(N($B337)=0,"",$B337+IF(N($AH337)&gt;0,$AH337,IFERROR(INDEX(DM_SLA_Gio,MATCH($J337,DM_SLA_Cap,0)),168))/24)))</f>
      </c>
      <c r="V337" s="221">
        <f>IF($A337="","",IF(N($AJ337)=0,"Mới tiếp nhận",INDEX('Nhật ký tiến độ'!$E:$E,$AJ337)))</f>
      </c>
      <c r="W337" s="222">
        <f>IF($A337="","",IF($V337="Đã xử lý",1,IF(N($AJ337)=0,0,N(INDEX('Nhật ký tiến độ'!$D:$D,$AJ337)))))</f>
      </c>
      <c r="X337" s="222">
        <f>IF(OR($A337="",$V337="Đã xử lý",N($U337)=0,N($B337)=0),"",IF(TDBC&lt;=$B337,0,IF(TDBC&gt;=$U337,1,(TDBC-$B337)/($U337-$B337))))</f>
      </c>
      <c r="Y337" s="223">
        <f>IF($A337="","",IF($V337="Đã xử lý","Hoàn thành",IF(N($U337)=0,"Chưa đặt hạn",IF(TDBC&gt;$U337,"Quá hạn",IF(ROUND((N($X337)-$W337)*100,0)&gt;=20,"Chậm tiến độ",IF($U337-TDBC&lt;=1,"Sắp đến hạn","Đúng tiến độ"))))))</f>
      </c>
      <c r="Z337" s="223">
        <f>IF(OR($A337="",$V337="Đã xử lý",N($U337)=0),"",IF(TDBC&gt;$U337,"Quá "&amp;IF(((TDBC-$U337)*24)&lt;1,MAX(1,ROUND(((TDBC-$U337)*24)*60,0))&amp;" phút",IF(ROUND(((TDBC-$U337)*24),0)&lt;24,ROUND(((TDBC-$U337)*24),0)&amp;" giờ",INT(ROUND(((TDBC-$U337)*24),0)/24)&amp;" ngày"&amp;IF(MOD(ROUND(((TDBC-$U337)*24),0),24)&gt;0," "&amp;MOD(ROUND(((TDBC-$U337)*24),0),24)&amp;" giờ",""))),"Còn "&amp;IF((($U337-TDBC)*24)&lt;1,MAX(1,ROUND((($U337-TDBC)*24)*60,0))&amp;" phút",IF(ROUND((($U337-TDBC)*24),0)&lt;24,ROUND((($U337-TDBC)*24),0)&amp;" giờ",INT(ROUND((($U337-TDBC)*24),0)/24)&amp;" ngày"&amp;IF(MOD(ROUND((($U337-TDBC)*24),0),24)&gt;0," "&amp;MOD(ROUND((($U337-TDBC)*24),0),24)&amp;" giờ","")))))</f>
      </c>
      <c r="AA337" s="220">
        <f>IF($V337="Đã xử lý",_xlfn.MAXIFS('Nhật ký tiến độ'!$B$6:$B$3005,'Nhật ký tiến độ'!$C$6:$C$3005,$A337,'Nhật ký tiến độ'!$E$6:$E$3005,"Đã xử lý"),"")</f>
      </c>
      <c r="AB337" s="223">
        <f>IF($AI337="","",IF($AI337&lt;1,MAX(1,ROUND($AI337*60,0))&amp;" phút",IF(ROUND($AI337,0)&lt;24,ROUND($AI337,0)&amp;" giờ",INT(ROUND($AI337,0)/24)&amp;" ngày"&amp;IF(MOD(ROUND($AI337,0),24)&gt;0," "&amp;MOD(ROUND($AI337,0),24)&amp;" giờ",""))))</f>
      </c>
      <c r="AC337" s="223">
        <f>IF(OR($A337="",N($AH337)=0),"",IF($AI337&lt;&gt;"",IF($AI337&lt;=$AH337,"Trong ước tính","Vượt "&amp;IF(($AI337-$AH337)&lt;1,MAX(1,ROUND(($AI337-$AH337)*60,0))&amp;" phút",IF(ROUND(($AI337-$AH337),0)&lt;24,ROUND(($AI337-$AH337),0)&amp;" giờ",INT(ROUND(($AI337-$AH337),0)/24)&amp;" ngày"&amp;IF(MOD(ROUND(($AI337-$AH337),0),24)&gt;0," "&amp;MOD(ROUND(($AI337-$AH337),0),24)&amp;" giờ","")))),IF(OR($V337="Đã xử lý",N($B337)=0),"",IF((TDBC-$B337)*24&gt;$AH337,"Đã vượt ước tính","Đã dùng "&amp;TEXT((TDBC-$B337)*24/$AH337,"0%")))))</f>
      </c>
      <c r="AD337" s="223">
        <f>IF(N($AO337)=0,"",CHOOSE($AO337,"Nhắc nhở","Cảnh báo","Báo động","Báo động đỏ"))</f>
      </c>
      <c r="AE337" s="223">
        <f>IF(OR(N($AA337)=0,N($U337)=0),"",IF($AA337&lt;=$U337,"Đúng hạn","Trễ hạn"))</f>
      </c>
      <c r="AF337" s="220">
        <f>IF($A337="","",_xlfn.MAXIFS('Nhật ký tiến độ'!$B$6:$B$3005,'Nhật ký tiến độ'!$C$6:$C$3005,$A337))</f>
      </c>
      <c r="AG337" s="223">
        <f>IF($A337="","",IF(COUNTIF('Kế hoạch'!$M$6:$M$305,$A337)=0,"",COUNTIF('Kế hoạch'!$M$6:$M$305,$A337)&amp;" việc"))</f>
      </c>
      <c r="AH337" s="224">
        <f>IF(OR($A337="",N($O337)&lt;=0),"",IF($P337="Giờ",$O337,$O337*24))</f>
      </c>
      <c r="AI337" s="224">
        <f>IF(OR(N($AA337)=0,N($B337)=0),"",IF($AA337&lt;$B337,"",($AA337-$B337)*24))</f>
      </c>
      <c r="AJ337" s="225">
        <f>IF($A337="","",IF(COUNTIF('Nhật ký tiến độ'!$C$6:$C$3005,$A337)=0,0,_xlfn.MAXIFS('Nhật ký tiến độ'!$N$6:$N$3005,'Nhật ký tiến độ'!$C$6:$C$3005,$A337,'Nhật ký tiến độ'!$B$6:$B$3005,_xlfn.MAXIFS('Nhật ký tiến độ'!$B$6:$B$3005,'Nhật ký tiến độ'!$C$6:$C$3005,$A337))))</f>
      </c>
      <c r="AK337" s="225">
        <f>IF(OR($A337="",$V337="Đã xử lý"),"",IF(N($AO337)&gt;0,5-$AO337,IF($J337="Khẩn cấp",5,IF($Y337="Chậm tiến độ",6,IF(OR($Y337="Sắp đến hạn",$J337="Cao"),7,"")))))</f>
      </c>
      <c r="AL337" s="225">
        <f>IF($AK337="","",$AK337*100000+IF(N($U337)=0,99999,INT($U337))+ROW()/100000)</f>
      </c>
      <c r="AM337" s="225">
        <f>IF(OR($A337="",TRIM($K337)="",COUNTIF($K$6:$K337,$K337)&gt;1),0,1)</f>
      </c>
      <c r="AN337" s="225">
        <f>IF($AM337=1,SUM($AM$6:$AM337),"")</f>
      </c>
      <c r="AO337" s="225">
        <f>IF(OR($A337="",$V337="Đã xử lý",N($U337)=0),0,IF(TDBC&lt;=$U337,0,MAX(1,MIN(4,IF((TDBC-$U337)*24&lt;24,1,IF((TDBC-$U337)*24&lt;72,2,IF((TDBC-$U337)*24&lt;168,3,4)))+IFERROR(INDEX({2,1,0,-1},MATCH($J337,{"Khẩn cấp","Cao","Trung bình","Thấp"},0)),0)))))</f>
      </c>
    </row>
    <row r="338">
      <c r="A338" s="216"/>
      <c r="B338" s="217"/>
      <c r="C338" s="218"/>
      <c r="D338" s="218"/>
      <c r="E338" s="218"/>
      <c r="F338" s="218"/>
      <c r="G338" s="216"/>
      <c r="H338" s="218"/>
      <c r="I338" s="218"/>
      <c r="J338" s="216"/>
      <c r="K338" s="218"/>
      <c r="L338" s="218"/>
      <c r="M338" s="218"/>
      <c r="N338" s="218"/>
      <c r="O338" s="219"/>
      <c r="P338" s="216"/>
      <c r="Q338" s="217"/>
      <c r="R338" s="216"/>
      <c r="S338" s="218"/>
      <c r="T338" s="218"/>
      <c r="U338" s="220">
        <f>IF($A338="","",IF(N($Q338)&gt;0,IF(MOD($Q338,1)=0,$Q338+1-1/1440,$Q338),IF(N($B338)=0,"",$B338+IF(N($AH338)&gt;0,$AH338,IFERROR(INDEX(DM_SLA_Gio,MATCH($J338,DM_SLA_Cap,0)),168))/24)))</f>
      </c>
      <c r="V338" s="221">
        <f>IF($A338="","",IF(N($AJ338)=0,"Mới tiếp nhận",INDEX('Nhật ký tiến độ'!$E:$E,$AJ338)))</f>
      </c>
      <c r="W338" s="222">
        <f>IF($A338="","",IF($V338="Đã xử lý",1,IF(N($AJ338)=0,0,N(INDEX('Nhật ký tiến độ'!$D:$D,$AJ338)))))</f>
      </c>
      <c r="X338" s="222">
        <f>IF(OR($A338="",$V338="Đã xử lý",N($U338)=0,N($B338)=0),"",IF(TDBC&lt;=$B338,0,IF(TDBC&gt;=$U338,1,(TDBC-$B338)/($U338-$B338))))</f>
      </c>
      <c r="Y338" s="223">
        <f>IF($A338="","",IF($V338="Đã xử lý","Hoàn thành",IF(N($U338)=0,"Chưa đặt hạn",IF(TDBC&gt;$U338,"Quá hạn",IF(ROUND((N($X338)-$W338)*100,0)&gt;=20,"Chậm tiến độ",IF($U338-TDBC&lt;=1,"Sắp đến hạn","Đúng tiến độ"))))))</f>
      </c>
      <c r="Z338" s="223">
        <f>IF(OR($A338="",$V338="Đã xử lý",N($U338)=0),"",IF(TDBC&gt;$U338,"Quá "&amp;IF(((TDBC-$U338)*24)&lt;1,MAX(1,ROUND(((TDBC-$U338)*24)*60,0))&amp;" phút",IF(ROUND(((TDBC-$U338)*24),0)&lt;24,ROUND(((TDBC-$U338)*24),0)&amp;" giờ",INT(ROUND(((TDBC-$U338)*24),0)/24)&amp;" ngày"&amp;IF(MOD(ROUND(((TDBC-$U338)*24),0),24)&gt;0," "&amp;MOD(ROUND(((TDBC-$U338)*24),0),24)&amp;" giờ",""))),"Còn "&amp;IF((($U338-TDBC)*24)&lt;1,MAX(1,ROUND((($U338-TDBC)*24)*60,0))&amp;" phút",IF(ROUND((($U338-TDBC)*24),0)&lt;24,ROUND((($U338-TDBC)*24),0)&amp;" giờ",INT(ROUND((($U338-TDBC)*24),0)/24)&amp;" ngày"&amp;IF(MOD(ROUND((($U338-TDBC)*24),0),24)&gt;0," "&amp;MOD(ROUND((($U338-TDBC)*24),0),24)&amp;" giờ","")))))</f>
      </c>
      <c r="AA338" s="220">
        <f>IF($V338="Đã xử lý",_xlfn.MAXIFS('Nhật ký tiến độ'!$B$6:$B$3005,'Nhật ký tiến độ'!$C$6:$C$3005,$A338,'Nhật ký tiến độ'!$E$6:$E$3005,"Đã xử lý"),"")</f>
      </c>
      <c r="AB338" s="223">
        <f>IF($AI338="","",IF($AI338&lt;1,MAX(1,ROUND($AI338*60,0))&amp;" phút",IF(ROUND($AI338,0)&lt;24,ROUND($AI338,0)&amp;" giờ",INT(ROUND($AI338,0)/24)&amp;" ngày"&amp;IF(MOD(ROUND($AI338,0),24)&gt;0," "&amp;MOD(ROUND($AI338,0),24)&amp;" giờ",""))))</f>
      </c>
      <c r="AC338" s="223">
        <f>IF(OR($A338="",N($AH338)=0),"",IF($AI338&lt;&gt;"",IF($AI338&lt;=$AH338,"Trong ước tính","Vượt "&amp;IF(($AI338-$AH338)&lt;1,MAX(1,ROUND(($AI338-$AH338)*60,0))&amp;" phút",IF(ROUND(($AI338-$AH338),0)&lt;24,ROUND(($AI338-$AH338),0)&amp;" giờ",INT(ROUND(($AI338-$AH338),0)/24)&amp;" ngày"&amp;IF(MOD(ROUND(($AI338-$AH338),0),24)&gt;0," "&amp;MOD(ROUND(($AI338-$AH338),0),24)&amp;" giờ","")))),IF(OR($V338="Đã xử lý",N($B338)=0),"",IF((TDBC-$B338)*24&gt;$AH338,"Đã vượt ước tính","Đã dùng "&amp;TEXT((TDBC-$B338)*24/$AH338,"0%")))))</f>
      </c>
      <c r="AD338" s="223">
        <f>IF(N($AO338)=0,"",CHOOSE($AO338,"Nhắc nhở","Cảnh báo","Báo động","Báo động đỏ"))</f>
      </c>
      <c r="AE338" s="223">
        <f>IF(OR(N($AA338)=0,N($U338)=0),"",IF($AA338&lt;=$U338,"Đúng hạn","Trễ hạn"))</f>
      </c>
      <c r="AF338" s="220">
        <f>IF($A338="","",_xlfn.MAXIFS('Nhật ký tiến độ'!$B$6:$B$3005,'Nhật ký tiến độ'!$C$6:$C$3005,$A338))</f>
      </c>
      <c r="AG338" s="223">
        <f>IF($A338="","",IF(COUNTIF('Kế hoạch'!$M$6:$M$305,$A338)=0,"",COUNTIF('Kế hoạch'!$M$6:$M$305,$A338)&amp;" việc"))</f>
      </c>
      <c r="AH338" s="224">
        <f>IF(OR($A338="",N($O338)&lt;=0),"",IF($P338="Giờ",$O338,$O338*24))</f>
      </c>
      <c r="AI338" s="224">
        <f>IF(OR(N($AA338)=0,N($B338)=0),"",IF($AA338&lt;$B338,"",($AA338-$B338)*24))</f>
      </c>
      <c r="AJ338" s="225">
        <f>IF($A338="","",IF(COUNTIF('Nhật ký tiến độ'!$C$6:$C$3005,$A338)=0,0,_xlfn.MAXIFS('Nhật ký tiến độ'!$N$6:$N$3005,'Nhật ký tiến độ'!$C$6:$C$3005,$A338,'Nhật ký tiến độ'!$B$6:$B$3005,_xlfn.MAXIFS('Nhật ký tiến độ'!$B$6:$B$3005,'Nhật ký tiến độ'!$C$6:$C$3005,$A338))))</f>
      </c>
      <c r="AK338" s="225">
        <f>IF(OR($A338="",$V338="Đã xử lý"),"",IF(N($AO338)&gt;0,5-$AO338,IF($J338="Khẩn cấp",5,IF($Y338="Chậm tiến độ",6,IF(OR($Y338="Sắp đến hạn",$J338="Cao"),7,"")))))</f>
      </c>
      <c r="AL338" s="225">
        <f>IF($AK338="","",$AK338*100000+IF(N($U338)=0,99999,INT($U338))+ROW()/100000)</f>
      </c>
      <c r="AM338" s="225">
        <f>IF(OR($A338="",TRIM($K338)="",COUNTIF($K$6:$K338,$K338)&gt;1),0,1)</f>
      </c>
      <c r="AN338" s="225">
        <f>IF($AM338=1,SUM($AM$6:$AM338),"")</f>
      </c>
      <c r="AO338" s="225">
        <f>IF(OR($A338="",$V338="Đã xử lý",N($U338)=0),0,IF(TDBC&lt;=$U338,0,MAX(1,MIN(4,IF((TDBC-$U338)*24&lt;24,1,IF((TDBC-$U338)*24&lt;72,2,IF((TDBC-$U338)*24&lt;168,3,4)))+IFERROR(INDEX({2,1,0,-1},MATCH($J338,{"Khẩn cấp","Cao","Trung bình","Thấp"},0)),0)))))</f>
      </c>
    </row>
    <row r="339">
      <c r="A339" s="216"/>
      <c r="B339" s="217"/>
      <c r="C339" s="218"/>
      <c r="D339" s="218"/>
      <c r="E339" s="218"/>
      <c r="F339" s="218"/>
      <c r="G339" s="216"/>
      <c r="H339" s="218"/>
      <c r="I339" s="218"/>
      <c r="J339" s="216"/>
      <c r="K339" s="218"/>
      <c r="L339" s="218"/>
      <c r="M339" s="218"/>
      <c r="N339" s="218"/>
      <c r="O339" s="219"/>
      <c r="P339" s="216"/>
      <c r="Q339" s="217"/>
      <c r="R339" s="216"/>
      <c r="S339" s="218"/>
      <c r="T339" s="218"/>
      <c r="U339" s="220">
        <f>IF($A339="","",IF(N($Q339)&gt;0,IF(MOD($Q339,1)=0,$Q339+1-1/1440,$Q339),IF(N($B339)=0,"",$B339+IF(N($AH339)&gt;0,$AH339,IFERROR(INDEX(DM_SLA_Gio,MATCH($J339,DM_SLA_Cap,0)),168))/24)))</f>
      </c>
      <c r="V339" s="221">
        <f>IF($A339="","",IF(N($AJ339)=0,"Mới tiếp nhận",INDEX('Nhật ký tiến độ'!$E:$E,$AJ339)))</f>
      </c>
      <c r="W339" s="222">
        <f>IF($A339="","",IF($V339="Đã xử lý",1,IF(N($AJ339)=0,0,N(INDEX('Nhật ký tiến độ'!$D:$D,$AJ339)))))</f>
      </c>
      <c r="X339" s="222">
        <f>IF(OR($A339="",$V339="Đã xử lý",N($U339)=0,N($B339)=0),"",IF(TDBC&lt;=$B339,0,IF(TDBC&gt;=$U339,1,(TDBC-$B339)/($U339-$B339))))</f>
      </c>
      <c r="Y339" s="223">
        <f>IF($A339="","",IF($V339="Đã xử lý","Hoàn thành",IF(N($U339)=0,"Chưa đặt hạn",IF(TDBC&gt;$U339,"Quá hạn",IF(ROUND((N($X339)-$W339)*100,0)&gt;=20,"Chậm tiến độ",IF($U339-TDBC&lt;=1,"Sắp đến hạn","Đúng tiến độ"))))))</f>
      </c>
      <c r="Z339" s="223">
        <f>IF(OR($A339="",$V339="Đã xử lý",N($U339)=0),"",IF(TDBC&gt;$U339,"Quá "&amp;IF(((TDBC-$U339)*24)&lt;1,MAX(1,ROUND(((TDBC-$U339)*24)*60,0))&amp;" phút",IF(ROUND(((TDBC-$U339)*24),0)&lt;24,ROUND(((TDBC-$U339)*24),0)&amp;" giờ",INT(ROUND(((TDBC-$U339)*24),0)/24)&amp;" ngày"&amp;IF(MOD(ROUND(((TDBC-$U339)*24),0),24)&gt;0," "&amp;MOD(ROUND(((TDBC-$U339)*24),0),24)&amp;" giờ",""))),"Còn "&amp;IF((($U339-TDBC)*24)&lt;1,MAX(1,ROUND((($U339-TDBC)*24)*60,0))&amp;" phút",IF(ROUND((($U339-TDBC)*24),0)&lt;24,ROUND((($U339-TDBC)*24),0)&amp;" giờ",INT(ROUND((($U339-TDBC)*24),0)/24)&amp;" ngày"&amp;IF(MOD(ROUND((($U339-TDBC)*24),0),24)&gt;0," "&amp;MOD(ROUND((($U339-TDBC)*24),0),24)&amp;" giờ","")))))</f>
      </c>
      <c r="AA339" s="220">
        <f>IF($V339="Đã xử lý",_xlfn.MAXIFS('Nhật ký tiến độ'!$B$6:$B$3005,'Nhật ký tiến độ'!$C$6:$C$3005,$A339,'Nhật ký tiến độ'!$E$6:$E$3005,"Đã xử lý"),"")</f>
      </c>
      <c r="AB339" s="223">
        <f>IF($AI339="","",IF($AI339&lt;1,MAX(1,ROUND($AI339*60,0))&amp;" phút",IF(ROUND($AI339,0)&lt;24,ROUND($AI339,0)&amp;" giờ",INT(ROUND($AI339,0)/24)&amp;" ngày"&amp;IF(MOD(ROUND($AI339,0),24)&gt;0," "&amp;MOD(ROUND($AI339,0),24)&amp;" giờ",""))))</f>
      </c>
      <c r="AC339" s="223">
        <f>IF(OR($A339="",N($AH339)=0),"",IF($AI339&lt;&gt;"",IF($AI339&lt;=$AH339,"Trong ước tính","Vượt "&amp;IF(($AI339-$AH339)&lt;1,MAX(1,ROUND(($AI339-$AH339)*60,0))&amp;" phút",IF(ROUND(($AI339-$AH339),0)&lt;24,ROUND(($AI339-$AH339),0)&amp;" giờ",INT(ROUND(($AI339-$AH339),0)/24)&amp;" ngày"&amp;IF(MOD(ROUND(($AI339-$AH339),0),24)&gt;0," "&amp;MOD(ROUND(($AI339-$AH339),0),24)&amp;" giờ","")))),IF(OR($V339="Đã xử lý",N($B339)=0),"",IF((TDBC-$B339)*24&gt;$AH339,"Đã vượt ước tính","Đã dùng "&amp;TEXT((TDBC-$B339)*24/$AH339,"0%")))))</f>
      </c>
      <c r="AD339" s="223">
        <f>IF(N($AO339)=0,"",CHOOSE($AO339,"Nhắc nhở","Cảnh báo","Báo động","Báo động đỏ"))</f>
      </c>
      <c r="AE339" s="223">
        <f>IF(OR(N($AA339)=0,N($U339)=0),"",IF($AA339&lt;=$U339,"Đúng hạn","Trễ hạn"))</f>
      </c>
      <c r="AF339" s="220">
        <f>IF($A339="","",_xlfn.MAXIFS('Nhật ký tiến độ'!$B$6:$B$3005,'Nhật ký tiến độ'!$C$6:$C$3005,$A339))</f>
      </c>
      <c r="AG339" s="223">
        <f>IF($A339="","",IF(COUNTIF('Kế hoạch'!$M$6:$M$305,$A339)=0,"",COUNTIF('Kế hoạch'!$M$6:$M$305,$A339)&amp;" việc"))</f>
      </c>
      <c r="AH339" s="224">
        <f>IF(OR($A339="",N($O339)&lt;=0),"",IF($P339="Giờ",$O339,$O339*24))</f>
      </c>
      <c r="AI339" s="224">
        <f>IF(OR(N($AA339)=0,N($B339)=0),"",IF($AA339&lt;$B339,"",($AA339-$B339)*24))</f>
      </c>
      <c r="AJ339" s="225">
        <f>IF($A339="","",IF(COUNTIF('Nhật ký tiến độ'!$C$6:$C$3005,$A339)=0,0,_xlfn.MAXIFS('Nhật ký tiến độ'!$N$6:$N$3005,'Nhật ký tiến độ'!$C$6:$C$3005,$A339,'Nhật ký tiến độ'!$B$6:$B$3005,_xlfn.MAXIFS('Nhật ký tiến độ'!$B$6:$B$3005,'Nhật ký tiến độ'!$C$6:$C$3005,$A339))))</f>
      </c>
      <c r="AK339" s="225">
        <f>IF(OR($A339="",$V339="Đã xử lý"),"",IF(N($AO339)&gt;0,5-$AO339,IF($J339="Khẩn cấp",5,IF($Y339="Chậm tiến độ",6,IF(OR($Y339="Sắp đến hạn",$J339="Cao"),7,"")))))</f>
      </c>
      <c r="AL339" s="225">
        <f>IF($AK339="","",$AK339*100000+IF(N($U339)=0,99999,INT($U339))+ROW()/100000)</f>
      </c>
      <c r="AM339" s="225">
        <f>IF(OR($A339="",TRIM($K339)="",COUNTIF($K$6:$K339,$K339)&gt;1),0,1)</f>
      </c>
      <c r="AN339" s="225">
        <f>IF($AM339=1,SUM($AM$6:$AM339),"")</f>
      </c>
      <c r="AO339" s="225">
        <f>IF(OR($A339="",$V339="Đã xử lý",N($U339)=0),0,IF(TDBC&lt;=$U339,0,MAX(1,MIN(4,IF((TDBC-$U339)*24&lt;24,1,IF((TDBC-$U339)*24&lt;72,2,IF((TDBC-$U339)*24&lt;168,3,4)))+IFERROR(INDEX({2,1,0,-1},MATCH($J339,{"Khẩn cấp","Cao","Trung bình","Thấp"},0)),0)))))</f>
      </c>
    </row>
    <row r="340">
      <c r="A340" s="216"/>
      <c r="B340" s="217"/>
      <c r="C340" s="218"/>
      <c r="D340" s="218"/>
      <c r="E340" s="218"/>
      <c r="F340" s="218"/>
      <c r="G340" s="216"/>
      <c r="H340" s="218"/>
      <c r="I340" s="218"/>
      <c r="J340" s="216"/>
      <c r="K340" s="218"/>
      <c r="L340" s="218"/>
      <c r="M340" s="218"/>
      <c r="N340" s="218"/>
      <c r="O340" s="219"/>
      <c r="P340" s="216"/>
      <c r="Q340" s="217"/>
      <c r="R340" s="216"/>
      <c r="S340" s="218"/>
      <c r="T340" s="218"/>
      <c r="U340" s="220">
        <f>IF($A340="","",IF(N($Q340)&gt;0,IF(MOD($Q340,1)=0,$Q340+1-1/1440,$Q340),IF(N($B340)=0,"",$B340+IF(N($AH340)&gt;0,$AH340,IFERROR(INDEX(DM_SLA_Gio,MATCH($J340,DM_SLA_Cap,0)),168))/24)))</f>
      </c>
      <c r="V340" s="221">
        <f>IF($A340="","",IF(N($AJ340)=0,"Mới tiếp nhận",INDEX('Nhật ký tiến độ'!$E:$E,$AJ340)))</f>
      </c>
      <c r="W340" s="222">
        <f>IF($A340="","",IF($V340="Đã xử lý",1,IF(N($AJ340)=0,0,N(INDEX('Nhật ký tiến độ'!$D:$D,$AJ340)))))</f>
      </c>
      <c r="X340" s="222">
        <f>IF(OR($A340="",$V340="Đã xử lý",N($U340)=0,N($B340)=0),"",IF(TDBC&lt;=$B340,0,IF(TDBC&gt;=$U340,1,(TDBC-$B340)/($U340-$B340))))</f>
      </c>
      <c r="Y340" s="223">
        <f>IF($A340="","",IF($V340="Đã xử lý","Hoàn thành",IF(N($U340)=0,"Chưa đặt hạn",IF(TDBC&gt;$U340,"Quá hạn",IF(ROUND((N($X340)-$W340)*100,0)&gt;=20,"Chậm tiến độ",IF($U340-TDBC&lt;=1,"Sắp đến hạn","Đúng tiến độ"))))))</f>
      </c>
      <c r="Z340" s="223">
        <f>IF(OR($A340="",$V340="Đã xử lý",N($U340)=0),"",IF(TDBC&gt;$U340,"Quá "&amp;IF(((TDBC-$U340)*24)&lt;1,MAX(1,ROUND(((TDBC-$U340)*24)*60,0))&amp;" phút",IF(ROUND(((TDBC-$U340)*24),0)&lt;24,ROUND(((TDBC-$U340)*24),0)&amp;" giờ",INT(ROUND(((TDBC-$U340)*24),0)/24)&amp;" ngày"&amp;IF(MOD(ROUND(((TDBC-$U340)*24),0),24)&gt;0," "&amp;MOD(ROUND(((TDBC-$U340)*24),0),24)&amp;" giờ",""))),"Còn "&amp;IF((($U340-TDBC)*24)&lt;1,MAX(1,ROUND((($U340-TDBC)*24)*60,0))&amp;" phút",IF(ROUND((($U340-TDBC)*24),0)&lt;24,ROUND((($U340-TDBC)*24),0)&amp;" giờ",INT(ROUND((($U340-TDBC)*24),0)/24)&amp;" ngày"&amp;IF(MOD(ROUND((($U340-TDBC)*24),0),24)&gt;0," "&amp;MOD(ROUND((($U340-TDBC)*24),0),24)&amp;" giờ","")))))</f>
      </c>
      <c r="AA340" s="220">
        <f>IF($V340="Đã xử lý",_xlfn.MAXIFS('Nhật ký tiến độ'!$B$6:$B$3005,'Nhật ký tiến độ'!$C$6:$C$3005,$A340,'Nhật ký tiến độ'!$E$6:$E$3005,"Đã xử lý"),"")</f>
      </c>
      <c r="AB340" s="223">
        <f>IF($AI340="","",IF($AI340&lt;1,MAX(1,ROUND($AI340*60,0))&amp;" phút",IF(ROUND($AI340,0)&lt;24,ROUND($AI340,0)&amp;" giờ",INT(ROUND($AI340,0)/24)&amp;" ngày"&amp;IF(MOD(ROUND($AI340,0),24)&gt;0," "&amp;MOD(ROUND($AI340,0),24)&amp;" giờ",""))))</f>
      </c>
      <c r="AC340" s="223">
        <f>IF(OR($A340="",N($AH340)=0),"",IF($AI340&lt;&gt;"",IF($AI340&lt;=$AH340,"Trong ước tính","Vượt "&amp;IF(($AI340-$AH340)&lt;1,MAX(1,ROUND(($AI340-$AH340)*60,0))&amp;" phút",IF(ROUND(($AI340-$AH340),0)&lt;24,ROUND(($AI340-$AH340),0)&amp;" giờ",INT(ROUND(($AI340-$AH340),0)/24)&amp;" ngày"&amp;IF(MOD(ROUND(($AI340-$AH340),0),24)&gt;0," "&amp;MOD(ROUND(($AI340-$AH340),0),24)&amp;" giờ","")))),IF(OR($V340="Đã xử lý",N($B340)=0),"",IF((TDBC-$B340)*24&gt;$AH340,"Đã vượt ước tính","Đã dùng "&amp;TEXT((TDBC-$B340)*24/$AH340,"0%")))))</f>
      </c>
      <c r="AD340" s="223">
        <f>IF(N($AO340)=0,"",CHOOSE($AO340,"Nhắc nhở","Cảnh báo","Báo động","Báo động đỏ"))</f>
      </c>
      <c r="AE340" s="223">
        <f>IF(OR(N($AA340)=0,N($U340)=0),"",IF($AA340&lt;=$U340,"Đúng hạn","Trễ hạn"))</f>
      </c>
      <c r="AF340" s="220">
        <f>IF($A340="","",_xlfn.MAXIFS('Nhật ký tiến độ'!$B$6:$B$3005,'Nhật ký tiến độ'!$C$6:$C$3005,$A340))</f>
      </c>
      <c r="AG340" s="223">
        <f>IF($A340="","",IF(COUNTIF('Kế hoạch'!$M$6:$M$305,$A340)=0,"",COUNTIF('Kế hoạch'!$M$6:$M$305,$A340)&amp;" việc"))</f>
      </c>
      <c r="AH340" s="224">
        <f>IF(OR($A340="",N($O340)&lt;=0),"",IF($P340="Giờ",$O340,$O340*24))</f>
      </c>
      <c r="AI340" s="224">
        <f>IF(OR(N($AA340)=0,N($B340)=0),"",IF($AA340&lt;$B340,"",($AA340-$B340)*24))</f>
      </c>
      <c r="AJ340" s="225">
        <f>IF($A340="","",IF(COUNTIF('Nhật ký tiến độ'!$C$6:$C$3005,$A340)=0,0,_xlfn.MAXIFS('Nhật ký tiến độ'!$N$6:$N$3005,'Nhật ký tiến độ'!$C$6:$C$3005,$A340,'Nhật ký tiến độ'!$B$6:$B$3005,_xlfn.MAXIFS('Nhật ký tiến độ'!$B$6:$B$3005,'Nhật ký tiến độ'!$C$6:$C$3005,$A340))))</f>
      </c>
      <c r="AK340" s="225">
        <f>IF(OR($A340="",$V340="Đã xử lý"),"",IF(N($AO340)&gt;0,5-$AO340,IF($J340="Khẩn cấp",5,IF($Y340="Chậm tiến độ",6,IF(OR($Y340="Sắp đến hạn",$J340="Cao"),7,"")))))</f>
      </c>
      <c r="AL340" s="225">
        <f>IF($AK340="","",$AK340*100000+IF(N($U340)=0,99999,INT($U340))+ROW()/100000)</f>
      </c>
      <c r="AM340" s="225">
        <f>IF(OR($A340="",TRIM($K340)="",COUNTIF($K$6:$K340,$K340)&gt;1),0,1)</f>
      </c>
      <c r="AN340" s="225">
        <f>IF($AM340=1,SUM($AM$6:$AM340),"")</f>
      </c>
      <c r="AO340" s="225">
        <f>IF(OR($A340="",$V340="Đã xử lý",N($U340)=0),0,IF(TDBC&lt;=$U340,0,MAX(1,MIN(4,IF((TDBC-$U340)*24&lt;24,1,IF((TDBC-$U340)*24&lt;72,2,IF((TDBC-$U340)*24&lt;168,3,4)))+IFERROR(INDEX({2,1,0,-1},MATCH($J340,{"Khẩn cấp","Cao","Trung bình","Thấp"},0)),0)))))</f>
      </c>
    </row>
    <row r="341">
      <c r="A341" s="216"/>
      <c r="B341" s="217"/>
      <c r="C341" s="218"/>
      <c r="D341" s="218"/>
      <c r="E341" s="218"/>
      <c r="F341" s="218"/>
      <c r="G341" s="216"/>
      <c r="H341" s="218"/>
      <c r="I341" s="218"/>
      <c r="J341" s="216"/>
      <c r="K341" s="218"/>
      <c r="L341" s="218"/>
      <c r="M341" s="218"/>
      <c r="N341" s="218"/>
      <c r="O341" s="219"/>
      <c r="P341" s="216"/>
      <c r="Q341" s="217"/>
      <c r="R341" s="216"/>
      <c r="S341" s="218"/>
      <c r="T341" s="218"/>
      <c r="U341" s="220">
        <f>IF($A341="","",IF(N($Q341)&gt;0,IF(MOD($Q341,1)=0,$Q341+1-1/1440,$Q341),IF(N($B341)=0,"",$B341+IF(N($AH341)&gt;0,$AH341,IFERROR(INDEX(DM_SLA_Gio,MATCH($J341,DM_SLA_Cap,0)),168))/24)))</f>
      </c>
      <c r="V341" s="221">
        <f>IF($A341="","",IF(N($AJ341)=0,"Mới tiếp nhận",INDEX('Nhật ký tiến độ'!$E:$E,$AJ341)))</f>
      </c>
      <c r="W341" s="222">
        <f>IF($A341="","",IF($V341="Đã xử lý",1,IF(N($AJ341)=0,0,N(INDEX('Nhật ký tiến độ'!$D:$D,$AJ341)))))</f>
      </c>
      <c r="X341" s="222">
        <f>IF(OR($A341="",$V341="Đã xử lý",N($U341)=0,N($B341)=0),"",IF(TDBC&lt;=$B341,0,IF(TDBC&gt;=$U341,1,(TDBC-$B341)/($U341-$B341))))</f>
      </c>
      <c r="Y341" s="223">
        <f>IF($A341="","",IF($V341="Đã xử lý","Hoàn thành",IF(N($U341)=0,"Chưa đặt hạn",IF(TDBC&gt;$U341,"Quá hạn",IF(ROUND((N($X341)-$W341)*100,0)&gt;=20,"Chậm tiến độ",IF($U341-TDBC&lt;=1,"Sắp đến hạn","Đúng tiến độ"))))))</f>
      </c>
      <c r="Z341" s="223">
        <f>IF(OR($A341="",$V341="Đã xử lý",N($U341)=0),"",IF(TDBC&gt;$U341,"Quá "&amp;IF(((TDBC-$U341)*24)&lt;1,MAX(1,ROUND(((TDBC-$U341)*24)*60,0))&amp;" phút",IF(ROUND(((TDBC-$U341)*24),0)&lt;24,ROUND(((TDBC-$U341)*24),0)&amp;" giờ",INT(ROUND(((TDBC-$U341)*24),0)/24)&amp;" ngày"&amp;IF(MOD(ROUND(((TDBC-$U341)*24),0),24)&gt;0," "&amp;MOD(ROUND(((TDBC-$U341)*24),0),24)&amp;" giờ",""))),"Còn "&amp;IF((($U341-TDBC)*24)&lt;1,MAX(1,ROUND((($U341-TDBC)*24)*60,0))&amp;" phút",IF(ROUND((($U341-TDBC)*24),0)&lt;24,ROUND((($U341-TDBC)*24),0)&amp;" giờ",INT(ROUND((($U341-TDBC)*24),0)/24)&amp;" ngày"&amp;IF(MOD(ROUND((($U341-TDBC)*24),0),24)&gt;0," "&amp;MOD(ROUND((($U341-TDBC)*24),0),24)&amp;" giờ","")))))</f>
      </c>
      <c r="AA341" s="220">
        <f>IF($V341="Đã xử lý",_xlfn.MAXIFS('Nhật ký tiến độ'!$B$6:$B$3005,'Nhật ký tiến độ'!$C$6:$C$3005,$A341,'Nhật ký tiến độ'!$E$6:$E$3005,"Đã xử lý"),"")</f>
      </c>
      <c r="AB341" s="223">
        <f>IF($AI341="","",IF($AI341&lt;1,MAX(1,ROUND($AI341*60,0))&amp;" phút",IF(ROUND($AI341,0)&lt;24,ROUND($AI341,0)&amp;" giờ",INT(ROUND($AI341,0)/24)&amp;" ngày"&amp;IF(MOD(ROUND($AI341,0),24)&gt;0," "&amp;MOD(ROUND($AI341,0),24)&amp;" giờ",""))))</f>
      </c>
      <c r="AC341" s="223">
        <f>IF(OR($A341="",N($AH341)=0),"",IF($AI341&lt;&gt;"",IF($AI341&lt;=$AH341,"Trong ước tính","Vượt "&amp;IF(($AI341-$AH341)&lt;1,MAX(1,ROUND(($AI341-$AH341)*60,0))&amp;" phút",IF(ROUND(($AI341-$AH341),0)&lt;24,ROUND(($AI341-$AH341),0)&amp;" giờ",INT(ROUND(($AI341-$AH341),0)/24)&amp;" ngày"&amp;IF(MOD(ROUND(($AI341-$AH341),0),24)&gt;0," "&amp;MOD(ROUND(($AI341-$AH341),0),24)&amp;" giờ","")))),IF(OR($V341="Đã xử lý",N($B341)=0),"",IF((TDBC-$B341)*24&gt;$AH341,"Đã vượt ước tính","Đã dùng "&amp;TEXT((TDBC-$B341)*24/$AH341,"0%")))))</f>
      </c>
      <c r="AD341" s="223">
        <f>IF(N($AO341)=0,"",CHOOSE($AO341,"Nhắc nhở","Cảnh báo","Báo động","Báo động đỏ"))</f>
      </c>
      <c r="AE341" s="223">
        <f>IF(OR(N($AA341)=0,N($U341)=0),"",IF($AA341&lt;=$U341,"Đúng hạn","Trễ hạn"))</f>
      </c>
      <c r="AF341" s="220">
        <f>IF($A341="","",_xlfn.MAXIFS('Nhật ký tiến độ'!$B$6:$B$3005,'Nhật ký tiến độ'!$C$6:$C$3005,$A341))</f>
      </c>
      <c r="AG341" s="223">
        <f>IF($A341="","",IF(COUNTIF('Kế hoạch'!$M$6:$M$305,$A341)=0,"",COUNTIF('Kế hoạch'!$M$6:$M$305,$A341)&amp;" việc"))</f>
      </c>
      <c r="AH341" s="224">
        <f>IF(OR($A341="",N($O341)&lt;=0),"",IF($P341="Giờ",$O341,$O341*24))</f>
      </c>
      <c r="AI341" s="224">
        <f>IF(OR(N($AA341)=0,N($B341)=0),"",IF($AA341&lt;$B341,"",($AA341-$B341)*24))</f>
      </c>
      <c r="AJ341" s="225">
        <f>IF($A341="","",IF(COUNTIF('Nhật ký tiến độ'!$C$6:$C$3005,$A341)=0,0,_xlfn.MAXIFS('Nhật ký tiến độ'!$N$6:$N$3005,'Nhật ký tiến độ'!$C$6:$C$3005,$A341,'Nhật ký tiến độ'!$B$6:$B$3005,_xlfn.MAXIFS('Nhật ký tiến độ'!$B$6:$B$3005,'Nhật ký tiến độ'!$C$6:$C$3005,$A341))))</f>
      </c>
      <c r="AK341" s="225">
        <f>IF(OR($A341="",$V341="Đã xử lý"),"",IF(N($AO341)&gt;0,5-$AO341,IF($J341="Khẩn cấp",5,IF($Y341="Chậm tiến độ",6,IF(OR($Y341="Sắp đến hạn",$J341="Cao"),7,"")))))</f>
      </c>
      <c r="AL341" s="225">
        <f>IF($AK341="","",$AK341*100000+IF(N($U341)=0,99999,INT($U341))+ROW()/100000)</f>
      </c>
      <c r="AM341" s="225">
        <f>IF(OR($A341="",TRIM($K341)="",COUNTIF($K$6:$K341,$K341)&gt;1),0,1)</f>
      </c>
      <c r="AN341" s="225">
        <f>IF($AM341=1,SUM($AM$6:$AM341),"")</f>
      </c>
      <c r="AO341" s="225">
        <f>IF(OR($A341="",$V341="Đã xử lý",N($U341)=0),0,IF(TDBC&lt;=$U341,0,MAX(1,MIN(4,IF((TDBC-$U341)*24&lt;24,1,IF((TDBC-$U341)*24&lt;72,2,IF((TDBC-$U341)*24&lt;168,3,4)))+IFERROR(INDEX({2,1,0,-1},MATCH($J341,{"Khẩn cấp","Cao","Trung bình","Thấp"},0)),0)))))</f>
      </c>
    </row>
    <row r="342">
      <c r="A342" s="216"/>
      <c r="B342" s="217"/>
      <c r="C342" s="218"/>
      <c r="D342" s="218"/>
      <c r="E342" s="218"/>
      <c r="F342" s="218"/>
      <c r="G342" s="216"/>
      <c r="H342" s="218"/>
      <c r="I342" s="218"/>
      <c r="J342" s="216"/>
      <c r="K342" s="218"/>
      <c r="L342" s="218"/>
      <c r="M342" s="218"/>
      <c r="N342" s="218"/>
      <c r="O342" s="219"/>
      <c r="P342" s="216"/>
      <c r="Q342" s="217"/>
      <c r="R342" s="216"/>
      <c r="S342" s="218"/>
      <c r="T342" s="218"/>
      <c r="U342" s="220">
        <f>IF($A342="","",IF(N($Q342)&gt;0,IF(MOD($Q342,1)=0,$Q342+1-1/1440,$Q342),IF(N($B342)=0,"",$B342+IF(N($AH342)&gt;0,$AH342,IFERROR(INDEX(DM_SLA_Gio,MATCH($J342,DM_SLA_Cap,0)),168))/24)))</f>
      </c>
      <c r="V342" s="221">
        <f>IF($A342="","",IF(N($AJ342)=0,"Mới tiếp nhận",INDEX('Nhật ký tiến độ'!$E:$E,$AJ342)))</f>
      </c>
      <c r="W342" s="222">
        <f>IF($A342="","",IF($V342="Đã xử lý",1,IF(N($AJ342)=0,0,N(INDEX('Nhật ký tiến độ'!$D:$D,$AJ342)))))</f>
      </c>
      <c r="X342" s="222">
        <f>IF(OR($A342="",$V342="Đã xử lý",N($U342)=0,N($B342)=0),"",IF(TDBC&lt;=$B342,0,IF(TDBC&gt;=$U342,1,(TDBC-$B342)/($U342-$B342))))</f>
      </c>
      <c r="Y342" s="223">
        <f>IF($A342="","",IF($V342="Đã xử lý","Hoàn thành",IF(N($U342)=0,"Chưa đặt hạn",IF(TDBC&gt;$U342,"Quá hạn",IF(ROUND((N($X342)-$W342)*100,0)&gt;=20,"Chậm tiến độ",IF($U342-TDBC&lt;=1,"Sắp đến hạn","Đúng tiến độ"))))))</f>
      </c>
      <c r="Z342" s="223">
        <f>IF(OR($A342="",$V342="Đã xử lý",N($U342)=0),"",IF(TDBC&gt;$U342,"Quá "&amp;IF(((TDBC-$U342)*24)&lt;1,MAX(1,ROUND(((TDBC-$U342)*24)*60,0))&amp;" phút",IF(ROUND(((TDBC-$U342)*24),0)&lt;24,ROUND(((TDBC-$U342)*24),0)&amp;" giờ",INT(ROUND(((TDBC-$U342)*24),0)/24)&amp;" ngày"&amp;IF(MOD(ROUND(((TDBC-$U342)*24),0),24)&gt;0," "&amp;MOD(ROUND(((TDBC-$U342)*24),0),24)&amp;" giờ",""))),"Còn "&amp;IF((($U342-TDBC)*24)&lt;1,MAX(1,ROUND((($U342-TDBC)*24)*60,0))&amp;" phút",IF(ROUND((($U342-TDBC)*24),0)&lt;24,ROUND((($U342-TDBC)*24),0)&amp;" giờ",INT(ROUND((($U342-TDBC)*24),0)/24)&amp;" ngày"&amp;IF(MOD(ROUND((($U342-TDBC)*24),0),24)&gt;0," "&amp;MOD(ROUND((($U342-TDBC)*24),0),24)&amp;" giờ","")))))</f>
      </c>
      <c r="AA342" s="220">
        <f>IF($V342="Đã xử lý",_xlfn.MAXIFS('Nhật ký tiến độ'!$B$6:$B$3005,'Nhật ký tiến độ'!$C$6:$C$3005,$A342,'Nhật ký tiến độ'!$E$6:$E$3005,"Đã xử lý"),"")</f>
      </c>
      <c r="AB342" s="223">
        <f>IF($AI342="","",IF($AI342&lt;1,MAX(1,ROUND($AI342*60,0))&amp;" phút",IF(ROUND($AI342,0)&lt;24,ROUND($AI342,0)&amp;" giờ",INT(ROUND($AI342,0)/24)&amp;" ngày"&amp;IF(MOD(ROUND($AI342,0),24)&gt;0," "&amp;MOD(ROUND($AI342,0),24)&amp;" giờ",""))))</f>
      </c>
      <c r="AC342" s="223">
        <f>IF(OR($A342="",N($AH342)=0),"",IF($AI342&lt;&gt;"",IF($AI342&lt;=$AH342,"Trong ước tính","Vượt "&amp;IF(($AI342-$AH342)&lt;1,MAX(1,ROUND(($AI342-$AH342)*60,0))&amp;" phút",IF(ROUND(($AI342-$AH342),0)&lt;24,ROUND(($AI342-$AH342),0)&amp;" giờ",INT(ROUND(($AI342-$AH342),0)/24)&amp;" ngày"&amp;IF(MOD(ROUND(($AI342-$AH342),0),24)&gt;0," "&amp;MOD(ROUND(($AI342-$AH342),0),24)&amp;" giờ","")))),IF(OR($V342="Đã xử lý",N($B342)=0),"",IF((TDBC-$B342)*24&gt;$AH342,"Đã vượt ước tính","Đã dùng "&amp;TEXT((TDBC-$B342)*24/$AH342,"0%")))))</f>
      </c>
      <c r="AD342" s="223">
        <f>IF(N($AO342)=0,"",CHOOSE($AO342,"Nhắc nhở","Cảnh báo","Báo động","Báo động đỏ"))</f>
      </c>
      <c r="AE342" s="223">
        <f>IF(OR(N($AA342)=0,N($U342)=0),"",IF($AA342&lt;=$U342,"Đúng hạn","Trễ hạn"))</f>
      </c>
      <c r="AF342" s="220">
        <f>IF($A342="","",_xlfn.MAXIFS('Nhật ký tiến độ'!$B$6:$B$3005,'Nhật ký tiến độ'!$C$6:$C$3005,$A342))</f>
      </c>
      <c r="AG342" s="223">
        <f>IF($A342="","",IF(COUNTIF('Kế hoạch'!$M$6:$M$305,$A342)=0,"",COUNTIF('Kế hoạch'!$M$6:$M$305,$A342)&amp;" việc"))</f>
      </c>
      <c r="AH342" s="224">
        <f>IF(OR($A342="",N($O342)&lt;=0),"",IF($P342="Giờ",$O342,$O342*24))</f>
      </c>
      <c r="AI342" s="224">
        <f>IF(OR(N($AA342)=0,N($B342)=0),"",IF($AA342&lt;$B342,"",($AA342-$B342)*24))</f>
      </c>
      <c r="AJ342" s="225">
        <f>IF($A342="","",IF(COUNTIF('Nhật ký tiến độ'!$C$6:$C$3005,$A342)=0,0,_xlfn.MAXIFS('Nhật ký tiến độ'!$N$6:$N$3005,'Nhật ký tiến độ'!$C$6:$C$3005,$A342,'Nhật ký tiến độ'!$B$6:$B$3005,_xlfn.MAXIFS('Nhật ký tiến độ'!$B$6:$B$3005,'Nhật ký tiến độ'!$C$6:$C$3005,$A342))))</f>
      </c>
      <c r="AK342" s="225">
        <f>IF(OR($A342="",$V342="Đã xử lý"),"",IF(N($AO342)&gt;0,5-$AO342,IF($J342="Khẩn cấp",5,IF($Y342="Chậm tiến độ",6,IF(OR($Y342="Sắp đến hạn",$J342="Cao"),7,"")))))</f>
      </c>
      <c r="AL342" s="225">
        <f>IF($AK342="","",$AK342*100000+IF(N($U342)=0,99999,INT($U342))+ROW()/100000)</f>
      </c>
      <c r="AM342" s="225">
        <f>IF(OR($A342="",TRIM($K342)="",COUNTIF($K$6:$K342,$K342)&gt;1),0,1)</f>
      </c>
      <c r="AN342" s="225">
        <f>IF($AM342=1,SUM($AM$6:$AM342),"")</f>
      </c>
      <c r="AO342" s="225">
        <f>IF(OR($A342="",$V342="Đã xử lý",N($U342)=0),0,IF(TDBC&lt;=$U342,0,MAX(1,MIN(4,IF((TDBC-$U342)*24&lt;24,1,IF((TDBC-$U342)*24&lt;72,2,IF((TDBC-$U342)*24&lt;168,3,4)))+IFERROR(INDEX({2,1,0,-1},MATCH($J342,{"Khẩn cấp","Cao","Trung bình","Thấp"},0)),0)))))</f>
      </c>
    </row>
    <row r="343">
      <c r="A343" s="216"/>
      <c r="B343" s="217"/>
      <c r="C343" s="218"/>
      <c r="D343" s="218"/>
      <c r="E343" s="218"/>
      <c r="F343" s="218"/>
      <c r="G343" s="216"/>
      <c r="H343" s="218"/>
      <c r="I343" s="218"/>
      <c r="J343" s="216"/>
      <c r="K343" s="218"/>
      <c r="L343" s="218"/>
      <c r="M343" s="218"/>
      <c r="N343" s="218"/>
      <c r="O343" s="219"/>
      <c r="P343" s="216"/>
      <c r="Q343" s="217"/>
      <c r="R343" s="216"/>
      <c r="S343" s="218"/>
      <c r="T343" s="218"/>
      <c r="U343" s="220">
        <f>IF($A343="","",IF(N($Q343)&gt;0,IF(MOD($Q343,1)=0,$Q343+1-1/1440,$Q343),IF(N($B343)=0,"",$B343+IF(N($AH343)&gt;0,$AH343,IFERROR(INDEX(DM_SLA_Gio,MATCH($J343,DM_SLA_Cap,0)),168))/24)))</f>
      </c>
      <c r="V343" s="221">
        <f>IF($A343="","",IF(N($AJ343)=0,"Mới tiếp nhận",INDEX('Nhật ký tiến độ'!$E:$E,$AJ343)))</f>
      </c>
      <c r="W343" s="222">
        <f>IF($A343="","",IF($V343="Đã xử lý",1,IF(N($AJ343)=0,0,N(INDEX('Nhật ký tiến độ'!$D:$D,$AJ343)))))</f>
      </c>
      <c r="X343" s="222">
        <f>IF(OR($A343="",$V343="Đã xử lý",N($U343)=0,N($B343)=0),"",IF(TDBC&lt;=$B343,0,IF(TDBC&gt;=$U343,1,(TDBC-$B343)/($U343-$B343))))</f>
      </c>
      <c r="Y343" s="223">
        <f>IF($A343="","",IF($V343="Đã xử lý","Hoàn thành",IF(N($U343)=0,"Chưa đặt hạn",IF(TDBC&gt;$U343,"Quá hạn",IF(ROUND((N($X343)-$W343)*100,0)&gt;=20,"Chậm tiến độ",IF($U343-TDBC&lt;=1,"Sắp đến hạn","Đúng tiến độ"))))))</f>
      </c>
      <c r="Z343" s="223">
        <f>IF(OR($A343="",$V343="Đã xử lý",N($U343)=0),"",IF(TDBC&gt;$U343,"Quá "&amp;IF(((TDBC-$U343)*24)&lt;1,MAX(1,ROUND(((TDBC-$U343)*24)*60,0))&amp;" phút",IF(ROUND(((TDBC-$U343)*24),0)&lt;24,ROUND(((TDBC-$U343)*24),0)&amp;" giờ",INT(ROUND(((TDBC-$U343)*24),0)/24)&amp;" ngày"&amp;IF(MOD(ROUND(((TDBC-$U343)*24),0),24)&gt;0," "&amp;MOD(ROUND(((TDBC-$U343)*24),0),24)&amp;" giờ",""))),"Còn "&amp;IF((($U343-TDBC)*24)&lt;1,MAX(1,ROUND((($U343-TDBC)*24)*60,0))&amp;" phút",IF(ROUND((($U343-TDBC)*24),0)&lt;24,ROUND((($U343-TDBC)*24),0)&amp;" giờ",INT(ROUND((($U343-TDBC)*24),0)/24)&amp;" ngày"&amp;IF(MOD(ROUND((($U343-TDBC)*24),0),24)&gt;0," "&amp;MOD(ROUND((($U343-TDBC)*24),0),24)&amp;" giờ","")))))</f>
      </c>
      <c r="AA343" s="220">
        <f>IF($V343="Đã xử lý",_xlfn.MAXIFS('Nhật ký tiến độ'!$B$6:$B$3005,'Nhật ký tiến độ'!$C$6:$C$3005,$A343,'Nhật ký tiến độ'!$E$6:$E$3005,"Đã xử lý"),"")</f>
      </c>
      <c r="AB343" s="223">
        <f>IF($AI343="","",IF($AI343&lt;1,MAX(1,ROUND($AI343*60,0))&amp;" phút",IF(ROUND($AI343,0)&lt;24,ROUND($AI343,0)&amp;" giờ",INT(ROUND($AI343,0)/24)&amp;" ngày"&amp;IF(MOD(ROUND($AI343,0),24)&gt;0," "&amp;MOD(ROUND($AI343,0),24)&amp;" giờ",""))))</f>
      </c>
      <c r="AC343" s="223">
        <f>IF(OR($A343="",N($AH343)=0),"",IF($AI343&lt;&gt;"",IF($AI343&lt;=$AH343,"Trong ước tính","Vượt "&amp;IF(($AI343-$AH343)&lt;1,MAX(1,ROUND(($AI343-$AH343)*60,0))&amp;" phút",IF(ROUND(($AI343-$AH343),0)&lt;24,ROUND(($AI343-$AH343),0)&amp;" giờ",INT(ROUND(($AI343-$AH343),0)/24)&amp;" ngày"&amp;IF(MOD(ROUND(($AI343-$AH343),0),24)&gt;0," "&amp;MOD(ROUND(($AI343-$AH343),0),24)&amp;" giờ","")))),IF(OR($V343="Đã xử lý",N($B343)=0),"",IF((TDBC-$B343)*24&gt;$AH343,"Đã vượt ước tính","Đã dùng "&amp;TEXT((TDBC-$B343)*24/$AH343,"0%")))))</f>
      </c>
      <c r="AD343" s="223">
        <f>IF(N($AO343)=0,"",CHOOSE($AO343,"Nhắc nhở","Cảnh báo","Báo động","Báo động đỏ"))</f>
      </c>
      <c r="AE343" s="223">
        <f>IF(OR(N($AA343)=0,N($U343)=0),"",IF($AA343&lt;=$U343,"Đúng hạn","Trễ hạn"))</f>
      </c>
      <c r="AF343" s="220">
        <f>IF($A343="","",_xlfn.MAXIFS('Nhật ký tiến độ'!$B$6:$B$3005,'Nhật ký tiến độ'!$C$6:$C$3005,$A343))</f>
      </c>
      <c r="AG343" s="223">
        <f>IF($A343="","",IF(COUNTIF('Kế hoạch'!$M$6:$M$305,$A343)=0,"",COUNTIF('Kế hoạch'!$M$6:$M$305,$A343)&amp;" việc"))</f>
      </c>
      <c r="AH343" s="224">
        <f>IF(OR($A343="",N($O343)&lt;=0),"",IF($P343="Giờ",$O343,$O343*24))</f>
      </c>
      <c r="AI343" s="224">
        <f>IF(OR(N($AA343)=0,N($B343)=0),"",IF($AA343&lt;$B343,"",($AA343-$B343)*24))</f>
      </c>
      <c r="AJ343" s="225">
        <f>IF($A343="","",IF(COUNTIF('Nhật ký tiến độ'!$C$6:$C$3005,$A343)=0,0,_xlfn.MAXIFS('Nhật ký tiến độ'!$N$6:$N$3005,'Nhật ký tiến độ'!$C$6:$C$3005,$A343,'Nhật ký tiến độ'!$B$6:$B$3005,_xlfn.MAXIFS('Nhật ký tiến độ'!$B$6:$B$3005,'Nhật ký tiến độ'!$C$6:$C$3005,$A343))))</f>
      </c>
      <c r="AK343" s="225">
        <f>IF(OR($A343="",$V343="Đã xử lý"),"",IF(N($AO343)&gt;0,5-$AO343,IF($J343="Khẩn cấp",5,IF($Y343="Chậm tiến độ",6,IF(OR($Y343="Sắp đến hạn",$J343="Cao"),7,"")))))</f>
      </c>
      <c r="AL343" s="225">
        <f>IF($AK343="","",$AK343*100000+IF(N($U343)=0,99999,INT($U343))+ROW()/100000)</f>
      </c>
      <c r="AM343" s="225">
        <f>IF(OR($A343="",TRIM($K343)="",COUNTIF($K$6:$K343,$K343)&gt;1),0,1)</f>
      </c>
      <c r="AN343" s="225">
        <f>IF($AM343=1,SUM($AM$6:$AM343),"")</f>
      </c>
      <c r="AO343" s="225">
        <f>IF(OR($A343="",$V343="Đã xử lý",N($U343)=0),0,IF(TDBC&lt;=$U343,0,MAX(1,MIN(4,IF((TDBC-$U343)*24&lt;24,1,IF((TDBC-$U343)*24&lt;72,2,IF((TDBC-$U343)*24&lt;168,3,4)))+IFERROR(INDEX({2,1,0,-1},MATCH($J343,{"Khẩn cấp","Cao","Trung bình","Thấp"},0)),0)))))</f>
      </c>
    </row>
    <row r="344">
      <c r="A344" s="216"/>
      <c r="B344" s="217"/>
      <c r="C344" s="218"/>
      <c r="D344" s="218"/>
      <c r="E344" s="218"/>
      <c r="F344" s="218"/>
      <c r="G344" s="216"/>
      <c r="H344" s="218"/>
      <c r="I344" s="218"/>
      <c r="J344" s="216"/>
      <c r="K344" s="218"/>
      <c r="L344" s="218"/>
      <c r="M344" s="218"/>
      <c r="N344" s="218"/>
      <c r="O344" s="219"/>
      <c r="P344" s="216"/>
      <c r="Q344" s="217"/>
      <c r="R344" s="216"/>
      <c r="S344" s="218"/>
      <c r="T344" s="218"/>
      <c r="U344" s="220">
        <f>IF($A344="","",IF(N($Q344)&gt;0,IF(MOD($Q344,1)=0,$Q344+1-1/1440,$Q344),IF(N($B344)=0,"",$B344+IF(N($AH344)&gt;0,$AH344,IFERROR(INDEX(DM_SLA_Gio,MATCH($J344,DM_SLA_Cap,0)),168))/24)))</f>
      </c>
      <c r="V344" s="221">
        <f>IF($A344="","",IF(N($AJ344)=0,"Mới tiếp nhận",INDEX('Nhật ký tiến độ'!$E:$E,$AJ344)))</f>
      </c>
      <c r="W344" s="222">
        <f>IF($A344="","",IF($V344="Đã xử lý",1,IF(N($AJ344)=0,0,N(INDEX('Nhật ký tiến độ'!$D:$D,$AJ344)))))</f>
      </c>
      <c r="X344" s="222">
        <f>IF(OR($A344="",$V344="Đã xử lý",N($U344)=0,N($B344)=0),"",IF(TDBC&lt;=$B344,0,IF(TDBC&gt;=$U344,1,(TDBC-$B344)/($U344-$B344))))</f>
      </c>
      <c r="Y344" s="223">
        <f>IF($A344="","",IF($V344="Đã xử lý","Hoàn thành",IF(N($U344)=0,"Chưa đặt hạn",IF(TDBC&gt;$U344,"Quá hạn",IF(ROUND((N($X344)-$W344)*100,0)&gt;=20,"Chậm tiến độ",IF($U344-TDBC&lt;=1,"Sắp đến hạn","Đúng tiến độ"))))))</f>
      </c>
      <c r="Z344" s="223">
        <f>IF(OR($A344="",$V344="Đã xử lý",N($U344)=0),"",IF(TDBC&gt;$U344,"Quá "&amp;IF(((TDBC-$U344)*24)&lt;1,MAX(1,ROUND(((TDBC-$U344)*24)*60,0))&amp;" phút",IF(ROUND(((TDBC-$U344)*24),0)&lt;24,ROUND(((TDBC-$U344)*24),0)&amp;" giờ",INT(ROUND(((TDBC-$U344)*24),0)/24)&amp;" ngày"&amp;IF(MOD(ROUND(((TDBC-$U344)*24),0),24)&gt;0," "&amp;MOD(ROUND(((TDBC-$U344)*24),0),24)&amp;" giờ",""))),"Còn "&amp;IF((($U344-TDBC)*24)&lt;1,MAX(1,ROUND((($U344-TDBC)*24)*60,0))&amp;" phút",IF(ROUND((($U344-TDBC)*24),0)&lt;24,ROUND((($U344-TDBC)*24),0)&amp;" giờ",INT(ROUND((($U344-TDBC)*24),0)/24)&amp;" ngày"&amp;IF(MOD(ROUND((($U344-TDBC)*24),0),24)&gt;0," "&amp;MOD(ROUND((($U344-TDBC)*24),0),24)&amp;" giờ","")))))</f>
      </c>
      <c r="AA344" s="220">
        <f>IF($V344="Đã xử lý",_xlfn.MAXIFS('Nhật ký tiến độ'!$B$6:$B$3005,'Nhật ký tiến độ'!$C$6:$C$3005,$A344,'Nhật ký tiến độ'!$E$6:$E$3005,"Đã xử lý"),"")</f>
      </c>
      <c r="AB344" s="223">
        <f>IF($AI344="","",IF($AI344&lt;1,MAX(1,ROUND($AI344*60,0))&amp;" phút",IF(ROUND($AI344,0)&lt;24,ROUND($AI344,0)&amp;" giờ",INT(ROUND($AI344,0)/24)&amp;" ngày"&amp;IF(MOD(ROUND($AI344,0),24)&gt;0," "&amp;MOD(ROUND($AI344,0),24)&amp;" giờ",""))))</f>
      </c>
      <c r="AC344" s="223">
        <f>IF(OR($A344="",N($AH344)=0),"",IF($AI344&lt;&gt;"",IF($AI344&lt;=$AH344,"Trong ước tính","Vượt "&amp;IF(($AI344-$AH344)&lt;1,MAX(1,ROUND(($AI344-$AH344)*60,0))&amp;" phút",IF(ROUND(($AI344-$AH344),0)&lt;24,ROUND(($AI344-$AH344),0)&amp;" giờ",INT(ROUND(($AI344-$AH344),0)/24)&amp;" ngày"&amp;IF(MOD(ROUND(($AI344-$AH344),0),24)&gt;0," "&amp;MOD(ROUND(($AI344-$AH344),0),24)&amp;" giờ","")))),IF(OR($V344="Đã xử lý",N($B344)=0),"",IF((TDBC-$B344)*24&gt;$AH344,"Đã vượt ước tính","Đã dùng "&amp;TEXT((TDBC-$B344)*24/$AH344,"0%")))))</f>
      </c>
      <c r="AD344" s="223">
        <f>IF(N($AO344)=0,"",CHOOSE($AO344,"Nhắc nhở","Cảnh báo","Báo động","Báo động đỏ"))</f>
      </c>
      <c r="AE344" s="223">
        <f>IF(OR(N($AA344)=0,N($U344)=0),"",IF($AA344&lt;=$U344,"Đúng hạn","Trễ hạn"))</f>
      </c>
      <c r="AF344" s="220">
        <f>IF($A344="","",_xlfn.MAXIFS('Nhật ký tiến độ'!$B$6:$B$3005,'Nhật ký tiến độ'!$C$6:$C$3005,$A344))</f>
      </c>
      <c r="AG344" s="223">
        <f>IF($A344="","",IF(COUNTIF('Kế hoạch'!$M$6:$M$305,$A344)=0,"",COUNTIF('Kế hoạch'!$M$6:$M$305,$A344)&amp;" việc"))</f>
      </c>
      <c r="AH344" s="224">
        <f>IF(OR($A344="",N($O344)&lt;=0),"",IF($P344="Giờ",$O344,$O344*24))</f>
      </c>
      <c r="AI344" s="224">
        <f>IF(OR(N($AA344)=0,N($B344)=0),"",IF($AA344&lt;$B344,"",($AA344-$B344)*24))</f>
      </c>
      <c r="AJ344" s="225">
        <f>IF($A344="","",IF(COUNTIF('Nhật ký tiến độ'!$C$6:$C$3005,$A344)=0,0,_xlfn.MAXIFS('Nhật ký tiến độ'!$N$6:$N$3005,'Nhật ký tiến độ'!$C$6:$C$3005,$A344,'Nhật ký tiến độ'!$B$6:$B$3005,_xlfn.MAXIFS('Nhật ký tiến độ'!$B$6:$B$3005,'Nhật ký tiến độ'!$C$6:$C$3005,$A344))))</f>
      </c>
      <c r="AK344" s="225">
        <f>IF(OR($A344="",$V344="Đã xử lý"),"",IF(N($AO344)&gt;0,5-$AO344,IF($J344="Khẩn cấp",5,IF($Y344="Chậm tiến độ",6,IF(OR($Y344="Sắp đến hạn",$J344="Cao"),7,"")))))</f>
      </c>
      <c r="AL344" s="225">
        <f>IF($AK344="","",$AK344*100000+IF(N($U344)=0,99999,INT($U344))+ROW()/100000)</f>
      </c>
      <c r="AM344" s="225">
        <f>IF(OR($A344="",TRIM($K344)="",COUNTIF($K$6:$K344,$K344)&gt;1),0,1)</f>
      </c>
      <c r="AN344" s="225">
        <f>IF($AM344=1,SUM($AM$6:$AM344),"")</f>
      </c>
      <c r="AO344" s="225">
        <f>IF(OR($A344="",$V344="Đã xử lý",N($U344)=0),0,IF(TDBC&lt;=$U344,0,MAX(1,MIN(4,IF((TDBC-$U344)*24&lt;24,1,IF((TDBC-$U344)*24&lt;72,2,IF((TDBC-$U344)*24&lt;168,3,4)))+IFERROR(INDEX({2,1,0,-1},MATCH($J344,{"Khẩn cấp","Cao","Trung bình","Thấp"},0)),0)))))</f>
      </c>
    </row>
    <row r="345">
      <c r="A345" s="216"/>
      <c r="B345" s="217"/>
      <c r="C345" s="218"/>
      <c r="D345" s="218"/>
      <c r="E345" s="218"/>
      <c r="F345" s="218"/>
      <c r="G345" s="216"/>
      <c r="H345" s="218"/>
      <c r="I345" s="218"/>
      <c r="J345" s="216"/>
      <c r="K345" s="218"/>
      <c r="L345" s="218"/>
      <c r="M345" s="218"/>
      <c r="N345" s="218"/>
      <c r="O345" s="219"/>
      <c r="P345" s="216"/>
      <c r="Q345" s="217"/>
      <c r="R345" s="216"/>
      <c r="S345" s="218"/>
      <c r="T345" s="218"/>
      <c r="U345" s="220">
        <f>IF($A345="","",IF(N($Q345)&gt;0,IF(MOD($Q345,1)=0,$Q345+1-1/1440,$Q345),IF(N($B345)=0,"",$B345+IF(N($AH345)&gt;0,$AH345,IFERROR(INDEX(DM_SLA_Gio,MATCH($J345,DM_SLA_Cap,0)),168))/24)))</f>
      </c>
      <c r="V345" s="221">
        <f>IF($A345="","",IF(N($AJ345)=0,"Mới tiếp nhận",INDEX('Nhật ký tiến độ'!$E:$E,$AJ345)))</f>
      </c>
      <c r="W345" s="222">
        <f>IF($A345="","",IF($V345="Đã xử lý",1,IF(N($AJ345)=0,0,N(INDEX('Nhật ký tiến độ'!$D:$D,$AJ345)))))</f>
      </c>
      <c r="X345" s="222">
        <f>IF(OR($A345="",$V345="Đã xử lý",N($U345)=0,N($B345)=0),"",IF(TDBC&lt;=$B345,0,IF(TDBC&gt;=$U345,1,(TDBC-$B345)/($U345-$B345))))</f>
      </c>
      <c r="Y345" s="223">
        <f>IF($A345="","",IF($V345="Đã xử lý","Hoàn thành",IF(N($U345)=0,"Chưa đặt hạn",IF(TDBC&gt;$U345,"Quá hạn",IF(ROUND((N($X345)-$W345)*100,0)&gt;=20,"Chậm tiến độ",IF($U345-TDBC&lt;=1,"Sắp đến hạn","Đúng tiến độ"))))))</f>
      </c>
      <c r="Z345" s="223">
        <f>IF(OR($A345="",$V345="Đã xử lý",N($U345)=0),"",IF(TDBC&gt;$U345,"Quá "&amp;IF(((TDBC-$U345)*24)&lt;1,MAX(1,ROUND(((TDBC-$U345)*24)*60,0))&amp;" phút",IF(ROUND(((TDBC-$U345)*24),0)&lt;24,ROUND(((TDBC-$U345)*24),0)&amp;" giờ",INT(ROUND(((TDBC-$U345)*24),0)/24)&amp;" ngày"&amp;IF(MOD(ROUND(((TDBC-$U345)*24),0),24)&gt;0," "&amp;MOD(ROUND(((TDBC-$U345)*24),0),24)&amp;" giờ",""))),"Còn "&amp;IF((($U345-TDBC)*24)&lt;1,MAX(1,ROUND((($U345-TDBC)*24)*60,0))&amp;" phút",IF(ROUND((($U345-TDBC)*24),0)&lt;24,ROUND((($U345-TDBC)*24),0)&amp;" giờ",INT(ROUND((($U345-TDBC)*24),0)/24)&amp;" ngày"&amp;IF(MOD(ROUND((($U345-TDBC)*24),0),24)&gt;0," "&amp;MOD(ROUND((($U345-TDBC)*24),0),24)&amp;" giờ","")))))</f>
      </c>
      <c r="AA345" s="220">
        <f>IF($V345="Đã xử lý",_xlfn.MAXIFS('Nhật ký tiến độ'!$B$6:$B$3005,'Nhật ký tiến độ'!$C$6:$C$3005,$A345,'Nhật ký tiến độ'!$E$6:$E$3005,"Đã xử lý"),"")</f>
      </c>
      <c r="AB345" s="223">
        <f>IF($AI345="","",IF($AI345&lt;1,MAX(1,ROUND($AI345*60,0))&amp;" phút",IF(ROUND($AI345,0)&lt;24,ROUND($AI345,0)&amp;" giờ",INT(ROUND($AI345,0)/24)&amp;" ngày"&amp;IF(MOD(ROUND($AI345,0),24)&gt;0," "&amp;MOD(ROUND($AI345,0),24)&amp;" giờ",""))))</f>
      </c>
      <c r="AC345" s="223">
        <f>IF(OR($A345="",N($AH345)=0),"",IF($AI345&lt;&gt;"",IF($AI345&lt;=$AH345,"Trong ước tính","Vượt "&amp;IF(($AI345-$AH345)&lt;1,MAX(1,ROUND(($AI345-$AH345)*60,0))&amp;" phút",IF(ROUND(($AI345-$AH345),0)&lt;24,ROUND(($AI345-$AH345),0)&amp;" giờ",INT(ROUND(($AI345-$AH345),0)/24)&amp;" ngày"&amp;IF(MOD(ROUND(($AI345-$AH345),0),24)&gt;0," "&amp;MOD(ROUND(($AI345-$AH345),0),24)&amp;" giờ","")))),IF(OR($V345="Đã xử lý",N($B345)=0),"",IF((TDBC-$B345)*24&gt;$AH345,"Đã vượt ước tính","Đã dùng "&amp;TEXT((TDBC-$B345)*24/$AH345,"0%")))))</f>
      </c>
      <c r="AD345" s="223">
        <f>IF(N($AO345)=0,"",CHOOSE($AO345,"Nhắc nhở","Cảnh báo","Báo động","Báo động đỏ"))</f>
      </c>
      <c r="AE345" s="223">
        <f>IF(OR(N($AA345)=0,N($U345)=0),"",IF($AA345&lt;=$U345,"Đúng hạn","Trễ hạn"))</f>
      </c>
      <c r="AF345" s="220">
        <f>IF($A345="","",_xlfn.MAXIFS('Nhật ký tiến độ'!$B$6:$B$3005,'Nhật ký tiến độ'!$C$6:$C$3005,$A345))</f>
      </c>
      <c r="AG345" s="223">
        <f>IF($A345="","",IF(COUNTIF('Kế hoạch'!$M$6:$M$305,$A345)=0,"",COUNTIF('Kế hoạch'!$M$6:$M$305,$A345)&amp;" việc"))</f>
      </c>
      <c r="AH345" s="224">
        <f>IF(OR($A345="",N($O345)&lt;=0),"",IF($P345="Giờ",$O345,$O345*24))</f>
      </c>
      <c r="AI345" s="224">
        <f>IF(OR(N($AA345)=0,N($B345)=0),"",IF($AA345&lt;$B345,"",($AA345-$B345)*24))</f>
      </c>
      <c r="AJ345" s="225">
        <f>IF($A345="","",IF(COUNTIF('Nhật ký tiến độ'!$C$6:$C$3005,$A345)=0,0,_xlfn.MAXIFS('Nhật ký tiến độ'!$N$6:$N$3005,'Nhật ký tiến độ'!$C$6:$C$3005,$A345,'Nhật ký tiến độ'!$B$6:$B$3005,_xlfn.MAXIFS('Nhật ký tiến độ'!$B$6:$B$3005,'Nhật ký tiến độ'!$C$6:$C$3005,$A345))))</f>
      </c>
      <c r="AK345" s="225">
        <f>IF(OR($A345="",$V345="Đã xử lý"),"",IF(N($AO345)&gt;0,5-$AO345,IF($J345="Khẩn cấp",5,IF($Y345="Chậm tiến độ",6,IF(OR($Y345="Sắp đến hạn",$J345="Cao"),7,"")))))</f>
      </c>
      <c r="AL345" s="225">
        <f>IF($AK345="","",$AK345*100000+IF(N($U345)=0,99999,INT($U345))+ROW()/100000)</f>
      </c>
      <c r="AM345" s="225">
        <f>IF(OR($A345="",TRIM($K345)="",COUNTIF($K$6:$K345,$K345)&gt;1),0,1)</f>
      </c>
      <c r="AN345" s="225">
        <f>IF($AM345=1,SUM($AM$6:$AM345),"")</f>
      </c>
      <c r="AO345" s="225">
        <f>IF(OR($A345="",$V345="Đã xử lý",N($U345)=0),0,IF(TDBC&lt;=$U345,0,MAX(1,MIN(4,IF((TDBC-$U345)*24&lt;24,1,IF((TDBC-$U345)*24&lt;72,2,IF((TDBC-$U345)*24&lt;168,3,4)))+IFERROR(INDEX({2,1,0,-1},MATCH($J345,{"Khẩn cấp","Cao","Trung bình","Thấp"},0)),0)))))</f>
      </c>
    </row>
    <row r="346">
      <c r="A346" s="216"/>
      <c r="B346" s="217"/>
      <c r="C346" s="218"/>
      <c r="D346" s="218"/>
      <c r="E346" s="218"/>
      <c r="F346" s="218"/>
      <c r="G346" s="216"/>
      <c r="H346" s="218"/>
      <c r="I346" s="218"/>
      <c r="J346" s="216"/>
      <c r="K346" s="218"/>
      <c r="L346" s="218"/>
      <c r="M346" s="218"/>
      <c r="N346" s="218"/>
      <c r="O346" s="219"/>
      <c r="P346" s="216"/>
      <c r="Q346" s="217"/>
      <c r="R346" s="216"/>
      <c r="S346" s="218"/>
      <c r="T346" s="218"/>
      <c r="U346" s="220">
        <f>IF($A346="","",IF(N($Q346)&gt;0,IF(MOD($Q346,1)=0,$Q346+1-1/1440,$Q346),IF(N($B346)=0,"",$B346+IF(N($AH346)&gt;0,$AH346,IFERROR(INDEX(DM_SLA_Gio,MATCH($J346,DM_SLA_Cap,0)),168))/24)))</f>
      </c>
      <c r="V346" s="221">
        <f>IF($A346="","",IF(N($AJ346)=0,"Mới tiếp nhận",INDEX('Nhật ký tiến độ'!$E:$E,$AJ346)))</f>
      </c>
      <c r="W346" s="222">
        <f>IF($A346="","",IF($V346="Đã xử lý",1,IF(N($AJ346)=0,0,N(INDEX('Nhật ký tiến độ'!$D:$D,$AJ346)))))</f>
      </c>
      <c r="X346" s="222">
        <f>IF(OR($A346="",$V346="Đã xử lý",N($U346)=0,N($B346)=0),"",IF(TDBC&lt;=$B346,0,IF(TDBC&gt;=$U346,1,(TDBC-$B346)/($U346-$B346))))</f>
      </c>
      <c r="Y346" s="223">
        <f>IF($A346="","",IF($V346="Đã xử lý","Hoàn thành",IF(N($U346)=0,"Chưa đặt hạn",IF(TDBC&gt;$U346,"Quá hạn",IF(ROUND((N($X346)-$W346)*100,0)&gt;=20,"Chậm tiến độ",IF($U346-TDBC&lt;=1,"Sắp đến hạn","Đúng tiến độ"))))))</f>
      </c>
      <c r="Z346" s="223">
        <f>IF(OR($A346="",$V346="Đã xử lý",N($U346)=0),"",IF(TDBC&gt;$U346,"Quá "&amp;IF(((TDBC-$U346)*24)&lt;1,MAX(1,ROUND(((TDBC-$U346)*24)*60,0))&amp;" phút",IF(ROUND(((TDBC-$U346)*24),0)&lt;24,ROUND(((TDBC-$U346)*24),0)&amp;" giờ",INT(ROUND(((TDBC-$U346)*24),0)/24)&amp;" ngày"&amp;IF(MOD(ROUND(((TDBC-$U346)*24),0),24)&gt;0," "&amp;MOD(ROUND(((TDBC-$U346)*24),0),24)&amp;" giờ",""))),"Còn "&amp;IF((($U346-TDBC)*24)&lt;1,MAX(1,ROUND((($U346-TDBC)*24)*60,0))&amp;" phút",IF(ROUND((($U346-TDBC)*24),0)&lt;24,ROUND((($U346-TDBC)*24),0)&amp;" giờ",INT(ROUND((($U346-TDBC)*24),0)/24)&amp;" ngày"&amp;IF(MOD(ROUND((($U346-TDBC)*24),0),24)&gt;0," "&amp;MOD(ROUND((($U346-TDBC)*24),0),24)&amp;" giờ","")))))</f>
      </c>
      <c r="AA346" s="220">
        <f>IF($V346="Đã xử lý",_xlfn.MAXIFS('Nhật ký tiến độ'!$B$6:$B$3005,'Nhật ký tiến độ'!$C$6:$C$3005,$A346,'Nhật ký tiến độ'!$E$6:$E$3005,"Đã xử lý"),"")</f>
      </c>
      <c r="AB346" s="223">
        <f>IF($AI346="","",IF($AI346&lt;1,MAX(1,ROUND($AI346*60,0))&amp;" phút",IF(ROUND($AI346,0)&lt;24,ROUND($AI346,0)&amp;" giờ",INT(ROUND($AI346,0)/24)&amp;" ngày"&amp;IF(MOD(ROUND($AI346,0),24)&gt;0," "&amp;MOD(ROUND($AI346,0),24)&amp;" giờ",""))))</f>
      </c>
      <c r="AC346" s="223">
        <f>IF(OR($A346="",N($AH346)=0),"",IF($AI346&lt;&gt;"",IF($AI346&lt;=$AH346,"Trong ước tính","Vượt "&amp;IF(($AI346-$AH346)&lt;1,MAX(1,ROUND(($AI346-$AH346)*60,0))&amp;" phút",IF(ROUND(($AI346-$AH346),0)&lt;24,ROUND(($AI346-$AH346),0)&amp;" giờ",INT(ROUND(($AI346-$AH346),0)/24)&amp;" ngày"&amp;IF(MOD(ROUND(($AI346-$AH346),0),24)&gt;0," "&amp;MOD(ROUND(($AI346-$AH346),0),24)&amp;" giờ","")))),IF(OR($V346="Đã xử lý",N($B346)=0),"",IF((TDBC-$B346)*24&gt;$AH346,"Đã vượt ước tính","Đã dùng "&amp;TEXT((TDBC-$B346)*24/$AH346,"0%")))))</f>
      </c>
      <c r="AD346" s="223">
        <f>IF(N($AO346)=0,"",CHOOSE($AO346,"Nhắc nhở","Cảnh báo","Báo động","Báo động đỏ"))</f>
      </c>
      <c r="AE346" s="223">
        <f>IF(OR(N($AA346)=0,N($U346)=0),"",IF($AA346&lt;=$U346,"Đúng hạn","Trễ hạn"))</f>
      </c>
      <c r="AF346" s="220">
        <f>IF($A346="","",_xlfn.MAXIFS('Nhật ký tiến độ'!$B$6:$B$3005,'Nhật ký tiến độ'!$C$6:$C$3005,$A346))</f>
      </c>
      <c r="AG346" s="223">
        <f>IF($A346="","",IF(COUNTIF('Kế hoạch'!$M$6:$M$305,$A346)=0,"",COUNTIF('Kế hoạch'!$M$6:$M$305,$A346)&amp;" việc"))</f>
      </c>
      <c r="AH346" s="224">
        <f>IF(OR($A346="",N($O346)&lt;=0),"",IF($P346="Giờ",$O346,$O346*24))</f>
      </c>
      <c r="AI346" s="224">
        <f>IF(OR(N($AA346)=0,N($B346)=0),"",IF($AA346&lt;$B346,"",($AA346-$B346)*24))</f>
      </c>
      <c r="AJ346" s="225">
        <f>IF($A346="","",IF(COUNTIF('Nhật ký tiến độ'!$C$6:$C$3005,$A346)=0,0,_xlfn.MAXIFS('Nhật ký tiến độ'!$N$6:$N$3005,'Nhật ký tiến độ'!$C$6:$C$3005,$A346,'Nhật ký tiến độ'!$B$6:$B$3005,_xlfn.MAXIFS('Nhật ký tiến độ'!$B$6:$B$3005,'Nhật ký tiến độ'!$C$6:$C$3005,$A346))))</f>
      </c>
      <c r="AK346" s="225">
        <f>IF(OR($A346="",$V346="Đã xử lý"),"",IF(N($AO346)&gt;0,5-$AO346,IF($J346="Khẩn cấp",5,IF($Y346="Chậm tiến độ",6,IF(OR($Y346="Sắp đến hạn",$J346="Cao"),7,"")))))</f>
      </c>
      <c r="AL346" s="225">
        <f>IF($AK346="","",$AK346*100000+IF(N($U346)=0,99999,INT($U346))+ROW()/100000)</f>
      </c>
      <c r="AM346" s="225">
        <f>IF(OR($A346="",TRIM($K346)="",COUNTIF($K$6:$K346,$K346)&gt;1),0,1)</f>
      </c>
      <c r="AN346" s="225">
        <f>IF($AM346=1,SUM($AM$6:$AM346),"")</f>
      </c>
      <c r="AO346" s="225">
        <f>IF(OR($A346="",$V346="Đã xử lý",N($U346)=0),0,IF(TDBC&lt;=$U346,0,MAX(1,MIN(4,IF((TDBC-$U346)*24&lt;24,1,IF((TDBC-$U346)*24&lt;72,2,IF((TDBC-$U346)*24&lt;168,3,4)))+IFERROR(INDEX({2,1,0,-1},MATCH($J346,{"Khẩn cấp","Cao","Trung bình","Thấp"},0)),0)))))</f>
      </c>
    </row>
    <row r="347">
      <c r="A347" s="216"/>
      <c r="B347" s="217"/>
      <c r="C347" s="218"/>
      <c r="D347" s="218"/>
      <c r="E347" s="218"/>
      <c r="F347" s="218"/>
      <c r="G347" s="216"/>
      <c r="H347" s="218"/>
      <c r="I347" s="218"/>
      <c r="J347" s="216"/>
      <c r="K347" s="218"/>
      <c r="L347" s="218"/>
      <c r="M347" s="218"/>
      <c r="N347" s="218"/>
      <c r="O347" s="219"/>
      <c r="P347" s="216"/>
      <c r="Q347" s="217"/>
      <c r="R347" s="216"/>
      <c r="S347" s="218"/>
      <c r="T347" s="218"/>
      <c r="U347" s="220">
        <f>IF($A347="","",IF(N($Q347)&gt;0,IF(MOD($Q347,1)=0,$Q347+1-1/1440,$Q347),IF(N($B347)=0,"",$B347+IF(N($AH347)&gt;0,$AH347,IFERROR(INDEX(DM_SLA_Gio,MATCH($J347,DM_SLA_Cap,0)),168))/24)))</f>
      </c>
      <c r="V347" s="221">
        <f>IF($A347="","",IF(N($AJ347)=0,"Mới tiếp nhận",INDEX('Nhật ký tiến độ'!$E:$E,$AJ347)))</f>
      </c>
      <c r="W347" s="222">
        <f>IF($A347="","",IF($V347="Đã xử lý",1,IF(N($AJ347)=0,0,N(INDEX('Nhật ký tiến độ'!$D:$D,$AJ347)))))</f>
      </c>
      <c r="X347" s="222">
        <f>IF(OR($A347="",$V347="Đã xử lý",N($U347)=0,N($B347)=0),"",IF(TDBC&lt;=$B347,0,IF(TDBC&gt;=$U347,1,(TDBC-$B347)/($U347-$B347))))</f>
      </c>
      <c r="Y347" s="223">
        <f>IF($A347="","",IF($V347="Đã xử lý","Hoàn thành",IF(N($U347)=0,"Chưa đặt hạn",IF(TDBC&gt;$U347,"Quá hạn",IF(ROUND((N($X347)-$W347)*100,0)&gt;=20,"Chậm tiến độ",IF($U347-TDBC&lt;=1,"Sắp đến hạn","Đúng tiến độ"))))))</f>
      </c>
      <c r="Z347" s="223">
        <f>IF(OR($A347="",$V347="Đã xử lý",N($U347)=0),"",IF(TDBC&gt;$U347,"Quá "&amp;IF(((TDBC-$U347)*24)&lt;1,MAX(1,ROUND(((TDBC-$U347)*24)*60,0))&amp;" phút",IF(ROUND(((TDBC-$U347)*24),0)&lt;24,ROUND(((TDBC-$U347)*24),0)&amp;" giờ",INT(ROUND(((TDBC-$U347)*24),0)/24)&amp;" ngày"&amp;IF(MOD(ROUND(((TDBC-$U347)*24),0),24)&gt;0," "&amp;MOD(ROUND(((TDBC-$U347)*24),0),24)&amp;" giờ",""))),"Còn "&amp;IF((($U347-TDBC)*24)&lt;1,MAX(1,ROUND((($U347-TDBC)*24)*60,0))&amp;" phút",IF(ROUND((($U347-TDBC)*24),0)&lt;24,ROUND((($U347-TDBC)*24),0)&amp;" giờ",INT(ROUND((($U347-TDBC)*24),0)/24)&amp;" ngày"&amp;IF(MOD(ROUND((($U347-TDBC)*24),0),24)&gt;0," "&amp;MOD(ROUND((($U347-TDBC)*24),0),24)&amp;" giờ","")))))</f>
      </c>
      <c r="AA347" s="220">
        <f>IF($V347="Đã xử lý",_xlfn.MAXIFS('Nhật ký tiến độ'!$B$6:$B$3005,'Nhật ký tiến độ'!$C$6:$C$3005,$A347,'Nhật ký tiến độ'!$E$6:$E$3005,"Đã xử lý"),"")</f>
      </c>
      <c r="AB347" s="223">
        <f>IF($AI347="","",IF($AI347&lt;1,MAX(1,ROUND($AI347*60,0))&amp;" phút",IF(ROUND($AI347,0)&lt;24,ROUND($AI347,0)&amp;" giờ",INT(ROUND($AI347,0)/24)&amp;" ngày"&amp;IF(MOD(ROUND($AI347,0),24)&gt;0," "&amp;MOD(ROUND($AI347,0),24)&amp;" giờ",""))))</f>
      </c>
      <c r="AC347" s="223">
        <f>IF(OR($A347="",N($AH347)=0),"",IF($AI347&lt;&gt;"",IF($AI347&lt;=$AH347,"Trong ước tính","Vượt "&amp;IF(($AI347-$AH347)&lt;1,MAX(1,ROUND(($AI347-$AH347)*60,0))&amp;" phút",IF(ROUND(($AI347-$AH347),0)&lt;24,ROUND(($AI347-$AH347),0)&amp;" giờ",INT(ROUND(($AI347-$AH347),0)/24)&amp;" ngày"&amp;IF(MOD(ROUND(($AI347-$AH347),0),24)&gt;0," "&amp;MOD(ROUND(($AI347-$AH347),0),24)&amp;" giờ","")))),IF(OR($V347="Đã xử lý",N($B347)=0),"",IF((TDBC-$B347)*24&gt;$AH347,"Đã vượt ước tính","Đã dùng "&amp;TEXT((TDBC-$B347)*24/$AH347,"0%")))))</f>
      </c>
      <c r="AD347" s="223">
        <f>IF(N($AO347)=0,"",CHOOSE($AO347,"Nhắc nhở","Cảnh báo","Báo động","Báo động đỏ"))</f>
      </c>
      <c r="AE347" s="223">
        <f>IF(OR(N($AA347)=0,N($U347)=0),"",IF($AA347&lt;=$U347,"Đúng hạn","Trễ hạn"))</f>
      </c>
      <c r="AF347" s="220">
        <f>IF($A347="","",_xlfn.MAXIFS('Nhật ký tiến độ'!$B$6:$B$3005,'Nhật ký tiến độ'!$C$6:$C$3005,$A347))</f>
      </c>
      <c r="AG347" s="223">
        <f>IF($A347="","",IF(COUNTIF('Kế hoạch'!$M$6:$M$305,$A347)=0,"",COUNTIF('Kế hoạch'!$M$6:$M$305,$A347)&amp;" việc"))</f>
      </c>
      <c r="AH347" s="224">
        <f>IF(OR($A347="",N($O347)&lt;=0),"",IF($P347="Giờ",$O347,$O347*24))</f>
      </c>
      <c r="AI347" s="224">
        <f>IF(OR(N($AA347)=0,N($B347)=0),"",IF($AA347&lt;$B347,"",($AA347-$B347)*24))</f>
      </c>
      <c r="AJ347" s="225">
        <f>IF($A347="","",IF(COUNTIF('Nhật ký tiến độ'!$C$6:$C$3005,$A347)=0,0,_xlfn.MAXIFS('Nhật ký tiến độ'!$N$6:$N$3005,'Nhật ký tiến độ'!$C$6:$C$3005,$A347,'Nhật ký tiến độ'!$B$6:$B$3005,_xlfn.MAXIFS('Nhật ký tiến độ'!$B$6:$B$3005,'Nhật ký tiến độ'!$C$6:$C$3005,$A347))))</f>
      </c>
      <c r="AK347" s="225">
        <f>IF(OR($A347="",$V347="Đã xử lý"),"",IF(N($AO347)&gt;0,5-$AO347,IF($J347="Khẩn cấp",5,IF($Y347="Chậm tiến độ",6,IF(OR($Y347="Sắp đến hạn",$J347="Cao"),7,"")))))</f>
      </c>
      <c r="AL347" s="225">
        <f>IF($AK347="","",$AK347*100000+IF(N($U347)=0,99999,INT($U347))+ROW()/100000)</f>
      </c>
      <c r="AM347" s="225">
        <f>IF(OR($A347="",TRIM($K347)="",COUNTIF($K$6:$K347,$K347)&gt;1),0,1)</f>
      </c>
      <c r="AN347" s="225">
        <f>IF($AM347=1,SUM($AM$6:$AM347),"")</f>
      </c>
      <c r="AO347" s="225">
        <f>IF(OR($A347="",$V347="Đã xử lý",N($U347)=0),0,IF(TDBC&lt;=$U347,0,MAX(1,MIN(4,IF((TDBC-$U347)*24&lt;24,1,IF((TDBC-$U347)*24&lt;72,2,IF((TDBC-$U347)*24&lt;168,3,4)))+IFERROR(INDEX({2,1,0,-1},MATCH($J347,{"Khẩn cấp","Cao","Trung bình","Thấp"},0)),0)))))</f>
      </c>
    </row>
    <row r="348">
      <c r="A348" s="216"/>
      <c r="B348" s="217"/>
      <c r="C348" s="218"/>
      <c r="D348" s="218"/>
      <c r="E348" s="218"/>
      <c r="F348" s="218"/>
      <c r="G348" s="216"/>
      <c r="H348" s="218"/>
      <c r="I348" s="218"/>
      <c r="J348" s="216"/>
      <c r="K348" s="218"/>
      <c r="L348" s="218"/>
      <c r="M348" s="218"/>
      <c r="N348" s="218"/>
      <c r="O348" s="219"/>
      <c r="P348" s="216"/>
      <c r="Q348" s="217"/>
      <c r="R348" s="216"/>
      <c r="S348" s="218"/>
      <c r="T348" s="218"/>
      <c r="U348" s="220">
        <f>IF($A348="","",IF(N($Q348)&gt;0,IF(MOD($Q348,1)=0,$Q348+1-1/1440,$Q348),IF(N($B348)=0,"",$B348+IF(N($AH348)&gt;0,$AH348,IFERROR(INDEX(DM_SLA_Gio,MATCH($J348,DM_SLA_Cap,0)),168))/24)))</f>
      </c>
      <c r="V348" s="221">
        <f>IF($A348="","",IF(N($AJ348)=0,"Mới tiếp nhận",INDEX('Nhật ký tiến độ'!$E:$E,$AJ348)))</f>
      </c>
      <c r="W348" s="222">
        <f>IF($A348="","",IF($V348="Đã xử lý",1,IF(N($AJ348)=0,0,N(INDEX('Nhật ký tiến độ'!$D:$D,$AJ348)))))</f>
      </c>
      <c r="X348" s="222">
        <f>IF(OR($A348="",$V348="Đã xử lý",N($U348)=0,N($B348)=0),"",IF(TDBC&lt;=$B348,0,IF(TDBC&gt;=$U348,1,(TDBC-$B348)/($U348-$B348))))</f>
      </c>
      <c r="Y348" s="223">
        <f>IF($A348="","",IF($V348="Đã xử lý","Hoàn thành",IF(N($U348)=0,"Chưa đặt hạn",IF(TDBC&gt;$U348,"Quá hạn",IF(ROUND((N($X348)-$W348)*100,0)&gt;=20,"Chậm tiến độ",IF($U348-TDBC&lt;=1,"Sắp đến hạn","Đúng tiến độ"))))))</f>
      </c>
      <c r="Z348" s="223">
        <f>IF(OR($A348="",$V348="Đã xử lý",N($U348)=0),"",IF(TDBC&gt;$U348,"Quá "&amp;IF(((TDBC-$U348)*24)&lt;1,MAX(1,ROUND(((TDBC-$U348)*24)*60,0))&amp;" phút",IF(ROUND(((TDBC-$U348)*24),0)&lt;24,ROUND(((TDBC-$U348)*24),0)&amp;" giờ",INT(ROUND(((TDBC-$U348)*24),0)/24)&amp;" ngày"&amp;IF(MOD(ROUND(((TDBC-$U348)*24),0),24)&gt;0," "&amp;MOD(ROUND(((TDBC-$U348)*24),0),24)&amp;" giờ",""))),"Còn "&amp;IF((($U348-TDBC)*24)&lt;1,MAX(1,ROUND((($U348-TDBC)*24)*60,0))&amp;" phút",IF(ROUND((($U348-TDBC)*24),0)&lt;24,ROUND((($U348-TDBC)*24),0)&amp;" giờ",INT(ROUND((($U348-TDBC)*24),0)/24)&amp;" ngày"&amp;IF(MOD(ROUND((($U348-TDBC)*24),0),24)&gt;0," "&amp;MOD(ROUND((($U348-TDBC)*24),0),24)&amp;" giờ","")))))</f>
      </c>
      <c r="AA348" s="220">
        <f>IF($V348="Đã xử lý",_xlfn.MAXIFS('Nhật ký tiến độ'!$B$6:$B$3005,'Nhật ký tiến độ'!$C$6:$C$3005,$A348,'Nhật ký tiến độ'!$E$6:$E$3005,"Đã xử lý"),"")</f>
      </c>
      <c r="AB348" s="223">
        <f>IF($AI348="","",IF($AI348&lt;1,MAX(1,ROUND($AI348*60,0))&amp;" phút",IF(ROUND($AI348,0)&lt;24,ROUND($AI348,0)&amp;" giờ",INT(ROUND($AI348,0)/24)&amp;" ngày"&amp;IF(MOD(ROUND($AI348,0),24)&gt;0," "&amp;MOD(ROUND($AI348,0),24)&amp;" giờ",""))))</f>
      </c>
      <c r="AC348" s="223">
        <f>IF(OR($A348="",N($AH348)=0),"",IF($AI348&lt;&gt;"",IF($AI348&lt;=$AH348,"Trong ước tính","Vượt "&amp;IF(($AI348-$AH348)&lt;1,MAX(1,ROUND(($AI348-$AH348)*60,0))&amp;" phút",IF(ROUND(($AI348-$AH348),0)&lt;24,ROUND(($AI348-$AH348),0)&amp;" giờ",INT(ROUND(($AI348-$AH348),0)/24)&amp;" ngày"&amp;IF(MOD(ROUND(($AI348-$AH348),0),24)&gt;0," "&amp;MOD(ROUND(($AI348-$AH348),0),24)&amp;" giờ","")))),IF(OR($V348="Đã xử lý",N($B348)=0),"",IF((TDBC-$B348)*24&gt;$AH348,"Đã vượt ước tính","Đã dùng "&amp;TEXT((TDBC-$B348)*24/$AH348,"0%")))))</f>
      </c>
      <c r="AD348" s="223">
        <f>IF(N($AO348)=0,"",CHOOSE($AO348,"Nhắc nhở","Cảnh báo","Báo động","Báo động đỏ"))</f>
      </c>
      <c r="AE348" s="223">
        <f>IF(OR(N($AA348)=0,N($U348)=0),"",IF($AA348&lt;=$U348,"Đúng hạn","Trễ hạn"))</f>
      </c>
      <c r="AF348" s="220">
        <f>IF($A348="","",_xlfn.MAXIFS('Nhật ký tiến độ'!$B$6:$B$3005,'Nhật ký tiến độ'!$C$6:$C$3005,$A348))</f>
      </c>
      <c r="AG348" s="223">
        <f>IF($A348="","",IF(COUNTIF('Kế hoạch'!$M$6:$M$305,$A348)=0,"",COUNTIF('Kế hoạch'!$M$6:$M$305,$A348)&amp;" việc"))</f>
      </c>
      <c r="AH348" s="224">
        <f>IF(OR($A348="",N($O348)&lt;=0),"",IF($P348="Giờ",$O348,$O348*24))</f>
      </c>
      <c r="AI348" s="224">
        <f>IF(OR(N($AA348)=0,N($B348)=0),"",IF($AA348&lt;$B348,"",($AA348-$B348)*24))</f>
      </c>
      <c r="AJ348" s="225">
        <f>IF($A348="","",IF(COUNTIF('Nhật ký tiến độ'!$C$6:$C$3005,$A348)=0,0,_xlfn.MAXIFS('Nhật ký tiến độ'!$N$6:$N$3005,'Nhật ký tiến độ'!$C$6:$C$3005,$A348,'Nhật ký tiến độ'!$B$6:$B$3005,_xlfn.MAXIFS('Nhật ký tiến độ'!$B$6:$B$3005,'Nhật ký tiến độ'!$C$6:$C$3005,$A348))))</f>
      </c>
      <c r="AK348" s="225">
        <f>IF(OR($A348="",$V348="Đã xử lý"),"",IF(N($AO348)&gt;0,5-$AO348,IF($J348="Khẩn cấp",5,IF($Y348="Chậm tiến độ",6,IF(OR($Y348="Sắp đến hạn",$J348="Cao"),7,"")))))</f>
      </c>
      <c r="AL348" s="225">
        <f>IF($AK348="","",$AK348*100000+IF(N($U348)=0,99999,INT($U348))+ROW()/100000)</f>
      </c>
      <c r="AM348" s="225">
        <f>IF(OR($A348="",TRIM($K348)="",COUNTIF($K$6:$K348,$K348)&gt;1),0,1)</f>
      </c>
      <c r="AN348" s="225">
        <f>IF($AM348=1,SUM($AM$6:$AM348),"")</f>
      </c>
      <c r="AO348" s="225">
        <f>IF(OR($A348="",$V348="Đã xử lý",N($U348)=0),0,IF(TDBC&lt;=$U348,0,MAX(1,MIN(4,IF((TDBC-$U348)*24&lt;24,1,IF((TDBC-$U348)*24&lt;72,2,IF((TDBC-$U348)*24&lt;168,3,4)))+IFERROR(INDEX({2,1,0,-1},MATCH($J348,{"Khẩn cấp","Cao","Trung bình","Thấp"},0)),0)))))</f>
      </c>
    </row>
    <row r="349">
      <c r="A349" s="216"/>
      <c r="B349" s="217"/>
      <c r="C349" s="218"/>
      <c r="D349" s="218"/>
      <c r="E349" s="218"/>
      <c r="F349" s="218"/>
      <c r="G349" s="216"/>
      <c r="H349" s="218"/>
      <c r="I349" s="218"/>
      <c r="J349" s="216"/>
      <c r="K349" s="218"/>
      <c r="L349" s="218"/>
      <c r="M349" s="218"/>
      <c r="N349" s="218"/>
      <c r="O349" s="219"/>
      <c r="P349" s="216"/>
      <c r="Q349" s="217"/>
      <c r="R349" s="216"/>
      <c r="S349" s="218"/>
      <c r="T349" s="218"/>
      <c r="U349" s="220">
        <f>IF($A349="","",IF(N($Q349)&gt;0,IF(MOD($Q349,1)=0,$Q349+1-1/1440,$Q349),IF(N($B349)=0,"",$B349+IF(N($AH349)&gt;0,$AH349,IFERROR(INDEX(DM_SLA_Gio,MATCH($J349,DM_SLA_Cap,0)),168))/24)))</f>
      </c>
      <c r="V349" s="221">
        <f>IF($A349="","",IF(N($AJ349)=0,"Mới tiếp nhận",INDEX('Nhật ký tiến độ'!$E:$E,$AJ349)))</f>
      </c>
      <c r="W349" s="222">
        <f>IF($A349="","",IF($V349="Đã xử lý",1,IF(N($AJ349)=0,0,N(INDEX('Nhật ký tiến độ'!$D:$D,$AJ349)))))</f>
      </c>
      <c r="X349" s="222">
        <f>IF(OR($A349="",$V349="Đã xử lý",N($U349)=0,N($B349)=0),"",IF(TDBC&lt;=$B349,0,IF(TDBC&gt;=$U349,1,(TDBC-$B349)/($U349-$B349))))</f>
      </c>
      <c r="Y349" s="223">
        <f>IF($A349="","",IF($V349="Đã xử lý","Hoàn thành",IF(N($U349)=0,"Chưa đặt hạn",IF(TDBC&gt;$U349,"Quá hạn",IF(ROUND((N($X349)-$W349)*100,0)&gt;=20,"Chậm tiến độ",IF($U349-TDBC&lt;=1,"Sắp đến hạn","Đúng tiến độ"))))))</f>
      </c>
      <c r="Z349" s="223">
        <f>IF(OR($A349="",$V349="Đã xử lý",N($U349)=0),"",IF(TDBC&gt;$U349,"Quá "&amp;IF(((TDBC-$U349)*24)&lt;1,MAX(1,ROUND(((TDBC-$U349)*24)*60,0))&amp;" phút",IF(ROUND(((TDBC-$U349)*24),0)&lt;24,ROUND(((TDBC-$U349)*24),0)&amp;" giờ",INT(ROUND(((TDBC-$U349)*24),0)/24)&amp;" ngày"&amp;IF(MOD(ROUND(((TDBC-$U349)*24),0),24)&gt;0," "&amp;MOD(ROUND(((TDBC-$U349)*24),0),24)&amp;" giờ",""))),"Còn "&amp;IF((($U349-TDBC)*24)&lt;1,MAX(1,ROUND((($U349-TDBC)*24)*60,0))&amp;" phút",IF(ROUND((($U349-TDBC)*24),0)&lt;24,ROUND((($U349-TDBC)*24),0)&amp;" giờ",INT(ROUND((($U349-TDBC)*24),0)/24)&amp;" ngày"&amp;IF(MOD(ROUND((($U349-TDBC)*24),0),24)&gt;0," "&amp;MOD(ROUND((($U349-TDBC)*24),0),24)&amp;" giờ","")))))</f>
      </c>
      <c r="AA349" s="220">
        <f>IF($V349="Đã xử lý",_xlfn.MAXIFS('Nhật ký tiến độ'!$B$6:$B$3005,'Nhật ký tiến độ'!$C$6:$C$3005,$A349,'Nhật ký tiến độ'!$E$6:$E$3005,"Đã xử lý"),"")</f>
      </c>
      <c r="AB349" s="223">
        <f>IF($AI349="","",IF($AI349&lt;1,MAX(1,ROUND($AI349*60,0))&amp;" phút",IF(ROUND($AI349,0)&lt;24,ROUND($AI349,0)&amp;" giờ",INT(ROUND($AI349,0)/24)&amp;" ngày"&amp;IF(MOD(ROUND($AI349,0),24)&gt;0," "&amp;MOD(ROUND($AI349,0),24)&amp;" giờ",""))))</f>
      </c>
      <c r="AC349" s="223">
        <f>IF(OR($A349="",N($AH349)=0),"",IF($AI349&lt;&gt;"",IF($AI349&lt;=$AH349,"Trong ước tính","Vượt "&amp;IF(($AI349-$AH349)&lt;1,MAX(1,ROUND(($AI349-$AH349)*60,0))&amp;" phút",IF(ROUND(($AI349-$AH349),0)&lt;24,ROUND(($AI349-$AH349),0)&amp;" giờ",INT(ROUND(($AI349-$AH349),0)/24)&amp;" ngày"&amp;IF(MOD(ROUND(($AI349-$AH349),0),24)&gt;0," "&amp;MOD(ROUND(($AI349-$AH349),0),24)&amp;" giờ","")))),IF(OR($V349="Đã xử lý",N($B349)=0),"",IF((TDBC-$B349)*24&gt;$AH349,"Đã vượt ước tính","Đã dùng "&amp;TEXT((TDBC-$B349)*24/$AH349,"0%")))))</f>
      </c>
      <c r="AD349" s="223">
        <f>IF(N($AO349)=0,"",CHOOSE($AO349,"Nhắc nhở","Cảnh báo","Báo động","Báo động đỏ"))</f>
      </c>
      <c r="AE349" s="223">
        <f>IF(OR(N($AA349)=0,N($U349)=0),"",IF($AA349&lt;=$U349,"Đúng hạn","Trễ hạn"))</f>
      </c>
      <c r="AF349" s="220">
        <f>IF($A349="","",_xlfn.MAXIFS('Nhật ký tiến độ'!$B$6:$B$3005,'Nhật ký tiến độ'!$C$6:$C$3005,$A349))</f>
      </c>
      <c r="AG349" s="223">
        <f>IF($A349="","",IF(COUNTIF('Kế hoạch'!$M$6:$M$305,$A349)=0,"",COUNTIF('Kế hoạch'!$M$6:$M$305,$A349)&amp;" việc"))</f>
      </c>
      <c r="AH349" s="224">
        <f>IF(OR($A349="",N($O349)&lt;=0),"",IF($P349="Giờ",$O349,$O349*24))</f>
      </c>
      <c r="AI349" s="224">
        <f>IF(OR(N($AA349)=0,N($B349)=0),"",IF($AA349&lt;$B349,"",($AA349-$B349)*24))</f>
      </c>
      <c r="AJ349" s="225">
        <f>IF($A349="","",IF(COUNTIF('Nhật ký tiến độ'!$C$6:$C$3005,$A349)=0,0,_xlfn.MAXIFS('Nhật ký tiến độ'!$N$6:$N$3005,'Nhật ký tiến độ'!$C$6:$C$3005,$A349,'Nhật ký tiến độ'!$B$6:$B$3005,_xlfn.MAXIFS('Nhật ký tiến độ'!$B$6:$B$3005,'Nhật ký tiến độ'!$C$6:$C$3005,$A349))))</f>
      </c>
      <c r="AK349" s="225">
        <f>IF(OR($A349="",$V349="Đã xử lý"),"",IF(N($AO349)&gt;0,5-$AO349,IF($J349="Khẩn cấp",5,IF($Y349="Chậm tiến độ",6,IF(OR($Y349="Sắp đến hạn",$J349="Cao"),7,"")))))</f>
      </c>
      <c r="AL349" s="225">
        <f>IF($AK349="","",$AK349*100000+IF(N($U349)=0,99999,INT($U349))+ROW()/100000)</f>
      </c>
      <c r="AM349" s="225">
        <f>IF(OR($A349="",TRIM($K349)="",COUNTIF($K$6:$K349,$K349)&gt;1),0,1)</f>
      </c>
      <c r="AN349" s="225">
        <f>IF($AM349=1,SUM($AM$6:$AM349),"")</f>
      </c>
      <c r="AO349" s="225">
        <f>IF(OR($A349="",$V349="Đã xử lý",N($U349)=0),0,IF(TDBC&lt;=$U349,0,MAX(1,MIN(4,IF((TDBC-$U349)*24&lt;24,1,IF((TDBC-$U349)*24&lt;72,2,IF((TDBC-$U349)*24&lt;168,3,4)))+IFERROR(INDEX({2,1,0,-1},MATCH($J349,{"Khẩn cấp","Cao","Trung bình","Thấp"},0)),0)))))</f>
      </c>
    </row>
    <row r="350">
      <c r="A350" s="216"/>
      <c r="B350" s="217"/>
      <c r="C350" s="218"/>
      <c r="D350" s="218"/>
      <c r="E350" s="218"/>
      <c r="F350" s="218"/>
      <c r="G350" s="216"/>
      <c r="H350" s="218"/>
      <c r="I350" s="218"/>
      <c r="J350" s="216"/>
      <c r="K350" s="218"/>
      <c r="L350" s="218"/>
      <c r="M350" s="218"/>
      <c r="N350" s="218"/>
      <c r="O350" s="219"/>
      <c r="P350" s="216"/>
      <c r="Q350" s="217"/>
      <c r="R350" s="216"/>
      <c r="S350" s="218"/>
      <c r="T350" s="218"/>
      <c r="U350" s="220">
        <f>IF($A350="","",IF(N($Q350)&gt;0,IF(MOD($Q350,1)=0,$Q350+1-1/1440,$Q350),IF(N($B350)=0,"",$B350+IF(N($AH350)&gt;0,$AH350,IFERROR(INDEX(DM_SLA_Gio,MATCH($J350,DM_SLA_Cap,0)),168))/24)))</f>
      </c>
      <c r="V350" s="221">
        <f>IF($A350="","",IF(N($AJ350)=0,"Mới tiếp nhận",INDEX('Nhật ký tiến độ'!$E:$E,$AJ350)))</f>
      </c>
      <c r="W350" s="222">
        <f>IF($A350="","",IF($V350="Đã xử lý",1,IF(N($AJ350)=0,0,N(INDEX('Nhật ký tiến độ'!$D:$D,$AJ350)))))</f>
      </c>
      <c r="X350" s="222">
        <f>IF(OR($A350="",$V350="Đã xử lý",N($U350)=0,N($B350)=0),"",IF(TDBC&lt;=$B350,0,IF(TDBC&gt;=$U350,1,(TDBC-$B350)/($U350-$B350))))</f>
      </c>
      <c r="Y350" s="223">
        <f>IF($A350="","",IF($V350="Đã xử lý","Hoàn thành",IF(N($U350)=0,"Chưa đặt hạn",IF(TDBC&gt;$U350,"Quá hạn",IF(ROUND((N($X350)-$W350)*100,0)&gt;=20,"Chậm tiến độ",IF($U350-TDBC&lt;=1,"Sắp đến hạn","Đúng tiến độ"))))))</f>
      </c>
      <c r="Z350" s="223">
        <f>IF(OR($A350="",$V350="Đã xử lý",N($U350)=0),"",IF(TDBC&gt;$U350,"Quá "&amp;IF(((TDBC-$U350)*24)&lt;1,MAX(1,ROUND(((TDBC-$U350)*24)*60,0))&amp;" phút",IF(ROUND(((TDBC-$U350)*24),0)&lt;24,ROUND(((TDBC-$U350)*24),0)&amp;" giờ",INT(ROUND(((TDBC-$U350)*24),0)/24)&amp;" ngày"&amp;IF(MOD(ROUND(((TDBC-$U350)*24),0),24)&gt;0," "&amp;MOD(ROUND(((TDBC-$U350)*24),0),24)&amp;" giờ",""))),"Còn "&amp;IF((($U350-TDBC)*24)&lt;1,MAX(1,ROUND((($U350-TDBC)*24)*60,0))&amp;" phút",IF(ROUND((($U350-TDBC)*24),0)&lt;24,ROUND((($U350-TDBC)*24),0)&amp;" giờ",INT(ROUND((($U350-TDBC)*24),0)/24)&amp;" ngày"&amp;IF(MOD(ROUND((($U350-TDBC)*24),0),24)&gt;0," "&amp;MOD(ROUND((($U350-TDBC)*24),0),24)&amp;" giờ","")))))</f>
      </c>
      <c r="AA350" s="220">
        <f>IF($V350="Đã xử lý",_xlfn.MAXIFS('Nhật ký tiến độ'!$B$6:$B$3005,'Nhật ký tiến độ'!$C$6:$C$3005,$A350,'Nhật ký tiến độ'!$E$6:$E$3005,"Đã xử lý"),"")</f>
      </c>
      <c r="AB350" s="223">
        <f>IF($AI350="","",IF($AI350&lt;1,MAX(1,ROUND($AI350*60,0))&amp;" phút",IF(ROUND($AI350,0)&lt;24,ROUND($AI350,0)&amp;" giờ",INT(ROUND($AI350,0)/24)&amp;" ngày"&amp;IF(MOD(ROUND($AI350,0),24)&gt;0," "&amp;MOD(ROUND($AI350,0),24)&amp;" giờ",""))))</f>
      </c>
      <c r="AC350" s="223">
        <f>IF(OR($A350="",N($AH350)=0),"",IF($AI350&lt;&gt;"",IF($AI350&lt;=$AH350,"Trong ước tính","Vượt "&amp;IF(($AI350-$AH350)&lt;1,MAX(1,ROUND(($AI350-$AH350)*60,0))&amp;" phút",IF(ROUND(($AI350-$AH350),0)&lt;24,ROUND(($AI350-$AH350),0)&amp;" giờ",INT(ROUND(($AI350-$AH350),0)/24)&amp;" ngày"&amp;IF(MOD(ROUND(($AI350-$AH350),0),24)&gt;0," "&amp;MOD(ROUND(($AI350-$AH350),0),24)&amp;" giờ","")))),IF(OR($V350="Đã xử lý",N($B350)=0),"",IF((TDBC-$B350)*24&gt;$AH350,"Đã vượt ước tính","Đã dùng "&amp;TEXT((TDBC-$B350)*24/$AH350,"0%")))))</f>
      </c>
      <c r="AD350" s="223">
        <f>IF(N($AO350)=0,"",CHOOSE($AO350,"Nhắc nhở","Cảnh báo","Báo động","Báo động đỏ"))</f>
      </c>
      <c r="AE350" s="223">
        <f>IF(OR(N($AA350)=0,N($U350)=0),"",IF($AA350&lt;=$U350,"Đúng hạn","Trễ hạn"))</f>
      </c>
      <c r="AF350" s="220">
        <f>IF($A350="","",_xlfn.MAXIFS('Nhật ký tiến độ'!$B$6:$B$3005,'Nhật ký tiến độ'!$C$6:$C$3005,$A350))</f>
      </c>
      <c r="AG350" s="223">
        <f>IF($A350="","",IF(COUNTIF('Kế hoạch'!$M$6:$M$305,$A350)=0,"",COUNTIF('Kế hoạch'!$M$6:$M$305,$A350)&amp;" việc"))</f>
      </c>
      <c r="AH350" s="224">
        <f>IF(OR($A350="",N($O350)&lt;=0),"",IF($P350="Giờ",$O350,$O350*24))</f>
      </c>
      <c r="AI350" s="224">
        <f>IF(OR(N($AA350)=0,N($B350)=0),"",IF($AA350&lt;$B350,"",($AA350-$B350)*24))</f>
      </c>
      <c r="AJ350" s="225">
        <f>IF($A350="","",IF(COUNTIF('Nhật ký tiến độ'!$C$6:$C$3005,$A350)=0,0,_xlfn.MAXIFS('Nhật ký tiến độ'!$N$6:$N$3005,'Nhật ký tiến độ'!$C$6:$C$3005,$A350,'Nhật ký tiến độ'!$B$6:$B$3005,_xlfn.MAXIFS('Nhật ký tiến độ'!$B$6:$B$3005,'Nhật ký tiến độ'!$C$6:$C$3005,$A350))))</f>
      </c>
      <c r="AK350" s="225">
        <f>IF(OR($A350="",$V350="Đã xử lý"),"",IF(N($AO350)&gt;0,5-$AO350,IF($J350="Khẩn cấp",5,IF($Y350="Chậm tiến độ",6,IF(OR($Y350="Sắp đến hạn",$J350="Cao"),7,"")))))</f>
      </c>
      <c r="AL350" s="225">
        <f>IF($AK350="","",$AK350*100000+IF(N($U350)=0,99999,INT($U350))+ROW()/100000)</f>
      </c>
      <c r="AM350" s="225">
        <f>IF(OR($A350="",TRIM($K350)="",COUNTIF($K$6:$K350,$K350)&gt;1),0,1)</f>
      </c>
      <c r="AN350" s="225">
        <f>IF($AM350=1,SUM($AM$6:$AM350),"")</f>
      </c>
      <c r="AO350" s="225">
        <f>IF(OR($A350="",$V350="Đã xử lý",N($U350)=0),0,IF(TDBC&lt;=$U350,0,MAX(1,MIN(4,IF((TDBC-$U350)*24&lt;24,1,IF((TDBC-$U350)*24&lt;72,2,IF((TDBC-$U350)*24&lt;168,3,4)))+IFERROR(INDEX({2,1,0,-1},MATCH($J350,{"Khẩn cấp","Cao","Trung bình","Thấp"},0)),0)))))</f>
      </c>
    </row>
    <row r="351">
      <c r="A351" s="216"/>
      <c r="B351" s="217"/>
      <c r="C351" s="218"/>
      <c r="D351" s="218"/>
      <c r="E351" s="218"/>
      <c r="F351" s="218"/>
      <c r="G351" s="216"/>
      <c r="H351" s="218"/>
      <c r="I351" s="218"/>
      <c r="J351" s="216"/>
      <c r="K351" s="218"/>
      <c r="L351" s="218"/>
      <c r="M351" s="218"/>
      <c r="N351" s="218"/>
      <c r="O351" s="219"/>
      <c r="P351" s="216"/>
      <c r="Q351" s="217"/>
      <c r="R351" s="216"/>
      <c r="S351" s="218"/>
      <c r="T351" s="218"/>
      <c r="U351" s="220">
        <f>IF($A351="","",IF(N($Q351)&gt;0,IF(MOD($Q351,1)=0,$Q351+1-1/1440,$Q351),IF(N($B351)=0,"",$B351+IF(N($AH351)&gt;0,$AH351,IFERROR(INDEX(DM_SLA_Gio,MATCH($J351,DM_SLA_Cap,0)),168))/24)))</f>
      </c>
      <c r="V351" s="221">
        <f>IF($A351="","",IF(N($AJ351)=0,"Mới tiếp nhận",INDEX('Nhật ký tiến độ'!$E:$E,$AJ351)))</f>
      </c>
      <c r="W351" s="222">
        <f>IF($A351="","",IF($V351="Đã xử lý",1,IF(N($AJ351)=0,0,N(INDEX('Nhật ký tiến độ'!$D:$D,$AJ351)))))</f>
      </c>
      <c r="X351" s="222">
        <f>IF(OR($A351="",$V351="Đã xử lý",N($U351)=0,N($B351)=0),"",IF(TDBC&lt;=$B351,0,IF(TDBC&gt;=$U351,1,(TDBC-$B351)/($U351-$B351))))</f>
      </c>
      <c r="Y351" s="223">
        <f>IF($A351="","",IF($V351="Đã xử lý","Hoàn thành",IF(N($U351)=0,"Chưa đặt hạn",IF(TDBC&gt;$U351,"Quá hạn",IF(ROUND((N($X351)-$W351)*100,0)&gt;=20,"Chậm tiến độ",IF($U351-TDBC&lt;=1,"Sắp đến hạn","Đúng tiến độ"))))))</f>
      </c>
      <c r="Z351" s="223">
        <f>IF(OR($A351="",$V351="Đã xử lý",N($U351)=0),"",IF(TDBC&gt;$U351,"Quá "&amp;IF(((TDBC-$U351)*24)&lt;1,MAX(1,ROUND(((TDBC-$U351)*24)*60,0))&amp;" phút",IF(ROUND(((TDBC-$U351)*24),0)&lt;24,ROUND(((TDBC-$U351)*24),0)&amp;" giờ",INT(ROUND(((TDBC-$U351)*24),0)/24)&amp;" ngày"&amp;IF(MOD(ROUND(((TDBC-$U351)*24),0),24)&gt;0," "&amp;MOD(ROUND(((TDBC-$U351)*24),0),24)&amp;" giờ",""))),"Còn "&amp;IF((($U351-TDBC)*24)&lt;1,MAX(1,ROUND((($U351-TDBC)*24)*60,0))&amp;" phút",IF(ROUND((($U351-TDBC)*24),0)&lt;24,ROUND((($U351-TDBC)*24),0)&amp;" giờ",INT(ROUND((($U351-TDBC)*24),0)/24)&amp;" ngày"&amp;IF(MOD(ROUND((($U351-TDBC)*24),0),24)&gt;0," "&amp;MOD(ROUND((($U351-TDBC)*24),0),24)&amp;" giờ","")))))</f>
      </c>
      <c r="AA351" s="220">
        <f>IF($V351="Đã xử lý",_xlfn.MAXIFS('Nhật ký tiến độ'!$B$6:$B$3005,'Nhật ký tiến độ'!$C$6:$C$3005,$A351,'Nhật ký tiến độ'!$E$6:$E$3005,"Đã xử lý"),"")</f>
      </c>
      <c r="AB351" s="223">
        <f>IF($AI351="","",IF($AI351&lt;1,MAX(1,ROUND($AI351*60,0))&amp;" phút",IF(ROUND($AI351,0)&lt;24,ROUND($AI351,0)&amp;" giờ",INT(ROUND($AI351,0)/24)&amp;" ngày"&amp;IF(MOD(ROUND($AI351,0),24)&gt;0," "&amp;MOD(ROUND($AI351,0),24)&amp;" giờ",""))))</f>
      </c>
      <c r="AC351" s="223">
        <f>IF(OR($A351="",N($AH351)=0),"",IF($AI351&lt;&gt;"",IF($AI351&lt;=$AH351,"Trong ước tính","Vượt "&amp;IF(($AI351-$AH351)&lt;1,MAX(1,ROUND(($AI351-$AH351)*60,0))&amp;" phút",IF(ROUND(($AI351-$AH351),0)&lt;24,ROUND(($AI351-$AH351),0)&amp;" giờ",INT(ROUND(($AI351-$AH351),0)/24)&amp;" ngày"&amp;IF(MOD(ROUND(($AI351-$AH351),0),24)&gt;0," "&amp;MOD(ROUND(($AI351-$AH351),0),24)&amp;" giờ","")))),IF(OR($V351="Đã xử lý",N($B351)=0),"",IF((TDBC-$B351)*24&gt;$AH351,"Đã vượt ước tính","Đã dùng "&amp;TEXT((TDBC-$B351)*24/$AH351,"0%")))))</f>
      </c>
      <c r="AD351" s="223">
        <f>IF(N($AO351)=0,"",CHOOSE($AO351,"Nhắc nhở","Cảnh báo","Báo động","Báo động đỏ"))</f>
      </c>
      <c r="AE351" s="223">
        <f>IF(OR(N($AA351)=0,N($U351)=0),"",IF($AA351&lt;=$U351,"Đúng hạn","Trễ hạn"))</f>
      </c>
      <c r="AF351" s="220">
        <f>IF($A351="","",_xlfn.MAXIFS('Nhật ký tiến độ'!$B$6:$B$3005,'Nhật ký tiến độ'!$C$6:$C$3005,$A351))</f>
      </c>
      <c r="AG351" s="223">
        <f>IF($A351="","",IF(COUNTIF('Kế hoạch'!$M$6:$M$305,$A351)=0,"",COUNTIF('Kế hoạch'!$M$6:$M$305,$A351)&amp;" việc"))</f>
      </c>
      <c r="AH351" s="224">
        <f>IF(OR($A351="",N($O351)&lt;=0),"",IF($P351="Giờ",$O351,$O351*24))</f>
      </c>
      <c r="AI351" s="224">
        <f>IF(OR(N($AA351)=0,N($B351)=0),"",IF($AA351&lt;$B351,"",($AA351-$B351)*24))</f>
      </c>
      <c r="AJ351" s="225">
        <f>IF($A351="","",IF(COUNTIF('Nhật ký tiến độ'!$C$6:$C$3005,$A351)=0,0,_xlfn.MAXIFS('Nhật ký tiến độ'!$N$6:$N$3005,'Nhật ký tiến độ'!$C$6:$C$3005,$A351,'Nhật ký tiến độ'!$B$6:$B$3005,_xlfn.MAXIFS('Nhật ký tiến độ'!$B$6:$B$3005,'Nhật ký tiến độ'!$C$6:$C$3005,$A351))))</f>
      </c>
      <c r="AK351" s="225">
        <f>IF(OR($A351="",$V351="Đã xử lý"),"",IF(N($AO351)&gt;0,5-$AO351,IF($J351="Khẩn cấp",5,IF($Y351="Chậm tiến độ",6,IF(OR($Y351="Sắp đến hạn",$J351="Cao"),7,"")))))</f>
      </c>
      <c r="AL351" s="225">
        <f>IF($AK351="","",$AK351*100000+IF(N($U351)=0,99999,INT($U351))+ROW()/100000)</f>
      </c>
      <c r="AM351" s="225">
        <f>IF(OR($A351="",TRIM($K351)="",COUNTIF($K$6:$K351,$K351)&gt;1),0,1)</f>
      </c>
      <c r="AN351" s="225">
        <f>IF($AM351=1,SUM($AM$6:$AM351),"")</f>
      </c>
      <c r="AO351" s="225">
        <f>IF(OR($A351="",$V351="Đã xử lý",N($U351)=0),0,IF(TDBC&lt;=$U351,0,MAX(1,MIN(4,IF((TDBC-$U351)*24&lt;24,1,IF((TDBC-$U351)*24&lt;72,2,IF((TDBC-$U351)*24&lt;168,3,4)))+IFERROR(INDEX({2,1,0,-1},MATCH($J351,{"Khẩn cấp","Cao","Trung bình","Thấp"},0)),0)))))</f>
      </c>
    </row>
    <row r="352">
      <c r="A352" s="216"/>
      <c r="B352" s="217"/>
      <c r="C352" s="218"/>
      <c r="D352" s="218"/>
      <c r="E352" s="218"/>
      <c r="F352" s="218"/>
      <c r="G352" s="216"/>
      <c r="H352" s="218"/>
      <c r="I352" s="218"/>
      <c r="J352" s="216"/>
      <c r="K352" s="218"/>
      <c r="L352" s="218"/>
      <c r="M352" s="218"/>
      <c r="N352" s="218"/>
      <c r="O352" s="219"/>
      <c r="P352" s="216"/>
      <c r="Q352" s="217"/>
      <c r="R352" s="216"/>
      <c r="S352" s="218"/>
      <c r="T352" s="218"/>
      <c r="U352" s="220">
        <f>IF($A352="","",IF(N($Q352)&gt;0,IF(MOD($Q352,1)=0,$Q352+1-1/1440,$Q352),IF(N($B352)=0,"",$B352+IF(N($AH352)&gt;0,$AH352,IFERROR(INDEX(DM_SLA_Gio,MATCH($J352,DM_SLA_Cap,0)),168))/24)))</f>
      </c>
      <c r="V352" s="221">
        <f>IF($A352="","",IF(N($AJ352)=0,"Mới tiếp nhận",INDEX('Nhật ký tiến độ'!$E:$E,$AJ352)))</f>
      </c>
      <c r="W352" s="222">
        <f>IF($A352="","",IF($V352="Đã xử lý",1,IF(N($AJ352)=0,0,N(INDEX('Nhật ký tiến độ'!$D:$D,$AJ352)))))</f>
      </c>
      <c r="X352" s="222">
        <f>IF(OR($A352="",$V352="Đã xử lý",N($U352)=0,N($B352)=0),"",IF(TDBC&lt;=$B352,0,IF(TDBC&gt;=$U352,1,(TDBC-$B352)/($U352-$B352))))</f>
      </c>
      <c r="Y352" s="223">
        <f>IF($A352="","",IF($V352="Đã xử lý","Hoàn thành",IF(N($U352)=0,"Chưa đặt hạn",IF(TDBC&gt;$U352,"Quá hạn",IF(ROUND((N($X352)-$W352)*100,0)&gt;=20,"Chậm tiến độ",IF($U352-TDBC&lt;=1,"Sắp đến hạn","Đúng tiến độ"))))))</f>
      </c>
      <c r="Z352" s="223">
        <f>IF(OR($A352="",$V352="Đã xử lý",N($U352)=0),"",IF(TDBC&gt;$U352,"Quá "&amp;IF(((TDBC-$U352)*24)&lt;1,MAX(1,ROUND(((TDBC-$U352)*24)*60,0))&amp;" phút",IF(ROUND(((TDBC-$U352)*24),0)&lt;24,ROUND(((TDBC-$U352)*24),0)&amp;" giờ",INT(ROUND(((TDBC-$U352)*24),0)/24)&amp;" ngày"&amp;IF(MOD(ROUND(((TDBC-$U352)*24),0),24)&gt;0," "&amp;MOD(ROUND(((TDBC-$U352)*24),0),24)&amp;" giờ",""))),"Còn "&amp;IF((($U352-TDBC)*24)&lt;1,MAX(1,ROUND((($U352-TDBC)*24)*60,0))&amp;" phút",IF(ROUND((($U352-TDBC)*24),0)&lt;24,ROUND((($U352-TDBC)*24),0)&amp;" giờ",INT(ROUND((($U352-TDBC)*24),0)/24)&amp;" ngày"&amp;IF(MOD(ROUND((($U352-TDBC)*24),0),24)&gt;0," "&amp;MOD(ROUND((($U352-TDBC)*24),0),24)&amp;" giờ","")))))</f>
      </c>
      <c r="AA352" s="220">
        <f>IF($V352="Đã xử lý",_xlfn.MAXIFS('Nhật ký tiến độ'!$B$6:$B$3005,'Nhật ký tiến độ'!$C$6:$C$3005,$A352,'Nhật ký tiến độ'!$E$6:$E$3005,"Đã xử lý"),"")</f>
      </c>
      <c r="AB352" s="223">
        <f>IF($AI352="","",IF($AI352&lt;1,MAX(1,ROUND($AI352*60,0))&amp;" phút",IF(ROUND($AI352,0)&lt;24,ROUND($AI352,0)&amp;" giờ",INT(ROUND($AI352,0)/24)&amp;" ngày"&amp;IF(MOD(ROUND($AI352,0),24)&gt;0," "&amp;MOD(ROUND($AI352,0),24)&amp;" giờ",""))))</f>
      </c>
      <c r="AC352" s="223">
        <f>IF(OR($A352="",N($AH352)=0),"",IF($AI352&lt;&gt;"",IF($AI352&lt;=$AH352,"Trong ước tính","Vượt "&amp;IF(($AI352-$AH352)&lt;1,MAX(1,ROUND(($AI352-$AH352)*60,0))&amp;" phút",IF(ROUND(($AI352-$AH352),0)&lt;24,ROUND(($AI352-$AH352),0)&amp;" giờ",INT(ROUND(($AI352-$AH352),0)/24)&amp;" ngày"&amp;IF(MOD(ROUND(($AI352-$AH352),0),24)&gt;0," "&amp;MOD(ROUND(($AI352-$AH352),0),24)&amp;" giờ","")))),IF(OR($V352="Đã xử lý",N($B352)=0),"",IF((TDBC-$B352)*24&gt;$AH352,"Đã vượt ước tính","Đã dùng "&amp;TEXT((TDBC-$B352)*24/$AH352,"0%")))))</f>
      </c>
      <c r="AD352" s="223">
        <f>IF(N($AO352)=0,"",CHOOSE($AO352,"Nhắc nhở","Cảnh báo","Báo động","Báo động đỏ"))</f>
      </c>
      <c r="AE352" s="223">
        <f>IF(OR(N($AA352)=0,N($U352)=0),"",IF($AA352&lt;=$U352,"Đúng hạn","Trễ hạn"))</f>
      </c>
      <c r="AF352" s="220">
        <f>IF($A352="","",_xlfn.MAXIFS('Nhật ký tiến độ'!$B$6:$B$3005,'Nhật ký tiến độ'!$C$6:$C$3005,$A352))</f>
      </c>
      <c r="AG352" s="223">
        <f>IF($A352="","",IF(COUNTIF('Kế hoạch'!$M$6:$M$305,$A352)=0,"",COUNTIF('Kế hoạch'!$M$6:$M$305,$A352)&amp;" việc"))</f>
      </c>
      <c r="AH352" s="224">
        <f>IF(OR($A352="",N($O352)&lt;=0),"",IF($P352="Giờ",$O352,$O352*24))</f>
      </c>
      <c r="AI352" s="224">
        <f>IF(OR(N($AA352)=0,N($B352)=0),"",IF($AA352&lt;$B352,"",($AA352-$B352)*24))</f>
      </c>
      <c r="AJ352" s="225">
        <f>IF($A352="","",IF(COUNTIF('Nhật ký tiến độ'!$C$6:$C$3005,$A352)=0,0,_xlfn.MAXIFS('Nhật ký tiến độ'!$N$6:$N$3005,'Nhật ký tiến độ'!$C$6:$C$3005,$A352,'Nhật ký tiến độ'!$B$6:$B$3005,_xlfn.MAXIFS('Nhật ký tiến độ'!$B$6:$B$3005,'Nhật ký tiến độ'!$C$6:$C$3005,$A352))))</f>
      </c>
      <c r="AK352" s="225">
        <f>IF(OR($A352="",$V352="Đã xử lý"),"",IF(N($AO352)&gt;0,5-$AO352,IF($J352="Khẩn cấp",5,IF($Y352="Chậm tiến độ",6,IF(OR($Y352="Sắp đến hạn",$J352="Cao"),7,"")))))</f>
      </c>
      <c r="AL352" s="225">
        <f>IF($AK352="","",$AK352*100000+IF(N($U352)=0,99999,INT($U352))+ROW()/100000)</f>
      </c>
      <c r="AM352" s="225">
        <f>IF(OR($A352="",TRIM($K352)="",COUNTIF($K$6:$K352,$K352)&gt;1),0,1)</f>
      </c>
      <c r="AN352" s="225">
        <f>IF($AM352=1,SUM($AM$6:$AM352),"")</f>
      </c>
      <c r="AO352" s="225">
        <f>IF(OR($A352="",$V352="Đã xử lý",N($U352)=0),0,IF(TDBC&lt;=$U352,0,MAX(1,MIN(4,IF((TDBC-$U352)*24&lt;24,1,IF((TDBC-$U352)*24&lt;72,2,IF((TDBC-$U352)*24&lt;168,3,4)))+IFERROR(INDEX({2,1,0,-1},MATCH($J352,{"Khẩn cấp","Cao","Trung bình","Thấp"},0)),0)))))</f>
      </c>
    </row>
    <row r="353">
      <c r="A353" s="216"/>
      <c r="B353" s="217"/>
      <c r="C353" s="218"/>
      <c r="D353" s="218"/>
      <c r="E353" s="218"/>
      <c r="F353" s="218"/>
      <c r="G353" s="216"/>
      <c r="H353" s="218"/>
      <c r="I353" s="218"/>
      <c r="J353" s="216"/>
      <c r="K353" s="218"/>
      <c r="L353" s="218"/>
      <c r="M353" s="218"/>
      <c r="N353" s="218"/>
      <c r="O353" s="219"/>
      <c r="P353" s="216"/>
      <c r="Q353" s="217"/>
      <c r="R353" s="216"/>
      <c r="S353" s="218"/>
      <c r="T353" s="218"/>
      <c r="U353" s="220">
        <f>IF($A353="","",IF(N($Q353)&gt;0,IF(MOD($Q353,1)=0,$Q353+1-1/1440,$Q353),IF(N($B353)=0,"",$B353+IF(N($AH353)&gt;0,$AH353,IFERROR(INDEX(DM_SLA_Gio,MATCH($J353,DM_SLA_Cap,0)),168))/24)))</f>
      </c>
      <c r="V353" s="221">
        <f>IF($A353="","",IF(N($AJ353)=0,"Mới tiếp nhận",INDEX('Nhật ký tiến độ'!$E:$E,$AJ353)))</f>
      </c>
      <c r="W353" s="222">
        <f>IF($A353="","",IF($V353="Đã xử lý",1,IF(N($AJ353)=0,0,N(INDEX('Nhật ký tiến độ'!$D:$D,$AJ353)))))</f>
      </c>
      <c r="X353" s="222">
        <f>IF(OR($A353="",$V353="Đã xử lý",N($U353)=0,N($B353)=0),"",IF(TDBC&lt;=$B353,0,IF(TDBC&gt;=$U353,1,(TDBC-$B353)/($U353-$B353))))</f>
      </c>
      <c r="Y353" s="223">
        <f>IF($A353="","",IF($V353="Đã xử lý","Hoàn thành",IF(N($U353)=0,"Chưa đặt hạn",IF(TDBC&gt;$U353,"Quá hạn",IF(ROUND((N($X353)-$W353)*100,0)&gt;=20,"Chậm tiến độ",IF($U353-TDBC&lt;=1,"Sắp đến hạn","Đúng tiến độ"))))))</f>
      </c>
      <c r="Z353" s="223">
        <f>IF(OR($A353="",$V353="Đã xử lý",N($U353)=0),"",IF(TDBC&gt;$U353,"Quá "&amp;IF(((TDBC-$U353)*24)&lt;1,MAX(1,ROUND(((TDBC-$U353)*24)*60,0))&amp;" phút",IF(ROUND(((TDBC-$U353)*24),0)&lt;24,ROUND(((TDBC-$U353)*24),0)&amp;" giờ",INT(ROUND(((TDBC-$U353)*24),0)/24)&amp;" ngày"&amp;IF(MOD(ROUND(((TDBC-$U353)*24),0),24)&gt;0," "&amp;MOD(ROUND(((TDBC-$U353)*24),0),24)&amp;" giờ",""))),"Còn "&amp;IF((($U353-TDBC)*24)&lt;1,MAX(1,ROUND((($U353-TDBC)*24)*60,0))&amp;" phút",IF(ROUND((($U353-TDBC)*24),0)&lt;24,ROUND((($U353-TDBC)*24),0)&amp;" giờ",INT(ROUND((($U353-TDBC)*24),0)/24)&amp;" ngày"&amp;IF(MOD(ROUND((($U353-TDBC)*24),0),24)&gt;0," "&amp;MOD(ROUND((($U353-TDBC)*24),0),24)&amp;" giờ","")))))</f>
      </c>
      <c r="AA353" s="220">
        <f>IF($V353="Đã xử lý",_xlfn.MAXIFS('Nhật ký tiến độ'!$B$6:$B$3005,'Nhật ký tiến độ'!$C$6:$C$3005,$A353,'Nhật ký tiến độ'!$E$6:$E$3005,"Đã xử lý"),"")</f>
      </c>
      <c r="AB353" s="223">
        <f>IF($AI353="","",IF($AI353&lt;1,MAX(1,ROUND($AI353*60,0))&amp;" phút",IF(ROUND($AI353,0)&lt;24,ROUND($AI353,0)&amp;" giờ",INT(ROUND($AI353,0)/24)&amp;" ngày"&amp;IF(MOD(ROUND($AI353,0),24)&gt;0," "&amp;MOD(ROUND($AI353,0),24)&amp;" giờ",""))))</f>
      </c>
      <c r="AC353" s="223">
        <f>IF(OR($A353="",N($AH353)=0),"",IF($AI353&lt;&gt;"",IF($AI353&lt;=$AH353,"Trong ước tính","Vượt "&amp;IF(($AI353-$AH353)&lt;1,MAX(1,ROUND(($AI353-$AH353)*60,0))&amp;" phút",IF(ROUND(($AI353-$AH353),0)&lt;24,ROUND(($AI353-$AH353),0)&amp;" giờ",INT(ROUND(($AI353-$AH353),0)/24)&amp;" ngày"&amp;IF(MOD(ROUND(($AI353-$AH353),0),24)&gt;0," "&amp;MOD(ROUND(($AI353-$AH353),0),24)&amp;" giờ","")))),IF(OR($V353="Đã xử lý",N($B353)=0),"",IF((TDBC-$B353)*24&gt;$AH353,"Đã vượt ước tính","Đã dùng "&amp;TEXT((TDBC-$B353)*24/$AH353,"0%")))))</f>
      </c>
      <c r="AD353" s="223">
        <f>IF(N($AO353)=0,"",CHOOSE($AO353,"Nhắc nhở","Cảnh báo","Báo động","Báo động đỏ"))</f>
      </c>
      <c r="AE353" s="223">
        <f>IF(OR(N($AA353)=0,N($U353)=0),"",IF($AA353&lt;=$U353,"Đúng hạn","Trễ hạn"))</f>
      </c>
      <c r="AF353" s="220">
        <f>IF($A353="","",_xlfn.MAXIFS('Nhật ký tiến độ'!$B$6:$B$3005,'Nhật ký tiến độ'!$C$6:$C$3005,$A353))</f>
      </c>
      <c r="AG353" s="223">
        <f>IF($A353="","",IF(COUNTIF('Kế hoạch'!$M$6:$M$305,$A353)=0,"",COUNTIF('Kế hoạch'!$M$6:$M$305,$A353)&amp;" việc"))</f>
      </c>
      <c r="AH353" s="224">
        <f>IF(OR($A353="",N($O353)&lt;=0),"",IF($P353="Giờ",$O353,$O353*24))</f>
      </c>
      <c r="AI353" s="224">
        <f>IF(OR(N($AA353)=0,N($B353)=0),"",IF($AA353&lt;$B353,"",($AA353-$B353)*24))</f>
      </c>
      <c r="AJ353" s="225">
        <f>IF($A353="","",IF(COUNTIF('Nhật ký tiến độ'!$C$6:$C$3005,$A353)=0,0,_xlfn.MAXIFS('Nhật ký tiến độ'!$N$6:$N$3005,'Nhật ký tiến độ'!$C$6:$C$3005,$A353,'Nhật ký tiến độ'!$B$6:$B$3005,_xlfn.MAXIFS('Nhật ký tiến độ'!$B$6:$B$3005,'Nhật ký tiến độ'!$C$6:$C$3005,$A353))))</f>
      </c>
      <c r="AK353" s="225">
        <f>IF(OR($A353="",$V353="Đã xử lý"),"",IF(N($AO353)&gt;0,5-$AO353,IF($J353="Khẩn cấp",5,IF($Y353="Chậm tiến độ",6,IF(OR($Y353="Sắp đến hạn",$J353="Cao"),7,"")))))</f>
      </c>
      <c r="AL353" s="225">
        <f>IF($AK353="","",$AK353*100000+IF(N($U353)=0,99999,INT($U353))+ROW()/100000)</f>
      </c>
      <c r="AM353" s="225">
        <f>IF(OR($A353="",TRIM($K353)="",COUNTIF($K$6:$K353,$K353)&gt;1),0,1)</f>
      </c>
      <c r="AN353" s="225">
        <f>IF($AM353=1,SUM($AM$6:$AM353),"")</f>
      </c>
      <c r="AO353" s="225">
        <f>IF(OR($A353="",$V353="Đã xử lý",N($U353)=0),0,IF(TDBC&lt;=$U353,0,MAX(1,MIN(4,IF((TDBC-$U353)*24&lt;24,1,IF((TDBC-$U353)*24&lt;72,2,IF((TDBC-$U353)*24&lt;168,3,4)))+IFERROR(INDEX({2,1,0,-1},MATCH($J353,{"Khẩn cấp","Cao","Trung bình","Thấp"},0)),0)))))</f>
      </c>
    </row>
    <row r="354">
      <c r="A354" s="216"/>
      <c r="B354" s="217"/>
      <c r="C354" s="218"/>
      <c r="D354" s="218"/>
      <c r="E354" s="218"/>
      <c r="F354" s="218"/>
      <c r="G354" s="216"/>
      <c r="H354" s="218"/>
      <c r="I354" s="218"/>
      <c r="J354" s="216"/>
      <c r="K354" s="218"/>
      <c r="L354" s="218"/>
      <c r="M354" s="218"/>
      <c r="N354" s="218"/>
      <c r="O354" s="219"/>
      <c r="P354" s="216"/>
      <c r="Q354" s="217"/>
      <c r="R354" s="216"/>
      <c r="S354" s="218"/>
      <c r="T354" s="218"/>
      <c r="U354" s="220">
        <f>IF($A354="","",IF(N($Q354)&gt;0,IF(MOD($Q354,1)=0,$Q354+1-1/1440,$Q354),IF(N($B354)=0,"",$B354+IF(N($AH354)&gt;0,$AH354,IFERROR(INDEX(DM_SLA_Gio,MATCH($J354,DM_SLA_Cap,0)),168))/24)))</f>
      </c>
      <c r="V354" s="221">
        <f>IF($A354="","",IF(N($AJ354)=0,"Mới tiếp nhận",INDEX('Nhật ký tiến độ'!$E:$E,$AJ354)))</f>
      </c>
      <c r="W354" s="222">
        <f>IF($A354="","",IF($V354="Đã xử lý",1,IF(N($AJ354)=0,0,N(INDEX('Nhật ký tiến độ'!$D:$D,$AJ354)))))</f>
      </c>
      <c r="X354" s="222">
        <f>IF(OR($A354="",$V354="Đã xử lý",N($U354)=0,N($B354)=0),"",IF(TDBC&lt;=$B354,0,IF(TDBC&gt;=$U354,1,(TDBC-$B354)/($U354-$B354))))</f>
      </c>
      <c r="Y354" s="223">
        <f>IF($A354="","",IF($V354="Đã xử lý","Hoàn thành",IF(N($U354)=0,"Chưa đặt hạn",IF(TDBC&gt;$U354,"Quá hạn",IF(ROUND((N($X354)-$W354)*100,0)&gt;=20,"Chậm tiến độ",IF($U354-TDBC&lt;=1,"Sắp đến hạn","Đúng tiến độ"))))))</f>
      </c>
      <c r="Z354" s="223">
        <f>IF(OR($A354="",$V354="Đã xử lý",N($U354)=0),"",IF(TDBC&gt;$U354,"Quá "&amp;IF(((TDBC-$U354)*24)&lt;1,MAX(1,ROUND(((TDBC-$U354)*24)*60,0))&amp;" phút",IF(ROUND(((TDBC-$U354)*24),0)&lt;24,ROUND(((TDBC-$U354)*24),0)&amp;" giờ",INT(ROUND(((TDBC-$U354)*24),0)/24)&amp;" ngày"&amp;IF(MOD(ROUND(((TDBC-$U354)*24),0),24)&gt;0," "&amp;MOD(ROUND(((TDBC-$U354)*24),0),24)&amp;" giờ",""))),"Còn "&amp;IF((($U354-TDBC)*24)&lt;1,MAX(1,ROUND((($U354-TDBC)*24)*60,0))&amp;" phút",IF(ROUND((($U354-TDBC)*24),0)&lt;24,ROUND((($U354-TDBC)*24),0)&amp;" giờ",INT(ROUND((($U354-TDBC)*24),0)/24)&amp;" ngày"&amp;IF(MOD(ROUND((($U354-TDBC)*24),0),24)&gt;0," "&amp;MOD(ROUND((($U354-TDBC)*24),0),24)&amp;" giờ","")))))</f>
      </c>
      <c r="AA354" s="220">
        <f>IF($V354="Đã xử lý",_xlfn.MAXIFS('Nhật ký tiến độ'!$B$6:$B$3005,'Nhật ký tiến độ'!$C$6:$C$3005,$A354,'Nhật ký tiến độ'!$E$6:$E$3005,"Đã xử lý"),"")</f>
      </c>
      <c r="AB354" s="223">
        <f>IF($AI354="","",IF($AI354&lt;1,MAX(1,ROUND($AI354*60,0))&amp;" phút",IF(ROUND($AI354,0)&lt;24,ROUND($AI354,0)&amp;" giờ",INT(ROUND($AI354,0)/24)&amp;" ngày"&amp;IF(MOD(ROUND($AI354,0),24)&gt;0," "&amp;MOD(ROUND($AI354,0),24)&amp;" giờ",""))))</f>
      </c>
      <c r="AC354" s="223">
        <f>IF(OR($A354="",N($AH354)=0),"",IF($AI354&lt;&gt;"",IF($AI354&lt;=$AH354,"Trong ước tính","Vượt "&amp;IF(($AI354-$AH354)&lt;1,MAX(1,ROUND(($AI354-$AH354)*60,0))&amp;" phút",IF(ROUND(($AI354-$AH354),0)&lt;24,ROUND(($AI354-$AH354),0)&amp;" giờ",INT(ROUND(($AI354-$AH354),0)/24)&amp;" ngày"&amp;IF(MOD(ROUND(($AI354-$AH354),0),24)&gt;0," "&amp;MOD(ROUND(($AI354-$AH354),0),24)&amp;" giờ","")))),IF(OR($V354="Đã xử lý",N($B354)=0),"",IF((TDBC-$B354)*24&gt;$AH354,"Đã vượt ước tính","Đã dùng "&amp;TEXT((TDBC-$B354)*24/$AH354,"0%")))))</f>
      </c>
      <c r="AD354" s="223">
        <f>IF(N($AO354)=0,"",CHOOSE($AO354,"Nhắc nhở","Cảnh báo","Báo động","Báo động đỏ"))</f>
      </c>
      <c r="AE354" s="223">
        <f>IF(OR(N($AA354)=0,N($U354)=0),"",IF($AA354&lt;=$U354,"Đúng hạn","Trễ hạn"))</f>
      </c>
      <c r="AF354" s="220">
        <f>IF($A354="","",_xlfn.MAXIFS('Nhật ký tiến độ'!$B$6:$B$3005,'Nhật ký tiến độ'!$C$6:$C$3005,$A354))</f>
      </c>
      <c r="AG354" s="223">
        <f>IF($A354="","",IF(COUNTIF('Kế hoạch'!$M$6:$M$305,$A354)=0,"",COUNTIF('Kế hoạch'!$M$6:$M$305,$A354)&amp;" việc"))</f>
      </c>
      <c r="AH354" s="224">
        <f>IF(OR($A354="",N($O354)&lt;=0),"",IF($P354="Giờ",$O354,$O354*24))</f>
      </c>
      <c r="AI354" s="224">
        <f>IF(OR(N($AA354)=0,N($B354)=0),"",IF($AA354&lt;$B354,"",($AA354-$B354)*24))</f>
      </c>
      <c r="AJ354" s="225">
        <f>IF($A354="","",IF(COUNTIF('Nhật ký tiến độ'!$C$6:$C$3005,$A354)=0,0,_xlfn.MAXIFS('Nhật ký tiến độ'!$N$6:$N$3005,'Nhật ký tiến độ'!$C$6:$C$3005,$A354,'Nhật ký tiến độ'!$B$6:$B$3005,_xlfn.MAXIFS('Nhật ký tiến độ'!$B$6:$B$3005,'Nhật ký tiến độ'!$C$6:$C$3005,$A354))))</f>
      </c>
      <c r="AK354" s="225">
        <f>IF(OR($A354="",$V354="Đã xử lý"),"",IF(N($AO354)&gt;0,5-$AO354,IF($J354="Khẩn cấp",5,IF($Y354="Chậm tiến độ",6,IF(OR($Y354="Sắp đến hạn",$J354="Cao"),7,"")))))</f>
      </c>
      <c r="AL354" s="225">
        <f>IF($AK354="","",$AK354*100000+IF(N($U354)=0,99999,INT($U354))+ROW()/100000)</f>
      </c>
      <c r="AM354" s="225">
        <f>IF(OR($A354="",TRIM($K354)="",COUNTIF($K$6:$K354,$K354)&gt;1),0,1)</f>
      </c>
      <c r="AN354" s="225">
        <f>IF($AM354=1,SUM($AM$6:$AM354),"")</f>
      </c>
      <c r="AO354" s="225">
        <f>IF(OR($A354="",$V354="Đã xử lý",N($U354)=0),0,IF(TDBC&lt;=$U354,0,MAX(1,MIN(4,IF((TDBC-$U354)*24&lt;24,1,IF((TDBC-$U354)*24&lt;72,2,IF((TDBC-$U354)*24&lt;168,3,4)))+IFERROR(INDEX({2,1,0,-1},MATCH($J354,{"Khẩn cấp","Cao","Trung bình","Thấp"},0)),0)))))</f>
      </c>
    </row>
    <row r="355">
      <c r="A355" s="216"/>
      <c r="B355" s="217"/>
      <c r="C355" s="218"/>
      <c r="D355" s="218"/>
      <c r="E355" s="218"/>
      <c r="F355" s="218"/>
      <c r="G355" s="216"/>
      <c r="H355" s="218"/>
      <c r="I355" s="218"/>
      <c r="J355" s="216"/>
      <c r="K355" s="218"/>
      <c r="L355" s="218"/>
      <c r="M355" s="218"/>
      <c r="N355" s="218"/>
      <c r="O355" s="219"/>
      <c r="P355" s="216"/>
      <c r="Q355" s="217"/>
      <c r="R355" s="216"/>
      <c r="S355" s="218"/>
      <c r="T355" s="218"/>
      <c r="U355" s="220">
        <f>IF($A355="","",IF(N($Q355)&gt;0,IF(MOD($Q355,1)=0,$Q355+1-1/1440,$Q355),IF(N($B355)=0,"",$B355+IF(N($AH355)&gt;0,$AH355,IFERROR(INDEX(DM_SLA_Gio,MATCH($J355,DM_SLA_Cap,0)),168))/24)))</f>
      </c>
      <c r="V355" s="221">
        <f>IF($A355="","",IF(N($AJ355)=0,"Mới tiếp nhận",INDEX('Nhật ký tiến độ'!$E:$E,$AJ355)))</f>
      </c>
      <c r="W355" s="222">
        <f>IF($A355="","",IF($V355="Đã xử lý",1,IF(N($AJ355)=0,0,N(INDEX('Nhật ký tiến độ'!$D:$D,$AJ355)))))</f>
      </c>
      <c r="X355" s="222">
        <f>IF(OR($A355="",$V355="Đã xử lý",N($U355)=0,N($B355)=0),"",IF(TDBC&lt;=$B355,0,IF(TDBC&gt;=$U355,1,(TDBC-$B355)/($U355-$B355))))</f>
      </c>
      <c r="Y355" s="223">
        <f>IF($A355="","",IF($V355="Đã xử lý","Hoàn thành",IF(N($U355)=0,"Chưa đặt hạn",IF(TDBC&gt;$U355,"Quá hạn",IF(ROUND((N($X355)-$W355)*100,0)&gt;=20,"Chậm tiến độ",IF($U355-TDBC&lt;=1,"Sắp đến hạn","Đúng tiến độ"))))))</f>
      </c>
      <c r="Z355" s="223">
        <f>IF(OR($A355="",$V355="Đã xử lý",N($U355)=0),"",IF(TDBC&gt;$U355,"Quá "&amp;IF(((TDBC-$U355)*24)&lt;1,MAX(1,ROUND(((TDBC-$U355)*24)*60,0))&amp;" phút",IF(ROUND(((TDBC-$U355)*24),0)&lt;24,ROUND(((TDBC-$U355)*24),0)&amp;" giờ",INT(ROUND(((TDBC-$U355)*24),0)/24)&amp;" ngày"&amp;IF(MOD(ROUND(((TDBC-$U355)*24),0),24)&gt;0," "&amp;MOD(ROUND(((TDBC-$U355)*24),0),24)&amp;" giờ",""))),"Còn "&amp;IF((($U355-TDBC)*24)&lt;1,MAX(1,ROUND((($U355-TDBC)*24)*60,0))&amp;" phút",IF(ROUND((($U355-TDBC)*24),0)&lt;24,ROUND((($U355-TDBC)*24),0)&amp;" giờ",INT(ROUND((($U355-TDBC)*24),0)/24)&amp;" ngày"&amp;IF(MOD(ROUND((($U355-TDBC)*24),0),24)&gt;0," "&amp;MOD(ROUND((($U355-TDBC)*24),0),24)&amp;" giờ","")))))</f>
      </c>
      <c r="AA355" s="220">
        <f>IF($V355="Đã xử lý",_xlfn.MAXIFS('Nhật ký tiến độ'!$B$6:$B$3005,'Nhật ký tiến độ'!$C$6:$C$3005,$A355,'Nhật ký tiến độ'!$E$6:$E$3005,"Đã xử lý"),"")</f>
      </c>
      <c r="AB355" s="223">
        <f>IF($AI355="","",IF($AI355&lt;1,MAX(1,ROUND($AI355*60,0))&amp;" phút",IF(ROUND($AI355,0)&lt;24,ROUND($AI355,0)&amp;" giờ",INT(ROUND($AI355,0)/24)&amp;" ngày"&amp;IF(MOD(ROUND($AI355,0),24)&gt;0," "&amp;MOD(ROUND($AI355,0),24)&amp;" giờ",""))))</f>
      </c>
      <c r="AC355" s="223">
        <f>IF(OR($A355="",N($AH355)=0),"",IF($AI355&lt;&gt;"",IF($AI355&lt;=$AH355,"Trong ước tính","Vượt "&amp;IF(($AI355-$AH355)&lt;1,MAX(1,ROUND(($AI355-$AH355)*60,0))&amp;" phút",IF(ROUND(($AI355-$AH355),0)&lt;24,ROUND(($AI355-$AH355),0)&amp;" giờ",INT(ROUND(($AI355-$AH355),0)/24)&amp;" ngày"&amp;IF(MOD(ROUND(($AI355-$AH355),0),24)&gt;0," "&amp;MOD(ROUND(($AI355-$AH355),0),24)&amp;" giờ","")))),IF(OR($V355="Đã xử lý",N($B355)=0),"",IF((TDBC-$B355)*24&gt;$AH355,"Đã vượt ước tính","Đã dùng "&amp;TEXT((TDBC-$B355)*24/$AH355,"0%")))))</f>
      </c>
      <c r="AD355" s="223">
        <f>IF(N($AO355)=0,"",CHOOSE($AO355,"Nhắc nhở","Cảnh báo","Báo động","Báo động đỏ"))</f>
      </c>
      <c r="AE355" s="223">
        <f>IF(OR(N($AA355)=0,N($U355)=0),"",IF($AA355&lt;=$U355,"Đúng hạn","Trễ hạn"))</f>
      </c>
      <c r="AF355" s="220">
        <f>IF($A355="","",_xlfn.MAXIFS('Nhật ký tiến độ'!$B$6:$B$3005,'Nhật ký tiến độ'!$C$6:$C$3005,$A355))</f>
      </c>
      <c r="AG355" s="223">
        <f>IF($A355="","",IF(COUNTIF('Kế hoạch'!$M$6:$M$305,$A355)=0,"",COUNTIF('Kế hoạch'!$M$6:$M$305,$A355)&amp;" việc"))</f>
      </c>
      <c r="AH355" s="224">
        <f>IF(OR($A355="",N($O355)&lt;=0),"",IF($P355="Giờ",$O355,$O355*24))</f>
      </c>
      <c r="AI355" s="224">
        <f>IF(OR(N($AA355)=0,N($B355)=0),"",IF($AA355&lt;$B355,"",($AA355-$B355)*24))</f>
      </c>
      <c r="AJ355" s="225">
        <f>IF($A355="","",IF(COUNTIF('Nhật ký tiến độ'!$C$6:$C$3005,$A355)=0,0,_xlfn.MAXIFS('Nhật ký tiến độ'!$N$6:$N$3005,'Nhật ký tiến độ'!$C$6:$C$3005,$A355,'Nhật ký tiến độ'!$B$6:$B$3005,_xlfn.MAXIFS('Nhật ký tiến độ'!$B$6:$B$3005,'Nhật ký tiến độ'!$C$6:$C$3005,$A355))))</f>
      </c>
      <c r="AK355" s="225">
        <f>IF(OR($A355="",$V355="Đã xử lý"),"",IF(N($AO355)&gt;0,5-$AO355,IF($J355="Khẩn cấp",5,IF($Y355="Chậm tiến độ",6,IF(OR($Y355="Sắp đến hạn",$J355="Cao"),7,"")))))</f>
      </c>
      <c r="AL355" s="225">
        <f>IF($AK355="","",$AK355*100000+IF(N($U355)=0,99999,INT($U355))+ROW()/100000)</f>
      </c>
      <c r="AM355" s="225">
        <f>IF(OR($A355="",TRIM($K355)="",COUNTIF($K$6:$K355,$K355)&gt;1),0,1)</f>
      </c>
      <c r="AN355" s="225">
        <f>IF($AM355=1,SUM($AM$6:$AM355),"")</f>
      </c>
      <c r="AO355" s="225">
        <f>IF(OR($A355="",$V355="Đã xử lý",N($U355)=0),0,IF(TDBC&lt;=$U355,0,MAX(1,MIN(4,IF((TDBC-$U355)*24&lt;24,1,IF((TDBC-$U355)*24&lt;72,2,IF((TDBC-$U355)*24&lt;168,3,4)))+IFERROR(INDEX({2,1,0,-1},MATCH($J355,{"Khẩn cấp","Cao","Trung bình","Thấp"},0)),0)))))</f>
      </c>
    </row>
    <row r="356">
      <c r="A356" s="216"/>
      <c r="B356" s="217"/>
      <c r="C356" s="218"/>
      <c r="D356" s="218"/>
      <c r="E356" s="218"/>
      <c r="F356" s="218"/>
      <c r="G356" s="216"/>
      <c r="H356" s="218"/>
      <c r="I356" s="218"/>
      <c r="J356" s="216"/>
      <c r="K356" s="218"/>
      <c r="L356" s="218"/>
      <c r="M356" s="218"/>
      <c r="N356" s="218"/>
      <c r="O356" s="219"/>
      <c r="P356" s="216"/>
      <c r="Q356" s="217"/>
      <c r="R356" s="216"/>
      <c r="S356" s="218"/>
      <c r="T356" s="218"/>
      <c r="U356" s="220">
        <f>IF($A356="","",IF(N($Q356)&gt;0,IF(MOD($Q356,1)=0,$Q356+1-1/1440,$Q356),IF(N($B356)=0,"",$B356+IF(N($AH356)&gt;0,$AH356,IFERROR(INDEX(DM_SLA_Gio,MATCH($J356,DM_SLA_Cap,0)),168))/24)))</f>
      </c>
      <c r="V356" s="221">
        <f>IF($A356="","",IF(N($AJ356)=0,"Mới tiếp nhận",INDEX('Nhật ký tiến độ'!$E:$E,$AJ356)))</f>
      </c>
      <c r="W356" s="222">
        <f>IF($A356="","",IF($V356="Đã xử lý",1,IF(N($AJ356)=0,0,N(INDEX('Nhật ký tiến độ'!$D:$D,$AJ356)))))</f>
      </c>
      <c r="X356" s="222">
        <f>IF(OR($A356="",$V356="Đã xử lý",N($U356)=0,N($B356)=0),"",IF(TDBC&lt;=$B356,0,IF(TDBC&gt;=$U356,1,(TDBC-$B356)/($U356-$B356))))</f>
      </c>
      <c r="Y356" s="223">
        <f>IF($A356="","",IF($V356="Đã xử lý","Hoàn thành",IF(N($U356)=0,"Chưa đặt hạn",IF(TDBC&gt;$U356,"Quá hạn",IF(ROUND((N($X356)-$W356)*100,0)&gt;=20,"Chậm tiến độ",IF($U356-TDBC&lt;=1,"Sắp đến hạn","Đúng tiến độ"))))))</f>
      </c>
      <c r="Z356" s="223">
        <f>IF(OR($A356="",$V356="Đã xử lý",N($U356)=0),"",IF(TDBC&gt;$U356,"Quá "&amp;IF(((TDBC-$U356)*24)&lt;1,MAX(1,ROUND(((TDBC-$U356)*24)*60,0))&amp;" phút",IF(ROUND(((TDBC-$U356)*24),0)&lt;24,ROUND(((TDBC-$U356)*24),0)&amp;" giờ",INT(ROUND(((TDBC-$U356)*24),0)/24)&amp;" ngày"&amp;IF(MOD(ROUND(((TDBC-$U356)*24),0),24)&gt;0," "&amp;MOD(ROUND(((TDBC-$U356)*24),0),24)&amp;" giờ",""))),"Còn "&amp;IF((($U356-TDBC)*24)&lt;1,MAX(1,ROUND((($U356-TDBC)*24)*60,0))&amp;" phút",IF(ROUND((($U356-TDBC)*24),0)&lt;24,ROUND((($U356-TDBC)*24),0)&amp;" giờ",INT(ROUND((($U356-TDBC)*24),0)/24)&amp;" ngày"&amp;IF(MOD(ROUND((($U356-TDBC)*24),0),24)&gt;0," "&amp;MOD(ROUND((($U356-TDBC)*24),0),24)&amp;" giờ","")))))</f>
      </c>
      <c r="AA356" s="220">
        <f>IF($V356="Đã xử lý",_xlfn.MAXIFS('Nhật ký tiến độ'!$B$6:$B$3005,'Nhật ký tiến độ'!$C$6:$C$3005,$A356,'Nhật ký tiến độ'!$E$6:$E$3005,"Đã xử lý"),"")</f>
      </c>
      <c r="AB356" s="223">
        <f>IF($AI356="","",IF($AI356&lt;1,MAX(1,ROUND($AI356*60,0))&amp;" phút",IF(ROUND($AI356,0)&lt;24,ROUND($AI356,0)&amp;" giờ",INT(ROUND($AI356,0)/24)&amp;" ngày"&amp;IF(MOD(ROUND($AI356,0),24)&gt;0," "&amp;MOD(ROUND($AI356,0),24)&amp;" giờ",""))))</f>
      </c>
      <c r="AC356" s="223">
        <f>IF(OR($A356="",N($AH356)=0),"",IF($AI356&lt;&gt;"",IF($AI356&lt;=$AH356,"Trong ước tính","Vượt "&amp;IF(($AI356-$AH356)&lt;1,MAX(1,ROUND(($AI356-$AH356)*60,0))&amp;" phút",IF(ROUND(($AI356-$AH356),0)&lt;24,ROUND(($AI356-$AH356),0)&amp;" giờ",INT(ROUND(($AI356-$AH356),0)/24)&amp;" ngày"&amp;IF(MOD(ROUND(($AI356-$AH356),0),24)&gt;0," "&amp;MOD(ROUND(($AI356-$AH356),0),24)&amp;" giờ","")))),IF(OR($V356="Đã xử lý",N($B356)=0),"",IF((TDBC-$B356)*24&gt;$AH356,"Đã vượt ước tính","Đã dùng "&amp;TEXT((TDBC-$B356)*24/$AH356,"0%")))))</f>
      </c>
      <c r="AD356" s="223">
        <f>IF(N($AO356)=0,"",CHOOSE($AO356,"Nhắc nhở","Cảnh báo","Báo động","Báo động đỏ"))</f>
      </c>
      <c r="AE356" s="223">
        <f>IF(OR(N($AA356)=0,N($U356)=0),"",IF($AA356&lt;=$U356,"Đúng hạn","Trễ hạn"))</f>
      </c>
      <c r="AF356" s="220">
        <f>IF($A356="","",_xlfn.MAXIFS('Nhật ký tiến độ'!$B$6:$B$3005,'Nhật ký tiến độ'!$C$6:$C$3005,$A356))</f>
      </c>
      <c r="AG356" s="223">
        <f>IF($A356="","",IF(COUNTIF('Kế hoạch'!$M$6:$M$305,$A356)=0,"",COUNTIF('Kế hoạch'!$M$6:$M$305,$A356)&amp;" việc"))</f>
      </c>
      <c r="AH356" s="224">
        <f>IF(OR($A356="",N($O356)&lt;=0),"",IF($P356="Giờ",$O356,$O356*24))</f>
      </c>
      <c r="AI356" s="224">
        <f>IF(OR(N($AA356)=0,N($B356)=0),"",IF($AA356&lt;$B356,"",($AA356-$B356)*24))</f>
      </c>
      <c r="AJ356" s="225">
        <f>IF($A356="","",IF(COUNTIF('Nhật ký tiến độ'!$C$6:$C$3005,$A356)=0,0,_xlfn.MAXIFS('Nhật ký tiến độ'!$N$6:$N$3005,'Nhật ký tiến độ'!$C$6:$C$3005,$A356,'Nhật ký tiến độ'!$B$6:$B$3005,_xlfn.MAXIFS('Nhật ký tiến độ'!$B$6:$B$3005,'Nhật ký tiến độ'!$C$6:$C$3005,$A356))))</f>
      </c>
      <c r="AK356" s="225">
        <f>IF(OR($A356="",$V356="Đã xử lý"),"",IF(N($AO356)&gt;0,5-$AO356,IF($J356="Khẩn cấp",5,IF($Y356="Chậm tiến độ",6,IF(OR($Y356="Sắp đến hạn",$J356="Cao"),7,"")))))</f>
      </c>
      <c r="AL356" s="225">
        <f>IF($AK356="","",$AK356*100000+IF(N($U356)=0,99999,INT($U356))+ROW()/100000)</f>
      </c>
      <c r="AM356" s="225">
        <f>IF(OR($A356="",TRIM($K356)="",COUNTIF($K$6:$K356,$K356)&gt;1),0,1)</f>
      </c>
      <c r="AN356" s="225">
        <f>IF($AM356=1,SUM($AM$6:$AM356),"")</f>
      </c>
      <c r="AO356" s="225">
        <f>IF(OR($A356="",$V356="Đã xử lý",N($U356)=0),0,IF(TDBC&lt;=$U356,0,MAX(1,MIN(4,IF((TDBC-$U356)*24&lt;24,1,IF((TDBC-$U356)*24&lt;72,2,IF((TDBC-$U356)*24&lt;168,3,4)))+IFERROR(INDEX({2,1,0,-1},MATCH($J356,{"Khẩn cấp","Cao","Trung bình","Thấp"},0)),0)))))</f>
      </c>
    </row>
    <row r="357">
      <c r="A357" s="216"/>
      <c r="B357" s="217"/>
      <c r="C357" s="218"/>
      <c r="D357" s="218"/>
      <c r="E357" s="218"/>
      <c r="F357" s="218"/>
      <c r="G357" s="216"/>
      <c r="H357" s="218"/>
      <c r="I357" s="218"/>
      <c r="J357" s="216"/>
      <c r="K357" s="218"/>
      <c r="L357" s="218"/>
      <c r="M357" s="218"/>
      <c r="N357" s="218"/>
      <c r="O357" s="219"/>
      <c r="P357" s="216"/>
      <c r="Q357" s="217"/>
      <c r="R357" s="216"/>
      <c r="S357" s="218"/>
      <c r="T357" s="218"/>
      <c r="U357" s="220">
        <f>IF($A357="","",IF(N($Q357)&gt;0,IF(MOD($Q357,1)=0,$Q357+1-1/1440,$Q357),IF(N($B357)=0,"",$B357+IF(N($AH357)&gt;0,$AH357,IFERROR(INDEX(DM_SLA_Gio,MATCH($J357,DM_SLA_Cap,0)),168))/24)))</f>
      </c>
      <c r="V357" s="221">
        <f>IF($A357="","",IF(N($AJ357)=0,"Mới tiếp nhận",INDEX('Nhật ký tiến độ'!$E:$E,$AJ357)))</f>
      </c>
      <c r="W357" s="222">
        <f>IF($A357="","",IF($V357="Đã xử lý",1,IF(N($AJ357)=0,0,N(INDEX('Nhật ký tiến độ'!$D:$D,$AJ357)))))</f>
      </c>
      <c r="X357" s="222">
        <f>IF(OR($A357="",$V357="Đã xử lý",N($U357)=0,N($B357)=0),"",IF(TDBC&lt;=$B357,0,IF(TDBC&gt;=$U357,1,(TDBC-$B357)/($U357-$B357))))</f>
      </c>
      <c r="Y357" s="223">
        <f>IF($A357="","",IF($V357="Đã xử lý","Hoàn thành",IF(N($U357)=0,"Chưa đặt hạn",IF(TDBC&gt;$U357,"Quá hạn",IF(ROUND((N($X357)-$W357)*100,0)&gt;=20,"Chậm tiến độ",IF($U357-TDBC&lt;=1,"Sắp đến hạn","Đúng tiến độ"))))))</f>
      </c>
      <c r="Z357" s="223">
        <f>IF(OR($A357="",$V357="Đã xử lý",N($U357)=0),"",IF(TDBC&gt;$U357,"Quá "&amp;IF(((TDBC-$U357)*24)&lt;1,MAX(1,ROUND(((TDBC-$U357)*24)*60,0))&amp;" phút",IF(ROUND(((TDBC-$U357)*24),0)&lt;24,ROUND(((TDBC-$U357)*24),0)&amp;" giờ",INT(ROUND(((TDBC-$U357)*24),0)/24)&amp;" ngày"&amp;IF(MOD(ROUND(((TDBC-$U357)*24),0),24)&gt;0," "&amp;MOD(ROUND(((TDBC-$U357)*24),0),24)&amp;" giờ",""))),"Còn "&amp;IF((($U357-TDBC)*24)&lt;1,MAX(1,ROUND((($U357-TDBC)*24)*60,0))&amp;" phút",IF(ROUND((($U357-TDBC)*24),0)&lt;24,ROUND((($U357-TDBC)*24),0)&amp;" giờ",INT(ROUND((($U357-TDBC)*24),0)/24)&amp;" ngày"&amp;IF(MOD(ROUND((($U357-TDBC)*24),0),24)&gt;0," "&amp;MOD(ROUND((($U357-TDBC)*24),0),24)&amp;" giờ","")))))</f>
      </c>
      <c r="AA357" s="220">
        <f>IF($V357="Đã xử lý",_xlfn.MAXIFS('Nhật ký tiến độ'!$B$6:$B$3005,'Nhật ký tiến độ'!$C$6:$C$3005,$A357,'Nhật ký tiến độ'!$E$6:$E$3005,"Đã xử lý"),"")</f>
      </c>
      <c r="AB357" s="223">
        <f>IF($AI357="","",IF($AI357&lt;1,MAX(1,ROUND($AI357*60,0))&amp;" phút",IF(ROUND($AI357,0)&lt;24,ROUND($AI357,0)&amp;" giờ",INT(ROUND($AI357,0)/24)&amp;" ngày"&amp;IF(MOD(ROUND($AI357,0),24)&gt;0," "&amp;MOD(ROUND($AI357,0),24)&amp;" giờ",""))))</f>
      </c>
      <c r="AC357" s="223">
        <f>IF(OR($A357="",N($AH357)=0),"",IF($AI357&lt;&gt;"",IF($AI357&lt;=$AH357,"Trong ước tính","Vượt "&amp;IF(($AI357-$AH357)&lt;1,MAX(1,ROUND(($AI357-$AH357)*60,0))&amp;" phút",IF(ROUND(($AI357-$AH357),0)&lt;24,ROUND(($AI357-$AH357),0)&amp;" giờ",INT(ROUND(($AI357-$AH357),0)/24)&amp;" ngày"&amp;IF(MOD(ROUND(($AI357-$AH357),0),24)&gt;0," "&amp;MOD(ROUND(($AI357-$AH357),0),24)&amp;" giờ","")))),IF(OR($V357="Đã xử lý",N($B357)=0),"",IF((TDBC-$B357)*24&gt;$AH357,"Đã vượt ước tính","Đã dùng "&amp;TEXT((TDBC-$B357)*24/$AH357,"0%")))))</f>
      </c>
      <c r="AD357" s="223">
        <f>IF(N($AO357)=0,"",CHOOSE($AO357,"Nhắc nhở","Cảnh báo","Báo động","Báo động đỏ"))</f>
      </c>
      <c r="AE357" s="223">
        <f>IF(OR(N($AA357)=0,N($U357)=0),"",IF($AA357&lt;=$U357,"Đúng hạn","Trễ hạn"))</f>
      </c>
      <c r="AF357" s="220">
        <f>IF($A357="","",_xlfn.MAXIFS('Nhật ký tiến độ'!$B$6:$B$3005,'Nhật ký tiến độ'!$C$6:$C$3005,$A357))</f>
      </c>
      <c r="AG357" s="223">
        <f>IF($A357="","",IF(COUNTIF('Kế hoạch'!$M$6:$M$305,$A357)=0,"",COUNTIF('Kế hoạch'!$M$6:$M$305,$A357)&amp;" việc"))</f>
      </c>
      <c r="AH357" s="224">
        <f>IF(OR($A357="",N($O357)&lt;=0),"",IF($P357="Giờ",$O357,$O357*24))</f>
      </c>
      <c r="AI357" s="224">
        <f>IF(OR(N($AA357)=0,N($B357)=0),"",IF($AA357&lt;$B357,"",($AA357-$B357)*24))</f>
      </c>
      <c r="AJ357" s="225">
        <f>IF($A357="","",IF(COUNTIF('Nhật ký tiến độ'!$C$6:$C$3005,$A357)=0,0,_xlfn.MAXIFS('Nhật ký tiến độ'!$N$6:$N$3005,'Nhật ký tiến độ'!$C$6:$C$3005,$A357,'Nhật ký tiến độ'!$B$6:$B$3005,_xlfn.MAXIFS('Nhật ký tiến độ'!$B$6:$B$3005,'Nhật ký tiến độ'!$C$6:$C$3005,$A357))))</f>
      </c>
      <c r="AK357" s="225">
        <f>IF(OR($A357="",$V357="Đã xử lý"),"",IF(N($AO357)&gt;0,5-$AO357,IF($J357="Khẩn cấp",5,IF($Y357="Chậm tiến độ",6,IF(OR($Y357="Sắp đến hạn",$J357="Cao"),7,"")))))</f>
      </c>
      <c r="AL357" s="225">
        <f>IF($AK357="","",$AK357*100000+IF(N($U357)=0,99999,INT($U357))+ROW()/100000)</f>
      </c>
      <c r="AM357" s="225">
        <f>IF(OR($A357="",TRIM($K357)="",COUNTIF($K$6:$K357,$K357)&gt;1),0,1)</f>
      </c>
      <c r="AN357" s="225">
        <f>IF($AM357=1,SUM($AM$6:$AM357),"")</f>
      </c>
      <c r="AO357" s="225">
        <f>IF(OR($A357="",$V357="Đã xử lý",N($U357)=0),0,IF(TDBC&lt;=$U357,0,MAX(1,MIN(4,IF((TDBC-$U357)*24&lt;24,1,IF((TDBC-$U357)*24&lt;72,2,IF((TDBC-$U357)*24&lt;168,3,4)))+IFERROR(INDEX({2,1,0,-1},MATCH($J357,{"Khẩn cấp","Cao","Trung bình","Thấp"},0)),0)))))</f>
      </c>
    </row>
    <row r="358">
      <c r="A358" s="216"/>
      <c r="B358" s="217"/>
      <c r="C358" s="218"/>
      <c r="D358" s="218"/>
      <c r="E358" s="218"/>
      <c r="F358" s="218"/>
      <c r="G358" s="216"/>
      <c r="H358" s="218"/>
      <c r="I358" s="218"/>
      <c r="J358" s="216"/>
      <c r="K358" s="218"/>
      <c r="L358" s="218"/>
      <c r="M358" s="218"/>
      <c r="N358" s="218"/>
      <c r="O358" s="219"/>
      <c r="P358" s="216"/>
      <c r="Q358" s="217"/>
      <c r="R358" s="216"/>
      <c r="S358" s="218"/>
      <c r="T358" s="218"/>
      <c r="U358" s="220">
        <f>IF($A358="","",IF(N($Q358)&gt;0,IF(MOD($Q358,1)=0,$Q358+1-1/1440,$Q358),IF(N($B358)=0,"",$B358+IF(N($AH358)&gt;0,$AH358,IFERROR(INDEX(DM_SLA_Gio,MATCH($J358,DM_SLA_Cap,0)),168))/24)))</f>
      </c>
      <c r="V358" s="221">
        <f>IF($A358="","",IF(N($AJ358)=0,"Mới tiếp nhận",INDEX('Nhật ký tiến độ'!$E:$E,$AJ358)))</f>
      </c>
      <c r="W358" s="222">
        <f>IF($A358="","",IF($V358="Đã xử lý",1,IF(N($AJ358)=0,0,N(INDEX('Nhật ký tiến độ'!$D:$D,$AJ358)))))</f>
      </c>
      <c r="X358" s="222">
        <f>IF(OR($A358="",$V358="Đã xử lý",N($U358)=0,N($B358)=0),"",IF(TDBC&lt;=$B358,0,IF(TDBC&gt;=$U358,1,(TDBC-$B358)/($U358-$B358))))</f>
      </c>
      <c r="Y358" s="223">
        <f>IF($A358="","",IF($V358="Đã xử lý","Hoàn thành",IF(N($U358)=0,"Chưa đặt hạn",IF(TDBC&gt;$U358,"Quá hạn",IF(ROUND((N($X358)-$W358)*100,0)&gt;=20,"Chậm tiến độ",IF($U358-TDBC&lt;=1,"Sắp đến hạn","Đúng tiến độ"))))))</f>
      </c>
      <c r="Z358" s="223">
        <f>IF(OR($A358="",$V358="Đã xử lý",N($U358)=0),"",IF(TDBC&gt;$U358,"Quá "&amp;IF(((TDBC-$U358)*24)&lt;1,MAX(1,ROUND(((TDBC-$U358)*24)*60,0))&amp;" phút",IF(ROUND(((TDBC-$U358)*24),0)&lt;24,ROUND(((TDBC-$U358)*24),0)&amp;" giờ",INT(ROUND(((TDBC-$U358)*24),0)/24)&amp;" ngày"&amp;IF(MOD(ROUND(((TDBC-$U358)*24),0),24)&gt;0," "&amp;MOD(ROUND(((TDBC-$U358)*24),0),24)&amp;" giờ",""))),"Còn "&amp;IF((($U358-TDBC)*24)&lt;1,MAX(1,ROUND((($U358-TDBC)*24)*60,0))&amp;" phút",IF(ROUND((($U358-TDBC)*24),0)&lt;24,ROUND((($U358-TDBC)*24),0)&amp;" giờ",INT(ROUND((($U358-TDBC)*24),0)/24)&amp;" ngày"&amp;IF(MOD(ROUND((($U358-TDBC)*24),0),24)&gt;0," "&amp;MOD(ROUND((($U358-TDBC)*24),0),24)&amp;" giờ","")))))</f>
      </c>
      <c r="AA358" s="220">
        <f>IF($V358="Đã xử lý",_xlfn.MAXIFS('Nhật ký tiến độ'!$B$6:$B$3005,'Nhật ký tiến độ'!$C$6:$C$3005,$A358,'Nhật ký tiến độ'!$E$6:$E$3005,"Đã xử lý"),"")</f>
      </c>
      <c r="AB358" s="223">
        <f>IF($AI358="","",IF($AI358&lt;1,MAX(1,ROUND($AI358*60,0))&amp;" phút",IF(ROUND($AI358,0)&lt;24,ROUND($AI358,0)&amp;" giờ",INT(ROUND($AI358,0)/24)&amp;" ngày"&amp;IF(MOD(ROUND($AI358,0),24)&gt;0," "&amp;MOD(ROUND($AI358,0),24)&amp;" giờ",""))))</f>
      </c>
      <c r="AC358" s="223">
        <f>IF(OR($A358="",N($AH358)=0),"",IF($AI358&lt;&gt;"",IF($AI358&lt;=$AH358,"Trong ước tính","Vượt "&amp;IF(($AI358-$AH358)&lt;1,MAX(1,ROUND(($AI358-$AH358)*60,0))&amp;" phút",IF(ROUND(($AI358-$AH358),0)&lt;24,ROUND(($AI358-$AH358),0)&amp;" giờ",INT(ROUND(($AI358-$AH358),0)/24)&amp;" ngày"&amp;IF(MOD(ROUND(($AI358-$AH358),0),24)&gt;0," "&amp;MOD(ROUND(($AI358-$AH358),0),24)&amp;" giờ","")))),IF(OR($V358="Đã xử lý",N($B358)=0),"",IF((TDBC-$B358)*24&gt;$AH358,"Đã vượt ước tính","Đã dùng "&amp;TEXT((TDBC-$B358)*24/$AH358,"0%")))))</f>
      </c>
      <c r="AD358" s="223">
        <f>IF(N($AO358)=0,"",CHOOSE($AO358,"Nhắc nhở","Cảnh báo","Báo động","Báo động đỏ"))</f>
      </c>
      <c r="AE358" s="223">
        <f>IF(OR(N($AA358)=0,N($U358)=0),"",IF($AA358&lt;=$U358,"Đúng hạn","Trễ hạn"))</f>
      </c>
      <c r="AF358" s="220">
        <f>IF($A358="","",_xlfn.MAXIFS('Nhật ký tiến độ'!$B$6:$B$3005,'Nhật ký tiến độ'!$C$6:$C$3005,$A358))</f>
      </c>
      <c r="AG358" s="223">
        <f>IF($A358="","",IF(COUNTIF('Kế hoạch'!$M$6:$M$305,$A358)=0,"",COUNTIF('Kế hoạch'!$M$6:$M$305,$A358)&amp;" việc"))</f>
      </c>
      <c r="AH358" s="224">
        <f>IF(OR($A358="",N($O358)&lt;=0),"",IF($P358="Giờ",$O358,$O358*24))</f>
      </c>
      <c r="AI358" s="224">
        <f>IF(OR(N($AA358)=0,N($B358)=0),"",IF($AA358&lt;$B358,"",($AA358-$B358)*24))</f>
      </c>
      <c r="AJ358" s="225">
        <f>IF($A358="","",IF(COUNTIF('Nhật ký tiến độ'!$C$6:$C$3005,$A358)=0,0,_xlfn.MAXIFS('Nhật ký tiến độ'!$N$6:$N$3005,'Nhật ký tiến độ'!$C$6:$C$3005,$A358,'Nhật ký tiến độ'!$B$6:$B$3005,_xlfn.MAXIFS('Nhật ký tiến độ'!$B$6:$B$3005,'Nhật ký tiến độ'!$C$6:$C$3005,$A358))))</f>
      </c>
      <c r="AK358" s="225">
        <f>IF(OR($A358="",$V358="Đã xử lý"),"",IF(N($AO358)&gt;0,5-$AO358,IF($J358="Khẩn cấp",5,IF($Y358="Chậm tiến độ",6,IF(OR($Y358="Sắp đến hạn",$J358="Cao"),7,"")))))</f>
      </c>
      <c r="AL358" s="225">
        <f>IF($AK358="","",$AK358*100000+IF(N($U358)=0,99999,INT($U358))+ROW()/100000)</f>
      </c>
      <c r="AM358" s="225">
        <f>IF(OR($A358="",TRIM($K358)="",COUNTIF($K$6:$K358,$K358)&gt;1),0,1)</f>
      </c>
      <c r="AN358" s="225">
        <f>IF($AM358=1,SUM($AM$6:$AM358),"")</f>
      </c>
      <c r="AO358" s="225">
        <f>IF(OR($A358="",$V358="Đã xử lý",N($U358)=0),0,IF(TDBC&lt;=$U358,0,MAX(1,MIN(4,IF((TDBC-$U358)*24&lt;24,1,IF((TDBC-$U358)*24&lt;72,2,IF((TDBC-$U358)*24&lt;168,3,4)))+IFERROR(INDEX({2,1,0,-1},MATCH($J358,{"Khẩn cấp","Cao","Trung bình","Thấp"},0)),0)))))</f>
      </c>
    </row>
    <row r="359">
      <c r="A359" s="216"/>
      <c r="B359" s="217"/>
      <c r="C359" s="218"/>
      <c r="D359" s="218"/>
      <c r="E359" s="218"/>
      <c r="F359" s="218"/>
      <c r="G359" s="216"/>
      <c r="H359" s="218"/>
      <c r="I359" s="218"/>
      <c r="J359" s="216"/>
      <c r="K359" s="218"/>
      <c r="L359" s="218"/>
      <c r="M359" s="218"/>
      <c r="N359" s="218"/>
      <c r="O359" s="219"/>
      <c r="P359" s="216"/>
      <c r="Q359" s="217"/>
      <c r="R359" s="216"/>
      <c r="S359" s="218"/>
      <c r="T359" s="218"/>
      <c r="U359" s="220">
        <f>IF($A359="","",IF(N($Q359)&gt;0,IF(MOD($Q359,1)=0,$Q359+1-1/1440,$Q359),IF(N($B359)=0,"",$B359+IF(N($AH359)&gt;0,$AH359,IFERROR(INDEX(DM_SLA_Gio,MATCH($J359,DM_SLA_Cap,0)),168))/24)))</f>
      </c>
      <c r="V359" s="221">
        <f>IF($A359="","",IF(N($AJ359)=0,"Mới tiếp nhận",INDEX('Nhật ký tiến độ'!$E:$E,$AJ359)))</f>
      </c>
      <c r="W359" s="222">
        <f>IF($A359="","",IF($V359="Đã xử lý",1,IF(N($AJ359)=0,0,N(INDEX('Nhật ký tiến độ'!$D:$D,$AJ359)))))</f>
      </c>
      <c r="X359" s="222">
        <f>IF(OR($A359="",$V359="Đã xử lý",N($U359)=0,N($B359)=0),"",IF(TDBC&lt;=$B359,0,IF(TDBC&gt;=$U359,1,(TDBC-$B359)/($U359-$B359))))</f>
      </c>
      <c r="Y359" s="223">
        <f>IF($A359="","",IF($V359="Đã xử lý","Hoàn thành",IF(N($U359)=0,"Chưa đặt hạn",IF(TDBC&gt;$U359,"Quá hạn",IF(ROUND((N($X359)-$W359)*100,0)&gt;=20,"Chậm tiến độ",IF($U359-TDBC&lt;=1,"Sắp đến hạn","Đúng tiến độ"))))))</f>
      </c>
      <c r="Z359" s="223">
        <f>IF(OR($A359="",$V359="Đã xử lý",N($U359)=0),"",IF(TDBC&gt;$U359,"Quá "&amp;IF(((TDBC-$U359)*24)&lt;1,MAX(1,ROUND(((TDBC-$U359)*24)*60,0))&amp;" phút",IF(ROUND(((TDBC-$U359)*24),0)&lt;24,ROUND(((TDBC-$U359)*24),0)&amp;" giờ",INT(ROUND(((TDBC-$U359)*24),0)/24)&amp;" ngày"&amp;IF(MOD(ROUND(((TDBC-$U359)*24),0),24)&gt;0," "&amp;MOD(ROUND(((TDBC-$U359)*24),0),24)&amp;" giờ",""))),"Còn "&amp;IF((($U359-TDBC)*24)&lt;1,MAX(1,ROUND((($U359-TDBC)*24)*60,0))&amp;" phút",IF(ROUND((($U359-TDBC)*24),0)&lt;24,ROUND((($U359-TDBC)*24),0)&amp;" giờ",INT(ROUND((($U359-TDBC)*24),0)/24)&amp;" ngày"&amp;IF(MOD(ROUND((($U359-TDBC)*24),0),24)&gt;0," "&amp;MOD(ROUND((($U359-TDBC)*24),0),24)&amp;" giờ","")))))</f>
      </c>
      <c r="AA359" s="220">
        <f>IF($V359="Đã xử lý",_xlfn.MAXIFS('Nhật ký tiến độ'!$B$6:$B$3005,'Nhật ký tiến độ'!$C$6:$C$3005,$A359,'Nhật ký tiến độ'!$E$6:$E$3005,"Đã xử lý"),"")</f>
      </c>
      <c r="AB359" s="223">
        <f>IF($AI359="","",IF($AI359&lt;1,MAX(1,ROUND($AI359*60,0))&amp;" phút",IF(ROUND($AI359,0)&lt;24,ROUND($AI359,0)&amp;" giờ",INT(ROUND($AI359,0)/24)&amp;" ngày"&amp;IF(MOD(ROUND($AI359,0),24)&gt;0," "&amp;MOD(ROUND($AI359,0),24)&amp;" giờ",""))))</f>
      </c>
      <c r="AC359" s="223">
        <f>IF(OR($A359="",N($AH359)=0),"",IF($AI359&lt;&gt;"",IF($AI359&lt;=$AH359,"Trong ước tính","Vượt "&amp;IF(($AI359-$AH359)&lt;1,MAX(1,ROUND(($AI359-$AH359)*60,0))&amp;" phút",IF(ROUND(($AI359-$AH359),0)&lt;24,ROUND(($AI359-$AH359),0)&amp;" giờ",INT(ROUND(($AI359-$AH359),0)/24)&amp;" ngày"&amp;IF(MOD(ROUND(($AI359-$AH359),0),24)&gt;0," "&amp;MOD(ROUND(($AI359-$AH359),0),24)&amp;" giờ","")))),IF(OR($V359="Đã xử lý",N($B359)=0),"",IF((TDBC-$B359)*24&gt;$AH359,"Đã vượt ước tính","Đã dùng "&amp;TEXT((TDBC-$B359)*24/$AH359,"0%")))))</f>
      </c>
      <c r="AD359" s="223">
        <f>IF(N($AO359)=0,"",CHOOSE($AO359,"Nhắc nhở","Cảnh báo","Báo động","Báo động đỏ"))</f>
      </c>
      <c r="AE359" s="223">
        <f>IF(OR(N($AA359)=0,N($U359)=0),"",IF($AA359&lt;=$U359,"Đúng hạn","Trễ hạn"))</f>
      </c>
      <c r="AF359" s="220">
        <f>IF($A359="","",_xlfn.MAXIFS('Nhật ký tiến độ'!$B$6:$B$3005,'Nhật ký tiến độ'!$C$6:$C$3005,$A359))</f>
      </c>
      <c r="AG359" s="223">
        <f>IF($A359="","",IF(COUNTIF('Kế hoạch'!$M$6:$M$305,$A359)=0,"",COUNTIF('Kế hoạch'!$M$6:$M$305,$A359)&amp;" việc"))</f>
      </c>
      <c r="AH359" s="224">
        <f>IF(OR($A359="",N($O359)&lt;=0),"",IF($P359="Giờ",$O359,$O359*24))</f>
      </c>
      <c r="AI359" s="224">
        <f>IF(OR(N($AA359)=0,N($B359)=0),"",IF($AA359&lt;$B359,"",($AA359-$B359)*24))</f>
      </c>
      <c r="AJ359" s="225">
        <f>IF($A359="","",IF(COUNTIF('Nhật ký tiến độ'!$C$6:$C$3005,$A359)=0,0,_xlfn.MAXIFS('Nhật ký tiến độ'!$N$6:$N$3005,'Nhật ký tiến độ'!$C$6:$C$3005,$A359,'Nhật ký tiến độ'!$B$6:$B$3005,_xlfn.MAXIFS('Nhật ký tiến độ'!$B$6:$B$3005,'Nhật ký tiến độ'!$C$6:$C$3005,$A359))))</f>
      </c>
      <c r="AK359" s="225">
        <f>IF(OR($A359="",$V359="Đã xử lý"),"",IF(N($AO359)&gt;0,5-$AO359,IF($J359="Khẩn cấp",5,IF($Y359="Chậm tiến độ",6,IF(OR($Y359="Sắp đến hạn",$J359="Cao"),7,"")))))</f>
      </c>
      <c r="AL359" s="225">
        <f>IF($AK359="","",$AK359*100000+IF(N($U359)=0,99999,INT($U359))+ROW()/100000)</f>
      </c>
      <c r="AM359" s="225">
        <f>IF(OR($A359="",TRIM($K359)="",COUNTIF($K$6:$K359,$K359)&gt;1),0,1)</f>
      </c>
      <c r="AN359" s="225">
        <f>IF($AM359=1,SUM($AM$6:$AM359),"")</f>
      </c>
      <c r="AO359" s="225">
        <f>IF(OR($A359="",$V359="Đã xử lý",N($U359)=0),0,IF(TDBC&lt;=$U359,0,MAX(1,MIN(4,IF((TDBC-$U359)*24&lt;24,1,IF((TDBC-$U359)*24&lt;72,2,IF((TDBC-$U359)*24&lt;168,3,4)))+IFERROR(INDEX({2,1,0,-1},MATCH($J359,{"Khẩn cấp","Cao","Trung bình","Thấp"},0)),0)))))</f>
      </c>
    </row>
    <row r="360">
      <c r="A360" s="216"/>
      <c r="B360" s="217"/>
      <c r="C360" s="218"/>
      <c r="D360" s="218"/>
      <c r="E360" s="218"/>
      <c r="F360" s="218"/>
      <c r="G360" s="216"/>
      <c r="H360" s="218"/>
      <c r="I360" s="218"/>
      <c r="J360" s="216"/>
      <c r="K360" s="218"/>
      <c r="L360" s="218"/>
      <c r="M360" s="218"/>
      <c r="N360" s="218"/>
      <c r="O360" s="219"/>
      <c r="P360" s="216"/>
      <c r="Q360" s="217"/>
      <c r="R360" s="216"/>
      <c r="S360" s="218"/>
      <c r="T360" s="218"/>
      <c r="U360" s="220">
        <f>IF($A360="","",IF(N($Q360)&gt;0,IF(MOD($Q360,1)=0,$Q360+1-1/1440,$Q360),IF(N($B360)=0,"",$B360+IF(N($AH360)&gt;0,$AH360,IFERROR(INDEX(DM_SLA_Gio,MATCH($J360,DM_SLA_Cap,0)),168))/24)))</f>
      </c>
      <c r="V360" s="221">
        <f>IF($A360="","",IF(N($AJ360)=0,"Mới tiếp nhận",INDEX('Nhật ký tiến độ'!$E:$E,$AJ360)))</f>
      </c>
      <c r="W360" s="222">
        <f>IF($A360="","",IF($V360="Đã xử lý",1,IF(N($AJ360)=0,0,N(INDEX('Nhật ký tiến độ'!$D:$D,$AJ360)))))</f>
      </c>
      <c r="X360" s="222">
        <f>IF(OR($A360="",$V360="Đã xử lý",N($U360)=0,N($B360)=0),"",IF(TDBC&lt;=$B360,0,IF(TDBC&gt;=$U360,1,(TDBC-$B360)/($U360-$B360))))</f>
      </c>
      <c r="Y360" s="223">
        <f>IF($A360="","",IF($V360="Đã xử lý","Hoàn thành",IF(N($U360)=0,"Chưa đặt hạn",IF(TDBC&gt;$U360,"Quá hạn",IF(ROUND((N($X360)-$W360)*100,0)&gt;=20,"Chậm tiến độ",IF($U360-TDBC&lt;=1,"Sắp đến hạn","Đúng tiến độ"))))))</f>
      </c>
      <c r="Z360" s="223">
        <f>IF(OR($A360="",$V360="Đã xử lý",N($U360)=0),"",IF(TDBC&gt;$U360,"Quá "&amp;IF(((TDBC-$U360)*24)&lt;1,MAX(1,ROUND(((TDBC-$U360)*24)*60,0))&amp;" phút",IF(ROUND(((TDBC-$U360)*24),0)&lt;24,ROUND(((TDBC-$U360)*24),0)&amp;" giờ",INT(ROUND(((TDBC-$U360)*24),0)/24)&amp;" ngày"&amp;IF(MOD(ROUND(((TDBC-$U360)*24),0),24)&gt;0," "&amp;MOD(ROUND(((TDBC-$U360)*24),0),24)&amp;" giờ",""))),"Còn "&amp;IF((($U360-TDBC)*24)&lt;1,MAX(1,ROUND((($U360-TDBC)*24)*60,0))&amp;" phút",IF(ROUND((($U360-TDBC)*24),0)&lt;24,ROUND((($U360-TDBC)*24),0)&amp;" giờ",INT(ROUND((($U360-TDBC)*24),0)/24)&amp;" ngày"&amp;IF(MOD(ROUND((($U360-TDBC)*24),0),24)&gt;0," "&amp;MOD(ROUND((($U360-TDBC)*24),0),24)&amp;" giờ","")))))</f>
      </c>
      <c r="AA360" s="220">
        <f>IF($V360="Đã xử lý",_xlfn.MAXIFS('Nhật ký tiến độ'!$B$6:$B$3005,'Nhật ký tiến độ'!$C$6:$C$3005,$A360,'Nhật ký tiến độ'!$E$6:$E$3005,"Đã xử lý"),"")</f>
      </c>
      <c r="AB360" s="223">
        <f>IF($AI360="","",IF($AI360&lt;1,MAX(1,ROUND($AI360*60,0))&amp;" phút",IF(ROUND($AI360,0)&lt;24,ROUND($AI360,0)&amp;" giờ",INT(ROUND($AI360,0)/24)&amp;" ngày"&amp;IF(MOD(ROUND($AI360,0),24)&gt;0," "&amp;MOD(ROUND($AI360,0),24)&amp;" giờ",""))))</f>
      </c>
      <c r="AC360" s="223">
        <f>IF(OR($A360="",N($AH360)=0),"",IF($AI360&lt;&gt;"",IF($AI360&lt;=$AH360,"Trong ước tính","Vượt "&amp;IF(($AI360-$AH360)&lt;1,MAX(1,ROUND(($AI360-$AH360)*60,0))&amp;" phút",IF(ROUND(($AI360-$AH360),0)&lt;24,ROUND(($AI360-$AH360),0)&amp;" giờ",INT(ROUND(($AI360-$AH360),0)/24)&amp;" ngày"&amp;IF(MOD(ROUND(($AI360-$AH360),0),24)&gt;0," "&amp;MOD(ROUND(($AI360-$AH360),0),24)&amp;" giờ","")))),IF(OR($V360="Đã xử lý",N($B360)=0),"",IF((TDBC-$B360)*24&gt;$AH360,"Đã vượt ước tính","Đã dùng "&amp;TEXT((TDBC-$B360)*24/$AH360,"0%")))))</f>
      </c>
      <c r="AD360" s="223">
        <f>IF(N($AO360)=0,"",CHOOSE($AO360,"Nhắc nhở","Cảnh báo","Báo động","Báo động đỏ"))</f>
      </c>
      <c r="AE360" s="223">
        <f>IF(OR(N($AA360)=0,N($U360)=0),"",IF($AA360&lt;=$U360,"Đúng hạn","Trễ hạn"))</f>
      </c>
      <c r="AF360" s="220">
        <f>IF($A360="","",_xlfn.MAXIFS('Nhật ký tiến độ'!$B$6:$B$3005,'Nhật ký tiến độ'!$C$6:$C$3005,$A360))</f>
      </c>
      <c r="AG360" s="223">
        <f>IF($A360="","",IF(COUNTIF('Kế hoạch'!$M$6:$M$305,$A360)=0,"",COUNTIF('Kế hoạch'!$M$6:$M$305,$A360)&amp;" việc"))</f>
      </c>
      <c r="AH360" s="224">
        <f>IF(OR($A360="",N($O360)&lt;=0),"",IF($P360="Giờ",$O360,$O360*24))</f>
      </c>
      <c r="AI360" s="224">
        <f>IF(OR(N($AA360)=0,N($B360)=0),"",IF($AA360&lt;$B360,"",($AA360-$B360)*24))</f>
      </c>
      <c r="AJ360" s="225">
        <f>IF($A360="","",IF(COUNTIF('Nhật ký tiến độ'!$C$6:$C$3005,$A360)=0,0,_xlfn.MAXIFS('Nhật ký tiến độ'!$N$6:$N$3005,'Nhật ký tiến độ'!$C$6:$C$3005,$A360,'Nhật ký tiến độ'!$B$6:$B$3005,_xlfn.MAXIFS('Nhật ký tiến độ'!$B$6:$B$3005,'Nhật ký tiến độ'!$C$6:$C$3005,$A360))))</f>
      </c>
      <c r="AK360" s="225">
        <f>IF(OR($A360="",$V360="Đã xử lý"),"",IF(N($AO360)&gt;0,5-$AO360,IF($J360="Khẩn cấp",5,IF($Y360="Chậm tiến độ",6,IF(OR($Y360="Sắp đến hạn",$J360="Cao"),7,"")))))</f>
      </c>
      <c r="AL360" s="225">
        <f>IF($AK360="","",$AK360*100000+IF(N($U360)=0,99999,INT($U360))+ROW()/100000)</f>
      </c>
      <c r="AM360" s="225">
        <f>IF(OR($A360="",TRIM($K360)="",COUNTIF($K$6:$K360,$K360)&gt;1),0,1)</f>
      </c>
      <c r="AN360" s="225">
        <f>IF($AM360=1,SUM($AM$6:$AM360),"")</f>
      </c>
      <c r="AO360" s="225">
        <f>IF(OR($A360="",$V360="Đã xử lý",N($U360)=0),0,IF(TDBC&lt;=$U360,0,MAX(1,MIN(4,IF((TDBC-$U360)*24&lt;24,1,IF((TDBC-$U360)*24&lt;72,2,IF((TDBC-$U360)*24&lt;168,3,4)))+IFERROR(INDEX({2,1,0,-1},MATCH($J360,{"Khẩn cấp","Cao","Trung bình","Thấp"},0)),0)))))</f>
      </c>
    </row>
    <row r="361">
      <c r="A361" s="216"/>
      <c r="B361" s="217"/>
      <c r="C361" s="218"/>
      <c r="D361" s="218"/>
      <c r="E361" s="218"/>
      <c r="F361" s="218"/>
      <c r="G361" s="216"/>
      <c r="H361" s="218"/>
      <c r="I361" s="218"/>
      <c r="J361" s="216"/>
      <c r="K361" s="218"/>
      <c r="L361" s="218"/>
      <c r="M361" s="218"/>
      <c r="N361" s="218"/>
      <c r="O361" s="219"/>
      <c r="P361" s="216"/>
      <c r="Q361" s="217"/>
      <c r="R361" s="216"/>
      <c r="S361" s="218"/>
      <c r="T361" s="218"/>
      <c r="U361" s="220">
        <f>IF($A361="","",IF(N($Q361)&gt;0,IF(MOD($Q361,1)=0,$Q361+1-1/1440,$Q361),IF(N($B361)=0,"",$B361+IF(N($AH361)&gt;0,$AH361,IFERROR(INDEX(DM_SLA_Gio,MATCH($J361,DM_SLA_Cap,0)),168))/24)))</f>
      </c>
      <c r="V361" s="221">
        <f>IF($A361="","",IF(N($AJ361)=0,"Mới tiếp nhận",INDEX('Nhật ký tiến độ'!$E:$E,$AJ361)))</f>
      </c>
      <c r="W361" s="222">
        <f>IF($A361="","",IF($V361="Đã xử lý",1,IF(N($AJ361)=0,0,N(INDEX('Nhật ký tiến độ'!$D:$D,$AJ361)))))</f>
      </c>
      <c r="X361" s="222">
        <f>IF(OR($A361="",$V361="Đã xử lý",N($U361)=0,N($B361)=0),"",IF(TDBC&lt;=$B361,0,IF(TDBC&gt;=$U361,1,(TDBC-$B361)/($U361-$B361))))</f>
      </c>
      <c r="Y361" s="223">
        <f>IF($A361="","",IF($V361="Đã xử lý","Hoàn thành",IF(N($U361)=0,"Chưa đặt hạn",IF(TDBC&gt;$U361,"Quá hạn",IF(ROUND((N($X361)-$W361)*100,0)&gt;=20,"Chậm tiến độ",IF($U361-TDBC&lt;=1,"Sắp đến hạn","Đúng tiến độ"))))))</f>
      </c>
      <c r="Z361" s="223">
        <f>IF(OR($A361="",$V361="Đã xử lý",N($U361)=0),"",IF(TDBC&gt;$U361,"Quá "&amp;IF(((TDBC-$U361)*24)&lt;1,MAX(1,ROUND(((TDBC-$U361)*24)*60,0))&amp;" phút",IF(ROUND(((TDBC-$U361)*24),0)&lt;24,ROUND(((TDBC-$U361)*24),0)&amp;" giờ",INT(ROUND(((TDBC-$U361)*24),0)/24)&amp;" ngày"&amp;IF(MOD(ROUND(((TDBC-$U361)*24),0),24)&gt;0," "&amp;MOD(ROUND(((TDBC-$U361)*24),0),24)&amp;" giờ",""))),"Còn "&amp;IF((($U361-TDBC)*24)&lt;1,MAX(1,ROUND((($U361-TDBC)*24)*60,0))&amp;" phút",IF(ROUND((($U361-TDBC)*24),0)&lt;24,ROUND((($U361-TDBC)*24),0)&amp;" giờ",INT(ROUND((($U361-TDBC)*24),0)/24)&amp;" ngày"&amp;IF(MOD(ROUND((($U361-TDBC)*24),0),24)&gt;0," "&amp;MOD(ROUND((($U361-TDBC)*24),0),24)&amp;" giờ","")))))</f>
      </c>
      <c r="AA361" s="220">
        <f>IF($V361="Đã xử lý",_xlfn.MAXIFS('Nhật ký tiến độ'!$B$6:$B$3005,'Nhật ký tiến độ'!$C$6:$C$3005,$A361,'Nhật ký tiến độ'!$E$6:$E$3005,"Đã xử lý"),"")</f>
      </c>
      <c r="AB361" s="223">
        <f>IF($AI361="","",IF($AI361&lt;1,MAX(1,ROUND($AI361*60,0))&amp;" phút",IF(ROUND($AI361,0)&lt;24,ROUND($AI361,0)&amp;" giờ",INT(ROUND($AI361,0)/24)&amp;" ngày"&amp;IF(MOD(ROUND($AI361,0),24)&gt;0," "&amp;MOD(ROUND($AI361,0),24)&amp;" giờ",""))))</f>
      </c>
      <c r="AC361" s="223">
        <f>IF(OR($A361="",N($AH361)=0),"",IF($AI361&lt;&gt;"",IF($AI361&lt;=$AH361,"Trong ước tính","Vượt "&amp;IF(($AI361-$AH361)&lt;1,MAX(1,ROUND(($AI361-$AH361)*60,0))&amp;" phút",IF(ROUND(($AI361-$AH361),0)&lt;24,ROUND(($AI361-$AH361),0)&amp;" giờ",INT(ROUND(($AI361-$AH361),0)/24)&amp;" ngày"&amp;IF(MOD(ROUND(($AI361-$AH361),0),24)&gt;0," "&amp;MOD(ROUND(($AI361-$AH361),0),24)&amp;" giờ","")))),IF(OR($V361="Đã xử lý",N($B361)=0),"",IF((TDBC-$B361)*24&gt;$AH361,"Đã vượt ước tính","Đã dùng "&amp;TEXT((TDBC-$B361)*24/$AH361,"0%")))))</f>
      </c>
      <c r="AD361" s="223">
        <f>IF(N($AO361)=0,"",CHOOSE($AO361,"Nhắc nhở","Cảnh báo","Báo động","Báo động đỏ"))</f>
      </c>
      <c r="AE361" s="223">
        <f>IF(OR(N($AA361)=0,N($U361)=0),"",IF($AA361&lt;=$U361,"Đúng hạn","Trễ hạn"))</f>
      </c>
      <c r="AF361" s="220">
        <f>IF($A361="","",_xlfn.MAXIFS('Nhật ký tiến độ'!$B$6:$B$3005,'Nhật ký tiến độ'!$C$6:$C$3005,$A361))</f>
      </c>
      <c r="AG361" s="223">
        <f>IF($A361="","",IF(COUNTIF('Kế hoạch'!$M$6:$M$305,$A361)=0,"",COUNTIF('Kế hoạch'!$M$6:$M$305,$A361)&amp;" việc"))</f>
      </c>
      <c r="AH361" s="224">
        <f>IF(OR($A361="",N($O361)&lt;=0),"",IF($P361="Giờ",$O361,$O361*24))</f>
      </c>
      <c r="AI361" s="224">
        <f>IF(OR(N($AA361)=0,N($B361)=0),"",IF($AA361&lt;$B361,"",($AA361-$B361)*24))</f>
      </c>
      <c r="AJ361" s="225">
        <f>IF($A361="","",IF(COUNTIF('Nhật ký tiến độ'!$C$6:$C$3005,$A361)=0,0,_xlfn.MAXIFS('Nhật ký tiến độ'!$N$6:$N$3005,'Nhật ký tiến độ'!$C$6:$C$3005,$A361,'Nhật ký tiến độ'!$B$6:$B$3005,_xlfn.MAXIFS('Nhật ký tiến độ'!$B$6:$B$3005,'Nhật ký tiến độ'!$C$6:$C$3005,$A361))))</f>
      </c>
      <c r="AK361" s="225">
        <f>IF(OR($A361="",$V361="Đã xử lý"),"",IF(N($AO361)&gt;0,5-$AO361,IF($J361="Khẩn cấp",5,IF($Y361="Chậm tiến độ",6,IF(OR($Y361="Sắp đến hạn",$J361="Cao"),7,"")))))</f>
      </c>
      <c r="AL361" s="225">
        <f>IF($AK361="","",$AK361*100000+IF(N($U361)=0,99999,INT($U361))+ROW()/100000)</f>
      </c>
      <c r="AM361" s="225">
        <f>IF(OR($A361="",TRIM($K361)="",COUNTIF($K$6:$K361,$K361)&gt;1),0,1)</f>
      </c>
      <c r="AN361" s="225">
        <f>IF($AM361=1,SUM($AM$6:$AM361),"")</f>
      </c>
      <c r="AO361" s="225">
        <f>IF(OR($A361="",$V361="Đã xử lý",N($U361)=0),0,IF(TDBC&lt;=$U361,0,MAX(1,MIN(4,IF((TDBC-$U361)*24&lt;24,1,IF((TDBC-$U361)*24&lt;72,2,IF((TDBC-$U361)*24&lt;168,3,4)))+IFERROR(INDEX({2,1,0,-1},MATCH($J361,{"Khẩn cấp","Cao","Trung bình","Thấp"},0)),0)))))</f>
      </c>
    </row>
    <row r="362">
      <c r="A362" s="216"/>
      <c r="B362" s="217"/>
      <c r="C362" s="218"/>
      <c r="D362" s="218"/>
      <c r="E362" s="218"/>
      <c r="F362" s="218"/>
      <c r="G362" s="216"/>
      <c r="H362" s="218"/>
      <c r="I362" s="218"/>
      <c r="J362" s="216"/>
      <c r="K362" s="218"/>
      <c r="L362" s="218"/>
      <c r="M362" s="218"/>
      <c r="N362" s="218"/>
      <c r="O362" s="219"/>
      <c r="P362" s="216"/>
      <c r="Q362" s="217"/>
      <c r="R362" s="216"/>
      <c r="S362" s="218"/>
      <c r="T362" s="218"/>
      <c r="U362" s="220">
        <f>IF($A362="","",IF(N($Q362)&gt;0,IF(MOD($Q362,1)=0,$Q362+1-1/1440,$Q362),IF(N($B362)=0,"",$B362+IF(N($AH362)&gt;0,$AH362,IFERROR(INDEX(DM_SLA_Gio,MATCH($J362,DM_SLA_Cap,0)),168))/24)))</f>
      </c>
      <c r="V362" s="221">
        <f>IF($A362="","",IF(N($AJ362)=0,"Mới tiếp nhận",INDEX('Nhật ký tiến độ'!$E:$E,$AJ362)))</f>
      </c>
      <c r="W362" s="222">
        <f>IF($A362="","",IF($V362="Đã xử lý",1,IF(N($AJ362)=0,0,N(INDEX('Nhật ký tiến độ'!$D:$D,$AJ362)))))</f>
      </c>
      <c r="X362" s="222">
        <f>IF(OR($A362="",$V362="Đã xử lý",N($U362)=0,N($B362)=0),"",IF(TDBC&lt;=$B362,0,IF(TDBC&gt;=$U362,1,(TDBC-$B362)/($U362-$B362))))</f>
      </c>
      <c r="Y362" s="223">
        <f>IF($A362="","",IF($V362="Đã xử lý","Hoàn thành",IF(N($U362)=0,"Chưa đặt hạn",IF(TDBC&gt;$U362,"Quá hạn",IF(ROUND((N($X362)-$W362)*100,0)&gt;=20,"Chậm tiến độ",IF($U362-TDBC&lt;=1,"Sắp đến hạn","Đúng tiến độ"))))))</f>
      </c>
      <c r="Z362" s="223">
        <f>IF(OR($A362="",$V362="Đã xử lý",N($U362)=0),"",IF(TDBC&gt;$U362,"Quá "&amp;IF(((TDBC-$U362)*24)&lt;1,MAX(1,ROUND(((TDBC-$U362)*24)*60,0))&amp;" phút",IF(ROUND(((TDBC-$U362)*24),0)&lt;24,ROUND(((TDBC-$U362)*24),0)&amp;" giờ",INT(ROUND(((TDBC-$U362)*24),0)/24)&amp;" ngày"&amp;IF(MOD(ROUND(((TDBC-$U362)*24),0),24)&gt;0," "&amp;MOD(ROUND(((TDBC-$U362)*24),0),24)&amp;" giờ",""))),"Còn "&amp;IF((($U362-TDBC)*24)&lt;1,MAX(1,ROUND((($U362-TDBC)*24)*60,0))&amp;" phút",IF(ROUND((($U362-TDBC)*24),0)&lt;24,ROUND((($U362-TDBC)*24),0)&amp;" giờ",INT(ROUND((($U362-TDBC)*24),0)/24)&amp;" ngày"&amp;IF(MOD(ROUND((($U362-TDBC)*24),0),24)&gt;0," "&amp;MOD(ROUND((($U362-TDBC)*24),0),24)&amp;" giờ","")))))</f>
      </c>
      <c r="AA362" s="220">
        <f>IF($V362="Đã xử lý",_xlfn.MAXIFS('Nhật ký tiến độ'!$B$6:$B$3005,'Nhật ký tiến độ'!$C$6:$C$3005,$A362,'Nhật ký tiến độ'!$E$6:$E$3005,"Đã xử lý"),"")</f>
      </c>
      <c r="AB362" s="223">
        <f>IF($AI362="","",IF($AI362&lt;1,MAX(1,ROUND($AI362*60,0))&amp;" phút",IF(ROUND($AI362,0)&lt;24,ROUND($AI362,0)&amp;" giờ",INT(ROUND($AI362,0)/24)&amp;" ngày"&amp;IF(MOD(ROUND($AI362,0),24)&gt;0," "&amp;MOD(ROUND($AI362,0),24)&amp;" giờ",""))))</f>
      </c>
      <c r="AC362" s="223">
        <f>IF(OR($A362="",N($AH362)=0),"",IF($AI362&lt;&gt;"",IF($AI362&lt;=$AH362,"Trong ước tính","Vượt "&amp;IF(($AI362-$AH362)&lt;1,MAX(1,ROUND(($AI362-$AH362)*60,0))&amp;" phút",IF(ROUND(($AI362-$AH362),0)&lt;24,ROUND(($AI362-$AH362),0)&amp;" giờ",INT(ROUND(($AI362-$AH362),0)/24)&amp;" ngày"&amp;IF(MOD(ROUND(($AI362-$AH362),0),24)&gt;0," "&amp;MOD(ROUND(($AI362-$AH362),0),24)&amp;" giờ","")))),IF(OR($V362="Đã xử lý",N($B362)=0),"",IF((TDBC-$B362)*24&gt;$AH362,"Đã vượt ước tính","Đã dùng "&amp;TEXT((TDBC-$B362)*24/$AH362,"0%")))))</f>
      </c>
      <c r="AD362" s="223">
        <f>IF(N($AO362)=0,"",CHOOSE($AO362,"Nhắc nhở","Cảnh báo","Báo động","Báo động đỏ"))</f>
      </c>
      <c r="AE362" s="223">
        <f>IF(OR(N($AA362)=0,N($U362)=0),"",IF($AA362&lt;=$U362,"Đúng hạn","Trễ hạn"))</f>
      </c>
      <c r="AF362" s="220">
        <f>IF($A362="","",_xlfn.MAXIFS('Nhật ký tiến độ'!$B$6:$B$3005,'Nhật ký tiến độ'!$C$6:$C$3005,$A362))</f>
      </c>
      <c r="AG362" s="223">
        <f>IF($A362="","",IF(COUNTIF('Kế hoạch'!$M$6:$M$305,$A362)=0,"",COUNTIF('Kế hoạch'!$M$6:$M$305,$A362)&amp;" việc"))</f>
      </c>
      <c r="AH362" s="224">
        <f>IF(OR($A362="",N($O362)&lt;=0),"",IF($P362="Giờ",$O362,$O362*24))</f>
      </c>
      <c r="AI362" s="224">
        <f>IF(OR(N($AA362)=0,N($B362)=0),"",IF($AA362&lt;$B362,"",($AA362-$B362)*24))</f>
      </c>
      <c r="AJ362" s="225">
        <f>IF($A362="","",IF(COUNTIF('Nhật ký tiến độ'!$C$6:$C$3005,$A362)=0,0,_xlfn.MAXIFS('Nhật ký tiến độ'!$N$6:$N$3005,'Nhật ký tiến độ'!$C$6:$C$3005,$A362,'Nhật ký tiến độ'!$B$6:$B$3005,_xlfn.MAXIFS('Nhật ký tiến độ'!$B$6:$B$3005,'Nhật ký tiến độ'!$C$6:$C$3005,$A362))))</f>
      </c>
      <c r="AK362" s="225">
        <f>IF(OR($A362="",$V362="Đã xử lý"),"",IF(N($AO362)&gt;0,5-$AO362,IF($J362="Khẩn cấp",5,IF($Y362="Chậm tiến độ",6,IF(OR($Y362="Sắp đến hạn",$J362="Cao"),7,"")))))</f>
      </c>
      <c r="AL362" s="225">
        <f>IF($AK362="","",$AK362*100000+IF(N($U362)=0,99999,INT($U362))+ROW()/100000)</f>
      </c>
      <c r="AM362" s="225">
        <f>IF(OR($A362="",TRIM($K362)="",COUNTIF($K$6:$K362,$K362)&gt;1),0,1)</f>
      </c>
      <c r="AN362" s="225">
        <f>IF($AM362=1,SUM($AM$6:$AM362),"")</f>
      </c>
      <c r="AO362" s="225">
        <f>IF(OR($A362="",$V362="Đã xử lý",N($U362)=0),0,IF(TDBC&lt;=$U362,0,MAX(1,MIN(4,IF((TDBC-$U362)*24&lt;24,1,IF((TDBC-$U362)*24&lt;72,2,IF((TDBC-$U362)*24&lt;168,3,4)))+IFERROR(INDEX({2,1,0,-1},MATCH($J362,{"Khẩn cấp","Cao","Trung bình","Thấp"},0)),0)))))</f>
      </c>
    </row>
    <row r="363">
      <c r="A363" s="216"/>
      <c r="B363" s="217"/>
      <c r="C363" s="218"/>
      <c r="D363" s="218"/>
      <c r="E363" s="218"/>
      <c r="F363" s="218"/>
      <c r="G363" s="216"/>
      <c r="H363" s="218"/>
      <c r="I363" s="218"/>
      <c r="J363" s="216"/>
      <c r="K363" s="218"/>
      <c r="L363" s="218"/>
      <c r="M363" s="218"/>
      <c r="N363" s="218"/>
      <c r="O363" s="219"/>
      <c r="P363" s="216"/>
      <c r="Q363" s="217"/>
      <c r="R363" s="216"/>
      <c r="S363" s="218"/>
      <c r="T363" s="218"/>
      <c r="U363" s="220">
        <f>IF($A363="","",IF(N($Q363)&gt;0,IF(MOD($Q363,1)=0,$Q363+1-1/1440,$Q363),IF(N($B363)=0,"",$B363+IF(N($AH363)&gt;0,$AH363,IFERROR(INDEX(DM_SLA_Gio,MATCH($J363,DM_SLA_Cap,0)),168))/24)))</f>
      </c>
      <c r="V363" s="221">
        <f>IF($A363="","",IF(N($AJ363)=0,"Mới tiếp nhận",INDEX('Nhật ký tiến độ'!$E:$E,$AJ363)))</f>
      </c>
      <c r="W363" s="222">
        <f>IF($A363="","",IF($V363="Đã xử lý",1,IF(N($AJ363)=0,0,N(INDEX('Nhật ký tiến độ'!$D:$D,$AJ363)))))</f>
      </c>
      <c r="X363" s="222">
        <f>IF(OR($A363="",$V363="Đã xử lý",N($U363)=0,N($B363)=0),"",IF(TDBC&lt;=$B363,0,IF(TDBC&gt;=$U363,1,(TDBC-$B363)/($U363-$B363))))</f>
      </c>
      <c r="Y363" s="223">
        <f>IF($A363="","",IF($V363="Đã xử lý","Hoàn thành",IF(N($U363)=0,"Chưa đặt hạn",IF(TDBC&gt;$U363,"Quá hạn",IF(ROUND((N($X363)-$W363)*100,0)&gt;=20,"Chậm tiến độ",IF($U363-TDBC&lt;=1,"Sắp đến hạn","Đúng tiến độ"))))))</f>
      </c>
      <c r="Z363" s="223">
        <f>IF(OR($A363="",$V363="Đã xử lý",N($U363)=0),"",IF(TDBC&gt;$U363,"Quá "&amp;IF(((TDBC-$U363)*24)&lt;1,MAX(1,ROUND(((TDBC-$U363)*24)*60,0))&amp;" phút",IF(ROUND(((TDBC-$U363)*24),0)&lt;24,ROUND(((TDBC-$U363)*24),0)&amp;" giờ",INT(ROUND(((TDBC-$U363)*24),0)/24)&amp;" ngày"&amp;IF(MOD(ROUND(((TDBC-$U363)*24),0),24)&gt;0," "&amp;MOD(ROUND(((TDBC-$U363)*24),0),24)&amp;" giờ",""))),"Còn "&amp;IF((($U363-TDBC)*24)&lt;1,MAX(1,ROUND((($U363-TDBC)*24)*60,0))&amp;" phút",IF(ROUND((($U363-TDBC)*24),0)&lt;24,ROUND((($U363-TDBC)*24),0)&amp;" giờ",INT(ROUND((($U363-TDBC)*24),0)/24)&amp;" ngày"&amp;IF(MOD(ROUND((($U363-TDBC)*24),0),24)&gt;0," "&amp;MOD(ROUND((($U363-TDBC)*24),0),24)&amp;" giờ","")))))</f>
      </c>
      <c r="AA363" s="220">
        <f>IF($V363="Đã xử lý",_xlfn.MAXIFS('Nhật ký tiến độ'!$B$6:$B$3005,'Nhật ký tiến độ'!$C$6:$C$3005,$A363,'Nhật ký tiến độ'!$E$6:$E$3005,"Đã xử lý"),"")</f>
      </c>
      <c r="AB363" s="223">
        <f>IF($AI363="","",IF($AI363&lt;1,MAX(1,ROUND($AI363*60,0))&amp;" phút",IF(ROUND($AI363,0)&lt;24,ROUND($AI363,0)&amp;" giờ",INT(ROUND($AI363,0)/24)&amp;" ngày"&amp;IF(MOD(ROUND($AI363,0),24)&gt;0," "&amp;MOD(ROUND($AI363,0),24)&amp;" giờ",""))))</f>
      </c>
      <c r="AC363" s="223">
        <f>IF(OR($A363="",N($AH363)=0),"",IF($AI363&lt;&gt;"",IF($AI363&lt;=$AH363,"Trong ước tính","Vượt "&amp;IF(($AI363-$AH363)&lt;1,MAX(1,ROUND(($AI363-$AH363)*60,0))&amp;" phút",IF(ROUND(($AI363-$AH363),0)&lt;24,ROUND(($AI363-$AH363),0)&amp;" giờ",INT(ROUND(($AI363-$AH363),0)/24)&amp;" ngày"&amp;IF(MOD(ROUND(($AI363-$AH363),0),24)&gt;0," "&amp;MOD(ROUND(($AI363-$AH363),0),24)&amp;" giờ","")))),IF(OR($V363="Đã xử lý",N($B363)=0),"",IF((TDBC-$B363)*24&gt;$AH363,"Đã vượt ước tính","Đã dùng "&amp;TEXT((TDBC-$B363)*24/$AH363,"0%")))))</f>
      </c>
      <c r="AD363" s="223">
        <f>IF(N($AO363)=0,"",CHOOSE($AO363,"Nhắc nhở","Cảnh báo","Báo động","Báo động đỏ"))</f>
      </c>
      <c r="AE363" s="223">
        <f>IF(OR(N($AA363)=0,N($U363)=0),"",IF($AA363&lt;=$U363,"Đúng hạn","Trễ hạn"))</f>
      </c>
      <c r="AF363" s="220">
        <f>IF($A363="","",_xlfn.MAXIFS('Nhật ký tiến độ'!$B$6:$B$3005,'Nhật ký tiến độ'!$C$6:$C$3005,$A363))</f>
      </c>
      <c r="AG363" s="223">
        <f>IF($A363="","",IF(COUNTIF('Kế hoạch'!$M$6:$M$305,$A363)=0,"",COUNTIF('Kế hoạch'!$M$6:$M$305,$A363)&amp;" việc"))</f>
      </c>
      <c r="AH363" s="224">
        <f>IF(OR($A363="",N($O363)&lt;=0),"",IF($P363="Giờ",$O363,$O363*24))</f>
      </c>
      <c r="AI363" s="224">
        <f>IF(OR(N($AA363)=0,N($B363)=0),"",IF($AA363&lt;$B363,"",($AA363-$B363)*24))</f>
      </c>
      <c r="AJ363" s="225">
        <f>IF($A363="","",IF(COUNTIF('Nhật ký tiến độ'!$C$6:$C$3005,$A363)=0,0,_xlfn.MAXIFS('Nhật ký tiến độ'!$N$6:$N$3005,'Nhật ký tiến độ'!$C$6:$C$3005,$A363,'Nhật ký tiến độ'!$B$6:$B$3005,_xlfn.MAXIFS('Nhật ký tiến độ'!$B$6:$B$3005,'Nhật ký tiến độ'!$C$6:$C$3005,$A363))))</f>
      </c>
      <c r="AK363" s="225">
        <f>IF(OR($A363="",$V363="Đã xử lý"),"",IF(N($AO363)&gt;0,5-$AO363,IF($J363="Khẩn cấp",5,IF($Y363="Chậm tiến độ",6,IF(OR($Y363="Sắp đến hạn",$J363="Cao"),7,"")))))</f>
      </c>
      <c r="AL363" s="225">
        <f>IF($AK363="","",$AK363*100000+IF(N($U363)=0,99999,INT($U363))+ROW()/100000)</f>
      </c>
      <c r="AM363" s="225">
        <f>IF(OR($A363="",TRIM($K363)="",COUNTIF($K$6:$K363,$K363)&gt;1),0,1)</f>
      </c>
      <c r="AN363" s="225">
        <f>IF($AM363=1,SUM($AM$6:$AM363),"")</f>
      </c>
      <c r="AO363" s="225">
        <f>IF(OR($A363="",$V363="Đã xử lý",N($U363)=0),0,IF(TDBC&lt;=$U363,0,MAX(1,MIN(4,IF((TDBC-$U363)*24&lt;24,1,IF((TDBC-$U363)*24&lt;72,2,IF((TDBC-$U363)*24&lt;168,3,4)))+IFERROR(INDEX({2,1,0,-1},MATCH($J363,{"Khẩn cấp","Cao","Trung bình","Thấp"},0)),0)))))</f>
      </c>
    </row>
    <row r="364">
      <c r="A364" s="216"/>
      <c r="B364" s="217"/>
      <c r="C364" s="218"/>
      <c r="D364" s="218"/>
      <c r="E364" s="218"/>
      <c r="F364" s="218"/>
      <c r="G364" s="216"/>
      <c r="H364" s="218"/>
      <c r="I364" s="218"/>
      <c r="J364" s="216"/>
      <c r="K364" s="218"/>
      <c r="L364" s="218"/>
      <c r="M364" s="218"/>
      <c r="N364" s="218"/>
      <c r="O364" s="219"/>
      <c r="P364" s="216"/>
      <c r="Q364" s="217"/>
      <c r="R364" s="216"/>
      <c r="S364" s="218"/>
      <c r="T364" s="218"/>
      <c r="U364" s="220">
        <f>IF($A364="","",IF(N($Q364)&gt;0,IF(MOD($Q364,1)=0,$Q364+1-1/1440,$Q364),IF(N($B364)=0,"",$B364+IF(N($AH364)&gt;0,$AH364,IFERROR(INDEX(DM_SLA_Gio,MATCH($J364,DM_SLA_Cap,0)),168))/24)))</f>
      </c>
      <c r="V364" s="221">
        <f>IF($A364="","",IF(N($AJ364)=0,"Mới tiếp nhận",INDEX('Nhật ký tiến độ'!$E:$E,$AJ364)))</f>
      </c>
      <c r="W364" s="222">
        <f>IF($A364="","",IF($V364="Đã xử lý",1,IF(N($AJ364)=0,0,N(INDEX('Nhật ký tiến độ'!$D:$D,$AJ364)))))</f>
      </c>
      <c r="X364" s="222">
        <f>IF(OR($A364="",$V364="Đã xử lý",N($U364)=0,N($B364)=0),"",IF(TDBC&lt;=$B364,0,IF(TDBC&gt;=$U364,1,(TDBC-$B364)/($U364-$B364))))</f>
      </c>
      <c r="Y364" s="223">
        <f>IF($A364="","",IF($V364="Đã xử lý","Hoàn thành",IF(N($U364)=0,"Chưa đặt hạn",IF(TDBC&gt;$U364,"Quá hạn",IF(ROUND((N($X364)-$W364)*100,0)&gt;=20,"Chậm tiến độ",IF($U364-TDBC&lt;=1,"Sắp đến hạn","Đúng tiến độ"))))))</f>
      </c>
      <c r="Z364" s="223">
        <f>IF(OR($A364="",$V364="Đã xử lý",N($U364)=0),"",IF(TDBC&gt;$U364,"Quá "&amp;IF(((TDBC-$U364)*24)&lt;1,MAX(1,ROUND(((TDBC-$U364)*24)*60,0))&amp;" phút",IF(ROUND(((TDBC-$U364)*24),0)&lt;24,ROUND(((TDBC-$U364)*24),0)&amp;" giờ",INT(ROUND(((TDBC-$U364)*24),0)/24)&amp;" ngày"&amp;IF(MOD(ROUND(((TDBC-$U364)*24),0),24)&gt;0," "&amp;MOD(ROUND(((TDBC-$U364)*24),0),24)&amp;" giờ",""))),"Còn "&amp;IF((($U364-TDBC)*24)&lt;1,MAX(1,ROUND((($U364-TDBC)*24)*60,0))&amp;" phút",IF(ROUND((($U364-TDBC)*24),0)&lt;24,ROUND((($U364-TDBC)*24),0)&amp;" giờ",INT(ROUND((($U364-TDBC)*24),0)/24)&amp;" ngày"&amp;IF(MOD(ROUND((($U364-TDBC)*24),0),24)&gt;0," "&amp;MOD(ROUND((($U364-TDBC)*24),0),24)&amp;" giờ","")))))</f>
      </c>
      <c r="AA364" s="220">
        <f>IF($V364="Đã xử lý",_xlfn.MAXIFS('Nhật ký tiến độ'!$B$6:$B$3005,'Nhật ký tiến độ'!$C$6:$C$3005,$A364,'Nhật ký tiến độ'!$E$6:$E$3005,"Đã xử lý"),"")</f>
      </c>
      <c r="AB364" s="223">
        <f>IF($AI364="","",IF($AI364&lt;1,MAX(1,ROUND($AI364*60,0))&amp;" phút",IF(ROUND($AI364,0)&lt;24,ROUND($AI364,0)&amp;" giờ",INT(ROUND($AI364,0)/24)&amp;" ngày"&amp;IF(MOD(ROUND($AI364,0),24)&gt;0," "&amp;MOD(ROUND($AI364,0),24)&amp;" giờ",""))))</f>
      </c>
      <c r="AC364" s="223">
        <f>IF(OR($A364="",N($AH364)=0),"",IF($AI364&lt;&gt;"",IF($AI364&lt;=$AH364,"Trong ước tính","Vượt "&amp;IF(($AI364-$AH364)&lt;1,MAX(1,ROUND(($AI364-$AH364)*60,0))&amp;" phút",IF(ROUND(($AI364-$AH364),0)&lt;24,ROUND(($AI364-$AH364),0)&amp;" giờ",INT(ROUND(($AI364-$AH364),0)/24)&amp;" ngày"&amp;IF(MOD(ROUND(($AI364-$AH364),0),24)&gt;0," "&amp;MOD(ROUND(($AI364-$AH364),0),24)&amp;" giờ","")))),IF(OR($V364="Đã xử lý",N($B364)=0),"",IF((TDBC-$B364)*24&gt;$AH364,"Đã vượt ước tính","Đã dùng "&amp;TEXT((TDBC-$B364)*24/$AH364,"0%")))))</f>
      </c>
      <c r="AD364" s="223">
        <f>IF(N($AO364)=0,"",CHOOSE($AO364,"Nhắc nhở","Cảnh báo","Báo động","Báo động đỏ"))</f>
      </c>
      <c r="AE364" s="223">
        <f>IF(OR(N($AA364)=0,N($U364)=0),"",IF($AA364&lt;=$U364,"Đúng hạn","Trễ hạn"))</f>
      </c>
      <c r="AF364" s="220">
        <f>IF($A364="","",_xlfn.MAXIFS('Nhật ký tiến độ'!$B$6:$B$3005,'Nhật ký tiến độ'!$C$6:$C$3005,$A364))</f>
      </c>
      <c r="AG364" s="223">
        <f>IF($A364="","",IF(COUNTIF('Kế hoạch'!$M$6:$M$305,$A364)=0,"",COUNTIF('Kế hoạch'!$M$6:$M$305,$A364)&amp;" việc"))</f>
      </c>
      <c r="AH364" s="224">
        <f>IF(OR($A364="",N($O364)&lt;=0),"",IF($P364="Giờ",$O364,$O364*24))</f>
      </c>
      <c r="AI364" s="224">
        <f>IF(OR(N($AA364)=0,N($B364)=0),"",IF($AA364&lt;$B364,"",($AA364-$B364)*24))</f>
      </c>
      <c r="AJ364" s="225">
        <f>IF($A364="","",IF(COUNTIF('Nhật ký tiến độ'!$C$6:$C$3005,$A364)=0,0,_xlfn.MAXIFS('Nhật ký tiến độ'!$N$6:$N$3005,'Nhật ký tiến độ'!$C$6:$C$3005,$A364,'Nhật ký tiến độ'!$B$6:$B$3005,_xlfn.MAXIFS('Nhật ký tiến độ'!$B$6:$B$3005,'Nhật ký tiến độ'!$C$6:$C$3005,$A364))))</f>
      </c>
      <c r="AK364" s="225">
        <f>IF(OR($A364="",$V364="Đã xử lý"),"",IF(N($AO364)&gt;0,5-$AO364,IF($J364="Khẩn cấp",5,IF($Y364="Chậm tiến độ",6,IF(OR($Y364="Sắp đến hạn",$J364="Cao"),7,"")))))</f>
      </c>
      <c r="AL364" s="225">
        <f>IF($AK364="","",$AK364*100000+IF(N($U364)=0,99999,INT($U364))+ROW()/100000)</f>
      </c>
      <c r="AM364" s="225">
        <f>IF(OR($A364="",TRIM($K364)="",COUNTIF($K$6:$K364,$K364)&gt;1),0,1)</f>
      </c>
      <c r="AN364" s="225">
        <f>IF($AM364=1,SUM($AM$6:$AM364),"")</f>
      </c>
      <c r="AO364" s="225">
        <f>IF(OR($A364="",$V364="Đã xử lý",N($U364)=0),0,IF(TDBC&lt;=$U364,0,MAX(1,MIN(4,IF((TDBC-$U364)*24&lt;24,1,IF((TDBC-$U364)*24&lt;72,2,IF((TDBC-$U364)*24&lt;168,3,4)))+IFERROR(INDEX({2,1,0,-1},MATCH($J364,{"Khẩn cấp","Cao","Trung bình","Thấp"},0)),0)))))</f>
      </c>
    </row>
    <row r="365">
      <c r="A365" s="216"/>
      <c r="B365" s="217"/>
      <c r="C365" s="218"/>
      <c r="D365" s="218"/>
      <c r="E365" s="218"/>
      <c r="F365" s="218"/>
      <c r="G365" s="216"/>
      <c r="H365" s="218"/>
      <c r="I365" s="218"/>
      <c r="J365" s="216"/>
      <c r="K365" s="218"/>
      <c r="L365" s="218"/>
      <c r="M365" s="218"/>
      <c r="N365" s="218"/>
      <c r="O365" s="219"/>
      <c r="P365" s="216"/>
      <c r="Q365" s="217"/>
      <c r="R365" s="216"/>
      <c r="S365" s="218"/>
      <c r="T365" s="218"/>
      <c r="U365" s="220">
        <f>IF($A365="","",IF(N($Q365)&gt;0,IF(MOD($Q365,1)=0,$Q365+1-1/1440,$Q365),IF(N($B365)=0,"",$B365+IF(N($AH365)&gt;0,$AH365,IFERROR(INDEX(DM_SLA_Gio,MATCH($J365,DM_SLA_Cap,0)),168))/24)))</f>
      </c>
      <c r="V365" s="221">
        <f>IF($A365="","",IF(N($AJ365)=0,"Mới tiếp nhận",INDEX('Nhật ký tiến độ'!$E:$E,$AJ365)))</f>
      </c>
      <c r="W365" s="222">
        <f>IF($A365="","",IF($V365="Đã xử lý",1,IF(N($AJ365)=0,0,N(INDEX('Nhật ký tiến độ'!$D:$D,$AJ365)))))</f>
      </c>
      <c r="X365" s="222">
        <f>IF(OR($A365="",$V365="Đã xử lý",N($U365)=0,N($B365)=0),"",IF(TDBC&lt;=$B365,0,IF(TDBC&gt;=$U365,1,(TDBC-$B365)/($U365-$B365))))</f>
      </c>
      <c r="Y365" s="223">
        <f>IF($A365="","",IF($V365="Đã xử lý","Hoàn thành",IF(N($U365)=0,"Chưa đặt hạn",IF(TDBC&gt;$U365,"Quá hạn",IF(ROUND((N($X365)-$W365)*100,0)&gt;=20,"Chậm tiến độ",IF($U365-TDBC&lt;=1,"Sắp đến hạn","Đúng tiến độ"))))))</f>
      </c>
      <c r="Z365" s="223">
        <f>IF(OR($A365="",$V365="Đã xử lý",N($U365)=0),"",IF(TDBC&gt;$U365,"Quá "&amp;IF(((TDBC-$U365)*24)&lt;1,MAX(1,ROUND(((TDBC-$U365)*24)*60,0))&amp;" phút",IF(ROUND(((TDBC-$U365)*24),0)&lt;24,ROUND(((TDBC-$U365)*24),0)&amp;" giờ",INT(ROUND(((TDBC-$U365)*24),0)/24)&amp;" ngày"&amp;IF(MOD(ROUND(((TDBC-$U365)*24),0),24)&gt;0," "&amp;MOD(ROUND(((TDBC-$U365)*24),0),24)&amp;" giờ",""))),"Còn "&amp;IF((($U365-TDBC)*24)&lt;1,MAX(1,ROUND((($U365-TDBC)*24)*60,0))&amp;" phút",IF(ROUND((($U365-TDBC)*24),0)&lt;24,ROUND((($U365-TDBC)*24),0)&amp;" giờ",INT(ROUND((($U365-TDBC)*24),0)/24)&amp;" ngày"&amp;IF(MOD(ROUND((($U365-TDBC)*24),0),24)&gt;0," "&amp;MOD(ROUND((($U365-TDBC)*24),0),24)&amp;" giờ","")))))</f>
      </c>
      <c r="AA365" s="220">
        <f>IF($V365="Đã xử lý",_xlfn.MAXIFS('Nhật ký tiến độ'!$B$6:$B$3005,'Nhật ký tiến độ'!$C$6:$C$3005,$A365,'Nhật ký tiến độ'!$E$6:$E$3005,"Đã xử lý"),"")</f>
      </c>
      <c r="AB365" s="223">
        <f>IF($AI365="","",IF($AI365&lt;1,MAX(1,ROUND($AI365*60,0))&amp;" phút",IF(ROUND($AI365,0)&lt;24,ROUND($AI365,0)&amp;" giờ",INT(ROUND($AI365,0)/24)&amp;" ngày"&amp;IF(MOD(ROUND($AI365,0),24)&gt;0," "&amp;MOD(ROUND($AI365,0),24)&amp;" giờ",""))))</f>
      </c>
      <c r="AC365" s="223">
        <f>IF(OR($A365="",N($AH365)=0),"",IF($AI365&lt;&gt;"",IF($AI365&lt;=$AH365,"Trong ước tính","Vượt "&amp;IF(($AI365-$AH365)&lt;1,MAX(1,ROUND(($AI365-$AH365)*60,0))&amp;" phút",IF(ROUND(($AI365-$AH365),0)&lt;24,ROUND(($AI365-$AH365),0)&amp;" giờ",INT(ROUND(($AI365-$AH365),0)/24)&amp;" ngày"&amp;IF(MOD(ROUND(($AI365-$AH365),0),24)&gt;0," "&amp;MOD(ROUND(($AI365-$AH365),0),24)&amp;" giờ","")))),IF(OR($V365="Đã xử lý",N($B365)=0),"",IF((TDBC-$B365)*24&gt;$AH365,"Đã vượt ước tính","Đã dùng "&amp;TEXT((TDBC-$B365)*24/$AH365,"0%")))))</f>
      </c>
      <c r="AD365" s="223">
        <f>IF(N($AO365)=0,"",CHOOSE($AO365,"Nhắc nhở","Cảnh báo","Báo động","Báo động đỏ"))</f>
      </c>
      <c r="AE365" s="223">
        <f>IF(OR(N($AA365)=0,N($U365)=0),"",IF($AA365&lt;=$U365,"Đúng hạn","Trễ hạn"))</f>
      </c>
      <c r="AF365" s="220">
        <f>IF($A365="","",_xlfn.MAXIFS('Nhật ký tiến độ'!$B$6:$B$3005,'Nhật ký tiến độ'!$C$6:$C$3005,$A365))</f>
      </c>
      <c r="AG365" s="223">
        <f>IF($A365="","",IF(COUNTIF('Kế hoạch'!$M$6:$M$305,$A365)=0,"",COUNTIF('Kế hoạch'!$M$6:$M$305,$A365)&amp;" việc"))</f>
      </c>
      <c r="AH365" s="224">
        <f>IF(OR($A365="",N($O365)&lt;=0),"",IF($P365="Giờ",$O365,$O365*24))</f>
      </c>
      <c r="AI365" s="224">
        <f>IF(OR(N($AA365)=0,N($B365)=0),"",IF($AA365&lt;$B365,"",($AA365-$B365)*24))</f>
      </c>
      <c r="AJ365" s="225">
        <f>IF($A365="","",IF(COUNTIF('Nhật ký tiến độ'!$C$6:$C$3005,$A365)=0,0,_xlfn.MAXIFS('Nhật ký tiến độ'!$N$6:$N$3005,'Nhật ký tiến độ'!$C$6:$C$3005,$A365,'Nhật ký tiến độ'!$B$6:$B$3005,_xlfn.MAXIFS('Nhật ký tiến độ'!$B$6:$B$3005,'Nhật ký tiến độ'!$C$6:$C$3005,$A365))))</f>
      </c>
      <c r="AK365" s="225">
        <f>IF(OR($A365="",$V365="Đã xử lý"),"",IF(N($AO365)&gt;0,5-$AO365,IF($J365="Khẩn cấp",5,IF($Y365="Chậm tiến độ",6,IF(OR($Y365="Sắp đến hạn",$J365="Cao"),7,"")))))</f>
      </c>
      <c r="AL365" s="225">
        <f>IF($AK365="","",$AK365*100000+IF(N($U365)=0,99999,INT($U365))+ROW()/100000)</f>
      </c>
      <c r="AM365" s="225">
        <f>IF(OR($A365="",TRIM($K365)="",COUNTIF($K$6:$K365,$K365)&gt;1),0,1)</f>
      </c>
      <c r="AN365" s="225">
        <f>IF($AM365=1,SUM($AM$6:$AM365),"")</f>
      </c>
      <c r="AO365" s="225">
        <f>IF(OR($A365="",$V365="Đã xử lý",N($U365)=0),0,IF(TDBC&lt;=$U365,0,MAX(1,MIN(4,IF((TDBC-$U365)*24&lt;24,1,IF((TDBC-$U365)*24&lt;72,2,IF((TDBC-$U365)*24&lt;168,3,4)))+IFERROR(INDEX({2,1,0,-1},MATCH($J365,{"Khẩn cấp","Cao","Trung bình","Thấp"},0)),0)))))</f>
      </c>
    </row>
    <row r="366">
      <c r="A366" s="216"/>
      <c r="B366" s="217"/>
      <c r="C366" s="218"/>
      <c r="D366" s="218"/>
      <c r="E366" s="218"/>
      <c r="F366" s="218"/>
      <c r="G366" s="216"/>
      <c r="H366" s="218"/>
      <c r="I366" s="218"/>
      <c r="J366" s="216"/>
      <c r="K366" s="218"/>
      <c r="L366" s="218"/>
      <c r="M366" s="218"/>
      <c r="N366" s="218"/>
      <c r="O366" s="219"/>
      <c r="P366" s="216"/>
      <c r="Q366" s="217"/>
      <c r="R366" s="216"/>
      <c r="S366" s="218"/>
      <c r="T366" s="218"/>
      <c r="U366" s="220">
        <f>IF($A366="","",IF(N($Q366)&gt;0,IF(MOD($Q366,1)=0,$Q366+1-1/1440,$Q366),IF(N($B366)=0,"",$B366+IF(N($AH366)&gt;0,$AH366,IFERROR(INDEX(DM_SLA_Gio,MATCH($J366,DM_SLA_Cap,0)),168))/24)))</f>
      </c>
      <c r="V366" s="221">
        <f>IF($A366="","",IF(N($AJ366)=0,"Mới tiếp nhận",INDEX('Nhật ký tiến độ'!$E:$E,$AJ366)))</f>
      </c>
      <c r="W366" s="222">
        <f>IF($A366="","",IF($V366="Đã xử lý",1,IF(N($AJ366)=0,0,N(INDEX('Nhật ký tiến độ'!$D:$D,$AJ366)))))</f>
      </c>
      <c r="X366" s="222">
        <f>IF(OR($A366="",$V366="Đã xử lý",N($U366)=0,N($B366)=0),"",IF(TDBC&lt;=$B366,0,IF(TDBC&gt;=$U366,1,(TDBC-$B366)/($U366-$B366))))</f>
      </c>
      <c r="Y366" s="223">
        <f>IF($A366="","",IF($V366="Đã xử lý","Hoàn thành",IF(N($U366)=0,"Chưa đặt hạn",IF(TDBC&gt;$U366,"Quá hạn",IF(ROUND((N($X366)-$W366)*100,0)&gt;=20,"Chậm tiến độ",IF($U366-TDBC&lt;=1,"Sắp đến hạn","Đúng tiến độ"))))))</f>
      </c>
      <c r="Z366" s="223">
        <f>IF(OR($A366="",$V366="Đã xử lý",N($U366)=0),"",IF(TDBC&gt;$U366,"Quá "&amp;IF(((TDBC-$U366)*24)&lt;1,MAX(1,ROUND(((TDBC-$U366)*24)*60,0))&amp;" phút",IF(ROUND(((TDBC-$U366)*24),0)&lt;24,ROUND(((TDBC-$U366)*24),0)&amp;" giờ",INT(ROUND(((TDBC-$U366)*24),0)/24)&amp;" ngày"&amp;IF(MOD(ROUND(((TDBC-$U366)*24),0),24)&gt;0," "&amp;MOD(ROUND(((TDBC-$U366)*24),0),24)&amp;" giờ",""))),"Còn "&amp;IF((($U366-TDBC)*24)&lt;1,MAX(1,ROUND((($U366-TDBC)*24)*60,0))&amp;" phút",IF(ROUND((($U366-TDBC)*24),0)&lt;24,ROUND((($U366-TDBC)*24),0)&amp;" giờ",INT(ROUND((($U366-TDBC)*24),0)/24)&amp;" ngày"&amp;IF(MOD(ROUND((($U366-TDBC)*24),0),24)&gt;0," "&amp;MOD(ROUND((($U366-TDBC)*24),0),24)&amp;" giờ","")))))</f>
      </c>
      <c r="AA366" s="220">
        <f>IF($V366="Đã xử lý",_xlfn.MAXIFS('Nhật ký tiến độ'!$B$6:$B$3005,'Nhật ký tiến độ'!$C$6:$C$3005,$A366,'Nhật ký tiến độ'!$E$6:$E$3005,"Đã xử lý"),"")</f>
      </c>
      <c r="AB366" s="223">
        <f>IF($AI366="","",IF($AI366&lt;1,MAX(1,ROUND($AI366*60,0))&amp;" phút",IF(ROUND($AI366,0)&lt;24,ROUND($AI366,0)&amp;" giờ",INT(ROUND($AI366,0)/24)&amp;" ngày"&amp;IF(MOD(ROUND($AI366,0),24)&gt;0," "&amp;MOD(ROUND($AI366,0),24)&amp;" giờ",""))))</f>
      </c>
      <c r="AC366" s="223">
        <f>IF(OR($A366="",N($AH366)=0),"",IF($AI366&lt;&gt;"",IF($AI366&lt;=$AH366,"Trong ước tính","Vượt "&amp;IF(($AI366-$AH366)&lt;1,MAX(1,ROUND(($AI366-$AH366)*60,0))&amp;" phút",IF(ROUND(($AI366-$AH366),0)&lt;24,ROUND(($AI366-$AH366),0)&amp;" giờ",INT(ROUND(($AI366-$AH366),0)/24)&amp;" ngày"&amp;IF(MOD(ROUND(($AI366-$AH366),0),24)&gt;0," "&amp;MOD(ROUND(($AI366-$AH366),0),24)&amp;" giờ","")))),IF(OR($V366="Đã xử lý",N($B366)=0),"",IF((TDBC-$B366)*24&gt;$AH366,"Đã vượt ước tính","Đã dùng "&amp;TEXT((TDBC-$B366)*24/$AH366,"0%")))))</f>
      </c>
      <c r="AD366" s="223">
        <f>IF(N($AO366)=0,"",CHOOSE($AO366,"Nhắc nhở","Cảnh báo","Báo động","Báo động đỏ"))</f>
      </c>
      <c r="AE366" s="223">
        <f>IF(OR(N($AA366)=0,N($U366)=0),"",IF($AA366&lt;=$U366,"Đúng hạn","Trễ hạn"))</f>
      </c>
      <c r="AF366" s="220">
        <f>IF($A366="","",_xlfn.MAXIFS('Nhật ký tiến độ'!$B$6:$B$3005,'Nhật ký tiến độ'!$C$6:$C$3005,$A366))</f>
      </c>
      <c r="AG366" s="223">
        <f>IF($A366="","",IF(COUNTIF('Kế hoạch'!$M$6:$M$305,$A366)=0,"",COUNTIF('Kế hoạch'!$M$6:$M$305,$A366)&amp;" việc"))</f>
      </c>
      <c r="AH366" s="224">
        <f>IF(OR($A366="",N($O366)&lt;=0),"",IF($P366="Giờ",$O366,$O366*24))</f>
      </c>
      <c r="AI366" s="224">
        <f>IF(OR(N($AA366)=0,N($B366)=0),"",IF($AA366&lt;$B366,"",($AA366-$B366)*24))</f>
      </c>
      <c r="AJ366" s="225">
        <f>IF($A366="","",IF(COUNTIF('Nhật ký tiến độ'!$C$6:$C$3005,$A366)=0,0,_xlfn.MAXIFS('Nhật ký tiến độ'!$N$6:$N$3005,'Nhật ký tiến độ'!$C$6:$C$3005,$A366,'Nhật ký tiến độ'!$B$6:$B$3005,_xlfn.MAXIFS('Nhật ký tiến độ'!$B$6:$B$3005,'Nhật ký tiến độ'!$C$6:$C$3005,$A366))))</f>
      </c>
      <c r="AK366" s="225">
        <f>IF(OR($A366="",$V366="Đã xử lý"),"",IF(N($AO366)&gt;0,5-$AO366,IF($J366="Khẩn cấp",5,IF($Y366="Chậm tiến độ",6,IF(OR($Y366="Sắp đến hạn",$J366="Cao"),7,"")))))</f>
      </c>
      <c r="AL366" s="225">
        <f>IF($AK366="","",$AK366*100000+IF(N($U366)=0,99999,INT($U366))+ROW()/100000)</f>
      </c>
      <c r="AM366" s="225">
        <f>IF(OR($A366="",TRIM($K366)="",COUNTIF($K$6:$K366,$K366)&gt;1),0,1)</f>
      </c>
      <c r="AN366" s="225">
        <f>IF($AM366=1,SUM($AM$6:$AM366),"")</f>
      </c>
      <c r="AO366" s="225">
        <f>IF(OR($A366="",$V366="Đã xử lý",N($U366)=0),0,IF(TDBC&lt;=$U366,0,MAX(1,MIN(4,IF((TDBC-$U366)*24&lt;24,1,IF((TDBC-$U366)*24&lt;72,2,IF((TDBC-$U366)*24&lt;168,3,4)))+IFERROR(INDEX({2,1,0,-1},MATCH($J366,{"Khẩn cấp","Cao","Trung bình","Thấp"},0)),0)))))</f>
      </c>
    </row>
    <row r="367">
      <c r="A367" s="216"/>
      <c r="B367" s="217"/>
      <c r="C367" s="218"/>
      <c r="D367" s="218"/>
      <c r="E367" s="218"/>
      <c r="F367" s="218"/>
      <c r="G367" s="216"/>
      <c r="H367" s="218"/>
      <c r="I367" s="218"/>
      <c r="J367" s="216"/>
      <c r="K367" s="218"/>
      <c r="L367" s="218"/>
      <c r="M367" s="218"/>
      <c r="N367" s="218"/>
      <c r="O367" s="219"/>
      <c r="P367" s="216"/>
      <c r="Q367" s="217"/>
      <c r="R367" s="216"/>
      <c r="S367" s="218"/>
      <c r="T367" s="218"/>
      <c r="U367" s="220">
        <f>IF($A367="","",IF(N($Q367)&gt;0,IF(MOD($Q367,1)=0,$Q367+1-1/1440,$Q367),IF(N($B367)=0,"",$B367+IF(N($AH367)&gt;0,$AH367,IFERROR(INDEX(DM_SLA_Gio,MATCH($J367,DM_SLA_Cap,0)),168))/24)))</f>
      </c>
      <c r="V367" s="221">
        <f>IF($A367="","",IF(N($AJ367)=0,"Mới tiếp nhận",INDEX('Nhật ký tiến độ'!$E:$E,$AJ367)))</f>
      </c>
      <c r="W367" s="222">
        <f>IF($A367="","",IF($V367="Đã xử lý",1,IF(N($AJ367)=0,0,N(INDEX('Nhật ký tiến độ'!$D:$D,$AJ367)))))</f>
      </c>
      <c r="X367" s="222">
        <f>IF(OR($A367="",$V367="Đã xử lý",N($U367)=0,N($B367)=0),"",IF(TDBC&lt;=$B367,0,IF(TDBC&gt;=$U367,1,(TDBC-$B367)/($U367-$B367))))</f>
      </c>
      <c r="Y367" s="223">
        <f>IF($A367="","",IF($V367="Đã xử lý","Hoàn thành",IF(N($U367)=0,"Chưa đặt hạn",IF(TDBC&gt;$U367,"Quá hạn",IF(ROUND((N($X367)-$W367)*100,0)&gt;=20,"Chậm tiến độ",IF($U367-TDBC&lt;=1,"Sắp đến hạn","Đúng tiến độ"))))))</f>
      </c>
      <c r="Z367" s="223">
        <f>IF(OR($A367="",$V367="Đã xử lý",N($U367)=0),"",IF(TDBC&gt;$U367,"Quá "&amp;IF(((TDBC-$U367)*24)&lt;1,MAX(1,ROUND(((TDBC-$U367)*24)*60,0))&amp;" phút",IF(ROUND(((TDBC-$U367)*24),0)&lt;24,ROUND(((TDBC-$U367)*24),0)&amp;" giờ",INT(ROUND(((TDBC-$U367)*24),0)/24)&amp;" ngày"&amp;IF(MOD(ROUND(((TDBC-$U367)*24),0),24)&gt;0," "&amp;MOD(ROUND(((TDBC-$U367)*24),0),24)&amp;" giờ",""))),"Còn "&amp;IF((($U367-TDBC)*24)&lt;1,MAX(1,ROUND((($U367-TDBC)*24)*60,0))&amp;" phút",IF(ROUND((($U367-TDBC)*24),0)&lt;24,ROUND((($U367-TDBC)*24),0)&amp;" giờ",INT(ROUND((($U367-TDBC)*24),0)/24)&amp;" ngày"&amp;IF(MOD(ROUND((($U367-TDBC)*24),0),24)&gt;0," "&amp;MOD(ROUND((($U367-TDBC)*24),0),24)&amp;" giờ","")))))</f>
      </c>
      <c r="AA367" s="220">
        <f>IF($V367="Đã xử lý",_xlfn.MAXIFS('Nhật ký tiến độ'!$B$6:$B$3005,'Nhật ký tiến độ'!$C$6:$C$3005,$A367,'Nhật ký tiến độ'!$E$6:$E$3005,"Đã xử lý"),"")</f>
      </c>
      <c r="AB367" s="223">
        <f>IF($AI367="","",IF($AI367&lt;1,MAX(1,ROUND($AI367*60,0))&amp;" phút",IF(ROUND($AI367,0)&lt;24,ROUND($AI367,0)&amp;" giờ",INT(ROUND($AI367,0)/24)&amp;" ngày"&amp;IF(MOD(ROUND($AI367,0),24)&gt;0," "&amp;MOD(ROUND($AI367,0),24)&amp;" giờ",""))))</f>
      </c>
      <c r="AC367" s="223">
        <f>IF(OR($A367="",N($AH367)=0),"",IF($AI367&lt;&gt;"",IF($AI367&lt;=$AH367,"Trong ước tính","Vượt "&amp;IF(($AI367-$AH367)&lt;1,MAX(1,ROUND(($AI367-$AH367)*60,0))&amp;" phút",IF(ROUND(($AI367-$AH367),0)&lt;24,ROUND(($AI367-$AH367),0)&amp;" giờ",INT(ROUND(($AI367-$AH367),0)/24)&amp;" ngày"&amp;IF(MOD(ROUND(($AI367-$AH367),0),24)&gt;0," "&amp;MOD(ROUND(($AI367-$AH367),0),24)&amp;" giờ","")))),IF(OR($V367="Đã xử lý",N($B367)=0),"",IF((TDBC-$B367)*24&gt;$AH367,"Đã vượt ước tính","Đã dùng "&amp;TEXT((TDBC-$B367)*24/$AH367,"0%")))))</f>
      </c>
      <c r="AD367" s="223">
        <f>IF(N($AO367)=0,"",CHOOSE($AO367,"Nhắc nhở","Cảnh báo","Báo động","Báo động đỏ"))</f>
      </c>
      <c r="AE367" s="223">
        <f>IF(OR(N($AA367)=0,N($U367)=0),"",IF($AA367&lt;=$U367,"Đúng hạn","Trễ hạn"))</f>
      </c>
      <c r="AF367" s="220">
        <f>IF($A367="","",_xlfn.MAXIFS('Nhật ký tiến độ'!$B$6:$B$3005,'Nhật ký tiến độ'!$C$6:$C$3005,$A367))</f>
      </c>
      <c r="AG367" s="223">
        <f>IF($A367="","",IF(COUNTIF('Kế hoạch'!$M$6:$M$305,$A367)=0,"",COUNTIF('Kế hoạch'!$M$6:$M$305,$A367)&amp;" việc"))</f>
      </c>
      <c r="AH367" s="224">
        <f>IF(OR($A367="",N($O367)&lt;=0),"",IF($P367="Giờ",$O367,$O367*24))</f>
      </c>
      <c r="AI367" s="224">
        <f>IF(OR(N($AA367)=0,N($B367)=0),"",IF($AA367&lt;$B367,"",($AA367-$B367)*24))</f>
      </c>
      <c r="AJ367" s="225">
        <f>IF($A367="","",IF(COUNTIF('Nhật ký tiến độ'!$C$6:$C$3005,$A367)=0,0,_xlfn.MAXIFS('Nhật ký tiến độ'!$N$6:$N$3005,'Nhật ký tiến độ'!$C$6:$C$3005,$A367,'Nhật ký tiến độ'!$B$6:$B$3005,_xlfn.MAXIFS('Nhật ký tiến độ'!$B$6:$B$3005,'Nhật ký tiến độ'!$C$6:$C$3005,$A367))))</f>
      </c>
      <c r="AK367" s="225">
        <f>IF(OR($A367="",$V367="Đã xử lý"),"",IF(N($AO367)&gt;0,5-$AO367,IF($J367="Khẩn cấp",5,IF($Y367="Chậm tiến độ",6,IF(OR($Y367="Sắp đến hạn",$J367="Cao"),7,"")))))</f>
      </c>
      <c r="AL367" s="225">
        <f>IF($AK367="","",$AK367*100000+IF(N($U367)=0,99999,INT($U367))+ROW()/100000)</f>
      </c>
      <c r="AM367" s="225">
        <f>IF(OR($A367="",TRIM($K367)="",COUNTIF($K$6:$K367,$K367)&gt;1),0,1)</f>
      </c>
      <c r="AN367" s="225">
        <f>IF($AM367=1,SUM($AM$6:$AM367),"")</f>
      </c>
      <c r="AO367" s="225">
        <f>IF(OR($A367="",$V367="Đã xử lý",N($U367)=0),0,IF(TDBC&lt;=$U367,0,MAX(1,MIN(4,IF((TDBC-$U367)*24&lt;24,1,IF((TDBC-$U367)*24&lt;72,2,IF((TDBC-$U367)*24&lt;168,3,4)))+IFERROR(INDEX({2,1,0,-1},MATCH($J367,{"Khẩn cấp","Cao","Trung bình","Thấp"},0)),0)))))</f>
      </c>
    </row>
    <row r="368">
      <c r="A368" s="216"/>
      <c r="B368" s="217"/>
      <c r="C368" s="218"/>
      <c r="D368" s="218"/>
      <c r="E368" s="218"/>
      <c r="F368" s="218"/>
      <c r="G368" s="216"/>
      <c r="H368" s="218"/>
      <c r="I368" s="218"/>
      <c r="J368" s="216"/>
      <c r="K368" s="218"/>
      <c r="L368" s="218"/>
      <c r="M368" s="218"/>
      <c r="N368" s="218"/>
      <c r="O368" s="219"/>
      <c r="P368" s="216"/>
      <c r="Q368" s="217"/>
      <c r="R368" s="216"/>
      <c r="S368" s="218"/>
      <c r="T368" s="218"/>
      <c r="U368" s="220">
        <f>IF($A368="","",IF(N($Q368)&gt;0,IF(MOD($Q368,1)=0,$Q368+1-1/1440,$Q368),IF(N($B368)=0,"",$B368+IF(N($AH368)&gt;0,$AH368,IFERROR(INDEX(DM_SLA_Gio,MATCH($J368,DM_SLA_Cap,0)),168))/24)))</f>
      </c>
      <c r="V368" s="221">
        <f>IF($A368="","",IF(N($AJ368)=0,"Mới tiếp nhận",INDEX('Nhật ký tiến độ'!$E:$E,$AJ368)))</f>
      </c>
      <c r="W368" s="222">
        <f>IF($A368="","",IF($V368="Đã xử lý",1,IF(N($AJ368)=0,0,N(INDEX('Nhật ký tiến độ'!$D:$D,$AJ368)))))</f>
      </c>
      <c r="X368" s="222">
        <f>IF(OR($A368="",$V368="Đã xử lý",N($U368)=0,N($B368)=0),"",IF(TDBC&lt;=$B368,0,IF(TDBC&gt;=$U368,1,(TDBC-$B368)/($U368-$B368))))</f>
      </c>
      <c r="Y368" s="223">
        <f>IF($A368="","",IF($V368="Đã xử lý","Hoàn thành",IF(N($U368)=0,"Chưa đặt hạn",IF(TDBC&gt;$U368,"Quá hạn",IF(ROUND((N($X368)-$W368)*100,0)&gt;=20,"Chậm tiến độ",IF($U368-TDBC&lt;=1,"Sắp đến hạn","Đúng tiến độ"))))))</f>
      </c>
      <c r="Z368" s="223">
        <f>IF(OR($A368="",$V368="Đã xử lý",N($U368)=0),"",IF(TDBC&gt;$U368,"Quá "&amp;IF(((TDBC-$U368)*24)&lt;1,MAX(1,ROUND(((TDBC-$U368)*24)*60,0))&amp;" phút",IF(ROUND(((TDBC-$U368)*24),0)&lt;24,ROUND(((TDBC-$U368)*24),0)&amp;" giờ",INT(ROUND(((TDBC-$U368)*24),0)/24)&amp;" ngày"&amp;IF(MOD(ROUND(((TDBC-$U368)*24),0),24)&gt;0," "&amp;MOD(ROUND(((TDBC-$U368)*24),0),24)&amp;" giờ",""))),"Còn "&amp;IF((($U368-TDBC)*24)&lt;1,MAX(1,ROUND((($U368-TDBC)*24)*60,0))&amp;" phút",IF(ROUND((($U368-TDBC)*24),0)&lt;24,ROUND((($U368-TDBC)*24),0)&amp;" giờ",INT(ROUND((($U368-TDBC)*24),0)/24)&amp;" ngày"&amp;IF(MOD(ROUND((($U368-TDBC)*24),0),24)&gt;0," "&amp;MOD(ROUND((($U368-TDBC)*24),0),24)&amp;" giờ","")))))</f>
      </c>
      <c r="AA368" s="220">
        <f>IF($V368="Đã xử lý",_xlfn.MAXIFS('Nhật ký tiến độ'!$B$6:$B$3005,'Nhật ký tiến độ'!$C$6:$C$3005,$A368,'Nhật ký tiến độ'!$E$6:$E$3005,"Đã xử lý"),"")</f>
      </c>
      <c r="AB368" s="223">
        <f>IF($AI368="","",IF($AI368&lt;1,MAX(1,ROUND($AI368*60,0))&amp;" phút",IF(ROUND($AI368,0)&lt;24,ROUND($AI368,0)&amp;" giờ",INT(ROUND($AI368,0)/24)&amp;" ngày"&amp;IF(MOD(ROUND($AI368,0),24)&gt;0," "&amp;MOD(ROUND($AI368,0),24)&amp;" giờ",""))))</f>
      </c>
      <c r="AC368" s="223">
        <f>IF(OR($A368="",N($AH368)=0),"",IF($AI368&lt;&gt;"",IF($AI368&lt;=$AH368,"Trong ước tính","Vượt "&amp;IF(($AI368-$AH368)&lt;1,MAX(1,ROUND(($AI368-$AH368)*60,0))&amp;" phút",IF(ROUND(($AI368-$AH368),0)&lt;24,ROUND(($AI368-$AH368),0)&amp;" giờ",INT(ROUND(($AI368-$AH368),0)/24)&amp;" ngày"&amp;IF(MOD(ROUND(($AI368-$AH368),0),24)&gt;0," "&amp;MOD(ROUND(($AI368-$AH368),0),24)&amp;" giờ","")))),IF(OR($V368="Đã xử lý",N($B368)=0),"",IF((TDBC-$B368)*24&gt;$AH368,"Đã vượt ước tính","Đã dùng "&amp;TEXT((TDBC-$B368)*24/$AH368,"0%")))))</f>
      </c>
      <c r="AD368" s="223">
        <f>IF(N($AO368)=0,"",CHOOSE($AO368,"Nhắc nhở","Cảnh báo","Báo động","Báo động đỏ"))</f>
      </c>
      <c r="AE368" s="223">
        <f>IF(OR(N($AA368)=0,N($U368)=0),"",IF($AA368&lt;=$U368,"Đúng hạn","Trễ hạn"))</f>
      </c>
      <c r="AF368" s="220">
        <f>IF($A368="","",_xlfn.MAXIFS('Nhật ký tiến độ'!$B$6:$B$3005,'Nhật ký tiến độ'!$C$6:$C$3005,$A368))</f>
      </c>
      <c r="AG368" s="223">
        <f>IF($A368="","",IF(COUNTIF('Kế hoạch'!$M$6:$M$305,$A368)=0,"",COUNTIF('Kế hoạch'!$M$6:$M$305,$A368)&amp;" việc"))</f>
      </c>
      <c r="AH368" s="224">
        <f>IF(OR($A368="",N($O368)&lt;=0),"",IF($P368="Giờ",$O368,$O368*24))</f>
      </c>
      <c r="AI368" s="224">
        <f>IF(OR(N($AA368)=0,N($B368)=0),"",IF($AA368&lt;$B368,"",($AA368-$B368)*24))</f>
      </c>
      <c r="AJ368" s="225">
        <f>IF($A368="","",IF(COUNTIF('Nhật ký tiến độ'!$C$6:$C$3005,$A368)=0,0,_xlfn.MAXIFS('Nhật ký tiến độ'!$N$6:$N$3005,'Nhật ký tiến độ'!$C$6:$C$3005,$A368,'Nhật ký tiến độ'!$B$6:$B$3005,_xlfn.MAXIFS('Nhật ký tiến độ'!$B$6:$B$3005,'Nhật ký tiến độ'!$C$6:$C$3005,$A368))))</f>
      </c>
      <c r="AK368" s="225">
        <f>IF(OR($A368="",$V368="Đã xử lý"),"",IF(N($AO368)&gt;0,5-$AO368,IF($J368="Khẩn cấp",5,IF($Y368="Chậm tiến độ",6,IF(OR($Y368="Sắp đến hạn",$J368="Cao"),7,"")))))</f>
      </c>
      <c r="AL368" s="225">
        <f>IF($AK368="","",$AK368*100000+IF(N($U368)=0,99999,INT($U368))+ROW()/100000)</f>
      </c>
      <c r="AM368" s="225">
        <f>IF(OR($A368="",TRIM($K368)="",COUNTIF($K$6:$K368,$K368)&gt;1),0,1)</f>
      </c>
      <c r="AN368" s="225">
        <f>IF($AM368=1,SUM($AM$6:$AM368),"")</f>
      </c>
      <c r="AO368" s="225">
        <f>IF(OR($A368="",$V368="Đã xử lý",N($U368)=0),0,IF(TDBC&lt;=$U368,0,MAX(1,MIN(4,IF((TDBC-$U368)*24&lt;24,1,IF((TDBC-$U368)*24&lt;72,2,IF((TDBC-$U368)*24&lt;168,3,4)))+IFERROR(INDEX({2,1,0,-1},MATCH($J368,{"Khẩn cấp","Cao","Trung bình","Thấp"},0)),0)))))</f>
      </c>
    </row>
    <row r="369">
      <c r="A369" s="216"/>
      <c r="B369" s="217"/>
      <c r="C369" s="218"/>
      <c r="D369" s="218"/>
      <c r="E369" s="218"/>
      <c r="F369" s="218"/>
      <c r="G369" s="216"/>
      <c r="H369" s="218"/>
      <c r="I369" s="218"/>
      <c r="J369" s="216"/>
      <c r="K369" s="218"/>
      <c r="L369" s="218"/>
      <c r="M369" s="218"/>
      <c r="N369" s="218"/>
      <c r="O369" s="219"/>
      <c r="P369" s="216"/>
      <c r="Q369" s="217"/>
      <c r="R369" s="216"/>
      <c r="S369" s="218"/>
      <c r="T369" s="218"/>
      <c r="U369" s="220">
        <f>IF($A369="","",IF(N($Q369)&gt;0,IF(MOD($Q369,1)=0,$Q369+1-1/1440,$Q369),IF(N($B369)=0,"",$B369+IF(N($AH369)&gt;0,$AH369,IFERROR(INDEX(DM_SLA_Gio,MATCH($J369,DM_SLA_Cap,0)),168))/24)))</f>
      </c>
      <c r="V369" s="221">
        <f>IF($A369="","",IF(N($AJ369)=0,"Mới tiếp nhận",INDEX('Nhật ký tiến độ'!$E:$E,$AJ369)))</f>
      </c>
      <c r="W369" s="222">
        <f>IF($A369="","",IF($V369="Đã xử lý",1,IF(N($AJ369)=0,0,N(INDEX('Nhật ký tiến độ'!$D:$D,$AJ369)))))</f>
      </c>
      <c r="X369" s="222">
        <f>IF(OR($A369="",$V369="Đã xử lý",N($U369)=0,N($B369)=0),"",IF(TDBC&lt;=$B369,0,IF(TDBC&gt;=$U369,1,(TDBC-$B369)/($U369-$B369))))</f>
      </c>
      <c r="Y369" s="223">
        <f>IF($A369="","",IF($V369="Đã xử lý","Hoàn thành",IF(N($U369)=0,"Chưa đặt hạn",IF(TDBC&gt;$U369,"Quá hạn",IF(ROUND((N($X369)-$W369)*100,0)&gt;=20,"Chậm tiến độ",IF($U369-TDBC&lt;=1,"Sắp đến hạn","Đúng tiến độ"))))))</f>
      </c>
      <c r="Z369" s="223">
        <f>IF(OR($A369="",$V369="Đã xử lý",N($U369)=0),"",IF(TDBC&gt;$U369,"Quá "&amp;IF(((TDBC-$U369)*24)&lt;1,MAX(1,ROUND(((TDBC-$U369)*24)*60,0))&amp;" phút",IF(ROUND(((TDBC-$U369)*24),0)&lt;24,ROUND(((TDBC-$U369)*24),0)&amp;" giờ",INT(ROUND(((TDBC-$U369)*24),0)/24)&amp;" ngày"&amp;IF(MOD(ROUND(((TDBC-$U369)*24),0),24)&gt;0," "&amp;MOD(ROUND(((TDBC-$U369)*24),0),24)&amp;" giờ",""))),"Còn "&amp;IF((($U369-TDBC)*24)&lt;1,MAX(1,ROUND((($U369-TDBC)*24)*60,0))&amp;" phút",IF(ROUND((($U369-TDBC)*24),0)&lt;24,ROUND((($U369-TDBC)*24),0)&amp;" giờ",INT(ROUND((($U369-TDBC)*24),0)/24)&amp;" ngày"&amp;IF(MOD(ROUND((($U369-TDBC)*24),0),24)&gt;0," "&amp;MOD(ROUND((($U369-TDBC)*24),0),24)&amp;" giờ","")))))</f>
      </c>
      <c r="AA369" s="220">
        <f>IF($V369="Đã xử lý",_xlfn.MAXIFS('Nhật ký tiến độ'!$B$6:$B$3005,'Nhật ký tiến độ'!$C$6:$C$3005,$A369,'Nhật ký tiến độ'!$E$6:$E$3005,"Đã xử lý"),"")</f>
      </c>
      <c r="AB369" s="223">
        <f>IF($AI369="","",IF($AI369&lt;1,MAX(1,ROUND($AI369*60,0))&amp;" phút",IF(ROUND($AI369,0)&lt;24,ROUND($AI369,0)&amp;" giờ",INT(ROUND($AI369,0)/24)&amp;" ngày"&amp;IF(MOD(ROUND($AI369,0),24)&gt;0," "&amp;MOD(ROUND($AI369,0),24)&amp;" giờ",""))))</f>
      </c>
      <c r="AC369" s="223">
        <f>IF(OR($A369="",N($AH369)=0),"",IF($AI369&lt;&gt;"",IF($AI369&lt;=$AH369,"Trong ước tính","Vượt "&amp;IF(($AI369-$AH369)&lt;1,MAX(1,ROUND(($AI369-$AH369)*60,0))&amp;" phút",IF(ROUND(($AI369-$AH369),0)&lt;24,ROUND(($AI369-$AH369),0)&amp;" giờ",INT(ROUND(($AI369-$AH369),0)/24)&amp;" ngày"&amp;IF(MOD(ROUND(($AI369-$AH369),0),24)&gt;0," "&amp;MOD(ROUND(($AI369-$AH369),0),24)&amp;" giờ","")))),IF(OR($V369="Đã xử lý",N($B369)=0),"",IF((TDBC-$B369)*24&gt;$AH369,"Đã vượt ước tính","Đã dùng "&amp;TEXT((TDBC-$B369)*24/$AH369,"0%")))))</f>
      </c>
      <c r="AD369" s="223">
        <f>IF(N($AO369)=0,"",CHOOSE($AO369,"Nhắc nhở","Cảnh báo","Báo động","Báo động đỏ"))</f>
      </c>
      <c r="AE369" s="223">
        <f>IF(OR(N($AA369)=0,N($U369)=0),"",IF($AA369&lt;=$U369,"Đúng hạn","Trễ hạn"))</f>
      </c>
      <c r="AF369" s="220">
        <f>IF($A369="","",_xlfn.MAXIFS('Nhật ký tiến độ'!$B$6:$B$3005,'Nhật ký tiến độ'!$C$6:$C$3005,$A369))</f>
      </c>
      <c r="AG369" s="223">
        <f>IF($A369="","",IF(COUNTIF('Kế hoạch'!$M$6:$M$305,$A369)=0,"",COUNTIF('Kế hoạch'!$M$6:$M$305,$A369)&amp;" việc"))</f>
      </c>
      <c r="AH369" s="224">
        <f>IF(OR($A369="",N($O369)&lt;=0),"",IF($P369="Giờ",$O369,$O369*24))</f>
      </c>
      <c r="AI369" s="224">
        <f>IF(OR(N($AA369)=0,N($B369)=0),"",IF($AA369&lt;$B369,"",($AA369-$B369)*24))</f>
      </c>
      <c r="AJ369" s="225">
        <f>IF($A369="","",IF(COUNTIF('Nhật ký tiến độ'!$C$6:$C$3005,$A369)=0,0,_xlfn.MAXIFS('Nhật ký tiến độ'!$N$6:$N$3005,'Nhật ký tiến độ'!$C$6:$C$3005,$A369,'Nhật ký tiến độ'!$B$6:$B$3005,_xlfn.MAXIFS('Nhật ký tiến độ'!$B$6:$B$3005,'Nhật ký tiến độ'!$C$6:$C$3005,$A369))))</f>
      </c>
      <c r="AK369" s="225">
        <f>IF(OR($A369="",$V369="Đã xử lý"),"",IF(N($AO369)&gt;0,5-$AO369,IF($J369="Khẩn cấp",5,IF($Y369="Chậm tiến độ",6,IF(OR($Y369="Sắp đến hạn",$J369="Cao"),7,"")))))</f>
      </c>
      <c r="AL369" s="225">
        <f>IF($AK369="","",$AK369*100000+IF(N($U369)=0,99999,INT($U369))+ROW()/100000)</f>
      </c>
      <c r="AM369" s="225">
        <f>IF(OR($A369="",TRIM($K369)="",COUNTIF($K$6:$K369,$K369)&gt;1),0,1)</f>
      </c>
      <c r="AN369" s="225">
        <f>IF($AM369=1,SUM($AM$6:$AM369),"")</f>
      </c>
      <c r="AO369" s="225">
        <f>IF(OR($A369="",$V369="Đã xử lý",N($U369)=0),0,IF(TDBC&lt;=$U369,0,MAX(1,MIN(4,IF((TDBC-$U369)*24&lt;24,1,IF((TDBC-$U369)*24&lt;72,2,IF((TDBC-$U369)*24&lt;168,3,4)))+IFERROR(INDEX({2,1,0,-1},MATCH($J369,{"Khẩn cấp","Cao","Trung bình","Thấp"},0)),0)))))</f>
      </c>
    </row>
    <row r="370">
      <c r="A370" s="216"/>
      <c r="B370" s="217"/>
      <c r="C370" s="218"/>
      <c r="D370" s="218"/>
      <c r="E370" s="218"/>
      <c r="F370" s="218"/>
      <c r="G370" s="216"/>
      <c r="H370" s="218"/>
      <c r="I370" s="218"/>
      <c r="J370" s="216"/>
      <c r="K370" s="218"/>
      <c r="L370" s="218"/>
      <c r="M370" s="218"/>
      <c r="N370" s="218"/>
      <c r="O370" s="219"/>
      <c r="P370" s="216"/>
      <c r="Q370" s="217"/>
      <c r="R370" s="216"/>
      <c r="S370" s="218"/>
      <c r="T370" s="218"/>
      <c r="U370" s="220">
        <f>IF($A370="","",IF(N($Q370)&gt;0,IF(MOD($Q370,1)=0,$Q370+1-1/1440,$Q370),IF(N($B370)=0,"",$B370+IF(N($AH370)&gt;0,$AH370,IFERROR(INDEX(DM_SLA_Gio,MATCH($J370,DM_SLA_Cap,0)),168))/24)))</f>
      </c>
      <c r="V370" s="221">
        <f>IF($A370="","",IF(N($AJ370)=0,"Mới tiếp nhận",INDEX('Nhật ký tiến độ'!$E:$E,$AJ370)))</f>
      </c>
      <c r="W370" s="222">
        <f>IF($A370="","",IF($V370="Đã xử lý",1,IF(N($AJ370)=0,0,N(INDEX('Nhật ký tiến độ'!$D:$D,$AJ370)))))</f>
      </c>
      <c r="X370" s="222">
        <f>IF(OR($A370="",$V370="Đã xử lý",N($U370)=0,N($B370)=0),"",IF(TDBC&lt;=$B370,0,IF(TDBC&gt;=$U370,1,(TDBC-$B370)/($U370-$B370))))</f>
      </c>
      <c r="Y370" s="223">
        <f>IF($A370="","",IF($V370="Đã xử lý","Hoàn thành",IF(N($U370)=0,"Chưa đặt hạn",IF(TDBC&gt;$U370,"Quá hạn",IF(ROUND((N($X370)-$W370)*100,0)&gt;=20,"Chậm tiến độ",IF($U370-TDBC&lt;=1,"Sắp đến hạn","Đúng tiến độ"))))))</f>
      </c>
      <c r="Z370" s="223">
        <f>IF(OR($A370="",$V370="Đã xử lý",N($U370)=0),"",IF(TDBC&gt;$U370,"Quá "&amp;IF(((TDBC-$U370)*24)&lt;1,MAX(1,ROUND(((TDBC-$U370)*24)*60,0))&amp;" phút",IF(ROUND(((TDBC-$U370)*24),0)&lt;24,ROUND(((TDBC-$U370)*24),0)&amp;" giờ",INT(ROUND(((TDBC-$U370)*24),0)/24)&amp;" ngày"&amp;IF(MOD(ROUND(((TDBC-$U370)*24),0),24)&gt;0," "&amp;MOD(ROUND(((TDBC-$U370)*24),0),24)&amp;" giờ",""))),"Còn "&amp;IF((($U370-TDBC)*24)&lt;1,MAX(1,ROUND((($U370-TDBC)*24)*60,0))&amp;" phút",IF(ROUND((($U370-TDBC)*24),0)&lt;24,ROUND((($U370-TDBC)*24),0)&amp;" giờ",INT(ROUND((($U370-TDBC)*24),0)/24)&amp;" ngày"&amp;IF(MOD(ROUND((($U370-TDBC)*24),0),24)&gt;0," "&amp;MOD(ROUND((($U370-TDBC)*24),0),24)&amp;" giờ","")))))</f>
      </c>
      <c r="AA370" s="220">
        <f>IF($V370="Đã xử lý",_xlfn.MAXIFS('Nhật ký tiến độ'!$B$6:$B$3005,'Nhật ký tiến độ'!$C$6:$C$3005,$A370,'Nhật ký tiến độ'!$E$6:$E$3005,"Đã xử lý"),"")</f>
      </c>
      <c r="AB370" s="223">
        <f>IF($AI370="","",IF($AI370&lt;1,MAX(1,ROUND($AI370*60,0))&amp;" phút",IF(ROUND($AI370,0)&lt;24,ROUND($AI370,0)&amp;" giờ",INT(ROUND($AI370,0)/24)&amp;" ngày"&amp;IF(MOD(ROUND($AI370,0),24)&gt;0," "&amp;MOD(ROUND($AI370,0),24)&amp;" giờ",""))))</f>
      </c>
      <c r="AC370" s="223">
        <f>IF(OR($A370="",N($AH370)=0),"",IF($AI370&lt;&gt;"",IF($AI370&lt;=$AH370,"Trong ước tính","Vượt "&amp;IF(($AI370-$AH370)&lt;1,MAX(1,ROUND(($AI370-$AH370)*60,0))&amp;" phút",IF(ROUND(($AI370-$AH370),0)&lt;24,ROUND(($AI370-$AH370),0)&amp;" giờ",INT(ROUND(($AI370-$AH370),0)/24)&amp;" ngày"&amp;IF(MOD(ROUND(($AI370-$AH370),0),24)&gt;0," "&amp;MOD(ROUND(($AI370-$AH370),0),24)&amp;" giờ","")))),IF(OR($V370="Đã xử lý",N($B370)=0),"",IF((TDBC-$B370)*24&gt;$AH370,"Đã vượt ước tính","Đã dùng "&amp;TEXT((TDBC-$B370)*24/$AH370,"0%")))))</f>
      </c>
      <c r="AD370" s="223">
        <f>IF(N($AO370)=0,"",CHOOSE($AO370,"Nhắc nhở","Cảnh báo","Báo động","Báo động đỏ"))</f>
      </c>
      <c r="AE370" s="223">
        <f>IF(OR(N($AA370)=0,N($U370)=0),"",IF($AA370&lt;=$U370,"Đúng hạn","Trễ hạn"))</f>
      </c>
      <c r="AF370" s="220">
        <f>IF($A370="","",_xlfn.MAXIFS('Nhật ký tiến độ'!$B$6:$B$3005,'Nhật ký tiến độ'!$C$6:$C$3005,$A370))</f>
      </c>
      <c r="AG370" s="223">
        <f>IF($A370="","",IF(COUNTIF('Kế hoạch'!$M$6:$M$305,$A370)=0,"",COUNTIF('Kế hoạch'!$M$6:$M$305,$A370)&amp;" việc"))</f>
      </c>
      <c r="AH370" s="224">
        <f>IF(OR($A370="",N($O370)&lt;=0),"",IF($P370="Giờ",$O370,$O370*24))</f>
      </c>
      <c r="AI370" s="224">
        <f>IF(OR(N($AA370)=0,N($B370)=0),"",IF($AA370&lt;$B370,"",($AA370-$B370)*24))</f>
      </c>
      <c r="AJ370" s="225">
        <f>IF($A370="","",IF(COUNTIF('Nhật ký tiến độ'!$C$6:$C$3005,$A370)=0,0,_xlfn.MAXIFS('Nhật ký tiến độ'!$N$6:$N$3005,'Nhật ký tiến độ'!$C$6:$C$3005,$A370,'Nhật ký tiến độ'!$B$6:$B$3005,_xlfn.MAXIFS('Nhật ký tiến độ'!$B$6:$B$3005,'Nhật ký tiến độ'!$C$6:$C$3005,$A370))))</f>
      </c>
      <c r="AK370" s="225">
        <f>IF(OR($A370="",$V370="Đã xử lý"),"",IF(N($AO370)&gt;0,5-$AO370,IF($J370="Khẩn cấp",5,IF($Y370="Chậm tiến độ",6,IF(OR($Y370="Sắp đến hạn",$J370="Cao"),7,"")))))</f>
      </c>
      <c r="AL370" s="225">
        <f>IF($AK370="","",$AK370*100000+IF(N($U370)=0,99999,INT($U370))+ROW()/100000)</f>
      </c>
      <c r="AM370" s="225">
        <f>IF(OR($A370="",TRIM($K370)="",COUNTIF($K$6:$K370,$K370)&gt;1),0,1)</f>
      </c>
      <c r="AN370" s="225">
        <f>IF($AM370=1,SUM($AM$6:$AM370),"")</f>
      </c>
      <c r="AO370" s="225">
        <f>IF(OR($A370="",$V370="Đã xử lý",N($U370)=0),0,IF(TDBC&lt;=$U370,0,MAX(1,MIN(4,IF((TDBC-$U370)*24&lt;24,1,IF((TDBC-$U370)*24&lt;72,2,IF((TDBC-$U370)*24&lt;168,3,4)))+IFERROR(INDEX({2,1,0,-1},MATCH($J370,{"Khẩn cấp","Cao","Trung bình","Thấp"},0)),0)))))</f>
      </c>
    </row>
    <row r="371">
      <c r="A371" s="216"/>
      <c r="B371" s="217"/>
      <c r="C371" s="218"/>
      <c r="D371" s="218"/>
      <c r="E371" s="218"/>
      <c r="F371" s="218"/>
      <c r="G371" s="216"/>
      <c r="H371" s="218"/>
      <c r="I371" s="218"/>
      <c r="J371" s="216"/>
      <c r="K371" s="218"/>
      <c r="L371" s="218"/>
      <c r="M371" s="218"/>
      <c r="N371" s="218"/>
      <c r="O371" s="219"/>
      <c r="P371" s="216"/>
      <c r="Q371" s="217"/>
      <c r="R371" s="216"/>
      <c r="S371" s="218"/>
      <c r="T371" s="218"/>
      <c r="U371" s="220">
        <f>IF($A371="","",IF(N($Q371)&gt;0,IF(MOD($Q371,1)=0,$Q371+1-1/1440,$Q371),IF(N($B371)=0,"",$B371+IF(N($AH371)&gt;0,$AH371,IFERROR(INDEX(DM_SLA_Gio,MATCH($J371,DM_SLA_Cap,0)),168))/24)))</f>
      </c>
      <c r="V371" s="221">
        <f>IF($A371="","",IF(N($AJ371)=0,"Mới tiếp nhận",INDEX('Nhật ký tiến độ'!$E:$E,$AJ371)))</f>
      </c>
      <c r="W371" s="222">
        <f>IF($A371="","",IF($V371="Đã xử lý",1,IF(N($AJ371)=0,0,N(INDEX('Nhật ký tiến độ'!$D:$D,$AJ371)))))</f>
      </c>
      <c r="X371" s="222">
        <f>IF(OR($A371="",$V371="Đã xử lý",N($U371)=0,N($B371)=0),"",IF(TDBC&lt;=$B371,0,IF(TDBC&gt;=$U371,1,(TDBC-$B371)/($U371-$B371))))</f>
      </c>
      <c r="Y371" s="223">
        <f>IF($A371="","",IF($V371="Đã xử lý","Hoàn thành",IF(N($U371)=0,"Chưa đặt hạn",IF(TDBC&gt;$U371,"Quá hạn",IF(ROUND((N($X371)-$W371)*100,0)&gt;=20,"Chậm tiến độ",IF($U371-TDBC&lt;=1,"Sắp đến hạn","Đúng tiến độ"))))))</f>
      </c>
      <c r="Z371" s="223">
        <f>IF(OR($A371="",$V371="Đã xử lý",N($U371)=0),"",IF(TDBC&gt;$U371,"Quá "&amp;IF(((TDBC-$U371)*24)&lt;1,MAX(1,ROUND(((TDBC-$U371)*24)*60,0))&amp;" phút",IF(ROUND(((TDBC-$U371)*24),0)&lt;24,ROUND(((TDBC-$U371)*24),0)&amp;" giờ",INT(ROUND(((TDBC-$U371)*24),0)/24)&amp;" ngày"&amp;IF(MOD(ROUND(((TDBC-$U371)*24),0),24)&gt;0," "&amp;MOD(ROUND(((TDBC-$U371)*24),0),24)&amp;" giờ",""))),"Còn "&amp;IF((($U371-TDBC)*24)&lt;1,MAX(1,ROUND((($U371-TDBC)*24)*60,0))&amp;" phút",IF(ROUND((($U371-TDBC)*24),0)&lt;24,ROUND((($U371-TDBC)*24),0)&amp;" giờ",INT(ROUND((($U371-TDBC)*24),0)/24)&amp;" ngày"&amp;IF(MOD(ROUND((($U371-TDBC)*24),0),24)&gt;0," "&amp;MOD(ROUND((($U371-TDBC)*24),0),24)&amp;" giờ","")))))</f>
      </c>
      <c r="AA371" s="220">
        <f>IF($V371="Đã xử lý",_xlfn.MAXIFS('Nhật ký tiến độ'!$B$6:$B$3005,'Nhật ký tiến độ'!$C$6:$C$3005,$A371,'Nhật ký tiến độ'!$E$6:$E$3005,"Đã xử lý"),"")</f>
      </c>
      <c r="AB371" s="223">
        <f>IF($AI371="","",IF($AI371&lt;1,MAX(1,ROUND($AI371*60,0))&amp;" phút",IF(ROUND($AI371,0)&lt;24,ROUND($AI371,0)&amp;" giờ",INT(ROUND($AI371,0)/24)&amp;" ngày"&amp;IF(MOD(ROUND($AI371,0),24)&gt;0," "&amp;MOD(ROUND($AI371,0),24)&amp;" giờ",""))))</f>
      </c>
      <c r="AC371" s="223">
        <f>IF(OR($A371="",N($AH371)=0),"",IF($AI371&lt;&gt;"",IF($AI371&lt;=$AH371,"Trong ước tính","Vượt "&amp;IF(($AI371-$AH371)&lt;1,MAX(1,ROUND(($AI371-$AH371)*60,0))&amp;" phút",IF(ROUND(($AI371-$AH371),0)&lt;24,ROUND(($AI371-$AH371),0)&amp;" giờ",INT(ROUND(($AI371-$AH371),0)/24)&amp;" ngày"&amp;IF(MOD(ROUND(($AI371-$AH371),0),24)&gt;0," "&amp;MOD(ROUND(($AI371-$AH371),0),24)&amp;" giờ","")))),IF(OR($V371="Đã xử lý",N($B371)=0),"",IF((TDBC-$B371)*24&gt;$AH371,"Đã vượt ước tính","Đã dùng "&amp;TEXT((TDBC-$B371)*24/$AH371,"0%")))))</f>
      </c>
      <c r="AD371" s="223">
        <f>IF(N($AO371)=0,"",CHOOSE($AO371,"Nhắc nhở","Cảnh báo","Báo động","Báo động đỏ"))</f>
      </c>
      <c r="AE371" s="223">
        <f>IF(OR(N($AA371)=0,N($U371)=0),"",IF($AA371&lt;=$U371,"Đúng hạn","Trễ hạn"))</f>
      </c>
      <c r="AF371" s="220">
        <f>IF($A371="","",_xlfn.MAXIFS('Nhật ký tiến độ'!$B$6:$B$3005,'Nhật ký tiến độ'!$C$6:$C$3005,$A371))</f>
      </c>
      <c r="AG371" s="223">
        <f>IF($A371="","",IF(COUNTIF('Kế hoạch'!$M$6:$M$305,$A371)=0,"",COUNTIF('Kế hoạch'!$M$6:$M$305,$A371)&amp;" việc"))</f>
      </c>
      <c r="AH371" s="224">
        <f>IF(OR($A371="",N($O371)&lt;=0),"",IF($P371="Giờ",$O371,$O371*24))</f>
      </c>
      <c r="AI371" s="224">
        <f>IF(OR(N($AA371)=0,N($B371)=0),"",IF($AA371&lt;$B371,"",($AA371-$B371)*24))</f>
      </c>
      <c r="AJ371" s="225">
        <f>IF($A371="","",IF(COUNTIF('Nhật ký tiến độ'!$C$6:$C$3005,$A371)=0,0,_xlfn.MAXIFS('Nhật ký tiến độ'!$N$6:$N$3005,'Nhật ký tiến độ'!$C$6:$C$3005,$A371,'Nhật ký tiến độ'!$B$6:$B$3005,_xlfn.MAXIFS('Nhật ký tiến độ'!$B$6:$B$3005,'Nhật ký tiến độ'!$C$6:$C$3005,$A371))))</f>
      </c>
      <c r="AK371" s="225">
        <f>IF(OR($A371="",$V371="Đã xử lý"),"",IF(N($AO371)&gt;0,5-$AO371,IF($J371="Khẩn cấp",5,IF($Y371="Chậm tiến độ",6,IF(OR($Y371="Sắp đến hạn",$J371="Cao"),7,"")))))</f>
      </c>
      <c r="AL371" s="225">
        <f>IF($AK371="","",$AK371*100000+IF(N($U371)=0,99999,INT($U371))+ROW()/100000)</f>
      </c>
      <c r="AM371" s="225">
        <f>IF(OR($A371="",TRIM($K371)="",COUNTIF($K$6:$K371,$K371)&gt;1),0,1)</f>
      </c>
      <c r="AN371" s="225">
        <f>IF($AM371=1,SUM($AM$6:$AM371),"")</f>
      </c>
      <c r="AO371" s="225">
        <f>IF(OR($A371="",$V371="Đã xử lý",N($U371)=0),0,IF(TDBC&lt;=$U371,0,MAX(1,MIN(4,IF((TDBC-$U371)*24&lt;24,1,IF((TDBC-$U371)*24&lt;72,2,IF((TDBC-$U371)*24&lt;168,3,4)))+IFERROR(INDEX({2,1,0,-1},MATCH($J371,{"Khẩn cấp","Cao","Trung bình","Thấp"},0)),0)))))</f>
      </c>
    </row>
    <row r="372">
      <c r="A372" s="216"/>
      <c r="B372" s="217"/>
      <c r="C372" s="218"/>
      <c r="D372" s="218"/>
      <c r="E372" s="218"/>
      <c r="F372" s="218"/>
      <c r="G372" s="216"/>
      <c r="H372" s="218"/>
      <c r="I372" s="218"/>
      <c r="J372" s="216"/>
      <c r="K372" s="218"/>
      <c r="L372" s="218"/>
      <c r="M372" s="218"/>
      <c r="N372" s="218"/>
      <c r="O372" s="219"/>
      <c r="P372" s="216"/>
      <c r="Q372" s="217"/>
      <c r="R372" s="216"/>
      <c r="S372" s="218"/>
      <c r="T372" s="218"/>
      <c r="U372" s="220">
        <f>IF($A372="","",IF(N($Q372)&gt;0,IF(MOD($Q372,1)=0,$Q372+1-1/1440,$Q372),IF(N($B372)=0,"",$B372+IF(N($AH372)&gt;0,$AH372,IFERROR(INDEX(DM_SLA_Gio,MATCH($J372,DM_SLA_Cap,0)),168))/24)))</f>
      </c>
      <c r="V372" s="221">
        <f>IF($A372="","",IF(N($AJ372)=0,"Mới tiếp nhận",INDEX('Nhật ký tiến độ'!$E:$E,$AJ372)))</f>
      </c>
      <c r="W372" s="222">
        <f>IF($A372="","",IF($V372="Đã xử lý",1,IF(N($AJ372)=0,0,N(INDEX('Nhật ký tiến độ'!$D:$D,$AJ372)))))</f>
      </c>
      <c r="X372" s="222">
        <f>IF(OR($A372="",$V372="Đã xử lý",N($U372)=0,N($B372)=0),"",IF(TDBC&lt;=$B372,0,IF(TDBC&gt;=$U372,1,(TDBC-$B372)/($U372-$B372))))</f>
      </c>
      <c r="Y372" s="223">
        <f>IF($A372="","",IF($V372="Đã xử lý","Hoàn thành",IF(N($U372)=0,"Chưa đặt hạn",IF(TDBC&gt;$U372,"Quá hạn",IF(ROUND((N($X372)-$W372)*100,0)&gt;=20,"Chậm tiến độ",IF($U372-TDBC&lt;=1,"Sắp đến hạn","Đúng tiến độ"))))))</f>
      </c>
      <c r="Z372" s="223">
        <f>IF(OR($A372="",$V372="Đã xử lý",N($U372)=0),"",IF(TDBC&gt;$U372,"Quá "&amp;IF(((TDBC-$U372)*24)&lt;1,MAX(1,ROUND(((TDBC-$U372)*24)*60,0))&amp;" phút",IF(ROUND(((TDBC-$U372)*24),0)&lt;24,ROUND(((TDBC-$U372)*24),0)&amp;" giờ",INT(ROUND(((TDBC-$U372)*24),0)/24)&amp;" ngày"&amp;IF(MOD(ROUND(((TDBC-$U372)*24),0),24)&gt;0," "&amp;MOD(ROUND(((TDBC-$U372)*24),0),24)&amp;" giờ",""))),"Còn "&amp;IF((($U372-TDBC)*24)&lt;1,MAX(1,ROUND((($U372-TDBC)*24)*60,0))&amp;" phút",IF(ROUND((($U372-TDBC)*24),0)&lt;24,ROUND((($U372-TDBC)*24),0)&amp;" giờ",INT(ROUND((($U372-TDBC)*24),0)/24)&amp;" ngày"&amp;IF(MOD(ROUND((($U372-TDBC)*24),0),24)&gt;0," "&amp;MOD(ROUND((($U372-TDBC)*24),0),24)&amp;" giờ","")))))</f>
      </c>
      <c r="AA372" s="220">
        <f>IF($V372="Đã xử lý",_xlfn.MAXIFS('Nhật ký tiến độ'!$B$6:$B$3005,'Nhật ký tiến độ'!$C$6:$C$3005,$A372,'Nhật ký tiến độ'!$E$6:$E$3005,"Đã xử lý"),"")</f>
      </c>
      <c r="AB372" s="223">
        <f>IF($AI372="","",IF($AI372&lt;1,MAX(1,ROUND($AI372*60,0))&amp;" phút",IF(ROUND($AI372,0)&lt;24,ROUND($AI372,0)&amp;" giờ",INT(ROUND($AI372,0)/24)&amp;" ngày"&amp;IF(MOD(ROUND($AI372,0),24)&gt;0," "&amp;MOD(ROUND($AI372,0),24)&amp;" giờ",""))))</f>
      </c>
      <c r="AC372" s="223">
        <f>IF(OR($A372="",N($AH372)=0),"",IF($AI372&lt;&gt;"",IF($AI372&lt;=$AH372,"Trong ước tính","Vượt "&amp;IF(($AI372-$AH372)&lt;1,MAX(1,ROUND(($AI372-$AH372)*60,0))&amp;" phút",IF(ROUND(($AI372-$AH372),0)&lt;24,ROUND(($AI372-$AH372),0)&amp;" giờ",INT(ROUND(($AI372-$AH372),0)/24)&amp;" ngày"&amp;IF(MOD(ROUND(($AI372-$AH372),0),24)&gt;0," "&amp;MOD(ROUND(($AI372-$AH372),0),24)&amp;" giờ","")))),IF(OR($V372="Đã xử lý",N($B372)=0),"",IF((TDBC-$B372)*24&gt;$AH372,"Đã vượt ước tính","Đã dùng "&amp;TEXT((TDBC-$B372)*24/$AH372,"0%")))))</f>
      </c>
      <c r="AD372" s="223">
        <f>IF(N($AO372)=0,"",CHOOSE($AO372,"Nhắc nhở","Cảnh báo","Báo động","Báo động đỏ"))</f>
      </c>
      <c r="AE372" s="223">
        <f>IF(OR(N($AA372)=0,N($U372)=0),"",IF($AA372&lt;=$U372,"Đúng hạn","Trễ hạn"))</f>
      </c>
      <c r="AF372" s="220">
        <f>IF($A372="","",_xlfn.MAXIFS('Nhật ký tiến độ'!$B$6:$B$3005,'Nhật ký tiến độ'!$C$6:$C$3005,$A372))</f>
      </c>
      <c r="AG372" s="223">
        <f>IF($A372="","",IF(COUNTIF('Kế hoạch'!$M$6:$M$305,$A372)=0,"",COUNTIF('Kế hoạch'!$M$6:$M$305,$A372)&amp;" việc"))</f>
      </c>
      <c r="AH372" s="224">
        <f>IF(OR($A372="",N($O372)&lt;=0),"",IF($P372="Giờ",$O372,$O372*24))</f>
      </c>
      <c r="AI372" s="224">
        <f>IF(OR(N($AA372)=0,N($B372)=0),"",IF($AA372&lt;$B372,"",($AA372-$B372)*24))</f>
      </c>
      <c r="AJ372" s="225">
        <f>IF($A372="","",IF(COUNTIF('Nhật ký tiến độ'!$C$6:$C$3005,$A372)=0,0,_xlfn.MAXIFS('Nhật ký tiến độ'!$N$6:$N$3005,'Nhật ký tiến độ'!$C$6:$C$3005,$A372,'Nhật ký tiến độ'!$B$6:$B$3005,_xlfn.MAXIFS('Nhật ký tiến độ'!$B$6:$B$3005,'Nhật ký tiến độ'!$C$6:$C$3005,$A372))))</f>
      </c>
      <c r="AK372" s="225">
        <f>IF(OR($A372="",$V372="Đã xử lý"),"",IF(N($AO372)&gt;0,5-$AO372,IF($J372="Khẩn cấp",5,IF($Y372="Chậm tiến độ",6,IF(OR($Y372="Sắp đến hạn",$J372="Cao"),7,"")))))</f>
      </c>
      <c r="AL372" s="225">
        <f>IF($AK372="","",$AK372*100000+IF(N($U372)=0,99999,INT($U372))+ROW()/100000)</f>
      </c>
      <c r="AM372" s="225">
        <f>IF(OR($A372="",TRIM($K372)="",COUNTIF($K$6:$K372,$K372)&gt;1),0,1)</f>
      </c>
      <c r="AN372" s="225">
        <f>IF($AM372=1,SUM($AM$6:$AM372),"")</f>
      </c>
      <c r="AO372" s="225">
        <f>IF(OR($A372="",$V372="Đã xử lý",N($U372)=0),0,IF(TDBC&lt;=$U372,0,MAX(1,MIN(4,IF((TDBC-$U372)*24&lt;24,1,IF((TDBC-$U372)*24&lt;72,2,IF((TDBC-$U372)*24&lt;168,3,4)))+IFERROR(INDEX({2,1,0,-1},MATCH($J372,{"Khẩn cấp","Cao","Trung bình","Thấp"},0)),0)))))</f>
      </c>
    </row>
    <row r="373">
      <c r="A373" s="216"/>
      <c r="B373" s="217"/>
      <c r="C373" s="218"/>
      <c r="D373" s="218"/>
      <c r="E373" s="218"/>
      <c r="F373" s="218"/>
      <c r="G373" s="216"/>
      <c r="H373" s="218"/>
      <c r="I373" s="218"/>
      <c r="J373" s="216"/>
      <c r="K373" s="218"/>
      <c r="L373" s="218"/>
      <c r="M373" s="218"/>
      <c r="N373" s="218"/>
      <c r="O373" s="219"/>
      <c r="P373" s="216"/>
      <c r="Q373" s="217"/>
      <c r="R373" s="216"/>
      <c r="S373" s="218"/>
      <c r="T373" s="218"/>
      <c r="U373" s="220">
        <f>IF($A373="","",IF(N($Q373)&gt;0,IF(MOD($Q373,1)=0,$Q373+1-1/1440,$Q373),IF(N($B373)=0,"",$B373+IF(N($AH373)&gt;0,$AH373,IFERROR(INDEX(DM_SLA_Gio,MATCH($J373,DM_SLA_Cap,0)),168))/24)))</f>
      </c>
      <c r="V373" s="221">
        <f>IF($A373="","",IF(N($AJ373)=0,"Mới tiếp nhận",INDEX('Nhật ký tiến độ'!$E:$E,$AJ373)))</f>
      </c>
      <c r="W373" s="222">
        <f>IF($A373="","",IF($V373="Đã xử lý",1,IF(N($AJ373)=0,0,N(INDEX('Nhật ký tiến độ'!$D:$D,$AJ373)))))</f>
      </c>
      <c r="X373" s="222">
        <f>IF(OR($A373="",$V373="Đã xử lý",N($U373)=0,N($B373)=0),"",IF(TDBC&lt;=$B373,0,IF(TDBC&gt;=$U373,1,(TDBC-$B373)/($U373-$B373))))</f>
      </c>
      <c r="Y373" s="223">
        <f>IF($A373="","",IF($V373="Đã xử lý","Hoàn thành",IF(N($U373)=0,"Chưa đặt hạn",IF(TDBC&gt;$U373,"Quá hạn",IF(ROUND((N($X373)-$W373)*100,0)&gt;=20,"Chậm tiến độ",IF($U373-TDBC&lt;=1,"Sắp đến hạn","Đúng tiến độ"))))))</f>
      </c>
      <c r="Z373" s="223">
        <f>IF(OR($A373="",$V373="Đã xử lý",N($U373)=0),"",IF(TDBC&gt;$U373,"Quá "&amp;IF(((TDBC-$U373)*24)&lt;1,MAX(1,ROUND(((TDBC-$U373)*24)*60,0))&amp;" phút",IF(ROUND(((TDBC-$U373)*24),0)&lt;24,ROUND(((TDBC-$U373)*24),0)&amp;" giờ",INT(ROUND(((TDBC-$U373)*24),0)/24)&amp;" ngày"&amp;IF(MOD(ROUND(((TDBC-$U373)*24),0),24)&gt;0," "&amp;MOD(ROUND(((TDBC-$U373)*24),0),24)&amp;" giờ",""))),"Còn "&amp;IF((($U373-TDBC)*24)&lt;1,MAX(1,ROUND((($U373-TDBC)*24)*60,0))&amp;" phút",IF(ROUND((($U373-TDBC)*24),0)&lt;24,ROUND((($U373-TDBC)*24),0)&amp;" giờ",INT(ROUND((($U373-TDBC)*24),0)/24)&amp;" ngày"&amp;IF(MOD(ROUND((($U373-TDBC)*24),0),24)&gt;0," "&amp;MOD(ROUND((($U373-TDBC)*24),0),24)&amp;" giờ","")))))</f>
      </c>
      <c r="AA373" s="220">
        <f>IF($V373="Đã xử lý",_xlfn.MAXIFS('Nhật ký tiến độ'!$B$6:$B$3005,'Nhật ký tiến độ'!$C$6:$C$3005,$A373,'Nhật ký tiến độ'!$E$6:$E$3005,"Đã xử lý"),"")</f>
      </c>
      <c r="AB373" s="223">
        <f>IF($AI373="","",IF($AI373&lt;1,MAX(1,ROUND($AI373*60,0))&amp;" phút",IF(ROUND($AI373,0)&lt;24,ROUND($AI373,0)&amp;" giờ",INT(ROUND($AI373,0)/24)&amp;" ngày"&amp;IF(MOD(ROUND($AI373,0),24)&gt;0," "&amp;MOD(ROUND($AI373,0),24)&amp;" giờ",""))))</f>
      </c>
      <c r="AC373" s="223">
        <f>IF(OR($A373="",N($AH373)=0),"",IF($AI373&lt;&gt;"",IF($AI373&lt;=$AH373,"Trong ước tính","Vượt "&amp;IF(($AI373-$AH373)&lt;1,MAX(1,ROUND(($AI373-$AH373)*60,0))&amp;" phút",IF(ROUND(($AI373-$AH373),0)&lt;24,ROUND(($AI373-$AH373),0)&amp;" giờ",INT(ROUND(($AI373-$AH373),0)/24)&amp;" ngày"&amp;IF(MOD(ROUND(($AI373-$AH373),0),24)&gt;0," "&amp;MOD(ROUND(($AI373-$AH373),0),24)&amp;" giờ","")))),IF(OR($V373="Đã xử lý",N($B373)=0),"",IF((TDBC-$B373)*24&gt;$AH373,"Đã vượt ước tính","Đã dùng "&amp;TEXT((TDBC-$B373)*24/$AH373,"0%")))))</f>
      </c>
      <c r="AD373" s="223">
        <f>IF(N($AO373)=0,"",CHOOSE($AO373,"Nhắc nhở","Cảnh báo","Báo động","Báo động đỏ"))</f>
      </c>
      <c r="AE373" s="223">
        <f>IF(OR(N($AA373)=0,N($U373)=0),"",IF($AA373&lt;=$U373,"Đúng hạn","Trễ hạn"))</f>
      </c>
      <c r="AF373" s="220">
        <f>IF($A373="","",_xlfn.MAXIFS('Nhật ký tiến độ'!$B$6:$B$3005,'Nhật ký tiến độ'!$C$6:$C$3005,$A373))</f>
      </c>
      <c r="AG373" s="223">
        <f>IF($A373="","",IF(COUNTIF('Kế hoạch'!$M$6:$M$305,$A373)=0,"",COUNTIF('Kế hoạch'!$M$6:$M$305,$A373)&amp;" việc"))</f>
      </c>
      <c r="AH373" s="224">
        <f>IF(OR($A373="",N($O373)&lt;=0),"",IF($P373="Giờ",$O373,$O373*24))</f>
      </c>
      <c r="AI373" s="224">
        <f>IF(OR(N($AA373)=0,N($B373)=0),"",IF($AA373&lt;$B373,"",($AA373-$B373)*24))</f>
      </c>
      <c r="AJ373" s="225">
        <f>IF($A373="","",IF(COUNTIF('Nhật ký tiến độ'!$C$6:$C$3005,$A373)=0,0,_xlfn.MAXIFS('Nhật ký tiến độ'!$N$6:$N$3005,'Nhật ký tiến độ'!$C$6:$C$3005,$A373,'Nhật ký tiến độ'!$B$6:$B$3005,_xlfn.MAXIFS('Nhật ký tiến độ'!$B$6:$B$3005,'Nhật ký tiến độ'!$C$6:$C$3005,$A373))))</f>
      </c>
      <c r="AK373" s="225">
        <f>IF(OR($A373="",$V373="Đã xử lý"),"",IF(N($AO373)&gt;0,5-$AO373,IF($J373="Khẩn cấp",5,IF($Y373="Chậm tiến độ",6,IF(OR($Y373="Sắp đến hạn",$J373="Cao"),7,"")))))</f>
      </c>
      <c r="AL373" s="225">
        <f>IF($AK373="","",$AK373*100000+IF(N($U373)=0,99999,INT($U373))+ROW()/100000)</f>
      </c>
      <c r="AM373" s="225">
        <f>IF(OR($A373="",TRIM($K373)="",COUNTIF($K$6:$K373,$K373)&gt;1),0,1)</f>
      </c>
      <c r="AN373" s="225">
        <f>IF($AM373=1,SUM($AM$6:$AM373),"")</f>
      </c>
      <c r="AO373" s="225">
        <f>IF(OR($A373="",$V373="Đã xử lý",N($U373)=0),0,IF(TDBC&lt;=$U373,0,MAX(1,MIN(4,IF((TDBC-$U373)*24&lt;24,1,IF((TDBC-$U373)*24&lt;72,2,IF((TDBC-$U373)*24&lt;168,3,4)))+IFERROR(INDEX({2,1,0,-1},MATCH($J373,{"Khẩn cấp","Cao","Trung bình","Thấp"},0)),0)))))</f>
      </c>
    </row>
    <row r="374">
      <c r="A374" s="216"/>
      <c r="B374" s="217"/>
      <c r="C374" s="218"/>
      <c r="D374" s="218"/>
      <c r="E374" s="218"/>
      <c r="F374" s="218"/>
      <c r="G374" s="216"/>
      <c r="H374" s="218"/>
      <c r="I374" s="218"/>
      <c r="J374" s="216"/>
      <c r="K374" s="218"/>
      <c r="L374" s="218"/>
      <c r="M374" s="218"/>
      <c r="N374" s="218"/>
      <c r="O374" s="219"/>
      <c r="P374" s="216"/>
      <c r="Q374" s="217"/>
      <c r="R374" s="216"/>
      <c r="S374" s="218"/>
      <c r="T374" s="218"/>
      <c r="U374" s="220">
        <f>IF($A374="","",IF(N($Q374)&gt;0,IF(MOD($Q374,1)=0,$Q374+1-1/1440,$Q374),IF(N($B374)=0,"",$B374+IF(N($AH374)&gt;0,$AH374,IFERROR(INDEX(DM_SLA_Gio,MATCH($J374,DM_SLA_Cap,0)),168))/24)))</f>
      </c>
      <c r="V374" s="221">
        <f>IF($A374="","",IF(N($AJ374)=0,"Mới tiếp nhận",INDEX('Nhật ký tiến độ'!$E:$E,$AJ374)))</f>
      </c>
      <c r="W374" s="222">
        <f>IF($A374="","",IF($V374="Đã xử lý",1,IF(N($AJ374)=0,0,N(INDEX('Nhật ký tiến độ'!$D:$D,$AJ374)))))</f>
      </c>
      <c r="X374" s="222">
        <f>IF(OR($A374="",$V374="Đã xử lý",N($U374)=0,N($B374)=0),"",IF(TDBC&lt;=$B374,0,IF(TDBC&gt;=$U374,1,(TDBC-$B374)/($U374-$B374))))</f>
      </c>
      <c r="Y374" s="223">
        <f>IF($A374="","",IF($V374="Đã xử lý","Hoàn thành",IF(N($U374)=0,"Chưa đặt hạn",IF(TDBC&gt;$U374,"Quá hạn",IF(ROUND((N($X374)-$W374)*100,0)&gt;=20,"Chậm tiến độ",IF($U374-TDBC&lt;=1,"Sắp đến hạn","Đúng tiến độ"))))))</f>
      </c>
      <c r="Z374" s="223">
        <f>IF(OR($A374="",$V374="Đã xử lý",N($U374)=0),"",IF(TDBC&gt;$U374,"Quá "&amp;IF(((TDBC-$U374)*24)&lt;1,MAX(1,ROUND(((TDBC-$U374)*24)*60,0))&amp;" phút",IF(ROUND(((TDBC-$U374)*24),0)&lt;24,ROUND(((TDBC-$U374)*24),0)&amp;" giờ",INT(ROUND(((TDBC-$U374)*24),0)/24)&amp;" ngày"&amp;IF(MOD(ROUND(((TDBC-$U374)*24),0),24)&gt;0," "&amp;MOD(ROUND(((TDBC-$U374)*24),0),24)&amp;" giờ",""))),"Còn "&amp;IF((($U374-TDBC)*24)&lt;1,MAX(1,ROUND((($U374-TDBC)*24)*60,0))&amp;" phút",IF(ROUND((($U374-TDBC)*24),0)&lt;24,ROUND((($U374-TDBC)*24),0)&amp;" giờ",INT(ROUND((($U374-TDBC)*24),0)/24)&amp;" ngày"&amp;IF(MOD(ROUND((($U374-TDBC)*24),0),24)&gt;0," "&amp;MOD(ROUND((($U374-TDBC)*24),0),24)&amp;" giờ","")))))</f>
      </c>
      <c r="AA374" s="220">
        <f>IF($V374="Đã xử lý",_xlfn.MAXIFS('Nhật ký tiến độ'!$B$6:$B$3005,'Nhật ký tiến độ'!$C$6:$C$3005,$A374,'Nhật ký tiến độ'!$E$6:$E$3005,"Đã xử lý"),"")</f>
      </c>
      <c r="AB374" s="223">
        <f>IF($AI374="","",IF($AI374&lt;1,MAX(1,ROUND($AI374*60,0))&amp;" phút",IF(ROUND($AI374,0)&lt;24,ROUND($AI374,0)&amp;" giờ",INT(ROUND($AI374,0)/24)&amp;" ngày"&amp;IF(MOD(ROUND($AI374,0),24)&gt;0," "&amp;MOD(ROUND($AI374,0),24)&amp;" giờ",""))))</f>
      </c>
      <c r="AC374" s="223">
        <f>IF(OR($A374="",N($AH374)=0),"",IF($AI374&lt;&gt;"",IF($AI374&lt;=$AH374,"Trong ước tính","Vượt "&amp;IF(($AI374-$AH374)&lt;1,MAX(1,ROUND(($AI374-$AH374)*60,0))&amp;" phút",IF(ROUND(($AI374-$AH374),0)&lt;24,ROUND(($AI374-$AH374),0)&amp;" giờ",INT(ROUND(($AI374-$AH374),0)/24)&amp;" ngày"&amp;IF(MOD(ROUND(($AI374-$AH374),0),24)&gt;0," "&amp;MOD(ROUND(($AI374-$AH374),0),24)&amp;" giờ","")))),IF(OR($V374="Đã xử lý",N($B374)=0),"",IF((TDBC-$B374)*24&gt;$AH374,"Đã vượt ước tính","Đã dùng "&amp;TEXT((TDBC-$B374)*24/$AH374,"0%")))))</f>
      </c>
      <c r="AD374" s="223">
        <f>IF(N($AO374)=0,"",CHOOSE($AO374,"Nhắc nhở","Cảnh báo","Báo động","Báo động đỏ"))</f>
      </c>
      <c r="AE374" s="223">
        <f>IF(OR(N($AA374)=0,N($U374)=0),"",IF($AA374&lt;=$U374,"Đúng hạn","Trễ hạn"))</f>
      </c>
      <c r="AF374" s="220">
        <f>IF($A374="","",_xlfn.MAXIFS('Nhật ký tiến độ'!$B$6:$B$3005,'Nhật ký tiến độ'!$C$6:$C$3005,$A374))</f>
      </c>
      <c r="AG374" s="223">
        <f>IF($A374="","",IF(COUNTIF('Kế hoạch'!$M$6:$M$305,$A374)=0,"",COUNTIF('Kế hoạch'!$M$6:$M$305,$A374)&amp;" việc"))</f>
      </c>
      <c r="AH374" s="224">
        <f>IF(OR($A374="",N($O374)&lt;=0),"",IF($P374="Giờ",$O374,$O374*24))</f>
      </c>
      <c r="AI374" s="224">
        <f>IF(OR(N($AA374)=0,N($B374)=0),"",IF($AA374&lt;$B374,"",($AA374-$B374)*24))</f>
      </c>
      <c r="AJ374" s="225">
        <f>IF($A374="","",IF(COUNTIF('Nhật ký tiến độ'!$C$6:$C$3005,$A374)=0,0,_xlfn.MAXIFS('Nhật ký tiến độ'!$N$6:$N$3005,'Nhật ký tiến độ'!$C$6:$C$3005,$A374,'Nhật ký tiến độ'!$B$6:$B$3005,_xlfn.MAXIFS('Nhật ký tiến độ'!$B$6:$B$3005,'Nhật ký tiến độ'!$C$6:$C$3005,$A374))))</f>
      </c>
      <c r="AK374" s="225">
        <f>IF(OR($A374="",$V374="Đã xử lý"),"",IF(N($AO374)&gt;0,5-$AO374,IF($J374="Khẩn cấp",5,IF($Y374="Chậm tiến độ",6,IF(OR($Y374="Sắp đến hạn",$J374="Cao"),7,"")))))</f>
      </c>
      <c r="AL374" s="225">
        <f>IF($AK374="","",$AK374*100000+IF(N($U374)=0,99999,INT($U374))+ROW()/100000)</f>
      </c>
      <c r="AM374" s="225">
        <f>IF(OR($A374="",TRIM($K374)="",COUNTIF($K$6:$K374,$K374)&gt;1),0,1)</f>
      </c>
      <c r="AN374" s="225">
        <f>IF($AM374=1,SUM($AM$6:$AM374),"")</f>
      </c>
      <c r="AO374" s="225">
        <f>IF(OR($A374="",$V374="Đã xử lý",N($U374)=0),0,IF(TDBC&lt;=$U374,0,MAX(1,MIN(4,IF((TDBC-$U374)*24&lt;24,1,IF((TDBC-$U374)*24&lt;72,2,IF((TDBC-$U374)*24&lt;168,3,4)))+IFERROR(INDEX({2,1,0,-1},MATCH($J374,{"Khẩn cấp","Cao","Trung bình","Thấp"},0)),0)))))</f>
      </c>
    </row>
    <row r="375">
      <c r="A375" s="216"/>
      <c r="B375" s="217"/>
      <c r="C375" s="218"/>
      <c r="D375" s="218"/>
      <c r="E375" s="218"/>
      <c r="F375" s="218"/>
      <c r="G375" s="216"/>
      <c r="H375" s="218"/>
      <c r="I375" s="218"/>
      <c r="J375" s="216"/>
      <c r="K375" s="218"/>
      <c r="L375" s="218"/>
      <c r="M375" s="218"/>
      <c r="N375" s="218"/>
      <c r="O375" s="219"/>
      <c r="P375" s="216"/>
      <c r="Q375" s="217"/>
      <c r="R375" s="216"/>
      <c r="S375" s="218"/>
      <c r="T375" s="218"/>
      <c r="U375" s="220">
        <f>IF($A375="","",IF(N($Q375)&gt;0,IF(MOD($Q375,1)=0,$Q375+1-1/1440,$Q375),IF(N($B375)=0,"",$B375+IF(N($AH375)&gt;0,$AH375,IFERROR(INDEX(DM_SLA_Gio,MATCH($J375,DM_SLA_Cap,0)),168))/24)))</f>
      </c>
      <c r="V375" s="221">
        <f>IF($A375="","",IF(N($AJ375)=0,"Mới tiếp nhận",INDEX('Nhật ký tiến độ'!$E:$E,$AJ375)))</f>
      </c>
      <c r="W375" s="222">
        <f>IF($A375="","",IF($V375="Đã xử lý",1,IF(N($AJ375)=0,0,N(INDEX('Nhật ký tiến độ'!$D:$D,$AJ375)))))</f>
      </c>
      <c r="X375" s="222">
        <f>IF(OR($A375="",$V375="Đã xử lý",N($U375)=0,N($B375)=0),"",IF(TDBC&lt;=$B375,0,IF(TDBC&gt;=$U375,1,(TDBC-$B375)/($U375-$B375))))</f>
      </c>
      <c r="Y375" s="223">
        <f>IF($A375="","",IF($V375="Đã xử lý","Hoàn thành",IF(N($U375)=0,"Chưa đặt hạn",IF(TDBC&gt;$U375,"Quá hạn",IF(ROUND((N($X375)-$W375)*100,0)&gt;=20,"Chậm tiến độ",IF($U375-TDBC&lt;=1,"Sắp đến hạn","Đúng tiến độ"))))))</f>
      </c>
      <c r="Z375" s="223">
        <f>IF(OR($A375="",$V375="Đã xử lý",N($U375)=0),"",IF(TDBC&gt;$U375,"Quá "&amp;IF(((TDBC-$U375)*24)&lt;1,MAX(1,ROUND(((TDBC-$U375)*24)*60,0))&amp;" phút",IF(ROUND(((TDBC-$U375)*24),0)&lt;24,ROUND(((TDBC-$U375)*24),0)&amp;" giờ",INT(ROUND(((TDBC-$U375)*24),0)/24)&amp;" ngày"&amp;IF(MOD(ROUND(((TDBC-$U375)*24),0),24)&gt;0," "&amp;MOD(ROUND(((TDBC-$U375)*24),0),24)&amp;" giờ",""))),"Còn "&amp;IF((($U375-TDBC)*24)&lt;1,MAX(1,ROUND((($U375-TDBC)*24)*60,0))&amp;" phút",IF(ROUND((($U375-TDBC)*24),0)&lt;24,ROUND((($U375-TDBC)*24),0)&amp;" giờ",INT(ROUND((($U375-TDBC)*24),0)/24)&amp;" ngày"&amp;IF(MOD(ROUND((($U375-TDBC)*24),0),24)&gt;0," "&amp;MOD(ROUND((($U375-TDBC)*24),0),24)&amp;" giờ","")))))</f>
      </c>
      <c r="AA375" s="220">
        <f>IF($V375="Đã xử lý",_xlfn.MAXIFS('Nhật ký tiến độ'!$B$6:$B$3005,'Nhật ký tiến độ'!$C$6:$C$3005,$A375,'Nhật ký tiến độ'!$E$6:$E$3005,"Đã xử lý"),"")</f>
      </c>
      <c r="AB375" s="223">
        <f>IF($AI375="","",IF($AI375&lt;1,MAX(1,ROUND($AI375*60,0))&amp;" phút",IF(ROUND($AI375,0)&lt;24,ROUND($AI375,0)&amp;" giờ",INT(ROUND($AI375,0)/24)&amp;" ngày"&amp;IF(MOD(ROUND($AI375,0),24)&gt;0," "&amp;MOD(ROUND($AI375,0),24)&amp;" giờ",""))))</f>
      </c>
      <c r="AC375" s="223">
        <f>IF(OR($A375="",N($AH375)=0),"",IF($AI375&lt;&gt;"",IF($AI375&lt;=$AH375,"Trong ước tính","Vượt "&amp;IF(($AI375-$AH375)&lt;1,MAX(1,ROUND(($AI375-$AH375)*60,0))&amp;" phút",IF(ROUND(($AI375-$AH375),0)&lt;24,ROUND(($AI375-$AH375),0)&amp;" giờ",INT(ROUND(($AI375-$AH375),0)/24)&amp;" ngày"&amp;IF(MOD(ROUND(($AI375-$AH375),0),24)&gt;0," "&amp;MOD(ROUND(($AI375-$AH375),0),24)&amp;" giờ","")))),IF(OR($V375="Đã xử lý",N($B375)=0),"",IF((TDBC-$B375)*24&gt;$AH375,"Đã vượt ước tính","Đã dùng "&amp;TEXT((TDBC-$B375)*24/$AH375,"0%")))))</f>
      </c>
      <c r="AD375" s="223">
        <f>IF(N($AO375)=0,"",CHOOSE($AO375,"Nhắc nhở","Cảnh báo","Báo động","Báo động đỏ"))</f>
      </c>
      <c r="AE375" s="223">
        <f>IF(OR(N($AA375)=0,N($U375)=0),"",IF($AA375&lt;=$U375,"Đúng hạn","Trễ hạn"))</f>
      </c>
      <c r="AF375" s="220">
        <f>IF($A375="","",_xlfn.MAXIFS('Nhật ký tiến độ'!$B$6:$B$3005,'Nhật ký tiến độ'!$C$6:$C$3005,$A375))</f>
      </c>
      <c r="AG375" s="223">
        <f>IF($A375="","",IF(COUNTIF('Kế hoạch'!$M$6:$M$305,$A375)=0,"",COUNTIF('Kế hoạch'!$M$6:$M$305,$A375)&amp;" việc"))</f>
      </c>
      <c r="AH375" s="224">
        <f>IF(OR($A375="",N($O375)&lt;=0),"",IF($P375="Giờ",$O375,$O375*24))</f>
      </c>
      <c r="AI375" s="224">
        <f>IF(OR(N($AA375)=0,N($B375)=0),"",IF($AA375&lt;$B375,"",($AA375-$B375)*24))</f>
      </c>
      <c r="AJ375" s="225">
        <f>IF($A375="","",IF(COUNTIF('Nhật ký tiến độ'!$C$6:$C$3005,$A375)=0,0,_xlfn.MAXIFS('Nhật ký tiến độ'!$N$6:$N$3005,'Nhật ký tiến độ'!$C$6:$C$3005,$A375,'Nhật ký tiến độ'!$B$6:$B$3005,_xlfn.MAXIFS('Nhật ký tiến độ'!$B$6:$B$3005,'Nhật ký tiến độ'!$C$6:$C$3005,$A375))))</f>
      </c>
      <c r="AK375" s="225">
        <f>IF(OR($A375="",$V375="Đã xử lý"),"",IF(N($AO375)&gt;0,5-$AO375,IF($J375="Khẩn cấp",5,IF($Y375="Chậm tiến độ",6,IF(OR($Y375="Sắp đến hạn",$J375="Cao"),7,"")))))</f>
      </c>
      <c r="AL375" s="225">
        <f>IF($AK375="","",$AK375*100000+IF(N($U375)=0,99999,INT($U375))+ROW()/100000)</f>
      </c>
      <c r="AM375" s="225">
        <f>IF(OR($A375="",TRIM($K375)="",COUNTIF($K$6:$K375,$K375)&gt;1),0,1)</f>
      </c>
      <c r="AN375" s="225">
        <f>IF($AM375=1,SUM($AM$6:$AM375),"")</f>
      </c>
      <c r="AO375" s="225">
        <f>IF(OR($A375="",$V375="Đã xử lý",N($U375)=0),0,IF(TDBC&lt;=$U375,0,MAX(1,MIN(4,IF((TDBC-$U375)*24&lt;24,1,IF((TDBC-$U375)*24&lt;72,2,IF((TDBC-$U375)*24&lt;168,3,4)))+IFERROR(INDEX({2,1,0,-1},MATCH($J375,{"Khẩn cấp","Cao","Trung bình","Thấp"},0)),0)))))</f>
      </c>
    </row>
    <row r="376">
      <c r="A376" s="216"/>
      <c r="B376" s="217"/>
      <c r="C376" s="218"/>
      <c r="D376" s="218"/>
      <c r="E376" s="218"/>
      <c r="F376" s="218"/>
      <c r="G376" s="216"/>
      <c r="H376" s="218"/>
      <c r="I376" s="218"/>
      <c r="J376" s="216"/>
      <c r="K376" s="218"/>
      <c r="L376" s="218"/>
      <c r="M376" s="218"/>
      <c r="N376" s="218"/>
      <c r="O376" s="219"/>
      <c r="P376" s="216"/>
      <c r="Q376" s="217"/>
      <c r="R376" s="216"/>
      <c r="S376" s="218"/>
      <c r="T376" s="218"/>
      <c r="U376" s="220">
        <f>IF($A376="","",IF(N($Q376)&gt;0,IF(MOD($Q376,1)=0,$Q376+1-1/1440,$Q376),IF(N($B376)=0,"",$B376+IF(N($AH376)&gt;0,$AH376,IFERROR(INDEX(DM_SLA_Gio,MATCH($J376,DM_SLA_Cap,0)),168))/24)))</f>
      </c>
      <c r="V376" s="221">
        <f>IF($A376="","",IF(N($AJ376)=0,"Mới tiếp nhận",INDEX('Nhật ký tiến độ'!$E:$E,$AJ376)))</f>
      </c>
      <c r="W376" s="222">
        <f>IF($A376="","",IF($V376="Đã xử lý",1,IF(N($AJ376)=0,0,N(INDEX('Nhật ký tiến độ'!$D:$D,$AJ376)))))</f>
      </c>
      <c r="X376" s="222">
        <f>IF(OR($A376="",$V376="Đã xử lý",N($U376)=0,N($B376)=0),"",IF(TDBC&lt;=$B376,0,IF(TDBC&gt;=$U376,1,(TDBC-$B376)/($U376-$B376))))</f>
      </c>
      <c r="Y376" s="223">
        <f>IF($A376="","",IF($V376="Đã xử lý","Hoàn thành",IF(N($U376)=0,"Chưa đặt hạn",IF(TDBC&gt;$U376,"Quá hạn",IF(ROUND((N($X376)-$W376)*100,0)&gt;=20,"Chậm tiến độ",IF($U376-TDBC&lt;=1,"Sắp đến hạn","Đúng tiến độ"))))))</f>
      </c>
      <c r="Z376" s="223">
        <f>IF(OR($A376="",$V376="Đã xử lý",N($U376)=0),"",IF(TDBC&gt;$U376,"Quá "&amp;IF(((TDBC-$U376)*24)&lt;1,MAX(1,ROUND(((TDBC-$U376)*24)*60,0))&amp;" phút",IF(ROUND(((TDBC-$U376)*24),0)&lt;24,ROUND(((TDBC-$U376)*24),0)&amp;" giờ",INT(ROUND(((TDBC-$U376)*24),0)/24)&amp;" ngày"&amp;IF(MOD(ROUND(((TDBC-$U376)*24),0),24)&gt;0," "&amp;MOD(ROUND(((TDBC-$U376)*24),0),24)&amp;" giờ",""))),"Còn "&amp;IF((($U376-TDBC)*24)&lt;1,MAX(1,ROUND((($U376-TDBC)*24)*60,0))&amp;" phút",IF(ROUND((($U376-TDBC)*24),0)&lt;24,ROUND((($U376-TDBC)*24),0)&amp;" giờ",INT(ROUND((($U376-TDBC)*24),0)/24)&amp;" ngày"&amp;IF(MOD(ROUND((($U376-TDBC)*24),0),24)&gt;0," "&amp;MOD(ROUND((($U376-TDBC)*24),0),24)&amp;" giờ","")))))</f>
      </c>
      <c r="AA376" s="220">
        <f>IF($V376="Đã xử lý",_xlfn.MAXIFS('Nhật ký tiến độ'!$B$6:$B$3005,'Nhật ký tiến độ'!$C$6:$C$3005,$A376,'Nhật ký tiến độ'!$E$6:$E$3005,"Đã xử lý"),"")</f>
      </c>
      <c r="AB376" s="223">
        <f>IF($AI376="","",IF($AI376&lt;1,MAX(1,ROUND($AI376*60,0))&amp;" phút",IF(ROUND($AI376,0)&lt;24,ROUND($AI376,0)&amp;" giờ",INT(ROUND($AI376,0)/24)&amp;" ngày"&amp;IF(MOD(ROUND($AI376,0),24)&gt;0," "&amp;MOD(ROUND($AI376,0),24)&amp;" giờ",""))))</f>
      </c>
      <c r="AC376" s="223">
        <f>IF(OR($A376="",N($AH376)=0),"",IF($AI376&lt;&gt;"",IF($AI376&lt;=$AH376,"Trong ước tính","Vượt "&amp;IF(($AI376-$AH376)&lt;1,MAX(1,ROUND(($AI376-$AH376)*60,0))&amp;" phút",IF(ROUND(($AI376-$AH376),0)&lt;24,ROUND(($AI376-$AH376),0)&amp;" giờ",INT(ROUND(($AI376-$AH376),0)/24)&amp;" ngày"&amp;IF(MOD(ROUND(($AI376-$AH376),0),24)&gt;0," "&amp;MOD(ROUND(($AI376-$AH376),0),24)&amp;" giờ","")))),IF(OR($V376="Đã xử lý",N($B376)=0),"",IF((TDBC-$B376)*24&gt;$AH376,"Đã vượt ước tính","Đã dùng "&amp;TEXT((TDBC-$B376)*24/$AH376,"0%")))))</f>
      </c>
      <c r="AD376" s="223">
        <f>IF(N($AO376)=0,"",CHOOSE($AO376,"Nhắc nhở","Cảnh báo","Báo động","Báo động đỏ"))</f>
      </c>
      <c r="AE376" s="223">
        <f>IF(OR(N($AA376)=0,N($U376)=0),"",IF($AA376&lt;=$U376,"Đúng hạn","Trễ hạn"))</f>
      </c>
      <c r="AF376" s="220">
        <f>IF($A376="","",_xlfn.MAXIFS('Nhật ký tiến độ'!$B$6:$B$3005,'Nhật ký tiến độ'!$C$6:$C$3005,$A376))</f>
      </c>
      <c r="AG376" s="223">
        <f>IF($A376="","",IF(COUNTIF('Kế hoạch'!$M$6:$M$305,$A376)=0,"",COUNTIF('Kế hoạch'!$M$6:$M$305,$A376)&amp;" việc"))</f>
      </c>
      <c r="AH376" s="224">
        <f>IF(OR($A376="",N($O376)&lt;=0),"",IF($P376="Giờ",$O376,$O376*24))</f>
      </c>
      <c r="AI376" s="224">
        <f>IF(OR(N($AA376)=0,N($B376)=0),"",IF($AA376&lt;$B376,"",($AA376-$B376)*24))</f>
      </c>
      <c r="AJ376" s="225">
        <f>IF($A376="","",IF(COUNTIF('Nhật ký tiến độ'!$C$6:$C$3005,$A376)=0,0,_xlfn.MAXIFS('Nhật ký tiến độ'!$N$6:$N$3005,'Nhật ký tiến độ'!$C$6:$C$3005,$A376,'Nhật ký tiến độ'!$B$6:$B$3005,_xlfn.MAXIFS('Nhật ký tiến độ'!$B$6:$B$3005,'Nhật ký tiến độ'!$C$6:$C$3005,$A376))))</f>
      </c>
      <c r="AK376" s="225">
        <f>IF(OR($A376="",$V376="Đã xử lý"),"",IF(N($AO376)&gt;0,5-$AO376,IF($J376="Khẩn cấp",5,IF($Y376="Chậm tiến độ",6,IF(OR($Y376="Sắp đến hạn",$J376="Cao"),7,"")))))</f>
      </c>
      <c r="AL376" s="225">
        <f>IF($AK376="","",$AK376*100000+IF(N($U376)=0,99999,INT($U376))+ROW()/100000)</f>
      </c>
      <c r="AM376" s="225">
        <f>IF(OR($A376="",TRIM($K376)="",COUNTIF($K$6:$K376,$K376)&gt;1),0,1)</f>
      </c>
      <c r="AN376" s="225">
        <f>IF($AM376=1,SUM($AM$6:$AM376),"")</f>
      </c>
      <c r="AO376" s="225">
        <f>IF(OR($A376="",$V376="Đã xử lý",N($U376)=0),0,IF(TDBC&lt;=$U376,0,MAX(1,MIN(4,IF((TDBC-$U376)*24&lt;24,1,IF((TDBC-$U376)*24&lt;72,2,IF((TDBC-$U376)*24&lt;168,3,4)))+IFERROR(INDEX({2,1,0,-1},MATCH($J376,{"Khẩn cấp","Cao","Trung bình","Thấp"},0)),0)))))</f>
      </c>
    </row>
    <row r="377">
      <c r="A377" s="216"/>
      <c r="B377" s="217"/>
      <c r="C377" s="218"/>
      <c r="D377" s="218"/>
      <c r="E377" s="218"/>
      <c r="F377" s="218"/>
      <c r="G377" s="216"/>
      <c r="H377" s="218"/>
      <c r="I377" s="218"/>
      <c r="J377" s="216"/>
      <c r="K377" s="218"/>
      <c r="L377" s="218"/>
      <c r="M377" s="218"/>
      <c r="N377" s="218"/>
      <c r="O377" s="219"/>
      <c r="P377" s="216"/>
      <c r="Q377" s="217"/>
      <c r="R377" s="216"/>
      <c r="S377" s="218"/>
      <c r="T377" s="218"/>
      <c r="U377" s="220">
        <f>IF($A377="","",IF(N($Q377)&gt;0,IF(MOD($Q377,1)=0,$Q377+1-1/1440,$Q377),IF(N($B377)=0,"",$B377+IF(N($AH377)&gt;0,$AH377,IFERROR(INDEX(DM_SLA_Gio,MATCH($J377,DM_SLA_Cap,0)),168))/24)))</f>
      </c>
      <c r="V377" s="221">
        <f>IF($A377="","",IF(N($AJ377)=0,"Mới tiếp nhận",INDEX('Nhật ký tiến độ'!$E:$E,$AJ377)))</f>
      </c>
      <c r="W377" s="222">
        <f>IF($A377="","",IF($V377="Đã xử lý",1,IF(N($AJ377)=0,0,N(INDEX('Nhật ký tiến độ'!$D:$D,$AJ377)))))</f>
      </c>
      <c r="X377" s="222">
        <f>IF(OR($A377="",$V377="Đã xử lý",N($U377)=0,N($B377)=0),"",IF(TDBC&lt;=$B377,0,IF(TDBC&gt;=$U377,1,(TDBC-$B377)/($U377-$B377))))</f>
      </c>
      <c r="Y377" s="223">
        <f>IF($A377="","",IF($V377="Đã xử lý","Hoàn thành",IF(N($U377)=0,"Chưa đặt hạn",IF(TDBC&gt;$U377,"Quá hạn",IF(ROUND((N($X377)-$W377)*100,0)&gt;=20,"Chậm tiến độ",IF($U377-TDBC&lt;=1,"Sắp đến hạn","Đúng tiến độ"))))))</f>
      </c>
      <c r="Z377" s="223">
        <f>IF(OR($A377="",$V377="Đã xử lý",N($U377)=0),"",IF(TDBC&gt;$U377,"Quá "&amp;IF(((TDBC-$U377)*24)&lt;1,MAX(1,ROUND(((TDBC-$U377)*24)*60,0))&amp;" phút",IF(ROUND(((TDBC-$U377)*24),0)&lt;24,ROUND(((TDBC-$U377)*24),0)&amp;" giờ",INT(ROUND(((TDBC-$U377)*24),0)/24)&amp;" ngày"&amp;IF(MOD(ROUND(((TDBC-$U377)*24),0),24)&gt;0," "&amp;MOD(ROUND(((TDBC-$U377)*24),0),24)&amp;" giờ",""))),"Còn "&amp;IF((($U377-TDBC)*24)&lt;1,MAX(1,ROUND((($U377-TDBC)*24)*60,0))&amp;" phút",IF(ROUND((($U377-TDBC)*24),0)&lt;24,ROUND((($U377-TDBC)*24),0)&amp;" giờ",INT(ROUND((($U377-TDBC)*24),0)/24)&amp;" ngày"&amp;IF(MOD(ROUND((($U377-TDBC)*24),0),24)&gt;0," "&amp;MOD(ROUND((($U377-TDBC)*24),0),24)&amp;" giờ","")))))</f>
      </c>
      <c r="AA377" s="220">
        <f>IF($V377="Đã xử lý",_xlfn.MAXIFS('Nhật ký tiến độ'!$B$6:$B$3005,'Nhật ký tiến độ'!$C$6:$C$3005,$A377,'Nhật ký tiến độ'!$E$6:$E$3005,"Đã xử lý"),"")</f>
      </c>
      <c r="AB377" s="223">
        <f>IF($AI377="","",IF($AI377&lt;1,MAX(1,ROUND($AI377*60,0))&amp;" phút",IF(ROUND($AI377,0)&lt;24,ROUND($AI377,0)&amp;" giờ",INT(ROUND($AI377,0)/24)&amp;" ngày"&amp;IF(MOD(ROUND($AI377,0),24)&gt;0," "&amp;MOD(ROUND($AI377,0),24)&amp;" giờ",""))))</f>
      </c>
      <c r="AC377" s="223">
        <f>IF(OR($A377="",N($AH377)=0),"",IF($AI377&lt;&gt;"",IF($AI377&lt;=$AH377,"Trong ước tính","Vượt "&amp;IF(($AI377-$AH377)&lt;1,MAX(1,ROUND(($AI377-$AH377)*60,0))&amp;" phút",IF(ROUND(($AI377-$AH377),0)&lt;24,ROUND(($AI377-$AH377),0)&amp;" giờ",INT(ROUND(($AI377-$AH377),0)/24)&amp;" ngày"&amp;IF(MOD(ROUND(($AI377-$AH377),0),24)&gt;0," "&amp;MOD(ROUND(($AI377-$AH377),0),24)&amp;" giờ","")))),IF(OR($V377="Đã xử lý",N($B377)=0),"",IF((TDBC-$B377)*24&gt;$AH377,"Đã vượt ước tính","Đã dùng "&amp;TEXT((TDBC-$B377)*24/$AH377,"0%")))))</f>
      </c>
      <c r="AD377" s="223">
        <f>IF(N($AO377)=0,"",CHOOSE($AO377,"Nhắc nhở","Cảnh báo","Báo động","Báo động đỏ"))</f>
      </c>
      <c r="AE377" s="223">
        <f>IF(OR(N($AA377)=0,N($U377)=0),"",IF($AA377&lt;=$U377,"Đúng hạn","Trễ hạn"))</f>
      </c>
      <c r="AF377" s="220">
        <f>IF($A377="","",_xlfn.MAXIFS('Nhật ký tiến độ'!$B$6:$B$3005,'Nhật ký tiến độ'!$C$6:$C$3005,$A377))</f>
      </c>
      <c r="AG377" s="223">
        <f>IF($A377="","",IF(COUNTIF('Kế hoạch'!$M$6:$M$305,$A377)=0,"",COUNTIF('Kế hoạch'!$M$6:$M$305,$A377)&amp;" việc"))</f>
      </c>
      <c r="AH377" s="224">
        <f>IF(OR($A377="",N($O377)&lt;=0),"",IF($P377="Giờ",$O377,$O377*24))</f>
      </c>
      <c r="AI377" s="224">
        <f>IF(OR(N($AA377)=0,N($B377)=0),"",IF($AA377&lt;$B377,"",($AA377-$B377)*24))</f>
      </c>
      <c r="AJ377" s="225">
        <f>IF($A377="","",IF(COUNTIF('Nhật ký tiến độ'!$C$6:$C$3005,$A377)=0,0,_xlfn.MAXIFS('Nhật ký tiến độ'!$N$6:$N$3005,'Nhật ký tiến độ'!$C$6:$C$3005,$A377,'Nhật ký tiến độ'!$B$6:$B$3005,_xlfn.MAXIFS('Nhật ký tiến độ'!$B$6:$B$3005,'Nhật ký tiến độ'!$C$6:$C$3005,$A377))))</f>
      </c>
      <c r="AK377" s="225">
        <f>IF(OR($A377="",$V377="Đã xử lý"),"",IF(N($AO377)&gt;0,5-$AO377,IF($J377="Khẩn cấp",5,IF($Y377="Chậm tiến độ",6,IF(OR($Y377="Sắp đến hạn",$J377="Cao"),7,"")))))</f>
      </c>
      <c r="AL377" s="225">
        <f>IF($AK377="","",$AK377*100000+IF(N($U377)=0,99999,INT($U377))+ROW()/100000)</f>
      </c>
      <c r="AM377" s="225">
        <f>IF(OR($A377="",TRIM($K377)="",COUNTIF($K$6:$K377,$K377)&gt;1),0,1)</f>
      </c>
      <c r="AN377" s="225">
        <f>IF($AM377=1,SUM($AM$6:$AM377),"")</f>
      </c>
      <c r="AO377" s="225">
        <f>IF(OR($A377="",$V377="Đã xử lý",N($U377)=0),0,IF(TDBC&lt;=$U377,0,MAX(1,MIN(4,IF((TDBC-$U377)*24&lt;24,1,IF((TDBC-$U377)*24&lt;72,2,IF((TDBC-$U377)*24&lt;168,3,4)))+IFERROR(INDEX({2,1,0,-1},MATCH($J377,{"Khẩn cấp","Cao","Trung bình","Thấp"},0)),0)))))</f>
      </c>
    </row>
    <row r="378">
      <c r="A378" s="216"/>
      <c r="B378" s="217"/>
      <c r="C378" s="218"/>
      <c r="D378" s="218"/>
      <c r="E378" s="218"/>
      <c r="F378" s="218"/>
      <c r="G378" s="216"/>
      <c r="H378" s="218"/>
      <c r="I378" s="218"/>
      <c r="J378" s="216"/>
      <c r="K378" s="218"/>
      <c r="L378" s="218"/>
      <c r="M378" s="218"/>
      <c r="N378" s="218"/>
      <c r="O378" s="219"/>
      <c r="P378" s="216"/>
      <c r="Q378" s="217"/>
      <c r="R378" s="216"/>
      <c r="S378" s="218"/>
      <c r="T378" s="218"/>
      <c r="U378" s="220">
        <f>IF($A378="","",IF(N($Q378)&gt;0,IF(MOD($Q378,1)=0,$Q378+1-1/1440,$Q378),IF(N($B378)=0,"",$B378+IF(N($AH378)&gt;0,$AH378,IFERROR(INDEX(DM_SLA_Gio,MATCH($J378,DM_SLA_Cap,0)),168))/24)))</f>
      </c>
      <c r="V378" s="221">
        <f>IF($A378="","",IF(N($AJ378)=0,"Mới tiếp nhận",INDEX('Nhật ký tiến độ'!$E:$E,$AJ378)))</f>
      </c>
      <c r="W378" s="222">
        <f>IF($A378="","",IF($V378="Đã xử lý",1,IF(N($AJ378)=0,0,N(INDEX('Nhật ký tiến độ'!$D:$D,$AJ378)))))</f>
      </c>
      <c r="X378" s="222">
        <f>IF(OR($A378="",$V378="Đã xử lý",N($U378)=0,N($B378)=0),"",IF(TDBC&lt;=$B378,0,IF(TDBC&gt;=$U378,1,(TDBC-$B378)/($U378-$B378))))</f>
      </c>
      <c r="Y378" s="223">
        <f>IF($A378="","",IF($V378="Đã xử lý","Hoàn thành",IF(N($U378)=0,"Chưa đặt hạn",IF(TDBC&gt;$U378,"Quá hạn",IF(ROUND((N($X378)-$W378)*100,0)&gt;=20,"Chậm tiến độ",IF($U378-TDBC&lt;=1,"Sắp đến hạn","Đúng tiến độ"))))))</f>
      </c>
      <c r="Z378" s="223">
        <f>IF(OR($A378="",$V378="Đã xử lý",N($U378)=0),"",IF(TDBC&gt;$U378,"Quá "&amp;IF(((TDBC-$U378)*24)&lt;1,MAX(1,ROUND(((TDBC-$U378)*24)*60,0))&amp;" phút",IF(ROUND(((TDBC-$U378)*24),0)&lt;24,ROUND(((TDBC-$U378)*24),0)&amp;" giờ",INT(ROUND(((TDBC-$U378)*24),0)/24)&amp;" ngày"&amp;IF(MOD(ROUND(((TDBC-$U378)*24),0),24)&gt;0," "&amp;MOD(ROUND(((TDBC-$U378)*24),0),24)&amp;" giờ",""))),"Còn "&amp;IF((($U378-TDBC)*24)&lt;1,MAX(1,ROUND((($U378-TDBC)*24)*60,0))&amp;" phút",IF(ROUND((($U378-TDBC)*24),0)&lt;24,ROUND((($U378-TDBC)*24),0)&amp;" giờ",INT(ROUND((($U378-TDBC)*24),0)/24)&amp;" ngày"&amp;IF(MOD(ROUND((($U378-TDBC)*24),0),24)&gt;0," "&amp;MOD(ROUND((($U378-TDBC)*24),0),24)&amp;" giờ","")))))</f>
      </c>
      <c r="AA378" s="220">
        <f>IF($V378="Đã xử lý",_xlfn.MAXIFS('Nhật ký tiến độ'!$B$6:$B$3005,'Nhật ký tiến độ'!$C$6:$C$3005,$A378,'Nhật ký tiến độ'!$E$6:$E$3005,"Đã xử lý"),"")</f>
      </c>
      <c r="AB378" s="223">
        <f>IF($AI378="","",IF($AI378&lt;1,MAX(1,ROUND($AI378*60,0))&amp;" phút",IF(ROUND($AI378,0)&lt;24,ROUND($AI378,0)&amp;" giờ",INT(ROUND($AI378,0)/24)&amp;" ngày"&amp;IF(MOD(ROUND($AI378,0),24)&gt;0," "&amp;MOD(ROUND($AI378,0),24)&amp;" giờ",""))))</f>
      </c>
      <c r="AC378" s="223">
        <f>IF(OR($A378="",N($AH378)=0),"",IF($AI378&lt;&gt;"",IF($AI378&lt;=$AH378,"Trong ước tính","Vượt "&amp;IF(($AI378-$AH378)&lt;1,MAX(1,ROUND(($AI378-$AH378)*60,0))&amp;" phút",IF(ROUND(($AI378-$AH378),0)&lt;24,ROUND(($AI378-$AH378),0)&amp;" giờ",INT(ROUND(($AI378-$AH378),0)/24)&amp;" ngày"&amp;IF(MOD(ROUND(($AI378-$AH378),0),24)&gt;0," "&amp;MOD(ROUND(($AI378-$AH378),0),24)&amp;" giờ","")))),IF(OR($V378="Đã xử lý",N($B378)=0),"",IF((TDBC-$B378)*24&gt;$AH378,"Đã vượt ước tính","Đã dùng "&amp;TEXT((TDBC-$B378)*24/$AH378,"0%")))))</f>
      </c>
      <c r="AD378" s="223">
        <f>IF(N($AO378)=0,"",CHOOSE($AO378,"Nhắc nhở","Cảnh báo","Báo động","Báo động đỏ"))</f>
      </c>
      <c r="AE378" s="223">
        <f>IF(OR(N($AA378)=0,N($U378)=0),"",IF($AA378&lt;=$U378,"Đúng hạn","Trễ hạn"))</f>
      </c>
      <c r="AF378" s="220">
        <f>IF($A378="","",_xlfn.MAXIFS('Nhật ký tiến độ'!$B$6:$B$3005,'Nhật ký tiến độ'!$C$6:$C$3005,$A378))</f>
      </c>
      <c r="AG378" s="223">
        <f>IF($A378="","",IF(COUNTIF('Kế hoạch'!$M$6:$M$305,$A378)=0,"",COUNTIF('Kế hoạch'!$M$6:$M$305,$A378)&amp;" việc"))</f>
      </c>
      <c r="AH378" s="224">
        <f>IF(OR($A378="",N($O378)&lt;=0),"",IF($P378="Giờ",$O378,$O378*24))</f>
      </c>
      <c r="AI378" s="224">
        <f>IF(OR(N($AA378)=0,N($B378)=0),"",IF($AA378&lt;$B378,"",($AA378-$B378)*24))</f>
      </c>
      <c r="AJ378" s="225">
        <f>IF($A378="","",IF(COUNTIF('Nhật ký tiến độ'!$C$6:$C$3005,$A378)=0,0,_xlfn.MAXIFS('Nhật ký tiến độ'!$N$6:$N$3005,'Nhật ký tiến độ'!$C$6:$C$3005,$A378,'Nhật ký tiến độ'!$B$6:$B$3005,_xlfn.MAXIFS('Nhật ký tiến độ'!$B$6:$B$3005,'Nhật ký tiến độ'!$C$6:$C$3005,$A378))))</f>
      </c>
      <c r="AK378" s="225">
        <f>IF(OR($A378="",$V378="Đã xử lý"),"",IF(N($AO378)&gt;0,5-$AO378,IF($J378="Khẩn cấp",5,IF($Y378="Chậm tiến độ",6,IF(OR($Y378="Sắp đến hạn",$J378="Cao"),7,"")))))</f>
      </c>
      <c r="AL378" s="225">
        <f>IF($AK378="","",$AK378*100000+IF(N($U378)=0,99999,INT($U378))+ROW()/100000)</f>
      </c>
      <c r="AM378" s="225">
        <f>IF(OR($A378="",TRIM($K378)="",COUNTIF($K$6:$K378,$K378)&gt;1),0,1)</f>
      </c>
      <c r="AN378" s="225">
        <f>IF($AM378=1,SUM($AM$6:$AM378),"")</f>
      </c>
      <c r="AO378" s="225">
        <f>IF(OR($A378="",$V378="Đã xử lý",N($U378)=0),0,IF(TDBC&lt;=$U378,0,MAX(1,MIN(4,IF((TDBC-$U378)*24&lt;24,1,IF((TDBC-$U378)*24&lt;72,2,IF((TDBC-$U378)*24&lt;168,3,4)))+IFERROR(INDEX({2,1,0,-1},MATCH($J378,{"Khẩn cấp","Cao","Trung bình","Thấp"},0)),0)))))</f>
      </c>
    </row>
    <row r="379">
      <c r="A379" s="216"/>
      <c r="B379" s="217"/>
      <c r="C379" s="218"/>
      <c r="D379" s="218"/>
      <c r="E379" s="218"/>
      <c r="F379" s="218"/>
      <c r="G379" s="216"/>
      <c r="H379" s="218"/>
      <c r="I379" s="218"/>
      <c r="J379" s="216"/>
      <c r="K379" s="218"/>
      <c r="L379" s="218"/>
      <c r="M379" s="218"/>
      <c r="N379" s="218"/>
      <c r="O379" s="219"/>
      <c r="P379" s="216"/>
      <c r="Q379" s="217"/>
      <c r="R379" s="216"/>
      <c r="S379" s="218"/>
      <c r="T379" s="218"/>
      <c r="U379" s="220">
        <f>IF($A379="","",IF(N($Q379)&gt;0,IF(MOD($Q379,1)=0,$Q379+1-1/1440,$Q379),IF(N($B379)=0,"",$B379+IF(N($AH379)&gt;0,$AH379,IFERROR(INDEX(DM_SLA_Gio,MATCH($J379,DM_SLA_Cap,0)),168))/24)))</f>
      </c>
      <c r="V379" s="221">
        <f>IF($A379="","",IF(N($AJ379)=0,"Mới tiếp nhận",INDEX('Nhật ký tiến độ'!$E:$E,$AJ379)))</f>
      </c>
      <c r="W379" s="222">
        <f>IF($A379="","",IF($V379="Đã xử lý",1,IF(N($AJ379)=0,0,N(INDEX('Nhật ký tiến độ'!$D:$D,$AJ379)))))</f>
      </c>
      <c r="X379" s="222">
        <f>IF(OR($A379="",$V379="Đã xử lý",N($U379)=0,N($B379)=0),"",IF(TDBC&lt;=$B379,0,IF(TDBC&gt;=$U379,1,(TDBC-$B379)/($U379-$B379))))</f>
      </c>
      <c r="Y379" s="223">
        <f>IF($A379="","",IF($V379="Đã xử lý","Hoàn thành",IF(N($U379)=0,"Chưa đặt hạn",IF(TDBC&gt;$U379,"Quá hạn",IF(ROUND((N($X379)-$W379)*100,0)&gt;=20,"Chậm tiến độ",IF($U379-TDBC&lt;=1,"Sắp đến hạn","Đúng tiến độ"))))))</f>
      </c>
      <c r="Z379" s="223">
        <f>IF(OR($A379="",$V379="Đã xử lý",N($U379)=0),"",IF(TDBC&gt;$U379,"Quá "&amp;IF(((TDBC-$U379)*24)&lt;1,MAX(1,ROUND(((TDBC-$U379)*24)*60,0))&amp;" phút",IF(ROUND(((TDBC-$U379)*24),0)&lt;24,ROUND(((TDBC-$U379)*24),0)&amp;" giờ",INT(ROUND(((TDBC-$U379)*24),0)/24)&amp;" ngày"&amp;IF(MOD(ROUND(((TDBC-$U379)*24),0),24)&gt;0," "&amp;MOD(ROUND(((TDBC-$U379)*24),0),24)&amp;" giờ",""))),"Còn "&amp;IF((($U379-TDBC)*24)&lt;1,MAX(1,ROUND((($U379-TDBC)*24)*60,0))&amp;" phút",IF(ROUND((($U379-TDBC)*24),0)&lt;24,ROUND((($U379-TDBC)*24),0)&amp;" giờ",INT(ROUND((($U379-TDBC)*24),0)/24)&amp;" ngày"&amp;IF(MOD(ROUND((($U379-TDBC)*24),0),24)&gt;0," "&amp;MOD(ROUND((($U379-TDBC)*24),0),24)&amp;" giờ","")))))</f>
      </c>
      <c r="AA379" s="220">
        <f>IF($V379="Đã xử lý",_xlfn.MAXIFS('Nhật ký tiến độ'!$B$6:$B$3005,'Nhật ký tiến độ'!$C$6:$C$3005,$A379,'Nhật ký tiến độ'!$E$6:$E$3005,"Đã xử lý"),"")</f>
      </c>
      <c r="AB379" s="223">
        <f>IF($AI379="","",IF($AI379&lt;1,MAX(1,ROUND($AI379*60,0))&amp;" phút",IF(ROUND($AI379,0)&lt;24,ROUND($AI379,0)&amp;" giờ",INT(ROUND($AI379,0)/24)&amp;" ngày"&amp;IF(MOD(ROUND($AI379,0),24)&gt;0," "&amp;MOD(ROUND($AI379,0),24)&amp;" giờ",""))))</f>
      </c>
      <c r="AC379" s="223">
        <f>IF(OR($A379="",N($AH379)=0),"",IF($AI379&lt;&gt;"",IF($AI379&lt;=$AH379,"Trong ước tính","Vượt "&amp;IF(($AI379-$AH379)&lt;1,MAX(1,ROUND(($AI379-$AH379)*60,0))&amp;" phút",IF(ROUND(($AI379-$AH379),0)&lt;24,ROUND(($AI379-$AH379),0)&amp;" giờ",INT(ROUND(($AI379-$AH379),0)/24)&amp;" ngày"&amp;IF(MOD(ROUND(($AI379-$AH379),0),24)&gt;0," "&amp;MOD(ROUND(($AI379-$AH379),0),24)&amp;" giờ","")))),IF(OR($V379="Đã xử lý",N($B379)=0),"",IF((TDBC-$B379)*24&gt;$AH379,"Đã vượt ước tính","Đã dùng "&amp;TEXT((TDBC-$B379)*24/$AH379,"0%")))))</f>
      </c>
      <c r="AD379" s="223">
        <f>IF(N($AO379)=0,"",CHOOSE($AO379,"Nhắc nhở","Cảnh báo","Báo động","Báo động đỏ"))</f>
      </c>
      <c r="AE379" s="223">
        <f>IF(OR(N($AA379)=0,N($U379)=0),"",IF($AA379&lt;=$U379,"Đúng hạn","Trễ hạn"))</f>
      </c>
      <c r="AF379" s="220">
        <f>IF($A379="","",_xlfn.MAXIFS('Nhật ký tiến độ'!$B$6:$B$3005,'Nhật ký tiến độ'!$C$6:$C$3005,$A379))</f>
      </c>
      <c r="AG379" s="223">
        <f>IF($A379="","",IF(COUNTIF('Kế hoạch'!$M$6:$M$305,$A379)=0,"",COUNTIF('Kế hoạch'!$M$6:$M$305,$A379)&amp;" việc"))</f>
      </c>
      <c r="AH379" s="224">
        <f>IF(OR($A379="",N($O379)&lt;=0),"",IF($P379="Giờ",$O379,$O379*24))</f>
      </c>
      <c r="AI379" s="224">
        <f>IF(OR(N($AA379)=0,N($B379)=0),"",IF($AA379&lt;$B379,"",($AA379-$B379)*24))</f>
      </c>
      <c r="AJ379" s="225">
        <f>IF($A379="","",IF(COUNTIF('Nhật ký tiến độ'!$C$6:$C$3005,$A379)=0,0,_xlfn.MAXIFS('Nhật ký tiến độ'!$N$6:$N$3005,'Nhật ký tiến độ'!$C$6:$C$3005,$A379,'Nhật ký tiến độ'!$B$6:$B$3005,_xlfn.MAXIFS('Nhật ký tiến độ'!$B$6:$B$3005,'Nhật ký tiến độ'!$C$6:$C$3005,$A379))))</f>
      </c>
      <c r="AK379" s="225">
        <f>IF(OR($A379="",$V379="Đã xử lý"),"",IF(N($AO379)&gt;0,5-$AO379,IF($J379="Khẩn cấp",5,IF($Y379="Chậm tiến độ",6,IF(OR($Y379="Sắp đến hạn",$J379="Cao"),7,"")))))</f>
      </c>
      <c r="AL379" s="225">
        <f>IF($AK379="","",$AK379*100000+IF(N($U379)=0,99999,INT($U379))+ROW()/100000)</f>
      </c>
      <c r="AM379" s="225">
        <f>IF(OR($A379="",TRIM($K379)="",COUNTIF($K$6:$K379,$K379)&gt;1),0,1)</f>
      </c>
      <c r="AN379" s="225">
        <f>IF($AM379=1,SUM($AM$6:$AM379),"")</f>
      </c>
      <c r="AO379" s="225">
        <f>IF(OR($A379="",$V379="Đã xử lý",N($U379)=0),0,IF(TDBC&lt;=$U379,0,MAX(1,MIN(4,IF((TDBC-$U379)*24&lt;24,1,IF((TDBC-$U379)*24&lt;72,2,IF((TDBC-$U379)*24&lt;168,3,4)))+IFERROR(INDEX({2,1,0,-1},MATCH($J379,{"Khẩn cấp","Cao","Trung bình","Thấp"},0)),0)))))</f>
      </c>
    </row>
    <row r="380">
      <c r="A380" s="216"/>
      <c r="B380" s="217"/>
      <c r="C380" s="218"/>
      <c r="D380" s="218"/>
      <c r="E380" s="218"/>
      <c r="F380" s="218"/>
      <c r="G380" s="216"/>
      <c r="H380" s="218"/>
      <c r="I380" s="218"/>
      <c r="J380" s="216"/>
      <c r="K380" s="218"/>
      <c r="L380" s="218"/>
      <c r="M380" s="218"/>
      <c r="N380" s="218"/>
      <c r="O380" s="219"/>
      <c r="P380" s="216"/>
      <c r="Q380" s="217"/>
      <c r="R380" s="216"/>
      <c r="S380" s="218"/>
      <c r="T380" s="218"/>
      <c r="U380" s="220">
        <f>IF($A380="","",IF(N($Q380)&gt;0,IF(MOD($Q380,1)=0,$Q380+1-1/1440,$Q380),IF(N($B380)=0,"",$B380+IF(N($AH380)&gt;0,$AH380,IFERROR(INDEX(DM_SLA_Gio,MATCH($J380,DM_SLA_Cap,0)),168))/24)))</f>
      </c>
      <c r="V380" s="221">
        <f>IF($A380="","",IF(N($AJ380)=0,"Mới tiếp nhận",INDEX('Nhật ký tiến độ'!$E:$E,$AJ380)))</f>
      </c>
      <c r="W380" s="222">
        <f>IF($A380="","",IF($V380="Đã xử lý",1,IF(N($AJ380)=0,0,N(INDEX('Nhật ký tiến độ'!$D:$D,$AJ380)))))</f>
      </c>
      <c r="X380" s="222">
        <f>IF(OR($A380="",$V380="Đã xử lý",N($U380)=0,N($B380)=0),"",IF(TDBC&lt;=$B380,0,IF(TDBC&gt;=$U380,1,(TDBC-$B380)/($U380-$B380))))</f>
      </c>
      <c r="Y380" s="223">
        <f>IF($A380="","",IF($V380="Đã xử lý","Hoàn thành",IF(N($U380)=0,"Chưa đặt hạn",IF(TDBC&gt;$U380,"Quá hạn",IF(ROUND((N($X380)-$W380)*100,0)&gt;=20,"Chậm tiến độ",IF($U380-TDBC&lt;=1,"Sắp đến hạn","Đúng tiến độ"))))))</f>
      </c>
      <c r="Z380" s="223">
        <f>IF(OR($A380="",$V380="Đã xử lý",N($U380)=0),"",IF(TDBC&gt;$U380,"Quá "&amp;IF(((TDBC-$U380)*24)&lt;1,MAX(1,ROUND(((TDBC-$U380)*24)*60,0))&amp;" phút",IF(ROUND(((TDBC-$U380)*24),0)&lt;24,ROUND(((TDBC-$U380)*24),0)&amp;" giờ",INT(ROUND(((TDBC-$U380)*24),0)/24)&amp;" ngày"&amp;IF(MOD(ROUND(((TDBC-$U380)*24),0),24)&gt;0," "&amp;MOD(ROUND(((TDBC-$U380)*24),0),24)&amp;" giờ",""))),"Còn "&amp;IF((($U380-TDBC)*24)&lt;1,MAX(1,ROUND((($U380-TDBC)*24)*60,0))&amp;" phút",IF(ROUND((($U380-TDBC)*24),0)&lt;24,ROUND((($U380-TDBC)*24),0)&amp;" giờ",INT(ROUND((($U380-TDBC)*24),0)/24)&amp;" ngày"&amp;IF(MOD(ROUND((($U380-TDBC)*24),0),24)&gt;0," "&amp;MOD(ROUND((($U380-TDBC)*24),0),24)&amp;" giờ","")))))</f>
      </c>
      <c r="AA380" s="220">
        <f>IF($V380="Đã xử lý",_xlfn.MAXIFS('Nhật ký tiến độ'!$B$6:$B$3005,'Nhật ký tiến độ'!$C$6:$C$3005,$A380,'Nhật ký tiến độ'!$E$6:$E$3005,"Đã xử lý"),"")</f>
      </c>
      <c r="AB380" s="223">
        <f>IF($AI380="","",IF($AI380&lt;1,MAX(1,ROUND($AI380*60,0))&amp;" phút",IF(ROUND($AI380,0)&lt;24,ROUND($AI380,0)&amp;" giờ",INT(ROUND($AI380,0)/24)&amp;" ngày"&amp;IF(MOD(ROUND($AI380,0),24)&gt;0," "&amp;MOD(ROUND($AI380,0),24)&amp;" giờ",""))))</f>
      </c>
      <c r="AC380" s="223">
        <f>IF(OR($A380="",N($AH380)=0),"",IF($AI380&lt;&gt;"",IF($AI380&lt;=$AH380,"Trong ước tính","Vượt "&amp;IF(($AI380-$AH380)&lt;1,MAX(1,ROUND(($AI380-$AH380)*60,0))&amp;" phút",IF(ROUND(($AI380-$AH380),0)&lt;24,ROUND(($AI380-$AH380),0)&amp;" giờ",INT(ROUND(($AI380-$AH380),0)/24)&amp;" ngày"&amp;IF(MOD(ROUND(($AI380-$AH380),0),24)&gt;0," "&amp;MOD(ROUND(($AI380-$AH380),0),24)&amp;" giờ","")))),IF(OR($V380="Đã xử lý",N($B380)=0),"",IF((TDBC-$B380)*24&gt;$AH380,"Đã vượt ước tính","Đã dùng "&amp;TEXT((TDBC-$B380)*24/$AH380,"0%")))))</f>
      </c>
      <c r="AD380" s="223">
        <f>IF(N($AO380)=0,"",CHOOSE($AO380,"Nhắc nhở","Cảnh báo","Báo động","Báo động đỏ"))</f>
      </c>
      <c r="AE380" s="223">
        <f>IF(OR(N($AA380)=0,N($U380)=0),"",IF($AA380&lt;=$U380,"Đúng hạn","Trễ hạn"))</f>
      </c>
      <c r="AF380" s="220">
        <f>IF($A380="","",_xlfn.MAXIFS('Nhật ký tiến độ'!$B$6:$B$3005,'Nhật ký tiến độ'!$C$6:$C$3005,$A380))</f>
      </c>
      <c r="AG380" s="223">
        <f>IF($A380="","",IF(COUNTIF('Kế hoạch'!$M$6:$M$305,$A380)=0,"",COUNTIF('Kế hoạch'!$M$6:$M$305,$A380)&amp;" việc"))</f>
      </c>
      <c r="AH380" s="224">
        <f>IF(OR($A380="",N($O380)&lt;=0),"",IF($P380="Giờ",$O380,$O380*24))</f>
      </c>
      <c r="AI380" s="224">
        <f>IF(OR(N($AA380)=0,N($B380)=0),"",IF($AA380&lt;$B380,"",($AA380-$B380)*24))</f>
      </c>
      <c r="AJ380" s="225">
        <f>IF($A380="","",IF(COUNTIF('Nhật ký tiến độ'!$C$6:$C$3005,$A380)=0,0,_xlfn.MAXIFS('Nhật ký tiến độ'!$N$6:$N$3005,'Nhật ký tiến độ'!$C$6:$C$3005,$A380,'Nhật ký tiến độ'!$B$6:$B$3005,_xlfn.MAXIFS('Nhật ký tiến độ'!$B$6:$B$3005,'Nhật ký tiến độ'!$C$6:$C$3005,$A380))))</f>
      </c>
      <c r="AK380" s="225">
        <f>IF(OR($A380="",$V380="Đã xử lý"),"",IF(N($AO380)&gt;0,5-$AO380,IF($J380="Khẩn cấp",5,IF($Y380="Chậm tiến độ",6,IF(OR($Y380="Sắp đến hạn",$J380="Cao"),7,"")))))</f>
      </c>
      <c r="AL380" s="225">
        <f>IF($AK380="","",$AK380*100000+IF(N($U380)=0,99999,INT($U380))+ROW()/100000)</f>
      </c>
      <c r="AM380" s="225">
        <f>IF(OR($A380="",TRIM($K380)="",COUNTIF($K$6:$K380,$K380)&gt;1),0,1)</f>
      </c>
      <c r="AN380" s="225">
        <f>IF($AM380=1,SUM($AM$6:$AM380),"")</f>
      </c>
      <c r="AO380" s="225">
        <f>IF(OR($A380="",$V380="Đã xử lý",N($U380)=0),0,IF(TDBC&lt;=$U380,0,MAX(1,MIN(4,IF((TDBC-$U380)*24&lt;24,1,IF((TDBC-$U380)*24&lt;72,2,IF((TDBC-$U380)*24&lt;168,3,4)))+IFERROR(INDEX({2,1,0,-1},MATCH($J380,{"Khẩn cấp","Cao","Trung bình","Thấp"},0)),0)))))</f>
      </c>
    </row>
    <row r="381">
      <c r="A381" s="216"/>
      <c r="B381" s="217"/>
      <c r="C381" s="218"/>
      <c r="D381" s="218"/>
      <c r="E381" s="218"/>
      <c r="F381" s="218"/>
      <c r="G381" s="216"/>
      <c r="H381" s="218"/>
      <c r="I381" s="218"/>
      <c r="J381" s="216"/>
      <c r="K381" s="218"/>
      <c r="L381" s="218"/>
      <c r="M381" s="218"/>
      <c r="N381" s="218"/>
      <c r="O381" s="219"/>
      <c r="P381" s="216"/>
      <c r="Q381" s="217"/>
      <c r="R381" s="216"/>
      <c r="S381" s="218"/>
      <c r="T381" s="218"/>
      <c r="U381" s="220">
        <f>IF($A381="","",IF(N($Q381)&gt;0,IF(MOD($Q381,1)=0,$Q381+1-1/1440,$Q381),IF(N($B381)=0,"",$B381+IF(N($AH381)&gt;0,$AH381,IFERROR(INDEX(DM_SLA_Gio,MATCH($J381,DM_SLA_Cap,0)),168))/24)))</f>
      </c>
      <c r="V381" s="221">
        <f>IF($A381="","",IF(N($AJ381)=0,"Mới tiếp nhận",INDEX('Nhật ký tiến độ'!$E:$E,$AJ381)))</f>
      </c>
      <c r="W381" s="222">
        <f>IF($A381="","",IF($V381="Đã xử lý",1,IF(N($AJ381)=0,0,N(INDEX('Nhật ký tiến độ'!$D:$D,$AJ381)))))</f>
      </c>
      <c r="X381" s="222">
        <f>IF(OR($A381="",$V381="Đã xử lý",N($U381)=0,N($B381)=0),"",IF(TDBC&lt;=$B381,0,IF(TDBC&gt;=$U381,1,(TDBC-$B381)/($U381-$B381))))</f>
      </c>
      <c r="Y381" s="223">
        <f>IF($A381="","",IF($V381="Đã xử lý","Hoàn thành",IF(N($U381)=0,"Chưa đặt hạn",IF(TDBC&gt;$U381,"Quá hạn",IF(ROUND((N($X381)-$W381)*100,0)&gt;=20,"Chậm tiến độ",IF($U381-TDBC&lt;=1,"Sắp đến hạn","Đúng tiến độ"))))))</f>
      </c>
      <c r="Z381" s="223">
        <f>IF(OR($A381="",$V381="Đã xử lý",N($U381)=0),"",IF(TDBC&gt;$U381,"Quá "&amp;IF(((TDBC-$U381)*24)&lt;1,MAX(1,ROUND(((TDBC-$U381)*24)*60,0))&amp;" phút",IF(ROUND(((TDBC-$U381)*24),0)&lt;24,ROUND(((TDBC-$U381)*24),0)&amp;" giờ",INT(ROUND(((TDBC-$U381)*24),0)/24)&amp;" ngày"&amp;IF(MOD(ROUND(((TDBC-$U381)*24),0),24)&gt;0," "&amp;MOD(ROUND(((TDBC-$U381)*24),0),24)&amp;" giờ",""))),"Còn "&amp;IF((($U381-TDBC)*24)&lt;1,MAX(1,ROUND((($U381-TDBC)*24)*60,0))&amp;" phút",IF(ROUND((($U381-TDBC)*24),0)&lt;24,ROUND((($U381-TDBC)*24),0)&amp;" giờ",INT(ROUND((($U381-TDBC)*24),0)/24)&amp;" ngày"&amp;IF(MOD(ROUND((($U381-TDBC)*24),0),24)&gt;0," "&amp;MOD(ROUND((($U381-TDBC)*24),0),24)&amp;" giờ","")))))</f>
      </c>
      <c r="AA381" s="220">
        <f>IF($V381="Đã xử lý",_xlfn.MAXIFS('Nhật ký tiến độ'!$B$6:$B$3005,'Nhật ký tiến độ'!$C$6:$C$3005,$A381,'Nhật ký tiến độ'!$E$6:$E$3005,"Đã xử lý"),"")</f>
      </c>
      <c r="AB381" s="223">
        <f>IF($AI381="","",IF($AI381&lt;1,MAX(1,ROUND($AI381*60,0))&amp;" phút",IF(ROUND($AI381,0)&lt;24,ROUND($AI381,0)&amp;" giờ",INT(ROUND($AI381,0)/24)&amp;" ngày"&amp;IF(MOD(ROUND($AI381,0),24)&gt;0," "&amp;MOD(ROUND($AI381,0),24)&amp;" giờ",""))))</f>
      </c>
      <c r="AC381" s="223">
        <f>IF(OR($A381="",N($AH381)=0),"",IF($AI381&lt;&gt;"",IF($AI381&lt;=$AH381,"Trong ước tính","Vượt "&amp;IF(($AI381-$AH381)&lt;1,MAX(1,ROUND(($AI381-$AH381)*60,0))&amp;" phút",IF(ROUND(($AI381-$AH381),0)&lt;24,ROUND(($AI381-$AH381),0)&amp;" giờ",INT(ROUND(($AI381-$AH381),0)/24)&amp;" ngày"&amp;IF(MOD(ROUND(($AI381-$AH381),0),24)&gt;0," "&amp;MOD(ROUND(($AI381-$AH381),0),24)&amp;" giờ","")))),IF(OR($V381="Đã xử lý",N($B381)=0),"",IF((TDBC-$B381)*24&gt;$AH381,"Đã vượt ước tính","Đã dùng "&amp;TEXT((TDBC-$B381)*24/$AH381,"0%")))))</f>
      </c>
      <c r="AD381" s="223">
        <f>IF(N($AO381)=0,"",CHOOSE($AO381,"Nhắc nhở","Cảnh báo","Báo động","Báo động đỏ"))</f>
      </c>
      <c r="AE381" s="223">
        <f>IF(OR(N($AA381)=0,N($U381)=0),"",IF($AA381&lt;=$U381,"Đúng hạn","Trễ hạn"))</f>
      </c>
      <c r="AF381" s="220">
        <f>IF($A381="","",_xlfn.MAXIFS('Nhật ký tiến độ'!$B$6:$B$3005,'Nhật ký tiến độ'!$C$6:$C$3005,$A381))</f>
      </c>
      <c r="AG381" s="223">
        <f>IF($A381="","",IF(COUNTIF('Kế hoạch'!$M$6:$M$305,$A381)=0,"",COUNTIF('Kế hoạch'!$M$6:$M$305,$A381)&amp;" việc"))</f>
      </c>
      <c r="AH381" s="224">
        <f>IF(OR($A381="",N($O381)&lt;=0),"",IF($P381="Giờ",$O381,$O381*24))</f>
      </c>
      <c r="AI381" s="224">
        <f>IF(OR(N($AA381)=0,N($B381)=0),"",IF($AA381&lt;$B381,"",($AA381-$B381)*24))</f>
      </c>
      <c r="AJ381" s="225">
        <f>IF($A381="","",IF(COUNTIF('Nhật ký tiến độ'!$C$6:$C$3005,$A381)=0,0,_xlfn.MAXIFS('Nhật ký tiến độ'!$N$6:$N$3005,'Nhật ký tiến độ'!$C$6:$C$3005,$A381,'Nhật ký tiến độ'!$B$6:$B$3005,_xlfn.MAXIFS('Nhật ký tiến độ'!$B$6:$B$3005,'Nhật ký tiến độ'!$C$6:$C$3005,$A381))))</f>
      </c>
      <c r="AK381" s="225">
        <f>IF(OR($A381="",$V381="Đã xử lý"),"",IF(N($AO381)&gt;0,5-$AO381,IF($J381="Khẩn cấp",5,IF($Y381="Chậm tiến độ",6,IF(OR($Y381="Sắp đến hạn",$J381="Cao"),7,"")))))</f>
      </c>
      <c r="AL381" s="225">
        <f>IF($AK381="","",$AK381*100000+IF(N($U381)=0,99999,INT($U381))+ROW()/100000)</f>
      </c>
      <c r="AM381" s="225">
        <f>IF(OR($A381="",TRIM($K381)="",COUNTIF($K$6:$K381,$K381)&gt;1),0,1)</f>
      </c>
      <c r="AN381" s="225">
        <f>IF($AM381=1,SUM($AM$6:$AM381),"")</f>
      </c>
      <c r="AO381" s="225">
        <f>IF(OR($A381="",$V381="Đã xử lý",N($U381)=0),0,IF(TDBC&lt;=$U381,0,MAX(1,MIN(4,IF((TDBC-$U381)*24&lt;24,1,IF((TDBC-$U381)*24&lt;72,2,IF((TDBC-$U381)*24&lt;168,3,4)))+IFERROR(INDEX({2,1,0,-1},MATCH($J381,{"Khẩn cấp","Cao","Trung bình","Thấp"},0)),0)))))</f>
      </c>
    </row>
    <row r="382">
      <c r="A382" s="216"/>
      <c r="B382" s="217"/>
      <c r="C382" s="218"/>
      <c r="D382" s="218"/>
      <c r="E382" s="218"/>
      <c r="F382" s="218"/>
      <c r="G382" s="216"/>
      <c r="H382" s="218"/>
      <c r="I382" s="218"/>
      <c r="J382" s="216"/>
      <c r="K382" s="218"/>
      <c r="L382" s="218"/>
      <c r="M382" s="218"/>
      <c r="N382" s="218"/>
      <c r="O382" s="219"/>
      <c r="P382" s="216"/>
      <c r="Q382" s="217"/>
      <c r="R382" s="216"/>
      <c r="S382" s="218"/>
      <c r="T382" s="218"/>
      <c r="U382" s="220">
        <f>IF($A382="","",IF(N($Q382)&gt;0,IF(MOD($Q382,1)=0,$Q382+1-1/1440,$Q382),IF(N($B382)=0,"",$B382+IF(N($AH382)&gt;0,$AH382,IFERROR(INDEX(DM_SLA_Gio,MATCH($J382,DM_SLA_Cap,0)),168))/24)))</f>
      </c>
      <c r="V382" s="221">
        <f>IF($A382="","",IF(N($AJ382)=0,"Mới tiếp nhận",INDEX('Nhật ký tiến độ'!$E:$E,$AJ382)))</f>
      </c>
      <c r="W382" s="222">
        <f>IF($A382="","",IF($V382="Đã xử lý",1,IF(N($AJ382)=0,0,N(INDEX('Nhật ký tiến độ'!$D:$D,$AJ382)))))</f>
      </c>
      <c r="X382" s="222">
        <f>IF(OR($A382="",$V382="Đã xử lý",N($U382)=0,N($B382)=0),"",IF(TDBC&lt;=$B382,0,IF(TDBC&gt;=$U382,1,(TDBC-$B382)/($U382-$B382))))</f>
      </c>
      <c r="Y382" s="223">
        <f>IF($A382="","",IF($V382="Đã xử lý","Hoàn thành",IF(N($U382)=0,"Chưa đặt hạn",IF(TDBC&gt;$U382,"Quá hạn",IF(ROUND((N($X382)-$W382)*100,0)&gt;=20,"Chậm tiến độ",IF($U382-TDBC&lt;=1,"Sắp đến hạn","Đúng tiến độ"))))))</f>
      </c>
      <c r="Z382" s="223">
        <f>IF(OR($A382="",$V382="Đã xử lý",N($U382)=0),"",IF(TDBC&gt;$U382,"Quá "&amp;IF(((TDBC-$U382)*24)&lt;1,MAX(1,ROUND(((TDBC-$U382)*24)*60,0))&amp;" phút",IF(ROUND(((TDBC-$U382)*24),0)&lt;24,ROUND(((TDBC-$U382)*24),0)&amp;" giờ",INT(ROUND(((TDBC-$U382)*24),0)/24)&amp;" ngày"&amp;IF(MOD(ROUND(((TDBC-$U382)*24),0),24)&gt;0," "&amp;MOD(ROUND(((TDBC-$U382)*24),0),24)&amp;" giờ",""))),"Còn "&amp;IF((($U382-TDBC)*24)&lt;1,MAX(1,ROUND((($U382-TDBC)*24)*60,0))&amp;" phút",IF(ROUND((($U382-TDBC)*24),0)&lt;24,ROUND((($U382-TDBC)*24),0)&amp;" giờ",INT(ROUND((($U382-TDBC)*24),0)/24)&amp;" ngày"&amp;IF(MOD(ROUND((($U382-TDBC)*24),0),24)&gt;0," "&amp;MOD(ROUND((($U382-TDBC)*24),0),24)&amp;" giờ","")))))</f>
      </c>
      <c r="AA382" s="220">
        <f>IF($V382="Đã xử lý",_xlfn.MAXIFS('Nhật ký tiến độ'!$B$6:$B$3005,'Nhật ký tiến độ'!$C$6:$C$3005,$A382,'Nhật ký tiến độ'!$E$6:$E$3005,"Đã xử lý"),"")</f>
      </c>
      <c r="AB382" s="223">
        <f>IF($AI382="","",IF($AI382&lt;1,MAX(1,ROUND($AI382*60,0))&amp;" phút",IF(ROUND($AI382,0)&lt;24,ROUND($AI382,0)&amp;" giờ",INT(ROUND($AI382,0)/24)&amp;" ngày"&amp;IF(MOD(ROUND($AI382,0),24)&gt;0," "&amp;MOD(ROUND($AI382,0),24)&amp;" giờ",""))))</f>
      </c>
      <c r="AC382" s="223">
        <f>IF(OR($A382="",N($AH382)=0),"",IF($AI382&lt;&gt;"",IF($AI382&lt;=$AH382,"Trong ước tính","Vượt "&amp;IF(($AI382-$AH382)&lt;1,MAX(1,ROUND(($AI382-$AH382)*60,0))&amp;" phút",IF(ROUND(($AI382-$AH382),0)&lt;24,ROUND(($AI382-$AH382),0)&amp;" giờ",INT(ROUND(($AI382-$AH382),0)/24)&amp;" ngày"&amp;IF(MOD(ROUND(($AI382-$AH382),0),24)&gt;0," "&amp;MOD(ROUND(($AI382-$AH382),0),24)&amp;" giờ","")))),IF(OR($V382="Đã xử lý",N($B382)=0),"",IF((TDBC-$B382)*24&gt;$AH382,"Đã vượt ước tính","Đã dùng "&amp;TEXT((TDBC-$B382)*24/$AH382,"0%")))))</f>
      </c>
      <c r="AD382" s="223">
        <f>IF(N($AO382)=0,"",CHOOSE($AO382,"Nhắc nhở","Cảnh báo","Báo động","Báo động đỏ"))</f>
      </c>
      <c r="AE382" s="223">
        <f>IF(OR(N($AA382)=0,N($U382)=0),"",IF($AA382&lt;=$U382,"Đúng hạn","Trễ hạn"))</f>
      </c>
      <c r="AF382" s="220">
        <f>IF($A382="","",_xlfn.MAXIFS('Nhật ký tiến độ'!$B$6:$B$3005,'Nhật ký tiến độ'!$C$6:$C$3005,$A382))</f>
      </c>
      <c r="AG382" s="223">
        <f>IF($A382="","",IF(COUNTIF('Kế hoạch'!$M$6:$M$305,$A382)=0,"",COUNTIF('Kế hoạch'!$M$6:$M$305,$A382)&amp;" việc"))</f>
      </c>
      <c r="AH382" s="224">
        <f>IF(OR($A382="",N($O382)&lt;=0),"",IF($P382="Giờ",$O382,$O382*24))</f>
      </c>
      <c r="AI382" s="224">
        <f>IF(OR(N($AA382)=0,N($B382)=0),"",IF($AA382&lt;$B382,"",($AA382-$B382)*24))</f>
      </c>
      <c r="AJ382" s="225">
        <f>IF($A382="","",IF(COUNTIF('Nhật ký tiến độ'!$C$6:$C$3005,$A382)=0,0,_xlfn.MAXIFS('Nhật ký tiến độ'!$N$6:$N$3005,'Nhật ký tiến độ'!$C$6:$C$3005,$A382,'Nhật ký tiến độ'!$B$6:$B$3005,_xlfn.MAXIFS('Nhật ký tiến độ'!$B$6:$B$3005,'Nhật ký tiến độ'!$C$6:$C$3005,$A382))))</f>
      </c>
      <c r="AK382" s="225">
        <f>IF(OR($A382="",$V382="Đã xử lý"),"",IF(N($AO382)&gt;0,5-$AO382,IF($J382="Khẩn cấp",5,IF($Y382="Chậm tiến độ",6,IF(OR($Y382="Sắp đến hạn",$J382="Cao"),7,"")))))</f>
      </c>
      <c r="AL382" s="225">
        <f>IF($AK382="","",$AK382*100000+IF(N($U382)=0,99999,INT($U382))+ROW()/100000)</f>
      </c>
      <c r="AM382" s="225">
        <f>IF(OR($A382="",TRIM($K382)="",COUNTIF($K$6:$K382,$K382)&gt;1),0,1)</f>
      </c>
      <c r="AN382" s="225">
        <f>IF($AM382=1,SUM($AM$6:$AM382),"")</f>
      </c>
      <c r="AO382" s="225">
        <f>IF(OR($A382="",$V382="Đã xử lý",N($U382)=0),0,IF(TDBC&lt;=$U382,0,MAX(1,MIN(4,IF((TDBC-$U382)*24&lt;24,1,IF((TDBC-$U382)*24&lt;72,2,IF((TDBC-$U382)*24&lt;168,3,4)))+IFERROR(INDEX({2,1,0,-1},MATCH($J382,{"Khẩn cấp","Cao","Trung bình","Thấp"},0)),0)))))</f>
      </c>
    </row>
    <row r="383">
      <c r="A383" s="216"/>
      <c r="B383" s="217"/>
      <c r="C383" s="218"/>
      <c r="D383" s="218"/>
      <c r="E383" s="218"/>
      <c r="F383" s="218"/>
      <c r="G383" s="216"/>
      <c r="H383" s="218"/>
      <c r="I383" s="218"/>
      <c r="J383" s="216"/>
      <c r="K383" s="218"/>
      <c r="L383" s="218"/>
      <c r="M383" s="218"/>
      <c r="N383" s="218"/>
      <c r="O383" s="219"/>
      <c r="P383" s="216"/>
      <c r="Q383" s="217"/>
      <c r="R383" s="216"/>
      <c r="S383" s="218"/>
      <c r="T383" s="218"/>
      <c r="U383" s="220">
        <f>IF($A383="","",IF(N($Q383)&gt;0,IF(MOD($Q383,1)=0,$Q383+1-1/1440,$Q383),IF(N($B383)=0,"",$B383+IF(N($AH383)&gt;0,$AH383,IFERROR(INDEX(DM_SLA_Gio,MATCH($J383,DM_SLA_Cap,0)),168))/24)))</f>
      </c>
      <c r="V383" s="221">
        <f>IF($A383="","",IF(N($AJ383)=0,"Mới tiếp nhận",INDEX('Nhật ký tiến độ'!$E:$E,$AJ383)))</f>
      </c>
      <c r="W383" s="222">
        <f>IF($A383="","",IF($V383="Đã xử lý",1,IF(N($AJ383)=0,0,N(INDEX('Nhật ký tiến độ'!$D:$D,$AJ383)))))</f>
      </c>
      <c r="X383" s="222">
        <f>IF(OR($A383="",$V383="Đã xử lý",N($U383)=0,N($B383)=0),"",IF(TDBC&lt;=$B383,0,IF(TDBC&gt;=$U383,1,(TDBC-$B383)/($U383-$B383))))</f>
      </c>
      <c r="Y383" s="223">
        <f>IF($A383="","",IF($V383="Đã xử lý","Hoàn thành",IF(N($U383)=0,"Chưa đặt hạn",IF(TDBC&gt;$U383,"Quá hạn",IF(ROUND((N($X383)-$W383)*100,0)&gt;=20,"Chậm tiến độ",IF($U383-TDBC&lt;=1,"Sắp đến hạn","Đúng tiến độ"))))))</f>
      </c>
      <c r="Z383" s="223">
        <f>IF(OR($A383="",$V383="Đã xử lý",N($U383)=0),"",IF(TDBC&gt;$U383,"Quá "&amp;IF(((TDBC-$U383)*24)&lt;1,MAX(1,ROUND(((TDBC-$U383)*24)*60,0))&amp;" phút",IF(ROUND(((TDBC-$U383)*24),0)&lt;24,ROUND(((TDBC-$U383)*24),0)&amp;" giờ",INT(ROUND(((TDBC-$U383)*24),0)/24)&amp;" ngày"&amp;IF(MOD(ROUND(((TDBC-$U383)*24),0),24)&gt;0," "&amp;MOD(ROUND(((TDBC-$U383)*24),0),24)&amp;" giờ",""))),"Còn "&amp;IF((($U383-TDBC)*24)&lt;1,MAX(1,ROUND((($U383-TDBC)*24)*60,0))&amp;" phút",IF(ROUND((($U383-TDBC)*24),0)&lt;24,ROUND((($U383-TDBC)*24),0)&amp;" giờ",INT(ROUND((($U383-TDBC)*24),0)/24)&amp;" ngày"&amp;IF(MOD(ROUND((($U383-TDBC)*24),0),24)&gt;0," "&amp;MOD(ROUND((($U383-TDBC)*24),0),24)&amp;" giờ","")))))</f>
      </c>
      <c r="AA383" s="220">
        <f>IF($V383="Đã xử lý",_xlfn.MAXIFS('Nhật ký tiến độ'!$B$6:$B$3005,'Nhật ký tiến độ'!$C$6:$C$3005,$A383,'Nhật ký tiến độ'!$E$6:$E$3005,"Đã xử lý"),"")</f>
      </c>
      <c r="AB383" s="223">
        <f>IF($AI383="","",IF($AI383&lt;1,MAX(1,ROUND($AI383*60,0))&amp;" phút",IF(ROUND($AI383,0)&lt;24,ROUND($AI383,0)&amp;" giờ",INT(ROUND($AI383,0)/24)&amp;" ngày"&amp;IF(MOD(ROUND($AI383,0),24)&gt;0," "&amp;MOD(ROUND($AI383,0),24)&amp;" giờ",""))))</f>
      </c>
      <c r="AC383" s="223">
        <f>IF(OR($A383="",N($AH383)=0),"",IF($AI383&lt;&gt;"",IF($AI383&lt;=$AH383,"Trong ước tính","Vượt "&amp;IF(($AI383-$AH383)&lt;1,MAX(1,ROUND(($AI383-$AH383)*60,0))&amp;" phút",IF(ROUND(($AI383-$AH383),0)&lt;24,ROUND(($AI383-$AH383),0)&amp;" giờ",INT(ROUND(($AI383-$AH383),0)/24)&amp;" ngày"&amp;IF(MOD(ROUND(($AI383-$AH383),0),24)&gt;0," "&amp;MOD(ROUND(($AI383-$AH383),0),24)&amp;" giờ","")))),IF(OR($V383="Đã xử lý",N($B383)=0),"",IF((TDBC-$B383)*24&gt;$AH383,"Đã vượt ước tính","Đã dùng "&amp;TEXT((TDBC-$B383)*24/$AH383,"0%")))))</f>
      </c>
      <c r="AD383" s="223">
        <f>IF(N($AO383)=0,"",CHOOSE($AO383,"Nhắc nhở","Cảnh báo","Báo động","Báo động đỏ"))</f>
      </c>
      <c r="AE383" s="223">
        <f>IF(OR(N($AA383)=0,N($U383)=0),"",IF($AA383&lt;=$U383,"Đúng hạn","Trễ hạn"))</f>
      </c>
      <c r="AF383" s="220">
        <f>IF($A383="","",_xlfn.MAXIFS('Nhật ký tiến độ'!$B$6:$B$3005,'Nhật ký tiến độ'!$C$6:$C$3005,$A383))</f>
      </c>
      <c r="AG383" s="223">
        <f>IF($A383="","",IF(COUNTIF('Kế hoạch'!$M$6:$M$305,$A383)=0,"",COUNTIF('Kế hoạch'!$M$6:$M$305,$A383)&amp;" việc"))</f>
      </c>
      <c r="AH383" s="224">
        <f>IF(OR($A383="",N($O383)&lt;=0),"",IF($P383="Giờ",$O383,$O383*24))</f>
      </c>
      <c r="AI383" s="224">
        <f>IF(OR(N($AA383)=0,N($B383)=0),"",IF($AA383&lt;$B383,"",($AA383-$B383)*24))</f>
      </c>
      <c r="AJ383" s="225">
        <f>IF($A383="","",IF(COUNTIF('Nhật ký tiến độ'!$C$6:$C$3005,$A383)=0,0,_xlfn.MAXIFS('Nhật ký tiến độ'!$N$6:$N$3005,'Nhật ký tiến độ'!$C$6:$C$3005,$A383,'Nhật ký tiến độ'!$B$6:$B$3005,_xlfn.MAXIFS('Nhật ký tiến độ'!$B$6:$B$3005,'Nhật ký tiến độ'!$C$6:$C$3005,$A383))))</f>
      </c>
      <c r="AK383" s="225">
        <f>IF(OR($A383="",$V383="Đã xử lý"),"",IF(N($AO383)&gt;0,5-$AO383,IF($J383="Khẩn cấp",5,IF($Y383="Chậm tiến độ",6,IF(OR($Y383="Sắp đến hạn",$J383="Cao"),7,"")))))</f>
      </c>
      <c r="AL383" s="225">
        <f>IF($AK383="","",$AK383*100000+IF(N($U383)=0,99999,INT($U383))+ROW()/100000)</f>
      </c>
      <c r="AM383" s="225">
        <f>IF(OR($A383="",TRIM($K383)="",COUNTIF($K$6:$K383,$K383)&gt;1),0,1)</f>
      </c>
      <c r="AN383" s="225">
        <f>IF($AM383=1,SUM($AM$6:$AM383),"")</f>
      </c>
      <c r="AO383" s="225">
        <f>IF(OR($A383="",$V383="Đã xử lý",N($U383)=0),0,IF(TDBC&lt;=$U383,0,MAX(1,MIN(4,IF((TDBC-$U383)*24&lt;24,1,IF((TDBC-$U383)*24&lt;72,2,IF((TDBC-$U383)*24&lt;168,3,4)))+IFERROR(INDEX({2,1,0,-1},MATCH($J383,{"Khẩn cấp","Cao","Trung bình","Thấp"},0)),0)))))</f>
      </c>
    </row>
    <row r="384">
      <c r="A384" s="216"/>
      <c r="B384" s="217"/>
      <c r="C384" s="218"/>
      <c r="D384" s="218"/>
      <c r="E384" s="218"/>
      <c r="F384" s="218"/>
      <c r="G384" s="216"/>
      <c r="H384" s="218"/>
      <c r="I384" s="218"/>
      <c r="J384" s="216"/>
      <c r="K384" s="218"/>
      <c r="L384" s="218"/>
      <c r="M384" s="218"/>
      <c r="N384" s="218"/>
      <c r="O384" s="219"/>
      <c r="P384" s="216"/>
      <c r="Q384" s="217"/>
      <c r="R384" s="216"/>
      <c r="S384" s="218"/>
      <c r="T384" s="218"/>
      <c r="U384" s="220">
        <f>IF($A384="","",IF(N($Q384)&gt;0,IF(MOD($Q384,1)=0,$Q384+1-1/1440,$Q384),IF(N($B384)=0,"",$B384+IF(N($AH384)&gt;0,$AH384,IFERROR(INDEX(DM_SLA_Gio,MATCH($J384,DM_SLA_Cap,0)),168))/24)))</f>
      </c>
      <c r="V384" s="221">
        <f>IF($A384="","",IF(N($AJ384)=0,"Mới tiếp nhận",INDEX('Nhật ký tiến độ'!$E:$E,$AJ384)))</f>
      </c>
      <c r="W384" s="222">
        <f>IF($A384="","",IF($V384="Đã xử lý",1,IF(N($AJ384)=0,0,N(INDEX('Nhật ký tiến độ'!$D:$D,$AJ384)))))</f>
      </c>
      <c r="X384" s="222">
        <f>IF(OR($A384="",$V384="Đã xử lý",N($U384)=0,N($B384)=0),"",IF(TDBC&lt;=$B384,0,IF(TDBC&gt;=$U384,1,(TDBC-$B384)/($U384-$B384))))</f>
      </c>
      <c r="Y384" s="223">
        <f>IF($A384="","",IF($V384="Đã xử lý","Hoàn thành",IF(N($U384)=0,"Chưa đặt hạn",IF(TDBC&gt;$U384,"Quá hạn",IF(ROUND((N($X384)-$W384)*100,0)&gt;=20,"Chậm tiến độ",IF($U384-TDBC&lt;=1,"Sắp đến hạn","Đúng tiến độ"))))))</f>
      </c>
      <c r="Z384" s="223">
        <f>IF(OR($A384="",$V384="Đã xử lý",N($U384)=0),"",IF(TDBC&gt;$U384,"Quá "&amp;IF(((TDBC-$U384)*24)&lt;1,MAX(1,ROUND(((TDBC-$U384)*24)*60,0))&amp;" phút",IF(ROUND(((TDBC-$U384)*24),0)&lt;24,ROUND(((TDBC-$U384)*24),0)&amp;" giờ",INT(ROUND(((TDBC-$U384)*24),0)/24)&amp;" ngày"&amp;IF(MOD(ROUND(((TDBC-$U384)*24),0),24)&gt;0," "&amp;MOD(ROUND(((TDBC-$U384)*24),0),24)&amp;" giờ",""))),"Còn "&amp;IF((($U384-TDBC)*24)&lt;1,MAX(1,ROUND((($U384-TDBC)*24)*60,0))&amp;" phút",IF(ROUND((($U384-TDBC)*24),0)&lt;24,ROUND((($U384-TDBC)*24),0)&amp;" giờ",INT(ROUND((($U384-TDBC)*24),0)/24)&amp;" ngày"&amp;IF(MOD(ROUND((($U384-TDBC)*24),0),24)&gt;0," "&amp;MOD(ROUND((($U384-TDBC)*24),0),24)&amp;" giờ","")))))</f>
      </c>
      <c r="AA384" s="220">
        <f>IF($V384="Đã xử lý",_xlfn.MAXIFS('Nhật ký tiến độ'!$B$6:$B$3005,'Nhật ký tiến độ'!$C$6:$C$3005,$A384,'Nhật ký tiến độ'!$E$6:$E$3005,"Đã xử lý"),"")</f>
      </c>
      <c r="AB384" s="223">
        <f>IF($AI384="","",IF($AI384&lt;1,MAX(1,ROUND($AI384*60,0))&amp;" phút",IF(ROUND($AI384,0)&lt;24,ROUND($AI384,0)&amp;" giờ",INT(ROUND($AI384,0)/24)&amp;" ngày"&amp;IF(MOD(ROUND($AI384,0),24)&gt;0," "&amp;MOD(ROUND($AI384,0),24)&amp;" giờ",""))))</f>
      </c>
      <c r="AC384" s="223">
        <f>IF(OR($A384="",N($AH384)=0),"",IF($AI384&lt;&gt;"",IF($AI384&lt;=$AH384,"Trong ước tính","Vượt "&amp;IF(($AI384-$AH384)&lt;1,MAX(1,ROUND(($AI384-$AH384)*60,0))&amp;" phút",IF(ROUND(($AI384-$AH384),0)&lt;24,ROUND(($AI384-$AH384),0)&amp;" giờ",INT(ROUND(($AI384-$AH384),0)/24)&amp;" ngày"&amp;IF(MOD(ROUND(($AI384-$AH384),0),24)&gt;0," "&amp;MOD(ROUND(($AI384-$AH384),0),24)&amp;" giờ","")))),IF(OR($V384="Đã xử lý",N($B384)=0),"",IF((TDBC-$B384)*24&gt;$AH384,"Đã vượt ước tính","Đã dùng "&amp;TEXT((TDBC-$B384)*24/$AH384,"0%")))))</f>
      </c>
      <c r="AD384" s="223">
        <f>IF(N($AO384)=0,"",CHOOSE($AO384,"Nhắc nhở","Cảnh báo","Báo động","Báo động đỏ"))</f>
      </c>
      <c r="AE384" s="223">
        <f>IF(OR(N($AA384)=0,N($U384)=0),"",IF($AA384&lt;=$U384,"Đúng hạn","Trễ hạn"))</f>
      </c>
      <c r="AF384" s="220">
        <f>IF($A384="","",_xlfn.MAXIFS('Nhật ký tiến độ'!$B$6:$B$3005,'Nhật ký tiến độ'!$C$6:$C$3005,$A384))</f>
      </c>
      <c r="AG384" s="223">
        <f>IF($A384="","",IF(COUNTIF('Kế hoạch'!$M$6:$M$305,$A384)=0,"",COUNTIF('Kế hoạch'!$M$6:$M$305,$A384)&amp;" việc"))</f>
      </c>
      <c r="AH384" s="224">
        <f>IF(OR($A384="",N($O384)&lt;=0),"",IF($P384="Giờ",$O384,$O384*24))</f>
      </c>
      <c r="AI384" s="224">
        <f>IF(OR(N($AA384)=0,N($B384)=0),"",IF($AA384&lt;$B384,"",($AA384-$B384)*24))</f>
      </c>
      <c r="AJ384" s="225">
        <f>IF($A384="","",IF(COUNTIF('Nhật ký tiến độ'!$C$6:$C$3005,$A384)=0,0,_xlfn.MAXIFS('Nhật ký tiến độ'!$N$6:$N$3005,'Nhật ký tiến độ'!$C$6:$C$3005,$A384,'Nhật ký tiến độ'!$B$6:$B$3005,_xlfn.MAXIFS('Nhật ký tiến độ'!$B$6:$B$3005,'Nhật ký tiến độ'!$C$6:$C$3005,$A384))))</f>
      </c>
      <c r="AK384" s="225">
        <f>IF(OR($A384="",$V384="Đã xử lý"),"",IF(N($AO384)&gt;0,5-$AO384,IF($J384="Khẩn cấp",5,IF($Y384="Chậm tiến độ",6,IF(OR($Y384="Sắp đến hạn",$J384="Cao"),7,"")))))</f>
      </c>
      <c r="AL384" s="225">
        <f>IF($AK384="","",$AK384*100000+IF(N($U384)=0,99999,INT($U384))+ROW()/100000)</f>
      </c>
      <c r="AM384" s="225">
        <f>IF(OR($A384="",TRIM($K384)="",COUNTIF($K$6:$K384,$K384)&gt;1),0,1)</f>
      </c>
      <c r="AN384" s="225">
        <f>IF($AM384=1,SUM($AM$6:$AM384),"")</f>
      </c>
      <c r="AO384" s="225">
        <f>IF(OR($A384="",$V384="Đã xử lý",N($U384)=0),0,IF(TDBC&lt;=$U384,0,MAX(1,MIN(4,IF((TDBC-$U384)*24&lt;24,1,IF((TDBC-$U384)*24&lt;72,2,IF((TDBC-$U384)*24&lt;168,3,4)))+IFERROR(INDEX({2,1,0,-1},MATCH($J384,{"Khẩn cấp","Cao","Trung bình","Thấp"},0)),0)))))</f>
      </c>
    </row>
    <row r="385">
      <c r="A385" s="216"/>
      <c r="B385" s="217"/>
      <c r="C385" s="218"/>
      <c r="D385" s="218"/>
      <c r="E385" s="218"/>
      <c r="F385" s="218"/>
      <c r="G385" s="216"/>
      <c r="H385" s="218"/>
      <c r="I385" s="218"/>
      <c r="J385" s="216"/>
      <c r="K385" s="218"/>
      <c r="L385" s="218"/>
      <c r="M385" s="218"/>
      <c r="N385" s="218"/>
      <c r="O385" s="219"/>
      <c r="P385" s="216"/>
      <c r="Q385" s="217"/>
      <c r="R385" s="216"/>
      <c r="S385" s="218"/>
      <c r="T385" s="218"/>
      <c r="U385" s="220">
        <f>IF($A385="","",IF(N($Q385)&gt;0,IF(MOD($Q385,1)=0,$Q385+1-1/1440,$Q385),IF(N($B385)=0,"",$B385+IF(N($AH385)&gt;0,$AH385,IFERROR(INDEX(DM_SLA_Gio,MATCH($J385,DM_SLA_Cap,0)),168))/24)))</f>
      </c>
      <c r="V385" s="221">
        <f>IF($A385="","",IF(N($AJ385)=0,"Mới tiếp nhận",INDEX('Nhật ký tiến độ'!$E:$E,$AJ385)))</f>
      </c>
      <c r="W385" s="222">
        <f>IF($A385="","",IF($V385="Đã xử lý",1,IF(N($AJ385)=0,0,N(INDEX('Nhật ký tiến độ'!$D:$D,$AJ385)))))</f>
      </c>
      <c r="X385" s="222">
        <f>IF(OR($A385="",$V385="Đã xử lý",N($U385)=0,N($B385)=0),"",IF(TDBC&lt;=$B385,0,IF(TDBC&gt;=$U385,1,(TDBC-$B385)/($U385-$B385))))</f>
      </c>
      <c r="Y385" s="223">
        <f>IF($A385="","",IF($V385="Đã xử lý","Hoàn thành",IF(N($U385)=0,"Chưa đặt hạn",IF(TDBC&gt;$U385,"Quá hạn",IF(ROUND((N($X385)-$W385)*100,0)&gt;=20,"Chậm tiến độ",IF($U385-TDBC&lt;=1,"Sắp đến hạn","Đúng tiến độ"))))))</f>
      </c>
      <c r="Z385" s="223">
        <f>IF(OR($A385="",$V385="Đã xử lý",N($U385)=0),"",IF(TDBC&gt;$U385,"Quá "&amp;IF(((TDBC-$U385)*24)&lt;1,MAX(1,ROUND(((TDBC-$U385)*24)*60,0))&amp;" phút",IF(ROUND(((TDBC-$U385)*24),0)&lt;24,ROUND(((TDBC-$U385)*24),0)&amp;" giờ",INT(ROUND(((TDBC-$U385)*24),0)/24)&amp;" ngày"&amp;IF(MOD(ROUND(((TDBC-$U385)*24),0),24)&gt;0," "&amp;MOD(ROUND(((TDBC-$U385)*24),0),24)&amp;" giờ",""))),"Còn "&amp;IF((($U385-TDBC)*24)&lt;1,MAX(1,ROUND((($U385-TDBC)*24)*60,0))&amp;" phút",IF(ROUND((($U385-TDBC)*24),0)&lt;24,ROUND((($U385-TDBC)*24),0)&amp;" giờ",INT(ROUND((($U385-TDBC)*24),0)/24)&amp;" ngày"&amp;IF(MOD(ROUND((($U385-TDBC)*24),0),24)&gt;0," "&amp;MOD(ROUND((($U385-TDBC)*24),0),24)&amp;" giờ","")))))</f>
      </c>
      <c r="AA385" s="220">
        <f>IF($V385="Đã xử lý",_xlfn.MAXIFS('Nhật ký tiến độ'!$B$6:$B$3005,'Nhật ký tiến độ'!$C$6:$C$3005,$A385,'Nhật ký tiến độ'!$E$6:$E$3005,"Đã xử lý"),"")</f>
      </c>
      <c r="AB385" s="223">
        <f>IF($AI385="","",IF($AI385&lt;1,MAX(1,ROUND($AI385*60,0))&amp;" phút",IF(ROUND($AI385,0)&lt;24,ROUND($AI385,0)&amp;" giờ",INT(ROUND($AI385,0)/24)&amp;" ngày"&amp;IF(MOD(ROUND($AI385,0),24)&gt;0," "&amp;MOD(ROUND($AI385,0),24)&amp;" giờ",""))))</f>
      </c>
      <c r="AC385" s="223">
        <f>IF(OR($A385="",N($AH385)=0),"",IF($AI385&lt;&gt;"",IF($AI385&lt;=$AH385,"Trong ước tính","Vượt "&amp;IF(($AI385-$AH385)&lt;1,MAX(1,ROUND(($AI385-$AH385)*60,0))&amp;" phút",IF(ROUND(($AI385-$AH385),0)&lt;24,ROUND(($AI385-$AH385),0)&amp;" giờ",INT(ROUND(($AI385-$AH385),0)/24)&amp;" ngày"&amp;IF(MOD(ROUND(($AI385-$AH385),0),24)&gt;0," "&amp;MOD(ROUND(($AI385-$AH385),0),24)&amp;" giờ","")))),IF(OR($V385="Đã xử lý",N($B385)=0),"",IF((TDBC-$B385)*24&gt;$AH385,"Đã vượt ước tính","Đã dùng "&amp;TEXT((TDBC-$B385)*24/$AH385,"0%")))))</f>
      </c>
      <c r="AD385" s="223">
        <f>IF(N($AO385)=0,"",CHOOSE($AO385,"Nhắc nhở","Cảnh báo","Báo động","Báo động đỏ"))</f>
      </c>
      <c r="AE385" s="223">
        <f>IF(OR(N($AA385)=0,N($U385)=0),"",IF($AA385&lt;=$U385,"Đúng hạn","Trễ hạn"))</f>
      </c>
      <c r="AF385" s="220">
        <f>IF($A385="","",_xlfn.MAXIFS('Nhật ký tiến độ'!$B$6:$B$3005,'Nhật ký tiến độ'!$C$6:$C$3005,$A385))</f>
      </c>
      <c r="AG385" s="223">
        <f>IF($A385="","",IF(COUNTIF('Kế hoạch'!$M$6:$M$305,$A385)=0,"",COUNTIF('Kế hoạch'!$M$6:$M$305,$A385)&amp;" việc"))</f>
      </c>
      <c r="AH385" s="224">
        <f>IF(OR($A385="",N($O385)&lt;=0),"",IF($P385="Giờ",$O385,$O385*24))</f>
      </c>
      <c r="AI385" s="224">
        <f>IF(OR(N($AA385)=0,N($B385)=0),"",IF($AA385&lt;$B385,"",($AA385-$B385)*24))</f>
      </c>
      <c r="AJ385" s="225">
        <f>IF($A385="","",IF(COUNTIF('Nhật ký tiến độ'!$C$6:$C$3005,$A385)=0,0,_xlfn.MAXIFS('Nhật ký tiến độ'!$N$6:$N$3005,'Nhật ký tiến độ'!$C$6:$C$3005,$A385,'Nhật ký tiến độ'!$B$6:$B$3005,_xlfn.MAXIFS('Nhật ký tiến độ'!$B$6:$B$3005,'Nhật ký tiến độ'!$C$6:$C$3005,$A385))))</f>
      </c>
      <c r="AK385" s="225">
        <f>IF(OR($A385="",$V385="Đã xử lý"),"",IF(N($AO385)&gt;0,5-$AO385,IF($J385="Khẩn cấp",5,IF($Y385="Chậm tiến độ",6,IF(OR($Y385="Sắp đến hạn",$J385="Cao"),7,"")))))</f>
      </c>
      <c r="AL385" s="225">
        <f>IF($AK385="","",$AK385*100000+IF(N($U385)=0,99999,INT($U385))+ROW()/100000)</f>
      </c>
      <c r="AM385" s="225">
        <f>IF(OR($A385="",TRIM($K385)="",COUNTIF($K$6:$K385,$K385)&gt;1),0,1)</f>
      </c>
      <c r="AN385" s="225">
        <f>IF($AM385=1,SUM($AM$6:$AM385),"")</f>
      </c>
      <c r="AO385" s="225">
        <f>IF(OR($A385="",$V385="Đã xử lý",N($U385)=0),0,IF(TDBC&lt;=$U385,0,MAX(1,MIN(4,IF((TDBC-$U385)*24&lt;24,1,IF((TDBC-$U385)*24&lt;72,2,IF((TDBC-$U385)*24&lt;168,3,4)))+IFERROR(INDEX({2,1,0,-1},MATCH($J385,{"Khẩn cấp","Cao","Trung bình","Thấp"},0)),0)))))</f>
      </c>
    </row>
    <row r="386">
      <c r="A386" s="216"/>
      <c r="B386" s="217"/>
      <c r="C386" s="218"/>
      <c r="D386" s="218"/>
      <c r="E386" s="218"/>
      <c r="F386" s="218"/>
      <c r="G386" s="216"/>
      <c r="H386" s="218"/>
      <c r="I386" s="218"/>
      <c r="J386" s="216"/>
      <c r="K386" s="218"/>
      <c r="L386" s="218"/>
      <c r="M386" s="218"/>
      <c r="N386" s="218"/>
      <c r="O386" s="219"/>
      <c r="P386" s="216"/>
      <c r="Q386" s="217"/>
      <c r="R386" s="216"/>
      <c r="S386" s="218"/>
      <c r="T386" s="218"/>
      <c r="U386" s="220">
        <f>IF($A386="","",IF(N($Q386)&gt;0,IF(MOD($Q386,1)=0,$Q386+1-1/1440,$Q386),IF(N($B386)=0,"",$B386+IF(N($AH386)&gt;0,$AH386,IFERROR(INDEX(DM_SLA_Gio,MATCH($J386,DM_SLA_Cap,0)),168))/24)))</f>
      </c>
      <c r="V386" s="221">
        <f>IF($A386="","",IF(N($AJ386)=0,"Mới tiếp nhận",INDEX('Nhật ký tiến độ'!$E:$E,$AJ386)))</f>
      </c>
      <c r="W386" s="222">
        <f>IF($A386="","",IF($V386="Đã xử lý",1,IF(N($AJ386)=0,0,N(INDEX('Nhật ký tiến độ'!$D:$D,$AJ386)))))</f>
      </c>
      <c r="X386" s="222">
        <f>IF(OR($A386="",$V386="Đã xử lý",N($U386)=0,N($B386)=0),"",IF(TDBC&lt;=$B386,0,IF(TDBC&gt;=$U386,1,(TDBC-$B386)/($U386-$B386))))</f>
      </c>
      <c r="Y386" s="223">
        <f>IF($A386="","",IF($V386="Đã xử lý","Hoàn thành",IF(N($U386)=0,"Chưa đặt hạn",IF(TDBC&gt;$U386,"Quá hạn",IF(ROUND((N($X386)-$W386)*100,0)&gt;=20,"Chậm tiến độ",IF($U386-TDBC&lt;=1,"Sắp đến hạn","Đúng tiến độ"))))))</f>
      </c>
      <c r="Z386" s="223">
        <f>IF(OR($A386="",$V386="Đã xử lý",N($U386)=0),"",IF(TDBC&gt;$U386,"Quá "&amp;IF(((TDBC-$U386)*24)&lt;1,MAX(1,ROUND(((TDBC-$U386)*24)*60,0))&amp;" phút",IF(ROUND(((TDBC-$U386)*24),0)&lt;24,ROUND(((TDBC-$U386)*24),0)&amp;" giờ",INT(ROUND(((TDBC-$U386)*24),0)/24)&amp;" ngày"&amp;IF(MOD(ROUND(((TDBC-$U386)*24),0),24)&gt;0," "&amp;MOD(ROUND(((TDBC-$U386)*24),0),24)&amp;" giờ",""))),"Còn "&amp;IF((($U386-TDBC)*24)&lt;1,MAX(1,ROUND((($U386-TDBC)*24)*60,0))&amp;" phút",IF(ROUND((($U386-TDBC)*24),0)&lt;24,ROUND((($U386-TDBC)*24),0)&amp;" giờ",INT(ROUND((($U386-TDBC)*24),0)/24)&amp;" ngày"&amp;IF(MOD(ROUND((($U386-TDBC)*24),0),24)&gt;0," "&amp;MOD(ROUND((($U386-TDBC)*24),0),24)&amp;" giờ","")))))</f>
      </c>
      <c r="AA386" s="220">
        <f>IF($V386="Đã xử lý",_xlfn.MAXIFS('Nhật ký tiến độ'!$B$6:$B$3005,'Nhật ký tiến độ'!$C$6:$C$3005,$A386,'Nhật ký tiến độ'!$E$6:$E$3005,"Đã xử lý"),"")</f>
      </c>
      <c r="AB386" s="223">
        <f>IF($AI386="","",IF($AI386&lt;1,MAX(1,ROUND($AI386*60,0))&amp;" phút",IF(ROUND($AI386,0)&lt;24,ROUND($AI386,0)&amp;" giờ",INT(ROUND($AI386,0)/24)&amp;" ngày"&amp;IF(MOD(ROUND($AI386,0),24)&gt;0," "&amp;MOD(ROUND($AI386,0),24)&amp;" giờ",""))))</f>
      </c>
      <c r="AC386" s="223">
        <f>IF(OR($A386="",N($AH386)=0),"",IF($AI386&lt;&gt;"",IF($AI386&lt;=$AH386,"Trong ước tính","Vượt "&amp;IF(($AI386-$AH386)&lt;1,MAX(1,ROUND(($AI386-$AH386)*60,0))&amp;" phút",IF(ROUND(($AI386-$AH386),0)&lt;24,ROUND(($AI386-$AH386),0)&amp;" giờ",INT(ROUND(($AI386-$AH386),0)/24)&amp;" ngày"&amp;IF(MOD(ROUND(($AI386-$AH386),0),24)&gt;0," "&amp;MOD(ROUND(($AI386-$AH386),0),24)&amp;" giờ","")))),IF(OR($V386="Đã xử lý",N($B386)=0),"",IF((TDBC-$B386)*24&gt;$AH386,"Đã vượt ước tính","Đã dùng "&amp;TEXT((TDBC-$B386)*24/$AH386,"0%")))))</f>
      </c>
      <c r="AD386" s="223">
        <f>IF(N($AO386)=0,"",CHOOSE($AO386,"Nhắc nhở","Cảnh báo","Báo động","Báo động đỏ"))</f>
      </c>
      <c r="AE386" s="223">
        <f>IF(OR(N($AA386)=0,N($U386)=0),"",IF($AA386&lt;=$U386,"Đúng hạn","Trễ hạn"))</f>
      </c>
      <c r="AF386" s="220">
        <f>IF($A386="","",_xlfn.MAXIFS('Nhật ký tiến độ'!$B$6:$B$3005,'Nhật ký tiến độ'!$C$6:$C$3005,$A386))</f>
      </c>
      <c r="AG386" s="223">
        <f>IF($A386="","",IF(COUNTIF('Kế hoạch'!$M$6:$M$305,$A386)=0,"",COUNTIF('Kế hoạch'!$M$6:$M$305,$A386)&amp;" việc"))</f>
      </c>
      <c r="AH386" s="224">
        <f>IF(OR($A386="",N($O386)&lt;=0),"",IF($P386="Giờ",$O386,$O386*24))</f>
      </c>
      <c r="AI386" s="224">
        <f>IF(OR(N($AA386)=0,N($B386)=0),"",IF($AA386&lt;$B386,"",($AA386-$B386)*24))</f>
      </c>
      <c r="AJ386" s="225">
        <f>IF($A386="","",IF(COUNTIF('Nhật ký tiến độ'!$C$6:$C$3005,$A386)=0,0,_xlfn.MAXIFS('Nhật ký tiến độ'!$N$6:$N$3005,'Nhật ký tiến độ'!$C$6:$C$3005,$A386,'Nhật ký tiến độ'!$B$6:$B$3005,_xlfn.MAXIFS('Nhật ký tiến độ'!$B$6:$B$3005,'Nhật ký tiến độ'!$C$6:$C$3005,$A386))))</f>
      </c>
      <c r="AK386" s="225">
        <f>IF(OR($A386="",$V386="Đã xử lý"),"",IF(N($AO386)&gt;0,5-$AO386,IF($J386="Khẩn cấp",5,IF($Y386="Chậm tiến độ",6,IF(OR($Y386="Sắp đến hạn",$J386="Cao"),7,"")))))</f>
      </c>
      <c r="AL386" s="225">
        <f>IF($AK386="","",$AK386*100000+IF(N($U386)=0,99999,INT($U386))+ROW()/100000)</f>
      </c>
      <c r="AM386" s="225">
        <f>IF(OR($A386="",TRIM($K386)="",COUNTIF($K$6:$K386,$K386)&gt;1),0,1)</f>
      </c>
      <c r="AN386" s="225">
        <f>IF($AM386=1,SUM($AM$6:$AM386),"")</f>
      </c>
      <c r="AO386" s="225">
        <f>IF(OR($A386="",$V386="Đã xử lý",N($U386)=0),0,IF(TDBC&lt;=$U386,0,MAX(1,MIN(4,IF((TDBC-$U386)*24&lt;24,1,IF((TDBC-$U386)*24&lt;72,2,IF((TDBC-$U386)*24&lt;168,3,4)))+IFERROR(INDEX({2,1,0,-1},MATCH($J386,{"Khẩn cấp","Cao","Trung bình","Thấp"},0)),0)))))</f>
      </c>
    </row>
    <row r="387">
      <c r="A387" s="216"/>
      <c r="B387" s="217"/>
      <c r="C387" s="218"/>
      <c r="D387" s="218"/>
      <c r="E387" s="218"/>
      <c r="F387" s="218"/>
      <c r="G387" s="216"/>
      <c r="H387" s="218"/>
      <c r="I387" s="218"/>
      <c r="J387" s="216"/>
      <c r="K387" s="218"/>
      <c r="L387" s="218"/>
      <c r="M387" s="218"/>
      <c r="N387" s="218"/>
      <c r="O387" s="219"/>
      <c r="P387" s="216"/>
      <c r="Q387" s="217"/>
      <c r="R387" s="216"/>
      <c r="S387" s="218"/>
      <c r="T387" s="218"/>
      <c r="U387" s="220">
        <f>IF($A387="","",IF(N($Q387)&gt;0,IF(MOD($Q387,1)=0,$Q387+1-1/1440,$Q387),IF(N($B387)=0,"",$B387+IF(N($AH387)&gt;0,$AH387,IFERROR(INDEX(DM_SLA_Gio,MATCH($J387,DM_SLA_Cap,0)),168))/24)))</f>
      </c>
      <c r="V387" s="221">
        <f>IF($A387="","",IF(N($AJ387)=0,"Mới tiếp nhận",INDEX('Nhật ký tiến độ'!$E:$E,$AJ387)))</f>
      </c>
      <c r="W387" s="222">
        <f>IF($A387="","",IF($V387="Đã xử lý",1,IF(N($AJ387)=0,0,N(INDEX('Nhật ký tiến độ'!$D:$D,$AJ387)))))</f>
      </c>
      <c r="X387" s="222">
        <f>IF(OR($A387="",$V387="Đã xử lý",N($U387)=0,N($B387)=0),"",IF(TDBC&lt;=$B387,0,IF(TDBC&gt;=$U387,1,(TDBC-$B387)/($U387-$B387))))</f>
      </c>
      <c r="Y387" s="223">
        <f>IF($A387="","",IF($V387="Đã xử lý","Hoàn thành",IF(N($U387)=0,"Chưa đặt hạn",IF(TDBC&gt;$U387,"Quá hạn",IF(ROUND((N($X387)-$W387)*100,0)&gt;=20,"Chậm tiến độ",IF($U387-TDBC&lt;=1,"Sắp đến hạn","Đúng tiến độ"))))))</f>
      </c>
      <c r="Z387" s="223">
        <f>IF(OR($A387="",$V387="Đã xử lý",N($U387)=0),"",IF(TDBC&gt;$U387,"Quá "&amp;IF(((TDBC-$U387)*24)&lt;1,MAX(1,ROUND(((TDBC-$U387)*24)*60,0))&amp;" phút",IF(ROUND(((TDBC-$U387)*24),0)&lt;24,ROUND(((TDBC-$U387)*24),0)&amp;" giờ",INT(ROUND(((TDBC-$U387)*24),0)/24)&amp;" ngày"&amp;IF(MOD(ROUND(((TDBC-$U387)*24),0),24)&gt;0," "&amp;MOD(ROUND(((TDBC-$U387)*24),0),24)&amp;" giờ",""))),"Còn "&amp;IF((($U387-TDBC)*24)&lt;1,MAX(1,ROUND((($U387-TDBC)*24)*60,0))&amp;" phút",IF(ROUND((($U387-TDBC)*24),0)&lt;24,ROUND((($U387-TDBC)*24),0)&amp;" giờ",INT(ROUND((($U387-TDBC)*24),0)/24)&amp;" ngày"&amp;IF(MOD(ROUND((($U387-TDBC)*24),0),24)&gt;0," "&amp;MOD(ROUND((($U387-TDBC)*24),0),24)&amp;" giờ","")))))</f>
      </c>
      <c r="AA387" s="220">
        <f>IF($V387="Đã xử lý",_xlfn.MAXIFS('Nhật ký tiến độ'!$B$6:$B$3005,'Nhật ký tiến độ'!$C$6:$C$3005,$A387,'Nhật ký tiến độ'!$E$6:$E$3005,"Đã xử lý"),"")</f>
      </c>
      <c r="AB387" s="223">
        <f>IF($AI387="","",IF($AI387&lt;1,MAX(1,ROUND($AI387*60,0))&amp;" phút",IF(ROUND($AI387,0)&lt;24,ROUND($AI387,0)&amp;" giờ",INT(ROUND($AI387,0)/24)&amp;" ngày"&amp;IF(MOD(ROUND($AI387,0),24)&gt;0," "&amp;MOD(ROUND($AI387,0),24)&amp;" giờ",""))))</f>
      </c>
      <c r="AC387" s="223">
        <f>IF(OR($A387="",N($AH387)=0),"",IF($AI387&lt;&gt;"",IF($AI387&lt;=$AH387,"Trong ước tính","Vượt "&amp;IF(($AI387-$AH387)&lt;1,MAX(1,ROUND(($AI387-$AH387)*60,0))&amp;" phút",IF(ROUND(($AI387-$AH387),0)&lt;24,ROUND(($AI387-$AH387),0)&amp;" giờ",INT(ROUND(($AI387-$AH387),0)/24)&amp;" ngày"&amp;IF(MOD(ROUND(($AI387-$AH387),0),24)&gt;0," "&amp;MOD(ROUND(($AI387-$AH387),0),24)&amp;" giờ","")))),IF(OR($V387="Đã xử lý",N($B387)=0),"",IF((TDBC-$B387)*24&gt;$AH387,"Đã vượt ước tính","Đã dùng "&amp;TEXT((TDBC-$B387)*24/$AH387,"0%")))))</f>
      </c>
      <c r="AD387" s="223">
        <f>IF(N($AO387)=0,"",CHOOSE($AO387,"Nhắc nhở","Cảnh báo","Báo động","Báo động đỏ"))</f>
      </c>
      <c r="AE387" s="223">
        <f>IF(OR(N($AA387)=0,N($U387)=0),"",IF($AA387&lt;=$U387,"Đúng hạn","Trễ hạn"))</f>
      </c>
      <c r="AF387" s="220">
        <f>IF($A387="","",_xlfn.MAXIFS('Nhật ký tiến độ'!$B$6:$B$3005,'Nhật ký tiến độ'!$C$6:$C$3005,$A387))</f>
      </c>
      <c r="AG387" s="223">
        <f>IF($A387="","",IF(COUNTIF('Kế hoạch'!$M$6:$M$305,$A387)=0,"",COUNTIF('Kế hoạch'!$M$6:$M$305,$A387)&amp;" việc"))</f>
      </c>
      <c r="AH387" s="224">
        <f>IF(OR($A387="",N($O387)&lt;=0),"",IF($P387="Giờ",$O387,$O387*24))</f>
      </c>
      <c r="AI387" s="224">
        <f>IF(OR(N($AA387)=0,N($B387)=0),"",IF($AA387&lt;$B387,"",($AA387-$B387)*24))</f>
      </c>
      <c r="AJ387" s="225">
        <f>IF($A387="","",IF(COUNTIF('Nhật ký tiến độ'!$C$6:$C$3005,$A387)=0,0,_xlfn.MAXIFS('Nhật ký tiến độ'!$N$6:$N$3005,'Nhật ký tiến độ'!$C$6:$C$3005,$A387,'Nhật ký tiến độ'!$B$6:$B$3005,_xlfn.MAXIFS('Nhật ký tiến độ'!$B$6:$B$3005,'Nhật ký tiến độ'!$C$6:$C$3005,$A387))))</f>
      </c>
      <c r="AK387" s="225">
        <f>IF(OR($A387="",$V387="Đã xử lý"),"",IF(N($AO387)&gt;0,5-$AO387,IF($J387="Khẩn cấp",5,IF($Y387="Chậm tiến độ",6,IF(OR($Y387="Sắp đến hạn",$J387="Cao"),7,"")))))</f>
      </c>
      <c r="AL387" s="225">
        <f>IF($AK387="","",$AK387*100000+IF(N($U387)=0,99999,INT($U387))+ROW()/100000)</f>
      </c>
      <c r="AM387" s="225">
        <f>IF(OR($A387="",TRIM($K387)="",COUNTIF($K$6:$K387,$K387)&gt;1),0,1)</f>
      </c>
      <c r="AN387" s="225">
        <f>IF($AM387=1,SUM($AM$6:$AM387),"")</f>
      </c>
      <c r="AO387" s="225">
        <f>IF(OR($A387="",$V387="Đã xử lý",N($U387)=0),0,IF(TDBC&lt;=$U387,0,MAX(1,MIN(4,IF((TDBC-$U387)*24&lt;24,1,IF((TDBC-$U387)*24&lt;72,2,IF((TDBC-$U387)*24&lt;168,3,4)))+IFERROR(INDEX({2,1,0,-1},MATCH($J387,{"Khẩn cấp","Cao","Trung bình","Thấp"},0)),0)))))</f>
      </c>
    </row>
    <row r="388">
      <c r="A388" s="216"/>
      <c r="B388" s="217"/>
      <c r="C388" s="218"/>
      <c r="D388" s="218"/>
      <c r="E388" s="218"/>
      <c r="F388" s="218"/>
      <c r="G388" s="216"/>
      <c r="H388" s="218"/>
      <c r="I388" s="218"/>
      <c r="J388" s="216"/>
      <c r="K388" s="218"/>
      <c r="L388" s="218"/>
      <c r="M388" s="218"/>
      <c r="N388" s="218"/>
      <c r="O388" s="219"/>
      <c r="P388" s="216"/>
      <c r="Q388" s="217"/>
      <c r="R388" s="216"/>
      <c r="S388" s="218"/>
      <c r="T388" s="218"/>
      <c r="U388" s="220">
        <f>IF($A388="","",IF(N($Q388)&gt;0,IF(MOD($Q388,1)=0,$Q388+1-1/1440,$Q388),IF(N($B388)=0,"",$B388+IF(N($AH388)&gt;0,$AH388,IFERROR(INDEX(DM_SLA_Gio,MATCH($J388,DM_SLA_Cap,0)),168))/24)))</f>
      </c>
      <c r="V388" s="221">
        <f>IF($A388="","",IF(N($AJ388)=0,"Mới tiếp nhận",INDEX('Nhật ký tiến độ'!$E:$E,$AJ388)))</f>
      </c>
      <c r="W388" s="222">
        <f>IF($A388="","",IF($V388="Đã xử lý",1,IF(N($AJ388)=0,0,N(INDEX('Nhật ký tiến độ'!$D:$D,$AJ388)))))</f>
      </c>
      <c r="X388" s="222">
        <f>IF(OR($A388="",$V388="Đã xử lý",N($U388)=0,N($B388)=0),"",IF(TDBC&lt;=$B388,0,IF(TDBC&gt;=$U388,1,(TDBC-$B388)/($U388-$B388))))</f>
      </c>
      <c r="Y388" s="223">
        <f>IF($A388="","",IF($V388="Đã xử lý","Hoàn thành",IF(N($U388)=0,"Chưa đặt hạn",IF(TDBC&gt;$U388,"Quá hạn",IF(ROUND((N($X388)-$W388)*100,0)&gt;=20,"Chậm tiến độ",IF($U388-TDBC&lt;=1,"Sắp đến hạn","Đúng tiến độ"))))))</f>
      </c>
      <c r="Z388" s="223">
        <f>IF(OR($A388="",$V388="Đã xử lý",N($U388)=0),"",IF(TDBC&gt;$U388,"Quá "&amp;IF(((TDBC-$U388)*24)&lt;1,MAX(1,ROUND(((TDBC-$U388)*24)*60,0))&amp;" phút",IF(ROUND(((TDBC-$U388)*24),0)&lt;24,ROUND(((TDBC-$U388)*24),0)&amp;" giờ",INT(ROUND(((TDBC-$U388)*24),0)/24)&amp;" ngày"&amp;IF(MOD(ROUND(((TDBC-$U388)*24),0),24)&gt;0," "&amp;MOD(ROUND(((TDBC-$U388)*24),0),24)&amp;" giờ",""))),"Còn "&amp;IF((($U388-TDBC)*24)&lt;1,MAX(1,ROUND((($U388-TDBC)*24)*60,0))&amp;" phút",IF(ROUND((($U388-TDBC)*24),0)&lt;24,ROUND((($U388-TDBC)*24),0)&amp;" giờ",INT(ROUND((($U388-TDBC)*24),0)/24)&amp;" ngày"&amp;IF(MOD(ROUND((($U388-TDBC)*24),0),24)&gt;0," "&amp;MOD(ROUND((($U388-TDBC)*24),0),24)&amp;" giờ","")))))</f>
      </c>
      <c r="AA388" s="220">
        <f>IF($V388="Đã xử lý",_xlfn.MAXIFS('Nhật ký tiến độ'!$B$6:$B$3005,'Nhật ký tiến độ'!$C$6:$C$3005,$A388,'Nhật ký tiến độ'!$E$6:$E$3005,"Đã xử lý"),"")</f>
      </c>
      <c r="AB388" s="223">
        <f>IF($AI388="","",IF($AI388&lt;1,MAX(1,ROUND($AI388*60,0))&amp;" phút",IF(ROUND($AI388,0)&lt;24,ROUND($AI388,0)&amp;" giờ",INT(ROUND($AI388,0)/24)&amp;" ngày"&amp;IF(MOD(ROUND($AI388,0),24)&gt;0," "&amp;MOD(ROUND($AI388,0),24)&amp;" giờ",""))))</f>
      </c>
      <c r="AC388" s="223">
        <f>IF(OR($A388="",N($AH388)=0),"",IF($AI388&lt;&gt;"",IF($AI388&lt;=$AH388,"Trong ước tính","Vượt "&amp;IF(($AI388-$AH388)&lt;1,MAX(1,ROUND(($AI388-$AH388)*60,0))&amp;" phút",IF(ROUND(($AI388-$AH388),0)&lt;24,ROUND(($AI388-$AH388),0)&amp;" giờ",INT(ROUND(($AI388-$AH388),0)/24)&amp;" ngày"&amp;IF(MOD(ROUND(($AI388-$AH388),0),24)&gt;0," "&amp;MOD(ROUND(($AI388-$AH388),0),24)&amp;" giờ","")))),IF(OR($V388="Đã xử lý",N($B388)=0),"",IF((TDBC-$B388)*24&gt;$AH388,"Đã vượt ước tính","Đã dùng "&amp;TEXT((TDBC-$B388)*24/$AH388,"0%")))))</f>
      </c>
      <c r="AD388" s="223">
        <f>IF(N($AO388)=0,"",CHOOSE($AO388,"Nhắc nhở","Cảnh báo","Báo động","Báo động đỏ"))</f>
      </c>
      <c r="AE388" s="223">
        <f>IF(OR(N($AA388)=0,N($U388)=0),"",IF($AA388&lt;=$U388,"Đúng hạn","Trễ hạn"))</f>
      </c>
      <c r="AF388" s="220">
        <f>IF($A388="","",_xlfn.MAXIFS('Nhật ký tiến độ'!$B$6:$B$3005,'Nhật ký tiến độ'!$C$6:$C$3005,$A388))</f>
      </c>
      <c r="AG388" s="223">
        <f>IF($A388="","",IF(COUNTIF('Kế hoạch'!$M$6:$M$305,$A388)=0,"",COUNTIF('Kế hoạch'!$M$6:$M$305,$A388)&amp;" việc"))</f>
      </c>
      <c r="AH388" s="224">
        <f>IF(OR($A388="",N($O388)&lt;=0),"",IF($P388="Giờ",$O388,$O388*24))</f>
      </c>
      <c r="AI388" s="224">
        <f>IF(OR(N($AA388)=0,N($B388)=0),"",IF($AA388&lt;$B388,"",($AA388-$B388)*24))</f>
      </c>
      <c r="AJ388" s="225">
        <f>IF($A388="","",IF(COUNTIF('Nhật ký tiến độ'!$C$6:$C$3005,$A388)=0,0,_xlfn.MAXIFS('Nhật ký tiến độ'!$N$6:$N$3005,'Nhật ký tiến độ'!$C$6:$C$3005,$A388,'Nhật ký tiến độ'!$B$6:$B$3005,_xlfn.MAXIFS('Nhật ký tiến độ'!$B$6:$B$3005,'Nhật ký tiến độ'!$C$6:$C$3005,$A388))))</f>
      </c>
      <c r="AK388" s="225">
        <f>IF(OR($A388="",$V388="Đã xử lý"),"",IF(N($AO388)&gt;0,5-$AO388,IF($J388="Khẩn cấp",5,IF($Y388="Chậm tiến độ",6,IF(OR($Y388="Sắp đến hạn",$J388="Cao"),7,"")))))</f>
      </c>
      <c r="AL388" s="225">
        <f>IF($AK388="","",$AK388*100000+IF(N($U388)=0,99999,INT($U388))+ROW()/100000)</f>
      </c>
      <c r="AM388" s="225">
        <f>IF(OR($A388="",TRIM($K388)="",COUNTIF($K$6:$K388,$K388)&gt;1),0,1)</f>
      </c>
      <c r="AN388" s="225">
        <f>IF($AM388=1,SUM($AM$6:$AM388),"")</f>
      </c>
      <c r="AO388" s="225">
        <f>IF(OR($A388="",$V388="Đã xử lý",N($U388)=0),0,IF(TDBC&lt;=$U388,0,MAX(1,MIN(4,IF((TDBC-$U388)*24&lt;24,1,IF((TDBC-$U388)*24&lt;72,2,IF((TDBC-$U388)*24&lt;168,3,4)))+IFERROR(INDEX({2,1,0,-1},MATCH($J388,{"Khẩn cấp","Cao","Trung bình","Thấp"},0)),0)))))</f>
      </c>
    </row>
    <row r="389">
      <c r="A389" s="216"/>
      <c r="B389" s="217"/>
      <c r="C389" s="218"/>
      <c r="D389" s="218"/>
      <c r="E389" s="218"/>
      <c r="F389" s="218"/>
      <c r="G389" s="216"/>
      <c r="H389" s="218"/>
      <c r="I389" s="218"/>
      <c r="J389" s="216"/>
      <c r="K389" s="218"/>
      <c r="L389" s="218"/>
      <c r="M389" s="218"/>
      <c r="N389" s="218"/>
      <c r="O389" s="219"/>
      <c r="P389" s="216"/>
      <c r="Q389" s="217"/>
      <c r="R389" s="216"/>
      <c r="S389" s="218"/>
      <c r="T389" s="218"/>
      <c r="U389" s="220">
        <f>IF($A389="","",IF(N($Q389)&gt;0,IF(MOD($Q389,1)=0,$Q389+1-1/1440,$Q389),IF(N($B389)=0,"",$B389+IF(N($AH389)&gt;0,$AH389,IFERROR(INDEX(DM_SLA_Gio,MATCH($J389,DM_SLA_Cap,0)),168))/24)))</f>
      </c>
      <c r="V389" s="221">
        <f>IF($A389="","",IF(N($AJ389)=0,"Mới tiếp nhận",INDEX('Nhật ký tiến độ'!$E:$E,$AJ389)))</f>
      </c>
      <c r="W389" s="222">
        <f>IF($A389="","",IF($V389="Đã xử lý",1,IF(N($AJ389)=0,0,N(INDEX('Nhật ký tiến độ'!$D:$D,$AJ389)))))</f>
      </c>
      <c r="X389" s="222">
        <f>IF(OR($A389="",$V389="Đã xử lý",N($U389)=0,N($B389)=0),"",IF(TDBC&lt;=$B389,0,IF(TDBC&gt;=$U389,1,(TDBC-$B389)/($U389-$B389))))</f>
      </c>
      <c r="Y389" s="223">
        <f>IF($A389="","",IF($V389="Đã xử lý","Hoàn thành",IF(N($U389)=0,"Chưa đặt hạn",IF(TDBC&gt;$U389,"Quá hạn",IF(ROUND((N($X389)-$W389)*100,0)&gt;=20,"Chậm tiến độ",IF($U389-TDBC&lt;=1,"Sắp đến hạn","Đúng tiến độ"))))))</f>
      </c>
      <c r="Z389" s="223">
        <f>IF(OR($A389="",$V389="Đã xử lý",N($U389)=0),"",IF(TDBC&gt;$U389,"Quá "&amp;IF(((TDBC-$U389)*24)&lt;1,MAX(1,ROUND(((TDBC-$U389)*24)*60,0))&amp;" phút",IF(ROUND(((TDBC-$U389)*24),0)&lt;24,ROUND(((TDBC-$U389)*24),0)&amp;" giờ",INT(ROUND(((TDBC-$U389)*24),0)/24)&amp;" ngày"&amp;IF(MOD(ROUND(((TDBC-$U389)*24),0),24)&gt;0," "&amp;MOD(ROUND(((TDBC-$U389)*24),0),24)&amp;" giờ",""))),"Còn "&amp;IF((($U389-TDBC)*24)&lt;1,MAX(1,ROUND((($U389-TDBC)*24)*60,0))&amp;" phút",IF(ROUND((($U389-TDBC)*24),0)&lt;24,ROUND((($U389-TDBC)*24),0)&amp;" giờ",INT(ROUND((($U389-TDBC)*24),0)/24)&amp;" ngày"&amp;IF(MOD(ROUND((($U389-TDBC)*24),0),24)&gt;0," "&amp;MOD(ROUND((($U389-TDBC)*24),0),24)&amp;" giờ","")))))</f>
      </c>
      <c r="AA389" s="220">
        <f>IF($V389="Đã xử lý",_xlfn.MAXIFS('Nhật ký tiến độ'!$B$6:$B$3005,'Nhật ký tiến độ'!$C$6:$C$3005,$A389,'Nhật ký tiến độ'!$E$6:$E$3005,"Đã xử lý"),"")</f>
      </c>
      <c r="AB389" s="223">
        <f>IF($AI389="","",IF($AI389&lt;1,MAX(1,ROUND($AI389*60,0))&amp;" phút",IF(ROUND($AI389,0)&lt;24,ROUND($AI389,0)&amp;" giờ",INT(ROUND($AI389,0)/24)&amp;" ngày"&amp;IF(MOD(ROUND($AI389,0),24)&gt;0," "&amp;MOD(ROUND($AI389,0),24)&amp;" giờ",""))))</f>
      </c>
      <c r="AC389" s="223">
        <f>IF(OR($A389="",N($AH389)=0),"",IF($AI389&lt;&gt;"",IF($AI389&lt;=$AH389,"Trong ước tính","Vượt "&amp;IF(($AI389-$AH389)&lt;1,MAX(1,ROUND(($AI389-$AH389)*60,0))&amp;" phút",IF(ROUND(($AI389-$AH389),0)&lt;24,ROUND(($AI389-$AH389),0)&amp;" giờ",INT(ROUND(($AI389-$AH389),0)/24)&amp;" ngày"&amp;IF(MOD(ROUND(($AI389-$AH389),0),24)&gt;0," "&amp;MOD(ROUND(($AI389-$AH389),0),24)&amp;" giờ","")))),IF(OR($V389="Đã xử lý",N($B389)=0),"",IF((TDBC-$B389)*24&gt;$AH389,"Đã vượt ước tính","Đã dùng "&amp;TEXT((TDBC-$B389)*24/$AH389,"0%")))))</f>
      </c>
      <c r="AD389" s="223">
        <f>IF(N($AO389)=0,"",CHOOSE($AO389,"Nhắc nhở","Cảnh báo","Báo động","Báo động đỏ"))</f>
      </c>
      <c r="AE389" s="223">
        <f>IF(OR(N($AA389)=0,N($U389)=0),"",IF($AA389&lt;=$U389,"Đúng hạn","Trễ hạn"))</f>
      </c>
      <c r="AF389" s="220">
        <f>IF($A389="","",_xlfn.MAXIFS('Nhật ký tiến độ'!$B$6:$B$3005,'Nhật ký tiến độ'!$C$6:$C$3005,$A389))</f>
      </c>
      <c r="AG389" s="223">
        <f>IF($A389="","",IF(COUNTIF('Kế hoạch'!$M$6:$M$305,$A389)=0,"",COUNTIF('Kế hoạch'!$M$6:$M$305,$A389)&amp;" việc"))</f>
      </c>
      <c r="AH389" s="224">
        <f>IF(OR($A389="",N($O389)&lt;=0),"",IF($P389="Giờ",$O389,$O389*24))</f>
      </c>
      <c r="AI389" s="224">
        <f>IF(OR(N($AA389)=0,N($B389)=0),"",IF($AA389&lt;$B389,"",($AA389-$B389)*24))</f>
      </c>
      <c r="AJ389" s="225">
        <f>IF($A389="","",IF(COUNTIF('Nhật ký tiến độ'!$C$6:$C$3005,$A389)=0,0,_xlfn.MAXIFS('Nhật ký tiến độ'!$N$6:$N$3005,'Nhật ký tiến độ'!$C$6:$C$3005,$A389,'Nhật ký tiến độ'!$B$6:$B$3005,_xlfn.MAXIFS('Nhật ký tiến độ'!$B$6:$B$3005,'Nhật ký tiến độ'!$C$6:$C$3005,$A389))))</f>
      </c>
      <c r="AK389" s="225">
        <f>IF(OR($A389="",$V389="Đã xử lý"),"",IF(N($AO389)&gt;0,5-$AO389,IF($J389="Khẩn cấp",5,IF($Y389="Chậm tiến độ",6,IF(OR($Y389="Sắp đến hạn",$J389="Cao"),7,"")))))</f>
      </c>
      <c r="AL389" s="225">
        <f>IF($AK389="","",$AK389*100000+IF(N($U389)=0,99999,INT($U389))+ROW()/100000)</f>
      </c>
      <c r="AM389" s="225">
        <f>IF(OR($A389="",TRIM($K389)="",COUNTIF($K$6:$K389,$K389)&gt;1),0,1)</f>
      </c>
      <c r="AN389" s="225">
        <f>IF($AM389=1,SUM($AM$6:$AM389),"")</f>
      </c>
      <c r="AO389" s="225">
        <f>IF(OR($A389="",$V389="Đã xử lý",N($U389)=0),0,IF(TDBC&lt;=$U389,0,MAX(1,MIN(4,IF((TDBC-$U389)*24&lt;24,1,IF((TDBC-$U389)*24&lt;72,2,IF((TDBC-$U389)*24&lt;168,3,4)))+IFERROR(INDEX({2,1,0,-1},MATCH($J389,{"Khẩn cấp","Cao","Trung bình","Thấp"},0)),0)))))</f>
      </c>
    </row>
    <row r="390">
      <c r="A390" s="216"/>
      <c r="B390" s="217"/>
      <c r="C390" s="218"/>
      <c r="D390" s="218"/>
      <c r="E390" s="218"/>
      <c r="F390" s="218"/>
      <c r="G390" s="216"/>
      <c r="H390" s="218"/>
      <c r="I390" s="218"/>
      <c r="J390" s="216"/>
      <c r="K390" s="218"/>
      <c r="L390" s="218"/>
      <c r="M390" s="218"/>
      <c r="N390" s="218"/>
      <c r="O390" s="219"/>
      <c r="P390" s="216"/>
      <c r="Q390" s="217"/>
      <c r="R390" s="216"/>
      <c r="S390" s="218"/>
      <c r="T390" s="218"/>
      <c r="U390" s="220">
        <f>IF($A390="","",IF(N($Q390)&gt;0,IF(MOD($Q390,1)=0,$Q390+1-1/1440,$Q390),IF(N($B390)=0,"",$B390+IF(N($AH390)&gt;0,$AH390,IFERROR(INDEX(DM_SLA_Gio,MATCH($J390,DM_SLA_Cap,0)),168))/24)))</f>
      </c>
      <c r="V390" s="221">
        <f>IF($A390="","",IF(N($AJ390)=0,"Mới tiếp nhận",INDEX('Nhật ký tiến độ'!$E:$E,$AJ390)))</f>
      </c>
      <c r="W390" s="222">
        <f>IF($A390="","",IF($V390="Đã xử lý",1,IF(N($AJ390)=0,0,N(INDEX('Nhật ký tiến độ'!$D:$D,$AJ390)))))</f>
      </c>
      <c r="X390" s="222">
        <f>IF(OR($A390="",$V390="Đã xử lý",N($U390)=0,N($B390)=0),"",IF(TDBC&lt;=$B390,0,IF(TDBC&gt;=$U390,1,(TDBC-$B390)/($U390-$B390))))</f>
      </c>
      <c r="Y390" s="223">
        <f>IF($A390="","",IF($V390="Đã xử lý","Hoàn thành",IF(N($U390)=0,"Chưa đặt hạn",IF(TDBC&gt;$U390,"Quá hạn",IF(ROUND((N($X390)-$W390)*100,0)&gt;=20,"Chậm tiến độ",IF($U390-TDBC&lt;=1,"Sắp đến hạn","Đúng tiến độ"))))))</f>
      </c>
      <c r="Z390" s="223">
        <f>IF(OR($A390="",$V390="Đã xử lý",N($U390)=0),"",IF(TDBC&gt;$U390,"Quá "&amp;IF(((TDBC-$U390)*24)&lt;1,MAX(1,ROUND(((TDBC-$U390)*24)*60,0))&amp;" phút",IF(ROUND(((TDBC-$U390)*24),0)&lt;24,ROUND(((TDBC-$U390)*24),0)&amp;" giờ",INT(ROUND(((TDBC-$U390)*24),0)/24)&amp;" ngày"&amp;IF(MOD(ROUND(((TDBC-$U390)*24),0),24)&gt;0," "&amp;MOD(ROUND(((TDBC-$U390)*24),0),24)&amp;" giờ",""))),"Còn "&amp;IF((($U390-TDBC)*24)&lt;1,MAX(1,ROUND((($U390-TDBC)*24)*60,0))&amp;" phút",IF(ROUND((($U390-TDBC)*24),0)&lt;24,ROUND((($U390-TDBC)*24),0)&amp;" giờ",INT(ROUND((($U390-TDBC)*24),0)/24)&amp;" ngày"&amp;IF(MOD(ROUND((($U390-TDBC)*24),0),24)&gt;0," "&amp;MOD(ROUND((($U390-TDBC)*24),0),24)&amp;" giờ","")))))</f>
      </c>
      <c r="AA390" s="220">
        <f>IF($V390="Đã xử lý",_xlfn.MAXIFS('Nhật ký tiến độ'!$B$6:$B$3005,'Nhật ký tiến độ'!$C$6:$C$3005,$A390,'Nhật ký tiến độ'!$E$6:$E$3005,"Đã xử lý"),"")</f>
      </c>
      <c r="AB390" s="223">
        <f>IF($AI390="","",IF($AI390&lt;1,MAX(1,ROUND($AI390*60,0))&amp;" phút",IF(ROUND($AI390,0)&lt;24,ROUND($AI390,0)&amp;" giờ",INT(ROUND($AI390,0)/24)&amp;" ngày"&amp;IF(MOD(ROUND($AI390,0),24)&gt;0," "&amp;MOD(ROUND($AI390,0),24)&amp;" giờ",""))))</f>
      </c>
      <c r="AC390" s="223">
        <f>IF(OR($A390="",N($AH390)=0),"",IF($AI390&lt;&gt;"",IF($AI390&lt;=$AH390,"Trong ước tính","Vượt "&amp;IF(($AI390-$AH390)&lt;1,MAX(1,ROUND(($AI390-$AH390)*60,0))&amp;" phút",IF(ROUND(($AI390-$AH390),0)&lt;24,ROUND(($AI390-$AH390),0)&amp;" giờ",INT(ROUND(($AI390-$AH390),0)/24)&amp;" ngày"&amp;IF(MOD(ROUND(($AI390-$AH390),0),24)&gt;0," "&amp;MOD(ROUND(($AI390-$AH390),0),24)&amp;" giờ","")))),IF(OR($V390="Đã xử lý",N($B390)=0),"",IF((TDBC-$B390)*24&gt;$AH390,"Đã vượt ước tính","Đã dùng "&amp;TEXT((TDBC-$B390)*24/$AH390,"0%")))))</f>
      </c>
      <c r="AD390" s="223">
        <f>IF(N($AO390)=0,"",CHOOSE($AO390,"Nhắc nhở","Cảnh báo","Báo động","Báo động đỏ"))</f>
      </c>
      <c r="AE390" s="223">
        <f>IF(OR(N($AA390)=0,N($U390)=0),"",IF($AA390&lt;=$U390,"Đúng hạn","Trễ hạn"))</f>
      </c>
      <c r="AF390" s="220">
        <f>IF($A390="","",_xlfn.MAXIFS('Nhật ký tiến độ'!$B$6:$B$3005,'Nhật ký tiến độ'!$C$6:$C$3005,$A390))</f>
      </c>
      <c r="AG390" s="223">
        <f>IF($A390="","",IF(COUNTIF('Kế hoạch'!$M$6:$M$305,$A390)=0,"",COUNTIF('Kế hoạch'!$M$6:$M$305,$A390)&amp;" việc"))</f>
      </c>
      <c r="AH390" s="224">
        <f>IF(OR($A390="",N($O390)&lt;=0),"",IF($P390="Giờ",$O390,$O390*24))</f>
      </c>
      <c r="AI390" s="224">
        <f>IF(OR(N($AA390)=0,N($B390)=0),"",IF($AA390&lt;$B390,"",($AA390-$B390)*24))</f>
      </c>
      <c r="AJ390" s="225">
        <f>IF($A390="","",IF(COUNTIF('Nhật ký tiến độ'!$C$6:$C$3005,$A390)=0,0,_xlfn.MAXIFS('Nhật ký tiến độ'!$N$6:$N$3005,'Nhật ký tiến độ'!$C$6:$C$3005,$A390,'Nhật ký tiến độ'!$B$6:$B$3005,_xlfn.MAXIFS('Nhật ký tiến độ'!$B$6:$B$3005,'Nhật ký tiến độ'!$C$6:$C$3005,$A390))))</f>
      </c>
      <c r="AK390" s="225">
        <f>IF(OR($A390="",$V390="Đã xử lý"),"",IF(N($AO390)&gt;0,5-$AO390,IF($J390="Khẩn cấp",5,IF($Y390="Chậm tiến độ",6,IF(OR($Y390="Sắp đến hạn",$J390="Cao"),7,"")))))</f>
      </c>
      <c r="AL390" s="225">
        <f>IF($AK390="","",$AK390*100000+IF(N($U390)=0,99999,INT($U390))+ROW()/100000)</f>
      </c>
      <c r="AM390" s="225">
        <f>IF(OR($A390="",TRIM($K390)="",COUNTIF($K$6:$K390,$K390)&gt;1),0,1)</f>
      </c>
      <c r="AN390" s="225">
        <f>IF($AM390=1,SUM($AM$6:$AM390),"")</f>
      </c>
      <c r="AO390" s="225">
        <f>IF(OR($A390="",$V390="Đã xử lý",N($U390)=0),0,IF(TDBC&lt;=$U390,0,MAX(1,MIN(4,IF((TDBC-$U390)*24&lt;24,1,IF((TDBC-$U390)*24&lt;72,2,IF((TDBC-$U390)*24&lt;168,3,4)))+IFERROR(INDEX({2,1,0,-1},MATCH($J390,{"Khẩn cấp","Cao","Trung bình","Thấp"},0)),0)))))</f>
      </c>
    </row>
    <row r="391">
      <c r="A391" s="216"/>
      <c r="B391" s="217"/>
      <c r="C391" s="218"/>
      <c r="D391" s="218"/>
      <c r="E391" s="218"/>
      <c r="F391" s="218"/>
      <c r="G391" s="216"/>
      <c r="H391" s="218"/>
      <c r="I391" s="218"/>
      <c r="J391" s="216"/>
      <c r="K391" s="218"/>
      <c r="L391" s="218"/>
      <c r="M391" s="218"/>
      <c r="N391" s="218"/>
      <c r="O391" s="219"/>
      <c r="P391" s="216"/>
      <c r="Q391" s="217"/>
      <c r="R391" s="216"/>
      <c r="S391" s="218"/>
      <c r="T391" s="218"/>
      <c r="U391" s="220">
        <f>IF($A391="","",IF(N($Q391)&gt;0,IF(MOD($Q391,1)=0,$Q391+1-1/1440,$Q391),IF(N($B391)=0,"",$B391+IF(N($AH391)&gt;0,$AH391,IFERROR(INDEX(DM_SLA_Gio,MATCH($J391,DM_SLA_Cap,0)),168))/24)))</f>
      </c>
      <c r="V391" s="221">
        <f>IF($A391="","",IF(N($AJ391)=0,"Mới tiếp nhận",INDEX('Nhật ký tiến độ'!$E:$E,$AJ391)))</f>
      </c>
      <c r="W391" s="222">
        <f>IF($A391="","",IF($V391="Đã xử lý",1,IF(N($AJ391)=0,0,N(INDEX('Nhật ký tiến độ'!$D:$D,$AJ391)))))</f>
      </c>
      <c r="X391" s="222">
        <f>IF(OR($A391="",$V391="Đã xử lý",N($U391)=0,N($B391)=0),"",IF(TDBC&lt;=$B391,0,IF(TDBC&gt;=$U391,1,(TDBC-$B391)/($U391-$B391))))</f>
      </c>
      <c r="Y391" s="223">
        <f>IF($A391="","",IF($V391="Đã xử lý","Hoàn thành",IF(N($U391)=0,"Chưa đặt hạn",IF(TDBC&gt;$U391,"Quá hạn",IF(ROUND((N($X391)-$W391)*100,0)&gt;=20,"Chậm tiến độ",IF($U391-TDBC&lt;=1,"Sắp đến hạn","Đúng tiến độ"))))))</f>
      </c>
      <c r="Z391" s="223">
        <f>IF(OR($A391="",$V391="Đã xử lý",N($U391)=0),"",IF(TDBC&gt;$U391,"Quá "&amp;IF(((TDBC-$U391)*24)&lt;1,MAX(1,ROUND(((TDBC-$U391)*24)*60,0))&amp;" phút",IF(ROUND(((TDBC-$U391)*24),0)&lt;24,ROUND(((TDBC-$U391)*24),0)&amp;" giờ",INT(ROUND(((TDBC-$U391)*24),0)/24)&amp;" ngày"&amp;IF(MOD(ROUND(((TDBC-$U391)*24),0),24)&gt;0," "&amp;MOD(ROUND(((TDBC-$U391)*24),0),24)&amp;" giờ",""))),"Còn "&amp;IF((($U391-TDBC)*24)&lt;1,MAX(1,ROUND((($U391-TDBC)*24)*60,0))&amp;" phút",IF(ROUND((($U391-TDBC)*24),0)&lt;24,ROUND((($U391-TDBC)*24),0)&amp;" giờ",INT(ROUND((($U391-TDBC)*24),0)/24)&amp;" ngày"&amp;IF(MOD(ROUND((($U391-TDBC)*24),0),24)&gt;0," "&amp;MOD(ROUND((($U391-TDBC)*24),0),24)&amp;" giờ","")))))</f>
      </c>
      <c r="AA391" s="220">
        <f>IF($V391="Đã xử lý",_xlfn.MAXIFS('Nhật ký tiến độ'!$B$6:$B$3005,'Nhật ký tiến độ'!$C$6:$C$3005,$A391,'Nhật ký tiến độ'!$E$6:$E$3005,"Đã xử lý"),"")</f>
      </c>
      <c r="AB391" s="223">
        <f>IF($AI391="","",IF($AI391&lt;1,MAX(1,ROUND($AI391*60,0))&amp;" phút",IF(ROUND($AI391,0)&lt;24,ROUND($AI391,0)&amp;" giờ",INT(ROUND($AI391,0)/24)&amp;" ngày"&amp;IF(MOD(ROUND($AI391,0),24)&gt;0," "&amp;MOD(ROUND($AI391,0),24)&amp;" giờ",""))))</f>
      </c>
      <c r="AC391" s="223">
        <f>IF(OR($A391="",N($AH391)=0),"",IF($AI391&lt;&gt;"",IF($AI391&lt;=$AH391,"Trong ước tính","Vượt "&amp;IF(($AI391-$AH391)&lt;1,MAX(1,ROUND(($AI391-$AH391)*60,0))&amp;" phút",IF(ROUND(($AI391-$AH391),0)&lt;24,ROUND(($AI391-$AH391),0)&amp;" giờ",INT(ROUND(($AI391-$AH391),0)/24)&amp;" ngày"&amp;IF(MOD(ROUND(($AI391-$AH391),0),24)&gt;0," "&amp;MOD(ROUND(($AI391-$AH391),0),24)&amp;" giờ","")))),IF(OR($V391="Đã xử lý",N($B391)=0),"",IF((TDBC-$B391)*24&gt;$AH391,"Đã vượt ước tính","Đã dùng "&amp;TEXT((TDBC-$B391)*24/$AH391,"0%")))))</f>
      </c>
      <c r="AD391" s="223">
        <f>IF(N($AO391)=0,"",CHOOSE($AO391,"Nhắc nhở","Cảnh báo","Báo động","Báo động đỏ"))</f>
      </c>
      <c r="AE391" s="223">
        <f>IF(OR(N($AA391)=0,N($U391)=0),"",IF($AA391&lt;=$U391,"Đúng hạn","Trễ hạn"))</f>
      </c>
      <c r="AF391" s="220">
        <f>IF($A391="","",_xlfn.MAXIFS('Nhật ký tiến độ'!$B$6:$B$3005,'Nhật ký tiến độ'!$C$6:$C$3005,$A391))</f>
      </c>
      <c r="AG391" s="223">
        <f>IF($A391="","",IF(COUNTIF('Kế hoạch'!$M$6:$M$305,$A391)=0,"",COUNTIF('Kế hoạch'!$M$6:$M$305,$A391)&amp;" việc"))</f>
      </c>
      <c r="AH391" s="224">
        <f>IF(OR($A391="",N($O391)&lt;=0),"",IF($P391="Giờ",$O391,$O391*24))</f>
      </c>
      <c r="AI391" s="224">
        <f>IF(OR(N($AA391)=0,N($B391)=0),"",IF($AA391&lt;$B391,"",($AA391-$B391)*24))</f>
      </c>
      <c r="AJ391" s="225">
        <f>IF($A391="","",IF(COUNTIF('Nhật ký tiến độ'!$C$6:$C$3005,$A391)=0,0,_xlfn.MAXIFS('Nhật ký tiến độ'!$N$6:$N$3005,'Nhật ký tiến độ'!$C$6:$C$3005,$A391,'Nhật ký tiến độ'!$B$6:$B$3005,_xlfn.MAXIFS('Nhật ký tiến độ'!$B$6:$B$3005,'Nhật ký tiến độ'!$C$6:$C$3005,$A391))))</f>
      </c>
      <c r="AK391" s="225">
        <f>IF(OR($A391="",$V391="Đã xử lý"),"",IF(N($AO391)&gt;0,5-$AO391,IF($J391="Khẩn cấp",5,IF($Y391="Chậm tiến độ",6,IF(OR($Y391="Sắp đến hạn",$J391="Cao"),7,"")))))</f>
      </c>
      <c r="AL391" s="225">
        <f>IF($AK391="","",$AK391*100000+IF(N($U391)=0,99999,INT($U391))+ROW()/100000)</f>
      </c>
      <c r="AM391" s="225">
        <f>IF(OR($A391="",TRIM($K391)="",COUNTIF($K$6:$K391,$K391)&gt;1),0,1)</f>
      </c>
      <c r="AN391" s="225">
        <f>IF($AM391=1,SUM($AM$6:$AM391),"")</f>
      </c>
      <c r="AO391" s="225">
        <f>IF(OR($A391="",$V391="Đã xử lý",N($U391)=0),0,IF(TDBC&lt;=$U391,0,MAX(1,MIN(4,IF((TDBC-$U391)*24&lt;24,1,IF((TDBC-$U391)*24&lt;72,2,IF((TDBC-$U391)*24&lt;168,3,4)))+IFERROR(INDEX({2,1,0,-1},MATCH($J391,{"Khẩn cấp","Cao","Trung bình","Thấp"},0)),0)))))</f>
      </c>
    </row>
    <row r="392">
      <c r="A392" s="216"/>
      <c r="B392" s="217"/>
      <c r="C392" s="218"/>
      <c r="D392" s="218"/>
      <c r="E392" s="218"/>
      <c r="F392" s="218"/>
      <c r="G392" s="216"/>
      <c r="H392" s="218"/>
      <c r="I392" s="218"/>
      <c r="J392" s="216"/>
      <c r="K392" s="218"/>
      <c r="L392" s="218"/>
      <c r="M392" s="218"/>
      <c r="N392" s="218"/>
      <c r="O392" s="219"/>
      <c r="P392" s="216"/>
      <c r="Q392" s="217"/>
      <c r="R392" s="216"/>
      <c r="S392" s="218"/>
      <c r="T392" s="218"/>
      <c r="U392" s="220">
        <f>IF($A392="","",IF(N($Q392)&gt;0,IF(MOD($Q392,1)=0,$Q392+1-1/1440,$Q392),IF(N($B392)=0,"",$B392+IF(N($AH392)&gt;0,$AH392,IFERROR(INDEX(DM_SLA_Gio,MATCH($J392,DM_SLA_Cap,0)),168))/24)))</f>
      </c>
      <c r="V392" s="221">
        <f>IF($A392="","",IF(N($AJ392)=0,"Mới tiếp nhận",INDEX('Nhật ký tiến độ'!$E:$E,$AJ392)))</f>
      </c>
      <c r="W392" s="222">
        <f>IF($A392="","",IF($V392="Đã xử lý",1,IF(N($AJ392)=0,0,N(INDEX('Nhật ký tiến độ'!$D:$D,$AJ392)))))</f>
      </c>
      <c r="X392" s="222">
        <f>IF(OR($A392="",$V392="Đã xử lý",N($U392)=0,N($B392)=0),"",IF(TDBC&lt;=$B392,0,IF(TDBC&gt;=$U392,1,(TDBC-$B392)/($U392-$B392))))</f>
      </c>
      <c r="Y392" s="223">
        <f>IF($A392="","",IF($V392="Đã xử lý","Hoàn thành",IF(N($U392)=0,"Chưa đặt hạn",IF(TDBC&gt;$U392,"Quá hạn",IF(ROUND((N($X392)-$W392)*100,0)&gt;=20,"Chậm tiến độ",IF($U392-TDBC&lt;=1,"Sắp đến hạn","Đúng tiến độ"))))))</f>
      </c>
      <c r="Z392" s="223">
        <f>IF(OR($A392="",$V392="Đã xử lý",N($U392)=0),"",IF(TDBC&gt;$U392,"Quá "&amp;IF(((TDBC-$U392)*24)&lt;1,MAX(1,ROUND(((TDBC-$U392)*24)*60,0))&amp;" phút",IF(ROUND(((TDBC-$U392)*24),0)&lt;24,ROUND(((TDBC-$U392)*24),0)&amp;" giờ",INT(ROUND(((TDBC-$U392)*24),0)/24)&amp;" ngày"&amp;IF(MOD(ROUND(((TDBC-$U392)*24),0),24)&gt;0," "&amp;MOD(ROUND(((TDBC-$U392)*24),0),24)&amp;" giờ",""))),"Còn "&amp;IF((($U392-TDBC)*24)&lt;1,MAX(1,ROUND((($U392-TDBC)*24)*60,0))&amp;" phút",IF(ROUND((($U392-TDBC)*24),0)&lt;24,ROUND((($U392-TDBC)*24),0)&amp;" giờ",INT(ROUND((($U392-TDBC)*24),0)/24)&amp;" ngày"&amp;IF(MOD(ROUND((($U392-TDBC)*24),0),24)&gt;0," "&amp;MOD(ROUND((($U392-TDBC)*24),0),24)&amp;" giờ","")))))</f>
      </c>
      <c r="AA392" s="220">
        <f>IF($V392="Đã xử lý",_xlfn.MAXIFS('Nhật ký tiến độ'!$B$6:$B$3005,'Nhật ký tiến độ'!$C$6:$C$3005,$A392,'Nhật ký tiến độ'!$E$6:$E$3005,"Đã xử lý"),"")</f>
      </c>
      <c r="AB392" s="223">
        <f>IF($AI392="","",IF($AI392&lt;1,MAX(1,ROUND($AI392*60,0))&amp;" phút",IF(ROUND($AI392,0)&lt;24,ROUND($AI392,0)&amp;" giờ",INT(ROUND($AI392,0)/24)&amp;" ngày"&amp;IF(MOD(ROUND($AI392,0),24)&gt;0," "&amp;MOD(ROUND($AI392,0),24)&amp;" giờ",""))))</f>
      </c>
      <c r="AC392" s="223">
        <f>IF(OR($A392="",N($AH392)=0),"",IF($AI392&lt;&gt;"",IF($AI392&lt;=$AH392,"Trong ước tính","Vượt "&amp;IF(($AI392-$AH392)&lt;1,MAX(1,ROUND(($AI392-$AH392)*60,0))&amp;" phút",IF(ROUND(($AI392-$AH392),0)&lt;24,ROUND(($AI392-$AH392),0)&amp;" giờ",INT(ROUND(($AI392-$AH392),0)/24)&amp;" ngày"&amp;IF(MOD(ROUND(($AI392-$AH392),0),24)&gt;0," "&amp;MOD(ROUND(($AI392-$AH392),0),24)&amp;" giờ","")))),IF(OR($V392="Đã xử lý",N($B392)=0),"",IF((TDBC-$B392)*24&gt;$AH392,"Đã vượt ước tính","Đã dùng "&amp;TEXT((TDBC-$B392)*24/$AH392,"0%")))))</f>
      </c>
      <c r="AD392" s="223">
        <f>IF(N($AO392)=0,"",CHOOSE($AO392,"Nhắc nhở","Cảnh báo","Báo động","Báo động đỏ"))</f>
      </c>
      <c r="AE392" s="223">
        <f>IF(OR(N($AA392)=0,N($U392)=0),"",IF($AA392&lt;=$U392,"Đúng hạn","Trễ hạn"))</f>
      </c>
      <c r="AF392" s="220">
        <f>IF($A392="","",_xlfn.MAXIFS('Nhật ký tiến độ'!$B$6:$B$3005,'Nhật ký tiến độ'!$C$6:$C$3005,$A392))</f>
      </c>
      <c r="AG392" s="223">
        <f>IF($A392="","",IF(COUNTIF('Kế hoạch'!$M$6:$M$305,$A392)=0,"",COUNTIF('Kế hoạch'!$M$6:$M$305,$A392)&amp;" việc"))</f>
      </c>
      <c r="AH392" s="224">
        <f>IF(OR($A392="",N($O392)&lt;=0),"",IF($P392="Giờ",$O392,$O392*24))</f>
      </c>
      <c r="AI392" s="224">
        <f>IF(OR(N($AA392)=0,N($B392)=0),"",IF($AA392&lt;$B392,"",($AA392-$B392)*24))</f>
      </c>
      <c r="AJ392" s="225">
        <f>IF($A392="","",IF(COUNTIF('Nhật ký tiến độ'!$C$6:$C$3005,$A392)=0,0,_xlfn.MAXIFS('Nhật ký tiến độ'!$N$6:$N$3005,'Nhật ký tiến độ'!$C$6:$C$3005,$A392,'Nhật ký tiến độ'!$B$6:$B$3005,_xlfn.MAXIFS('Nhật ký tiến độ'!$B$6:$B$3005,'Nhật ký tiến độ'!$C$6:$C$3005,$A392))))</f>
      </c>
      <c r="AK392" s="225">
        <f>IF(OR($A392="",$V392="Đã xử lý"),"",IF(N($AO392)&gt;0,5-$AO392,IF($J392="Khẩn cấp",5,IF($Y392="Chậm tiến độ",6,IF(OR($Y392="Sắp đến hạn",$J392="Cao"),7,"")))))</f>
      </c>
      <c r="AL392" s="225">
        <f>IF($AK392="","",$AK392*100000+IF(N($U392)=0,99999,INT($U392))+ROW()/100000)</f>
      </c>
      <c r="AM392" s="225">
        <f>IF(OR($A392="",TRIM($K392)="",COUNTIF($K$6:$K392,$K392)&gt;1),0,1)</f>
      </c>
      <c r="AN392" s="225">
        <f>IF($AM392=1,SUM($AM$6:$AM392),"")</f>
      </c>
      <c r="AO392" s="225">
        <f>IF(OR($A392="",$V392="Đã xử lý",N($U392)=0),0,IF(TDBC&lt;=$U392,0,MAX(1,MIN(4,IF((TDBC-$U392)*24&lt;24,1,IF((TDBC-$U392)*24&lt;72,2,IF((TDBC-$U392)*24&lt;168,3,4)))+IFERROR(INDEX({2,1,0,-1},MATCH($J392,{"Khẩn cấp","Cao","Trung bình","Thấp"},0)),0)))))</f>
      </c>
    </row>
    <row r="393">
      <c r="A393" s="216"/>
      <c r="B393" s="217"/>
      <c r="C393" s="218"/>
      <c r="D393" s="218"/>
      <c r="E393" s="218"/>
      <c r="F393" s="218"/>
      <c r="G393" s="216"/>
      <c r="H393" s="218"/>
      <c r="I393" s="218"/>
      <c r="J393" s="216"/>
      <c r="K393" s="218"/>
      <c r="L393" s="218"/>
      <c r="M393" s="218"/>
      <c r="N393" s="218"/>
      <c r="O393" s="219"/>
      <c r="P393" s="216"/>
      <c r="Q393" s="217"/>
      <c r="R393" s="216"/>
      <c r="S393" s="218"/>
      <c r="T393" s="218"/>
      <c r="U393" s="220">
        <f>IF($A393="","",IF(N($Q393)&gt;0,IF(MOD($Q393,1)=0,$Q393+1-1/1440,$Q393),IF(N($B393)=0,"",$B393+IF(N($AH393)&gt;0,$AH393,IFERROR(INDEX(DM_SLA_Gio,MATCH($J393,DM_SLA_Cap,0)),168))/24)))</f>
      </c>
      <c r="V393" s="221">
        <f>IF($A393="","",IF(N($AJ393)=0,"Mới tiếp nhận",INDEX('Nhật ký tiến độ'!$E:$E,$AJ393)))</f>
      </c>
      <c r="W393" s="222">
        <f>IF($A393="","",IF($V393="Đã xử lý",1,IF(N($AJ393)=0,0,N(INDEX('Nhật ký tiến độ'!$D:$D,$AJ393)))))</f>
      </c>
      <c r="X393" s="222">
        <f>IF(OR($A393="",$V393="Đã xử lý",N($U393)=0,N($B393)=0),"",IF(TDBC&lt;=$B393,0,IF(TDBC&gt;=$U393,1,(TDBC-$B393)/($U393-$B393))))</f>
      </c>
      <c r="Y393" s="223">
        <f>IF($A393="","",IF($V393="Đã xử lý","Hoàn thành",IF(N($U393)=0,"Chưa đặt hạn",IF(TDBC&gt;$U393,"Quá hạn",IF(ROUND((N($X393)-$W393)*100,0)&gt;=20,"Chậm tiến độ",IF($U393-TDBC&lt;=1,"Sắp đến hạn","Đúng tiến độ"))))))</f>
      </c>
      <c r="Z393" s="223">
        <f>IF(OR($A393="",$V393="Đã xử lý",N($U393)=0),"",IF(TDBC&gt;$U393,"Quá "&amp;IF(((TDBC-$U393)*24)&lt;1,MAX(1,ROUND(((TDBC-$U393)*24)*60,0))&amp;" phút",IF(ROUND(((TDBC-$U393)*24),0)&lt;24,ROUND(((TDBC-$U393)*24),0)&amp;" giờ",INT(ROUND(((TDBC-$U393)*24),0)/24)&amp;" ngày"&amp;IF(MOD(ROUND(((TDBC-$U393)*24),0),24)&gt;0," "&amp;MOD(ROUND(((TDBC-$U393)*24),0),24)&amp;" giờ",""))),"Còn "&amp;IF((($U393-TDBC)*24)&lt;1,MAX(1,ROUND((($U393-TDBC)*24)*60,0))&amp;" phút",IF(ROUND((($U393-TDBC)*24),0)&lt;24,ROUND((($U393-TDBC)*24),0)&amp;" giờ",INT(ROUND((($U393-TDBC)*24),0)/24)&amp;" ngày"&amp;IF(MOD(ROUND((($U393-TDBC)*24),0),24)&gt;0," "&amp;MOD(ROUND((($U393-TDBC)*24),0),24)&amp;" giờ","")))))</f>
      </c>
      <c r="AA393" s="220">
        <f>IF($V393="Đã xử lý",_xlfn.MAXIFS('Nhật ký tiến độ'!$B$6:$B$3005,'Nhật ký tiến độ'!$C$6:$C$3005,$A393,'Nhật ký tiến độ'!$E$6:$E$3005,"Đã xử lý"),"")</f>
      </c>
      <c r="AB393" s="223">
        <f>IF($AI393="","",IF($AI393&lt;1,MAX(1,ROUND($AI393*60,0))&amp;" phút",IF(ROUND($AI393,0)&lt;24,ROUND($AI393,0)&amp;" giờ",INT(ROUND($AI393,0)/24)&amp;" ngày"&amp;IF(MOD(ROUND($AI393,0),24)&gt;0," "&amp;MOD(ROUND($AI393,0),24)&amp;" giờ",""))))</f>
      </c>
      <c r="AC393" s="223">
        <f>IF(OR($A393="",N($AH393)=0),"",IF($AI393&lt;&gt;"",IF($AI393&lt;=$AH393,"Trong ước tính","Vượt "&amp;IF(($AI393-$AH393)&lt;1,MAX(1,ROUND(($AI393-$AH393)*60,0))&amp;" phút",IF(ROUND(($AI393-$AH393),0)&lt;24,ROUND(($AI393-$AH393),0)&amp;" giờ",INT(ROUND(($AI393-$AH393),0)/24)&amp;" ngày"&amp;IF(MOD(ROUND(($AI393-$AH393),0),24)&gt;0," "&amp;MOD(ROUND(($AI393-$AH393),0),24)&amp;" giờ","")))),IF(OR($V393="Đã xử lý",N($B393)=0),"",IF((TDBC-$B393)*24&gt;$AH393,"Đã vượt ước tính","Đã dùng "&amp;TEXT((TDBC-$B393)*24/$AH393,"0%")))))</f>
      </c>
      <c r="AD393" s="223">
        <f>IF(N($AO393)=0,"",CHOOSE($AO393,"Nhắc nhở","Cảnh báo","Báo động","Báo động đỏ"))</f>
      </c>
      <c r="AE393" s="223">
        <f>IF(OR(N($AA393)=0,N($U393)=0),"",IF($AA393&lt;=$U393,"Đúng hạn","Trễ hạn"))</f>
      </c>
      <c r="AF393" s="220">
        <f>IF($A393="","",_xlfn.MAXIFS('Nhật ký tiến độ'!$B$6:$B$3005,'Nhật ký tiến độ'!$C$6:$C$3005,$A393))</f>
      </c>
      <c r="AG393" s="223">
        <f>IF($A393="","",IF(COUNTIF('Kế hoạch'!$M$6:$M$305,$A393)=0,"",COUNTIF('Kế hoạch'!$M$6:$M$305,$A393)&amp;" việc"))</f>
      </c>
      <c r="AH393" s="224">
        <f>IF(OR($A393="",N($O393)&lt;=0),"",IF($P393="Giờ",$O393,$O393*24))</f>
      </c>
      <c r="AI393" s="224">
        <f>IF(OR(N($AA393)=0,N($B393)=0),"",IF($AA393&lt;$B393,"",($AA393-$B393)*24))</f>
      </c>
      <c r="AJ393" s="225">
        <f>IF($A393="","",IF(COUNTIF('Nhật ký tiến độ'!$C$6:$C$3005,$A393)=0,0,_xlfn.MAXIFS('Nhật ký tiến độ'!$N$6:$N$3005,'Nhật ký tiến độ'!$C$6:$C$3005,$A393,'Nhật ký tiến độ'!$B$6:$B$3005,_xlfn.MAXIFS('Nhật ký tiến độ'!$B$6:$B$3005,'Nhật ký tiến độ'!$C$6:$C$3005,$A393))))</f>
      </c>
      <c r="AK393" s="225">
        <f>IF(OR($A393="",$V393="Đã xử lý"),"",IF(N($AO393)&gt;0,5-$AO393,IF($J393="Khẩn cấp",5,IF($Y393="Chậm tiến độ",6,IF(OR($Y393="Sắp đến hạn",$J393="Cao"),7,"")))))</f>
      </c>
      <c r="AL393" s="225">
        <f>IF($AK393="","",$AK393*100000+IF(N($U393)=0,99999,INT($U393))+ROW()/100000)</f>
      </c>
      <c r="AM393" s="225">
        <f>IF(OR($A393="",TRIM($K393)="",COUNTIF($K$6:$K393,$K393)&gt;1),0,1)</f>
      </c>
      <c r="AN393" s="225">
        <f>IF($AM393=1,SUM($AM$6:$AM393),"")</f>
      </c>
      <c r="AO393" s="225">
        <f>IF(OR($A393="",$V393="Đã xử lý",N($U393)=0),0,IF(TDBC&lt;=$U393,0,MAX(1,MIN(4,IF((TDBC-$U393)*24&lt;24,1,IF((TDBC-$U393)*24&lt;72,2,IF((TDBC-$U393)*24&lt;168,3,4)))+IFERROR(INDEX({2,1,0,-1},MATCH($J393,{"Khẩn cấp","Cao","Trung bình","Thấp"},0)),0)))))</f>
      </c>
    </row>
    <row r="394">
      <c r="A394" s="216"/>
      <c r="B394" s="217"/>
      <c r="C394" s="218"/>
      <c r="D394" s="218"/>
      <c r="E394" s="218"/>
      <c r="F394" s="218"/>
      <c r="G394" s="216"/>
      <c r="H394" s="218"/>
      <c r="I394" s="218"/>
      <c r="J394" s="216"/>
      <c r="K394" s="218"/>
      <c r="L394" s="218"/>
      <c r="M394" s="218"/>
      <c r="N394" s="218"/>
      <c r="O394" s="219"/>
      <c r="P394" s="216"/>
      <c r="Q394" s="217"/>
      <c r="R394" s="216"/>
      <c r="S394" s="218"/>
      <c r="T394" s="218"/>
      <c r="U394" s="220">
        <f>IF($A394="","",IF(N($Q394)&gt;0,IF(MOD($Q394,1)=0,$Q394+1-1/1440,$Q394),IF(N($B394)=0,"",$B394+IF(N($AH394)&gt;0,$AH394,IFERROR(INDEX(DM_SLA_Gio,MATCH($J394,DM_SLA_Cap,0)),168))/24)))</f>
      </c>
      <c r="V394" s="221">
        <f>IF($A394="","",IF(N($AJ394)=0,"Mới tiếp nhận",INDEX('Nhật ký tiến độ'!$E:$E,$AJ394)))</f>
      </c>
      <c r="W394" s="222">
        <f>IF($A394="","",IF($V394="Đã xử lý",1,IF(N($AJ394)=0,0,N(INDEX('Nhật ký tiến độ'!$D:$D,$AJ394)))))</f>
      </c>
      <c r="X394" s="222">
        <f>IF(OR($A394="",$V394="Đã xử lý",N($U394)=0,N($B394)=0),"",IF(TDBC&lt;=$B394,0,IF(TDBC&gt;=$U394,1,(TDBC-$B394)/($U394-$B394))))</f>
      </c>
      <c r="Y394" s="223">
        <f>IF($A394="","",IF($V394="Đã xử lý","Hoàn thành",IF(N($U394)=0,"Chưa đặt hạn",IF(TDBC&gt;$U394,"Quá hạn",IF(ROUND((N($X394)-$W394)*100,0)&gt;=20,"Chậm tiến độ",IF($U394-TDBC&lt;=1,"Sắp đến hạn","Đúng tiến độ"))))))</f>
      </c>
      <c r="Z394" s="223">
        <f>IF(OR($A394="",$V394="Đã xử lý",N($U394)=0),"",IF(TDBC&gt;$U394,"Quá "&amp;IF(((TDBC-$U394)*24)&lt;1,MAX(1,ROUND(((TDBC-$U394)*24)*60,0))&amp;" phút",IF(ROUND(((TDBC-$U394)*24),0)&lt;24,ROUND(((TDBC-$U394)*24),0)&amp;" giờ",INT(ROUND(((TDBC-$U394)*24),0)/24)&amp;" ngày"&amp;IF(MOD(ROUND(((TDBC-$U394)*24),0),24)&gt;0," "&amp;MOD(ROUND(((TDBC-$U394)*24),0),24)&amp;" giờ",""))),"Còn "&amp;IF((($U394-TDBC)*24)&lt;1,MAX(1,ROUND((($U394-TDBC)*24)*60,0))&amp;" phút",IF(ROUND((($U394-TDBC)*24),0)&lt;24,ROUND((($U394-TDBC)*24),0)&amp;" giờ",INT(ROUND((($U394-TDBC)*24),0)/24)&amp;" ngày"&amp;IF(MOD(ROUND((($U394-TDBC)*24),0),24)&gt;0," "&amp;MOD(ROUND((($U394-TDBC)*24),0),24)&amp;" giờ","")))))</f>
      </c>
      <c r="AA394" s="220">
        <f>IF($V394="Đã xử lý",_xlfn.MAXIFS('Nhật ký tiến độ'!$B$6:$B$3005,'Nhật ký tiến độ'!$C$6:$C$3005,$A394,'Nhật ký tiến độ'!$E$6:$E$3005,"Đã xử lý"),"")</f>
      </c>
      <c r="AB394" s="223">
        <f>IF($AI394="","",IF($AI394&lt;1,MAX(1,ROUND($AI394*60,0))&amp;" phút",IF(ROUND($AI394,0)&lt;24,ROUND($AI394,0)&amp;" giờ",INT(ROUND($AI394,0)/24)&amp;" ngày"&amp;IF(MOD(ROUND($AI394,0),24)&gt;0," "&amp;MOD(ROUND($AI394,0),24)&amp;" giờ",""))))</f>
      </c>
      <c r="AC394" s="223">
        <f>IF(OR($A394="",N($AH394)=0),"",IF($AI394&lt;&gt;"",IF($AI394&lt;=$AH394,"Trong ước tính","Vượt "&amp;IF(($AI394-$AH394)&lt;1,MAX(1,ROUND(($AI394-$AH394)*60,0))&amp;" phút",IF(ROUND(($AI394-$AH394),0)&lt;24,ROUND(($AI394-$AH394),0)&amp;" giờ",INT(ROUND(($AI394-$AH394),0)/24)&amp;" ngày"&amp;IF(MOD(ROUND(($AI394-$AH394),0),24)&gt;0," "&amp;MOD(ROUND(($AI394-$AH394),0),24)&amp;" giờ","")))),IF(OR($V394="Đã xử lý",N($B394)=0),"",IF((TDBC-$B394)*24&gt;$AH394,"Đã vượt ước tính","Đã dùng "&amp;TEXT((TDBC-$B394)*24/$AH394,"0%")))))</f>
      </c>
      <c r="AD394" s="223">
        <f>IF(N($AO394)=0,"",CHOOSE($AO394,"Nhắc nhở","Cảnh báo","Báo động","Báo động đỏ"))</f>
      </c>
      <c r="AE394" s="223">
        <f>IF(OR(N($AA394)=0,N($U394)=0),"",IF($AA394&lt;=$U394,"Đúng hạn","Trễ hạn"))</f>
      </c>
      <c r="AF394" s="220">
        <f>IF($A394="","",_xlfn.MAXIFS('Nhật ký tiến độ'!$B$6:$B$3005,'Nhật ký tiến độ'!$C$6:$C$3005,$A394))</f>
      </c>
      <c r="AG394" s="223">
        <f>IF($A394="","",IF(COUNTIF('Kế hoạch'!$M$6:$M$305,$A394)=0,"",COUNTIF('Kế hoạch'!$M$6:$M$305,$A394)&amp;" việc"))</f>
      </c>
      <c r="AH394" s="224">
        <f>IF(OR($A394="",N($O394)&lt;=0),"",IF($P394="Giờ",$O394,$O394*24))</f>
      </c>
      <c r="AI394" s="224">
        <f>IF(OR(N($AA394)=0,N($B394)=0),"",IF($AA394&lt;$B394,"",($AA394-$B394)*24))</f>
      </c>
      <c r="AJ394" s="225">
        <f>IF($A394="","",IF(COUNTIF('Nhật ký tiến độ'!$C$6:$C$3005,$A394)=0,0,_xlfn.MAXIFS('Nhật ký tiến độ'!$N$6:$N$3005,'Nhật ký tiến độ'!$C$6:$C$3005,$A394,'Nhật ký tiến độ'!$B$6:$B$3005,_xlfn.MAXIFS('Nhật ký tiến độ'!$B$6:$B$3005,'Nhật ký tiến độ'!$C$6:$C$3005,$A394))))</f>
      </c>
      <c r="AK394" s="225">
        <f>IF(OR($A394="",$V394="Đã xử lý"),"",IF(N($AO394)&gt;0,5-$AO394,IF($J394="Khẩn cấp",5,IF($Y394="Chậm tiến độ",6,IF(OR($Y394="Sắp đến hạn",$J394="Cao"),7,"")))))</f>
      </c>
      <c r="AL394" s="225">
        <f>IF($AK394="","",$AK394*100000+IF(N($U394)=0,99999,INT($U394))+ROW()/100000)</f>
      </c>
      <c r="AM394" s="225">
        <f>IF(OR($A394="",TRIM($K394)="",COUNTIF($K$6:$K394,$K394)&gt;1),0,1)</f>
      </c>
      <c r="AN394" s="225">
        <f>IF($AM394=1,SUM($AM$6:$AM394),"")</f>
      </c>
      <c r="AO394" s="225">
        <f>IF(OR($A394="",$V394="Đã xử lý",N($U394)=0),0,IF(TDBC&lt;=$U394,0,MAX(1,MIN(4,IF((TDBC-$U394)*24&lt;24,1,IF((TDBC-$U394)*24&lt;72,2,IF((TDBC-$U394)*24&lt;168,3,4)))+IFERROR(INDEX({2,1,0,-1},MATCH($J394,{"Khẩn cấp","Cao","Trung bình","Thấp"},0)),0)))))</f>
      </c>
    </row>
    <row r="395">
      <c r="A395" s="216"/>
      <c r="B395" s="217"/>
      <c r="C395" s="218"/>
      <c r="D395" s="218"/>
      <c r="E395" s="218"/>
      <c r="F395" s="218"/>
      <c r="G395" s="216"/>
      <c r="H395" s="218"/>
      <c r="I395" s="218"/>
      <c r="J395" s="216"/>
      <c r="K395" s="218"/>
      <c r="L395" s="218"/>
      <c r="M395" s="218"/>
      <c r="N395" s="218"/>
      <c r="O395" s="219"/>
      <c r="P395" s="216"/>
      <c r="Q395" s="217"/>
      <c r="R395" s="216"/>
      <c r="S395" s="218"/>
      <c r="T395" s="218"/>
      <c r="U395" s="220">
        <f>IF($A395="","",IF(N($Q395)&gt;0,IF(MOD($Q395,1)=0,$Q395+1-1/1440,$Q395),IF(N($B395)=0,"",$B395+IF(N($AH395)&gt;0,$AH395,IFERROR(INDEX(DM_SLA_Gio,MATCH($J395,DM_SLA_Cap,0)),168))/24)))</f>
      </c>
      <c r="V395" s="221">
        <f>IF($A395="","",IF(N($AJ395)=0,"Mới tiếp nhận",INDEX('Nhật ký tiến độ'!$E:$E,$AJ395)))</f>
      </c>
      <c r="W395" s="222">
        <f>IF($A395="","",IF($V395="Đã xử lý",1,IF(N($AJ395)=0,0,N(INDEX('Nhật ký tiến độ'!$D:$D,$AJ395)))))</f>
      </c>
      <c r="X395" s="222">
        <f>IF(OR($A395="",$V395="Đã xử lý",N($U395)=0,N($B395)=0),"",IF(TDBC&lt;=$B395,0,IF(TDBC&gt;=$U395,1,(TDBC-$B395)/($U395-$B395))))</f>
      </c>
      <c r="Y395" s="223">
        <f>IF($A395="","",IF($V395="Đã xử lý","Hoàn thành",IF(N($U395)=0,"Chưa đặt hạn",IF(TDBC&gt;$U395,"Quá hạn",IF(ROUND((N($X395)-$W395)*100,0)&gt;=20,"Chậm tiến độ",IF($U395-TDBC&lt;=1,"Sắp đến hạn","Đúng tiến độ"))))))</f>
      </c>
      <c r="Z395" s="223">
        <f>IF(OR($A395="",$V395="Đã xử lý",N($U395)=0),"",IF(TDBC&gt;$U395,"Quá "&amp;IF(((TDBC-$U395)*24)&lt;1,MAX(1,ROUND(((TDBC-$U395)*24)*60,0))&amp;" phút",IF(ROUND(((TDBC-$U395)*24),0)&lt;24,ROUND(((TDBC-$U395)*24),0)&amp;" giờ",INT(ROUND(((TDBC-$U395)*24),0)/24)&amp;" ngày"&amp;IF(MOD(ROUND(((TDBC-$U395)*24),0),24)&gt;0," "&amp;MOD(ROUND(((TDBC-$U395)*24),0),24)&amp;" giờ",""))),"Còn "&amp;IF((($U395-TDBC)*24)&lt;1,MAX(1,ROUND((($U395-TDBC)*24)*60,0))&amp;" phút",IF(ROUND((($U395-TDBC)*24),0)&lt;24,ROUND((($U395-TDBC)*24),0)&amp;" giờ",INT(ROUND((($U395-TDBC)*24),0)/24)&amp;" ngày"&amp;IF(MOD(ROUND((($U395-TDBC)*24),0),24)&gt;0," "&amp;MOD(ROUND((($U395-TDBC)*24),0),24)&amp;" giờ","")))))</f>
      </c>
      <c r="AA395" s="220">
        <f>IF($V395="Đã xử lý",_xlfn.MAXIFS('Nhật ký tiến độ'!$B$6:$B$3005,'Nhật ký tiến độ'!$C$6:$C$3005,$A395,'Nhật ký tiến độ'!$E$6:$E$3005,"Đã xử lý"),"")</f>
      </c>
      <c r="AB395" s="223">
        <f>IF($AI395="","",IF($AI395&lt;1,MAX(1,ROUND($AI395*60,0))&amp;" phút",IF(ROUND($AI395,0)&lt;24,ROUND($AI395,0)&amp;" giờ",INT(ROUND($AI395,0)/24)&amp;" ngày"&amp;IF(MOD(ROUND($AI395,0),24)&gt;0," "&amp;MOD(ROUND($AI395,0),24)&amp;" giờ",""))))</f>
      </c>
      <c r="AC395" s="223">
        <f>IF(OR($A395="",N($AH395)=0),"",IF($AI395&lt;&gt;"",IF($AI395&lt;=$AH395,"Trong ước tính","Vượt "&amp;IF(($AI395-$AH395)&lt;1,MAX(1,ROUND(($AI395-$AH395)*60,0))&amp;" phút",IF(ROUND(($AI395-$AH395),0)&lt;24,ROUND(($AI395-$AH395),0)&amp;" giờ",INT(ROUND(($AI395-$AH395),0)/24)&amp;" ngày"&amp;IF(MOD(ROUND(($AI395-$AH395),0),24)&gt;0," "&amp;MOD(ROUND(($AI395-$AH395),0),24)&amp;" giờ","")))),IF(OR($V395="Đã xử lý",N($B395)=0),"",IF((TDBC-$B395)*24&gt;$AH395,"Đã vượt ước tính","Đã dùng "&amp;TEXT((TDBC-$B395)*24/$AH395,"0%")))))</f>
      </c>
      <c r="AD395" s="223">
        <f>IF(N($AO395)=0,"",CHOOSE($AO395,"Nhắc nhở","Cảnh báo","Báo động","Báo động đỏ"))</f>
      </c>
      <c r="AE395" s="223">
        <f>IF(OR(N($AA395)=0,N($U395)=0),"",IF($AA395&lt;=$U395,"Đúng hạn","Trễ hạn"))</f>
      </c>
      <c r="AF395" s="220">
        <f>IF($A395="","",_xlfn.MAXIFS('Nhật ký tiến độ'!$B$6:$B$3005,'Nhật ký tiến độ'!$C$6:$C$3005,$A395))</f>
      </c>
      <c r="AG395" s="223">
        <f>IF($A395="","",IF(COUNTIF('Kế hoạch'!$M$6:$M$305,$A395)=0,"",COUNTIF('Kế hoạch'!$M$6:$M$305,$A395)&amp;" việc"))</f>
      </c>
      <c r="AH395" s="224">
        <f>IF(OR($A395="",N($O395)&lt;=0),"",IF($P395="Giờ",$O395,$O395*24))</f>
      </c>
      <c r="AI395" s="224">
        <f>IF(OR(N($AA395)=0,N($B395)=0),"",IF($AA395&lt;$B395,"",($AA395-$B395)*24))</f>
      </c>
      <c r="AJ395" s="225">
        <f>IF($A395="","",IF(COUNTIF('Nhật ký tiến độ'!$C$6:$C$3005,$A395)=0,0,_xlfn.MAXIFS('Nhật ký tiến độ'!$N$6:$N$3005,'Nhật ký tiến độ'!$C$6:$C$3005,$A395,'Nhật ký tiến độ'!$B$6:$B$3005,_xlfn.MAXIFS('Nhật ký tiến độ'!$B$6:$B$3005,'Nhật ký tiến độ'!$C$6:$C$3005,$A395))))</f>
      </c>
      <c r="AK395" s="225">
        <f>IF(OR($A395="",$V395="Đã xử lý"),"",IF(N($AO395)&gt;0,5-$AO395,IF($J395="Khẩn cấp",5,IF($Y395="Chậm tiến độ",6,IF(OR($Y395="Sắp đến hạn",$J395="Cao"),7,"")))))</f>
      </c>
      <c r="AL395" s="225">
        <f>IF($AK395="","",$AK395*100000+IF(N($U395)=0,99999,INT($U395))+ROW()/100000)</f>
      </c>
      <c r="AM395" s="225">
        <f>IF(OR($A395="",TRIM($K395)="",COUNTIF($K$6:$K395,$K395)&gt;1),0,1)</f>
      </c>
      <c r="AN395" s="225">
        <f>IF($AM395=1,SUM($AM$6:$AM395),"")</f>
      </c>
      <c r="AO395" s="225">
        <f>IF(OR($A395="",$V395="Đã xử lý",N($U395)=0),0,IF(TDBC&lt;=$U395,0,MAX(1,MIN(4,IF((TDBC-$U395)*24&lt;24,1,IF((TDBC-$U395)*24&lt;72,2,IF((TDBC-$U395)*24&lt;168,3,4)))+IFERROR(INDEX({2,1,0,-1},MATCH($J395,{"Khẩn cấp","Cao","Trung bình","Thấp"},0)),0)))))</f>
      </c>
    </row>
    <row r="396">
      <c r="A396" s="216"/>
      <c r="B396" s="217"/>
      <c r="C396" s="218"/>
      <c r="D396" s="218"/>
      <c r="E396" s="218"/>
      <c r="F396" s="218"/>
      <c r="G396" s="216"/>
      <c r="H396" s="218"/>
      <c r="I396" s="218"/>
      <c r="J396" s="216"/>
      <c r="K396" s="218"/>
      <c r="L396" s="218"/>
      <c r="M396" s="218"/>
      <c r="N396" s="218"/>
      <c r="O396" s="219"/>
      <c r="P396" s="216"/>
      <c r="Q396" s="217"/>
      <c r="R396" s="216"/>
      <c r="S396" s="218"/>
      <c r="T396" s="218"/>
      <c r="U396" s="220">
        <f>IF($A396="","",IF(N($Q396)&gt;0,IF(MOD($Q396,1)=0,$Q396+1-1/1440,$Q396),IF(N($B396)=0,"",$B396+IF(N($AH396)&gt;0,$AH396,IFERROR(INDEX(DM_SLA_Gio,MATCH($J396,DM_SLA_Cap,0)),168))/24)))</f>
      </c>
      <c r="V396" s="221">
        <f>IF($A396="","",IF(N($AJ396)=0,"Mới tiếp nhận",INDEX('Nhật ký tiến độ'!$E:$E,$AJ396)))</f>
      </c>
      <c r="W396" s="222">
        <f>IF($A396="","",IF($V396="Đã xử lý",1,IF(N($AJ396)=0,0,N(INDEX('Nhật ký tiến độ'!$D:$D,$AJ396)))))</f>
      </c>
      <c r="X396" s="222">
        <f>IF(OR($A396="",$V396="Đã xử lý",N($U396)=0,N($B396)=0),"",IF(TDBC&lt;=$B396,0,IF(TDBC&gt;=$U396,1,(TDBC-$B396)/($U396-$B396))))</f>
      </c>
      <c r="Y396" s="223">
        <f>IF($A396="","",IF($V396="Đã xử lý","Hoàn thành",IF(N($U396)=0,"Chưa đặt hạn",IF(TDBC&gt;$U396,"Quá hạn",IF(ROUND((N($X396)-$W396)*100,0)&gt;=20,"Chậm tiến độ",IF($U396-TDBC&lt;=1,"Sắp đến hạn","Đúng tiến độ"))))))</f>
      </c>
      <c r="Z396" s="223">
        <f>IF(OR($A396="",$V396="Đã xử lý",N($U396)=0),"",IF(TDBC&gt;$U396,"Quá "&amp;IF(((TDBC-$U396)*24)&lt;1,MAX(1,ROUND(((TDBC-$U396)*24)*60,0))&amp;" phút",IF(ROUND(((TDBC-$U396)*24),0)&lt;24,ROUND(((TDBC-$U396)*24),0)&amp;" giờ",INT(ROUND(((TDBC-$U396)*24),0)/24)&amp;" ngày"&amp;IF(MOD(ROUND(((TDBC-$U396)*24),0),24)&gt;0," "&amp;MOD(ROUND(((TDBC-$U396)*24),0),24)&amp;" giờ",""))),"Còn "&amp;IF((($U396-TDBC)*24)&lt;1,MAX(1,ROUND((($U396-TDBC)*24)*60,0))&amp;" phút",IF(ROUND((($U396-TDBC)*24),0)&lt;24,ROUND((($U396-TDBC)*24),0)&amp;" giờ",INT(ROUND((($U396-TDBC)*24),0)/24)&amp;" ngày"&amp;IF(MOD(ROUND((($U396-TDBC)*24),0),24)&gt;0," "&amp;MOD(ROUND((($U396-TDBC)*24),0),24)&amp;" giờ","")))))</f>
      </c>
      <c r="AA396" s="220">
        <f>IF($V396="Đã xử lý",_xlfn.MAXIFS('Nhật ký tiến độ'!$B$6:$B$3005,'Nhật ký tiến độ'!$C$6:$C$3005,$A396,'Nhật ký tiến độ'!$E$6:$E$3005,"Đã xử lý"),"")</f>
      </c>
      <c r="AB396" s="223">
        <f>IF($AI396="","",IF($AI396&lt;1,MAX(1,ROUND($AI396*60,0))&amp;" phút",IF(ROUND($AI396,0)&lt;24,ROUND($AI396,0)&amp;" giờ",INT(ROUND($AI396,0)/24)&amp;" ngày"&amp;IF(MOD(ROUND($AI396,0),24)&gt;0," "&amp;MOD(ROUND($AI396,0),24)&amp;" giờ",""))))</f>
      </c>
      <c r="AC396" s="223">
        <f>IF(OR($A396="",N($AH396)=0),"",IF($AI396&lt;&gt;"",IF($AI396&lt;=$AH396,"Trong ước tính","Vượt "&amp;IF(($AI396-$AH396)&lt;1,MAX(1,ROUND(($AI396-$AH396)*60,0))&amp;" phút",IF(ROUND(($AI396-$AH396),0)&lt;24,ROUND(($AI396-$AH396),0)&amp;" giờ",INT(ROUND(($AI396-$AH396),0)/24)&amp;" ngày"&amp;IF(MOD(ROUND(($AI396-$AH396),0),24)&gt;0," "&amp;MOD(ROUND(($AI396-$AH396),0),24)&amp;" giờ","")))),IF(OR($V396="Đã xử lý",N($B396)=0),"",IF((TDBC-$B396)*24&gt;$AH396,"Đã vượt ước tính","Đã dùng "&amp;TEXT((TDBC-$B396)*24/$AH396,"0%")))))</f>
      </c>
      <c r="AD396" s="223">
        <f>IF(N($AO396)=0,"",CHOOSE($AO396,"Nhắc nhở","Cảnh báo","Báo động","Báo động đỏ"))</f>
      </c>
      <c r="AE396" s="223">
        <f>IF(OR(N($AA396)=0,N($U396)=0),"",IF($AA396&lt;=$U396,"Đúng hạn","Trễ hạn"))</f>
      </c>
      <c r="AF396" s="220">
        <f>IF($A396="","",_xlfn.MAXIFS('Nhật ký tiến độ'!$B$6:$B$3005,'Nhật ký tiến độ'!$C$6:$C$3005,$A396))</f>
      </c>
      <c r="AG396" s="223">
        <f>IF($A396="","",IF(COUNTIF('Kế hoạch'!$M$6:$M$305,$A396)=0,"",COUNTIF('Kế hoạch'!$M$6:$M$305,$A396)&amp;" việc"))</f>
      </c>
      <c r="AH396" s="224">
        <f>IF(OR($A396="",N($O396)&lt;=0),"",IF($P396="Giờ",$O396,$O396*24))</f>
      </c>
      <c r="AI396" s="224">
        <f>IF(OR(N($AA396)=0,N($B396)=0),"",IF($AA396&lt;$B396,"",($AA396-$B396)*24))</f>
      </c>
      <c r="AJ396" s="225">
        <f>IF($A396="","",IF(COUNTIF('Nhật ký tiến độ'!$C$6:$C$3005,$A396)=0,0,_xlfn.MAXIFS('Nhật ký tiến độ'!$N$6:$N$3005,'Nhật ký tiến độ'!$C$6:$C$3005,$A396,'Nhật ký tiến độ'!$B$6:$B$3005,_xlfn.MAXIFS('Nhật ký tiến độ'!$B$6:$B$3005,'Nhật ký tiến độ'!$C$6:$C$3005,$A396))))</f>
      </c>
      <c r="AK396" s="225">
        <f>IF(OR($A396="",$V396="Đã xử lý"),"",IF(N($AO396)&gt;0,5-$AO396,IF($J396="Khẩn cấp",5,IF($Y396="Chậm tiến độ",6,IF(OR($Y396="Sắp đến hạn",$J396="Cao"),7,"")))))</f>
      </c>
      <c r="AL396" s="225">
        <f>IF($AK396="","",$AK396*100000+IF(N($U396)=0,99999,INT($U396))+ROW()/100000)</f>
      </c>
      <c r="AM396" s="225">
        <f>IF(OR($A396="",TRIM($K396)="",COUNTIF($K$6:$K396,$K396)&gt;1),0,1)</f>
      </c>
      <c r="AN396" s="225">
        <f>IF($AM396=1,SUM($AM$6:$AM396),"")</f>
      </c>
      <c r="AO396" s="225">
        <f>IF(OR($A396="",$V396="Đã xử lý",N($U396)=0),0,IF(TDBC&lt;=$U396,0,MAX(1,MIN(4,IF((TDBC-$U396)*24&lt;24,1,IF((TDBC-$U396)*24&lt;72,2,IF((TDBC-$U396)*24&lt;168,3,4)))+IFERROR(INDEX({2,1,0,-1},MATCH($J396,{"Khẩn cấp","Cao","Trung bình","Thấp"},0)),0)))))</f>
      </c>
    </row>
    <row r="397">
      <c r="A397" s="216"/>
      <c r="B397" s="217"/>
      <c r="C397" s="218"/>
      <c r="D397" s="218"/>
      <c r="E397" s="218"/>
      <c r="F397" s="218"/>
      <c r="G397" s="216"/>
      <c r="H397" s="218"/>
      <c r="I397" s="218"/>
      <c r="J397" s="216"/>
      <c r="K397" s="218"/>
      <c r="L397" s="218"/>
      <c r="M397" s="218"/>
      <c r="N397" s="218"/>
      <c r="O397" s="219"/>
      <c r="P397" s="216"/>
      <c r="Q397" s="217"/>
      <c r="R397" s="216"/>
      <c r="S397" s="218"/>
      <c r="T397" s="218"/>
      <c r="U397" s="220">
        <f>IF($A397="","",IF(N($Q397)&gt;0,IF(MOD($Q397,1)=0,$Q397+1-1/1440,$Q397),IF(N($B397)=0,"",$B397+IF(N($AH397)&gt;0,$AH397,IFERROR(INDEX(DM_SLA_Gio,MATCH($J397,DM_SLA_Cap,0)),168))/24)))</f>
      </c>
      <c r="V397" s="221">
        <f>IF($A397="","",IF(N($AJ397)=0,"Mới tiếp nhận",INDEX('Nhật ký tiến độ'!$E:$E,$AJ397)))</f>
      </c>
      <c r="W397" s="222">
        <f>IF($A397="","",IF($V397="Đã xử lý",1,IF(N($AJ397)=0,0,N(INDEX('Nhật ký tiến độ'!$D:$D,$AJ397)))))</f>
      </c>
      <c r="X397" s="222">
        <f>IF(OR($A397="",$V397="Đã xử lý",N($U397)=0,N($B397)=0),"",IF(TDBC&lt;=$B397,0,IF(TDBC&gt;=$U397,1,(TDBC-$B397)/($U397-$B397))))</f>
      </c>
      <c r="Y397" s="223">
        <f>IF($A397="","",IF($V397="Đã xử lý","Hoàn thành",IF(N($U397)=0,"Chưa đặt hạn",IF(TDBC&gt;$U397,"Quá hạn",IF(ROUND((N($X397)-$W397)*100,0)&gt;=20,"Chậm tiến độ",IF($U397-TDBC&lt;=1,"Sắp đến hạn","Đúng tiến độ"))))))</f>
      </c>
      <c r="Z397" s="223">
        <f>IF(OR($A397="",$V397="Đã xử lý",N($U397)=0),"",IF(TDBC&gt;$U397,"Quá "&amp;IF(((TDBC-$U397)*24)&lt;1,MAX(1,ROUND(((TDBC-$U397)*24)*60,0))&amp;" phút",IF(ROUND(((TDBC-$U397)*24),0)&lt;24,ROUND(((TDBC-$U397)*24),0)&amp;" giờ",INT(ROUND(((TDBC-$U397)*24),0)/24)&amp;" ngày"&amp;IF(MOD(ROUND(((TDBC-$U397)*24),0),24)&gt;0," "&amp;MOD(ROUND(((TDBC-$U397)*24),0),24)&amp;" giờ",""))),"Còn "&amp;IF((($U397-TDBC)*24)&lt;1,MAX(1,ROUND((($U397-TDBC)*24)*60,0))&amp;" phút",IF(ROUND((($U397-TDBC)*24),0)&lt;24,ROUND((($U397-TDBC)*24),0)&amp;" giờ",INT(ROUND((($U397-TDBC)*24),0)/24)&amp;" ngày"&amp;IF(MOD(ROUND((($U397-TDBC)*24),0),24)&gt;0," "&amp;MOD(ROUND((($U397-TDBC)*24),0),24)&amp;" giờ","")))))</f>
      </c>
      <c r="AA397" s="220">
        <f>IF($V397="Đã xử lý",_xlfn.MAXIFS('Nhật ký tiến độ'!$B$6:$B$3005,'Nhật ký tiến độ'!$C$6:$C$3005,$A397,'Nhật ký tiến độ'!$E$6:$E$3005,"Đã xử lý"),"")</f>
      </c>
      <c r="AB397" s="223">
        <f>IF($AI397="","",IF($AI397&lt;1,MAX(1,ROUND($AI397*60,0))&amp;" phút",IF(ROUND($AI397,0)&lt;24,ROUND($AI397,0)&amp;" giờ",INT(ROUND($AI397,0)/24)&amp;" ngày"&amp;IF(MOD(ROUND($AI397,0),24)&gt;0," "&amp;MOD(ROUND($AI397,0),24)&amp;" giờ",""))))</f>
      </c>
      <c r="AC397" s="223">
        <f>IF(OR($A397="",N($AH397)=0),"",IF($AI397&lt;&gt;"",IF($AI397&lt;=$AH397,"Trong ước tính","Vượt "&amp;IF(($AI397-$AH397)&lt;1,MAX(1,ROUND(($AI397-$AH397)*60,0))&amp;" phút",IF(ROUND(($AI397-$AH397),0)&lt;24,ROUND(($AI397-$AH397),0)&amp;" giờ",INT(ROUND(($AI397-$AH397),0)/24)&amp;" ngày"&amp;IF(MOD(ROUND(($AI397-$AH397),0),24)&gt;0," "&amp;MOD(ROUND(($AI397-$AH397),0),24)&amp;" giờ","")))),IF(OR($V397="Đã xử lý",N($B397)=0),"",IF((TDBC-$B397)*24&gt;$AH397,"Đã vượt ước tính","Đã dùng "&amp;TEXT((TDBC-$B397)*24/$AH397,"0%")))))</f>
      </c>
      <c r="AD397" s="223">
        <f>IF(N($AO397)=0,"",CHOOSE($AO397,"Nhắc nhở","Cảnh báo","Báo động","Báo động đỏ"))</f>
      </c>
      <c r="AE397" s="223">
        <f>IF(OR(N($AA397)=0,N($U397)=0),"",IF($AA397&lt;=$U397,"Đúng hạn","Trễ hạn"))</f>
      </c>
      <c r="AF397" s="220">
        <f>IF($A397="","",_xlfn.MAXIFS('Nhật ký tiến độ'!$B$6:$B$3005,'Nhật ký tiến độ'!$C$6:$C$3005,$A397))</f>
      </c>
      <c r="AG397" s="223">
        <f>IF($A397="","",IF(COUNTIF('Kế hoạch'!$M$6:$M$305,$A397)=0,"",COUNTIF('Kế hoạch'!$M$6:$M$305,$A397)&amp;" việc"))</f>
      </c>
      <c r="AH397" s="224">
        <f>IF(OR($A397="",N($O397)&lt;=0),"",IF($P397="Giờ",$O397,$O397*24))</f>
      </c>
      <c r="AI397" s="224">
        <f>IF(OR(N($AA397)=0,N($B397)=0),"",IF($AA397&lt;$B397,"",($AA397-$B397)*24))</f>
      </c>
      <c r="AJ397" s="225">
        <f>IF($A397="","",IF(COUNTIF('Nhật ký tiến độ'!$C$6:$C$3005,$A397)=0,0,_xlfn.MAXIFS('Nhật ký tiến độ'!$N$6:$N$3005,'Nhật ký tiến độ'!$C$6:$C$3005,$A397,'Nhật ký tiến độ'!$B$6:$B$3005,_xlfn.MAXIFS('Nhật ký tiến độ'!$B$6:$B$3005,'Nhật ký tiến độ'!$C$6:$C$3005,$A397))))</f>
      </c>
      <c r="AK397" s="225">
        <f>IF(OR($A397="",$V397="Đã xử lý"),"",IF(N($AO397)&gt;0,5-$AO397,IF($J397="Khẩn cấp",5,IF($Y397="Chậm tiến độ",6,IF(OR($Y397="Sắp đến hạn",$J397="Cao"),7,"")))))</f>
      </c>
      <c r="AL397" s="225">
        <f>IF($AK397="","",$AK397*100000+IF(N($U397)=0,99999,INT($U397))+ROW()/100000)</f>
      </c>
      <c r="AM397" s="225">
        <f>IF(OR($A397="",TRIM($K397)="",COUNTIF($K$6:$K397,$K397)&gt;1),0,1)</f>
      </c>
      <c r="AN397" s="225">
        <f>IF($AM397=1,SUM($AM$6:$AM397),"")</f>
      </c>
      <c r="AO397" s="225">
        <f>IF(OR($A397="",$V397="Đã xử lý",N($U397)=0),0,IF(TDBC&lt;=$U397,0,MAX(1,MIN(4,IF((TDBC-$U397)*24&lt;24,1,IF((TDBC-$U397)*24&lt;72,2,IF((TDBC-$U397)*24&lt;168,3,4)))+IFERROR(INDEX({2,1,0,-1},MATCH($J397,{"Khẩn cấp","Cao","Trung bình","Thấp"},0)),0)))))</f>
      </c>
    </row>
    <row r="398">
      <c r="A398" s="216"/>
      <c r="B398" s="217"/>
      <c r="C398" s="218"/>
      <c r="D398" s="218"/>
      <c r="E398" s="218"/>
      <c r="F398" s="218"/>
      <c r="G398" s="216"/>
      <c r="H398" s="218"/>
      <c r="I398" s="218"/>
      <c r="J398" s="216"/>
      <c r="K398" s="218"/>
      <c r="L398" s="218"/>
      <c r="M398" s="218"/>
      <c r="N398" s="218"/>
      <c r="O398" s="219"/>
      <c r="P398" s="216"/>
      <c r="Q398" s="217"/>
      <c r="R398" s="216"/>
      <c r="S398" s="218"/>
      <c r="T398" s="218"/>
      <c r="U398" s="220">
        <f>IF($A398="","",IF(N($Q398)&gt;0,IF(MOD($Q398,1)=0,$Q398+1-1/1440,$Q398),IF(N($B398)=0,"",$B398+IF(N($AH398)&gt;0,$AH398,IFERROR(INDEX(DM_SLA_Gio,MATCH($J398,DM_SLA_Cap,0)),168))/24)))</f>
      </c>
      <c r="V398" s="221">
        <f>IF($A398="","",IF(N($AJ398)=0,"Mới tiếp nhận",INDEX('Nhật ký tiến độ'!$E:$E,$AJ398)))</f>
      </c>
      <c r="W398" s="222">
        <f>IF($A398="","",IF($V398="Đã xử lý",1,IF(N($AJ398)=0,0,N(INDEX('Nhật ký tiến độ'!$D:$D,$AJ398)))))</f>
      </c>
      <c r="X398" s="222">
        <f>IF(OR($A398="",$V398="Đã xử lý",N($U398)=0,N($B398)=0),"",IF(TDBC&lt;=$B398,0,IF(TDBC&gt;=$U398,1,(TDBC-$B398)/($U398-$B398))))</f>
      </c>
      <c r="Y398" s="223">
        <f>IF($A398="","",IF($V398="Đã xử lý","Hoàn thành",IF(N($U398)=0,"Chưa đặt hạn",IF(TDBC&gt;$U398,"Quá hạn",IF(ROUND((N($X398)-$W398)*100,0)&gt;=20,"Chậm tiến độ",IF($U398-TDBC&lt;=1,"Sắp đến hạn","Đúng tiến độ"))))))</f>
      </c>
      <c r="Z398" s="223">
        <f>IF(OR($A398="",$V398="Đã xử lý",N($U398)=0),"",IF(TDBC&gt;$U398,"Quá "&amp;IF(((TDBC-$U398)*24)&lt;1,MAX(1,ROUND(((TDBC-$U398)*24)*60,0))&amp;" phút",IF(ROUND(((TDBC-$U398)*24),0)&lt;24,ROUND(((TDBC-$U398)*24),0)&amp;" giờ",INT(ROUND(((TDBC-$U398)*24),0)/24)&amp;" ngày"&amp;IF(MOD(ROUND(((TDBC-$U398)*24),0),24)&gt;0," "&amp;MOD(ROUND(((TDBC-$U398)*24),0),24)&amp;" giờ",""))),"Còn "&amp;IF((($U398-TDBC)*24)&lt;1,MAX(1,ROUND((($U398-TDBC)*24)*60,0))&amp;" phút",IF(ROUND((($U398-TDBC)*24),0)&lt;24,ROUND((($U398-TDBC)*24),0)&amp;" giờ",INT(ROUND((($U398-TDBC)*24),0)/24)&amp;" ngày"&amp;IF(MOD(ROUND((($U398-TDBC)*24),0),24)&gt;0," "&amp;MOD(ROUND((($U398-TDBC)*24),0),24)&amp;" giờ","")))))</f>
      </c>
      <c r="AA398" s="220">
        <f>IF($V398="Đã xử lý",_xlfn.MAXIFS('Nhật ký tiến độ'!$B$6:$B$3005,'Nhật ký tiến độ'!$C$6:$C$3005,$A398,'Nhật ký tiến độ'!$E$6:$E$3005,"Đã xử lý"),"")</f>
      </c>
      <c r="AB398" s="223">
        <f>IF($AI398="","",IF($AI398&lt;1,MAX(1,ROUND($AI398*60,0))&amp;" phút",IF(ROUND($AI398,0)&lt;24,ROUND($AI398,0)&amp;" giờ",INT(ROUND($AI398,0)/24)&amp;" ngày"&amp;IF(MOD(ROUND($AI398,0),24)&gt;0," "&amp;MOD(ROUND($AI398,0),24)&amp;" giờ",""))))</f>
      </c>
      <c r="AC398" s="223">
        <f>IF(OR($A398="",N($AH398)=0),"",IF($AI398&lt;&gt;"",IF($AI398&lt;=$AH398,"Trong ước tính","Vượt "&amp;IF(($AI398-$AH398)&lt;1,MAX(1,ROUND(($AI398-$AH398)*60,0))&amp;" phút",IF(ROUND(($AI398-$AH398),0)&lt;24,ROUND(($AI398-$AH398),0)&amp;" giờ",INT(ROUND(($AI398-$AH398),0)/24)&amp;" ngày"&amp;IF(MOD(ROUND(($AI398-$AH398),0),24)&gt;0," "&amp;MOD(ROUND(($AI398-$AH398),0),24)&amp;" giờ","")))),IF(OR($V398="Đã xử lý",N($B398)=0),"",IF((TDBC-$B398)*24&gt;$AH398,"Đã vượt ước tính","Đã dùng "&amp;TEXT((TDBC-$B398)*24/$AH398,"0%")))))</f>
      </c>
      <c r="AD398" s="223">
        <f>IF(N($AO398)=0,"",CHOOSE($AO398,"Nhắc nhở","Cảnh báo","Báo động","Báo động đỏ"))</f>
      </c>
      <c r="AE398" s="223">
        <f>IF(OR(N($AA398)=0,N($U398)=0),"",IF($AA398&lt;=$U398,"Đúng hạn","Trễ hạn"))</f>
      </c>
      <c r="AF398" s="220">
        <f>IF($A398="","",_xlfn.MAXIFS('Nhật ký tiến độ'!$B$6:$B$3005,'Nhật ký tiến độ'!$C$6:$C$3005,$A398))</f>
      </c>
      <c r="AG398" s="223">
        <f>IF($A398="","",IF(COUNTIF('Kế hoạch'!$M$6:$M$305,$A398)=0,"",COUNTIF('Kế hoạch'!$M$6:$M$305,$A398)&amp;" việc"))</f>
      </c>
      <c r="AH398" s="224">
        <f>IF(OR($A398="",N($O398)&lt;=0),"",IF($P398="Giờ",$O398,$O398*24))</f>
      </c>
      <c r="AI398" s="224">
        <f>IF(OR(N($AA398)=0,N($B398)=0),"",IF($AA398&lt;$B398,"",($AA398-$B398)*24))</f>
      </c>
      <c r="AJ398" s="225">
        <f>IF($A398="","",IF(COUNTIF('Nhật ký tiến độ'!$C$6:$C$3005,$A398)=0,0,_xlfn.MAXIFS('Nhật ký tiến độ'!$N$6:$N$3005,'Nhật ký tiến độ'!$C$6:$C$3005,$A398,'Nhật ký tiến độ'!$B$6:$B$3005,_xlfn.MAXIFS('Nhật ký tiến độ'!$B$6:$B$3005,'Nhật ký tiến độ'!$C$6:$C$3005,$A398))))</f>
      </c>
      <c r="AK398" s="225">
        <f>IF(OR($A398="",$V398="Đã xử lý"),"",IF(N($AO398)&gt;0,5-$AO398,IF($J398="Khẩn cấp",5,IF($Y398="Chậm tiến độ",6,IF(OR($Y398="Sắp đến hạn",$J398="Cao"),7,"")))))</f>
      </c>
      <c r="AL398" s="225">
        <f>IF($AK398="","",$AK398*100000+IF(N($U398)=0,99999,INT($U398))+ROW()/100000)</f>
      </c>
      <c r="AM398" s="225">
        <f>IF(OR($A398="",TRIM($K398)="",COUNTIF($K$6:$K398,$K398)&gt;1),0,1)</f>
      </c>
      <c r="AN398" s="225">
        <f>IF($AM398=1,SUM($AM$6:$AM398),"")</f>
      </c>
      <c r="AO398" s="225">
        <f>IF(OR($A398="",$V398="Đã xử lý",N($U398)=0),0,IF(TDBC&lt;=$U398,0,MAX(1,MIN(4,IF((TDBC-$U398)*24&lt;24,1,IF((TDBC-$U398)*24&lt;72,2,IF((TDBC-$U398)*24&lt;168,3,4)))+IFERROR(INDEX({2,1,0,-1},MATCH($J398,{"Khẩn cấp","Cao","Trung bình","Thấp"},0)),0)))))</f>
      </c>
    </row>
    <row r="399">
      <c r="A399" s="216"/>
      <c r="B399" s="217"/>
      <c r="C399" s="218"/>
      <c r="D399" s="218"/>
      <c r="E399" s="218"/>
      <c r="F399" s="218"/>
      <c r="G399" s="216"/>
      <c r="H399" s="218"/>
      <c r="I399" s="218"/>
      <c r="J399" s="216"/>
      <c r="K399" s="218"/>
      <c r="L399" s="218"/>
      <c r="M399" s="218"/>
      <c r="N399" s="218"/>
      <c r="O399" s="219"/>
      <c r="P399" s="216"/>
      <c r="Q399" s="217"/>
      <c r="R399" s="216"/>
      <c r="S399" s="218"/>
      <c r="T399" s="218"/>
      <c r="U399" s="220">
        <f>IF($A399="","",IF(N($Q399)&gt;0,IF(MOD($Q399,1)=0,$Q399+1-1/1440,$Q399),IF(N($B399)=0,"",$B399+IF(N($AH399)&gt;0,$AH399,IFERROR(INDEX(DM_SLA_Gio,MATCH($J399,DM_SLA_Cap,0)),168))/24)))</f>
      </c>
      <c r="V399" s="221">
        <f>IF($A399="","",IF(N($AJ399)=0,"Mới tiếp nhận",INDEX('Nhật ký tiến độ'!$E:$E,$AJ399)))</f>
      </c>
      <c r="W399" s="222">
        <f>IF($A399="","",IF($V399="Đã xử lý",1,IF(N($AJ399)=0,0,N(INDEX('Nhật ký tiến độ'!$D:$D,$AJ399)))))</f>
      </c>
      <c r="X399" s="222">
        <f>IF(OR($A399="",$V399="Đã xử lý",N($U399)=0,N($B399)=0),"",IF(TDBC&lt;=$B399,0,IF(TDBC&gt;=$U399,1,(TDBC-$B399)/($U399-$B399))))</f>
      </c>
      <c r="Y399" s="223">
        <f>IF($A399="","",IF($V399="Đã xử lý","Hoàn thành",IF(N($U399)=0,"Chưa đặt hạn",IF(TDBC&gt;$U399,"Quá hạn",IF(ROUND((N($X399)-$W399)*100,0)&gt;=20,"Chậm tiến độ",IF($U399-TDBC&lt;=1,"Sắp đến hạn","Đúng tiến độ"))))))</f>
      </c>
      <c r="Z399" s="223">
        <f>IF(OR($A399="",$V399="Đã xử lý",N($U399)=0),"",IF(TDBC&gt;$U399,"Quá "&amp;IF(((TDBC-$U399)*24)&lt;1,MAX(1,ROUND(((TDBC-$U399)*24)*60,0))&amp;" phút",IF(ROUND(((TDBC-$U399)*24),0)&lt;24,ROUND(((TDBC-$U399)*24),0)&amp;" giờ",INT(ROUND(((TDBC-$U399)*24),0)/24)&amp;" ngày"&amp;IF(MOD(ROUND(((TDBC-$U399)*24),0),24)&gt;0," "&amp;MOD(ROUND(((TDBC-$U399)*24),0),24)&amp;" giờ",""))),"Còn "&amp;IF((($U399-TDBC)*24)&lt;1,MAX(1,ROUND((($U399-TDBC)*24)*60,0))&amp;" phút",IF(ROUND((($U399-TDBC)*24),0)&lt;24,ROUND((($U399-TDBC)*24),0)&amp;" giờ",INT(ROUND((($U399-TDBC)*24),0)/24)&amp;" ngày"&amp;IF(MOD(ROUND((($U399-TDBC)*24),0),24)&gt;0," "&amp;MOD(ROUND((($U399-TDBC)*24),0),24)&amp;" giờ","")))))</f>
      </c>
      <c r="AA399" s="220">
        <f>IF($V399="Đã xử lý",_xlfn.MAXIFS('Nhật ký tiến độ'!$B$6:$B$3005,'Nhật ký tiến độ'!$C$6:$C$3005,$A399,'Nhật ký tiến độ'!$E$6:$E$3005,"Đã xử lý"),"")</f>
      </c>
      <c r="AB399" s="223">
        <f>IF($AI399="","",IF($AI399&lt;1,MAX(1,ROUND($AI399*60,0))&amp;" phút",IF(ROUND($AI399,0)&lt;24,ROUND($AI399,0)&amp;" giờ",INT(ROUND($AI399,0)/24)&amp;" ngày"&amp;IF(MOD(ROUND($AI399,0),24)&gt;0," "&amp;MOD(ROUND($AI399,0),24)&amp;" giờ",""))))</f>
      </c>
      <c r="AC399" s="223">
        <f>IF(OR($A399="",N($AH399)=0),"",IF($AI399&lt;&gt;"",IF($AI399&lt;=$AH399,"Trong ước tính","Vượt "&amp;IF(($AI399-$AH399)&lt;1,MAX(1,ROUND(($AI399-$AH399)*60,0))&amp;" phút",IF(ROUND(($AI399-$AH399),0)&lt;24,ROUND(($AI399-$AH399),0)&amp;" giờ",INT(ROUND(($AI399-$AH399),0)/24)&amp;" ngày"&amp;IF(MOD(ROUND(($AI399-$AH399),0),24)&gt;0," "&amp;MOD(ROUND(($AI399-$AH399),0),24)&amp;" giờ","")))),IF(OR($V399="Đã xử lý",N($B399)=0),"",IF((TDBC-$B399)*24&gt;$AH399,"Đã vượt ước tính","Đã dùng "&amp;TEXT((TDBC-$B399)*24/$AH399,"0%")))))</f>
      </c>
      <c r="AD399" s="223">
        <f>IF(N($AO399)=0,"",CHOOSE($AO399,"Nhắc nhở","Cảnh báo","Báo động","Báo động đỏ"))</f>
      </c>
      <c r="AE399" s="223">
        <f>IF(OR(N($AA399)=0,N($U399)=0),"",IF($AA399&lt;=$U399,"Đúng hạn","Trễ hạn"))</f>
      </c>
      <c r="AF399" s="220">
        <f>IF($A399="","",_xlfn.MAXIFS('Nhật ký tiến độ'!$B$6:$B$3005,'Nhật ký tiến độ'!$C$6:$C$3005,$A399))</f>
      </c>
      <c r="AG399" s="223">
        <f>IF($A399="","",IF(COUNTIF('Kế hoạch'!$M$6:$M$305,$A399)=0,"",COUNTIF('Kế hoạch'!$M$6:$M$305,$A399)&amp;" việc"))</f>
      </c>
      <c r="AH399" s="224">
        <f>IF(OR($A399="",N($O399)&lt;=0),"",IF($P399="Giờ",$O399,$O399*24))</f>
      </c>
      <c r="AI399" s="224">
        <f>IF(OR(N($AA399)=0,N($B399)=0),"",IF($AA399&lt;$B399,"",($AA399-$B399)*24))</f>
      </c>
      <c r="AJ399" s="225">
        <f>IF($A399="","",IF(COUNTIF('Nhật ký tiến độ'!$C$6:$C$3005,$A399)=0,0,_xlfn.MAXIFS('Nhật ký tiến độ'!$N$6:$N$3005,'Nhật ký tiến độ'!$C$6:$C$3005,$A399,'Nhật ký tiến độ'!$B$6:$B$3005,_xlfn.MAXIFS('Nhật ký tiến độ'!$B$6:$B$3005,'Nhật ký tiến độ'!$C$6:$C$3005,$A399))))</f>
      </c>
      <c r="AK399" s="225">
        <f>IF(OR($A399="",$V399="Đã xử lý"),"",IF(N($AO399)&gt;0,5-$AO399,IF($J399="Khẩn cấp",5,IF($Y399="Chậm tiến độ",6,IF(OR($Y399="Sắp đến hạn",$J399="Cao"),7,"")))))</f>
      </c>
      <c r="AL399" s="225">
        <f>IF($AK399="","",$AK399*100000+IF(N($U399)=0,99999,INT($U399))+ROW()/100000)</f>
      </c>
      <c r="AM399" s="225">
        <f>IF(OR($A399="",TRIM($K399)="",COUNTIF($K$6:$K399,$K399)&gt;1),0,1)</f>
      </c>
      <c r="AN399" s="225">
        <f>IF($AM399=1,SUM($AM$6:$AM399),"")</f>
      </c>
      <c r="AO399" s="225">
        <f>IF(OR($A399="",$V399="Đã xử lý",N($U399)=0),0,IF(TDBC&lt;=$U399,0,MAX(1,MIN(4,IF((TDBC-$U399)*24&lt;24,1,IF((TDBC-$U399)*24&lt;72,2,IF((TDBC-$U399)*24&lt;168,3,4)))+IFERROR(INDEX({2,1,0,-1},MATCH($J399,{"Khẩn cấp","Cao","Trung bình","Thấp"},0)),0)))))</f>
      </c>
    </row>
    <row r="400">
      <c r="A400" s="216"/>
      <c r="B400" s="217"/>
      <c r="C400" s="218"/>
      <c r="D400" s="218"/>
      <c r="E400" s="218"/>
      <c r="F400" s="218"/>
      <c r="G400" s="216"/>
      <c r="H400" s="218"/>
      <c r="I400" s="218"/>
      <c r="J400" s="216"/>
      <c r="K400" s="218"/>
      <c r="L400" s="218"/>
      <c r="M400" s="218"/>
      <c r="N400" s="218"/>
      <c r="O400" s="219"/>
      <c r="P400" s="216"/>
      <c r="Q400" s="217"/>
      <c r="R400" s="216"/>
      <c r="S400" s="218"/>
      <c r="T400" s="218"/>
      <c r="U400" s="220">
        <f>IF($A400="","",IF(N($Q400)&gt;0,IF(MOD($Q400,1)=0,$Q400+1-1/1440,$Q400),IF(N($B400)=0,"",$B400+IF(N($AH400)&gt;0,$AH400,IFERROR(INDEX(DM_SLA_Gio,MATCH($J400,DM_SLA_Cap,0)),168))/24)))</f>
      </c>
      <c r="V400" s="221">
        <f>IF($A400="","",IF(N($AJ400)=0,"Mới tiếp nhận",INDEX('Nhật ký tiến độ'!$E:$E,$AJ400)))</f>
      </c>
      <c r="W400" s="222">
        <f>IF($A400="","",IF($V400="Đã xử lý",1,IF(N($AJ400)=0,0,N(INDEX('Nhật ký tiến độ'!$D:$D,$AJ400)))))</f>
      </c>
      <c r="X400" s="222">
        <f>IF(OR($A400="",$V400="Đã xử lý",N($U400)=0,N($B400)=0),"",IF(TDBC&lt;=$B400,0,IF(TDBC&gt;=$U400,1,(TDBC-$B400)/($U400-$B400))))</f>
      </c>
      <c r="Y400" s="223">
        <f>IF($A400="","",IF($V400="Đã xử lý","Hoàn thành",IF(N($U400)=0,"Chưa đặt hạn",IF(TDBC&gt;$U400,"Quá hạn",IF(ROUND((N($X400)-$W400)*100,0)&gt;=20,"Chậm tiến độ",IF($U400-TDBC&lt;=1,"Sắp đến hạn","Đúng tiến độ"))))))</f>
      </c>
      <c r="Z400" s="223">
        <f>IF(OR($A400="",$V400="Đã xử lý",N($U400)=0),"",IF(TDBC&gt;$U400,"Quá "&amp;IF(((TDBC-$U400)*24)&lt;1,MAX(1,ROUND(((TDBC-$U400)*24)*60,0))&amp;" phút",IF(ROUND(((TDBC-$U400)*24),0)&lt;24,ROUND(((TDBC-$U400)*24),0)&amp;" giờ",INT(ROUND(((TDBC-$U400)*24),0)/24)&amp;" ngày"&amp;IF(MOD(ROUND(((TDBC-$U400)*24),0),24)&gt;0," "&amp;MOD(ROUND(((TDBC-$U400)*24),0),24)&amp;" giờ",""))),"Còn "&amp;IF((($U400-TDBC)*24)&lt;1,MAX(1,ROUND((($U400-TDBC)*24)*60,0))&amp;" phút",IF(ROUND((($U400-TDBC)*24),0)&lt;24,ROUND((($U400-TDBC)*24),0)&amp;" giờ",INT(ROUND((($U400-TDBC)*24),0)/24)&amp;" ngày"&amp;IF(MOD(ROUND((($U400-TDBC)*24),0),24)&gt;0," "&amp;MOD(ROUND((($U400-TDBC)*24),0),24)&amp;" giờ","")))))</f>
      </c>
      <c r="AA400" s="220">
        <f>IF($V400="Đã xử lý",_xlfn.MAXIFS('Nhật ký tiến độ'!$B$6:$B$3005,'Nhật ký tiến độ'!$C$6:$C$3005,$A400,'Nhật ký tiến độ'!$E$6:$E$3005,"Đã xử lý"),"")</f>
      </c>
      <c r="AB400" s="223">
        <f>IF($AI400="","",IF($AI400&lt;1,MAX(1,ROUND($AI400*60,0))&amp;" phút",IF(ROUND($AI400,0)&lt;24,ROUND($AI400,0)&amp;" giờ",INT(ROUND($AI400,0)/24)&amp;" ngày"&amp;IF(MOD(ROUND($AI400,0),24)&gt;0," "&amp;MOD(ROUND($AI400,0),24)&amp;" giờ",""))))</f>
      </c>
      <c r="AC400" s="223">
        <f>IF(OR($A400="",N($AH400)=0),"",IF($AI400&lt;&gt;"",IF($AI400&lt;=$AH400,"Trong ước tính","Vượt "&amp;IF(($AI400-$AH400)&lt;1,MAX(1,ROUND(($AI400-$AH400)*60,0))&amp;" phút",IF(ROUND(($AI400-$AH400),0)&lt;24,ROUND(($AI400-$AH400),0)&amp;" giờ",INT(ROUND(($AI400-$AH400),0)/24)&amp;" ngày"&amp;IF(MOD(ROUND(($AI400-$AH400),0),24)&gt;0," "&amp;MOD(ROUND(($AI400-$AH400),0),24)&amp;" giờ","")))),IF(OR($V400="Đã xử lý",N($B400)=0),"",IF((TDBC-$B400)*24&gt;$AH400,"Đã vượt ước tính","Đã dùng "&amp;TEXT((TDBC-$B400)*24/$AH400,"0%")))))</f>
      </c>
      <c r="AD400" s="223">
        <f>IF(N($AO400)=0,"",CHOOSE($AO400,"Nhắc nhở","Cảnh báo","Báo động","Báo động đỏ"))</f>
      </c>
      <c r="AE400" s="223">
        <f>IF(OR(N($AA400)=0,N($U400)=0),"",IF($AA400&lt;=$U400,"Đúng hạn","Trễ hạn"))</f>
      </c>
      <c r="AF400" s="220">
        <f>IF($A400="","",_xlfn.MAXIFS('Nhật ký tiến độ'!$B$6:$B$3005,'Nhật ký tiến độ'!$C$6:$C$3005,$A400))</f>
      </c>
      <c r="AG400" s="223">
        <f>IF($A400="","",IF(COUNTIF('Kế hoạch'!$M$6:$M$305,$A400)=0,"",COUNTIF('Kế hoạch'!$M$6:$M$305,$A400)&amp;" việc"))</f>
      </c>
      <c r="AH400" s="224">
        <f>IF(OR($A400="",N($O400)&lt;=0),"",IF($P400="Giờ",$O400,$O400*24))</f>
      </c>
      <c r="AI400" s="224">
        <f>IF(OR(N($AA400)=0,N($B400)=0),"",IF($AA400&lt;$B400,"",($AA400-$B400)*24))</f>
      </c>
      <c r="AJ400" s="225">
        <f>IF($A400="","",IF(COUNTIF('Nhật ký tiến độ'!$C$6:$C$3005,$A400)=0,0,_xlfn.MAXIFS('Nhật ký tiến độ'!$N$6:$N$3005,'Nhật ký tiến độ'!$C$6:$C$3005,$A400,'Nhật ký tiến độ'!$B$6:$B$3005,_xlfn.MAXIFS('Nhật ký tiến độ'!$B$6:$B$3005,'Nhật ký tiến độ'!$C$6:$C$3005,$A400))))</f>
      </c>
      <c r="AK400" s="225">
        <f>IF(OR($A400="",$V400="Đã xử lý"),"",IF(N($AO400)&gt;0,5-$AO400,IF($J400="Khẩn cấp",5,IF($Y400="Chậm tiến độ",6,IF(OR($Y400="Sắp đến hạn",$J400="Cao"),7,"")))))</f>
      </c>
      <c r="AL400" s="225">
        <f>IF($AK400="","",$AK400*100000+IF(N($U400)=0,99999,INT($U400))+ROW()/100000)</f>
      </c>
      <c r="AM400" s="225">
        <f>IF(OR($A400="",TRIM($K400)="",COUNTIF($K$6:$K400,$K400)&gt;1),0,1)</f>
      </c>
      <c r="AN400" s="225">
        <f>IF($AM400=1,SUM($AM$6:$AM400),"")</f>
      </c>
      <c r="AO400" s="225">
        <f>IF(OR($A400="",$V400="Đã xử lý",N($U400)=0),0,IF(TDBC&lt;=$U400,0,MAX(1,MIN(4,IF((TDBC-$U400)*24&lt;24,1,IF((TDBC-$U400)*24&lt;72,2,IF((TDBC-$U400)*24&lt;168,3,4)))+IFERROR(INDEX({2,1,0,-1},MATCH($J400,{"Khẩn cấp","Cao","Trung bình","Thấp"},0)),0)))))</f>
      </c>
    </row>
    <row r="401">
      <c r="A401" s="216"/>
      <c r="B401" s="217"/>
      <c r="C401" s="218"/>
      <c r="D401" s="218"/>
      <c r="E401" s="218"/>
      <c r="F401" s="218"/>
      <c r="G401" s="216"/>
      <c r="H401" s="218"/>
      <c r="I401" s="218"/>
      <c r="J401" s="216"/>
      <c r="K401" s="218"/>
      <c r="L401" s="218"/>
      <c r="M401" s="218"/>
      <c r="N401" s="218"/>
      <c r="O401" s="219"/>
      <c r="P401" s="216"/>
      <c r="Q401" s="217"/>
      <c r="R401" s="216"/>
      <c r="S401" s="218"/>
      <c r="T401" s="218"/>
      <c r="U401" s="220">
        <f>IF($A401="","",IF(N($Q401)&gt;0,IF(MOD($Q401,1)=0,$Q401+1-1/1440,$Q401),IF(N($B401)=0,"",$B401+IF(N($AH401)&gt;0,$AH401,IFERROR(INDEX(DM_SLA_Gio,MATCH($J401,DM_SLA_Cap,0)),168))/24)))</f>
      </c>
      <c r="V401" s="221">
        <f>IF($A401="","",IF(N($AJ401)=0,"Mới tiếp nhận",INDEX('Nhật ký tiến độ'!$E:$E,$AJ401)))</f>
      </c>
      <c r="W401" s="222">
        <f>IF($A401="","",IF($V401="Đã xử lý",1,IF(N($AJ401)=0,0,N(INDEX('Nhật ký tiến độ'!$D:$D,$AJ401)))))</f>
      </c>
      <c r="X401" s="222">
        <f>IF(OR($A401="",$V401="Đã xử lý",N($U401)=0,N($B401)=0),"",IF(TDBC&lt;=$B401,0,IF(TDBC&gt;=$U401,1,(TDBC-$B401)/($U401-$B401))))</f>
      </c>
      <c r="Y401" s="223">
        <f>IF($A401="","",IF($V401="Đã xử lý","Hoàn thành",IF(N($U401)=0,"Chưa đặt hạn",IF(TDBC&gt;$U401,"Quá hạn",IF(ROUND((N($X401)-$W401)*100,0)&gt;=20,"Chậm tiến độ",IF($U401-TDBC&lt;=1,"Sắp đến hạn","Đúng tiến độ"))))))</f>
      </c>
      <c r="Z401" s="223">
        <f>IF(OR($A401="",$V401="Đã xử lý",N($U401)=0),"",IF(TDBC&gt;$U401,"Quá "&amp;IF(((TDBC-$U401)*24)&lt;1,MAX(1,ROUND(((TDBC-$U401)*24)*60,0))&amp;" phút",IF(ROUND(((TDBC-$U401)*24),0)&lt;24,ROUND(((TDBC-$U401)*24),0)&amp;" giờ",INT(ROUND(((TDBC-$U401)*24),0)/24)&amp;" ngày"&amp;IF(MOD(ROUND(((TDBC-$U401)*24),0),24)&gt;0," "&amp;MOD(ROUND(((TDBC-$U401)*24),0),24)&amp;" giờ",""))),"Còn "&amp;IF((($U401-TDBC)*24)&lt;1,MAX(1,ROUND((($U401-TDBC)*24)*60,0))&amp;" phút",IF(ROUND((($U401-TDBC)*24),0)&lt;24,ROUND((($U401-TDBC)*24),0)&amp;" giờ",INT(ROUND((($U401-TDBC)*24),0)/24)&amp;" ngày"&amp;IF(MOD(ROUND((($U401-TDBC)*24),0),24)&gt;0," "&amp;MOD(ROUND((($U401-TDBC)*24),0),24)&amp;" giờ","")))))</f>
      </c>
      <c r="AA401" s="220">
        <f>IF($V401="Đã xử lý",_xlfn.MAXIFS('Nhật ký tiến độ'!$B$6:$B$3005,'Nhật ký tiến độ'!$C$6:$C$3005,$A401,'Nhật ký tiến độ'!$E$6:$E$3005,"Đã xử lý"),"")</f>
      </c>
      <c r="AB401" s="223">
        <f>IF($AI401="","",IF($AI401&lt;1,MAX(1,ROUND($AI401*60,0))&amp;" phút",IF(ROUND($AI401,0)&lt;24,ROUND($AI401,0)&amp;" giờ",INT(ROUND($AI401,0)/24)&amp;" ngày"&amp;IF(MOD(ROUND($AI401,0),24)&gt;0," "&amp;MOD(ROUND($AI401,0),24)&amp;" giờ",""))))</f>
      </c>
      <c r="AC401" s="223">
        <f>IF(OR($A401="",N($AH401)=0),"",IF($AI401&lt;&gt;"",IF($AI401&lt;=$AH401,"Trong ước tính","Vượt "&amp;IF(($AI401-$AH401)&lt;1,MAX(1,ROUND(($AI401-$AH401)*60,0))&amp;" phút",IF(ROUND(($AI401-$AH401),0)&lt;24,ROUND(($AI401-$AH401),0)&amp;" giờ",INT(ROUND(($AI401-$AH401),0)/24)&amp;" ngày"&amp;IF(MOD(ROUND(($AI401-$AH401),0),24)&gt;0," "&amp;MOD(ROUND(($AI401-$AH401),0),24)&amp;" giờ","")))),IF(OR($V401="Đã xử lý",N($B401)=0),"",IF((TDBC-$B401)*24&gt;$AH401,"Đã vượt ước tính","Đã dùng "&amp;TEXT((TDBC-$B401)*24/$AH401,"0%")))))</f>
      </c>
      <c r="AD401" s="223">
        <f>IF(N($AO401)=0,"",CHOOSE($AO401,"Nhắc nhở","Cảnh báo","Báo động","Báo động đỏ"))</f>
      </c>
      <c r="AE401" s="223">
        <f>IF(OR(N($AA401)=0,N($U401)=0),"",IF($AA401&lt;=$U401,"Đúng hạn","Trễ hạn"))</f>
      </c>
      <c r="AF401" s="220">
        <f>IF($A401="","",_xlfn.MAXIFS('Nhật ký tiến độ'!$B$6:$B$3005,'Nhật ký tiến độ'!$C$6:$C$3005,$A401))</f>
      </c>
      <c r="AG401" s="223">
        <f>IF($A401="","",IF(COUNTIF('Kế hoạch'!$M$6:$M$305,$A401)=0,"",COUNTIF('Kế hoạch'!$M$6:$M$305,$A401)&amp;" việc"))</f>
      </c>
      <c r="AH401" s="224">
        <f>IF(OR($A401="",N($O401)&lt;=0),"",IF($P401="Giờ",$O401,$O401*24))</f>
      </c>
      <c r="AI401" s="224">
        <f>IF(OR(N($AA401)=0,N($B401)=0),"",IF($AA401&lt;$B401,"",($AA401-$B401)*24))</f>
      </c>
      <c r="AJ401" s="225">
        <f>IF($A401="","",IF(COUNTIF('Nhật ký tiến độ'!$C$6:$C$3005,$A401)=0,0,_xlfn.MAXIFS('Nhật ký tiến độ'!$N$6:$N$3005,'Nhật ký tiến độ'!$C$6:$C$3005,$A401,'Nhật ký tiến độ'!$B$6:$B$3005,_xlfn.MAXIFS('Nhật ký tiến độ'!$B$6:$B$3005,'Nhật ký tiến độ'!$C$6:$C$3005,$A401))))</f>
      </c>
      <c r="AK401" s="225">
        <f>IF(OR($A401="",$V401="Đã xử lý"),"",IF(N($AO401)&gt;0,5-$AO401,IF($J401="Khẩn cấp",5,IF($Y401="Chậm tiến độ",6,IF(OR($Y401="Sắp đến hạn",$J401="Cao"),7,"")))))</f>
      </c>
      <c r="AL401" s="225">
        <f>IF($AK401="","",$AK401*100000+IF(N($U401)=0,99999,INT($U401))+ROW()/100000)</f>
      </c>
      <c r="AM401" s="225">
        <f>IF(OR($A401="",TRIM($K401)="",COUNTIF($K$6:$K401,$K401)&gt;1),0,1)</f>
      </c>
      <c r="AN401" s="225">
        <f>IF($AM401=1,SUM($AM$6:$AM401),"")</f>
      </c>
      <c r="AO401" s="225">
        <f>IF(OR($A401="",$V401="Đã xử lý",N($U401)=0),0,IF(TDBC&lt;=$U401,0,MAX(1,MIN(4,IF((TDBC-$U401)*24&lt;24,1,IF((TDBC-$U401)*24&lt;72,2,IF((TDBC-$U401)*24&lt;168,3,4)))+IFERROR(INDEX({2,1,0,-1},MATCH($J401,{"Khẩn cấp","Cao","Trung bình","Thấp"},0)),0)))))</f>
      </c>
    </row>
    <row r="402">
      <c r="A402" s="216"/>
      <c r="B402" s="217"/>
      <c r="C402" s="218"/>
      <c r="D402" s="218"/>
      <c r="E402" s="218"/>
      <c r="F402" s="218"/>
      <c r="G402" s="216"/>
      <c r="H402" s="218"/>
      <c r="I402" s="218"/>
      <c r="J402" s="216"/>
      <c r="K402" s="218"/>
      <c r="L402" s="218"/>
      <c r="M402" s="218"/>
      <c r="N402" s="218"/>
      <c r="O402" s="219"/>
      <c r="P402" s="216"/>
      <c r="Q402" s="217"/>
      <c r="R402" s="216"/>
      <c r="S402" s="218"/>
      <c r="T402" s="218"/>
      <c r="U402" s="220">
        <f>IF($A402="","",IF(N($Q402)&gt;0,IF(MOD($Q402,1)=0,$Q402+1-1/1440,$Q402),IF(N($B402)=0,"",$B402+IF(N($AH402)&gt;0,$AH402,IFERROR(INDEX(DM_SLA_Gio,MATCH($J402,DM_SLA_Cap,0)),168))/24)))</f>
      </c>
      <c r="V402" s="221">
        <f>IF($A402="","",IF(N($AJ402)=0,"Mới tiếp nhận",INDEX('Nhật ký tiến độ'!$E:$E,$AJ402)))</f>
      </c>
      <c r="W402" s="222">
        <f>IF($A402="","",IF($V402="Đã xử lý",1,IF(N($AJ402)=0,0,N(INDEX('Nhật ký tiến độ'!$D:$D,$AJ402)))))</f>
      </c>
      <c r="X402" s="222">
        <f>IF(OR($A402="",$V402="Đã xử lý",N($U402)=0,N($B402)=0),"",IF(TDBC&lt;=$B402,0,IF(TDBC&gt;=$U402,1,(TDBC-$B402)/($U402-$B402))))</f>
      </c>
      <c r="Y402" s="223">
        <f>IF($A402="","",IF($V402="Đã xử lý","Hoàn thành",IF(N($U402)=0,"Chưa đặt hạn",IF(TDBC&gt;$U402,"Quá hạn",IF(ROUND((N($X402)-$W402)*100,0)&gt;=20,"Chậm tiến độ",IF($U402-TDBC&lt;=1,"Sắp đến hạn","Đúng tiến độ"))))))</f>
      </c>
      <c r="Z402" s="223">
        <f>IF(OR($A402="",$V402="Đã xử lý",N($U402)=0),"",IF(TDBC&gt;$U402,"Quá "&amp;IF(((TDBC-$U402)*24)&lt;1,MAX(1,ROUND(((TDBC-$U402)*24)*60,0))&amp;" phút",IF(ROUND(((TDBC-$U402)*24),0)&lt;24,ROUND(((TDBC-$U402)*24),0)&amp;" giờ",INT(ROUND(((TDBC-$U402)*24),0)/24)&amp;" ngày"&amp;IF(MOD(ROUND(((TDBC-$U402)*24),0),24)&gt;0," "&amp;MOD(ROUND(((TDBC-$U402)*24),0),24)&amp;" giờ",""))),"Còn "&amp;IF((($U402-TDBC)*24)&lt;1,MAX(1,ROUND((($U402-TDBC)*24)*60,0))&amp;" phút",IF(ROUND((($U402-TDBC)*24),0)&lt;24,ROUND((($U402-TDBC)*24),0)&amp;" giờ",INT(ROUND((($U402-TDBC)*24),0)/24)&amp;" ngày"&amp;IF(MOD(ROUND((($U402-TDBC)*24),0),24)&gt;0," "&amp;MOD(ROUND((($U402-TDBC)*24),0),24)&amp;" giờ","")))))</f>
      </c>
      <c r="AA402" s="220">
        <f>IF($V402="Đã xử lý",_xlfn.MAXIFS('Nhật ký tiến độ'!$B$6:$B$3005,'Nhật ký tiến độ'!$C$6:$C$3005,$A402,'Nhật ký tiến độ'!$E$6:$E$3005,"Đã xử lý"),"")</f>
      </c>
      <c r="AB402" s="223">
        <f>IF($AI402="","",IF($AI402&lt;1,MAX(1,ROUND($AI402*60,0))&amp;" phút",IF(ROUND($AI402,0)&lt;24,ROUND($AI402,0)&amp;" giờ",INT(ROUND($AI402,0)/24)&amp;" ngày"&amp;IF(MOD(ROUND($AI402,0),24)&gt;0," "&amp;MOD(ROUND($AI402,0),24)&amp;" giờ",""))))</f>
      </c>
      <c r="AC402" s="223">
        <f>IF(OR($A402="",N($AH402)=0),"",IF($AI402&lt;&gt;"",IF($AI402&lt;=$AH402,"Trong ước tính","Vượt "&amp;IF(($AI402-$AH402)&lt;1,MAX(1,ROUND(($AI402-$AH402)*60,0))&amp;" phút",IF(ROUND(($AI402-$AH402),0)&lt;24,ROUND(($AI402-$AH402),0)&amp;" giờ",INT(ROUND(($AI402-$AH402),0)/24)&amp;" ngày"&amp;IF(MOD(ROUND(($AI402-$AH402),0),24)&gt;0," "&amp;MOD(ROUND(($AI402-$AH402),0),24)&amp;" giờ","")))),IF(OR($V402="Đã xử lý",N($B402)=0),"",IF((TDBC-$B402)*24&gt;$AH402,"Đã vượt ước tính","Đã dùng "&amp;TEXT((TDBC-$B402)*24/$AH402,"0%")))))</f>
      </c>
      <c r="AD402" s="223">
        <f>IF(N($AO402)=0,"",CHOOSE($AO402,"Nhắc nhở","Cảnh báo","Báo động","Báo động đỏ"))</f>
      </c>
      <c r="AE402" s="223">
        <f>IF(OR(N($AA402)=0,N($U402)=0),"",IF($AA402&lt;=$U402,"Đúng hạn","Trễ hạn"))</f>
      </c>
      <c r="AF402" s="220">
        <f>IF($A402="","",_xlfn.MAXIFS('Nhật ký tiến độ'!$B$6:$B$3005,'Nhật ký tiến độ'!$C$6:$C$3005,$A402))</f>
      </c>
      <c r="AG402" s="223">
        <f>IF($A402="","",IF(COUNTIF('Kế hoạch'!$M$6:$M$305,$A402)=0,"",COUNTIF('Kế hoạch'!$M$6:$M$305,$A402)&amp;" việc"))</f>
      </c>
      <c r="AH402" s="224">
        <f>IF(OR($A402="",N($O402)&lt;=0),"",IF($P402="Giờ",$O402,$O402*24))</f>
      </c>
      <c r="AI402" s="224">
        <f>IF(OR(N($AA402)=0,N($B402)=0),"",IF($AA402&lt;$B402,"",($AA402-$B402)*24))</f>
      </c>
      <c r="AJ402" s="225">
        <f>IF($A402="","",IF(COUNTIF('Nhật ký tiến độ'!$C$6:$C$3005,$A402)=0,0,_xlfn.MAXIFS('Nhật ký tiến độ'!$N$6:$N$3005,'Nhật ký tiến độ'!$C$6:$C$3005,$A402,'Nhật ký tiến độ'!$B$6:$B$3005,_xlfn.MAXIFS('Nhật ký tiến độ'!$B$6:$B$3005,'Nhật ký tiến độ'!$C$6:$C$3005,$A402))))</f>
      </c>
      <c r="AK402" s="225">
        <f>IF(OR($A402="",$V402="Đã xử lý"),"",IF(N($AO402)&gt;0,5-$AO402,IF($J402="Khẩn cấp",5,IF($Y402="Chậm tiến độ",6,IF(OR($Y402="Sắp đến hạn",$J402="Cao"),7,"")))))</f>
      </c>
      <c r="AL402" s="225">
        <f>IF($AK402="","",$AK402*100000+IF(N($U402)=0,99999,INT($U402))+ROW()/100000)</f>
      </c>
      <c r="AM402" s="225">
        <f>IF(OR($A402="",TRIM($K402)="",COUNTIF($K$6:$K402,$K402)&gt;1),0,1)</f>
      </c>
      <c r="AN402" s="225">
        <f>IF($AM402=1,SUM($AM$6:$AM402),"")</f>
      </c>
      <c r="AO402" s="225">
        <f>IF(OR($A402="",$V402="Đã xử lý",N($U402)=0),0,IF(TDBC&lt;=$U402,0,MAX(1,MIN(4,IF((TDBC-$U402)*24&lt;24,1,IF((TDBC-$U402)*24&lt;72,2,IF((TDBC-$U402)*24&lt;168,3,4)))+IFERROR(INDEX({2,1,0,-1},MATCH($J402,{"Khẩn cấp","Cao","Trung bình","Thấp"},0)),0)))))</f>
      </c>
    </row>
    <row r="403">
      <c r="A403" s="216"/>
      <c r="B403" s="217"/>
      <c r="C403" s="218"/>
      <c r="D403" s="218"/>
      <c r="E403" s="218"/>
      <c r="F403" s="218"/>
      <c r="G403" s="216"/>
      <c r="H403" s="218"/>
      <c r="I403" s="218"/>
      <c r="J403" s="216"/>
      <c r="K403" s="218"/>
      <c r="L403" s="218"/>
      <c r="M403" s="218"/>
      <c r="N403" s="218"/>
      <c r="O403" s="219"/>
      <c r="P403" s="216"/>
      <c r="Q403" s="217"/>
      <c r="R403" s="216"/>
      <c r="S403" s="218"/>
      <c r="T403" s="218"/>
      <c r="U403" s="220">
        <f>IF($A403="","",IF(N($Q403)&gt;0,IF(MOD($Q403,1)=0,$Q403+1-1/1440,$Q403),IF(N($B403)=0,"",$B403+IF(N($AH403)&gt;0,$AH403,IFERROR(INDEX(DM_SLA_Gio,MATCH($J403,DM_SLA_Cap,0)),168))/24)))</f>
      </c>
      <c r="V403" s="221">
        <f>IF($A403="","",IF(N($AJ403)=0,"Mới tiếp nhận",INDEX('Nhật ký tiến độ'!$E:$E,$AJ403)))</f>
      </c>
      <c r="W403" s="222">
        <f>IF($A403="","",IF($V403="Đã xử lý",1,IF(N($AJ403)=0,0,N(INDEX('Nhật ký tiến độ'!$D:$D,$AJ403)))))</f>
      </c>
      <c r="X403" s="222">
        <f>IF(OR($A403="",$V403="Đã xử lý",N($U403)=0,N($B403)=0),"",IF(TDBC&lt;=$B403,0,IF(TDBC&gt;=$U403,1,(TDBC-$B403)/($U403-$B403))))</f>
      </c>
      <c r="Y403" s="223">
        <f>IF($A403="","",IF($V403="Đã xử lý","Hoàn thành",IF(N($U403)=0,"Chưa đặt hạn",IF(TDBC&gt;$U403,"Quá hạn",IF(ROUND((N($X403)-$W403)*100,0)&gt;=20,"Chậm tiến độ",IF($U403-TDBC&lt;=1,"Sắp đến hạn","Đúng tiến độ"))))))</f>
      </c>
      <c r="Z403" s="223">
        <f>IF(OR($A403="",$V403="Đã xử lý",N($U403)=0),"",IF(TDBC&gt;$U403,"Quá "&amp;IF(((TDBC-$U403)*24)&lt;1,MAX(1,ROUND(((TDBC-$U403)*24)*60,0))&amp;" phút",IF(ROUND(((TDBC-$U403)*24),0)&lt;24,ROUND(((TDBC-$U403)*24),0)&amp;" giờ",INT(ROUND(((TDBC-$U403)*24),0)/24)&amp;" ngày"&amp;IF(MOD(ROUND(((TDBC-$U403)*24),0),24)&gt;0," "&amp;MOD(ROUND(((TDBC-$U403)*24),0),24)&amp;" giờ",""))),"Còn "&amp;IF((($U403-TDBC)*24)&lt;1,MAX(1,ROUND((($U403-TDBC)*24)*60,0))&amp;" phút",IF(ROUND((($U403-TDBC)*24),0)&lt;24,ROUND((($U403-TDBC)*24),0)&amp;" giờ",INT(ROUND((($U403-TDBC)*24),0)/24)&amp;" ngày"&amp;IF(MOD(ROUND((($U403-TDBC)*24),0),24)&gt;0," "&amp;MOD(ROUND((($U403-TDBC)*24),0),24)&amp;" giờ","")))))</f>
      </c>
      <c r="AA403" s="220">
        <f>IF($V403="Đã xử lý",_xlfn.MAXIFS('Nhật ký tiến độ'!$B$6:$B$3005,'Nhật ký tiến độ'!$C$6:$C$3005,$A403,'Nhật ký tiến độ'!$E$6:$E$3005,"Đã xử lý"),"")</f>
      </c>
      <c r="AB403" s="223">
        <f>IF($AI403="","",IF($AI403&lt;1,MAX(1,ROUND($AI403*60,0))&amp;" phút",IF(ROUND($AI403,0)&lt;24,ROUND($AI403,0)&amp;" giờ",INT(ROUND($AI403,0)/24)&amp;" ngày"&amp;IF(MOD(ROUND($AI403,0),24)&gt;0," "&amp;MOD(ROUND($AI403,0),24)&amp;" giờ",""))))</f>
      </c>
      <c r="AC403" s="223">
        <f>IF(OR($A403="",N($AH403)=0),"",IF($AI403&lt;&gt;"",IF($AI403&lt;=$AH403,"Trong ước tính","Vượt "&amp;IF(($AI403-$AH403)&lt;1,MAX(1,ROUND(($AI403-$AH403)*60,0))&amp;" phút",IF(ROUND(($AI403-$AH403),0)&lt;24,ROUND(($AI403-$AH403),0)&amp;" giờ",INT(ROUND(($AI403-$AH403),0)/24)&amp;" ngày"&amp;IF(MOD(ROUND(($AI403-$AH403),0),24)&gt;0," "&amp;MOD(ROUND(($AI403-$AH403),0),24)&amp;" giờ","")))),IF(OR($V403="Đã xử lý",N($B403)=0),"",IF((TDBC-$B403)*24&gt;$AH403,"Đã vượt ước tính","Đã dùng "&amp;TEXT((TDBC-$B403)*24/$AH403,"0%")))))</f>
      </c>
      <c r="AD403" s="223">
        <f>IF(N($AO403)=0,"",CHOOSE($AO403,"Nhắc nhở","Cảnh báo","Báo động","Báo động đỏ"))</f>
      </c>
      <c r="AE403" s="223">
        <f>IF(OR(N($AA403)=0,N($U403)=0),"",IF($AA403&lt;=$U403,"Đúng hạn","Trễ hạn"))</f>
      </c>
      <c r="AF403" s="220">
        <f>IF($A403="","",_xlfn.MAXIFS('Nhật ký tiến độ'!$B$6:$B$3005,'Nhật ký tiến độ'!$C$6:$C$3005,$A403))</f>
      </c>
      <c r="AG403" s="223">
        <f>IF($A403="","",IF(COUNTIF('Kế hoạch'!$M$6:$M$305,$A403)=0,"",COUNTIF('Kế hoạch'!$M$6:$M$305,$A403)&amp;" việc"))</f>
      </c>
      <c r="AH403" s="224">
        <f>IF(OR($A403="",N($O403)&lt;=0),"",IF($P403="Giờ",$O403,$O403*24))</f>
      </c>
      <c r="AI403" s="224">
        <f>IF(OR(N($AA403)=0,N($B403)=0),"",IF($AA403&lt;$B403,"",($AA403-$B403)*24))</f>
      </c>
      <c r="AJ403" s="225">
        <f>IF($A403="","",IF(COUNTIF('Nhật ký tiến độ'!$C$6:$C$3005,$A403)=0,0,_xlfn.MAXIFS('Nhật ký tiến độ'!$N$6:$N$3005,'Nhật ký tiến độ'!$C$6:$C$3005,$A403,'Nhật ký tiến độ'!$B$6:$B$3005,_xlfn.MAXIFS('Nhật ký tiến độ'!$B$6:$B$3005,'Nhật ký tiến độ'!$C$6:$C$3005,$A403))))</f>
      </c>
      <c r="AK403" s="225">
        <f>IF(OR($A403="",$V403="Đã xử lý"),"",IF(N($AO403)&gt;0,5-$AO403,IF($J403="Khẩn cấp",5,IF($Y403="Chậm tiến độ",6,IF(OR($Y403="Sắp đến hạn",$J403="Cao"),7,"")))))</f>
      </c>
      <c r="AL403" s="225">
        <f>IF($AK403="","",$AK403*100000+IF(N($U403)=0,99999,INT($U403))+ROW()/100000)</f>
      </c>
      <c r="AM403" s="225">
        <f>IF(OR($A403="",TRIM($K403)="",COUNTIF($K$6:$K403,$K403)&gt;1),0,1)</f>
      </c>
      <c r="AN403" s="225">
        <f>IF($AM403=1,SUM($AM$6:$AM403),"")</f>
      </c>
      <c r="AO403" s="225">
        <f>IF(OR($A403="",$V403="Đã xử lý",N($U403)=0),0,IF(TDBC&lt;=$U403,0,MAX(1,MIN(4,IF((TDBC-$U403)*24&lt;24,1,IF((TDBC-$U403)*24&lt;72,2,IF((TDBC-$U403)*24&lt;168,3,4)))+IFERROR(INDEX({2,1,0,-1},MATCH($J403,{"Khẩn cấp","Cao","Trung bình","Thấp"},0)),0)))))</f>
      </c>
    </row>
    <row r="404">
      <c r="A404" s="216"/>
      <c r="B404" s="217"/>
      <c r="C404" s="218"/>
      <c r="D404" s="218"/>
      <c r="E404" s="218"/>
      <c r="F404" s="218"/>
      <c r="G404" s="216"/>
      <c r="H404" s="218"/>
      <c r="I404" s="218"/>
      <c r="J404" s="216"/>
      <c r="K404" s="218"/>
      <c r="L404" s="218"/>
      <c r="M404" s="218"/>
      <c r="N404" s="218"/>
      <c r="O404" s="219"/>
      <c r="P404" s="216"/>
      <c r="Q404" s="217"/>
      <c r="R404" s="216"/>
      <c r="S404" s="218"/>
      <c r="T404" s="218"/>
      <c r="U404" s="220">
        <f>IF($A404="","",IF(N($Q404)&gt;0,IF(MOD($Q404,1)=0,$Q404+1-1/1440,$Q404),IF(N($B404)=0,"",$B404+IF(N($AH404)&gt;0,$AH404,IFERROR(INDEX(DM_SLA_Gio,MATCH($J404,DM_SLA_Cap,0)),168))/24)))</f>
      </c>
      <c r="V404" s="221">
        <f>IF($A404="","",IF(N($AJ404)=0,"Mới tiếp nhận",INDEX('Nhật ký tiến độ'!$E:$E,$AJ404)))</f>
      </c>
      <c r="W404" s="222">
        <f>IF($A404="","",IF($V404="Đã xử lý",1,IF(N($AJ404)=0,0,N(INDEX('Nhật ký tiến độ'!$D:$D,$AJ404)))))</f>
      </c>
      <c r="X404" s="222">
        <f>IF(OR($A404="",$V404="Đã xử lý",N($U404)=0,N($B404)=0),"",IF(TDBC&lt;=$B404,0,IF(TDBC&gt;=$U404,1,(TDBC-$B404)/($U404-$B404))))</f>
      </c>
      <c r="Y404" s="223">
        <f>IF($A404="","",IF($V404="Đã xử lý","Hoàn thành",IF(N($U404)=0,"Chưa đặt hạn",IF(TDBC&gt;$U404,"Quá hạn",IF(ROUND((N($X404)-$W404)*100,0)&gt;=20,"Chậm tiến độ",IF($U404-TDBC&lt;=1,"Sắp đến hạn","Đúng tiến độ"))))))</f>
      </c>
      <c r="Z404" s="223">
        <f>IF(OR($A404="",$V404="Đã xử lý",N($U404)=0),"",IF(TDBC&gt;$U404,"Quá "&amp;IF(((TDBC-$U404)*24)&lt;1,MAX(1,ROUND(((TDBC-$U404)*24)*60,0))&amp;" phút",IF(ROUND(((TDBC-$U404)*24),0)&lt;24,ROUND(((TDBC-$U404)*24),0)&amp;" giờ",INT(ROUND(((TDBC-$U404)*24),0)/24)&amp;" ngày"&amp;IF(MOD(ROUND(((TDBC-$U404)*24),0),24)&gt;0," "&amp;MOD(ROUND(((TDBC-$U404)*24),0),24)&amp;" giờ",""))),"Còn "&amp;IF((($U404-TDBC)*24)&lt;1,MAX(1,ROUND((($U404-TDBC)*24)*60,0))&amp;" phút",IF(ROUND((($U404-TDBC)*24),0)&lt;24,ROUND((($U404-TDBC)*24),0)&amp;" giờ",INT(ROUND((($U404-TDBC)*24),0)/24)&amp;" ngày"&amp;IF(MOD(ROUND((($U404-TDBC)*24),0),24)&gt;0," "&amp;MOD(ROUND((($U404-TDBC)*24),0),24)&amp;" giờ","")))))</f>
      </c>
      <c r="AA404" s="220">
        <f>IF($V404="Đã xử lý",_xlfn.MAXIFS('Nhật ký tiến độ'!$B$6:$B$3005,'Nhật ký tiến độ'!$C$6:$C$3005,$A404,'Nhật ký tiến độ'!$E$6:$E$3005,"Đã xử lý"),"")</f>
      </c>
      <c r="AB404" s="223">
        <f>IF($AI404="","",IF($AI404&lt;1,MAX(1,ROUND($AI404*60,0))&amp;" phút",IF(ROUND($AI404,0)&lt;24,ROUND($AI404,0)&amp;" giờ",INT(ROUND($AI404,0)/24)&amp;" ngày"&amp;IF(MOD(ROUND($AI404,0),24)&gt;0," "&amp;MOD(ROUND($AI404,0),24)&amp;" giờ",""))))</f>
      </c>
      <c r="AC404" s="223">
        <f>IF(OR($A404="",N($AH404)=0),"",IF($AI404&lt;&gt;"",IF($AI404&lt;=$AH404,"Trong ước tính","Vượt "&amp;IF(($AI404-$AH404)&lt;1,MAX(1,ROUND(($AI404-$AH404)*60,0))&amp;" phút",IF(ROUND(($AI404-$AH404),0)&lt;24,ROUND(($AI404-$AH404),0)&amp;" giờ",INT(ROUND(($AI404-$AH404),0)/24)&amp;" ngày"&amp;IF(MOD(ROUND(($AI404-$AH404),0),24)&gt;0," "&amp;MOD(ROUND(($AI404-$AH404),0),24)&amp;" giờ","")))),IF(OR($V404="Đã xử lý",N($B404)=0),"",IF((TDBC-$B404)*24&gt;$AH404,"Đã vượt ước tính","Đã dùng "&amp;TEXT((TDBC-$B404)*24/$AH404,"0%")))))</f>
      </c>
      <c r="AD404" s="223">
        <f>IF(N($AO404)=0,"",CHOOSE($AO404,"Nhắc nhở","Cảnh báo","Báo động","Báo động đỏ"))</f>
      </c>
      <c r="AE404" s="223">
        <f>IF(OR(N($AA404)=0,N($U404)=0),"",IF($AA404&lt;=$U404,"Đúng hạn","Trễ hạn"))</f>
      </c>
      <c r="AF404" s="220">
        <f>IF($A404="","",_xlfn.MAXIFS('Nhật ký tiến độ'!$B$6:$B$3005,'Nhật ký tiến độ'!$C$6:$C$3005,$A404))</f>
      </c>
      <c r="AG404" s="223">
        <f>IF($A404="","",IF(COUNTIF('Kế hoạch'!$M$6:$M$305,$A404)=0,"",COUNTIF('Kế hoạch'!$M$6:$M$305,$A404)&amp;" việc"))</f>
      </c>
      <c r="AH404" s="224">
        <f>IF(OR($A404="",N($O404)&lt;=0),"",IF($P404="Giờ",$O404,$O404*24))</f>
      </c>
      <c r="AI404" s="224">
        <f>IF(OR(N($AA404)=0,N($B404)=0),"",IF($AA404&lt;$B404,"",($AA404-$B404)*24))</f>
      </c>
      <c r="AJ404" s="225">
        <f>IF($A404="","",IF(COUNTIF('Nhật ký tiến độ'!$C$6:$C$3005,$A404)=0,0,_xlfn.MAXIFS('Nhật ký tiến độ'!$N$6:$N$3005,'Nhật ký tiến độ'!$C$6:$C$3005,$A404,'Nhật ký tiến độ'!$B$6:$B$3005,_xlfn.MAXIFS('Nhật ký tiến độ'!$B$6:$B$3005,'Nhật ký tiến độ'!$C$6:$C$3005,$A404))))</f>
      </c>
      <c r="AK404" s="225">
        <f>IF(OR($A404="",$V404="Đã xử lý"),"",IF(N($AO404)&gt;0,5-$AO404,IF($J404="Khẩn cấp",5,IF($Y404="Chậm tiến độ",6,IF(OR($Y404="Sắp đến hạn",$J404="Cao"),7,"")))))</f>
      </c>
      <c r="AL404" s="225">
        <f>IF($AK404="","",$AK404*100000+IF(N($U404)=0,99999,INT($U404))+ROW()/100000)</f>
      </c>
      <c r="AM404" s="225">
        <f>IF(OR($A404="",TRIM($K404)="",COUNTIF($K$6:$K404,$K404)&gt;1),0,1)</f>
      </c>
      <c r="AN404" s="225">
        <f>IF($AM404=1,SUM($AM$6:$AM404),"")</f>
      </c>
      <c r="AO404" s="225">
        <f>IF(OR($A404="",$V404="Đã xử lý",N($U404)=0),0,IF(TDBC&lt;=$U404,0,MAX(1,MIN(4,IF((TDBC-$U404)*24&lt;24,1,IF((TDBC-$U404)*24&lt;72,2,IF((TDBC-$U404)*24&lt;168,3,4)))+IFERROR(INDEX({2,1,0,-1},MATCH($J404,{"Khẩn cấp","Cao","Trung bình","Thấp"},0)),0)))))</f>
      </c>
    </row>
    <row r="405">
      <c r="A405" s="216"/>
      <c r="B405" s="217"/>
      <c r="C405" s="218"/>
      <c r="D405" s="218"/>
      <c r="E405" s="218"/>
      <c r="F405" s="218"/>
      <c r="G405" s="216"/>
      <c r="H405" s="218"/>
      <c r="I405" s="218"/>
      <c r="J405" s="216"/>
      <c r="K405" s="218"/>
      <c r="L405" s="218"/>
      <c r="M405" s="218"/>
      <c r="N405" s="218"/>
      <c r="O405" s="219"/>
      <c r="P405" s="216"/>
      <c r="Q405" s="217"/>
      <c r="R405" s="216"/>
      <c r="S405" s="218"/>
      <c r="T405" s="218"/>
      <c r="U405" s="220">
        <f>IF($A405="","",IF(N($Q405)&gt;0,IF(MOD($Q405,1)=0,$Q405+1-1/1440,$Q405),IF(N($B405)=0,"",$B405+IF(N($AH405)&gt;0,$AH405,IFERROR(INDEX(DM_SLA_Gio,MATCH($J405,DM_SLA_Cap,0)),168))/24)))</f>
      </c>
      <c r="V405" s="221">
        <f>IF($A405="","",IF(N($AJ405)=0,"Mới tiếp nhận",INDEX('Nhật ký tiến độ'!$E:$E,$AJ405)))</f>
      </c>
      <c r="W405" s="222">
        <f>IF($A405="","",IF($V405="Đã xử lý",1,IF(N($AJ405)=0,0,N(INDEX('Nhật ký tiến độ'!$D:$D,$AJ405)))))</f>
      </c>
      <c r="X405" s="222">
        <f>IF(OR($A405="",$V405="Đã xử lý",N($U405)=0,N($B405)=0),"",IF(TDBC&lt;=$B405,0,IF(TDBC&gt;=$U405,1,(TDBC-$B405)/($U405-$B405))))</f>
      </c>
      <c r="Y405" s="223">
        <f>IF($A405="","",IF($V405="Đã xử lý","Hoàn thành",IF(N($U405)=0,"Chưa đặt hạn",IF(TDBC&gt;$U405,"Quá hạn",IF(ROUND((N($X405)-$W405)*100,0)&gt;=20,"Chậm tiến độ",IF($U405-TDBC&lt;=1,"Sắp đến hạn","Đúng tiến độ"))))))</f>
      </c>
      <c r="Z405" s="223">
        <f>IF(OR($A405="",$V405="Đã xử lý",N($U405)=0),"",IF(TDBC&gt;$U405,"Quá "&amp;IF(((TDBC-$U405)*24)&lt;1,MAX(1,ROUND(((TDBC-$U405)*24)*60,0))&amp;" phút",IF(ROUND(((TDBC-$U405)*24),0)&lt;24,ROUND(((TDBC-$U405)*24),0)&amp;" giờ",INT(ROUND(((TDBC-$U405)*24),0)/24)&amp;" ngày"&amp;IF(MOD(ROUND(((TDBC-$U405)*24),0),24)&gt;0," "&amp;MOD(ROUND(((TDBC-$U405)*24),0),24)&amp;" giờ",""))),"Còn "&amp;IF((($U405-TDBC)*24)&lt;1,MAX(1,ROUND((($U405-TDBC)*24)*60,0))&amp;" phút",IF(ROUND((($U405-TDBC)*24),0)&lt;24,ROUND((($U405-TDBC)*24),0)&amp;" giờ",INT(ROUND((($U405-TDBC)*24),0)/24)&amp;" ngày"&amp;IF(MOD(ROUND((($U405-TDBC)*24),0),24)&gt;0," "&amp;MOD(ROUND((($U405-TDBC)*24),0),24)&amp;" giờ","")))))</f>
      </c>
      <c r="AA405" s="220">
        <f>IF($V405="Đã xử lý",_xlfn.MAXIFS('Nhật ký tiến độ'!$B$6:$B$3005,'Nhật ký tiến độ'!$C$6:$C$3005,$A405,'Nhật ký tiến độ'!$E$6:$E$3005,"Đã xử lý"),"")</f>
      </c>
      <c r="AB405" s="223">
        <f>IF($AI405="","",IF($AI405&lt;1,MAX(1,ROUND($AI405*60,0))&amp;" phút",IF(ROUND($AI405,0)&lt;24,ROUND($AI405,0)&amp;" giờ",INT(ROUND($AI405,0)/24)&amp;" ngày"&amp;IF(MOD(ROUND($AI405,0),24)&gt;0," "&amp;MOD(ROUND($AI405,0),24)&amp;" giờ",""))))</f>
      </c>
      <c r="AC405" s="223">
        <f>IF(OR($A405="",N($AH405)=0),"",IF($AI405&lt;&gt;"",IF($AI405&lt;=$AH405,"Trong ước tính","Vượt "&amp;IF(($AI405-$AH405)&lt;1,MAX(1,ROUND(($AI405-$AH405)*60,0))&amp;" phút",IF(ROUND(($AI405-$AH405),0)&lt;24,ROUND(($AI405-$AH405),0)&amp;" giờ",INT(ROUND(($AI405-$AH405),0)/24)&amp;" ngày"&amp;IF(MOD(ROUND(($AI405-$AH405),0),24)&gt;0," "&amp;MOD(ROUND(($AI405-$AH405),0),24)&amp;" giờ","")))),IF(OR($V405="Đã xử lý",N($B405)=0),"",IF((TDBC-$B405)*24&gt;$AH405,"Đã vượt ước tính","Đã dùng "&amp;TEXT((TDBC-$B405)*24/$AH405,"0%")))))</f>
      </c>
      <c r="AD405" s="223">
        <f>IF(N($AO405)=0,"",CHOOSE($AO405,"Nhắc nhở","Cảnh báo","Báo động","Báo động đỏ"))</f>
      </c>
      <c r="AE405" s="223">
        <f>IF(OR(N($AA405)=0,N($U405)=0),"",IF($AA405&lt;=$U405,"Đúng hạn","Trễ hạn"))</f>
      </c>
      <c r="AF405" s="220">
        <f>IF($A405="","",_xlfn.MAXIFS('Nhật ký tiến độ'!$B$6:$B$3005,'Nhật ký tiến độ'!$C$6:$C$3005,$A405))</f>
      </c>
      <c r="AG405" s="223">
        <f>IF($A405="","",IF(COUNTIF('Kế hoạch'!$M$6:$M$305,$A405)=0,"",COUNTIF('Kế hoạch'!$M$6:$M$305,$A405)&amp;" việc"))</f>
      </c>
      <c r="AH405" s="224">
        <f>IF(OR($A405="",N($O405)&lt;=0),"",IF($P405="Giờ",$O405,$O405*24))</f>
      </c>
      <c r="AI405" s="224">
        <f>IF(OR(N($AA405)=0,N($B405)=0),"",IF($AA405&lt;$B405,"",($AA405-$B405)*24))</f>
      </c>
      <c r="AJ405" s="225">
        <f>IF($A405="","",IF(COUNTIF('Nhật ký tiến độ'!$C$6:$C$3005,$A405)=0,0,_xlfn.MAXIFS('Nhật ký tiến độ'!$N$6:$N$3005,'Nhật ký tiến độ'!$C$6:$C$3005,$A405,'Nhật ký tiến độ'!$B$6:$B$3005,_xlfn.MAXIFS('Nhật ký tiến độ'!$B$6:$B$3005,'Nhật ký tiến độ'!$C$6:$C$3005,$A405))))</f>
      </c>
      <c r="AK405" s="225">
        <f>IF(OR($A405="",$V405="Đã xử lý"),"",IF(N($AO405)&gt;0,5-$AO405,IF($J405="Khẩn cấp",5,IF($Y405="Chậm tiến độ",6,IF(OR($Y405="Sắp đến hạn",$J405="Cao"),7,"")))))</f>
      </c>
      <c r="AL405" s="225">
        <f>IF($AK405="","",$AK405*100000+IF(N($U405)=0,99999,INT($U405))+ROW()/100000)</f>
      </c>
      <c r="AM405" s="225">
        <f>IF(OR($A405="",TRIM($K405)="",COUNTIF($K$6:$K405,$K405)&gt;1),0,1)</f>
      </c>
      <c r="AN405" s="225">
        <f>IF($AM405=1,SUM($AM$6:$AM405),"")</f>
      </c>
      <c r="AO405" s="225">
        <f>IF(OR($A405="",$V405="Đã xử lý",N($U405)=0),0,IF(TDBC&lt;=$U405,0,MAX(1,MIN(4,IF((TDBC-$U405)*24&lt;24,1,IF((TDBC-$U405)*24&lt;72,2,IF((TDBC-$U405)*24&lt;168,3,4)))+IFERROR(INDEX({2,1,0,-1},MATCH($J405,{"Khẩn cấp","Cao","Trung bình","Thấp"},0)),0)))))</f>
      </c>
    </row>
    <row r="406">
      <c r="A406" s="216"/>
      <c r="B406" s="217"/>
      <c r="C406" s="218"/>
      <c r="D406" s="218"/>
      <c r="E406" s="218"/>
      <c r="F406" s="218"/>
      <c r="G406" s="216"/>
      <c r="H406" s="218"/>
      <c r="I406" s="218"/>
      <c r="J406" s="216"/>
      <c r="K406" s="218"/>
      <c r="L406" s="218"/>
      <c r="M406" s="218"/>
      <c r="N406" s="218"/>
      <c r="O406" s="219"/>
      <c r="P406" s="216"/>
      <c r="Q406" s="217"/>
      <c r="R406" s="216"/>
      <c r="S406" s="218"/>
      <c r="T406" s="218"/>
      <c r="U406" s="220">
        <f>IF($A406="","",IF(N($Q406)&gt;0,IF(MOD($Q406,1)=0,$Q406+1-1/1440,$Q406),IF(N($B406)=0,"",$B406+IF(N($AH406)&gt;0,$AH406,IFERROR(INDEX(DM_SLA_Gio,MATCH($J406,DM_SLA_Cap,0)),168))/24)))</f>
      </c>
      <c r="V406" s="221">
        <f>IF($A406="","",IF(N($AJ406)=0,"Mới tiếp nhận",INDEX('Nhật ký tiến độ'!$E:$E,$AJ406)))</f>
      </c>
      <c r="W406" s="222">
        <f>IF($A406="","",IF($V406="Đã xử lý",1,IF(N($AJ406)=0,0,N(INDEX('Nhật ký tiến độ'!$D:$D,$AJ406)))))</f>
      </c>
      <c r="X406" s="222">
        <f>IF(OR($A406="",$V406="Đã xử lý",N($U406)=0,N($B406)=0),"",IF(TDBC&lt;=$B406,0,IF(TDBC&gt;=$U406,1,(TDBC-$B406)/($U406-$B406))))</f>
      </c>
      <c r="Y406" s="223">
        <f>IF($A406="","",IF($V406="Đã xử lý","Hoàn thành",IF(N($U406)=0,"Chưa đặt hạn",IF(TDBC&gt;$U406,"Quá hạn",IF(ROUND((N($X406)-$W406)*100,0)&gt;=20,"Chậm tiến độ",IF($U406-TDBC&lt;=1,"Sắp đến hạn","Đúng tiến độ"))))))</f>
      </c>
      <c r="Z406" s="223">
        <f>IF(OR($A406="",$V406="Đã xử lý",N($U406)=0),"",IF(TDBC&gt;$U406,"Quá "&amp;IF(((TDBC-$U406)*24)&lt;1,MAX(1,ROUND(((TDBC-$U406)*24)*60,0))&amp;" phút",IF(ROUND(((TDBC-$U406)*24),0)&lt;24,ROUND(((TDBC-$U406)*24),0)&amp;" giờ",INT(ROUND(((TDBC-$U406)*24),0)/24)&amp;" ngày"&amp;IF(MOD(ROUND(((TDBC-$U406)*24),0),24)&gt;0," "&amp;MOD(ROUND(((TDBC-$U406)*24),0),24)&amp;" giờ",""))),"Còn "&amp;IF((($U406-TDBC)*24)&lt;1,MAX(1,ROUND((($U406-TDBC)*24)*60,0))&amp;" phút",IF(ROUND((($U406-TDBC)*24),0)&lt;24,ROUND((($U406-TDBC)*24),0)&amp;" giờ",INT(ROUND((($U406-TDBC)*24),0)/24)&amp;" ngày"&amp;IF(MOD(ROUND((($U406-TDBC)*24),0),24)&gt;0," "&amp;MOD(ROUND((($U406-TDBC)*24),0),24)&amp;" giờ","")))))</f>
      </c>
      <c r="AA406" s="220">
        <f>IF($V406="Đã xử lý",_xlfn.MAXIFS('Nhật ký tiến độ'!$B$6:$B$3005,'Nhật ký tiến độ'!$C$6:$C$3005,$A406,'Nhật ký tiến độ'!$E$6:$E$3005,"Đã xử lý"),"")</f>
      </c>
      <c r="AB406" s="223">
        <f>IF($AI406="","",IF($AI406&lt;1,MAX(1,ROUND($AI406*60,0))&amp;" phút",IF(ROUND($AI406,0)&lt;24,ROUND($AI406,0)&amp;" giờ",INT(ROUND($AI406,0)/24)&amp;" ngày"&amp;IF(MOD(ROUND($AI406,0),24)&gt;0," "&amp;MOD(ROUND($AI406,0),24)&amp;" giờ",""))))</f>
      </c>
      <c r="AC406" s="223">
        <f>IF(OR($A406="",N($AH406)=0),"",IF($AI406&lt;&gt;"",IF($AI406&lt;=$AH406,"Trong ước tính","Vượt "&amp;IF(($AI406-$AH406)&lt;1,MAX(1,ROUND(($AI406-$AH406)*60,0))&amp;" phút",IF(ROUND(($AI406-$AH406),0)&lt;24,ROUND(($AI406-$AH406),0)&amp;" giờ",INT(ROUND(($AI406-$AH406),0)/24)&amp;" ngày"&amp;IF(MOD(ROUND(($AI406-$AH406),0),24)&gt;0," "&amp;MOD(ROUND(($AI406-$AH406),0),24)&amp;" giờ","")))),IF(OR($V406="Đã xử lý",N($B406)=0),"",IF((TDBC-$B406)*24&gt;$AH406,"Đã vượt ước tính","Đã dùng "&amp;TEXT((TDBC-$B406)*24/$AH406,"0%")))))</f>
      </c>
      <c r="AD406" s="223">
        <f>IF(N($AO406)=0,"",CHOOSE($AO406,"Nhắc nhở","Cảnh báo","Báo động","Báo động đỏ"))</f>
      </c>
      <c r="AE406" s="223">
        <f>IF(OR(N($AA406)=0,N($U406)=0),"",IF($AA406&lt;=$U406,"Đúng hạn","Trễ hạn"))</f>
      </c>
      <c r="AF406" s="220">
        <f>IF($A406="","",_xlfn.MAXIFS('Nhật ký tiến độ'!$B$6:$B$3005,'Nhật ký tiến độ'!$C$6:$C$3005,$A406))</f>
      </c>
      <c r="AG406" s="223">
        <f>IF($A406="","",IF(COUNTIF('Kế hoạch'!$M$6:$M$305,$A406)=0,"",COUNTIF('Kế hoạch'!$M$6:$M$305,$A406)&amp;" việc"))</f>
      </c>
      <c r="AH406" s="224">
        <f>IF(OR($A406="",N($O406)&lt;=0),"",IF($P406="Giờ",$O406,$O406*24))</f>
      </c>
      <c r="AI406" s="224">
        <f>IF(OR(N($AA406)=0,N($B406)=0),"",IF($AA406&lt;$B406,"",($AA406-$B406)*24))</f>
      </c>
      <c r="AJ406" s="225">
        <f>IF($A406="","",IF(COUNTIF('Nhật ký tiến độ'!$C$6:$C$3005,$A406)=0,0,_xlfn.MAXIFS('Nhật ký tiến độ'!$N$6:$N$3005,'Nhật ký tiến độ'!$C$6:$C$3005,$A406,'Nhật ký tiến độ'!$B$6:$B$3005,_xlfn.MAXIFS('Nhật ký tiến độ'!$B$6:$B$3005,'Nhật ký tiến độ'!$C$6:$C$3005,$A406))))</f>
      </c>
      <c r="AK406" s="225">
        <f>IF(OR($A406="",$V406="Đã xử lý"),"",IF(N($AO406)&gt;0,5-$AO406,IF($J406="Khẩn cấp",5,IF($Y406="Chậm tiến độ",6,IF(OR($Y406="Sắp đến hạn",$J406="Cao"),7,"")))))</f>
      </c>
      <c r="AL406" s="225">
        <f>IF($AK406="","",$AK406*100000+IF(N($U406)=0,99999,INT($U406))+ROW()/100000)</f>
      </c>
      <c r="AM406" s="225">
        <f>IF(OR($A406="",TRIM($K406)="",COUNTIF($K$6:$K406,$K406)&gt;1),0,1)</f>
      </c>
      <c r="AN406" s="225">
        <f>IF($AM406=1,SUM($AM$6:$AM406),"")</f>
      </c>
      <c r="AO406" s="225">
        <f>IF(OR($A406="",$V406="Đã xử lý",N($U406)=0),0,IF(TDBC&lt;=$U406,0,MAX(1,MIN(4,IF((TDBC-$U406)*24&lt;24,1,IF((TDBC-$U406)*24&lt;72,2,IF((TDBC-$U406)*24&lt;168,3,4)))+IFERROR(INDEX({2,1,0,-1},MATCH($J406,{"Khẩn cấp","Cao","Trung bình","Thấp"},0)),0)))))</f>
      </c>
    </row>
    <row r="407">
      <c r="A407" s="216"/>
      <c r="B407" s="217"/>
      <c r="C407" s="218"/>
      <c r="D407" s="218"/>
      <c r="E407" s="218"/>
      <c r="F407" s="218"/>
      <c r="G407" s="216"/>
      <c r="H407" s="218"/>
      <c r="I407" s="218"/>
      <c r="J407" s="216"/>
      <c r="K407" s="218"/>
      <c r="L407" s="218"/>
      <c r="M407" s="218"/>
      <c r="N407" s="218"/>
      <c r="O407" s="219"/>
      <c r="P407" s="216"/>
      <c r="Q407" s="217"/>
      <c r="R407" s="216"/>
      <c r="S407" s="218"/>
      <c r="T407" s="218"/>
      <c r="U407" s="220">
        <f>IF($A407="","",IF(N($Q407)&gt;0,IF(MOD($Q407,1)=0,$Q407+1-1/1440,$Q407),IF(N($B407)=0,"",$B407+IF(N($AH407)&gt;0,$AH407,IFERROR(INDEX(DM_SLA_Gio,MATCH($J407,DM_SLA_Cap,0)),168))/24)))</f>
      </c>
      <c r="V407" s="221">
        <f>IF($A407="","",IF(N($AJ407)=0,"Mới tiếp nhận",INDEX('Nhật ký tiến độ'!$E:$E,$AJ407)))</f>
      </c>
      <c r="W407" s="222">
        <f>IF($A407="","",IF($V407="Đã xử lý",1,IF(N($AJ407)=0,0,N(INDEX('Nhật ký tiến độ'!$D:$D,$AJ407)))))</f>
      </c>
      <c r="X407" s="222">
        <f>IF(OR($A407="",$V407="Đã xử lý",N($U407)=0,N($B407)=0),"",IF(TDBC&lt;=$B407,0,IF(TDBC&gt;=$U407,1,(TDBC-$B407)/($U407-$B407))))</f>
      </c>
      <c r="Y407" s="223">
        <f>IF($A407="","",IF($V407="Đã xử lý","Hoàn thành",IF(N($U407)=0,"Chưa đặt hạn",IF(TDBC&gt;$U407,"Quá hạn",IF(ROUND((N($X407)-$W407)*100,0)&gt;=20,"Chậm tiến độ",IF($U407-TDBC&lt;=1,"Sắp đến hạn","Đúng tiến độ"))))))</f>
      </c>
      <c r="Z407" s="223">
        <f>IF(OR($A407="",$V407="Đã xử lý",N($U407)=0),"",IF(TDBC&gt;$U407,"Quá "&amp;IF(((TDBC-$U407)*24)&lt;1,MAX(1,ROUND(((TDBC-$U407)*24)*60,0))&amp;" phút",IF(ROUND(((TDBC-$U407)*24),0)&lt;24,ROUND(((TDBC-$U407)*24),0)&amp;" giờ",INT(ROUND(((TDBC-$U407)*24),0)/24)&amp;" ngày"&amp;IF(MOD(ROUND(((TDBC-$U407)*24),0),24)&gt;0," "&amp;MOD(ROUND(((TDBC-$U407)*24),0),24)&amp;" giờ",""))),"Còn "&amp;IF((($U407-TDBC)*24)&lt;1,MAX(1,ROUND((($U407-TDBC)*24)*60,0))&amp;" phút",IF(ROUND((($U407-TDBC)*24),0)&lt;24,ROUND((($U407-TDBC)*24),0)&amp;" giờ",INT(ROUND((($U407-TDBC)*24),0)/24)&amp;" ngày"&amp;IF(MOD(ROUND((($U407-TDBC)*24),0),24)&gt;0," "&amp;MOD(ROUND((($U407-TDBC)*24),0),24)&amp;" giờ","")))))</f>
      </c>
      <c r="AA407" s="220">
        <f>IF($V407="Đã xử lý",_xlfn.MAXIFS('Nhật ký tiến độ'!$B$6:$B$3005,'Nhật ký tiến độ'!$C$6:$C$3005,$A407,'Nhật ký tiến độ'!$E$6:$E$3005,"Đã xử lý"),"")</f>
      </c>
      <c r="AB407" s="223">
        <f>IF($AI407="","",IF($AI407&lt;1,MAX(1,ROUND($AI407*60,0))&amp;" phút",IF(ROUND($AI407,0)&lt;24,ROUND($AI407,0)&amp;" giờ",INT(ROUND($AI407,0)/24)&amp;" ngày"&amp;IF(MOD(ROUND($AI407,0),24)&gt;0," "&amp;MOD(ROUND($AI407,0),24)&amp;" giờ",""))))</f>
      </c>
      <c r="AC407" s="223">
        <f>IF(OR($A407="",N($AH407)=0),"",IF($AI407&lt;&gt;"",IF($AI407&lt;=$AH407,"Trong ước tính","Vượt "&amp;IF(($AI407-$AH407)&lt;1,MAX(1,ROUND(($AI407-$AH407)*60,0))&amp;" phút",IF(ROUND(($AI407-$AH407),0)&lt;24,ROUND(($AI407-$AH407),0)&amp;" giờ",INT(ROUND(($AI407-$AH407),0)/24)&amp;" ngày"&amp;IF(MOD(ROUND(($AI407-$AH407),0),24)&gt;0," "&amp;MOD(ROUND(($AI407-$AH407),0),24)&amp;" giờ","")))),IF(OR($V407="Đã xử lý",N($B407)=0),"",IF((TDBC-$B407)*24&gt;$AH407,"Đã vượt ước tính","Đã dùng "&amp;TEXT((TDBC-$B407)*24/$AH407,"0%")))))</f>
      </c>
      <c r="AD407" s="223">
        <f>IF(N($AO407)=0,"",CHOOSE($AO407,"Nhắc nhở","Cảnh báo","Báo động","Báo động đỏ"))</f>
      </c>
      <c r="AE407" s="223">
        <f>IF(OR(N($AA407)=0,N($U407)=0),"",IF($AA407&lt;=$U407,"Đúng hạn","Trễ hạn"))</f>
      </c>
      <c r="AF407" s="220">
        <f>IF($A407="","",_xlfn.MAXIFS('Nhật ký tiến độ'!$B$6:$B$3005,'Nhật ký tiến độ'!$C$6:$C$3005,$A407))</f>
      </c>
      <c r="AG407" s="223">
        <f>IF($A407="","",IF(COUNTIF('Kế hoạch'!$M$6:$M$305,$A407)=0,"",COUNTIF('Kế hoạch'!$M$6:$M$305,$A407)&amp;" việc"))</f>
      </c>
      <c r="AH407" s="224">
        <f>IF(OR($A407="",N($O407)&lt;=0),"",IF($P407="Giờ",$O407,$O407*24))</f>
      </c>
      <c r="AI407" s="224">
        <f>IF(OR(N($AA407)=0,N($B407)=0),"",IF($AA407&lt;$B407,"",($AA407-$B407)*24))</f>
      </c>
      <c r="AJ407" s="225">
        <f>IF($A407="","",IF(COUNTIF('Nhật ký tiến độ'!$C$6:$C$3005,$A407)=0,0,_xlfn.MAXIFS('Nhật ký tiến độ'!$N$6:$N$3005,'Nhật ký tiến độ'!$C$6:$C$3005,$A407,'Nhật ký tiến độ'!$B$6:$B$3005,_xlfn.MAXIFS('Nhật ký tiến độ'!$B$6:$B$3005,'Nhật ký tiến độ'!$C$6:$C$3005,$A407))))</f>
      </c>
      <c r="AK407" s="225">
        <f>IF(OR($A407="",$V407="Đã xử lý"),"",IF(N($AO407)&gt;0,5-$AO407,IF($J407="Khẩn cấp",5,IF($Y407="Chậm tiến độ",6,IF(OR($Y407="Sắp đến hạn",$J407="Cao"),7,"")))))</f>
      </c>
      <c r="AL407" s="225">
        <f>IF($AK407="","",$AK407*100000+IF(N($U407)=0,99999,INT($U407))+ROW()/100000)</f>
      </c>
      <c r="AM407" s="225">
        <f>IF(OR($A407="",TRIM($K407)="",COUNTIF($K$6:$K407,$K407)&gt;1),0,1)</f>
      </c>
      <c r="AN407" s="225">
        <f>IF($AM407=1,SUM($AM$6:$AM407),"")</f>
      </c>
      <c r="AO407" s="225">
        <f>IF(OR($A407="",$V407="Đã xử lý",N($U407)=0),0,IF(TDBC&lt;=$U407,0,MAX(1,MIN(4,IF((TDBC-$U407)*24&lt;24,1,IF((TDBC-$U407)*24&lt;72,2,IF((TDBC-$U407)*24&lt;168,3,4)))+IFERROR(INDEX({2,1,0,-1},MATCH($J407,{"Khẩn cấp","Cao","Trung bình","Thấp"},0)),0)))))</f>
      </c>
    </row>
    <row r="408">
      <c r="A408" s="216"/>
      <c r="B408" s="217"/>
      <c r="C408" s="218"/>
      <c r="D408" s="218"/>
      <c r="E408" s="218"/>
      <c r="F408" s="218"/>
      <c r="G408" s="216"/>
      <c r="H408" s="218"/>
      <c r="I408" s="218"/>
      <c r="J408" s="216"/>
      <c r="K408" s="218"/>
      <c r="L408" s="218"/>
      <c r="M408" s="218"/>
      <c r="N408" s="218"/>
      <c r="O408" s="219"/>
      <c r="P408" s="216"/>
      <c r="Q408" s="217"/>
      <c r="R408" s="216"/>
      <c r="S408" s="218"/>
      <c r="T408" s="218"/>
      <c r="U408" s="220">
        <f>IF($A408="","",IF(N($Q408)&gt;0,IF(MOD($Q408,1)=0,$Q408+1-1/1440,$Q408),IF(N($B408)=0,"",$B408+IF(N($AH408)&gt;0,$AH408,IFERROR(INDEX(DM_SLA_Gio,MATCH($J408,DM_SLA_Cap,0)),168))/24)))</f>
      </c>
      <c r="V408" s="221">
        <f>IF($A408="","",IF(N($AJ408)=0,"Mới tiếp nhận",INDEX('Nhật ký tiến độ'!$E:$E,$AJ408)))</f>
      </c>
      <c r="W408" s="222">
        <f>IF($A408="","",IF($V408="Đã xử lý",1,IF(N($AJ408)=0,0,N(INDEX('Nhật ký tiến độ'!$D:$D,$AJ408)))))</f>
      </c>
      <c r="X408" s="222">
        <f>IF(OR($A408="",$V408="Đã xử lý",N($U408)=0,N($B408)=0),"",IF(TDBC&lt;=$B408,0,IF(TDBC&gt;=$U408,1,(TDBC-$B408)/($U408-$B408))))</f>
      </c>
      <c r="Y408" s="223">
        <f>IF($A408="","",IF($V408="Đã xử lý","Hoàn thành",IF(N($U408)=0,"Chưa đặt hạn",IF(TDBC&gt;$U408,"Quá hạn",IF(ROUND((N($X408)-$W408)*100,0)&gt;=20,"Chậm tiến độ",IF($U408-TDBC&lt;=1,"Sắp đến hạn","Đúng tiến độ"))))))</f>
      </c>
      <c r="Z408" s="223">
        <f>IF(OR($A408="",$V408="Đã xử lý",N($U408)=0),"",IF(TDBC&gt;$U408,"Quá "&amp;IF(((TDBC-$U408)*24)&lt;1,MAX(1,ROUND(((TDBC-$U408)*24)*60,0))&amp;" phút",IF(ROUND(((TDBC-$U408)*24),0)&lt;24,ROUND(((TDBC-$U408)*24),0)&amp;" giờ",INT(ROUND(((TDBC-$U408)*24),0)/24)&amp;" ngày"&amp;IF(MOD(ROUND(((TDBC-$U408)*24),0),24)&gt;0," "&amp;MOD(ROUND(((TDBC-$U408)*24),0),24)&amp;" giờ",""))),"Còn "&amp;IF((($U408-TDBC)*24)&lt;1,MAX(1,ROUND((($U408-TDBC)*24)*60,0))&amp;" phút",IF(ROUND((($U408-TDBC)*24),0)&lt;24,ROUND((($U408-TDBC)*24),0)&amp;" giờ",INT(ROUND((($U408-TDBC)*24),0)/24)&amp;" ngày"&amp;IF(MOD(ROUND((($U408-TDBC)*24),0),24)&gt;0," "&amp;MOD(ROUND((($U408-TDBC)*24),0),24)&amp;" giờ","")))))</f>
      </c>
      <c r="AA408" s="220">
        <f>IF($V408="Đã xử lý",_xlfn.MAXIFS('Nhật ký tiến độ'!$B$6:$B$3005,'Nhật ký tiến độ'!$C$6:$C$3005,$A408,'Nhật ký tiến độ'!$E$6:$E$3005,"Đã xử lý"),"")</f>
      </c>
      <c r="AB408" s="223">
        <f>IF($AI408="","",IF($AI408&lt;1,MAX(1,ROUND($AI408*60,0))&amp;" phút",IF(ROUND($AI408,0)&lt;24,ROUND($AI408,0)&amp;" giờ",INT(ROUND($AI408,0)/24)&amp;" ngày"&amp;IF(MOD(ROUND($AI408,0),24)&gt;0," "&amp;MOD(ROUND($AI408,0),24)&amp;" giờ",""))))</f>
      </c>
      <c r="AC408" s="223">
        <f>IF(OR($A408="",N($AH408)=0),"",IF($AI408&lt;&gt;"",IF($AI408&lt;=$AH408,"Trong ước tính","Vượt "&amp;IF(($AI408-$AH408)&lt;1,MAX(1,ROUND(($AI408-$AH408)*60,0))&amp;" phút",IF(ROUND(($AI408-$AH408),0)&lt;24,ROUND(($AI408-$AH408),0)&amp;" giờ",INT(ROUND(($AI408-$AH408),0)/24)&amp;" ngày"&amp;IF(MOD(ROUND(($AI408-$AH408),0),24)&gt;0," "&amp;MOD(ROUND(($AI408-$AH408),0),24)&amp;" giờ","")))),IF(OR($V408="Đã xử lý",N($B408)=0),"",IF((TDBC-$B408)*24&gt;$AH408,"Đã vượt ước tính","Đã dùng "&amp;TEXT((TDBC-$B408)*24/$AH408,"0%")))))</f>
      </c>
      <c r="AD408" s="223">
        <f>IF(N($AO408)=0,"",CHOOSE($AO408,"Nhắc nhở","Cảnh báo","Báo động","Báo động đỏ"))</f>
      </c>
      <c r="AE408" s="223">
        <f>IF(OR(N($AA408)=0,N($U408)=0),"",IF($AA408&lt;=$U408,"Đúng hạn","Trễ hạn"))</f>
      </c>
      <c r="AF408" s="220">
        <f>IF($A408="","",_xlfn.MAXIFS('Nhật ký tiến độ'!$B$6:$B$3005,'Nhật ký tiến độ'!$C$6:$C$3005,$A408))</f>
      </c>
      <c r="AG408" s="223">
        <f>IF($A408="","",IF(COUNTIF('Kế hoạch'!$M$6:$M$305,$A408)=0,"",COUNTIF('Kế hoạch'!$M$6:$M$305,$A408)&amp;" việc"))</f>
      </c>
      <c r="AH408" s="224">
        <f>IF(OR($A408="",N($O408)&lt;=0),"",IF($P408="Giờ",$O408,$O408*24))</f>
      </c>
      <c r="AI408" s="224">
        <f>IF(OR(N($AA408)=0,N($B408)=0),"",IF($AA408&lt;$B408,"",($AA408-$B408)*24))</f>
      </c>
      <c r="AJ408" s="225">
        <f>IF($A408="","",IF(COUNTIF('Nhật ký tiến độ'!$C$6:$C$3005,$A408)=0,0,_xlfn.MAXIFS('Nhật ký tiến độ'!$N$6:$N$3005,'Nhật ký tiến độ'!$C$6:$C$3005,$A408,'Nhật ký tiến độ'!$B$6:$B$3005,_xlfn.MAXIFS('Nhật ký tiến độ'!$B$6:$B$3005,'Nhật ký tiến độ'!$C$6:$C$3005,$A408))))</f>
      </c>
      <c r="AK408" s="225">
        <f>IF(OR($A408="",$V408="Đã xử lý"),"",IF(N($AO408)&gt;0,5-$AO408,IF($J408="Khẩn cấp",5,IF($Y408="Chậm tiến độ",6,IF(OR($Y408="Sắp đến hạn",$J408="Cao"),7,"")))))</f>
      </c>
      <c r="AL408" s="225">
        <f>IF($AK408="","",$AK408*100000+IF(N($U408)=0,99999,INT($U408))+ROW()/100000)</f>
      </c>
      <c r="AM408" s="225">
        <f>IF(OR($A408="",TRIM($K408)="",COUNTIF($K$6:$K408,$K408)&gt;1),0,1)</f>
      </c>
      <c r="AN408" s="225">
        <f>IF($AM408=1,SUM($AM$6:$AM408),"")</f>
      </c>
      <c r="AO408" s="225">
        <f>IF(OR($A408="",$V408="Đã xử lý",N($U408)=0),0,IF(TDBC&lt;=$U408,0,MAX(1,MIN(4,IF((TDBC-$U408)*24&lt;24,1,IF((TDBC-$U408)*24&lt;72,2,IF((TDBC-$U408)*24&lt;168,3,4)))+IFERROR(INDEX({2,1,0,-1},MATCH($J408,{"Khẩn cấp","Cao","Trung bình","Thấp"},0)),0)))))</f>
      </c>
    </row>
    <row r="409">
      <c r="A409" s="216"/>
      <c r="B409" s="217"/>
      <c r="C409" s="218"/>
      <c r="D409" s="218"/>
      <c r="E409" s="218"/>
      <c r="F409" s="218"/>
      <c r="G409" s="216"/>
      <c r="H409" s="218"/>
      <c r="I409" s="218"/>
      <c r="J409" s="216"/>
      <c r="K409" s="218"/>
      <c r="L409" s="218"/>
      <c r="M409" s="218"/>
      <c r="N409" s="218"/>
      <c r="O409" s="219"/>
      <c r="P409" s="216"/>
      <c r="Q409" s="217"/>
      <c r="R409" s="216"/>
      <c r="S409" s="218"/>
      <c r="T409" s="218"/>
      <c r="U409" s="220">
        <f>IF($A409="","",IF(N($Q409)&gt;0,IF(MOD($Q409,1)=0,$Q409+1-1/1440,$Q409),IF(N($B409)=0,"",$B409+IF(N($AH409)&gt;0,$AH409,IFERROR(INDEX(DM_SLA_Gio,MATCH($J409,DM_SLA_Cap,0)),168))/24)))</f>
      </c>
      <c r="V409" s="221">
        <f>IF($A409="","",IF(N($AJ409)=0,"Mới tiếp nhận",INDEX('Nhật ký tiến độ'!$E:$E,$AJ409)))</f>
      </c>
      <c r="W409" s="222">
        <f>IF($A409="","",IF($V409="Đã xử lý",1,IF(N($AJ409)=0,0,N(INDEX('Nhật ký tiến độ'!$D:$D,$AJ409)))))</f>
      </c>
      <c r="X409" s="222">
        <f>IF(OR($A409="",$V409="Đã xử lý",N($U409)=0,N($B409)=0),"",IF(TDBC&lt;=$B409,0,IF(TDBC&gt;=$U409,1,(TDBC-$B409)/($U409-$B409))))</f>
      </c>
      <c r="Y409" s="223">
        <f>IF($A409="","",IF($V409="Đã xử lý","Hoàn thành",IF(N($U409)=0,"Chưa đặt hạn",IF(TDBC&gt;$U409,"Quá hạn",IF(ROUND((N($X409)-$W409)*100,0)&gt;=20,"Chậm tiến độ",IF($U409-TDBC&lt;=1,"Sắp đến hạn","Đúng tiến độ"))))))</f>
      </c>
      <c r="Z409" s="223">
        <f>IF(OR($A409="",$V409="Đã xử lý",N($U409)=0),"",IF(TDBC&gt;$U409,"Quá "&amp;IF(((TDBC-$U409)*24)&lt;1,MAX(1,ROUND(((TDBC-$U409)*24)*60,0))&amp;" phút",IF(ROUND(((TDBC-$U409)*24),0)&lt;24,ROUND(((TDBC-$U409)*24),0)&amp;" giờ",INT(ROUND(((TDBC-$U409)*24),0)/24)&amp;" ngày"&amp;IF(MOD(ROUND(((TDBC-$U409)*24),0),24)&gt;0," "&amp;MOD(ROUND(((TDBC-$U409)*24),0),24)&amp;" giờ",""))),"Còn "&amp;IF((($U409-TDBC)*24)&lt;1,MAX(1,ROUND((($U409-TDBC)*24)*60,0))&amp;" phút",IF(ROUND((($U409-TDBC)*24),0)&lt;24,ROUND((($U409-TDBC)*24),0)&amp;" giờ",INT(ROUND((($U409-TDBC)*24),0)/24)&amp;" ngày"&amp;IF(MOD(ROUND((($U409-TDBC)*24),0),24)&gt;0," "&amp;MOD(ROUND((($U409-TDBC)*24),0),24)&amp;" giờ","")))))</f>
      </c>
      <c r="AA409" s="220">
        <f>IF($V409="Đã xử lý",_xlfn.MAXIFS('Nhật ký tiến độ'!$B$6:$B$3005,'Nhật ký tiến độ'!$C$6:$C$3005,$A409,'Nhật ký tiến độ'!$E$6:$E$3005,"Đã xử lý"),"")</f>
      </c>
      <c r="AB409" s="223">
        <f>IF($AI409="","",IF($AI409&lt;1,MAX(1,ROUND($AI409*60,0))&amp;" phút",IF(ROUND($AI409,0)&lt;24,ROUND($AI409,0)&amp;" giờ",INT(ROUND($AI409,0)/24)&amp;" ngày"&amp;IF(MOD(ROUND($AI409,0),24)&gt;0," "&amp;MOD(ROUND($AI409,0),24)&amp;" giờ",""))))</f>
      </c>
      <c r="AC409" s="223">
        <f>IF(OR($A409="",N($AH409)=0),"",IF($AI409&lt;&gt;"",IF($AI409&lt;=$AH409,"Trong ước tính","Vượt "&amp;IF(($AI409-$AH409)&lt;1,MAX(1,ROUND(($AI409-$AH409)*60,0))&amp;" phút",IF(ROUND(($AI409-$AH409),0)&lt;24,ROUND(($AI409-$AH409),0)&amp;" giờ",INT(ROUND(($AI409-$AH409),0)/24)&amp;" ngày"&amp;IF(MOD(ROUND(($AI409-$AH409),0),24)&gt;0," "&amp;MOD(ROUND(($AI409-$AH409),0),24)&amp;" giờ","")))),IF(OR($V409="Đã xử lý",N($B409)=0),"",IF((TDBC-$B409)*24&gt;$AH409,"Đã vượt ước tính","Đã dùng "&amp;TEXT((TDBC-$B409)*24/$AH409,"0%")))))</f>
      </c>
      <c r="AD409" s="223">
        <f>IF(N($AO409)=0,"",CHOOSE($AO409,"Nhắc nhở","Cảnh báo","Báo động","Báo động đỏ"))</f>
      </c>
      <c r="AE409" s="223">
        <f>IF(OR(N($AA409)=0,N($U409)=0),"",IF($AA409&lt;=$U409,"Đúng hạn","Trễ hạn"))</f>
      </c>
      <c r="AF409" s="220">
        <f>IF($A409="","",_xlfn.MAXIFS('Nhật ký tiến độ'!$B$6:$B$3005,'Nhật ký tiến độ'!$C$6:$C$3005,$A409))</f>
      </c>
      <c r="AG409" s="223">
        <f>IF($A409="","",IF(COUNTIF('Kế hoạch'!$M$6:$M$305,$A409)=0,"",COUNTIF('Kế hoạch'!$M$6:$M$305,$A409)&amp;" việc"))</f>
      </c>
      <c r="AH409" s="224">
        <f>IF(OR($A409="",N($O409)&lt;=0),"",IF($P409="Giờ",$O409,$O409*24))</f>
      </c>
      <c r="AI409" s="224">
        <f>IF(OR(N($AA409)=0,N($B409)=0),"",IF($AA409&lt;$B409,"",($AA409-$B409)*24))</f>
      </c>
      <c r="AJ409" s="225">
        <f>IF($A409="","",IF(COUNTIF('Nhật ký tiến độ'!$C$6:$C$3005,$A409)=0,0,_xlfn.MAXIFS('Nhật ký tiến độ'!$N$6:$N$3005,'Nhật ký tiến độ'!$C$6:$C$3005,$A409,'Nhật ký tiến độ'!$B$6:$B$3005,_xlfn.MAXIFS('Nhật ký tiến độ'!$B$6:$B$3005,'Nhật ký tiến độ'!$C$6:$C$3005,$A409))))</f>
      </c>
      <c r="AK409" s="225">
        <f>IF(OR($A409="",$V409="Đã xử lý"),"",IF(N($AO409)&gt;0,5-$AO409,IF($J409="Khẩn cấp",5,IF($Y409="Chậm tiến độ",6,IF(OR($Y409="Sắp đến hạn",$J409="Cao"),7,"")))))</f>
      </c>
      <c r="AL409" s="225">
        <f>IF($AK409="","",$AK409*100000+IF(N($U409)=0,99999,INT($U409))+ROW()/100000)</f>
      </c>
      <c r="AM409" s="225">
        <f>IF(OR($A409="",TRIM($K409)="",COUNTIF($K$6:$K409,$K409)&gt;1),0,1)</f>
      </c>
      <c r="AN409" s="225">
        <f>IF($AM409=1,SUM($AM$6:$AM409),"")</f>
      </c>
      <c r="AO409" s="225">
        <f>IF(OR($A409="",$V409="Đã xử lý",N($U409)=0),0,IF(TDBC&lt;=$U409,0,MAX(1,MIN(4,IF((TDBC-$U409)*24&lt;24,1,IF((TDBC-$U409)*24&lt;72,2,IF((TDBC-$U409)*24&lt;168,3,4)))+IFERROR(INDEX({2,1,0,-1},MATCH($J409,{"Khẩn cấp","Cao","Trung bình","Thấp"},0)),0)))))</f>
      </c>
    </row>
    <row r="410">
      <c r="A410" s="216"/>
      <c r="B410" s="217"/>
      <c r="C410" s="218"/>
      <c r="D410" s="218"/>
      <c r="E410" s="218"/>
      <c r="F410" s="218"/>
      <c r="G410" s="216"/>
      <c r="H410" s="218"/>
      <c r="I410" s="218"/>
      <c r="J410" s="216"/>
      <c r="K410" s="218"/>
      <c r="L410" s="218"/>
      <c r="M410" s="218"/>
      <c r="N410" s="218"/>
      <c r="O410" s="219"/>
      <c r="P410" s="216"/>
      <c r="Q410" s="217"/>
      <c r="R410" s="216"/>
      <c r="S410" s="218"/>
      <c r="T410" s="218"/>
      <c r="U410" s="220">
        <f>IF($A410="","",IF(N($Q410)&gt;0,IF(MOD($Q410,1)=0,$Q410+1-1/1440,$Q410),IF(N($B410)=0,"",$B410+IF(N($AH410)&gt;0,$AH410,IFERROR(INDEX(DM_SLA_Gio,MATCH($J410,DM_SLA_Cap,0)),168))/24)))</f>
      </c>
      <c r="V410" s="221">
        <f>IF($A410="","",IF(N($AJ410)=0,"Mới tiếp nhận",INDEX('Nhật ký tiến độ'!$E:$E,$AJ410)))</f>
      </c>
      <c r="W410" s="222">
        <f>IF($A410="","",IF($V410="Đã xử lý",1,IF(N($AJ410)=0,0,N(INDEX('Nhật ký tiến độ'!$D:$D,$AJ410)))))</f>
      </c>
      <c r="X410" s="222">
        <f>IF(OR($A410="",$V410="Đã xử lý",N($U410)=0,N($B410)=0),"",IF(TDBC&lt;=$B410,0,IF(TDBC&gt;=$U410,1,(TDBC-$B410)/($U410-$B410))))</f>
      </c>
      <c r="Y410" s="223">
        <f>IF($A410="","",IF($V410="Đã xử lý","Hoàn thành",IF(N($U410)=0,"Chưa đặt hạn",IF(TDBC&gt;$U410,"Quá hạn",IF(ROUND((N($X410)-$W410)*100,0)&gt;=20,"Chậm tiến độ",IF($U410-TDBC&lt;=1,"Sắp đến hạn","Đúng tiến độ"))))))</f>
      </c>
      <c r="Z410" s="223">
        <f>IF(OR($A410="",$V410="Đã xử lý",N($U410)=0),"",IF(TDBC&gt;$U410,"Quá "&amp;IF(((TDBC-$U410)*24)&lt;1,MAX(1,ROUND(((TDBC-$U410)*24)*60,0))&amp;" phút",IF(ROUND(((TDBC-$U410)*24),0)&lt;24,ROUND(((TDBC-$U410)*24),0)&amp;" giờ",INT(ROUND(((TDBC-$U410)*24),0)/24)&amp;" ngày"&amp;IF(MOD(ROUND(((TDBC-$U410)*24),0),24)&gt;0," "&amp;MOD(ROUND(((TDBC-$U410)*24),0),24)&amp;" giờ",""))),"Còn "&amp;IF((($U410-TDBC)*24)&lt;1,MAX(1,ROUND((($U410-TDBC)*24)*60,0))&amp;" phút",IF(ROUND((($U410-TDBC)*24),0)&lt;24,ROUND((($U410-TDBC)*24),0)&amp;" giờ",INT(ROUND((($U410-TDBC)*24),0)/24)&amp;" ngày"&amp;IF(MOD(ROUND((($U410-TDBC)*24),0),24)&gt;0," "&amp;MOD(ROUND((($U410-TDBC)*24),0),24)&amp;" giờ","")))))</f>
      </c>
      <c r="AA410" s="220">
        <f>IF($V410="Đã xử lý",_xlfn.MAXIFS('Nhật ký tiến độ'!$B$6:$B$3005,'Nhật ký tiến độ'!$C$6:$C$3005,$A410,'Nhật ký tiến độ'!$E$6:$E$3005,"Đã xử lý"),"")</f>
      </c>
      <c r="AB410" s="223">
        <f>IF($AI410="","",IF($AI410&lt;1,MAX(1,ROUND($AI410*60,0))&amp;" phút",IF(ROUND($AI410,0)&lt;24,ROUND($AI410,0)&amp;" giờ",INT(ROUND($AI410,0)/24)&amp;" ngày"&amp;IF(MOD(ROUND($AI410,0),24)&gt;0," "&amp;MOD(ROUND($AI410,0),24)&amp;" giờ",""))))</f>
      </c>
      <c r="AC410" s="223">
        <f>IF(OR($A410="",N($AH410)=0),"",IF($AI410&lt;&gt;"",IF($AI410&lt;=$AH410,"Trong ước tính","Vượt "&amp;IF(($AI410-$AH410)&lt;1,MAX(1,ROUND(($AI410-$AH410)*60,0))&amp;" phút",IF(ROUND(($AI410-$AH410),0)&lt;24,ROUND(($AI410-$AH410),0)&amp;" giờ",INT(ROUND(($AI410-$AH410),0)/24)&amp;" ngày"&amp;IF(MOD(ROUND(($AI410-$AH410),0),24)&gt;0," "&amp;MOD(ROUND(($AI410-$AH410),0),24)&amp;" giờ","")))),IF(OR($V410="Đã xử lý",N($B410)=0),"",IF((TDBC-$B410)*24&gt;$AH410,"Đã vượt ước tính","Đã dùng "&amp;TEXT((TDBC-$B410)*24/$AH410,"0%")))))</f>
      </c>
      <c r="AD410" s="223">
        <f>IF(N($AO410)=0,"",CHOOSE($AO410,"Nhắc nhở","Cảnh báo","Báo động","Báo động đỏ"))</f>
      </c>
      <c r="AE410" s="223">
        <f>IF(OR(N($AA410)=0,N($U410)=0),"",IF($AA410&lt;=$U410,"Đúng hạn","Trễ hạn"))</f>
      </c>
      <c r="AF410" s="220">
        <f>IF($A410="","",_xlfn.MAXIFS('Nhật ký tiến độ'!$B$6:$B$3005,'Nhật ký tiến độ'!$C$6:$C$3005,$A410))</f>
      </c>
      <c r="AG410" s="223">
        <f>IF($A410="","",IF(COUNTIF('Kế hoạch'!$M$6:$M$305,$A410)=0,"",COUNTIF('Kế hoạch'!$M$6:$M$305,$A410)&amp;" việc"))</f>
      </c>
      <c r="AH410" s="224">
        <f>IF(OR($A410="",N($O410)&lt;=0),"",IF($P410="Giờ",$O410,$O410*24))</f>
      </c>
      <c r="AI410" s="224">
        <f>IF(OR(N($AA410)=0,N($B410)=0),"",IF($AA410&lt;$B410,"",($AA410-$B410)*24))</f>
      </c>
      <c r="AJ410" s="225">
        <f>IF($A410="","",IF(COUNTIF('Nhật ký tiến độ'!$C$6:$C$3005,$A410)=0,0,_xlfn.MAXIFS('Nhật ký tiến độ'!$N$6:$N$3005,'Nhật ký tiến độ'!$C$6:$C$3005,$A410,'Nhật ký tiến độ'!$B$6:$B$3005,_xlfn.MAXIFS('Nhật ký tiến độ'!$B$6:$B$3005,'Nhật ký tiến độ'!$C$6:$C$3005,$A410))))</f>
      </c>
      <c r="AK410" s="225">
        <f>IF(OR($A410="",$V410="Đã xử lý"),"",IF(N($AO410)&gt;0,5-$AO410,IF($J410="Khẩn cấp",5,IF($Y410="Chậm tiến độ",6,IF(OR($Y410="Sắp đến hạn",$J410="Cao"),7,"")))))</f>
      </c>
      <c r="AL410" s="225">
        <f>IF($AK410="","",$AK410*100000+IF(N($U410)=0,99999,INT($U410))+ROW()/100000)</f>
      </c>
      <c r="AM410" s="225">
        <f>IF(OR($A410="",TRIM($K410)="",COUNTIF($K$6:$K410,$K410)&gt;1),0,1)</f>
      </c>
      <c r="AN410" s="225">
        <f>IF($AM410=1,SUM($AM$6:$AM410),"")</f>
      </c>
      <c r="AO410" s="225">
        <f>IF(OR($A410="",$V410="Đã xử lý",N($U410)=0),0,IF(TDBC&lt;=$U410,0,MAX(1,MIN(4,IF((TDBC-$U410)*24&lt;24,1,IF((TDBC-$U410)*24&lt;72,2,IF((TDBC-$U410)*24&lt;168,3,4)))+IFERROR(INDEX({2,1,0,-1},MATCH($J410,{"Khẩn cấp","Cao","Trung bình","Thấp"},0)),0)))))</f>
      </c>
    </row>
    <row r="411">
      <c r="A411" s="216"/>
      <c r="B411" s="217"/>
      <c r="C411" s="218"/>
      <c r="D411" s="218"/>
      <c r="E411" s="218"/>
      <c r="F411" s="218"/>
      <c r="G411" s="216"/>
      <c r="H411" s="218"/>
      <c r="I411" s="218"/>
      <c r="J411" s="216"/>
      <c r="K411" s="218"/>
      <c r="L411" s="218"/>
      <c r="M411" s="218"/>
      <c r="N411" s="218"/>
      <c r="O411" s="219"/>
      <c r="P411" s="216"/>
      <c r="Q411" s="217"/>
      <c r="R411" s="216"/>
      <c r="S411" s="218"/>
      <c r="T411" s="218"/>
      <c r="U411" s="220">
        <f>IF($A411="","",IF(N($Q411)&gt;0,IF(MOD($Q411,1)=0,$Q411+1-1/1440,$Q411),IF(N($B411)=0,"",$B411+IF(N($AH411)&gt;0,$AH411,IFERROR(INDEX(DM_SLA_Gio,MATCH($J411,DM_SLA_Cap,0)),168))/24)))</f>
      </c>
      <c r="V411" s="221">
        <f>IF($A411="","",IF(N($AJ411)=0,"Mới tiếp nhận",INDEX('Nhật ký tiến độ'!$E:$E,$AJ411)))</f>
      </c>
      <c r="W411" s="222">
        <f>IF($A411="","",IF($V411="Đã xử lý",1,IF(N($AJ411)=0,0,N(INDEX('Nhật ký tiến độ'!$D:$D,$AJ411)))))</f>
      </c>
      <c r="X411" s="222">
        <f>IF(OR($A411="",$V411="Đã xử lý",N($U411)=0,N($B411)=0),"",IF(TDBC&lt;=$B411,0,IF(TDBC&gt;=$U411,1,(TDBC-$B411)/($U411-$B411))))</f>
      </c>
      <c r="Y411" s="223">
        <f>IF($A411="","",IF($V411="Đã xử lý","Hoàn thành",IF(N($U411)=0,"Chưa đặt hạn",IF(TDBC&gt;$U411,"Quá hạn",IF(ROUND((N($X411)-$W411)*100,0)&gt;=20,"Chậm tiến độ",IF($U411-TDBC&lt;=1,"Sắp đến hạn","Đúng tiến độ"))))))</f>
      </c>
      <c r="Z411" s="223">
        <f>IF(OR($A411="",$V411="Đã xử lý",N($U411)=0),"",IF(TDBC&gt;$U411,"Quá "&amp;IF(((TDBC-$U411)*24)&lt;1,MAX(1,ROUND(((TDBC-$U411)*24)*60,0))&amp;" phút",IF(ROUND(((TDBC-$U411)*24),0)&lt;24,ROUND(((TDBC-$U411)*24),0)&amp;" giờ",INT(ROUND(((TDBC-$U411)*24),0)/24)&amp;" ngày"&amp;IF(MOD(ROUND(((TDBC-$U411)*24),0),24)&gt;0," "&amp;MOD(ROUND(((TDBC-$U411)*24),0),24)&amp;" giờ",""))),"Còn "&amp;IF((($U411-TDBC)*24)&lt;1,MAX(1,ROUND((($U411-TDBC)*24)*60,0))&amp;" phút",IF(ROUND((($U411-TDBC)*24),0)&lt;24,ROUND((($U411-TDBC)*24),0)&amp;" giờ",INT(ROUND((($U411-TDBC)*24),0)/24)&amp;" ngày"&amp;IF(MOD(ROUND((($U411-TDBC)*24),0),24)&gt;0," "&amp;MOD(ROUND((($U411-TDBC)*24),0),24)&amp;" giờ","")))))</f>
      </c>
      <c r="AA411" s="220">
        <f>IF($V411="Đã xử lý",_xlfn.MAXIFS('Nhật ký tiến độ'!$B$6:$B$3005,'Nhật ký tiến độ'!$C$6:$C$3005,$A411,'Nhật ký tiến độ'!$E$6:$E$3005,"Đã xử lý"),"")</f>
      </c>
      <c r="AB411" s="223">
        <f>IF($AI411="","",IF($AI411&lt;1,MAX(1,ROUND($AI411*60,0))&amp;" phút",IF(ROUND($AI411,0)&lt;24,ROUND($AI411,0)&amp;" giờ",INT(ROUND($AI411,0)/24)&amp;" ngày"&amp;IF(MOD(ROUND($AI411,0),24)&gt;0," "&amp;MOD(ROUND($AI411,0),24)&amp;" giờ",""))))</f>
      </c>
      <c r="AC411" s="223">
        <f>IF(OR($A411="",N($AH411)=0),"",IF($AI411&lt;&gt;"",IF($AI411&lt;=$AH411,"Trong ước tính","Vượt "&amp;IF(($AI411-$AH411)&lt;1,MAX(1,ROUND(($AI411-$AH411)*60,0))&amp;" phút",IF(ROUND(($AI411-$AH411),0)&lt;24,ROUND(($AI411-$AH411),0)&amp;" giờ",INT(ROUND(($AI411-$AH411),0)/24)&amp;" ngày"&amp;IF(MOD(ROUND(($AI411-$AH411),0),24)&gt;0," "&amp;MOD(ROUND(($AI411-$AH411),0),24)&amp;" giờ","")))),IF(OR($V411="Đã xử lý",N($B411)=0),"",IF((TDBC-$B411)*24&gt;$AH411,"Đã vượt ước tính","Đã dùng "&amp;TEXT((TDBC-$B411)*24/$AH411,"0%")))))</f>
      </c>
      <c r="AD411" s="223">
        <f>IF(N($AO411)=0,"",CHOOSE($AO411,"Nhắc nhở","Cảnh báo","Báo động","Báo động đỏ"))</f>
      </c>
      <c r="AE411" s="223">
        <f>IF(OR(N($AA411)=0,N($U411)=0),"",IF($AA411&lt;=$U411,"Đúng hạn","Trễ hạn"))</f>
      </c>
      <c r="AF411" s="220">
        <f>IF($A411="","",_xlfn.MAXIFS('Nhật ký tiến độ'!$B$6:$B$3005,'Nhật ký tiến độ'!$C$6:$C$3005,$A411))</f>
      </c>
      <c r="AG411" s="223">
        <f>IF($A411="","",IF(COUNTIF('Kế hoạch'!$M$6:$M$305,$A411)=0,"",COUNTIF('Kế hoạch'!$M$6:$M$305,$A411)&amp;" việc"))</f>
      </c>
      <c r="AH411" s="224">
        <f>IF(OR($A411="",N($O411)&lt;=0),"",IF($P411="Giờ",$O411,$O411*24))</f>
      </c>
      <c r="AI411" s="224">
        <f>IF(OR(N($AA411)=0,N($B411)=0),"",IF($AA411&lt;$B411,"",($AA411-$B411)*24))</f>
      </c>
      <c r="AJ411" s="225">
        <f>IF($A411="","",IF(COUNTIF('Nhật ký tiến độ'!$C$6:$C$3005,$A411)=0,0,_xlfn.MAXIFS('Nhật ký tiến độ'!$N$6:$N$3005,'Nhật ký tiến độ'!$C$6:$C$3005,$A411,'Nhật ký tiến độ'!$B$6:$B$3005,_xlfn.MAXIFS('Nhật ký tiến độ'!$B$6:$B$3005,'Nhật ký tiến độ'!$C$6:$C$3005,$A411))))</f>
      </c>
      <c r="AK411" s="225">
        <f>IF(OR($A411="",$V411="Đã xử lý"),"",IF(N($AO411)&gt;0,5-$AO411,IF($J411="Khẩn cấp",5,IF($Y411="Chậm tiến độ",6,IF(OR($Y411="Sắp đến hạn",$J411="Cao"),7,"")))))</f>
      </c>
      <c r="AL411" s="225">
        <f>IF($AK411="","",$AK411*100000+IF(N($U411)=0,99999,INT($U411))+ROW()/100000)</f>
      </c>
      <c r="AM411" s="225">
        <f>IF(OR($A411="",TRIM($K411)="",COUNTIF($K$6:$K411,$K411)&gt;1),0,1)</f>
      </c>
      <c r="AN411" s="225">
        <f>IF($AM411=1,SUM($AM$6:$AM411),"")</f>
      </c>
      <c r="AO411" s="225">
        <f>IF(OR($A411="",$V411="Đã xử lý",N($U411)=0),0,IF(TDBC&lt;=$U411,0,MAX(1,MIN(4,IF((TDBC-$U411)*24&lt;24,1,IF((TDBC-$U411)*24&lt;72,2,IF((TDBC-$U411)*24&lt;168,3,4)))+IFERROR(INDEX({2,1,0,-1},MATCH($J411,{"Khẩn cấp","Cao","Trung bình","Thấp"},0)),0)))))</f>
      </c>
    </row>
    <row r="412">
      <c r="A412" s="216"/>
      <c r="B412" s="217"/>
      <c r="C412" s="218"/>
      <c r="D412" s="218"/>
      <c r="E412" s="218"/>
      <c r="F412" s="218"/>
      <c r="G412" s="216"/>
      <c r="H412" s="218"/>
      <c r="I412" s="218"/>
      <c r="J412" s="216"/>
      <c r="K412" s="218"/>
      <c r="L412" s="218"/>
      <c r="M412" s="218"/>
      <c r="N412" s="218"/>
      <c r="O412" s="219"/>
      <c r="P412" s="216"/>
      <c r="Q412" s="217"/>
      <c r="R412" s="216"/>
      <c r="S412" s="218"/>
      <c r="T412" s="218"/>
      <c r="U412" s="220">
        <f>IF($A412="","",IF(N($Q412)&gt;0,IF(MOD($Q412,1)=0,$Q412+1-1/1440,$Q412),IF(N($B412)=0,"",$B412+IF(N($AH412)&gt;0,$AH412,IFERROR(INDEX(DM_SLA_Gio,MATCH($J412,DM_SLA_Cap,0)),168))/24)))</f>
      </c>
      <c r="V412" s="221">
        <f>IF($A412="","",IF(N($AJ412)=0,"Mới tiếp nhận",INDEX('Nhật ký tiến độ'!$E:$E,$AJ412)))</f>
      </c>
      <c r="W412" s="222">
        <f>IF($A412="","",IF($V412="Đã xử lý",1,IF(N($AJ412)=0,0,N(INDEX('Nhật ký tiến độ'!$D:$D,$AJ412)))))</f>
      </c>
      <c r="X412" s="222">
        <f>IF(OR($A412="",$V412="Đã xử lý",N($U412)=0,N($B412)=0),"",IF(TDBC&lt;=$B412,0,IF(TDBC&gt;=$U412,1,(TDBC-$B412)/($U412-$B412))))</f>
      </c>
      <c r="Y412" s="223">
        <f>IF($A412="","",IF($V412="Đã xử lý","Hoàn thành",IF(N($U412)=0,"Chưa đặt hạn",IF(TDBC&gt;$U412,"Quá hạn",IF(ROUND((N($X412)-$W412)*100,0)&gt;=20,"Chậm tiến độ",IF($U412-TDBC&lt;=1,"Sắp đến hạn","Đúng tiến độ"))))))</f>
      </c>
      <c r="Z412" s="223">
        <f>IF(OR($A412="",$V412="Đã xử lý",N($U412)=0),"",IF(TDBC&gt;$U412,"Quá "&amp;IF(((TDBC-$U412)*24)&lt;1,MAX(1,ROUND(((TDBC-$U412)*24)*60,0))&amp;" phút",IF(ROUND(((TDBC-$U412)*24),0)&lt;24,ROUND(((TDBC-$U412)*24),0)&amp;" giờ",INT(ROUND(((TDBC-$U412)*24),0)/24)&amp;" ngày"&amp;IF(MOD(ROUND(((TDBC-$U412)*24),0),24)&gt;0," "&amp;MOD(ROUND(((TDBC-$U412)*24),0),24)&amp;" giờ",""))),"Còn "&amp;IF((($U412-TDBC)*24)&lt;1,MAX(1,ROUND((($U412-TDBC)*24)*60,0))&amp;" phút",IF(ROUND((($U412-TDBC)*24),0)&lt;24,ROUND((($U412-TDBC)*24),0)&amp;" giờ",INT(ROUND((($U412-TDBC)*24),0)/24)&amp;" ngày"&amp;IF(MOD(ROUND((($U412-TDBC)*24),0),24)&gt;0," "&amp;MOD(ROUND((($U412-TDBC)*24),0),24)&amp;" giờ","")))))</f>
      </c>
      <c r="AA412" s="220">
        <f>IF($V412="Đã xử lý",_xlfn.MAXIFS('Nhật ký tiến độ'!$B$6:$B$3005,'Nhật ký tiến độ'!$C$6:$C$3005,$A412,'Nhật ký tiến độ'!$E$6:$E$3005,"Đã xử lý"),"")</f>
      </c>
      <c r="AB412" s="223">
        <f>IF($AI412="","",IF($AI412&lt;1,MAX(1,ROUND($AI412*60,0))&amp;" phút",IF(ROUND($AI412,0)&lt;24,ROUND($AI412,0)&amp;" giờ",INT(ROUND($AI412,0)/24)&amp;" ngày"&amp;IF(MOD(ROUND($AI412,0),24)&gt;0," "&amp;MOD(ROUND($AI412,0),24)&amp;" giờ",""))))</f>
      </c>
      <c r="AC412" s="223">
        <f>IF(OR($A412="",N($AH412)=0),"",IF($AI412&lt;&gt;"",IF($AI412&lt;=$AH412,"Trong ước tính","Vượt "&amp;IF(($AI412-$AH412)&lt;1,MAX(1,ROUND(($AI412-$AH412)*60,0))&amp;" phút",IF(ROUND(($AI412-$AH412),0)&lt;24,ROUND(($AI412-$AH412),0)&amp;" giờ",INT(ROUND(($AI412-$AH412),0)/24)&amp;" ngày"&amp;IF(MOD(ROUND(($AI412-$AH412),0),24)&gt;0," "&amp;MOD(ROUND(($AI412-$AH412),0),24)&amp;" giờ","")))),IF(OR($V412="Đã xử lý",N($B412)=0),"",IF((TDBC-$B412)*24&gt;$AH412,"Đã vượt ước tính","Đã dùng "&amp;TEXT((TDBC-$B412)*24/$AH412,"0%")))))</f>
      </c>
      <c r="AD412" s="223">
        <f>IF(N($AO412)=0,"",CHOOSE($AO412,"Nhắc nhở","Cảnh báo","Báo động","Báo động đỏ"))</f>
      </c>
      <c r="AE412" s="223">
        <f>IF(OR(N($AA412)=0,N($U412)=0),"",IF($AA412&lt;=$U412,"Đúng hạn","Trễ hạn"))</f>
      </c>
      <c r="AF412" s="220">
        <f>IF($A412="","",_xlfn.MAXIFS('Nhật ký tiến độ'!$B$6:$B$3005,'Nhật ký tiến độ'!$C$6:$C$3005,$A412))</f>
      </c>
      <c r="AG412" s="223">
        <f>IF($A412="","",IF(COUNTIF('Kế hoạch'!$M$6:$M$305,$A412)=0,"",COUNTIF('Kế hoạch'!$M$6:$M$305,$A412)&amp;" việc"))</f>
      </c>
      <c r="AH412" s="224">
        <f>IF(OR($A412="",N($O412)&lt;=0),"",IF($P412="Giờ",$O412,$O412*24))</f>
      </c>
      <c r="AI412" s="224">
        <f>IF(OR(N($AA412)=0,N($B412)=0),"",IF($AA412&lt;$B412,"",($AA412-$B412)*24))</f>
      </c>
      <c r="AJ412" s="225">
        <f>IF($A412="","",IF(COUNTIF('Nhật ký tiến độ'!$C$6:$C$3005,$A412)=0,0,_xlfn.MAXIFS('Nhật ký tiến độ'!$N$6:$N$3005,'Nhật ký tiến độ'!$C$6:$C$3005,$A412,'Nhật ký tiến độ'!$B$6:$B$3005,_xlfn.MAXIFS('Nhật ký tiến độ'!$B$6:$B$3005,'Nhật ký tiến độ'!$C$6:$C$3005,$A412))))</f>
      </c>
      <c r="AK412" s="225">
        <f>IF(OR($A412="",$V412="Đã xử lý"),"",IF(N($AO412)&gt;0,5-$AO412,IF($J412="Khẩn cấp",5,IF($Y412="Chậm tiến độ",6,IF(OR($Y412="Sắp đến hạn",$J412="Cao"),7,"")))))</f>
      </c>
      <c r="AL412" s="225">
        <f>IF($AK412="","",$AK412*100000+IF(N($U412)=0,99999,INT($U412))+ROW()/100000)</f>
      </c>
      <c r="AM412" s="225">
        <f>IF(OR($A412="",TRIM($K412)="",COUNTIF($K$6:$K412,$K412)&gt;1),0,1)</f>
      </c>
      <c r="AN412" s="225">
        <f>IF($AM412=1,SUM($AM$6:$AM412),"")</f>
      </c>
      <c r="AO412" s="225">
        <f>IF(OR($A412="",$V412="Đã xử lý",N($U412)=0),0,IF(TDBC&lt;=$U412,0,MAX(1,MIN(4,IF((TDBC-$U412)*24&lt;24,1,IF((TDBC-$U412)*24&lt;72,2,IF((TDBC-$U412)*24&lt;168,3,4)))+IFERROR(INDEX({2,1,0,-1},MATCH($J412,{"Khẩn cấp","Cao","Trung bình","Thấp"},0)),0)))))</f>
      </c>
    </row>
    <row r="413">
      <c r="A413" s="216"/>
      <c r="B413" s="217"/>
      <c r="C413" s="218"/>
      <c r="D413" s="218"/>
      <c r="E413" s="218"/>
      <c r="F413" s="218"/>
      <c r="G413" s="216"/>
      <c r="H413" s="218"/>
      <c r="I413" s="218"/>
      <c r="J413" s="216"/>
      <c r="K413" s="218"/>
      <c r="L413" s="218"/>
      <c r="M413" s="218"/>
      <c r="N413" s="218"/>
      <c r="O413" s="219"/>
      <c r="P413" s="216"/>
      <c r="Q413" s="217"/>
      <c r="R413" s="216"/>
      <c r="S413" s="218"/>
      <c r="T413" s="218"/>
      <c r="U413" s="220">
        <f>IF($A413="","",IF(N($Q413)&gt;0,IF(MOD($Q413,1)=0,$Q413+1-1/1440,$Q413),IF(N($B413)=0,"",$B413+IF(N($AH413)&gt;0,$AH413,IFERROR(INDEX(DM_SLA_Gio,MATCH($J413,DM_SLA_Cap,0)),168))/24)))</f>
      </c>
      <c r="V413" s="221">
        <f>IF($A413="","",IF(N($AJ413)=0,"Mới tiếp nhận",INDEX('Nhật ký tiến độ'!$E:$E,$AJ413)))</f>
      </c>
      <c r="W413" s="222">
        <f>IF($A413="","",IF($V413="Đã xử lý",1,IF(N($AJ413)=0,0,N(INDEX('Nhật ký tiến độ'!$D:$D,$AJ413)))))</f>
      </c>
      <c r="X413" s="222">
        <f>IF(OR($A413="",$V413="Đã xử lý",N($U413)=0,N($B413)=0),"",IF(TDBC&lt;=$B413,0,IF(TDBC&gt;=$U413,1,(TDBC-$B413)/($U413-$B413))))</f>
      </c>
      <c r="Y413" s="223">
        <f>IF($A413="","",IF($V413="Đã xử lý","Hoàn thành",IF(N($U413)=0,"Chưa đặt hạn",IF(TDBC&gt;$U413,"Quá hạn",IF(ROUND((N($X413)-$W413)*100,0)&gt;=20,"Chậm tiến độ",IF($U413-TDBC&lt;=1,"Sắp đến hạn","Đúng tiến độ"))))))</f>
      </c>
      <c r="Z413" s="223">
        <f>IF(OR($A413="",$V413="Đã xử lý",N($U413)=0),"",IF(TDBC&gt;$U413,"Quá "&amp;IF(((TDBC-$U413)*24)&lt;1,MAX(1,ROUND(((TDBC-$U413)*24)*60,0))&amp;" phút",IF(ROUND(((TDBC-$U413)*24),0)&lt;24,ROUND(((TDBC-$U413)*24),0)&amp;" giờ",INT(ROUND(((TDBC-$U413)*24),0)/24)&amp;" ngày"&amp;IF(MOD(ROUND(((TDBC-$U413)*24),0),24)&gt;0," "&amp;MOD(ROUND(((TDBC-$U413)*24),0),24)&amp;" giờ",""))),"Còn "&amp;IF((($U413-TDBC)*24)&lt;1,MAX(1,ROUND((($U413-TDBC)*24)*60,0))&amp;" phút",IF(ROUND((($U413-TDBC)*24),0)&lt;24,ROUND((($U413-TDBC)*24),0)&amp;" giờ",INT(ROUND((($U413-TDBC)*24),0)/24)&amp;" ngày"&amp;IF(MOD(ROUND((($U413-TDBC)*24),0),24)&gt;0," "&amp;MOD(ROUND((($U413-TDBC)*24),0),24)&amp;" giờ","")))))</f>
      </c>
      <c r="AA413" s="220">
        <f>IF($V413="Đã xử lý",_xlfn.MAXIFS('Nhật ký tiến độ'!$B$6:$B$3005,'Nhật ký tiến độ'!$C$6:$C$3005,$A413,'Nhật ký tiến độ'!$E$6:$E$3005,"Đã xử lý"),"")</f>
      </c>
      <c r="AB413" s="223">
        <f>IF($AI413="","",IF($AI413&lt;1,MAX(1,ROUND($AI413*60,0))&amp;" phút",IF(ROUND($AI413,0)&lt;24,ROUND($AI413,0)&amp;" giờ",INT(ROUND($AI413,0)/24)&amp;" ngày"&amp;IF(MOD(ROUND($AI413,0),24)&gt;0," "&amp;MOD(ROUND($AI413,0),24)&amp;" giờ",""))))</f>
      </c>
      <c r="AC413" s="223">
        <f>IF(OR($A413="",N($AH413)=0),"",IF($AI413&lt;&gt;"",IF($AI413&lt;=$AH413,"Trong ước tính","Vượt "&amp;IF(($AI413-$AH413)&lt;1,MAX(1,ROUND(($AI413-$AH413)*60,0))&amp;" phút",IF(ROUND(($AI413-$AH413),0)&lt;24,ROUND(($AI413-$AH413),0)&amp;" giờ",INT(ROUND(($AI413-$AH413),0)/24)&amp;" ngày"&amp;IF(MOD(ROUND(($AI413-$AH413),0),24)&gt;0," "&amp;MOD(ROUND(($AI413-$AH413),0),24)&amp;" giờ","")))),IF(OR($V413="Đã xử lý",N($B413)=0),"",IF((TDBC-$B413)*24&gt;$AH413,"Đã vượt ước tính","Đã dùng "&amp;TEXT((TDBC-$B413)*24/$AH413,"0%")))))</f>
      </c>
      <c r="AD413" s="223">
        <f>IF(N($AO413)=0,"",CHOOSE($AO413,"Nhắc nhở","Cảnh báo","Báo động","Báo động đỏ"))</f>
      </c>
      <c r="AE413" s="223">
        <f>IF(OR(N($AA413)=0,N($U413)=0),"",IF($AA413&lt;=$U413,"Đúng hạn","Trễ hạn"))</f>
      </c>
      <c r="AF413" s="220">
        <f>IF($A413="","",_xlfn.MAXIFS('Nhật ký tiến độ'!$B$6:$B$3005,'Nhật ký tiến độ'!$C$6:$C$3005,$A413))</f>
      </c>
      <c r="AG413" s="223">
        <f>IF($A413="","",IF(COUNTIF('Kế hoạch'!$M$6:$M$305,$A413)=0,"",COUNTIF('Kế hoạch'!$M$6:$M$305,$A413)&amp;" việc"))</f>
      </c>
      <c r="AH413" s="224">
        <f>IF(OR($A413="",N($O413)&lt;=0),"",IF($P413="Giờ",$O413,$O413*24))</f>
      </c>
      <c r="AI413" s="224">
        <f>IF(OR(N($AA413)=0,N($B413)=0),"",IF($AA413&lt;$B413,"",($AA413-$B413)*24))</f>
      </c>
      <c r="AJ413" s="225">
        <f>IF($A413="","",IF(COUNTIF('Nhật ký tiến độ'!$C$6:$C$3005,$A413)=0,0,_xlfn.MAXIFS('Nhật ký tiến độ'!$N$6:$N$3005,'Nhật ký tiến độ'!$C$6:$C$3005,$A413,'Nhật ký tiến độ'!$B$6:$B$3005,_xlfn.MAXIFS('Nhật ký tiến độ'!$B$6:$B$3005,'Nhật ký tiến độ'!$C$6:$C$3005,$A413))))</f>
      </c>
      <c r="AK413" s="225">
        <f>IF(OR($A413="",$V413="Đã xử lý"),"",IF(N($AO413)&gt;0,5-$AO413,IF($J413="Khẩn cấp",5,IF($Y413="Chậm tiến độ",6,IF(OR($Y413="Sắp đến hạn",$J413="Cao"),7,"")))))</f>
      </c>
      <c r="AL413" s="225">
        <f>IF($AK413="","",$AK413*100000+IF(N($U413)=0,99999,INT($U413))+ROW()/100000)</f>
      </c>
      <c r="AM413" s="225">
        <f>IF(OR($A413="",TRIM($K413)="",COUNTIF($K$6:$K413,$K413)&gt;1),0,1)</f>
      </c>
      <c r="AN413" s="225">
        <f>IF($AM413=1,SUM($AM$6:$AM413),"")</f>
      </c>
      <c r="AO413" s="225">
        <f>IF(OR($A413="",$V413="Đã xử lý",N($U413)=0),0,IF(TDBC&lt;=$U413,0,MAX(1,MIN(4,IF((TDBC-$U413)*24&lt;24,1,IF((TDBC-$U413)*24&lt;72,2,IF((TDBC-$U413)*24&lt;168,3,4)))+IFERROR(INDEX({2,1,0,-1},MATCH($J413,{"Khẩn cấp","Cao","Trung bình","Thấp"},0)),0)))))</f>
      </c>
    </row>
    <row r="414">
      <c r="A414" s="216"/>
      <c r="B414" s="217"/>
      <c r="C414" s="218"/>
      <c r="D414" s="218"/>
      <c r="E414" s="218"/>
      <c r="F414" s="218"/>
      <c r="G414" s="216"/>
      <c r="H414" s="218"/>
      <c r="I414" s="218"/>
      <c r="J414" s="216"/>
      <c r="K414" s="218"/>
      <c r="L414" s="218"/>
      <c r="M414" s="218"/>
      <c r="N414" s="218"/>
      <c r="O414" s="219"/>
      <c r="P414" s="216"/>
      <c r="Q414" s="217"/>
      <c r="R414" s="216"/>
      <c r="S414" s="218"/>
      <c r="T414" s="218"/>
      <c r="U414" s="220">
        <f>IF($A414="","",IF(N($Q414)&gt;0,IF(MOD($Q414,1)=0,$Q414+1-1/1440,$Q414),IF(N($B414)=0,"",$B414+IF(N($AH414)&gt;0,$AH414,IFERROR(INDEX(DM_SLA_Gio,MATCH($J414,DM_SLA_Cap,0)),168))/24)))</f>
      </c>
      <c r="V414" s="221">
        <f>IF($A414="","",IF(N($AJ414)=0,"Mới tiếp nhận",INDEX('Nhật ký tiến độ'!$E:$E,$AJ414)))</f>
      </c>
      <c r="W414" s="222">
        <f>IF($A414="","",IF($V414="Đã xử lý",1,IF(N($AJ414)=0,0,N(INDEX('Nhật ký tiến độ'!$D:$D,$AJ414)))))</f>
      </c>
      <c r="X414" s="222">
        <f>IF(OR($A414="",$V414="Đã xử lý",N($U414)=0,N($B414)=0),"",IF(TDBC&lt;=$B414,0,IF(TDBC&gt;=$U414,1,(TDBC-$B414)/($U414-$B414))))</f>
      </c>
      <c r="Y414" s="223">
        <f>IF($A414="","",IF($V414="Đã xử lý","Hoàn thành",IF(N($U414)=0,"Chưa đặt hạn",IF(TDBC&gt;$U414,"Quá hạn",IF(ROUND((N($X414)-$W414)*100,0)&gt;=20,"Chậm tiến độ",IF($U414-TDBC&lt;=1,"Sắp đến hạn","Đúng tiến độ"))))))</f>
      </c>
      <c r="Z414" s="223">
        <f>IF(OR($A414="",$V414="Đã xử lý",N($U414)=0),"",IF(TDBC&gt;$U414,"Quá "&amp;IF(((TDBC-$U414)*24)&lt;1,MAX(1,ROUND(((TDBC-$U414)*24)*60,0))&amp;" phút",IF(ROUND(((TDBC-$U414)*24),0)&lt;24,ROUND(((TDBC-$U414)*24),0)&amp;" giờ",INT(ROUND(((TDBC-$U414)*24),0)/24)&amp;" ngày"&amp;IF(MOD(ROUND(((TDBC-$U414)*24),0),24)&gt;0," "&amp;MOD(ROUND(((TDBC-$U414)*24),0),24)&amp;" giờ",""))),"Còn "&amp;IF((($U414-TDBC)*24)&lt;1,MAX(1,ROUND((($U414-TDBC)*24)*60,0))&amp;" phút",IF(ROUND((($U414-TDBC)*24),0)&lt;24,ROUND((($U414-TDBC)*24),0)&amp;" giờ",INT(ROUND((($U414-TDBC)*24),0)/24)&amp;" ngày"&amp;IF(MOD(ROUND((($U414-TDBC)*24),0),24)&gt;0," "&amp;MOD(ROUND((($U414-TDBC)*24),0),24)&amp;" giờ","")))))</f>
      </c>
      <c r="AA414" s="220">
        <f>IF($V414="Đã xử lý",_xlfn.MAXIFS('Nhật ký tiến độ'!$B$6:$B$3005,'Nhật ký tiến độ'!$C$6:$C$3005,$A414,'Nhật ký tiến độ'!$E$6:$E$3005,"Đã xử lý"),"")</f>
      </c>
      <c r="AB414" s="223">
        <f>IF($AI414="","",IF($AI414&lt;1,MAX(1,ROUND($AI414*60,0))&amp;" phút",IF(ROUND($AI414,0)&lt;24,ROUND($AI414,0)&amp;" giờ",INT(ROUND($AI414,0)/24)&amp;" ngày"&amp;IF(MOD(ROUND($AI414,0),24)&gt;0," "&amp;MOD(ROUND($AI414,0),24)&amp;" giờ",""))))</f>
      </c>
      <c r="AC414" s="223">
        <f>IF(OR($A414="",N($AH414)=0),"",IF($AI414&lt;&gt;"",IF($AI414&lt;=$AH414,"Trong ước tính","Vượt "&amp;IF(($AI414-$AH414)&lt;1,MAX(1,ROUND(($AI414-$AH414)*60,0))&amp;" phút",IF(ROUND(($AI414-$AH414),0)&lt;24,ROUND(($AI414-$AH414),0)&amp;" giờ",INT(ROUND(($AI414-$AH414),0)/24)&amp;" ngày"&amp;IF(MOD(ROUND(($AI414-$AH414),0),24)&gt;0," "&amp;MOD(ROUND(($AI414-$AH414),0),24)&amp;" giờ","")))),IF(OR($V414="Đã xử lý",N($B414)=0),"",IF((TDBC-$B414)*24&gt;$AH414,"Đã vượt ước tính","Đã dùng "&amp;TEXT((TDBC-$B414)*24/$AH414,"0%")))))</f>
      </c>
      <c r="AD414" s="223">
        <f>IF(N($AO414)=0,"",CHOOSE($AO414,"Nhắc nhở","Cảnh báo","Báo động","Báo động đỏ"))</f>
      </c>
      <c r="AE414" s="223">
        <f>IF(OR(N($AA414)=0,N($U414)=0),"",IF($AA414&lt;=$U414,"Đúng hạn","Trễ hạn"))</f>
      </c>
      <c r="AF414" s="220">
        <f>IF($A414="","",_xlfn.MAXIFS('Nhật ký tiến độ'!$B$6:$B$3005,'Nhật ký tiến độ'!$C$6:$C$3005,$A414))</f>
      </c>
      <c r="AG414" s="223">
        <f>IF($A414="","",IF(COUNTIF('Kế hoạch'!$M$6:$M$305,$A414)=0,"",COUNTIF('Kế hoạch'!$M$6:$M$305,$A414)&amp;" việc"))</f>
      </c>
      <c r="AH414" s="224">
        <f>IF(OR($A414="",N($O414)&lt;=0),"",IF($P414="Giờ",$O414,$O414*24))</f>
      </c>
      <c r="AI414" s="224">
        <f>IF(OR(N($AA414)=0,N($B414)=0),"",IF($AA414&lt;$B414,"",($AA414-$B414)*24))</f>
      </c>
      <c r="AJ414" s="225">
        <f>IF($A414="","",IF(COUNTIF('Nhật ký tiến độ'!$C$6:$C$3005,$A414)=0,0,_xlfn.MAXIFS('Nhật ký tiến độ'!$N$6:$N$3005,'Nhật ký tiến độ'!$C$6:$C$3005,$A414,'Nhật ký tiến độ'!$B$6:$B$3005,_xlfn.MAXIFS('Nhật ký tiến độ'!$B$6:$B$3005,'Nhật ký tiến độ'!$C$6:$C$3005,$A414))))</f>
      </c>
      <c r="AK414" s="225">
        <f>IF(OR($A414="",$V414="Đã xử lý"),"",IF(N($AO414)&gt;0,5-$AO414,IF($J414="Khẩn cấp",5,IF($Y414="Chậm tiến độ",6,IF(OR($Y414="Sắp đến hạn",$J414="Cao"),7,"")))))</f>
      </c>
      <c r="AL414" s="225">
        <f>IF($AK414="","",$AK414*100000+IF(N($U414)=0,99999,INT($U414))+ROW()/100000)</f>
      </c>
      <c r="AM414" s="225">
        <f>IF(OR($A414="",TRIM($K414)="",COUNTIF($K$6:$K414,$K414)&gt;1),0,1)</f>
      </c>
      <c r="AN414" s="225">
        <f>IF($AM414=1,SUM($AM$6:$AM414),"")</f>
      </c>
      <c r="AO414" s="225">
        <f>IF(OR($A414="",$V414="Đã xử lý",N($U414)=0),0,IF(TDBC&lt;=$U414,0,MAX(1,MIN(4,IF((TDBC-$U414)*24&lt;24,1,IF((TDBC-$U414)*24&lt;72,2,IF((TDBC-$U414)*24&lt;168,3,4)))+IFERROR(INDEX({2,1,0,-1},MATCH($J414,{"Khẩn cấp","Cao","Trung bình","Thấp"},0)),0)))))</f>
      </c>
    </row>
    <row r="415">
      <c r="A415" s="216"/>
      <c r="B415" s="217"/>
      <c r="C415" s="218"/>
      <c r="D415" s="218"/>
      <c r="E415" s="218"/>
      <c r="F415" s="218"/>
      <c r="G415" s="216"/>
      <c r="H415" s="218"/>
      <c r="I415" s="218"/>
      <c r="J415" s="216"/>
      <c r="K415" s="218"/>
      <c r="L415" s="218"/>
      <c r="M415" s="218"/>
      <c r="N415" s="218"/>
      <c r="O415" s="219"/>
      <c r="P415" s="216"/>
      <c r="Q415" s="217"/>
      <c r="R415" s="216"/>
      <c r="S415" s="218"/>
      <c r="T415" s="218"/>
      <c r="U415" s="220">
        <f>IF($A415="","",IF(N($Q415)&gt;0,IF(MOD($Q415,1)=0,$Q415+1-1/1440,$Q415),IF(N($B415)=0,"",$B415+IF(N($AH415)&gt;0,$AH415,IFERROR(INDEX(DM_SLA_Gio,MATCH($J415,DM_SLA_Cap,0)),168))/24)))</f>
      </c>
      <c r="V415" s="221">
        <f>IF($A415="","",IF(N($AJ415)=0,"Mới tiếp nhận",INDEX('Nhật ký tiến độ'!$E:$E,$AJ415)))</f>
      </c>
      <c r="W415" s="222">
        <f>IF($A415="","",IF($V415="Đã xử lý",1,IF(N($AJ415)=0,0,N(INDEX('Nhật ký tiến độ'!$D:$D,$AJ415)))))</f>
      </c>
      <c r="X415" s="222">
        <f>IF(OR($A415="",$V415="Đã xử lý",N($U415)=0,N($B415)=0),"",IF(TDBC&lt;=$B415,0,IF(TDBC&gt;=$U415,1,(TDBC-$B415)/($U415-$B415))))</f>
      </c>
      <c r="Y415" s="223">
        <f>IF($A415="","",IF($V415="Đã xử lý","Hoàn thành",IF(N($U415)=0,"Chưa đặt hạn",IF(TDBC&gt;$U415,"Quá hạn",IF(ROUND((N($X415)-$W415)*100,0)&gt;=20,"Chậm tiến độ",IF($U415-TDBC&lt;=1,"Sắp đến hạn","Đúng tiến độ"))))))</f>
      </c>
      <c r="Z415" s="223">
        <f>IF(OR($A415="",$V415="Đã xử lý",N($U415)=0),"",IF(TDBC&gt;$U415,"Quá "&amp;IF(((TDBC-$U415)*24)&lt;1,MAX(1,ROUND(((TDBC-$U415)*24)*60,0))&amp;" phút",IF(ROUND(((TDBC-$U415)*24),0)&lt;24,ROUND(((TDBC-$U415)*24),0)&amp;" giờ",INT(ROUND(((TDBC-$U415)*24),0)/24)&amp;" ngày"&amp;IF(MOD(ROUND(((TDBC-$U415)*24),0),24)&gt;0," "&amp;MOD(ROUND(((TDBC-$U415)*24),0),24)&amp;" giờ",""))),"Còn "&amp;IF((($U415-TDBC)*24)&lt;1,MAX(1,ROUND((($U415-TDBC)*24)*60,0))&amp;" phút",IF(ROUND((($U415-TDBC)*24),0)&lt;24,ROUND((($U415-TDBC)*24),0)&amp;" giờ",INT(ROUND((($U415-TDBC)*24),0)/24)&amp;" ngày"&amp;IF(MOD(ROUND((($U415-TDBC)*24),0),24)&gt;0," "&amp;MOD(ROUND((($U415-TDBC)*24),0),24)&amp;" giờ","")))))</f>
      </c>
      <c r="AA415" s="220">
        <f>IF($V415="Đã xử lý",_xlfn.MAXIFS('Nhật ký tiến độ'!$B$6:$B$3005,'Nhật ký tiến độ'!$C$6:$C$3005,$A415,'Nhật ký tiến độ'!$E$6:$E$3005,"Đã xử lý"),"")</f>
      </c>
      <c r="AB415" s="223">
        <f>IF($AI415="","",IF($AI415&lt;1,MAX(1,ROUND($AI415*60,0))&amp;" phút",IF(ROUND($AI415,0)&lt;24,ROUND($AI415,0)&amp;" giờ",INT(ROUND($AI415,0)/24)&amp;" ngày"&amp;IF(MOD(ROUND($AI415,0),24)&gt;0," "&amp;MOD(ROUND($AI415,0),24)&amp;" giờ",""))))</f>
      </c>
      <c r="AC415" s="223">
        <f>IF(OR($A415="",N($AH415)=0),"",IF($AI415&lt;&gt;"",IF($AI415&lt;=$AH415,"Trong ước tính","Vượt "&amp;IF(($AI415-$AH415)&lt;1,MAX(1,ROUND(($AI415-$AH415)*60,0))&amp;" phút",IF(ROUND(($AI415-$AH415),0)&lt;24,ROUND(($AI415-$AH415),0)&amp;" giờ",INT(ROUND(($AI415-$AH415),0)/24)&amp;" ngày"&amp;IF(MOD(ROUND(($AI415-$AH415),0),24)&gt;0," "&amp;MOD(ROUND(($AI415-$AH415),0),24)&amp;" giờ","")))),IF(OR($V415="Đã xử lý",N($B415)=0),"",IF((TDBC-$B415)*24&gt;$AH415,"Đã vượt ước tính","Đã dùng "&amp;TEXT((TDBC-$B415)*24/$AH415,"0%")))))</f>
      </c>
      <c r="AD415" s="223">
        <f>IF(N($AO415)=0,"",CHOOSE($AO415,"Nhắc nhở","Cảnh báo","Báo động","Báo động đỏ"))</f>
      </c>
      <c r="AE415" s="223">
        <f>IF(OR(N($AA415)=0,N($U415)=0),"",IF($AA415&lt;=$U415,"Đúng hạn","Trễ hạn"))</f>
      </c>
      <c r="AF415" s="220">
        <f>IF($A415="","",_xlfn.MAXIFS('Nhật ký tiến độ'!$B$6:$B$3005,'Nhật ký tiến độ'!$C$6:$C$3005,$A415))</f>
      </c>
      <c r="AG415" s="223">
        <f>IF($A415="","",IF(COUNTIF('Kế hoạch'!$M$6:$M$305,$A415)=0,"",COUNTIF('Kế hoạch'!$M$6:$M$305,$A415)&amp;" việc"))</f>
      </c>
      <c r="AH415" s="224">
        <f>IF(OR($A415="",N($O415)&lt;=0),"",IF($P415="Giờ",$O415,$O415*24))</f>
      </c>
      <c r="AI415" s="224">
        <f>IF(OR(N($AA415)=0,N($B415)=0),"",IF($AA415&lt;$B415,"",($AA415-$B415)*24))</f>
      </c>
      <c r="AJ415" s="225">
        <f>IF($A415="","",IF(COUNTIF('Nhật ký tiến độ'!$C$6:$C$3005,$A415)=0,0,_xlfn.MAXIFS('Nhật ký tiến độ'!$N$6:$N$3005,'Nhật ký tiến độ'!$C$6:$C$3005,$A415,'Nhật ký tiến độ'!$B$6:$B$3005,_xlfn.MAXIFS('Nhật ký tiến độ'!$B$6:$B$3005,'Nhật ký tiến độ'!$C$6:$C$3005,$A415))))</f>
      </c>
      <c r="AK415" s="225">
        <f>IF(OR($A415="",$V415="Đã xử lý"),"",IF(N($AO415)&gt;0,5-$AO415,IF($J415="Khẩn cấp",5,IF($Y415="Chậm tiến độ",6,IF(OR($Y415="Sắp đến hạn",$J415="Cao"),7,"")))))</f>
      </c>
      <c r="AL415" s="225">
        <f>IF($AK415="","",$AK415*100000+IF(N($U415)=0,99999,INT($U415))+ROW()/100000)</f>
      </c>
      <c r="AM415" s="225">
        <f>IF(OR($A415="",TRIM($K415)="",COUNTIF($K$6:$K415,$K415)&gt;1),0,1)</f>
      </c>
      <c r="AN415" s="225">
        <f>IF($AM415=1,SUM($AM$6:$AM415),"")</f>
      </c>
      <c r="AO415" s="225">
        <f>IF(OR($A415="",$V415="Đã xử lý",N($U415)=0),0,IF(TDBC&lt;=$U415,0,MAX(1,MIN(4,IF((TDBC-$U415)*24&lt;24,1,IF((TDBC-$U415)*24&lt;72,2,IF((TDBC-$U415)*24&lt;168,3,4)))+IFERROR(INDEX({2,1,0,-1},MATCH($J415,{"Khẩn cấp","Cao","Trung bình","Thấp"},0)),0)))))</f>
      </c>
    </row>
    <row r="416">
      <c r="A416" s="216"/>
      <c r="B416" s="217"/>
      <c r="C416" s="218"/>
      <c r="D416" s="218"/>
      <c r="E416" s="218"/>
      <c r="F416" s="218"/>
      <c r="G416" s="216"/>
      <c r="H416" s="218"/>
      <c r="I416" s="218"/>
      <c r="J416" s="216"/>
      <c r="K416" s="218"/>
      <c r="L416" s="218"/>
      <c r="M416" s="218"/>
      <c r="N416" s="218"/>
      <c r="O416" s="219"/>
      <c r="P416" s="216"/>
      <c r="Q416" s="217"/>
      <c r="R416" s="216"/>
      <c r="S416" s="218"/>
      <c r="T416" s="218"/>
      <c r="U416" s="220">
        <f>IF($A416="","",IF(N($Q416)&gt;0,IF(MOD($Q416,1)=0,$Q416+1-1/1440,$Q416),IF(N($B416)=0,"",$B416+IF(N($AH416)&gt;0,$AH416,IFERROR(INDEX(DM_SLA_Gio,MATCH($J416,DM_SLA_Cap,0)),168))/24)))</f>
      </c>
      <c r="V416" s="221">
        <f>IF($A416="","",IF(N($AJ416)=0,"Mới tiếp nhận",INDEX('Nhật ký tiến độ'!$E:$E,$AJ416)))</f>
      </c>
      <c r="W416" s="222">
        <f>IF($A416="","",IF($V416="Đã xử lý",1,IF(N($AJ416)=0,0,N(INDEX('Nhật ký tiến độ'!$D:$D,$AJ416)))))</f>
      </c>
      <c r="X416" s="222">
        <f>IF(OR($A416="",$V416="Đã xử lý",N($U416)=0,N($B416)=0),"",IF(TDBC&lt;=$B416,0,IF(TDBC&gt;=$U416,1,(TDBC-$B416)/($U416-$B416))))</f>
      </c>
      <c r="Y416" s="223">
        <f>IF($A416="","",IF($V416="Đã xử lý","Hoàn thành",IF(N($U416)=0,"Chưa đặt hạn",IF(TDBC&gt;$U416,"Quá hạn",IF(ROUND((N($X416)-$W416)*100,0)&gt;=20,"Chậm tiến độ",IF($U416-TDBC&lt;=1,"Sắp đến hạn","Đúng tiến độ"))))))</f>
      </c>
      <c r="Z416" s="223">
        <f>IF(OR($A416="",$V416="Đã xử lý",N($U416)=0),"",IF(TDBC&gt;$U416,"Quá "&amp;IF(((TDBC-$U416)*24)&lt;1,MAX(1,ROUND(((TDBC-$U416)*24)*60,0))&amp;" phút",IF(ROUND(((TDBC-$U416)*24),0)&lt;24,ROUND(((TDBC-$U416)*24),0)&amp;" giờ",INT(ROUND(((TDBC-$U416)*24),0)/24)&amp;" ngày"&amp;IF(MOD(ROUND(((TDBC-$U416)*24),0),24)&gt;0," "&amp;MOD(ROUND(((TDBC-$U416)*24),0),24)&amp;" giờ",""))),"Còn "&amp;IF((($U416-TDBC)*24)&lt;1,MAX(1,ROUND((($U416-TDBC)*24)*60,0))&amp;" phút",IF(ROUND((($U416-TDBC)*24),0)&lt;24,ROUND((($U416-TDBC)*24),0)&amp;" giờ",INT(ROUND((($U416-TDBC)*24),0)/24)&amp;" ngày"&amp;IF(MOD(ROUND((($U416-TDBC)*24),0),24)&gt;0," "&amp;MOD(ROUND((($U416-TDBC)*24),0),24)&amp;" giờ","")))))</f>
      </c>
      <c r="AA416" s="220">
        <f>IF($V416="Đã xử lý",_xlfn.MAXIFS('Nhật ký tiến độ'!$B$6:$B$3005,'Nhật ký tiến độ'!$C$6:$C$3005,$A416,'Nhật ký tiến độ'!$E$6:$E$3005,"Đã xử lý"),"")</f>
      </c>
      <c r="AB416" s="223">
        <f>IF($AI416="","",IF($AI416&lt;1,MAX(1,ROUND($AI416*60,0))&amp;" phút",IF(ROUND($AI416,0)&lt;24,ROUND($AI416,0)&amp;" giờ",INT(ROUND($AI416,0)/24)&amp;" ngày"&amp;IF(MOD(ROUND($AI416,0),24)&gt;0," "&amp;MOD(ROUND($AI416,0),24)&amp;" giờ",""))))</f>
      </c>
      <c r="AC416" s="223">
        <f>IF(OR($A416="",N($AH416)=0),"",IF($AI416&lt;&gt;"",IF($AI416&lt;=$AH416,"Trong ước tính","Vượt "&amp;IF(($AI416-$AH416)&lt;1,MAX(1,ROUND(($AI416-$AH416)*60,0))&amp;" phút",IF(ROUND(($AI416-$AH416),0)&lt;24,ROUND(($AI416-$AH416),0)&amp;" giờ",INT(ROUND(($AI416-$AH416),0)/24)&amp;" ngày"&amp;IF(MOD(ROUND(($AI416-$AH416),0),24)&gt;0," "&amp;MOD(ROUND(($AI416-$AH416),0),24)&amp;" giờ","")))),IF(OR($V416="Đã xử lý",N($B416)=0),"",IF((TDBC-$B416)*24&gt;$AH416,"Đã vượt ước tính","Đã dùng "&amp;TEXT((TDBC-$B416)*24/$AH416,"0%")))))</f>
      </c>
      <c r="AD416" s="223">
        <f>IF(N($AO416)=0,"",CHOOSE($AO416,"Nhắc nhở","Cảnh báo","Báo động","Báo động đỏ"))</f>
      </c>
      <c r="AE416" s="223">
        <f>IF(OR(N($AA416)=0,N($U416)=0),"",IF($AA416&lt;=$U416,"Đúng hạn","Trễ hạn"))</f>
      </c>
      <c r="AF416" s="220">
        <f>IF($A416="","",_xlfn.MAXIFS('Nhật ký tiến độ'!$B$6:$B$3005,'Nhật ký tiến độ'!$C$6:$C$3005,$A416))</f>
      </c>
      <c r="AG416" s="223">
        <f>IF($A416="","",IF(COUNTIF('Kế hoạch'!$M$6:$M$305,$A416)=0,"",COUNTIF('Kế hoạch'!$M$6:$M$305,$A416)&amp;" việc"))</f>
      </c>
      <c r="AH416" s="224">
        <f>IF(OR($A416="",N($O416)&lt;=0),"",IF($P416="Giờ",$O416,$O416*24))</f>
      </c>
      <c r="AI416" s="224">
        <f>IF(OR(N($AA416)=0,N($B416)=0),"",IF($AA416&lt;$B416,"",($AA416-$B416)*24))</f>
      </c>
      <c r="AJ416" s="225">
        <f>IF($A416="","",IF(COUNTIF('Nhật ký tiến độ'!$C$6:$C$3005,$A416)=0,0,_xlfn.MAXIFS('Nhật ký tiến độ'!$N$6:$N$3005,'Nhật ký tiến độ'!$C$6:$C$3005,$A416,'Nhật ký tiến độ'!$B$6:$B$3005,_xlfn.MAXIFS('Nhật ký tiến độ'!$B$6:$B$3005,'Nhật ký tiến độ'!$C$6:$C$3005,$A416))))</f>
      </c>
      <c r="AK416" s="225">
        <f>IF(OR($A416="",$V416="Đã xử lý"),"",IF(N($AO416)&gt;0,5-$AO416,IF($J416="Khẩn cấp",5,IF($Y416="Chậm tiến độ",6,IF(OR($Y416="Sắp đến hạn",$J416="Cao"),7,"")))))</f>
      </c>
      <c r="AL416" s="225">
        <f>IF($AK416="","",$AK416*100000+IF(N($U416)=0,99999,INT($U416))+ROW()/100000)</f>
      </c>
      <c r="AM416" s="225">
        <f>IF(OR($A416="",TRIM($K416)="",COUNTIF($K$6:$K416,$K416)&gt;1),0,1)</f>
      </c>
      <c r="AN416" s="225">
        <f>IF($AM416=1,SUM($AM$6:$AM416),"")</f>
      </c>
      <c r="AO416" s="225">
        <f>IF(OR($A416="",$V416="Đã xử lý",N($U416)=0),0,IF(TDBC&lt;=$U416,0,MAX(1,MIN(4,IF((TDBC-$U416)*24&lt;24,1,IF((TDBC-$U416)*24&lt;72,2,IF((TDBC-$U416)*24&lt;168,3,4)))+IFERROR(INDEX({2,1,0,-1},MATCH($J416,{"Khẩn cấp","Cao","Trung bình","Thấp"},0)),0)))))</f>
      </c>
    </row>
    <row r="417">
      <c r="A417" s="216"/>
      <c r="B417" s="217"/>
      <c r="C417" s="218"/>
      <c r="D417" s="218"/>
      <c r="E417" s="218"/>
      <c r="F417" s="218"/>
      <c r="G417" s="216"/>
      <c r="H417" s="218"/>
      <c r="I417" s="218"/>
      <c r="J417" s="216"/>
      <c r="K417" s="218"/>
      <c r="L417" s="218"/>
      <c r="M417" s="218"/>
      <c r="N417" s="218"/>
      <c r="O417" s="219"/>
      <c r="P417" s="216"/>
      <c r="Q417" s="217"/>
      <c r="R417" s="216"/>
      <c r="S417" s="218"/>
      <c r="T417" s="218"/>
      <c r="U417" s="220">
        <f>IF($A417="","",IF(N($Q417)&gt;0,IF(MOD($Q417,1)=0,$Q417+1-1/1440,$Q417),IF(N($B417)=0,"",$B417+IF(N($AH417)&gt;0,$AH417,IFERROR(INDEX(DM_SLA_Gio,MATCH($J417,DM_SLA_Cap,0)),168))/24)))</f>
      </c>
      <c r="V417" s="221">
        <f>IF($A417="","",IF(N($AJ417)=0,"Mới tiếp nhận",INDEX('Nhật ký tiến độ'!$E:$E,$AJ417)))</f>
      </c>
      <c r="W417" s="222">
        <f>IF($A417="","",IF($V417="Đã xử lý",1,IF(N($AJ417)=0,0,N(INDEX('Nhật ký tiến độ'!$D:$D,$AJ417)))))</f>
      </c>
      <c r="X417" s="222">
        <f>IF(OR($A417="",$V417="Đã xử lý",N($U417)=0,N($B417)=0),"",IF(TDBC&lt;=$B417,0,IF(TDBC&gt;=$U417,1,(TDBC-$B417)/($U417-$B417))))</f>
      </c>
      <c r="Y417" s="223">
        <f>IF($A417="","",IF($V417="Đã xử lý","Hoàn thành",IF(N($U417)=0,"Chưa đặt hạn",IF(TDBC&gt;$U417,"Quá hạn",IF(ROUND((N($X417)-$W417)*100,0)&gt;=20,"Chậm tiến độ",IF($U417-TDBC&lt;=1,"Sắp đến hạn","Đúng tiến độ"))))))</f>
      </c>
      <c r="Z417" s="223">
        <f>IF(OR($A417="",$V417="Đã xử lý",N($U417)=0),"",IF(TDBC&gt;$U417,"Quá "&amp;IF(((TDBC-$U417)*24)&lt;1,MAX(1,ROUND(((TDBC-$U417)*24)*60,0))&amp;" phút",IF(ROUND(((TDBC-$U417)*24),0)&lt;24,ROUND(((TDBC-$U417)*24),0)&amp;" giờ",INT(ROUND(((TDBC-$U417)*24),0)/24)&amp;" ngày"&amp;IF(MOD(ROUND(((TDBC-$U417)*24),0),24)&gt;0," "&amp;MOD(ROUND(((TDBC-$U417)*24),0),24)&amp;" giờ",""))),"Còn "&amp;IF((($U417-TDBC)*24)&lt;1,MAX(1,ROUND((($U417-TDBC)*24)*60,0))&amp;" phút",IF(ROUND((($U417-TDBC)*24),0)&lt;24,ROUND((($U417-TDBC)*24),0)&amp;" giờ",INT(ROUND((($U417-TDBC)*24),0)/24)&amp;" ngày"&amp;IF(MOD(ROUND((($U417-TDBC)*24),0),24)&gt;0," "&amp;MOD(ROUND((($U417-TDBC)*24),0),24)&amp;" giờ","")))))</f>
      </c>
      <c r="AA417" s="220">
        <f>IF($V417="Đã xử lý",_xlfn.MAXIFS('Nhật ký tiến độ'!$B$6:$B$3005,'Nhật ký tiến độ'!$C$6:$C$3005,$A417,'Nhật ký tiến độ'!$E$6:$E$3005,"Đã xử lý"),"")</f>
      </c>
      <c r="AB417" s="223">
        <f>IF($AI417="","",IF($AI417&lt;1,MAX(1,ROUND($AI417*60,0))&amp;" phút",IF(ROUND($AI417,0)&lt;24,ROUND($AI417,0)&amp;" giờ",INT(ROUND($AI417,0)/24)&amp;" ngày"&amp;IF(MOD(ROUND($AI417,0),24)&gt;0," "&amp;MOD(ROUND($AI417,0),24)&amp;" giờ",""))))</f>
      </c>
      <c r="AC417" s="223">
        <f>IF(OR($A417="",N($AH417)=0),"",IF($AI417&lt;&gt;"",IF($AI417&lt;=$AH417,"Trong ước tính","Vượt "&amp;IF(($AI417-$AH417)&lt;1,MAX(1,ROUND(($AI417-$AH417)*60,0))&amp;" phút",IF(ROUND(($AI417-$AH417),0)&lt;24,ROUND(($AI417-$AH417),0)&amp;" giờ",INT(ROUND(($AI417-$AH417),0)/24)&amp;" ngày"&amp;IF(MOD(ROUND(($AI417-$AH417),0),24)&gt;0," "&amp;MOD(ROUND(($AI417-$AH417),0),24)&amp;" giờ","")))),IF(OR($V417="Đã xử lý",N($B417)=0),"",IF((TDBC-$B417)*24&gt;$AH417,"Đã vượt ước tính","Đã dùng "&amp;TEXT((TDBC-$B417)*24/$AH417,"0%")))))</f>
      </c>
      <c r="AD417" s="223">
        <f>IF(N($AO417)=0,"",CHOOSE($AO417,"Nhắc nhở","Cảnh báo","Báo động","Báo động đỏ"))</f>
      </c>
      <c r="AE417" s="223">
        <f>IF(OR(N($AA417)=0,N($U417)=0),"",IF($AA417&lt;=$U417,"Đúng hạn","Trễ hạn"))</f>
      </c>
      <c r="AF417" s="220">
        <f>IF($A417="","",_xlfn.MAXIFS('Nhật ký tiến độ'!$B$6:$B$3005,'Nhật ký tiến độ'!$C$6:$C$3005,$A417))</f>
      </c>
      <c r="AG417" s="223">
        <f>IF($A417="","",IF(COUNTIF('Kế hoạch'!$M$6:$M$305,$A417)=0,"",COUNTIF('Kế hoạch'!$M$6:$M$305,$A417)&amp;" việc"))</f>
      </c>
      <c r="AH417" s="224">
        <f>IF(OR($A417="",N($O417)&lt;=0),"",IF($P417="Giờ",$O417,$O417*24))</f>
      </c>
      <c r="AI417" s="224">
        <f>IF(OR(N($AA417)=0,N($B417)=0),"",IF($AA417&lt;$B417,"",($AA417-$B417)*24))</f>
      </c>
      <c r="AJ417" s="225">
        <f>IF($A417="","",IF(COUNTIF('Nhật ký tiến độ'!$C$6:$C$3005,$A417)=0,0,_xlfn.MAXIFS('Nhật ký tiến độ'!$N$6:$N$3005,'Nhật ký tiến độ'!$C$6:$C$3005,$A417,'Nhật ký tiến độ'!$B$6:$B$3005,_xlfn.MAXIFS('Nhật ký tiến độ'!$B$6:$B$3005,'Nhật ký tiến độ'!$C$6:$C$3005,$A417))))</f>
      </c>
      <c r="AK417" s="225">
        <f>IF(OR($A417="",$V417="Đã xử lý"),"",IF(N($AO417)&gt;0,5-$AO417,IF($J417="Khẩn cấp",5,IF($Y417="Chậm tiến độ",6,IF(OR($Y417="Sắp đến hạn",$J417="Cao"),7,"")))))</f>
      </c>
      <c r="AL417" s="225">
        <f>IF($AK417="","",$AK417*100000+IF(N($U417)=0,99999,INT($U417))+ROW()/100000)</f>
      </c>
      <c r="AM417" s="225">
        <f>IF(OR($A417="",TRIM($K417)="",COUNTIF($K$6:$K417,$K417)&gt;1),0,1)</f>
      </c>
      <c r="AN417" s="225">
        <f>IF($AM417=1,SUM($AM$6:$AM417),"")</f>
      </c>
      <c r="AO417" s="225">
        <f>IF(OR($A417="",$V417="Đã xử lý",N($U417)=0),0,IF(TDBC&lt;=$U417,0,MAX(1,MIN(4,IF((TDBC-$U417)*24&lt;24,1,IF((TDBC-$U417)*24&lt;72,2,IF((TDBC-$U417)*24&lt;168,3,4)))+IFERROR(INDEX({2,1,0,-1},MATCH($J417,{"Khẩn cấp","Cao","Trung bình","Thấp"},0)),0)))))</f>
      </c>
    </row>
    <row r="418">
      <c r="A418" s="216"/>
      <c r="B418" s="217"/>
      <c r="C418" s="218"/>
      <c r="D418" s="218"/>
      <c r="E418" s="218"/>
      <c r="F418" s="218"/>
      <c r="G418" s="216"/>
      <c r="H418" s="218"/>
      <c r="I418" s="218"/>
      <c r="J418" s="216"/>
      <c r="K418" s="218"/>
      <c r="L418" s="218"/>
      <c r="M418" s="218"/>
      <c r="N418" s="218"/>
      <c r="O418" s="219"/>
      <c r="P418" s="216"/>
      <c r="Q418" s="217"/>
      <c r="R418" s="216"/>
      <c r="S418" s="218"/>
      <c r="T418" s="218"/>
      <c r="U418" s="220">
        <f>IF($A418="","",IF(N($Q418)&gt;0,IF(MOD($Q418,1)=0,$Q418+1-1/1440,$Q418),IF(N($B418)=0,"",$B418+IF(N($AH418)&gt;0,$AH418,IFERROR(INDEX(DM_SLA_Gio,MATCH($J418,DM_SLA_Cap,0)),168))/24)))</f>
      </c>
      <c r="V418" s="221">
        <f>IF($A418="","",IF(N($AJ418)=0,"Mới tiếp nhận",INDEX('Nhật ký tiến độ'!$E:$E,$AJ418)))</f>
      </c>
      <c r="W418" s="222">
        <f>IF($A418="","",IF($V418="Đã xử lý",1,IF(N($AJ418)=0,0,N(INDEX('Nhật ký tiến độ'!$D:$D,$AJ418)))))</f>
      </c>
      <c r="X418" s="222">
        <f>IF(OR($A418="",$V418="Đã xử lý",N($U418)=0,N($B418)=0),"",IF(TDBC&lt;=$B418,0,IF(TDBC&gt;=$U418,1,(TDBC-$B418)/($U418-$B418))))</f>
      </c>
      <c r="Y418" s="223">
        <f>IF($A418="","",IF($V418="Đã xử lý","Hoàn thành",IF(N($U418)=0,"Chưa đặt hạn",IF(TDBC&gt;$U418,"Quá hạn",IF(ROUND((N($X418)-$W418)*100,0)&gt;=20,"Chậm tiến độ",IF($U418-TDBC&lt;=1,"Sắp đến hạn","Đúng tiến độ"))))))</f>
      </c>
      <c r="Z418" s="223">
        <f>IF(OR($A418="",$V418="Đã xử lý",N($U418)=0),"",IF(TDBC&gt;$U418,"Quá "&amp;IF(((TDBC-$U418)*24)&lt;1,MAX(1,ROUND(((TDBC-$U418)*24)*60,0))&amp;" phút",IF(ROUND(((TDBC-$U418)*24),0)&lt;24,ROUND(((TDBC-$U418)*24),0)&amp;" giờ",INT(ROUND(((TDBC-$U418)*24),0)/24)&amp;" ngày"&amp;IF(MOD(ROUND(((TDBC-$U418)*24),0),24)&gt;0," "&amp;MOD(ROUND(((TDBC-$U418)*24),0),24)&amp;" giờ",""))),"Còn "&amp;IF((($U418-TDBC)*24)&lt;1,MAX(1,ROUND((($U418-TDBC)*24)*60,0))&amp;" phút",IF(ROUND((($U418-TDBC)*24),0)&lt;24,ROUND((($U418-TDBC)*24),0)&amp;" giờ",INT(ROUND((($U418-TDBC)*24),0)/24)&amp;" ngày"&amp;IF(MOD(ROUND((($U418-TDBC)*24),0),24)&gt;0," "&amp;MOD(ROUND((($U418-TDBC)*24),0),24)&amp;" giờ","")))))</f>
      </c>
      <c r="AA418" s="220">
        <f>IF($V418="Đã xử lý",_xlfn.MAXIFS('Nhật ký tiến độ'!$B$6:$B$3005,'Nhật ký tiến độ'!$C$6:$C$3005,$A418,'Nhật ký tiến độ'!$E$6:$E$3005,"Đã xử lý"),"")</f>
      </c>
      <c r="AB418" s="223">
        <f>IF($AI418="","",IF($AI418&lt;1,MAX(1,ROUND($AI418*60,0))&amp;" phút",IF(ROUND($AI418,0)&lt;24,ROUND($AI418,0)&amp;" giờ",INT(ROUND($AI418,0)/24)&amp;" ngày"&amp;IF(MOD(ROUND($AI418,0),24)&gt;0," "&amp;MOD(ROUND($AI418,0),24)&amp;" giờ",""))))</f>
      </c>
      <c r="AC418" s="223">
        <f>IF(OR($A418="",N($AH418)=0),"",IF($AI418&lt;&gt;"",IF($AI418&lt;=$AH418,"Trong ước tính","Vượt "&amp;IF(($AI418-$AH418)&lt;1,MAX(1,ROUND(($AI418-$AH418)*60,0))&amp;" phút",IF(ROUND(($AI418-$AH418),0)&lt;24,ROUND(($AI418-$AH418),0)&amp;" giờ",INT(ROUND(($AI418-$AH418),0)/24)&amp;" ngày"&amp;IF(MOD(ROUND(($AI418-$AH418),0),24)&gt;0," "&amp;MOD(ROUND(($AI418-$AH418),0),24)&amp;" giờ","")))),IF(OR($V418="Đã xử lý",N($B418)=0),"",IF((TDBC-$B418)*24&gt;$AH418,"Đã vượt ước tính","Đã dùng "&amp;TEXT((TDBC-$B418)*24/$AH418,"0%")))))</f>
      </c>
      <c r="AD418" s="223">
        <f>IF(N($AO418)=0,"",CHOOSE($AO418,"Nhắc nhở","Cảnh báo","Báo động","Báo động đỏ"))</f>
      </c>
      <c r="AE418" s="223">
        <f>IF(OR(N($AA418)=0,N($U418)=0),"",IF($AA418&lt;=$U418,"Đúng hạn","Trễ hạn"))</f>
      </c>
      <c r="AF418" s="220">
        <f>IF($A418="","",_xlfn.MAXIFS('Nhật ký tiến độ'!$B$6:$B$3005,'Nhật ký tiến độ'!$C$6:$C$3005,$A418))</f>
      </c>
      <c r="AG418" s="223">
        <f>IF($A418="","",IF(COUNTIF('Kế hoạch'!$M$6:$M$305,$A418)=0,"",COUNTIF('Kế hoạch'!$M$6:$M$305,$A418)&amp;" việc"))</f>
      </c>
      <c r="AH418" s="224">
        <f>IF(OR($A418="",N($O418)&lt;=0),"",IF($P418="Giờ",$O418,$O418*24))</f>
      </c>
      <c r="AI418" s="224">
        <f>IF(OR(N($AA418)=0,N($B418)=0),"",IF($AA418&lt;$B418,"",($AA418-$B418)*24))</f>
      </c>
      <c r="AJ418" s="225">
        <f>IF($A418="","",IF(COUNTIF('Nhật ký tiến độ'!$C$6:$C$3005,$A418)=0,0,_xlfn.MAXIFS('Nhật ký tiến độ'!$N$6:$N$3005,'Nhật ký tiến độ'!$C$6:$C$3005,$A418,'Nhật ký tiến độ'!$B$6:$B$3005,_xlfn.MAXIFS('Nhật ký tiến độ'!$B$6:$B$3005,'Nhật ký tiến độ'!$C$6:$C$3005,$A418))))</f>
      </c>
      <c r="AK418" s="225">
        <f>IF(OR($A418="",$V418="Đã xử lý"),"",IF(N($AO418)&gt;0,5-$AO418,IF($J418="Khẩn cấp",5,IF($Y418="Chậm tiến độ",6,IF(OR($Y418="Sắp đến hạn",$J418="Cao"),7,"")))))</f>
      </c>
      <c r="AL418" s="225">
        <f>IF($AK418="","",$AK418*100000+IF(N($U418)=0,99999,INT($U418))+ROW()/100000)</f>
      </c>
      <c r="AM418" s="225">
        <f>IF(OR($A418="",TRIM($K418)="",COUNTIF($K$6:$K418,$K418)&gt;1),0,1)</f>
      </c>
      <c r="AN418" s="225">
        <f>IF($AM418=1,SUM($AM$6:$AM418),"")</f>
      </c>
      <c r="AO418" s="225">
        <f>IF(OR($A418="",$V418="Đã xử lý",N($U418)=0),0,IF(TDBC&lt;=$U418,0,MAX(1,MIN(4,IF((TDBC-$U418)*24&lt;24,1,IF((TDBC-$U418)*24&lt;72,2,IF((TDBC-$U418)*24&lt;168,3,4)))+IFERROR(INDEX({2,1,0,-1},MATCH($J418,{"Khẩn cấp","Cao","Trung bình","Thấp"},0)),0)))))</f>
      </c>
    </row>
    <row r="419">
      <c r="A419" s="216"/>
      <c r="B419" s="217"/>
      <c r="C419" s="218"/>
      <c r="D419" s="218"/>
      <c r="E419" s="218"/>
      <c r="F419" s="218"/>
      <c r="G419" s="216"/>
      <c r="H419" s="218"/>
      <c r="I419" s="218"/>
      <c r="J419" s="216"/>
      <c r="K419" s="218"/>
      <c r="L419" s="218"/>
      <c r="M419" s="218"/>
      <c r="N419" s="218"/>
      <c r="O419" s="219"/>
      <c r="P419" s="216"/>
      <c r="Q419" s="217"/>
      <c r="R419" s="216"/>
      <c r="S419" s="218"/>
      <c r="T419" s="218"/>
      <c r="U419" s="220">
        <f>IF($A419="","",IF(N($Q419)&gt;0,IF(MOD($Q419,1)=0,$Q419+1-1/1440,$Q419),IF(N($B419)=0,"",$B419+IF(N($AH419)&gt;0,$AH419,IFERROR(INDEX(DM_SLA_Gio,MATCH($J419,DM_SLA_Cap,0)),168))/24)))</f>
      </c>
      <c r="V419" s="221">
        <f>IF($A419="","",IF(N($AJ419)=0,"Mới tiếp nhận",INDEX('Nhật ký tiến độ'!$E:$E,$AJ419)))</f>
      </c>
      <c r="W419" s="222">
        <f>IF($A419="","",IF($V419="Đã xử lý",1,IF(N($AJ419)=0,0,N(INDEX('Nhật ký tiến độ'!$D:$D,$AJ419)))))</f>
      </c>
      <c r="X419" s="222">
        <f>IF(OR($A419="",$V419="Đã xử lý",N($U419)=0,N($B419)=0),"",IF(TDBC&lt;=$B419,0,IF(TDBC&gt;=$U419,1,(TDBC-$B419)/($U419-$B419))))</f>
      </c>
      <c r="Y419" s="223">
        <f>IF($A419="","",IF($V419="Đã xử lý","Hoàn thành",IF(N($U419)=0,"Chưa đặt hạn",IF(TDBC&gt;$U419,"Quá hạn",IF(ROUND((N($X419)-$W419)*100,0)&gt;=20,"Chậm tiến độ",IF($U419-TDBC&lt;=1,"Sắp đến hạn","Đúng tiến độ"))))))</f>
      </c>
      <c r="Z419" s="223">
        <f>IF(OR($A419="",$V419="Đã xử lý",N($U419)=0),"",IF(TDBC&gt;$U419,"Quá "&amp;IF(((TDBC-$U419)*24)&lt;1,MAX(1,ROUND(((TDBC-$U419)*24)*60,0))&amp;" phút",IF(ROUND(((TDBC-$U419)*24),0)&lt;24,ROUND(((TDBC-$U419)*24),0)&amp;" giờ",INT(ROUND(((TDBC-$U419)*24),0)/24)&amp;" ngày"&amp;IF(MOD(ROUND(((TDBC-$U419)*24),0),24)&gt;0," "&amp;MOD(ROUND(((TDBC-$U419)*24),0),24)&amp;" giờ",""))),"Còn "&amp;IF((($U419-TDBC)*24)&lt;1,MAX(1,ROUND((($U419-TDBC)*24)*60,0))&amp;" phút",IF(ROUND((($U419-TDBC)*24),0)&lt;24,ROUND((($U419-TDBC)*24),0)&amp;" giờ",INT(ROUND((($U419-TDBC)*24),0)/24)&amp;" ngày"&amp;IF(MOD(ROUND((($U419-TDBC)*24),0),24)&gt;0," "&amp;MOD(ROUND((($U419-TDBC)*24),0),24)&amp;" giờ","")))))</f>
      </c>
      <c r="AA419" s="220">
        <f>IF($V419="Đã xử lý",_xlfn.MAXIFS('Nhật ký tiến độ'!$B$6:$B$3005,'Nhật ký tiến độ'!$C$6:$C$3005,$A419,'Nhật ký tiến độ'!$E$6:$E$3005,"Đã xử lý"),"")</f>
      </c>
      <c r="AB419" s="223">
        <f>IF($AI419="","",IF($AI419&lt;1,MAX(1,ROUND($AI419*60,0))&amp;" phút",IF(ROUND($AI419,0)&lt;24,ROUND($AI419,0)&amp;" giờ",INT(ROUND($AI419,0)/24)&amp;" ngày"&amp;IF(MOD(ROUND($AI419,0),24)&gt;0," "&amp;MOD(ROUND($AI419,0),24)&amp;" giờ",""))))</f>
      </c>
      <c r="AC419" s="223">
        <f>IF(OR($A419="",N($AH419)=0),"",IF($AI419&lt;&gt;"",IF($AI419&lt;=$AH419,"Trong ước tính","Vượt "&amp;IF(($AI419-$AH419)&lt;1,MAX(1,ROUND(($AI419-$AH419)*60,0))&amp;" phút",IF(ROUND(($AI419-$AH419),0)&lt;24,ROUND(($AI419-$AH419),0)&amp;" giờ",INT(ROUND(($AI419-$AH419),0)/24)&amp;" ngày"&amp;IF(MOD(ROUND(($AI419-$AH419),0),24)&gt;0," "&amp;MOD(ROUND(($AI419-$AH419),0),24)&amp;" giờ","")))),IF(OR($V419="Đã xử lý",N($B419)=0),"",IF((TDBC-$B419)*24&gt;$AH419,"Đã vượt ước tính","Đã dùng "&amp;TEXT((TDBC-$B419)*24/$AH419,"0%")))))</f>
      </c>
      <c r="AD419" s="223">
        <f>IF(N($AO419)=0,"",CHOOSE($AO419,"Nhắc nhở","Cảnh báo","Báo động","Báo động đỏ"))</f>
      </c>
      <c r="AE419" s="223">
        <f>IF(OR(N($AA419)=0,N($U419)=0),"",IF($AA419&lt;=$U419,"Đúng hạn","Trễ hạn"))</f>
      </c>
      <c r="AF419" s="220">
        <f>IF($A419="","",_xlfn.MAXIFS('Nhật ký tiến độ'!$B$6:$B$3005,'Nhật ký tiến độ'!$C$6:$C$3005,$A419))</f>
      </c>
      <c r="AG419" s="223">
        <f>IF($A419="","",IF(COUNTIF('Kế hoạch'!$M$6:$M$305,$A419)=0,"",COUNTIF('Kế hoạch'!$M$6:$M$305,$A419)&amp;" việc"))</f>
      </c>
      <c r="AH419" s="224">
        <f>IF(OR($A419="",N($O419)&lt;=0),"",IF($P419="Giờ",$O419,$O419*24))</f>
      </c>
      <c r="AI419" s="224">
        <f>IF(OR(N($AA419)=0,N($B419)=0),"",IF($AA419&lt;$B419,"",($AA419-$B419)*24))</f>
      </c>
      <c r="AJ419" s="225">
        <f>IF($A419="","",IF(COUNTIF('Nhật ký tiến độ'!$C$6:$C$3005,$A419)=0,0,_xlfn.MAXIFS('Nhật ký tiến độ'!$N$6:$N$3005,'Nhật ký tiến độ'!$C$6:$C$3005,$A419,'Nhật ký tiến độ'!$B$6:$B$3005,_xlfn.MAXIFS('Nhật ký tiến độ'!$B$6:$B$3005,'Nhật ký tiến độ'!$C$6:$C$3005,$A419))))</f>
      </c>
      <c r="AK419" s="225">
        <f>IF(OR($A419="",$V419="Đã xử lý"),"",IF(N($AO419)&gt;0,5-$AO419,IF($J419="Khẩn cấp",5,IF($Y419="Chậm tiến độ",6,IF(OR($Y419="Sắp đến hạn",$J419="Cao"),7,"")))))</f>
      </c>
      <c r="AL419" s="225">
        <f>IF($AK419="","",$AK419*100000+IF(N($U419)=0,99999,INT($U419))+ROW()/100000)</f>
      </c>
      <c r="AM419" s="225">
        <f>IF(OR($A419="",TRIM($K419)="",COUNTIF($K$6:$K419,$K419)&gt;1),0,1)</f>
      </c>
      <c r="AN419" s="225">
        <f>IF($AM419=1,SUM($AM$6:$AM419),"")</f>
      </c>
      <c r="AO419" s="225">
        <f>IF(OR($A419="",$V419="Đã xử lý",N($U419)=0),0,IF(TDBC&lt;=$U419,0,MAX(1,MIN(4,IF((TDBC-$U419)*24&lt;24,1,IF((TDBC-$U419)*24&lt;72,2,IF((TDBC-$U419)*24&lt;168,3,4)))+IFERROR(INDEX({2,1,0,-1},MATCH($J419,{"Khẩn cấp","Cao","Trung bình","Thấp"},0)),0)))))</f>
      </c>
    </row>
    <row r="420">
      <c r="A420" s="216"/>
      <c r="B420" s="217"/>
      <c r="C420" s="218"/>
      <c r="D420" s="218"/>
      <c r="E420" s="218"/>
      <c r="F420" s="218"/>
      <c r="G420" s="216"/>
      <c r="H420" s="218"/>
      <c r="I420" s="218"/>
      <c r="J420" s="216"/>
      <c r="K420" s="218"/>
      <c r="L420" s="218"/>
      <c r="M420" s="218"/>
      <c r="N420" s="218"/>
      <c r="O420" s="219"/>
      <c r="P420" s="216"/>
      <c r="Q420" s="217"/>
      <c r="R420" s="216"/>
      <c r="S420" s="218"/>
      <c r="T420" s="218"/>
      <c r="U420" s="220">
        <f>IF($A420="","",IF(N($Q420)&gt;0,IF(MOD($Q420,1)=0,$Q420+1-1/1440,$Q420),IF(N($B420)=0,"",$B420+IF(N($AH420)&gt;0,$AH420,IFERROR(INDEX(DM_SLA_Gio,MATCH($J420,DM_SLA_Cap,0)),168))/24)))</f>
      </c>
      <c r="V420" s="221">
        <f>IF($A420="","",IF(N($AJ420)=0,"Mới tiếp nhận",INDEX('Nhật ký tiến độ'!$E:$E,$AJ420)))</f>
      </c>
      <c r="W420" s="222">
        <f>IF($A420="","",IF($V420="Đã xử lý",1,IF(N($AJ420)=0,0,N(INDEX('Nhật ký tiến độ'!$D:$D,$AJ420)))))</f>
      </c>
      <c r="X420" s="222">
        <f>IF(OR($A420="",$V420="Đã xử lý",N($U420)=0,N($B420)=0),"",IF(TDBC&lt;=$B420,0,IF(TDBC&gt;=$U420,1,(TDBC-$B420)/($U420-$B420))))</f>
      </c>
      <c r="Y420" s="223">
        <f>IF($A420="","",IF($V420="Đã xử lý","Hoàn thành",IF(N($U420)=0,"Chưa đặt hạn",IF(TDBC&gt;$U420,"Quá hạn",IF(ROUND((N($X420)-$W420)*100,0)&gt;=20,"Chậm tiến độ",IF($U420-TDBC&lt;=1,"Sắp đến hạn","Đúng tiến độ"))))))</f>
      </c>
      <c r="Z420" s="223">
        <f>IF(OR($A420="",$V420="Đã xử lý",N($U420)=0),"",IF(TDBC&gt;$U420,"Quá "&amp;IF(((TDBC-$U420)*24)&lt;1,MAX(1,ROUND(((TDBC-$U420)*24)*60,0))&amp;" phút",IF(ROUND(((TDBC-$U420)*24),0)&lt;24,ROUND(((TDBC-$U420)*24),0)&amp;" giờ",INT(ROUND(((TDBC-$U420)*24),0)/24)&amp;" ngày"&amp;IF(MOD(ROUND(((TDBC-$U420)*24),0),24)&gt;0," "&amp;MOD(ROUND(((TDBC-$U420)*24),0),24)&amp;" giờ",""))),"Còn "&amp;IF((($U420-TDBC)*24)&lt;1,MAX(1,ROUND((($U420-TDBC)*24)*60,0))&amp;" phút",IF(ROUND((($U420-TDBC)*24),0)&lt;24,ROUND((($U420-TDBC)*24),0)&amp;" giờ",INT(ROUND((($U420-TDBC)*24),0)/24)&amp;" ngày"&amp;IF(MOD(ROUND((($U420-TDBC)*24),0),24)&gt;0," "&amp;MOD(ROUND((($U420-TDBC)*24),0),24)&amp;" giờ","")))))</f>
      </c>
      <c r="AA420" s="220">
        <f>IF($V420="Đã xử lý",_xlfn.MAXIFS('Nhật ký tiến độ'!$B$6:$B$3005,'Nhật ký tiến độ'!$C$6:$C$3005,$A420,'Nhật ký tiến độ'!$E$6:$E$3005,"Đã xử lý"),"")</f>
      </c>
      <c r="AB420" s="223">
        <f>IF($AI420="","",IF($AI420&lt;1,MAX(1,ROUND($AI420*60,0))&amp;" phút",IF(ROUND($AI420,0)&lt;24,ROUND($AI420,0)&amp;" giờ",INT(ROUND($AI420,0)/24)&amp;" ngày"&amp;IF(MOD(ROUND($AI420,0),24)&gt;0," "&amp;MOD(ROUND($AI420,0),24)&amp;" giờ",""))))</f>
      </c>
      <c r="AC420" s="223">
        <f>IF(OR($A420="",N($AH420)=0),"",IF($AI420&lt;&gt;"",IF($AI420&lt;=$AH420,"Trong ước tính","Vượt "&amp;IF(($AI420-$AH420)&lt;1,MAX(1,ROUND(($AI420-$AH420)*60,0))&amp;" phút",IF(ROUND(($AI420-$AH420),0)&lt;24,ROUND(($AI420-$AH420),0)&amp;" giờ",INT(ROUND(($AI420-$AH420),0)/24)&amp;" ngày"&amp;IF(MOD(ROUND(($AI420-$AH420),0),24)&gt;0," "&amp;MOD(ROUND(($AI420-$AH420),0),24)&amp;" giờ","")))),IF(OR($V420="Đã xử lý",N($B420)=0),"",IF((TDBC-$B420)*24&gt;$AH420,"Đã vượt ước tính","Đã dùng "&amp;TEXT((TDBC-$B420)*24/$AH420,"0%")))))</f>
      </c>
      <c r="AD420" s="223">
        <f>IF(N($AO420)=0,"",CHOOSE($AO420,"Nhắc nhở","Cảnh báo","Báo động","Báo động đỏ"))</f>
      </c>
      <c r="AE420" s="223">
        <f>IF(OR(N($AA420)=0,N($U420)=0),"",IF($AA420&lt;=$U420,"Đúng hạn","Trễ hạn"))</f>
      </c>
      <c r="AF420" s="220">
        <f>IF($A420="","",_xlfn.MAXIFS('Nhật ký tiến độ'!$B$6:$B$3005,'Nhật ký tiến độ'!$C$6:$C$3005,$A420))</f>
      </c>
      <c r="AG420" s="223">
        <f>IF($A420="","",IF(COUNTIF('Kế hoạch'!$M$6:$M$305,$A420)=0,"",COUNTIF('Kế hoạch'!$M$6:$M$305,$A420)&amp;" việc"))</f>
      </c>
      <c r="AH420" s="224">
        <f>IF(OR($A420="",N($O420)&lt;=0),"",IF($P420="Giờ",$O420,$O420*24))</f>
      </c>
      <c r="AI420" s="224">
        <f>IF(OR(N($AA420)=0,N($B420)=0),"",IF($AA420&lt;$B420,"",($AA420-$B420)*24))</f>
      </c>
      <c r="AJ420" s="225">
        <f>IF($A420="","",IF(COUNTIF('Nhật ký tiến độ'!$C$6:$C$3005,$A420)=0,0,_xlfn.MAXIFS('Nhật ký tiến độ'!$N$6:$N$3005,'Nhật ký tiến độ'!$C$6:$C$3005,$A420,'Nhật ký tiến độ'!$B$6:$B$3005,_xlfn.MAXIFS('Nhật ký tiến độ'!$B$6:$B$3005,'Nhật ký tiến độ'!$C$6:$C$3005,$A420))))</f>
      </c>
      <c r="AK420" s="225">
        <f>IF(OR($A420="",$V420="Đã xử lý"),"",IF(N($AO420)&gt;0,5-$AO420,IF($J420="Khẩn cấp",5,IF($Y420="Chậm tiến độ",6,IF(OR($Y420="Sắp đến hạn",$J420="Cao"),7,"")))))</f>
      </c>
      <c r="AL420" s="225">
        <f>IF($AK420="","",$AK420*100000+IF(N($U420)=0,99999,INT($U420))+ROW()/100000)</f>
      </c>
      <c r="AM420" s="225">
        <f>IF(OR($A420="",TRIM($K420)="",COUNTIF($K$6:$K420,$K420)&gt;1),0,1)</f>
      </c>
      <c r="AN420" s="225">
        <f>IF($AM420=1,SUM($AM$6:$AM420),"")</f>
      </c>
      <c r="AO420" s="225">
        <f>IF(OR($A420="",$V420="Đã xử lý",N($U420)=0),0,IF(TDBC&lt;=$U420,0,MAX(1,MIN(4,IF((TDBC-$U420)*24&lt;24,1,IF((TDBC-$U420)*24&lt;72,2,IF((TDBC-$U420)*24&lt;168,3,4)))+IFERROR(INDEX({2,1,0,-1},MATCH($J420,{"Khẩn cấp","Cao","Trung bình","Thấp"},0)),0)))))</f>
      </c>
    </row>
    <row r="421">
      <c r="A421" s="216"/>
      <c r="B421" s="217"/>
      <c r="C421" s="218"/>
      <c r="D421" s="218"/>
      <c r="E421" s="218"/>
      <c r="F421" s="218"/>
      <c r="G421" s="216"/>
      <c r="H421" s="218"/>
      <c r="I421" s="218"/>
      <c r="J421" s="216"/>
      <c r="K421" s="218"/>
      <c r="L421" s="218"/>
      <c r="M421" s="218"/>
      <c r="N421" s="218"/>
      <c r="O421" s="219"/>
      <c r="P421" s="216"/>
      <c r="Q421" s="217"/>
      <c r="R421" s="216"/>
      <c r="S421" s="218"/>
      <c r="T421" s="218"/>
      <c r="U421" s="220">
        <f>IF($A421="","",IF(N($Q421)&gt;0,IF(MOD($Q421,1)=0,$Q421+1-1/1440,$Q421),IF(N($B421)=0,"",$B421+IF(N($AH421)&gt;0,$AH421,IFERROR(INDEX(DM_SLA_Gio,MATCH($J421,DM_SLA_Cap,0)),168))/24)))</f>
      </c>
      <c r="V421" s="221">
        <f>IF($A421="","",IF(N($AJ421)=0,"Mới tiếp nhận",INDEX('Nhật ký tiến độ'!$E:$E,$AJ421)))</f>
      </c>
      <c r="W421" s="222">
        <f>IF($A421="","",IF($V421="Đã xử lý",1,IF(N($AJ421)=0,0,N(INDEX('Nhật ký tiến độ'!$D:$D,$AJ421)))))</f>
      </c>
      <c r="X421" s="222">
        <f>IF(OR($A421="",$V421="Đã xử lý",N($U421)=0,N($B421)=0),"",IF(TDBC&lt;=$B421,0,IF(TDBC&gt;=$U421,1,(TDBC-$B421)/($U421-$B421))))</f>
      </c>
      <c r="Y421" s="223">
        <f>IF($A421="","",IF($V421="Đã xử lý","Hoàn thành",IF(N($U421)=0,"Chưa đặt hạn",IF(TDBC&gt;$U421,"Quá hạn",IF(ROUND((N($X421)-$W421)*100,0)&gt;=20,"Chậm tiến độ",IF($U421-TDBC&lt;=1,"Sắp đến hạn","Đúng tiến độ"))))))</f>
      </c>
      <c r="Z421" s="223">
        <f>IF(OR($A421="",$V421="Đã xử lý",N($U421)=0),"",IF(TDBC&gt;$U421,"Quá "&amp;IF(((TDBC-$U421)*24)&lt;1,MAX(1,ROUND(((TDBC-$U421)*24)*60,0))&amp;" phút",IF(ROUND(((TDBC-$U421)*24),0)&lt;24,ROUND(((TDBC-$U421)*24),0)&amp;" giờ",INT(ROUND(((TDBC-$U421)*24),0)/24)&amp;" ngày"&amp;IF(MOD(ROUND(((TDBC-$U421)*24),0),24)&gt;0," "&amp;MOD(ROUND(((TDBC-$U421)*24),0),24)&amp;" giờ",""))),"Còn "&amp;IF((($U421-TDBC)*24)&lt;1,MAX(1,ROUND((($U421-TDBC)*24)*60,0))&amp;" phút",IF(ROUND((($U421-TDBC)*24),0)&lt;24,ROUND((($U421-TDBC)*24),0)&amp;" giờ",INT(ROUND((($U421-TDBC)*24),0)/24)&amp;" ngày"&amp;IF(MOD(ROUND((($U421-TDBC)*24),0),24)&gt;0," "&amp;MOD(ROUND((($U421-TDBC)*24),0),24)&amp;" giờ","")))))</f>
      </c>
      <c r="AA421" s="220">
        <f>IF($V421="Đã xử lý",_xlfn.MAXIFS('Nhật ký tiến độ'!$B$6:$B$3005,'Nhật ký tiến độ'!$C$6:$C$3005,$A421,'Nhật ký tiến độ'!$E$6:$E$3005,"Đã xử lý"),"")</f>
      </c>
      <c r="AB421" s="223">
        <f>IF($AI421="","",IF($AI421&lt;1,MAX(1,ROUND($AI421*60,0))&amp;" phút",IF(ROUND($AI421,0)&lt;24,ROUND($AI421,0)&amp;" giờ",INT(ROUND($AI421,0)/24)&amp;" ngày"&amp;IF(MOD(ROUND($AI421,0),24)&gt;0," "&amp;MOD(ROUND($AI421,0),24)&amp;" giờ",""))))</f>
      </c>
      <c r="AC421" s="223">
        <f>IF(OR($A421="",N($AH421)=0),"",IF($AI421&lt;&gt;"",IF($AI421&lt;=$AH421,"Trong ước tính","Vượt "&amp;IF(($AI421-$AH421)&lt;1,MAX(1,ROUND(($AI421-$AH421)*60,0))&amp;" phút",IF(ROUND(($AI421-$AH421),0)&lt;24,ROUND(($AI421-$AH421),0)&amp;" giờ",INT(ROUND(($AI421-$AH421),0)/24)&amp;" ngày"&amp;IF(MOD(ROUND(($AI421-$AH421),0),24)&gt;0," "&amp;MOD(ROUND(($AI421-$AH421),0),24)&amp;" giờ","")))),IF(OR($V421="Đã xử lý",N($B421)=0),"",IF((TDBC-$B421)*24&gt;$AH421,"Đã vượt ước tính","Đã dùng "&amp;TEXT((TDBC-$B421)*24/$AH421,"0%")))))</f>
      </c>
      <c r="AD421" s="223">
        <f>IF(N($AO421)=0,"",CHOOSE($AO421,"Nhắc nhở","Cảnh báo","Báo động","Báo động đỏ"))</f>
      </c>
      <c r="AE421" s="223">
        <f>IF(OR(N($AA421)=0,N($U421)=0),"",IF($AA421&lt;=$U421,"Đúng hạn","Trễ hạn"))</f>
      </c>
      <c r="AF421" s="220">
        <f>IF($A421="","",_xlfn.MAXIFS('Nhật ký tiến độ'!$B$6:$B$3005,'Nhật ký tiến độ'!$C$6:$C$3005,$A421))</f>
      </c>
      <c r="AG421" s="223">
        <f>IF($A421="","",IF(COUNTIF('Kế hoạch'!$M$6:$M$305,$A421)=0,"",COUNTIF('Kế hoạch'!$M$6:$M$305,$A421)&amp;" việc"))</f>
      </c>
      <c r="AH421" s="224">
        <f>IF(OR($A421="",N($O421)&lt;=0),"",IF($P421="Giờ",$O421,$O421*24))</f>
      </c>
      <c r="AI421" s="224">
        <f>IF(OR(N($AA421)=0,N($B421)=0),"",IF($AA421&lt;$B421,"",($AA421-$B421)*24))</f>
      </c>
      <c r="AJ421" s="225">
        <f>IF($A421="","",IF(COUNTIF('Nhật ký tiến độ'!$C$6:$C$3005,$A421)=0,0,_xlfn.MAXIFS('Nhật ký tiến độ'!$N$6:$N$3005,'Nhật ký tiến độ'!$C$6:$C$3005,$A421,'Nhật ký tiến độ'!$B$6:$B$3005,_xlfn.MAXIFS('Nhật ký tiến độ'!$B$6:$B$3005,'Nhật ký tiến độ'!$C$6:$C$3005,$A421))))</f>
      </c>
      <c r="AK421" s="225">
        <f>IF(OR($A421="",$V421="Đã xử lý"),"",IF(N($AO421)&gt;0,5-$AO421,IF($J421="Khẩn cấp",5,IF($Y421="Chậm tiến độ",6,IF(OR($Y421="Sắp đến hạn",$J421="Cao"),7,"")))))</f>
      </c>
      <c r="AL421" s="225">
        <f>IF($AK421="","",$AK421*100000+IF(N($U421)=0,99999,INT($U421))+ROW()/100000)</f>
      </c>
      <c r="AM421" s="225">
        <f>IF(OR($A421="",TRIM($K421)="",COUNTIF($K$6:$K421,$K421)&gt;1),0,1)</f>
      </c>
      <c r="AN421" s="225">
        <f>IF($AM421=1,SUM($AM$6:$AM421),"")</f>
      </c>
      <c r="AO421" s="225">
        <f>IF(OR($A421="",$V421="Đã xử lý",N($U421)=0),0,IF(TDBC&lt;=$U421,0,MAX(1,MIN(4,IF((TDBC-$U421)*24&lt;24,1,IF((TDBC-$U421)*24&lt;72,2,IF((TDBC-$U421)*24&lt;168,3,4)))+IFERROR(INDEX({2,1,0,-1},MATCH($J421,{"Khẩn cấp","Cao","Trung bình","Thấp"},0)),0)))))</f>
      </c>
    </row>
    <row r="422">
      <c r="A422" s="216"/>
      <c r="B422" s="217"/>
      <c r="C422" s="218"/>
      <c r="D422" s="218"/>
      <c r="E422" s="218"/>
      <c r="F422" s="218"/>
      <c r="G422" s="216"/>
      <c r="H422" s="218"/>
      <c r="I422" s="218"/>
      <c r="J422" s="216"/>
      <c r="K422" s="218"/>
      <c r="L422" s="218"/>
      <c r="M422" s="218"/>
      <c r="N422" s="218"/>
      <c r="O422" s="219"/>
      <c r="P422" s="216"/>
      <c r="Q422" s="217"/>
      <c r="R422" s="216"/>
      <c r="S422" s="218"/>
      <c r="T422" s="218"/>
      <c r="U422" s="220">
        <f>IF($A422="","",IF(N($Q422)&gt;0,IF(MOD($Q422,1)=0,$Q422+1-1/1440,$Q422),IF(N($B422)=0,"",$B422+IF(N($AH422)&gt;0,$AH422,IFERROR(INDEX(DM_SLA_Gio,MATCH($J422,DM_SLA_Cap,0)),168))/24)))</f>
      </c>
      <c r="V422" s="221">
        <f>IF($A422="","",IF(N($AJ422)=0,"Mới tiếp nhận",INDEX('Nhật ký tiến độ'!$E:$E,$AJ422)))</f>
      </c>
      <c r="W422" s="222">
        <f>IF($A422="","",IF($V422="Đã xử lý",1,IF(N($AJ422)=0,0,N(INDEX('Nhật ký tiến độ'!$D:$D,$AJ422)))))</f>
      </c>
      <c r="X422" s="222">
        <f>IF(OR($A422="",$V422="Đã xử lý",N($U422)=0,N($B422)=0),"",IF(TDBC&lt;=$B422,0,IF(TDBC&gt;=$U422,1,(TDBC-$B422)/($U422-$B422))))</f>
      </c>
      <c r="Y422" s="223">
        <f>IF($A422="","",IF($V422="Đã xử lý","Hoàn thành",IF(N($U422)=0,"Chưa đặt hạn",IF(TDBC&gt;$U422,"Quá hạn",IF(ROUND((N($X422)-$W422)*100,0)&gt;=20,"Chậm tiến độ",IF($U422-TDBC&lt;=1,"Sắp đến hạn","Đúng tiến độ"))))))</f>
      </c>
      <c r="Z422" s="223">
        <f>IF(OR($A422="",$V422="Đã xử lý",N($U422)=0),"",IF(TDBC&gt;$U422,"Quá "&amp;IF(((TDBC-$U422)*24)&lt;1,MAX(1,ROUND(((TDBC-$U422)*24)*60,0))&amp;" phút",IF(ROUND(((TDBC-$U422)*24),0)&lt;24,ROUND(((TDBC-$U422)*24),0)&amp;" giờ",INT(ROUND(((TDBC-$U422)*24),0)/24)&amp;" ngày"&amp;IF(MOD(ROUND(((TDBC-$U422)*24),0),24)&gt;0," "&amp;MOD(ROUND(((TDBC-$U422)*24),0),24)&amp;" giờ",""))),"Còn "&amp;IF((($U422-TDBC)*24)&lt;1,MAX(1,ROUND((($U422-TDBC)*24)*60,0))&amp;" phút",IF(ROUND((($U422-TDBC)*24),0)&lt;24,ROUND((($U422-TDBC)*24),0)&amp;" giờ",INT(ROUND((($U422-TDBC)*24),0)/24)&amp;" ngày"&amp;IF(MOD(ROUND((($U422-TDBC)*24),0),24)&gt;0," "&amp;MOD(ROUND((($U422-TDBC)*24),0),24)&amp;" giờ","")))))</f>
      </c>
      <c r="AA422" s="220">
        <f>IF($V422="Đã xử lý",_xlfn.MAXIFS('Nhật ký tiến độ'!$B$6:$B$3005,'Nhật ký tiến độ'!$C$6:$C$3005,$A422,'Nhật ký tiến độ'!$E$6:$E$3005,"Đã xử lý"),"")</f>
      </c>
      <c r="AB422" s="223">
        <f>IF($AI422="","",IF($AI422&lt;1,MAX(1,ROUND($AI422*60,0))&amp;" phút",IF(ROUND($AI422,0)&lt;24,ROUND($AI422,0)&amp;" giờ",INT(ROUND($AI422,0)/24)&amp;" ngày"&amp;IF(MOD(ROUND($AI422,0),24)&gt;0," "&amp;MOD(ROUND($AI422,0),24)&amp;" giờ",""))))</f>
      </c>
      <c r="AC422" s="223">
        <f>IF(OR($A422="",N($AH422)=0),"",IF($AI422&lt;&gt;"",IF($AI422&lt;=$AH422,"Trong ước tính","Vượt "&amp;IF(($AI422-$AH422)&lt;1,MAX(1,ROUND(($AI422-$AH422)*60,0))&amp;" phút",IF(ROUND(($AI422-$AH422),0)&lt;24,ROUND(($AI422-$AH422),0)&amp;" giờ",INT(ROUND(($AI422-$AH422),0)/24)&amp;" ngày"&amp;IF(MOD(ROUND(($AI422-$AH422),0),24)&gt;0," "&amp;MOD(ROUND(($AI422-$AH422),0),24)&amp;" giờ","")))),IF(OR($V422="Đã xử lý",N($B422)=0),"",IF((TDBC-$B422)*24&gt;$AH422,"Đã vượt ước tính","Đã dùng "&amp;TEXT((TDBC-$B422)*24/$AH422,"0%")))))</f>
      </c>
      <c r="AD422" s="223">
        <f>IF(N($AO422)=0,"",CHOOSE($AO422,"Nhắc nhở","Cảnh báo","Báo động","Báo động đỏ"))</f>
      </c>
      <c r="AE422" s="223">
        <f>IF(OR(N($AA422)=0,N($U422)=0),"",IF($AA422&lt;=$U422,"Đúng hạn","Trễ hạn"))</f>
      </c>
      <c r="AF422" s="220">
        <f>IF($A422="","",_xlfn.MAXIFS('Nhật ký tiến độ'!$B$6:$B$3005,'Nhật ký tiến độ'!$C$6:$C$3005,$A422))</f>
      </c>
      <c r="AG422" s="223">
        <f>IF($A422="","",IF(COUNTIF('Kế hoạch'!$M$6:$M$305,$A422)=0,"",COUNTIF('Kế hoạch'!$M$6:$M$305,$A422)&amp;" việc"))</f>
      </c>
      <c r="AH422" s="224">
        <f>IF(OR($A422="",N($O422)&lt;=0),"",IF($P422="Giờ",$O422,$O422*24))</f>
      </c>
      <c r="AI422" s="224">
        <f>IF(OR(N($AA422)=0,N($B422)=0),"",IF($AA422&lt;$B422,"",($AA422-$B422)*24))</f>
      </c>
      <c r="AJ422" s="225">
        <f>IF($A422="","",IF(COUNTIF('Nhật ký tiến độ'!$C$6:$C$3005,$A422)=0,0,_xlfn.MAXIFS('Nhật ký tiến độ'!$N$6:$N$3005,'Nhật ký tiến độ'!$C$6:$C$3005,$A422,'Nhật ký tiến độ'!$B$6:$B$3005,_xlfn.MAXIFS('Nhật ký tiến độ'!$B$6:$B$3005,'Nhật ký tiến độ'!$C$6:$C$3005,$A422))))</f>
      </c>
      <c r="AK422" s="225">
        <f>IF(OR($A422="",$V422="Đã xử lý"),"",IF(N($AO422)&gt;0,5-$AO422,IF($J422="Khẩn cấp",5,IF($Y422="Chậm tiến độ",6,IF(OR($Y422="Sắp đến hạn",$J422="Cao"),7,"")))))</f>
      </c>
      <c r="AL422" s="225">
        <f>IF($AK422="","",$AK422*100000+IF(N($U422)=0,99999,INT($U422))+ROW()/100000)</f>
      </c>
      <c r="AM422" s="225">
        <f>IF(OR($A422="",TRIM($K422)="",COUNTIF($K$6:$K422,$K422)&gt;1),0,1)</f>
      </c>
      <c r="AN422" s="225">
        <f>IF($AM422=1,SUM($AM$6:$AM422),"")</f>
      </c>
      <c r="AO422" s="225">
        <f>IF(OR($A422="",$V422="Đã xử lý",N($U422)=0),0,IF(TDBC&lt;=$U422,0,MAX(1,MIN(4,IF((TDBC-$U422)*24&lt;24,1,IF((TDBC-$U422)*24&lt;72,2,IF((TDBC-$U422)*24&lt;168,3,4)))+IFERROR(INDEX({2,1,0,-1},MATCH($J422,{"Khẩn cấp","Cao","Trung bình","Thấp"},0)),0)))))</f>
      </c>
    </row>
    <row r="423">
      <c r="A423" s="216"/>
      <c r="B423" s="217"/>
      <c r="C423" s="218"/>
      <c r="D423" s="218"/>
      <c r="E423" s="218"/>
      <c r="F423" s="218"/>
      <c r="G423" s="216"/>
      <c r="H423" s="218"/>
      <c r="I423" s="218"/>
      <c r="J423" s="216"/>
      <c r="K423" s="218"/>
      <c r="L423" s="218"/>
      <c r="M423" s="218"/>
      <c r="N423" s="218"/>
      <c r="O423" s="219"/>
      <c r="P423" s="216"/>
      <c r="Q423" s="217"/>
      <c r="R423" s="216"/>
      <c r="S423" s="218"/>
      <c r="T423" s="218"/>
      <c r="U423" s="220">
        <f>IF($A423="","",IF(N($Q423)&gt;0,IF(MOD($Q423,1)=0,$Q423+1-1/1440,$Q423),IF(N($B423)=0,"",$B423+IF(N($AH423)&gt;0,$AH423,IFERROR(INDEX(DM_SLA_Gio,MATCH($J423,DM_SLA_Cap,0)),168))/24)))</f>
      </c>
      <c r="V423" s="221">
        <f>IF($A423="","",IF(N($AJ423)=0,"Mới tiếp nhận",INDEX('Nhật ký tiến độ'!$E:$E,$AJ423)))</f>
      </c>
      <c r="W423" s="222">
        <f>IF($A423="","",IF($V423="Đã xử lý",1,IF(N($AJ423)=0,0,N(INDEX('Nhật ký tiến độ'!$D:$D,$AJ423)))))</f>
      </c>
      <c r="X423" s="222">
        <f>IF(OR($A423="",$V423="Đã xử lý",N($U423)=0,N($B423)=0),"",IF(TDBC&lt;=$B423,0,IF(TDBC&gt;=$U423,1,(TDBC-$B423)/($U423-$B423))))</f>
      </c>
      <c r="Y423" s="223">
        <f>IF($A423="","",IF($V423="Đã xử lý","Hoàn thành",IF(N($U423)=0,"Chưa đặt hạn",IF(TDBC&gt;$U423,"Quá hạn",IF(ROUND((N($X423)-$W423)*100,0)&gt;=20,"Chậm tiến độ",IF($U423-TDBC&lt;=1,"Sắp đến hạn","Đúng tiến độ"))))))</f>
      </c>
      <c r="Z423" s="223">
        <f>IF(OR($A423="",$V423="Đã xử lý",N($U423)=0),"",IF(TDBC&gt;$U423,"Quá "&amp;IF(((TDBC-$U423)*24)&lt;1,MAX(1,ROUND(((TDBC-$U423)*24)*60,0))&amp;" phút",IF(ROUND(((TDBC-$U423)*24),0)&lt;24,ROUND(((TDBC-$U423)*24),0)&amp;" giờ",INT(ROUND(((TDBC-$U423)*24),0)/24)&amp;" ngày"&amp;IF(MOD(ROUND(((TDBC-$U423)*24),0),24)&gt;0," "&amp;MOD(ROUND(((TDBC-$U423)*24),0),24)&amp;" giờ",""))),"Còn "&amp;IF((($U423-TDBC)*24)&lt;1,MAX(1,ROUND((($U423-TDBC)*24)*60,0))&amp;" phút",IF(ROUND((($U423-TDBC)*24),0)&lt;24,ROUND((($U423-TDBC)*24),0)&amp;" giờ",INT(ROUND((($U423-TDBC)*24),0)/24)&amp;" ngày"&amp;IF(MOD(ROUND((($U423-TDBC)*24),0),24)&gt;0," "&amp;MOD(ROUND((($U423-TDBC)*24),0),24)&amp;" giờ","")))))</f>
      </c>
      <c r="AA423" s="220">
        <f>IF($V423="Đã xử lý",_xlfn.MAXIFS('Nhật ký tiến độ'!$B$6:$B$3005,'Nhật ký tiến độ'!$C$6:$C$3005,$A423,'Nhật ký tiến độ'!$E$6:$E$3005,"Đã xử lý"),"")</f>
      </c>
      <c r="AB423" s="223">
        <f>IF($AI423="","",IF($AI423&lt;1,MAX(1,ROUND($AI423*60,0))&amp;" phút",IF(ROUND($AI423,0)&lt;24,ROUND($AI423,0)&amp;" giờ",INT(ROUND($AI423,0)/24)&amp;" ngày"&amp;IF(MOD(ROUND($AI423,0),24)&gt;0," "&amp;MOD(ROUND($AI423,0),24)&amp;" giờ",""))))</f>
      </c>
      <c r="AC423" s="223">
        <f>IF(OR($A423="",N($AH423)=0),"",IF($AI423&lt;&gt;"",IF($AI423&lt;=$AH423,"Trong ước tính","Vượt "&amp;IF(($AI423-$AH423)&lt;1,MAX(1,ROUND(($AI423-$AH423)*60,0))&amp;" phút",IF(ROUND(($AI423-$AH423),0)&lt;24,ROUND(($AI423-$AH423),0)&amp;" giờ",INT(ROUND(($AI423-$AH423),0)/24)&amp;" ngày"&amp;IF(MOD(ROUND(($AI423-$AH423),0),24)&gt;0," "&amp;MOD(ROUND(($AI423-$AH423),0),24)&amp;" giờ","")))),IF(OR($V423="Đã xử lý",N($B423)=0),"",IF((TDBC-$B423)*24&gt;$AH423,"Đã vượt ước tính","Đã dùng "&amp;TEXT((TDBC-$B423)*24/$AH423,"0%")))))</f>
      </c>
      <c r="AD423" s="223">
        <f>IF(N($AO423)=0,"",CHOOSE($AO423,"Nhắc nhở","Cảnh báo","Báo động","Báo động đỏ"))</f>
      </c>
      <c r="AE423" s="223">
        <f>IF(OR(N($AA423)=0,N($U423)=0),"",IF($AA423&lt;=$U423,"Đúng hạn","Trễ hạn"))</f>
      </c>
      <c r="AF423" s="220">
        <f>IF($A423="","",_xlfn.MAXIFS('Nhật ký tiến độ'!$B$6:$B$3005,'Nhật ký tiến độ'!$C$6:$C$3005,$A423))</f>
      </c>
      <c r="AG423" s="223">
        <f>IF($A423="","",IF(COUNTIF('Kế hoạch'!$M$6:$M$305,$A423)=0,"",COUNTIF('Kế hoạch'!$M$6:$M$305,$A423)&amp;" việc"))</f>
      </c>
      <c r="AH423" s="224">
        <f>IF(OR($A423="",N($O423)&lt;=0),"",IF($P423="Giờ",$O423,$O423*24))</f>
      </c>
      <c r="AI423" s="224">
        <f>IF(OR(N($AA423)=0,N($B423)=0),"",IF($AA423&lt;$B423,"",($AA423-$B423)*24))</f>
      </c>
      <c r="AJ423" s="225">
        <f>IF($A423="","",IF(COUNTIF('Nhật ký tiến độ'!$C$6:$C$3005,$A423)=0,0,_xlfn.MAXIFS('Nhật ký tiến độ'!$N$6:$N$3005,'Nhật ký tiến độ'!$C$6:$C$3005,$A423,'Nhật ký tiến độ'!$B$6:$B$3005,_xlfn.MAXIFS('Nhật ký tiến độ'!$B$6:$B$3005,'Nhật ký tiến độ'!$C$6:$C$3005,$A423))))</f>
      </c>
      <c r="AK423" s="225">
        <f>IF(OR($A423="",$V423="Đã xử lý"),"",IF(N($AO423)&gt;0,5-$AO423,IF($J423="Khẩn cấp",5,IF($Y423="Chậm tiến độ",6,IF(OR($Y423="Sắp đến hạn",$J423="Cao"),7,"")))))</f>
      </c>
      <c r="AL423" s="225">
        <f>IF($AK423="","",$AK423*100000+IF(N($U423)=0,99999,INT($U423))+ROW()/100000)</f>
      </c>
      <c r="AM423" s="225">
        <f>IF(OR($A423="",TRIM($K423)="",COUNTIF($K$6:$K423,$K423)&gt;1),0,1)</f>
      </c>
      <c r="AN423" s="225">
        <f>IF($AM423=1,SUM($AM$6:$AM423),"")</f>
      </c>
      <c r="AO423" s="225">
        <f>IF(OR($A423="",$V423="Đã xử lý",N($U423)=0),0,IF(TDBC&lt;=$U423,0,MAX(1,MIN(4,IF((TDBC-$U423)*24&lt;24,1,IF((TDBC-$U423)*24&lt;72,2,IF((TDBC-$U423)*24&lt;168,3,4)))+IFERROR(INDEX({2,1,0,-1},MATCH($J423,{"Khẩn cấp","Cao","Trung bình","Thấp"},0)),0)))))</f>
      </c>
    </row>
    <row r="424">
      <c r="A424" s="216"/>
      <c r="B424" s="217"/>
      <c r="C424" s="218"/>
      <c r="D424" s="218"/>
      <c r="E424" s="218"/>
      <c r="F424" s="218"/>
      <c r="G424" s="216"/>
      <c r="H424" s="218"/>
      <c r="I424" s="218"/>
      <c r="J424" s="216"/>
      <c r="K424" s="218"/>
      <c r="L424" s="218"/>
      <c r="M424" s="218"/>
      <c r="N424" s="218"/>
      <c r="O424" s="219"/>
      <c r="P424" s="216"/>
      <c r="Q424" s="217"/>
      <c r="R424" s="216"/>
      <c r="S424" s="218"/>
      <c r="T424" s="218"/>
      <c r="U424" s="220">
        <f>IF($A424="","",IF(N($Q424)&gt;0,IF(MOD($Q424,1)=0,$Q424+1-1/1440,$Q424),IF(N($B424)=0,"",$B424+IF(N($AH424)&gt;0,$AH424,IFERROR(INDEX(DM_SLA_Gio,MATCH($J424,DM_SLA_Cap,0)),168))/24)))</f>
      </c>
      <c r="V424" s="221">
        <f>IF($A424="","",IF(N($AJ424)=0,"Mới tiếp nhận",INDEX('Nhật ký tiến độ'!$E:$E,$AJ424)))</f>
      </c>
      <c r="W424" s="222">
        <f>IF($A424="","",IF($V424="Đã xử lý",1,IF(N($AJ424)=0,0,N(INDEX('Nhật ký tiến độ'!$D:$D,$AJ424)))))</f>
      </c>
      <c r="X424" s="222">
        <f>IF(OR($A424="",$V424="Đã xử lý",N($U424)=0,N($B424)=0),"",IF(TDBC&lt;=$B424,0,IF(TDBC&gt;=$U424,1,(TDBC-$B424)/($U424-$B424))))</f>
      </c>
      <c r="Y424" s="223">
        <f>IF($A424="","",IF($V424="Đã xử lý","Hoàn thành",IF(N($U424)=0,"Chưa đặt hạn",IF(TDBC&gt;$U424,"Quá hạn",IF(ROUND((N($X424)-$W424)*100,0)&gt;=20,"Chậm tiến độ",IF($U424-TDBC&lt;=1,"Sắp đến hạn","Đúng tiến độ"))))))</f>
      </c>
      <c r="Z424" s="223">
        <f>IF(OR($A424="",$V424="Đã xử lý",N($U424)=0),"",IF(TDBC&gt;$U424,"Quá "&amp;IF(((TDBC-$U424)*24)&lt;1,MAX(1,ROUND(((TDBC-$U424)*24)*60,0))&amp;" phút",IF(ROUND(((TDBC-$U424)*24),0)&lt;24,ROUND(((TDBC-$U424)*24),0)&amp;" giờ",INT(ROUND(((TDBC-$U424)*24),0)/24)&amp;" ngày"&amp;IF(MOD(ROUND(((TDBC-$U424)*24),0),24)&gt;0," "&amp;MOD(ROUND(((TDBC-$U424)*24),0),24)&amp;" giờ",""))),"Còn "&amp;IF((($U424-TDBC)*24)&lt;1,MAX(1,ROUND((($U424-TDBC)*24)*60,0))&amp;" phút",IF(ROUND((($U424-TDBC)*24),0)&lt;24,ROUND((($U424-TDBC)*24),0)&amp;" giờ",INT(ROUND((($U424-TDBC)*24),0)/24)&amp;" ngày"&amp;IF(MOD(ROUND((($U424-TDBC)*24),0),24)&gt;0," "&amp;MOD(ROUND((($U424-TDBC)*24),0),24)&amp;" giờ","")))))</f>
      </c>
      <c r="AA424" s="220">
        <f>IF($V424="Đã xử lý",_xlfn.MAXIFS('Nhật ký tiến độ'!$B$6:$B$3005,'Nhật ký tiến độ'!$C$6:$C$3005,$A424,'Nhật ký tiến độ'!$E$6:$E$3005,"Đã xử lý"),"")</f>
      </c>
      <c r="AB424" s="223">
        <f>IF($AI424="","",IF($AI424&lt;1,MAX(1,ROUND($AI424*60,0))&amp;" phút",IF(ROUND($AI424,0)&lt;24,ROUND($AI424,0)&amp;" giờ",INT(ROUND($AI424,0)/24)&amp;" ngày"&amp;IF(MOD(ROUND($AI424,0),24)&gt;0," "&amp;MOD(ROUND($AI424,0),24)&amp;" giờ",""))))</f>
      </c>
      <c r="AC424" s="223">
        <f>IF(OR($A424="",N($AH424)=0),"",IF($AI424&lt;&gt;"",IF($AI424&lt;=$AH424,"Trong ước tính","Vượt "&amp;IF(($AI424-$AH424)&lt;1,MAX(1,ROUND(($AI424-$AH424)*60,0))&amp;" phút",IF(ROUND(($AI424-$AH424),0)&lt;24,ROUND(($AI424-$AH424),0)&amp;" giờ",INT(ROUND(($AI424-$AH424),0)/24)&amp;" ngày"&amp;IF(MOD(ROUND(($AI424-$AH424),0),24)&gt;0," "&amp;MOD(ROUND(($AI424-$AH424),0),24)&amp;" giờ","")))),IF(OR($V424="Đã xử lý",N($B424)=0),"",IF((TDBC-$B424)*24&gt;$AH424,"Đã vượt ước tính","Đã dùng "&amp;TEXT((TDBC-$B424)*24/$AH424,"0%")))))</f>
      </c>
      <c r="AD424" s="223">
        <f>IF(N($AO424)=0,"",CHOOSE($AO424,"Nhắc nhở","Cảnh báo","Báo động","Báo động đỏ"))</f>
      </c>
      <c r="AE424" s="223">
        <f>IF(OR(N($AA424)=0,N($U424)=0),"",IF($AA424&lt;=$U424,"Đúng hạn","Trễ hạn"))</f>
      </c>
      <c r="AF424" s="220">
        <f>IF($A424="","",_xlfn.MAXIFS('Nhật ký tiến độ'!$B$6:$B$3005,'Nhật ký tiến độ'!$C$6:$C$3005,$A424))</f>
      </c>
      <c r="AG424" s="223">
        <f>IF($A424="","",IF(COUNTIF('Kế hoạch'!$M$6:$M$305,$A424)=0,"",COUNTIF('Kế hoạch'!$M$6:$M$305,$A424)&amp;" việc"))</f>
      </c>
      <c r="AH424" s="224">
        <f>IF(OR($A424="",N($O424)&lt;=0),"",IF($P424="Giờ",$O424,$O424*24))</f>
      </c>
      <c r="AI424" s="224">
        <f>IF(OR(N($AA424)=0,N($B424)=0),"",IF($AA424&lt;$B424,"",($AA424-$B424)*24))</f>
      </c>
      <c r="AJ424" s="225">
        <f>IF($A424="","",IF(COUNTIF('Nhật ký tiến độ'!$C$6:$C$3005,$A424)=0,0,_xlfn.MAXIFS('Nhật ký tiến độ'!$N$6:$N$3005,'Nhật ký tiến độ'!$C$6:$C$3005,$A424,'Nhật ký tiến độ'!$B$6:$B$3005,_xlfn.MAXIFS('Nhật ký tiến độ'!$B$6:$B$3005,'Nhật ký tiến độ'!$C$6:$C$3005,$A424))))</f>
      </c>
      <c r="AK424" s="225">
        <f>IF(OR($A424="",$V424="Đã xử lý"),"",IF(N($AO424)&gt;0,5-$AO424,IF($J424="Khẩn cấp",5,IF($Y424="Chậm tiến độ",6,IF(OR($Y424="Sắp đến hạn",$J424="Cao"),7,"")))))</f>
      </c>
      <c r="AL424" s="225">
        <f>IF($AK424="","",$AK424*100000+IF(N($U424)=0,99999,INT($U424))+ROW()/100000)</f>
      </c>
      <c r="AM424" s="225">
        <f>IF(OR($A424="",TRIM($K424)="",COUNTIF($K$6:$K424,$K424)&gt;1),0,1)</f>
      </c>
      <c r="AN424" s="225">
        <f>IF($AM424=1,SUM($AM$6:$AM424),"")</f>
      </c>
      <c r="AO424" s="225">
        <f>IF(OR($A424="",$V424="Đã xử lý",N($U424)=0),0,IF(TDBC&lt;=$U424,0,MAX(1,MIN(4,IF((TDBC-$U424)*24&lt;24,1,IF((TDBC-$U424)*24&lt;72,2,IF((TDBC-$U424)*24&lt;168,3,4)))+IFERROR(INDEX({2,1,0,-1},MATCH($J424,{"Khẩn cấp","Cao","Trung bình","Thấp"},0)),0)))))</f>
      </c>
    </row>
    <row r="425">
      <c r="A425" s="216"/>
      <c r="B425" s="217"/>
      <c r="C425" s="218"/>
      <c r="D425" s="218"/>
      <c r="E425" s="218"/>
      <c r="F425" s="218"/>
      <c r="G425" s="216"/>
      <c r="H425" s="218"/>
      <c r="I425" s="218"/>
      <c r="J425" s="216"/>
      <c r="K425" s="218"/>
      <c r="L425" s="218"/>
      <c r="M425" s="218"/>
      <c r="N425" s="218"/>
      <c r="O425" s="219"/>
      <c r="P425" s="216"/>
      <c r="Q425" s="217"/>
      <c r="R425" s="216"/>
      <c r="S425" s="218"/>
      <c r="T425" s="218"/>
      <c r="U425" s="220">
        <f>IF($A425="","",IF(N($Q425)&gt;0,IF(MOD($Q425,1)=0,$Q425+1-1/1440,$Q425),IF(N($B425)=0,"",$B425+IF(N($AH425)&gt;0,$AH425,IFERROR(INDEX(DM_SLA_Gio,MATCH($J425,DM_SLA_Cap,0)),168))/24)))</f>
      </c>
      <c r="V425" s="221">
        <f>IF($A425="","",IF(N($AJ425)=0,"Mới tiếp nhận",INDEX('Nhật ký tiến độ'!$E:$E,$AJ425)))</f>
      </c>
      <c r="W425" s="222">
        <f>IF($A425="","",IF($V425="Đã xử lý",1,IF(N($AJ425)=0,0,N(INDEX('Nhật ký tiến độ'!$D:$D,$AJ425)))))</f>
      </c>
      <c r="X425" s="222">
        <f>IF(OR($A425="",$V425="Đã xử lý",N($U425)=0,N($B425)=0),"",IF(TDBC&lt;=$B425,0,IF(TDBC&gt;=$U425,1,(TDBC-$B425)/($U425-$B425))))</f>
      </c>
      <c r="Y425" s="223">
        <f>IF($A425="","",IF($V425="Đã xử lý","Hoàn thành",IF(N($U425)=0,"Chưa đặt hạn",IF(TDBC&gt;$U425,"Quá hạn",IF(ROUND((N($X425)-$W425)*100,0)&gt;=20,"Chậm tiến độ",IF($U425-TDBC&lt;=1,"Sắp đến hạn","Đúng tiến độ"))))))</f>
      </c>
      <c r="Z425" s="223">
        <f>IF(OR($A425="",$V425="Đã xử lý",N($U425)=0),"",IF(TDBC&gt;$U425,"Quá "&amp;IF(((TDBC-$U425)*24)&lt;1,MAX(1,ROUND(((TDBC-$U425)*24)*60,0))&amp;" phút",IF(ROUND(((TDBC-$U425)*24),0)&lt;24,ROUND(((TDBC-$U425)*24),0)&amp;" giờ",INT(ROUND(((TDBC-$U425)*24),0)/24)&amp;" ngày"&amp;IF(MOD(ROUND(((TDBC-$U425)*24),0),24)&gt;0," "&amp;MOD(ROUND(((TDBC-$U425)*24),0),24)&amp;" giờ",""))),"Còn "&amp;IF((($U425-TDBC)*24)&lt;1,MAX(1,ROUND((($U425-TDBC)*24)*60,0))&amp;" phút",IF(ROUND((($U425-TDBC)*24),0)&lt;24,ROUND((($U425-TDBC)*24),0)&amp;" giờ",INT(ROUND((($U425-TDBC)*24),0)/24)&amp;" ngày"&amp;IF(MOD(ROUND((($U425-TDBC)*24),0),24)&gt;0," "&amp;MOD(ROUND((($U425-TDBC)*24),0),24)&amp;" giờ","")))))</f>
      </c>
      <c r="AA425" s="220">
        <f>IF($V425="Đã xử lý",_xlfn.MAXIFS('Nhật ký tiến độ'!$B$6:$B$3005,'Nhật ký tiến độ'!$C$6:$C$3005,$A425,'Nhật ký tiến độ'!$E$6:$E$3005,"Đã xử lý"),"")</f>
      </c>
      <c r="AB425" s="223">
        <f>IF($AI425="","",IF($AI425&lt;1,MAX(1,ROUND($AI425*60,0))&amp;" phút",IF(ROUND($AI425,0)&lt;24,ROUND($AI425,0)&amp;" giờ",INT(ROUND($AI425,0)/24)&amp;" ngày"&amp;IF(MOD(ROUND($AI425,0),24)&gt;0," "&amp;MOD(ROUND($AI425,0),24)&amp;" giờ",""))))</f>
      </c>
      <c r="AC425" s="223">
        <f>IF(OR($A425="",N($AH425)=0),"",IF($AI425&lt;&gt;"",IF($AI425&lt;=$AH425,"Trong ước tính","Vượt "&amp;IF(($AI425-$AH425)&lt;1,MAX(1,ROUND(($AI425-$AH425)*60,0))&amp;" phút",IF(ROUND(($AI425-$AH425),0)&lt;24,ROUND(($AI425-$AH425),0)&amp;" giờ",INT(ROUND(($AI425-$AH425),0)/24)&amp;" ngày"&amp;IF(MOD(ROUND(($AI425-$AH425),0),24)&gt;0," "&amp;MOD(ROUND(($AI425-$AH425),0),24)&amp;" giờ","")))),IF(OR($V425="Đã xử lý",N($B425)=0),"",IF((TDBC-$B425)*24&gt;$AH425,"Đã vượt ước tính","Đã dùng "&amp;TEXT((TDBC-$B425)*24/$AH425,"0%")))))</f>
      </c>
      <c r="AD425" s="223">
        <f>IF(N($AO425)=0,"",CHOOSE($AO425,"Nhắc nhở","Cảnh báo","Báo động","Báo động đỏ"))</f>
      </c>
      <c r="AE425" s="223">
        <f>IF(OR(N($AA425)=0,N($U425)=0),"",IF($AA425&lt;=$U425,"Đúng hạn","Trễ hạn"))</f>
      </c>
      <c r="AF425" s="220">
        <f>IF($A425="","",_xlfn.MAXIFS('Nhật ký tiến độ'!$B$6:$B$3005,'Nhật ký tiến độ'!$C$6:$C$3005,$A425))</f>
      </c>
      <c r="AG425" s="223">
        <f>IF($A425="","",IF(COUNTIF('Kế hoạch'!$M$6:$M$305,$A425)=0,"",COUNTIF('Kế hoạch'!$M$6:$M$305,$A425)&amp;" việc"))</f>
      </c>
      <c r="AH425" s="224">
        <f>IF(OR($A425="",N($O425)&lt;=0),"",IF($P425="Giờ",$O425,$O425*24))</f>
      </c>
      <c r="AI425" s="224">
        <f>IF(OR(N($AA425)=0,N($B425)=0),"",IF($AA425&lt;$B425,"",($AA425-$B425)*24))</f>
      </c>
      <c r="AJ425" s="225">
        <f>IF($A425="","",IF(COUNTIF('Nhật ký tiến độ'!$C$6:$C$3005,$A425)=0,0,_xlfn.MAXIFS('Nhật ký tiến độ'!$N$6:$N$3005,'Nhật ký tiến độ'!$C$6:$C$3005,$A425,'Nhật ký tiến độ'!$B$6:$B$3005,_xlfn.MAXIFS('Nhật ký tiến độ'!$B$6:$B$3005,'Nhật ký tiến độ'!$C$6:$C$3005,$A425))))</f>
      </c>
      <c r="AK425" s="225">
        <f>IF(OR($A425="",$V425="Đã xử lý"),"",IF(N($AO425)&gt;0,5-$AO425,IF($J425="Khẩn cấp",5,IF($Y425="Chậm tiến độ",6,IF(OR($Y425="Sắp đến hạn",$J425="Cao"),7,"")))))</f>
      </c>
      <c r="AL425" s="225">
        <f>IF($AK425="","",$AK425*100000+IF(N($U425)=0,99999,INT($U425))+ROW()/100000)</f>
      </c>
      <c r="AM425" s="225">
        <f>IF(OR($A425="",TRIM($K425)="",COUNTIF($K$6:$K425,$K425)&gt;1),0,1)</f>
      </c>
      <c r="AN425" s="225">
        <f>IF($AM425=1,SUM($AM$6:$AM425),"")</f>
      </c>
      <c r="AO425" s="225">
        <f>IF(OR($A425="",$V425="Đã xử lý",N($U425)=0),0,IF(TDBC&lt;=$U425,0,MAX(1,MIN(4,IF((TDBC-$U425)*24&lt;24,1,IF((TDBC-$U425)*24&lt;72,2,IF((TDBC-$U425)*24&lt;168,3,4)))+IFERROR(INDEX({2,1,0,-1},MATCH($J425,{"Khẩn cấp","Cao","Trung bình","Thấp"},0)),0)))))</f>
      </c>
    </row>
    <row r="426">
      <c r="A426" s="216"/>
      <c r="B426" s="217"/>
      <c r="C426" s="218"/>
      <c r="D426" s="218"/>
      <c r="E426" s="218"/>
      <c r="F426" s="218"/>
      <c r="G426" s="216"/>
      <c r="H426" s="218"/>
      <c r="I426" s="218"/>
      <c r="J426" s="216"/>
      <c r="K426" s="218"/>
      <c r="L426" s="218"/>
      <c r="M426" s="218"/>
      <c r="N426" s="218"/>
      <c r="O426" s="219"/>
      <c r="P426" s="216"/>
      <c r="Q426" s="217"/>
      <c r="R426" s="216"/>
      <c r="S426" s="218"/>
      <c r="T426" s="218"/>
      <c r="U426" s="220">
        <f>IF($A426="","",IF(N($Q426)&gt;0,IF(MOD($Q426,1)=0,$Q426+1-1/1440,$Q426),IF(N($B426)=0,"",$B426+IF(N($AH426)&gt;0,$AH426,IFERROR(INDEX(DM_SLA_Gio,MATCH($J426,DM_SLA_Cap,0)),168))/24)))</f>
      </c>
      <c r="V426" s="221">
        <f>IF($A426="","",IF(N($AJ426)=0,"Mới tiếp nhận",INDEX('Nhật ký tiến độ'!$E:$E,$AJ426)))</f>
      </c>
      <c r="W426" s="222">
        <f>IF($A426="","",IF($V426="Đã xử lý",1,IF(N($AJ426)=0,0,N(INDEX('Nhật ký tiến độ'!$D:$D,$AJ426)))))</f>
      </c>
      <c r="X426" s="222">
        <f>IF(OR($A426="",$V426="Đã xử lý",N($U426)=0,N($B426)=0),"",IF(TDBC&lt;=$B426,0,IF(TDBC&gt;=$U426,1,(TDBC-$B426)/($U426-$B426))))</f>
      </c>
      <c r="Y426" s="223">
        <f>IF($A426="","",IF($V426="Đã xử lý","Hoàn thành",IF(N($U426)=0,"Chưa đặt hạn",IF(TDBC&gt;$U426,"Quá hạn",IF(ROUND((N($X426)-$W426)*100,0)&gt;=20,"Chậm tiến độ",IF($U426-TDBC&lt;=1,"Sắp đến hạn","Đúng tiến độ"))))))</f>
      </c>
      <c r="Z426" s="223">
        <f>IF(OR($A426="",$V426="Đã xử lý",N($U426)=0),"",IF(TDBC&gt;$U426,"Quá "&amp;IF(((TDBC-$U426)*24)&lt;1,MAX(1,ROUND(((TDBC-$U426)*24)*60,0))&amp;" phút",IF(ROUND(((TDBC-$U426)*24),0)&lt;24,ROUND(((TDBC-$U426)*24),0)&amp;" giờ",INT(ROUND(((TDBC-$U426)*24),0)/24)&amp;" ngày"&amp;IF(MOD(ROUND(((TDBC-$U426)*24),0),24)&gt;0," "&amp;MOD(ROUND(((TDBC-$U426)*24),0),24)&amp;" giờ",""))),"Còn "&amp;IF((($U426-TDBC)*24)&lt;1,MAX(1,ROUND((($U426-TDBC)*24)*60,0))&amp;" phút",IF(ROUND((($U426-TDBC)*24),0)&lt;24,ROUND((($U426-TDBC)*24),0)&amp;" giờ",INT(ROUND((($U426-TDBC)*24),0)/24)&amp;" ngày"&amp;IF(MOD(ROUND((($U426-TDBC)*24),0),24)&gt;0," "&amp;MOD(ROUND((($U426-TDBC)*24),0),24)&amp;" giờ","")))))</f>
      </c>
      <c r="AA426" s="220">
        <f>IF($V426="Đã xử lý",_xlfn.MAXIFS('Nhật ký tiến độ'!$B$6:$B$3005,'Nhật ký tiến độ'!$C$6:$C$3005,$A426,'Nhật ký tiến độ'!$E$6:$E$3005,"Đã xử lý"),"")</f>
      </c>
      <c r="AB426" s="223">
        <f>IF($AI426="","",IF($AI426&lt;1,MAX(1,ROUND($AI426*60,0))&amp;" phút",IF(ROUND($AI426,0)&lt;24,ROUND($AI426,0)&amp;" giờ",INT(ROUND($AI426,0)/24)&amp;" ngày"&amp;IF(MOD(ROUND($AI426,0),24)&gt;0," "&amp;MOD(ROUND($AI426,0),24)&amp;" giờ",""))))</f>
      </c>
      <c r="AC426" s="223">
        <f>IF(OR($A426="",N($AH426)=0),"",IF($AI426&lt;&gt;"",IF($AI426&lt;=$AH426,"Trong ước tính","Vượt "&amp;IF(($AI426-$AH426)&lt;1,MAX(1,ROUND(($AI426-$AH426)*60,0))&amp;" phút",IF(ROUND(($AI426-$AH426),0)&lt;24,ROUND(($AI426-$AH426),0)&amp;" giờ",INT(ROUND(($AI426-$AH426),0)/24)&amp;" ngày"&amp;IF(MOD(ROUND(($AI426-$AH426),0),24)&gt;0," "&amp;MOD(ROUND(($AI426-$AH426),0),24)&amp;" giờ","")))),IF(OR($V426="Đã xử lý",N($B426)=0),"",IF((TDBC-$B426)*24&gt;$AH426,"Đã vượt ước tính","Đã dùng "&amp;TEXT((TDBC-$B426)*24/$AH426,"0%")))))</f>
      </c>
      <c r="AD426" s="223">
        <f>IF(N($AO426)=0,"",CHOOSE($AO426,"Nhắc nhở","Cảnh báo","Báo động","Báo động đỏ"))</f>
      </c>
      <c r="AE426" s="223">
        <f>IF(OR(N($AA426)=0,N($U426)=0),"",IF($AA426&lt;=$U426,"Đúng hạn","Trễ hạn"))</f>
      </c>
      <c r="AF426" s="220">
        <f>IF($A426="","",_xlfn.MAXIFS('Nhật ký tiến độ'!$B$6:$B$3005,'Nhật ký tiến độ'!$C$6:$C$3005,$A426))</f>
      </c>
      <c r="AG426" s="223">
        <f>IF($A426="","",IF(COUNTIF('Kế hoạch'!$M$6:$M$305,$A426)=0,"",COUNTIF('Kế hoạch'!$M$6:$M$305,$A426)&amp;" việc"))</f>
      </c>
      <c r="AH426" s="224">
        <f>IF(OR($A426="",N($O426)&lt;=0),"",IF($P426="Giờ",$O426,$O426*24))</f>
      </c>
      <c r="AI426" s="224">
        <f>IF(OR(N($AA426)=0,N($B426)=0),"",IF($AA426&lt;$B426,"",($AA426-$B426)*24))</f>
      </c>
      <c r="AJ426" s="225">
        <f>IF($A426="","",IF(COUNTIF('Nhật ký tiến độ'!$C$6:$C$3005,$A426)=0,0,_xlfn.MAXIFS('Nhật ký tiến độ'!$N$6:$N$3005,'Nhật ký tiến độ'!$C$6:$C$3005,$A426,'Nhật ký tiến độ'!$B$6:$B$3005,_xlfn.MAXIFS('Nhật ký tiến độ'!$B$6:$B$3005,'Nhật ký tiến độ'!$C$6:$C$3005,$A426))))</f>
      </c>
      <c r="AK426" s="225">
        <f>IF(OR($A426="",$V426="Đã xử lý"),"",IF(N($AO426)&gt;0,5-$AO426,IF($J426="Khẩn cấp",5,IF($Y426="Chậm tiến độ",6,IF(OR($Y426="Sắp đến hạn",$J426="Cao"),7,"")))))</f>
      </c>
      <c r="AL426" s="225">
        <f>IF($AK426="","",$AK426*100000+IF(N($U426)=0,99999,INT($U426))+ROW()/100000)</f>
      </c>
      <c r="AM426" s="225">
        <f>IF(OR($A426="",TRIM($K426)="",COUNTIF($K$6:$K426,$K426)&gt;1),0,1)</f>
      </c>
      <c r="AN426" s="225">
        <f>IF($AM426=1,SUM($AM$6:$AM426),"")</f>
      </c>
      <c r="AO426" s="225">
        <f>IF(OR($A426="",$V426="Đã xử lý",N($U426)=0),0,IF(TDBC&lt;=$U426,0,MAX(1,MIN(4,IF((TDBC-$U426)*24&lt;24,1,IF((TDBC-$U426)*24&lt;72,2,IF((TDBC-$U426)*24&lt;168,3,4)))+IFERROR(INDEX({2,1,0,-1},MATCH($J426,{"Khẩn cấp","Cao","Trung bình","Thấp"},0)),0)))))</f>
      </c>
    </row>
    <row r="427">
      <c r="A427" s="216"/>
      <c r="B427" s="217"/>
      <c r="C427" s="218"/>
      <c r="D427" s="218"/>
      <c r="E427" s="218"/>
      <c r="F427" s="218"/>
      <c r="G427" s="216"/>
      <c r="H427" s="218"/>
      <c r="I427" s="218"/>
      <c r="J427" s="216"/>
      <c r="K427" s="218"/>
      <c r="L427" s="218"/>
      <c r="M427" s="218"/>
      <c r="N427" s="218"/>
      <c r="O427" s="219"/>
      <c r="P427" s="216"/>
      <c r="Q427" s="217"/>
      <c r="R427" s="216"/>
      <c r="S427" s="218"/>
      <c r="T427" s="218"/>
      <c r="U427" s="220">
        <f>IF($A427="","",IF(N($Q427)&gt;0,IF(MOD($Q427,1)=0,$Q427+1-1/1440,$Q427),IF(N($B427)=0,"",$B427+IF(N($AH427)&gt;0,$AH427,IFERROR(INDEX(DM_SLA_Gio,MATCH($J427,DM_SLA_Cap,0)),168))/24)))</f>
      </c>
      <c r="V427" s="221">
        <f>IF($A427="","",IF(N($AJ427)=0,"Mới tiếp nhận",INDEX('Nhật ký tiến độ'!$E:$E,$AJ427)))</f>
      </c>
      <c r="W427" s="222">
        <f>IF($A427="","",IF($V427="Đã xử lý",1,IF(N($AJ427)=0,0,N(INDEX('Nhật ký tiến độ'!$D:$D,$AJ427)))))</f>
      </c>
      <c r="X427" s="222">
        <f>IF(OR($A427="",$V427="Đã xử lý",N($U427)=0,N($B427)=0),"",IF(TDBC&lt;=$B427,0,IF(TDBC&gt;=$U427,1,(TDBC-$B427)/($U427-$B427))))</f>
      </c>
      <c r="Y427" s="223">
        <f>IF($A427="","",IF($V427="Đã xử lý","Hoàn thành",IF(N($U427)=0,"Chưa đặt hạn",IF(TDBC&gt;$U427,"Quá hạn",IF(ROUND((N($X427)-$W427)*100,0)&gt;=20,"Chậm tiến độ",IF($U427-TDBC&lt;=1,"Sắp đến hạn","Đúng tiến độ"))))))</f>
      </c>
      <c r="Z427" s="223">
        <f>IF(OR($A427="",$V427="Đã xử lý",N($U427)=0),"",IF(TDBC&gt;$U427,"Quá "&amp;IF(((TDBC-$U427)*24)&lt;1,MAX(1,ROUND(((TDBC-$U427)*24)*60,0))&amp;" phút",IF(ROUND(((TDBC-$U427)*24),0)&lt;24,ROUND(((TDBC-$U427)*24),0)&amp;" giờ",INT(ROUND(((TDBC-$U427)*24),0)/24)&amp;" ngày"&amp;IF(MOD(ROUND(((TDBC-$U427)*24),0),24)&gt;0," "&amp;MOD(ROUND(((TDBC-$U427)*24),0),24)&amp;" giờ",""))),"Còn "&amp;IF((($U427-TDBC)*24)&lt;1,MAX(1,ROUND((($U427-TDBC)*24)*60,0))&amp;" phút",IF(ROUND((($U427-TDBC)*24),0)&lt;24,ROUND((($U427-TDBC)*24),0)&amp;" giờ",INT(ROUND((($U427-TDBC)*24),0)/24)&amp;" ngày"&amp;IF(MOD(ROUND((($U427-TDBC)*24),0),24)&gt;0," "&amp;MOD(ROUND((($U427-TDBC)*24),0),24)&amp;" giờ","")))))</f>
      </c>
      <c r="AA427" s="220">
        <f>IF($V427="Đã xử lý",_xlfn.MAXIFS('Nhật ký tiến độ'!$B$6:$B$3005,'Nhật ký tiến độ'!$C$6:$C$3005,$A427,'Nhật ký tiến độ'!$E$6:$E$3005,"Đã xử lý"),"")</f>
      </c>
      <c r="AB427" s="223">
        <f>IF($AI427="","",IF($AI427&lt;1,MAX(1,ROUND($AI427*60,0))&amp;" phút",IF(ROUND($AI427,0)&lt;24,ROUND($AI427,0)&amp;" giờ",INT(ROUND($AI427,0)/24)&amp;" ngày"&amp;IF(MOD(ROUND($AI427,0),24)&gt;0," "&amp;MOD(ROUND($AI427,0),24)&amp;" giờ",""))))</f>
      </c>
      <c r="AC427" s="223">
        <f>IF(OR($A427="",N($AH427)=0),"",IF($AI427&lt;&gt;"",IF($AI427&lt;=$AH427,"Trong ước tính","Vượt "&amp;IF(($AI427-$AH427)&lt;1,MAX(1,ROUND(($AI427-$AH427)*60,0))&amp;" phút",IF(ROUND(($AI427-$AH427),0)&lt;24,ROUND(($AI427-$AH427),0)&amp;" giờ",INT(ROUND(($AI427-$AH427),0)/24)&amp;" ngày"&amp;IF(MOD(ROUND(($AI427-$AH427),0),24)&gt;0," "&amp;MOD(ROUND(($AI427-$AH427),0),24)&amp;" giờ","")))),IF(OR($V427="Đã xử lý",N($B427)=0),"",IF((TDBC-$B427)*24&gt;$AH427,"Đã vượt ước tính","Đã dùng "&amp;TEXT((TDBC-$B427)*24/$AH427,"0%")))))</f>
      </c>
      <c r="AD427" s="223">
        <f>IF(N($AO427)=0,"",CHOOSE($AO427,"Nhắc nhở","Cảnh báo","Báo động","Báo động đỏ"))</f>
      </c>
      <c r="AE427" s="223">
        <f>IF(OR(N($AA427)=0,N($U427)=0),"",IF($AA427&lt;=$U427,"Đúng hạn","Trễ hạn"))</f>
      </c>
      <c r="AF427" s="220">
        <f>IF($A427="","",_xlfn.MAXIFS('Nhật ký tiến độ'!$B$6:$B$3005,'Nhật ký tiến độ'!$C$6:$C$3005,$A427))</f>
      </c>
      <c r="AG427" s="223">
        <f>IF($A427="","",IF(COUNTIF('Kế hoạch'!$M$6:$M$305,$A427)=0,"",COUNTIF('Kế hoạch'!$M$6:$M$305,$A427)&amp;" việc"))</f>
      </c>
      <c r="AH427" s="224">
        <f>IF(OR($A427="",N($O427)&lt;=0),"",IF($P427="Giờ",$O427,$O427*24))</f>
      </c>
      <c r="AI427" s="224">
        <f>IF(OR(N($AA427)=0,N($B427)=0),"",IF($AA427&lt;$B427,"",($AA427-$B427)*24))</f>
      </c>
      <c r="AJ427" s="225">
        <f>IF($A427="","",IF(COUNTIF('Nhật ký tiến độ'!$C$6:$C$3005,$A427)=0,0,_xlfn.MAXIFS('Nhật ký tiến độ'!$N$6:$N$3005,'Nhật ký tiến độ'!$C$6:$C$3005,$A427,'Nhật ký tiến độ'!$B$6:$B$3005,_xlfn.MAXIFS('Nhật ký tiến độ'!$B$6:$B$3005,'Nhật ký tiến độ'!$C$6:$C$3005,$A427))))</f>
      </c>
      <c r="AK427" s="225">
        <f>IF(OR($A427="",$V427="Đã xử lý"),"",IF(N($AO427)&gt;0,5-$AO427,IF($J427="Khẩn cấp",5,IF($Y427="Chậm tiến độ",6,IF(OR($Y427="Sắp đến hạn",$J427="Cao"),7,"")))))</f>
      </c>
      <c r="AL427" s="225">
        <f>IF($AK427="","",$AK427*100000+IF(N($U427)=0,99999,INT($U427))+ROW()/100000)</f>
      </c>
      <c r="AM427" s="225">
        <f>IF(OR($A427="",TRIM($K427)="",COUNTIF($K$6:$K427,$K427)&gt;1),0,1)</f>
      </c>
      <c r="AN427" s="225">
        <f>IF($AM427=1,SUM($AM$6:$AM427),"")</f>
      </c>
      <c r="AO427" s="225">
        <f>IF(OR($A427="",$V427="Đã xử lý",N($U427)=0),0,IF(TDBC&lt;=$U427,0,MAX(1,MIN(4,IF((TDBC-$U427)*24&lt;24,1,IF((TDBC-$U427)*24&lt;72,2,IF((TDBC-$U427)*24&lt;168,3,4)))+IFERROR(INDEX({2,1,0,-1},MATCH($J427,{"Khẩn cấp","Cao","Trung bình","Thấp"},0)),0)))))</f>
      </c>
    </row>
    <row r="428">
      <c r="A428" s="216"/>
      <c r="B428" s="217"/>
      <c r="C428" s="218"/>
      <c r="D428" s="218"/>
      <c r="E428" s="218"/>
      <c r="F428" s="218"/>
      <c r="G428" s="216"/>
      <c r="H428" s="218"/>
      <c r="I428" s="218"/>
      <c r="J428" s="216"/>
      <c r="K428" s="218"/>
      <c r="L428" s="218"/>
      <c r="M428" s="218"/>
      <c r="N428" s="218"/>
      <c r="O428" s="219"/>
      <c r="P428" s="216"/>
      <c r="Q428" s="217"/>
      <c r="R428" s="216"/>
      <c r="S428" s="218"/>
      <c r="T428" s="218"/>
      <c r="U428" s="220">
        <f>IF($A428="","",IF(N($Q428)&gt;0,IF(MOD($Q428,1)=0,$Q428+1-1/1440,$Q428),IF(N($B428)=0,"",$B428+IF(N($AH428)&gt;0,$AH428,IFERROR(INDEX(DM_SLA_Gio,MATCH($J428,DM_SLA_Cap,0)),168))/24)))</f>
      </c>
      <c r="V428" s="221">
        <f>IF($A428="","",IF(N($AJ428)=0,"Mới tiếp nhận",INDEX('Nhật ký tiến độ'!$E:$E,$AJ428)))</f>
      </c>
      <c r="W428" s="222">
        <f>IF($A428="","",IF($V428="Đã xử lý",1,IF(N($AJ428)=0,0,N(INDEX('Nhật ký tiến độ'!$D:$D,$AJ428)))))</f>
      </c>
      <c r="X428" s="222">
        <f>IF(OR($A428="",$V428="Đã xử lý",N($U428)=0,N($B428)=0),"",IF(TDBC&lt;=$B428,0,IF(TDBC&gt;=$U428,1,(TDBC-$B428)/($U428-$B428))))</f>
      </c>
      <c r="Y428" s="223">
        <f>IF($A428="","",IF($V428="Đã xử lý","Hoàn thành",IF(N($U428)=0,"Chưa đặt hạn",IF(TDBC&gt;$U428,"Quá hạn",IF(ROUND((N($X428)-$W428)*100,0)&gt;=20,"Chậm tiến độ",IF($U428-TDBC&lt;=1,"Sắp đến hạn","Đúng tiến độ"))))))</f>
      </c>
      <c r="Z428" s="223">
        <f>IF(OR($A428="",$V428="Đã xử lý",N($U428)=0),"",IF(TDBC&gt;$U428,"Quá "&amp;IF(((TDBC-$U428)*24)&lt;1,MAX(1,ROUND(((TDBC-$U428)*24)*60,0))&amp;" phút",IF(ROUND(((TDBC-$U428)*24),0)&lt;24,ROUND(((TDBC-$U428)*24),0)&amp;" giờ",INT(ROUND(((TDBC-$U428)*24),0)/24)&amp;" ngày"&amp;IF(MOD(ROUND(((TDBC-$U428)*24),0),24)&gt;0," "&amp;MOD(ROUND(((TDBC-$U428)*24),0),24)&amp;" giờ",""))),"Còn "&amp;IF((($U428-TDBC)*24)&lt;1,MAX(1,ROUND((($U428-TDBC)*24)*60,0))&amp;" phút",IF(ROUND((($U428-TDBC)*24),0)&lt;24,ROUND((($U428-TDBC)*24),0)&amp;" giờ",INT(ROUND((($U428-TDBC)*24),0)/24)&amp;" ngày"&amp;IF(MOD(ROUND((($U428-TDBC)*24),0),24)&gt;0," "&amp;MOD(ROUND((($U428-TDBC)*24),0),24)&amp;" giờ","")))))</f>
      </c>
      <c r="AA428" s="220">
        <f>IF($V428="Đã xử lý",_xlfn.MAXIFS('Nhật ký tiến độ'!$B$6:$B$3005,'Nhật ký tiến độ'!$C$6:$C$3005,$A428,'Nhật ký tiến độ'!$E$6:$E$3005,"Đã xử lý"),"")</f>
      </c>
      <c r="AB428" s="223">
        <f>IF($AI428="","",IF($AI428&lt;1,MAX(1,ROUND($AI428*60,0))&amp;" phút",IF(ROUND($AI428,0)&lt;24,ROUND($AI428,0)&amp;" giờ",INT(ROUND($AI428,0)/24)&amp;" ngày"&amp;IF(MOD(ROUND($AI428,0),24)&gt;0," "&amp;MOD(ROUND($AI428,0),24)&amp;" giờ",""))))</f>
      </c>
      <c r="AC428" s="223">
        <f>IF(OR($A428="",N($AH428)=0),"",IF($AI428&lt;&gt;"",IF($AI428&lt;=$AH428,"Trong ước tính","Vượt "&amp;IF(($AI428-$AH428)&lt;1,MAX(1,ROUND(($AI428-$AH428)*60,0))&amp;" phút",IF(ROUND(($AI428-$AH428),0)&lt;24,ROUND(($AI428-$AH428),0)&amp;" giờ",INT(ROUND(($AI428-$AH428),0)/24)&amp;" ngày"&amp;IF(MOD(ROUND(($AI428-$AH428),0),24)&gt;0," "&amp;MOD(ROUND(($AI428-$AH428),0),24)&amp;" giờ","")))),IF(OR($V428="Đã xử lý",N($B428)=0),"",IF((TDBC-$B428)*24&gt;$AH428,"Đã vượt ước tính","Đã dùng "&amp;TEXT((TDBC-$B428)*24/$AH428,"0%")))))</f>
      </c>
      <c r="AD428" s="223">
        <f>IF(N($AO428)=0,"",CHOOSE($AO428,"Nhắc nhở","Cảnh báo","Báo động","Báo động đỏ"))</f>
      </c>
      <c r="AE428" s="223">
        <f>IF(OR(N($AA428)=0,N($U428)=0),"",IF($AA428&lt;=$U428,"Đúng hạn","Trễ hạn"))</f>
      </c>
      <c r="AF428" s="220">
        <f>IF($A428="","",_xlfn.MAXIFS('Nhật ký tiến độ'!$B$6:$B$3005,'Nhật ký tiến độ'!$C$6:$C$3005,$A428))</f>
      </c>
      <c r="AG428" s="223">
        <f>IF($A428="","",IF(COUNTIF('Kế hoạch'!$M$6:$M$305,$A428)=0,"",COUNTIF('Kế hoạch'!$M$6:$M$305,$A428)&amp;" việc"))</f>
      </c>
      <c r="AH428" s="224">
        <f>IF(OR($A428="",N($O428)&lt;=0),"",IF($P428="Giờ",$O428,$O428*24))</f>
      </c>
      <c r="AI428" s="224">
        <f>IF(OR(N($AA428)=0,N($B428)=0),"",IF($AA428&lt;$B428,"",($AA428-$B428)*24))</f>
      </c>
      <c r="AJ428" s="225">
        <f>IF($A428="","",IF(COUNTIF('Nhật ký tiến độ'!$C$6:$C$3005,$A428)=0,0,_xlfn.MAXIFS('Nhật ký tiến độ'!$N$6:$N$3005,'Nhật ký tiến độ'!$C$6:$C$3005,$A428,'Nhật ký tiến độ'!$B$6:$B$3005,_xlfn.MAXIFS('Nhật ký tiến độ'!$B$6:$B$3005,'Nhật ký tiến độ'!$C$6:$C$3005,$A428))))</f>
      </c>
      <c r="AK428" s="225">
        <f>IF(OR($A428="",$V428="Đã xử lý"),"",IF(N($AO428)&gt;0,5-$AO428,IF($J428="Khẩn cấp",5,IF($Y428="Chậm tiến độ",6,IF(OR($Y428="Sắp đến hạn",$J428="Cao"),7,"")))))</f>
      </c>
      <c r="AL428" s="225">
        <f>IF($AK428="","",$AK428*100000+IF(N($U428)=0,99999,INT($U428))+ROW()/100000)</f>
      </c>
      <c r="AM428" s="225">
        <f>IF(OR($A428="",TRIM($K428)="",COUNTIF($K$6:$K428,$K428)&gt;1),0,1)</f>
      </c>
      <c r="AN428" s="225">
        <f>IF($AM428=1,SUM($AM$6:$AM428),"")</f>
      </c>
      <c r="AO428" s="225">
        <f>IF(OR($A428="",$V428="Đã xử lý",N($U428)=0),0,IF(TDBC&lt;=$U428,0,MAX(1,MIN(4,IF((TDBC-$U428)*24&lt;24,1,IF((TDBC-$U428)*24&lt;72,2,IF((TDBC-$U428)*24&lt;168,3,4)))+IFERROR(INDEX({2,1,0,-1},MATCH($J428,{"Khẩn cấp","Cao","Trung bình","Thấp"},0)),0)))))</f>
      </c>
    </row>
    <row r="429">
      <c r="A429" s="216"/>
      <c r="B429" s="217"/>
      <c r="C429" s="218"/>
      <c r="D429" s="218"/>
      <c r="E429" s="218"/>
      <c r="F429" s="218"/>
      <c r="G429" s="216"/>
      <c r="H429" s="218"/>
      <c r="I429" s="218"/>
      <c r="J429" s="216"/>
      <c r="K429" s="218"/>
      <c r="L429" s="218"/>
      <c r="M429" s="218"/>
      <c r="N429" s="218"/>
      <c r="O429" s="219"/>
      <c r="P429" s="216"/>
      <c r="Q429" s="217"/>
      <c r="R429" s="216"/>
      <c r="S429" s="218"/>
      <c r="T429" s="218"/>
      <c r="U429" s="220">
        <f>IF($A429="","",IF(N($Q429)&gt;0,IF(MOD($Q429,1)=0,$Q429+1-1/1440,$Q429),IF(N($B429)=0,"",$B429+IF(N($AH429)&gt;0,$AH429,IFERROR(INDEX(DM_SLA_Gio,MATCH($J429,DM_SLA_Cap,0)),168))/24)))</f>
      </c>
      <c r="V429" s="221">
        <f>IF($A429="","",IF(N($AJ429)=0,"Mới tiếp nhận",INDEX('Nhật ký tiến độ'!$E:$E,$AJ429)))</f>
      </c>
      <c r="W429" s="222">
        <f>IF($A429="","",IF($V429="Đã xử lý",1,IF(N($AJ429)=0,0,N(INDEX('Nhật ký tiến độ'!$D:$D,$AJ429)))))</f>
      </c>
      <c r="X429" s="222">
        <f>IF(OR($A429="",$V429="Đã xử lý",N($U429)=0,N($B429)=0),"",IF(TDBC&lt;=$B429,0,IF(TDBC&gt;=$U429,1,(TDBC-$B429)/($U429-$B429))))</f>
      </c>
      <c r="Y429" s="223">
        <f>IF($A429="","",IF($V429="Đã xử lý","Hoàn thành",IF(N($U429)=0,"Chưa đặt hạn",IF(TDBC&gt;$U429,"Quá hạn",IF(ROUND((N($X429)-$W429)*100,0)&gt;=20,"Chậm tiến độ",IF($U429-TDBC&lt;=1,"Sắp đến hạn","Đúng tiến độ"))))))</f>
      </c>
      <c r="Z429" s="223">
        <f>IF(OR($A429="",$V429="Đã xử lý",N($U429)=0),"",IF(TDBC&gt;$U429,"Quá "&amp;IF(((TDBC-$U429)*24)&lt;1,MAX(1,ROUND(((TDBC-$U429)*24)*60,0))&amp;" phút",IF(ROUND(((TDBC-$U429)*24),0)&lt;24,ROUND(((TDBC-$U429)*24),0)&amp;" giờ",INT(ROUND(((TDBC-$U429)*24),0)/24)&amp;" ngày"&amp;IF(MOD(ROUND(((TDBC-$U429)*24),0),24)&gt;0," "&amp;MOD(ROUND(((TDBC-$U429)*24),0),24)&amp;" giờ",""))),"Còn "&amp;IF((($U429-TDBC)*24)&lt;1,MAX(1,ROUND((($U429-TDBC)*24)*60,0))&amp;" phút",IF(ROUND((($U429-TDBC)*24),0)&lt;24,ROUND((($U429-TDBC)*24),0)&amp;" giờ",INT(ROUND((($U429-TDBC)*24),0)/24)&amp;" ngày"&amp;IF(MOD(ROUND((($U429-TDBC)*24),0),24)&gt;0," "&amp;MOD(ROUND((($U429-TDBC)*24),0),24)&amp;" giờ","")))))</f>
      </c>
      <c r="AA429" s="220">
        <f>IF($V429="Đã xử lý",_xlfn.MAXIFS('Nhật ký tiến độ'!$B$6:$B$3005,'Nhật ký tiến độ'!$C$6:$C$3005,$A429,'Nhật ký tiến độ'!$E$6:$E$3005,"Đã xử lý"),"")</f>
      </c>
      <c r="AB429" s="223">
        <f>IF($AI429="","",IF($AI429&lt;1,MAX(1,ROUND($AI429*60,0))&amp;" phút",IF(ROUND($AI429,0)&lt;24,ROUND($AI429,0)&amp;" giờ",INT(ROUND($AI429,0)/24)&amp;" ngày"&amp;IF(MOD(ROUND($AI429,0),24)&gt;0," "&amp;MOD(ROUND($AI429,0),24)&amp;" giờ",""))))</f>
      </c>
      <c r="AC429" s="223">
        <f>IF(OR($A429="",N($AH429)=0),"",IF($AI429&lt;&gt;"",IF($AI429&lt;=$AH429,"Trong ước tính","Vượt "&amp;IF(($AI429-$AH429)&lt;1,MAX(1,ROUND(($AI429-$AH429)*60,0))&amp;" phút",IF(ROUND(($AI429-$AH429),0)&lt;24,ROUND(($AI429-$AH429),0)&amp;" giờ",INT(ROUND(($AI429-$AH429),0)/24)&amp;" ngày"&amp;IF(MOD(ROUND(($AI429-$AH429),0),24)&gt;0," "&amp;MOD(ROUND(($AI429-$AH429),0),24)&amp;" giờ","")))),IF(OR($V429="Đã xử lý",N($B429)=0),"",IF((TDBC-$B429)*24&gt;$AH429,"Đã vượt ước tính","Đã dùng "&amp;TEXT((TDBC-$B429)*24/$AH429,"0%")))))</f>
      </c>
      <c r="AD429" s="223">
        <f>IF(N($AO429)=0,"",CHOOSE($AO429,"Nhắc nhở","Cảnh báo","Báo động","Báo động đỏ"))</f>
      </c>
      <c r="AE429" s="223">
        <f>IF(OR(N($AA429)=0,N($U429)=0),"",IF($AA429&lt;=$U429,"Đúng hạn","Trễ hạn"))</f>
      </c>
      <c r="AF429" s="220">
        <f>IF($A429="","",_xlfn.MAXIFS('Nhật ký tiến độ'!$B$6:$B$3005,'Nhật ký tiến độ'!$C$6:$C$3005,$A429))</f>
      </c>
      <c r="AG429" s="223">
        <f>IF($A429="","",IF(COUNTIF('Kế hoạch'!$M$6:$M$305,$A429)=0,"",COUNTIF('Kế hoạch'!$M$6:$M$305,$A429)&amp;" việc"))</f>
      </c>
      <c r="AH429" s="224">
        <f>IF(OR($A429="",N($O429)&lt;=0),"",IF($P429="Giờ",$O429,$O429*24))</f>
      </c>
      <c r="AI429" s="224">
        <f>IF(OR(N($AA429)=0,N($B429)=0),"",IF($AA429&lt;$B429,"",($AA429-$B429)*24))</f>
      </c>
      <c r="AJ429" s="225">
        <f>IF($A429="","",IF(COUNTIF('Nhật ký tiến độ'!$C$6:$C$3005,$A429)=0,0,_xlfn.MAXIFS('Nhật ký tiến độ'!$N$6:$N$3005,'Nhật ký tiến độ'!$C$6:$C$3005,$A429,'Nhật ký tiến độ'!$B$6:$B$3005,_xlfn.MAXIFS('Nhật ký tiến độ'!$B$6:$B$3005,'Nhật ký tiến độ'!$C$6:$C$3005,$A429))))</f>
      </c>
      <c r="AK429" s="225">
        <f>IF(OR($A429="",$V429="Đã xử lý"),"",IF(N($AO429)&gt;0,5-$AO429,IF($J429="Khẩn cấp",5,IF($Y429="Chậm tiến độ",6,IF(OR($Y429="Sắp đến hạn",$J429="Cao"),7,"")))))</f>
      </c>
      <c r="AL429" s="225">
        <f>IF($AK429="","",$AK429*100000+IF(N($U429)=0,99999,INT($U429))+ROW()/100000)</f>
      </c>
      <c r="AM429" s="225">
        <f>IF(OR($A429="",TRIM($K429)="",COUNTIF($K$6:$K429,$K429)&gt;1),0,1)</f>
      </c>
      <c r="AN429" s="225">
        <f>IF($AM429=1,SUM($AM$6:$AM429),"")</f>
      </c>
      <c r="AO429" s="225">
        <f>IF(OR($A429="",$V429="Đã xử lý",N($U429)=0),0,IF(TDBC&lt;=$U429,0,MAX(1,MIN(4,IF((TDBC-$U429)*24&lt;24,1,IF((TDBC-$U429)*24&lt;72,2,IF((TDBC-$U429)*24&lt;168,3,4)))+IFERROR(INDEX({2,1,0,-1},MATCH($J429,{"Khẩn cấp","Cao","Trung bình","Thấp"},0)),0)))))</f>
      </c>
    </row>
    <row r="430">
      <c r="A430" s="216"/>
      <c r="B430" s="217"/>
      <c r="C430" s="218"/>
      <c r="D430" s="218"/>
      <c r="E430" s="218"/>
      <c r="F430" s="218"/>
      <c r="G430" s="216"/>
      <c r="H430" s="218"/>
      <c r="I430" s="218"/>
      <c r="J430" s="216"/>
      <c r="K430" s="218"/>
      <c r="L430" s="218"/>
      <c r="M430" s="218"/>
      <c r="N430" s="218"/>
      <c r="O430" s="219"/>
      <c r="P430" s="216"/>
      <c r="Q430" s="217"/>
      <c r="R430" s="216"/>
      <c r="S430" s="218"/>
      <c r="T430" s="218"/>
      <c r="U430" s="220">
        <f>IF($A430="","",IF(N($Q430)&gt;0,IF(MOD($Q430,1)=0,$Q430+1-1/1440,$Q430),IF(N($B430)=0,"",$B430+IF(N($AH430)&gt;0,$AH430,IFERROR(INDEX(DM_SLA_Gio,MATCH($J430,DM_SLA_Cap,0)),168))/24)))</f>
      </c>
      <c r="V430" s="221">
        <f>IF($A430="","",IF(N($AJ430)=0,"Mới tiếp nhận",INDEX('Nhật ký tiến độ'!$E:$E,$AJ430)))</f>
      </c>
      <c r="W430" s="222">
        <f>IF($A430="","",IF($V430="Đã xử lý",1,IF(N($AJ430)=0,0,N(INDEX('Nhật ký tiến độ'!$D:$D,$AJ430)))))</f>
      </c>
      <c r="X430" s="222">
        <f>IF(OR($A430="",$V430="Đã xử lý",N($U430)=0,N($B430)=0),"",IF(TDBC&lt;=$B430,0,IF(TDBC&gt;=$U430,1,(TDBC-$B430)/($U430-$B430))))</f>
      </c>
      <c r="Y430" s="223">
        <f>IF($A430="","",IF($V430="Đã xử lý","Hoàn thành",IF(N($U430)=0,"Chưa đặt hạn",IF(TDBC&gt;$U430,"Quá hạn",IF(ROUND((N($X430)-$W430)*100,0)&gt;=20,"Chậm tiến độ",IF($U430-TDBC&lt;=1,"Sắp đến hạn","Đúng tiến độ"))))))</f>
      </c>
      <c r="Z430" s="223">
        <f>IF(OR($A430="",$V430="Đã xử lý",N($U430)=0),"",IF(TDBC&gt;$U430,"Quá "&amp;IF(((TDBC-$U430)*24)&lt;1,MAX(1,ROUND(((TDBC-$U430)*24)*60,0))&amp;" phút",IF(ROUND(((TDBC-$U430)*24),0)&lt;24,ROUND(((TDBC-$U430)*24),0)&amp;" giờ",INT(ROUND(((TDBC-$U430)*24),0)/24)&amp;" ngày"&amp;IF(MOD(ROUND(((TDBC-$U430)*24),0),24)&gt;0," "&amp;MOD(ROUND(((TDBC-$U430)*24),0),24)&amp;" giờ",""))),"Còn "&amp;IF((($U430-TDBC)*24)&lt;1,MAX(1,ROUND((($U430-TDBC)*24)*60,0))&amp;" phút",IF(ROUND((($U430-TDBC)*24),0)&lt;24,ROUND((($U430-TDBC)*24),0)&amp;" giờ",INT(ROUND((($U430-TDBC)*24),0)/24)&amp;" ngày"&amp;IF(MOD(ROUND((($U430-TDBC)*24),0),24)&gt;0," "&amp;MOD(ROUND((($U430-TDBC)*24),0),24)&amp;" giờ","")))))</f>
      </c>
      <c r="AA430" s="220">
        <f>IF($V430="Đã xử lý",_xlfn.MAXIFS('Nhật ký tiến độ'!$B$6:$B$3005,'Nhật ký tiến độ'!$C$6:$C$3005,$A430,'Nhật ký tiến độ'!$E$6:$E$3005,"Đã xử lý"),"")</f>
      </c>
      <c r="AB430" s="223">
        <f>IF($AI430="","",IF($AI430&lt;1,MAX(1,ROUND($AI430*60,0))&amp;" phút",IF(ROUND($AI430,0)&lt;24,ROUND($AI430,0)&amp;" giờ",INT(ROUND($AI430,0)/24)&amp;" ngày"&amp;IF(MOD(ROUND($AI430,0),24)&gt;0," "&amp;MOD(ROUND($AI430,0),24)&amp;" giờ",""))))</f>
      </c>
      <c r="AC430" s="223">
        <f>IF(OR($A430="",N($AH430)=0),"",IF($AI430&lt;&gt;"",IF($AI430&lt;=$AH430,"Trong ước tính","Vượt "&amp;IF(($AI430-$AH430)&lt;1,MAX(1,ROUND(($AI430-$AH430)*60,0))&amp;" phút",IF(ROUND(($AI430-$AH430),0)&lt;24,ROUND(($AI430-$AH430),0)&amp;" giờ",INT(ROUND(($AI430-$AH430),0)/24)&amp;" ngày"&amp;IF(MOD(ROUND(($AI430-$AH430),0),24)&gt;0," "&amp;MOD(ROUND(($AI430-$AH430),0),24)&amp;" giờ","")))),IF(OR($V430="Đã xử lý",N($B430)=0),"",IF((TDBC-$B430)*24&gt;$AH430,"Đã vượt ước tính","Đã dùng "&amp;TEXT((TDBC-$B430)*24/$AH430,"0%")))))</f>
      </c>
      <c r="AD430" s="223">
        <f>IF(N($AO430)=0,"",CHOOSE($AO430,"Nhắc nhở","Cảnh báo","Báo động","Báo động đỏ"))</f>
      </c>
      <c r="AE430" s="223">
        <f>IF(OR(N($AA430)=0,N($U430)=0),"",IF($AA430&lt;=$U430,"Đúng hạn","Trễ hạn"))</f>
      </c>
      <c r="AF430" s="220">
        <f>IF($A430="","",_xlfn.MAXIFS('Nhật ký tiến độ'!$B$6:$B$3005,'Nhật ký tiến độ'!$C$6:$C$3005,$A430))</f>
      </c>
      <c r="AG430" s="223">
        <f>IF($A430="","",IF(COUNTIF('Kế hoạch'!$M$6:$M$305,$A430)=0,"",COUNTIF('Kế hoạch'!$M$6:$M$305,$A430)&amp;" việc"))</f>
      </c>
      <c r="AH430" s="224">
        <f>IF(OR($A430="",N($O430)&lt;=0),"",IF($P430="Giờ",$O430,$O430*24))</f>
      </c>
      <c r="AI430" s="224">
        <f>IF(OR(N($AA430)=0,N($B430)=0),"",IF($AA430&lt;$B430,"",($AA430-$B430)*24))</f>
      </c>
      <c r="AJ430" s="225">
        <f>IF($A430="","",IF(COUNTIF('Nhật ký tiến độ'!$C$6:$C$3005,$A430)=0,0,_xlfn.MAXIFS('Nhật ký tiến độ'!$N$6:$N$3005,'Nhật ký tiến độ'!$C$6:$C$3005,$A430,'Nhật ký tiến độ'!$B$6:$B$3005,_xlfn.MAXIFS('Nhật ký tiến độ'!$B$6:$B$3005,'Nhật ký tiến độ'!$C$6:$C$3005,$A430))))</f>
      </c>
      <c r="AK430" s="225">
        <f>IF(OR($A430="",$V430="Đã xử lý"),"",IF(N($AO430)&gt;0,5-$AO430,IF($J430="Khẩn cấp",5,IF($Y430="Chậm tiến độ",6,IF(OR($Y430="Sắp đến hạn",$J430="Cao"),7,"")))))</f>
      </c>
      <c r="AL430" s="225">
        <f>IF($AK430="","",$AK430*100000+IF(N($U430)=0,99999,INT($U430))+ROW()/100000)</f>
      </c>
      <c r="AM430" s="225">
        <f>IF(OR($A430="",TRIM($K430)="",COUNTIF($K$6:$K430,$K430)&gt;1),0,1)</f>
      </c>
      <c r="AN430" s="225">
        <f>IF($AM430=1,SUM($AM$6:$AM430),"")</f>
      </c>
      <c r="AO430" s="225">
        <f>IF(OR($A430="",$V430="Đã xử lý",N($U430)=0),0,IF(TDBC&lt;=$U430,0,MAX(1,MIN(4,IF((TDBC-$U430)*24&lt;24,1,IF((TDBC-$U430)*24&lt;72,2,IF((TDBC-$U430)*24&lt;168,3,4)))+IFERROR(INDEX({2,1,0,-1},MATCH($J430,{"Khẩn cấp","Cao","Trung bình","Thấp"},0)),0)))))</f>
      </c>
    </row>
    <row r="431">
      <c r="A431" s="216"/>
      <c r="B431" s="217"/>
      <c r="C431" s="218"/>
      <c r="D431" s="218"/>
      <c r="E431" s="218"/>
      <c r="F431" s="218"/>
      <c r="G431" s="216"/>
      <c r="H431" s="218"/>
      <c r="I431" s="218"/>
      <c r="J431" s="216"/>
      <c r="K431" s="218"/>
      <c r="L431" s="218"/>
      <c r="M431" s="218"/>
      <c r="N431" s="218"/>
      <c r="O431" s="219"/>
      <c r="P431" s="216"/>
      <c r="Q431" s="217"/>
      <c r="R431" s="216"/>
      <c r="S431" s="218"/>
      <c r="T431" s="218"/>
      <c r="U431" s="220">
        <f>IF($A431="","",IF(N($Q431)&gt;0,IF(MOD($Q431,1)=0,$Q431+1-1/1440,$Q431),IF(N($B431)=0,"",$B431+IF(N($AH431)&gt;0,$AH431,IFERROR(INDEX(DM_SLA_Gio,MATCH($J431,DM_SLA_Cap,0)),168))/24)))</f>
      </c>
      <c r="V431" s="221">
        <f>IF($A431="","",IF(N($AJ431)=0,"Mới tiếp nhận",INDEX('Nhật ký tiến độ'!$E:$E,$AJ431)))</f>
      </c>
      <c r="W431" s="222">
        <f>IF($A431="","",IF($V431="Đã xử lý",1,IF(N($AJ431)=0,0,N(INDEX('Nhật ký tiến độ'!$D:$D,$AJ431)))))</f>
      </c>
      <c r="X431" s="222">
        <f>IF(OR($A431="",$V431="Đã xử lý",N($U431)=0,N($B431)=0),"",IF(TDBC&lt;=$B431,0,IF(TDBC&gt;=$U431,1,(TDBC-$B431)/($U431-$B431))))</f>
      </c>
      <c r="Y431" s="223">
        <f>IF($A431="","",IF($V431="Đã xử lý","Hoàn thành",IF(N($U431)=0,"Chưa đặt hạn",IF(TDBC&gt;$U431,"Quá hạn",IF(ROUND((N($X431)-$W431)*100,0)&gt;=20,"Chậm tiến độ",IF($U431-TDBC&lt;=1,"Sắp đến hạn","Đúng tiến độ"))))))</f>
      </c>
      <c r="Z431" s="223">
        <f>IF(OR($A431="",$V431="Đã xử lý",N($U431)=0),"",IF(TDBC&gt;$U431,"Quá "&amp;IF(((TDBC-$U431)*24)&lt;1,MAX(1,ROUND(((TDBC-$U431)*24)*60,0))&amp;" phút",IF(ROUND(((TDBC-$U431)*24),0)&lt;24,ROUND(((TDBC-$U431)*24),0)&amp;" giờ",INT(ROUND(((TDBC-$U431)*24),0)/24)&amp;" ngày"&amp;IF(MOD(ROUND(((TDBC-$U431)*24),0),24)&gt;0," "&amp;MOD(ROUND(((TDBC-$U431)*24),0),24)&amp;" giờ",""))),"Còn "&amp;IF((($U431-TDBC)*24)&lt;1,MAX(1,ROUND((($U431-TDBC)*24)*60,0))&amp;" phút",IF(ROUND((($U431-TDBC)*24),0)&lt;24,ROUND((($U431-TDBC)*24),0)&amp;" giờ",INT(ROUND((($U431-TDBC)*24),0)/24)&amp;" ngày"&amp;IF(MOD(ROUND((($U431-TDBC)*24),0),24)&gt;0," "&amp;MOD(ROUND((($U431-TDBC)*24),0),24)&amp;" giờ","")))))</f>
      </c>
      <c r="AA431" s="220">
        <f>IF($V431="Đã xử lý",_xlfn.MAXIFS('Nhật ký tiến độ'!$B$6:$B$3005,'Nhật ký tiến độ'!$C$6:$C$3005,$A431,'Nhật ký tiến độ'!$E$6:$E$3005,"Đã xử lý"),"")</f>
      </c>
      <c r="AB431" s="223">
        <f>IF($AI431="","",IF($AI431&lt;1,MAX(1,ROUND($AI431*60,0))&amp;" phút",IF(ROUND($AI431,0)&lt;24,ROUND($AI431,0)&amp;" giờ",INT(ROUND($AI431,0)/24)&amp;" ngày"&amp;IF(MOD(ROUND($AI431,0),24)&gt;0," "&amp;MOD(ROUND($AI431,0),24)&amp;" giờ",""))))</f>
      </c>
      <c r="AC431" s="223">
        <f>IF(OR($A431="",N($AH431)=0),"",IF($AI431&lt;&gt;"",IF($AI431&lt;=$AH431,"Trong ước tính","Vượt "&amp;IF(($AI431-$AH431)&lt;1,MAX(1,ROUND(($AI431-$AH431)*60,0))&amp;" phút",IF(ROUND(($AI431-$AH431),0)&lt;24,ROUND(($AI431-$AH431),0)&amp;" giờ",INT(ROUND(($AI431-$AH431),0)/24)&amp;" ngày"&amp;IF(MOD(ROUND(($AI431-$AH431),0),24)&gt;0," "&amp;MOD(ROUND(($AI431-$AH431),0),24)&amp;" giờ","")))),IF(OR($V431="Đã xử lý",N($B431)=0),"",IF((TDBC-$B431)*24&gt;$AH431,"Đã vượt ước tính","Đã dùng "&amp;TEXT((TDBC-$B431)*24/$AH431,"0%")))))</f>
      </c>
      <c r="AD431" s="223">
        <f>IF(N($AO431)=0,"",CHOOSE($AO431,"Nhắc nhở","Cảnh báo","Báo động","Báo động đỏ"))</f>
      </c>
      <c r="AE431" s="223">
        <f>IF(OR(N($AA431)=0,N($U431)=0),"",IF($AA431&lt;=$U431,"Đúng hạn","Trễ hạn"))</f>
      </c>
      <c r="AF431" s="220">
        <f>IF($A431="","",_xlfn.MAXIFS('Nhật ký tiến độ'!$B$6:$B$3005,'Nhật ký tiến độ'!$C$6:$C$3005,$A431))</f>
      </c>
      <c r="AG431" s="223">
        <f>IF($A431="","",IF(COUNTIF('Kế hoạch'!$M$6:$M$305,$A431)=0,"",COUNTIF('Kế hoạch'!$M$6:$M$305,$A431)&amp;" việc"))</f>
      </c>
      <c r="AH431" s="224">
        <f>IF(OR($A431="",N($O431)&lt;=0),"",IF($P431="Giờ",$O431,$O431*24))</f>
      </c>
      <c r="AI431" s="224">
        <f>IF(OR(N($AA431)=0,N($B431)=0),"",IF($AA431&lt;$B431,"",($AA431-$B431)*24))</f>
      </c>
      <c r="AJ431" s="225">
        <f>IF($A431="","",IF(COUNTIF('Nhật ký tiến độ'!$C$6:$C$3005,$A431)=0,0,_xlfn.MAXIFS('Nhật ký tiến độ'!$N$6:$N$3005,'Nhật ký tiến độ'!$C$6:$C$3005,$A431,'Nhật ký tiến độ'!$B$6:$B$3005,_xlfn.MAXIFS('Nhật ký tiến độ'!$B$6:$B$3005,'Nhật ký tiến độ'!$C$6:$C$3005,$A431))))</f>
      </c>
      <c r="AK431" s="225">
        <f>IF(OR($A431="",$V431="Đã xử lý"),"",IF(N($AO431)&gt;0,5-$AO431,IF($J431="Khẩn cấp",5,IF($Y431="Chậm tiến độ",6,IF(OR($Y431="Sắp đến hạn",$J431="Cao"),7,"")))))</f>
      </c>
      <c r="AL431" s="225">
        <f>IF($AK431="","",$AK431*100000+IF(N($U431)=0,99999,INT($U431))+ROW()/100000)</f>
      </c>
      <c r="AM431" s="225">
        <f>IF(OR($A431="",TRIM($K431)="",COUNTIF($K$6:$K431,$K431)&gt;1),0,1)</f>
      </c>
      <c r="AN431" s="225">
        <f>IF($AM431=1,SUM($AM$6:$AM431),"")</f>
      </c>
      <c r="AO431" s="225">
        <f>IF(OR($A431="",$V431="Đã xử lý",N($U431)=0),0,IF(TDBC&lt;=$U431,0,MAX(1,MIN(4,IF((TDBC-$U431)*24&lt;24,1,IF((TDBC-$U431)*24&lt;72,2,IF((TDBC-$U431)*24&lt;168,3,4)))+IFERROR(INDEX({2,1,0,-1},MATCH($J431,{"Khẩn cấp","Cao","Trung bình","Thấp"},0)),0)))))</f>
      </c>
    </row>
    <row r="432">
      <c r="A432" s="216"/>
      <c r="B432" s="217"/>
      <c r="C432" s="218"/>
      <c r="D432" s="218"/>
      <c r="E432" s="218"/>
      <c r="F432" s="218"/>
      <c r="G432" s="216"/>
      <c r="H432" s="218"/>
      <c r="I432" s="218"/>
      <c r="J432" s="216"/>
      <c r="K432" s="218"/>
      <c r="L432" s="218"/>
      <c r="M432" s="218"/>
      <c r="N432" s="218"/>
      <c r="O432" s="219"/>
      <c r="P432" s="216"/>
      <c r="Q432" s="217"/>
      <c r="R432" s="216"/>
      <c r="S432" s="218"/>
      <c r="T432" s="218"/>
      <c r="U432" s="220">
        <f>IF($A432="","",IF(N($Q432)&gt;0,IF(MOD($Q432,1)=0,$Q432+1-1/1440,$Q432),IF(N($B432)=0,"",$B432+IF(N($AH432)&gt;0,$AH432,IFERROR(INDEX(DM_SLA_Gio,MATCH($J432,DM_SLA_Cap,0)),168))/24)))</f>
      </c>
      <c r="V432" s="221">
        <f>IF($A432="","",IF(N($AJ432)=0,"Mới tiếp nhận",INDEX('Nhật ký tiến độ'!$E:$E,$AJ432)))</f>
      </c>
      <c r="W432" s="222">
        <f>IF($A432="","",IF($V432="Đã xử lý",1,IF(N($AJ432)=0,0,N(INDEX('Nhật ký tiến độ'!$D:$D,$AJ432)))))</f>
      </c>
      <c r="X432" s="222">
        <f>IF(OR($A432="",$V432="Đã xử lý",N($U432)=0,N($B432)=0),"",IF(TDBC&lt;=$B432,0,IF(TDBC&gt;=$U432,1,(TDBC-$B432)/($U432-$B432))))</f>
      </c>
      <c r="Y432" s="223">
        <f>IF($A432="","",IF($V432="Đã xử lý","Hoàn thành",IF(N($U432)=0,"Chưa đặt hạn",IF(TDBC&gt;$U432,"Quá hạn",IF(ROUND((N($X432)-$W432)*100,0)&gt;=20,"Chậm tiến độ",IF($U432-TDBC&lt;=1,"Sắp đến hạn","Đúng tiến độ"))))))</f>
      </c>
      <c r="Z432" s="223">
        <f>IF(OR($A432="",$V432="Đã xử lý",N($U432)=0),"",IF(TDBC&gt;$U432,"Quá "&amp;IF(((TDBC-$U432)*24)&lt;1,MAX(1,ROUND(((TDBC-$U432)*24)*60,0))&amp;" phút",IF(ROUND(((TDBC-$U432)*24),0)&lt;24,ROUND(((TDBC-$U432)*24),0)&amp;" giờ",INT(ROUND(((TDBC-$U432)*24),0)/24)&amp;" ngày"&amp;IF(MOD(ROUND(((TDBC-$U432)*24),0),24)&gt;0," "&amp;MOD(ROUND(((TDBC-$U432)*24),0),24)&amp;" giờ",""))),"Còn "&amp;IF((($U432-TDBC)*24)&lt;1,MAX(1,ROUND((($U432-TDBC)*24)*60,0))&amp;" phút",IF(ROUND((($U432-TDBC)*24),0)&lt;24,ROUND((($U432-TDBC)*24),0)&amp;" giờ",INT(ROUND((($U432-TDBC)*24),0)/24)&amp;" ngày"&amp;IF(MOD(ROUND((($U432-TDBC)*24),0),24)&gt;0," "&amp;MOD(ROUND((($U432-TDBC)*24),0),24)&amp;" giờ","")))))</f>
      </c>
      <c r="AA432" s="220">
        <f>IF($V432="Đã xử lý",_xlfn.MAXIFS('Nhật ký tiến độ'!$B$6:$B$3005,'Nhật ký tiến độ'!$C$6:$C$3005,$A432,'Nhật ký tiến độ'!$E$6:$E$3005,"Đã xử lý"),"")</f>
      </c>
      <c r="AB432" s="223">
        <f>IF($AI432="","",IF($AI432&lt;1,MAX(1,ROUND($AI432*60,0))&amp;" phút",IF(ROUND($AI432,0)&lt;24,ROUND($AI432,0)&amp;" giờ",INT(ROUND($AI432,0)/24)&amp;" ngày"&amp;IF(MOD(ROUND($AI432,0),24)&gt;0," "&amp;MOD(ROUND($AI432,0),24)&amp;" giờ",""))))</f>
      </c>
      <c r="AC432" s="223">
        <f>IF(OR($A432="",N($AH432)=0),"",IF($AI432&lt;&gt;"",IF($AI432&lt;=$AH432,"Trong ước tính","Vượt "&amp;IF(($AI432-$AH432)&lt;1,MAX(1,ROUND(($AI432-$AH432)*60,0))&amp;" phút",IF(ROUND(($AI432-$AH432),0)&lt;24,ROUND(($AI432-$AH432),0)&amp;" giờ",INT(ROUND(($AI432-$AH432),0)/24)&amp;" ngày"&amp;IF(MOD(ROUND(($AI432-$AH432),0),24)&gt;0," "&amp;MOD(ROUND(($AI432-$AH432),0),24)&amp;" giờ","")))),IF(OR($V432="Đã xử lý",N($B432)=0),"",IF((TDBC-$B432)*24&gt;$AH432,"Đã vượt ước tính","Đã dùng "&amp;TEXT((TDBC-$B432)*24/$AH432,"0%")))))</f>
      </c>
      <c r="AD432" s="223">
        <f>IF(N($AO432)=0,"",CHOOSE($AO432,"Nhắc nhở","Cảnh báo","Báo động","Báo động đỏ"))</f>
      </c>
      <c r="AE432" s="223">
        <f>IF(OR(N($AA432)=0,N($U432)=0),"",IF($AA432&lt;=$U432,"Đúng hạn","Trễ hạn"))</f>
      </c>
      <c r="AF432" s="220">
        <f>IF($A432="","",_xlfn.MAXIFS('Nhật ký tiến độ'!$B$6:$B$3005,'Nhật ký tiến độ'!$C$6:$C$3005,$A432))</f>
      </c>
      <c r="AG432" s="223">
        <f>IF($A432="","",IF(COUNTIF('Kế hoạch'!$M$6:$M$305,$A432)=0,"",COUNTIF('Kế hoạch'!$M$6:$M$305,$A432)&amp;" việc"))</f>
      </c>
      <c r="AH432" s="224">
        <f>IF(OR($A432="",N($O432)&lt;=0),"",IF($P432="Giờ",$O432,$O432*24))</f>
      </c>
      <c r="AI432" s="224">
        <f>IF(OR(N($AA432)=0,N($B432)=0),"",IF($AA432&lt;$B432,"",($AA432-$B432)*24))</f>
      </c>
      <c r="AJ432" s="225">
        <f>IF($A432="","",IF(COUNTIF('Nhật ký tiến độ'!$C$6:$C$3005,$A432)=0,0,_xlfn.MAXIFS('Nhật ký tiến độ'!$N$6:$N$3005,'Nhật ký tiến độ'!$C$6:$C$3005,$A432,'Nhật ký tiến độ'!$B$6:$B$3005,_xlfn.MAXIFS('Nhật ký tiến độ'!$B$6:$B$3005,'Nhật ký tiến độ'!$C$6:$C$3005,$A432))))</f>
      </c>
      <c r="AK432" s="225">
        <f>IF(OR($A432="",$V432="Đã xử lý"),"",IF(N($AO432)&gt;0,5-$AO432,IF($J432="Khẩn cấp",5,IF($Y432="Chậm tiến độ",6,IF(OR($Y432="Sắp đến hạn",$J432="Cao"),7,"")))))</f>
      </c>
      <c r="AL432" s="225">
        <f>IF($AK432="","",$AK432*100000+IF(N($U432)=0,99999,INT($U432))+ROW()/100000)</f>
      </c>
      <c r="AM432" s="225">
        <f>IF(OR($A432="",TRIM($K432)="",COUNTIF($K$6:$K432,$K432)&gt;1),0,1)</f>
      </c>
      <c r="AN432" s="225">
        <f>IF($AM432=1,SUM($AM$6:$AM432),"")</f>
      </c>
      <c r="AO432" s="225">
        <f>IF(OR($A432="",$V432="Đã xử lý",N($U432)=0),0,IF(TDBC&lt;=$U432,0,MAX(1,MIN(4,IF((TDBC-$U432)*24&lt;24,1,IF((TDBC-$U432)*24&lt;72,2,IF((TDBC-$U432)*24&lt;168,3,4)))+IFERROR(INDEX({2,1,0,-1},MATCH($J432,{"Khẩn cấp","Cao","Trung bình","Thấp"},0)),0)))))</f>
      </c>
    </row>
    <row r="433">
      <c r="A433" s="216"/>
      <c r="B433" s="217"/>
      <c r="C433" s="218"/>
      <c r="D433" s="218"/>
      <c r="E433" s="218"/>
      <c r="F433" s="218"/>
      <c r="G433" s="216"/>
      <c r="H433" s="218"/>
      <c r="I433" s="218"/>
      <c r="J433" s="216"/>
      <c r="K433" s="218"/>
      <c r="L433" s="218"/>
      <c r="M433" s="218"/>
      <c r="N433" s="218"/>
      <c r="O433" s="219"/>
      <c r="P433" s="216"/>
      <c r="Q433" s="217"/>
      <c r="R433" s="216"/>
      <c r="S433" s="218"/>
      <c r="T433" s="218"/>
      <c r="U433" s="220">
        <f>IF($A433="","",IF(N($Q433)&gt;0,IF(MOD($Q433,1)=0,$Q433+1-1/1440,$Q433),IF(N($B433)=0,"",$B433+IF(N($AH433)&gt;0,$AH433,IFERROR(INDEX(DM_SLA_Gio,MATCH($J433,DM_SLA_Cap,0)),168))/24)))</f>
      </c>
      <c r="V433" s="221">
        <f>IF($A433="","",IF(N($AJ433)=0,"Mới tiếp nhận",INDEX('Nhật ký tiến độ'!$E:$E,$AJ433)))</f>
      </c>
      <c r="W433" s="222">
        <f>IF($A433="","",IF($V433="Đã xử lý",1,IF(N($AJ433)=0,0,N(INDEX('Nhật ký tiến độ'!$D:$D,$AJ433)))))</f>
      </c>
      <c r="X433" s="222">
        <f>IF(OR($A433="",$V433="Đã xử lý",N($U433)=0,N($B433)=0),"",IF(TDBC&lt;=$B433,0,IF(TDBC&gt;=$U433,1,(TDBC-$B433)/($U433-$B433))))</f>
      </c>
      <c r="Y433" s="223">
        <f>IF($A433="","",IF($V433="Đã xử lý","Hoàn thành",IF(N($U433)=0,"Chưa đặt hạn",IF(TDBC&gt;$U433,"Quá hạn",IF(ROUND((N($X433)-$W433)*100,0)&gt;=20,"Chậm tiến độ",IF($U433-TDBC&lt;=1,"Sắp đến hạn","Đúng tiến độ"))))))</f>
      </c>
      <c r="Z433" s="223">
        <f>IF(OR($A433="",$V433="Đã xử lý",N($U433)=0),"",IF(TDBC&gt;$U433,"Quá "&amp;IF(((TDBC-$U433)*24)&lt;1,MAX(1,ROUND(((TDBC-$U433)*24)*60,0))&amp;" phút",IF(ROUND(((TDBC-$U433)*24),0)&lt;24,ROUND(((TDBC-$U433)*24),0)&amp;" giờ",INT(ROUND(((TDBC-$U433)*24),0)/24)&amp;" ngày"&amp;IF(MOD(ROUND(((TDBC-$U433)*24),0),24)&gt;0," "&amp;MOD(ROUND(((TDBC-$U433)*24),0),24)&amp;" giờ",""))),"Còn "&amp;IF((($U433-TDBC)*24)&lt;1,MAX(1,ROUND((($U433-TDBC)*24)*60,0))&amp;" phút",IF(ROUND((($U433-TDBC)*24),0)&lt;24,ROUND((($U433-TDBC)*24),0)&amp;" giờ",INT(ROUND((($U433-TDBC)*24),0)/24)&amp;" ngày"&amp;IF(MOD(ROUND((($U433-TDBC)*24),0),24)&gt;0," "&amp;MOD(ROUND((($U433-TDBC)*24),0),24)&amp;" giờ","")))))</f>
      </c>
      <c r="AA433" s="220">
        <f>IF($V433="Đã xử lý",_xlfn.MAXIFS('Nhật ký tiến độ'!$B$6:$B$3005,'Nhật ký tiến độ'!$C$6:$C$3005,$A433,'Nhật ký tiến độ'!$E$6:$E$3005,"Đã xử lý"),"")</f>
      </c>
      <c r="AB433" s="223">
        <f>IF($AI433="","",IF($AI433&lt;1,MAX(1,ROUND($AI433*60,0))&amp;" phút",IF(ROUND($AI433,0)&lt;24,ROUND($AI433,0)&amp;" giờ",INT(ROUND($AI433,0)/24)&amp;" ngày"&amp;IF(MOD(ROUND($AI433,0),24)&gt;0," "&amp;MOD(ROUND($AI433,0),24)&amp;" giờ",""))))</f>
      </c>
      <c r="AC433" s="223">
        <f>IF(OR($A433="",N($AH433)=0),"",IF($AI433&lt;&gt;"",IF($AI433&lt;=$AH433,"Trong ước tính","Vượt "&amp;IF(($AI433-$AH433)&lt;1,MAX(1,ROUND(($AI433-$AH433)*60,0))&amp;" phút",IF(ROUND(($AI433-$AH433),0)&lt;24,ROUND(($AI433-$AH433),0)&amp;" giờ",INT(ROUND(($AI433-$AH433),0)/24)&amp;" ngày"&amp;IF(MOD(ROUND(($AI433-$AH433),0),24)&gt;0," "&amp;MOD(ROUND(($AI433-$AH433),0),24)&amp;" giờ","")))),IF(OR($V433="Đã xử lý",N($B433)=0),"",IF((TDBC-$B433)*24&gt;$AH433,"Đã vượt ước tính","Đã dùng "&amp;TEXT((TDBC-$B433)*24/$AH433,"0%")))))</f>
      </c>
      <c r="AD433" s="223">
        <f>IF(N($AO433)=0,"",CHOOSE($AO433,"Nhắc nhở","Cảnh báo","Báo động","Báo động đỏ"))</f>
      </c>
      <c r="AE433" s="223">
        <f>IF(OR(N($AA433)=0,N($U433)=0),"",IF($AA433&lt;=$U433,"Đúng hạn","Trễ hạn"))</f>
      </c>
      <c r="AF433" s="220">
        <f>IF($A433="","",_xlfn.MAXIFS('Nhật ký tiến độ'!$B$6:$B$3005,'Nhật ký tiến độ'!$C$6:$C$3005,$A433))</f>
      </c>
      <c r="AG433" s="223">
        <f>IF($A433="","",IF(COUNTIF('Kế hoạch'!$M$6:$M$305,$A433)=0,"",COUNTIF('Kế hoạch'!$M$6:$M$305,$A433)&amp;" việc"))</f>
      </c>
      <c r="AH433" s="224">
        <f>IF(OR($A433="",N($O433)&lt;=0),"",IF($P433="Giờ",$O433,$O433*24))</f>
      </c>
      <c r="AI433" s="224">
        <f>IF(OR(N($AA433)=0,N($B433)=0),"",IF($AA433&lt;$B433,"",($AA433-$B433)*24))</f>
      </c>
      <c r="AJ433" s="225">
        <f>IF($A433="","",IF(COUNTIF('Nhật ký tiến độ'!$C$6:$C$3005,$A433)=0,0,_xlfn.MAXIFS('Nhật ký tiến độ'!$N$6:$N$3005,'Nhật ký tiến độ'!$C$6:$C$3005,$A433,'Nhật ký tiến độ'!$B$6:$B$3005,_xlfn.MAXIFS('Nhật ký tiến độ'!$B$6:$B$3005,'Nhật ký tiến độ'!$C$6:$C$3005,$A433))))</f>
      </c>
      <c r="AK433" s="225">
        <f>IF(OR($A433="",$V433="Đã xử lý"),"",IF(N($AO433)&gt;0,5-$AO433,IF($J433="Khẩn cấp",5,IF($Y433="Chậm tiến độ",6,IF(OR($Y433="Sắp đến hạn",$J433="Cao"),7,"")))))</f>
      </c>
      <c r="AL433" s="225">
        <f>IF($AK433="","",$AK433*100000+IF(N($U433)=0,99999,INT($U433))+ROW()/100000)</f>
      </c>
      <c r="AM433" s="225">
        <f>IF(OR($A433="",TRIM($K433)="",COUNTIF($K$6:$K433,$K433)&gt;1),0,1)</f>
      </c>
      <c r="AN433" s="225">
        <f>IF($AM433=1,SUM($AM$6:$AM433),"")</f>
      </c>
      <c r="AO433" s="225">
        <f>IF(OR($A433="",$V433="Đã xử lý",N($U433)=0),0,IF(TDBC&lt;=$U433,0,MAX(1,MIN(4,IF((TDBC-$U433)*24&lt;24,1,IF((TDBC-$U433)*24&lt;72,2,IF((TDBC-$U433)*24&lt;168,3,4)))+IFERROR(INDEX({2,1,0,-1},MATCH($J433,{"Khẩn cấp","Cao","Trung bình","Thấp"},0)),0)))))</f>
      </c>
    </row>
    <row r="434">
      <c r="A434" s="216"/>
      <c r="B434" s="217"/>
      <c r="C434" s="218"/>
      <c r="D434" s="218"/>
      <c r="E434" s="218"/>
      <c r="F434" s="218"/>
      <c r="G434" s="216"/>
      <c r="H434" s="218"/>
      <c r="I434" s="218"/>
      <c r="J434" s="216"/>
      <c r="K434" s="218"/>
      <c r="L434" s="218"/>
      <c r="M434" s="218"/>
      <c r="N434" s="218"/>
      <c r="O434" s="219"/>
      <c r="P434" s="216"/>
      <c r="Q434" s="217"/>
      <c r="R434" s="216"/>
      <c r="S434" s="218"/>
      <c r="T434" s="218"/>
      <c r="U434" s="220">
        <f>IF($A434="","",IF(N($Q434)&gt;0,IF(MOD($Q434,1)=0,$Q434+1-1/1440,$Q434),IF(N($B434)=0,"",$B434+IF(N($AH434)&gt;0,$AH434,IFERROR(INDEX(DM_SLA_Gio,MATCH($J434,DM_SLA_Cap,0)),168))/24)))</f>
      </c>
      <c r="V434" s="221">
        <f>IF($A434="","",IF(N($AJ434)=0,"Mới tiếp nhận",INDEX('Nhật ký tiến độ'!$E:$E,$AJ434)))</f>
      </c>
      <c r="W434" s="222">
        <f>IF($A434="","",IF($V434="Đã xử lý",1,IF(N($AJ434)=0,0,N(INDEX('Nhật ký tiến độ'!$D:$D,$AJ434)))))</f>
      </c>
      <c r="X434" s="222">
        <f>IF(OR($A434="",$V434="Đã xử lý",N($U434)=0,N($B434)=0),"",IF(TDBC&lt;=$B434,0,IF(TDBC&gt;=$U434,1,(TDBC-$B434)/($U434-$B434))))</f>
      </c>
      <c r="Y434" s="223">
        <f>IF($A434="","",IF($V434="Đã xử lý","Hoàn thành",IF(N($U434)=0,"Chưa đặt hạn",IF(TDBC&gt;$U434,"Quá hạn",IF(ROUND((N($X434)-$W434)*100,0)&gt;=20,"Chậm tiến độ",IF($U434-TDBC&lt;=1,"Sắp đến hạn","Đúng tiến độ"))))))</f>
      </c>
      <c r="Z434" s="223">
        <f>IF(OR($A434="",$V434="Đã xử lý",N($U434)=0),"",IF(TDBC&gt;$U434,"Quá "&amp;IF(((TDBC-$U434)*24)&lt;1,MAX(1,ROUND(((TDBC-$U434)*24)*60,0))&amp;" phút",IF(ROUND(((TDBC-$U434)*24),0)&lt;24,ROUND(((TDBC-$U434)*24),0)&amp;" giờ",INT(ROUND(((TDBC-$U434)*24),0)/24)&amp;" ngày"&amp;IF(MOD(ROUND(((TDBC-$U434)*24),0),24)&gt;0," "&amp;MOD(ROUND(((TDBC-$U434)*24),0),24)&amp;" giờ",""))),"Còn "&amp;IF((($U434-TDBC)*24)&lt;1,MAX(1,ROUND((($U434-TDBC)*24)*60,0))&amp;" phút",IF(ROUND((($U434-TDBC)*24),0)&lt;24,ROUND((($U434-TDBC)*24),0)&amp;" giờ",INT(ROUND((($U434-TDBC)*24),0)/24)&amp;" ngày"&amp;IF(MOD(ROUND((($U434-TDBC)*24),0),24)&gt;0," "&amp;MOD(ROUND((($U434-TDBC)*24),0),24)&amp;" giờ","")))))</f>
      </c>
      <c r="AA434" s="220">
        <f>IF($V434="Đã xử lý",_xlfn.MAXIFS('Nhật ký tiến độ'!$B$6:$B$3005,'Nhật ký tiến độ'!$C$6:$C$3005,$A434,'Nhật ký tiến độ'!$E$6:$E$3005,"Đã xử lý"),"")</f>
      </c>
      <c r="AB434" s="223">
        <f>IF($AI434="","",IF($AI434&lt;1,MAX(1,ROUND($AI434*60,0))&amp;" phút",IF(ROUND($AI434,0)&lt;24,ROUND($AI434,0)&amp;" giờ",INT(ROUND($AI434,0)/24)&amp;" ngày"&amp;IF(MOD(ROUND($AI434,0),24)&gt;0," "&amp;MOD(ROUND($AI434,0),24)&amp;" giờ",""))))</f>
      </c>
      <c r="AC434" s="223">
        <f>IF(OR($A434="",N($AH434)=0),"",IF($AI434&lt;&gt;"",IF($AI434&lt;=$AH434,"Trong ước tính","Vượt "&amp;IF(($AI434-$AH434)&lt;1,MAX(1,ROUND(($AI434-$AH434)*60,0))&amp;" phút",IF(ROUND(($AI434-$AH434),0)&lt;24,ROUND(($AI434-$AH434),0)&amp;" giờ",INT(ROUND(($AI434-$AH434),0)/24)&amp;" ngày"&amp;IF(MOD(ROUND(($AI434-$AH434),0),24)&gt;0," "&amp;MOD(ROUND(($AI434-$AH434),0),24)&amp;" giờ","")))),IF(OR($V434="Đã xử lý",N($B434)=0),"",IF((TDBC-$B434)*24&gt;$AH434,"Đã vượt ước tính","Đã dùng "&amp;TEXT((TDBC-$B434)*24/$AH434,"0%")))))</f>
      </c>
      <c r="AD434" s="223">
        <f>IF(N($AO434)=0,"",CHOOSE($AO434,"Nhắc nhở","Cảnh báo","Báo động","Báo động đỏ"))</f>
      </c>
      <c r="AE434" s="223">
        <f>IF(OR(N($AA434)=0,N($U434)=0),"",IF($AA434&lt;=$U434,"Đúng hạn","Trễ hạn"))</f>
      </c>
      <c r="AF434" s="220">
        <f>IF($A434="","",_xlfn.MAXIFS('Nhật ký tiến độ'!$B$6:$B$3005,'Nhật ký tiến độ'!$C$6:$C$3005,$A434))</f>
      </c>
      <c r="AG434" s="223">
        <f>IF($A434="","",IF(COUNTIF('Kế hoạch'!$M$6:$M$305,$A434)=0,"",COUNTIF('Kế hoạch'!$M$6:$M$305,$A434)&amp;" việc"))</f>
      </c>
      <c r="AH434" s="224">
        <f>IF(OR($A434="",N($O434)&lt;=0),"",IF($P434="Giờ",$O434,$O434*24))</f>
      </c>
      <c r="AI434" s="224">
        <f>IF(OR(N($AA434)=0,N($B434)=0),"",IF($AA434&lt;$B434,"",($AA434-$B434)*24))</f>
      </c>
      <c r="AJ434" s="225">
        <f>IF($A434="","",IF(COUNTIF('Nhật ký tiến độ'!$C$6:$C$3005,$A434)=0,0,_xlfn.MAXIFS('Nhật ký tiến độ'!$N$6:$N$3005,'Nhật ký tiến độ'!$C$6:$C$3005,$A434,'Nhật ký tiến độ'!$B$6:$B$3005,_xlfn.MAXIFS('Nhật ký tiến độ'!$B$6:$B$3005,'Nhật ký tiến độ'!$C$6:$C$3005,$A434))))</f>
      </c>
      <c r="AK434" s="225">
        <f>IF(OR($A434="",$V434="Đã xử lý"),"",IF(N($AO434)&gt;0,5-$AO434,IF($J434="Khẩn cấp",5,IF($Y434="Chậm tiến độ",6,IF(OR($Y434="Sắp đến hạn",$J434="Cao"),7,"")))))</f>
      </c>
      <c r="AL434" s="225">
        <f>IF($AK434="","",$AK434*100000+IF(N($U434)=0,99999,INT($U434))+ROW()/100000)</f>
      </c>
      <c r="AM434" s="225">
        <f>IF(OR($A434="",TRIM($K434)="",COUNTIF($K$6:$K434,$K434)&gt;1),0,1)</f>
      </c>
      <c r="AN434" s="225">
        <f>IF($AM434=1,SUM($AM$6:$AM434),"")</f>
      </c>
      <c r="AO434" s="225">
        <f>IF(OR($A434="",$V434="Đã xử lý",N($U434)=0),0,IF(TDBC&lt;=$U434,0,MAX(1,MIN(4,IF((TDBC-$U434)*24&lt;24,1,IF((TDBC-$U434)*24&lt;72,2,IF((TDBC-$U434)*24&lt;168,3,4)))+IFERROR(INDEX({2,1,0,-1},MATCH($J434,{"Khẩn cấp","Cao","Trung bình","Thấp"},0)),0)))))</f>
      </c>
    </row>
    <row r="435">
      <c r="A435" s="216"/>
      <c r="B435" s="217"/>
      <c r="C435" s="218"/>
      <c r="D435" s="218"/>
      <c r="E435" s="218"/>
      <c r="F435" s="218"/>
      <c r="G435" s="216"/>
      <c r="H435" s="218"/>
      <c r="I435" s="218"/>
      <c r="J435" s="216"/>
      <c r="K435" s="218"/>
      <c r="L435" s="218"/>
      <c r="M435" s="218"/>
      <c r="N435" s="218"/>
      <c r="O435" s="219"/>
      <c r="P435" s="216"/>
      <c r="Q435" s="217"/>
      <c r="R435" s="216"/>
      <c r="S435" s="218"/>
      <c r="T435" s="218"/>
      <c r="U435" s="220">
        <f>IF($A435="","",IF(N($Q435)&gt;0,IF(MOD($Q435,1)=0,$Q435+1-1/1440,$Q435),IF(N($B435)=0,"",$B435+IF(N($AH435)&gt;0,$AH435,IFERROR(INDEX(DM_SLA_Gio,MATCH($J435,DM_SLA_Cap,0)),168))/24)))</f>
      </c>
      <c r="V435" s="221">
        <f>IF($A435="","",IF(N($AJ435)=0,"Mới tiếp nhận",INDEX('Nhật ký tiến độ'!$E:$E,$AJ435)))</f>
      </c>
      <c r="W435" s="222">
        <f>IF($A435="","",IF($V435="Đã xử lý",1,IF(N($AJ435)=0,0,N(INDEX('Nhật ký tiến độ'!$D:$D,$AJ435)))))</f>
      </c>
      <c r="X435" s="222">
        <f>IF(OR($A435="",$V435="Đã xử lý",N($U435)=0,N($B435)=0),"",IF(TDBC&lt;=$B435,0,IF(TDBC&gt;=$U435,1,(TDBC-$B435)/($U435-$B435))))</f>
      </c>
      <c r="Y435" s="223">
        <f>IF($A435="","",IF($V435="Đã xử lý","Hoàn thành",IF(N($U435)=0,"Chưa đặt hạn",IF(TDBC&gt;$U435,"Quá hạn",IF(ROUND((N($X435)-$W435)*100,0)&gt;=20,"Chậm tiến độ",IF($U435-TDBC&lt;=1,"Sắp đến hạn","Đúng tiến độ"))))))</f>
      </c>
      <c r="Z435" s="223">
        <f>IF(OR($A435="",$V435="Đã xử lý",N($U435)=0),"",IF(TDBC&gt;$U435,"Quá "&amp;IF(((TDBC-$U435)*24)&lt;1,MAX(1,ROUND(((TDBC-$U435)*24)*60,0))&amp;" phút",IF(ROUND(((TDBC-$U435)*24),0)&lt;24,ROUND(((TDBC-$U435)*24),0)&amp;" giờ",INT(ROUND(((TDBC-$U435)*24),0)/24)&amp;" ngày"&amp;IF(MOD(ROUND(((TDBC-$U435)*24),0),24)&gt;0," "&amp;MOD(ROUND(((TDBC-$U435)*24),0),24)&amp;" giờ",""))),"Còn "&amp;IF((($U435-TDBC)*24)&lt;1,MAX(1,ROUND((($U435-TDBC)*24)*60,0))&amp;" phút",IF(ROUND((($U435-TDBC)*24),0)&lt;24,ROUND((($U435-TDBC)*24),0)&amp;" giờ",INT(ROUND((($U435-TDBC)*24),0)/24)&amp;" ngày"&amp;IF(MOD(ROUND((($U435-TDBC)*24),0),24)&gt;0," "&amp;MOD(ROUND((($U435-TDBC)*24),0),24)&amp;" giờ","")))))</f>
      </c>
      <c r="AA435" s="220">
        <f>IF($V435="Đã xử lý",_xlfn.MAXIFS('Nhật ký tiến độ'!$B$6:$B$3005,'Nhật ký tiến độ'!$C$6:$C$3005,$A435,'Nhật ký tiến độ'!$E$6:$E$3005,"Đã xử lý"),"")</f>
      </c>
      <c r="AB435" s="223">
        <f>IF($AI435="","",IF($AI435&lt;1,MAX(1,ROUND($AI435*60,0))&amp;" phút",IF(ROUND($AI435,0)&lt;24,ROUND($AI435,0)&amp;" giờ",INT(ROUND($AI435,0)/24)&amp;" ngày"&amp;IF(MOD(ROUND($AI435,0),24)&gt;0," "&amp;MOD(ROUND($AI435,0),24)&amp;" giờ",""))))</f>
      </c>
      <c r="AC435" s="223">
        <f>IF(OR($A435="",N($AH435)=0),"",IF($AI435&lt;&gt;"",IF($AI435&lt;=$AH435,"Trong ước tính","Vượt "&amp;IF(($AI435-$AH435)&lt;1,MAX(1,ROUND(($AI435-$AH435)*60,0))&amp;" phút",IF(ROUND(($AI435-$AH435),0)&lt;24,ROUND(($AI435-$AH435),0)&amp;" giờ",INT(ROUND(($AI435-$AH435),0)/24)&amp;" ngày"&amp;IF(MOD(ROUND(($AI435-$AH435),0),24)&gt;0," "&amp;MOD(ROUND(($AI435-$AH435),0),24)&amp;" giờ","")))),IF(OR($V435="Đã xử lý",N($B435)=0),"",IF((TDBC-$B435)*24&gt;$AH435,"Đã vượt ước tính","Đã dùng "&amp;TEXT((TDBC-$B435)*24/$AH435,"0%")))))</f>
      </c>
      <c r="AD435" s="223">
        <f>IF(N($AO435)=0,"",CHOOSE($AO435,"Nhắc nhở","Cảnh báo","Báo động","Báo động đỏ"))</f>
      </c>
      <c r="AE435" s="223">
        <f>IF(OR(N($AA435)=0,N($U435)=0),"",IF($AA435&lt;=$U435,"Đúng hạn","Trễ hạn"))</f>
      </c>
      <c r="AF435" s="220">
        <f>IF($A435="","",_xlfn.MAXIFS('Nhật ký tiến độ'!$B$6:$B$3005,'Nhật ký tiến độ'!$C$6:$C$3005,$A435))</f>
      </c>
      <c r="AG435" s="223">
        <f>IF($A435="","",IF(COUNTIF('Kế hoạch'!$M$6:$M$305,$A435)=0,"",COUNTIF('Kế hoạch'!$M$6:$M$305,$A435)&amp;" việc"))</f>
      </c>
      <c r="AH435" s="224">
        <f>IF(OR($A435="",N($O435)&lt;=0),"",IF($P435="Giờ",$O435,$O435*24))</f>
      </c>
      <c r="AI435" s="224">
        <f>IF(OR(N($AA435)=0,N($B435)=0),"",IF($AA435&lt;$B435,"",($AA435-$B435)*24))</f>
      </c>
      <c r="AJ435" s="225">
        <f>IF($A435="","",IF(COUNTIF('Nhật ký tiến độ'!$C$6:$C$3005,$A435)=0,0,_xlfn.MAXIFS('Nhật ký tiến độ'!$N$6:$N$3005,'Nhật ký tiến độ'!$C$6:$C$3005,$A435,'Nhật ký tiến độ'!$B$6:$B$3005,_xlfn.MAXIFS('Nhật ký tiến độ'!$B$6:$B$3005,'Nhật ký tiến độ'!$C$6:$C$3005,$A435))))</f>
      </c>
      <c r="AK435" s="225">
        <f>IF(OR($A435="",$V435="Đã xử lý"),"",IF(N($AO435)&gt;0,5-$AO435,IF($J435="Khẩn cấp",5,IF($Y435="Chậm tiến độ",6,IF(OR($Y435="Sắp đến hạn",$J435="Cao"),7,"")))))</f>
      </c>
      <c r="AL435" s="225">
        <f>IF($AK435="","",$AK435*100000+IF(N($U435)=0,99999,INT($U435))+ROW()/100000)</f>
      </c>
      <c r="AM435" s="225">
        <f>IF(OR($A435="",TRIM($K435)="",COUNTIF($K$6:$K435,$K435)&gt;1),0,1)</f>
      </c>
      <c r="AN435" s="225">
        <f>IF($AM435=1,SUM($AM$6:$AM435),"")</f>
      </c>
      <c r="AO435" s="225">
        <f>IF(OR($A435="",$V435="Đã xử lý",N($U435)=0),0,IF(TDBC&lt;=$U435,0,MAX(1,MIN(4,IF((TDBC-$U435)*24&lt;24,1,IF((TDBC-$U435)*24&lt;72,2,IF((TDBC-$U435)*24&lt;168,3,4)))+IFERROR(INDEX({2,1,0,-1},MATCH($J435,{"Khẩn cấp","Cao","Trung bình","Thấp"},0)),0)))))</f>
      </c>
    </row>
    <row r="436">
      <c r="A436" s="216"/>
      <c r="B436" s="217"/>
      <c r="C436" s="218"/>
      <c r="D436" s="218"/>
      <c r="E436" s="218"/>
      <c r="F436" s="218"/>
      <c r="G436" s="216"/>
      <c r="H436" s="218"/>
      <c r="I436" s="218"/>
      <c r="J436" s="216"/>
      <c r="K436" s="218"/>
      <c r="L436" s="218"/>
      <c r="M436" s="218"/>
      <c r="N436" s="218"/>
      <c r="O436" s="219"/>
      <c r="P436" s="216"/>
      <c r="Q436" s="217"/>
      <c r="R436" s="216"/>
      <c r="S436" s="218"/>
      <c r="T436" s="218"/>
      <c r="U436" s="220">
        <f>IF($A436="","",IF(N($Q436)&gt;0,IF(MOD($Q436,1)=0,$Q436+1-1/1440,$Q436),IF(N($B436)=0,"",$B436+IF(N($AH436)&gt;0,$AH436,IFERROR(INDEX(DM_SLA_Gio,MATCH($J436,DM_SLA_Cap,0)),168))/24)))</f>
      </c>
      <c r="V436" s="221">
        <f>IF($A436="","",IF(N($AJ436)=0,"Mới tiếp nhận",INDEX('Nhật ký tiến độ'!$E:$E,$AJ436)))</f>
      </c>
      <c r="W436" s="222">
        <f>IF($A436="","",IF($V436="Đã xử lý",1,IF(N($AJ436)=0,0,N(INDEX('Nhật ký tiến độ'!$D:$D,$AJ436)))))</f>
      </c>
      <c r="X436" s="222">
        <f>IF(OR($A436="",$V436="Đã xử lý",N($U436)=0,N($B436)=0),"",IF(TDBC&lt;=$B436,0,IF(TDBC&gt;=$U436,1,(TDBC-$B436)/($U436-$B436))))</f>
      </c>
      <c r="Y436" s="223">
        <f>IF($A436="","",IF($V436="Đã xử lý","Hoàn thành",IF(N($U436)=0,"Chưa đặt hạn",IF(TDBC&gt;$U436,"Quá hạn",IF(ROUND((N($X436)-$W436)*100,0)&gt;=20,"Chậm tiến độ",IF($U436-TDBC&lt;=1,"Sắp đến hạn","Đúng tiến độ"))))))</f>
      </c>
      <c r="Z436" s="223">
        <f>IF(OR($A436="",$V436="Đã xử lý",N($U436)=0),"",IF(TDBC&gt;$U436,"Quá "&amp;IF(((TDBC-$U436)*24)&lt;1,MAX(1,ROUND(((TDBC-$U436)*24)*60,0))&amp;" phút",IF(ROUND(((TDBC-$U436)*24),0)&lt;24,ROUND(((TDBC-$U436)*24),0)&amp;" giờ",INT(ROUND(((TDBC-$U436)*24),0)/24)&amp;" ngày"&amp;IF(MOD(ROUND(((TDBC-$U436)*24),0),24)&gt;0," "&amp;MOD(ROUND(((TDBC-$U436)*24),0),24)&amp;" giờ",""))),"Còn "&amp;IF((($U436-TDBC)*24)&lt;1,MAX(1,ROUND((($U436-TDBC)*24)*60,0))&amp;" phút",IF(ROUND((($U436-TDBC)*24),0)&lt;24,ROUND((($U436-TDBC)*24),0)&amp;" giờ",INT(ROUND((($U436-TDBC)*24),0)/24)&amp;" ngày"&amp;IF(MOD(ROUND((($U436-TDBC)*24),0),24)&gt;0," "&amp;MOD(ROUND((($U436-TDBC)*24),0),24)&amp;" giờ","")))))</f>
      </c>
      <c r="AA436" s="220">
        <f>IF($V436="Đã xử lý",_xlfn.MAXIFS('Nhật ký tiến độ'!$B$6:$B$3005,'Nhật ký tiến độ'!$C$6:$C$3005,$A436,'Nhật ký tiến độ'!$E$6:$E$3005,"Đã xử lý"),"")</f>
      </c>
      <c r="AB436" s="223">
        <f>IF($AI436="","",IF($AI436&lt;1,MAX(1,ROUND($AI436*60,0))&amp;" phút",IF(ROUND($AI436,0)&lt;24,ROUND($AI436,0)&amp;" giờ",INT(ROUND($AI436,0)/24)&amp;" ngày"&amp;IF(MOD(ROUND($AI436,0),24)&gt;0," "&amp;MOD(ROUND($AI436,0),24)&amp;" giờ",""))))</f>
      </c>
      <c r="AC436" s="223">
        <f>IF(OR($A436="",N($AH436)=0),"",IF($AI436&lt;&gt;"",IF($AI436&lt;=$AH436,"Trong ước tính","Vượt "&amp;IF(($AI436-$AH436)&lt;1,MAX(1,ROUND(($AI436-$AH436)*60,0))&amp;" phút",IF(ROUND(($AI436-$AH436),0)&lt;24,ROUND(($AI436-$AH436),0)&amp;" giờ",INT(ROUND(($AI436-$AH436),0)/24)&amp;" ngày"&amp;IF(MOD(ROUND(($AI436-$AH436),0),24)&gt;0," "&amp;MOD(ROUND(($AI436-$AH436),0),24)&amp;" giờ","")))),IF(OR($V436="Đã xử lý",N($B436)=0),"",IF((TDBC-$B436)*24&gt;$AH436,"Đã vượt ước tính","Đã dùng "&amp;TEXT((TDBC-$B436)*24/$AH436,"0%")))))</f>
      </c>
      <c r="AD436" s="223">
        <f>IF(N($AO436)=0,"",CHOOSE($AO436,"Nhắc nhở","Cảnh báo","Báo động","Báo động đỏ"))</f>
      </c>
      <c r="AE436" s="223">
        <f>IF(OR(N($AA436)=0,N($U436)=0),"",IF($AA436&lt;=$U436,"Đúng hạn","Trễ hạn"))</f>
      </c>
      <c r="AF436" s="220">
        <f>IF($A436="","",_xlfn.MAXIFS('Nhật ký tiến độ'!$B$6:$B$3005,'Nhật ký tiến độ'!$C$6:$C$3005,$A436))</f>
      </c>
      <c r="AG436" s="223">
        <f>IF($A436="","",IF(COUNTIF('Kế hoạch'!$M$6:$M$305,$A436)=0,"",COUNTIF('Kế hoạch'!$M$6:$M$305,$A436)&amp;" việc"))</f>
      </c>
      <c r="AH436" s="224">
        <f>IF(OR($A436="",N($O436)&lt;=0),"",IF($P436="Giờ",$O436,$O436*24))</f>
      </c>
      <c r="AI436" s="224">
        <f>IF(OR(N($AA436)=0,N($B436)=0),"",IF($AA436&lt;$B436,"",($AA436-$B436)*24))</f>
      </c>
      <c r="AJ436" s="225">
        <f>IF($A436="","",IF(COUNTIF('Nhật ký tiến độ'!$C$6:$C$3005,$A436)=0,0,_xlfn.MAXIFS('Nhật ký tiến độ'!$N$6:$N$3005,'Nhật ký tiến độ'!$C$6:$C$3005,$A436,'Nhật ký tiến độ'!$B$6:$B$3005,_xlfn.MAXIFS('Nhật ký tiến độ'!$B$6:$B$3005,'Nhật ký tiến độ'!$C$6:$C$3005,$A436))))</f>
      </c>
      <c r="AK436" s="225">
        <f>IF(OR($A436="",$V436="Đã xử lý"),"",IF(N($AO436)&gt;0,5-$AO436,IF($J436="Khẩn cấp",5,IF($Y436="Chậm tiến độ",6,IF(OR($Y436="Sắp đến hạn",$J436="Cao"),7,"")))))</f>
      </c>
      <c r="AL436" s="225">
        <f>IF($AK436="","",$AK436*100000+IF(N($U436)=0,99999,INT($U436))+ROW()/100000)</f>
      </c>
      <c r="AM436" s="225">
        <f>IF(OR($A436="",TRIM($K436)="",COUNTIF($K$6:$K436,$K436)&gt;1),0,1)</f>
      </c>
      <c r="AN436" s="225">
        <f>IF($AM436=1,SUM($AM$6:$AM436),"")</f>
      </c>
      <c r="AO436" s="225">
        <f>IF(OR($A436="",$V436="Đã xử lý",N($U436)=0),0,IF(TDBC&lt;=$U436,0,MAX(1,MIN(4,IF((TDBC-$U436)*24&lt;24,1,IF((TDBC-$U436)*24&lt;72,2,IF((TDBC-$U436)*24&lt;168,3,4)))+IFERROR(INDEX({2,1,0,-1},MATCH($J436,{"Khẩn cấp","Cao","Trung bình","Thấp"},0)),0)))))</f>
      </c>
    </row>
    <row r="437">
      <c r="A437" s="216"/>
      <c r="B437" s="217"/>
      <c r="C437" s="218"/>
      <c r="D437" s="218"/>
      <c r="E437" s="218"/>
      <c r="F437" s="218"/>
      <c r="G437" s="216"/>
      <c r="H437" s="218"/>
      <c r="I437" s="218"/>
      <c r="J437" s="216"/>
      <c r="K437" s="218"/>
      <c r="L437" s="218"/>
      <c r="M437" s="218"/>
      <c r="N437" s="218"/>
      <c r="O437" s="219"/>
      <c r="P437" s="216"/>
      <c r="Q437" s="217"/>
      <c r="R437" s="216"/>
      <c r="S437" s="218"/>
      <c r="T437" s="218"/>
      <c r="U437" s="220">
        <f>IF($A437="","",IF(N($Q437)&gt;0,IF(MOD($Q437,1)=0,$Q437+1-1/1440,$Q437),IF(N($B437)=0,"",$B437+IF(N($AH437)&gt;0,$AH437,IFERROR(INDEX(DM_SLA_Gio,MATCH($J437,DM_SLA_Cap,0)),168))/24)))</f>
      </c>
      <c r="V437" s="221">
        <f>IF($A437="","",IF(N($AJ437)=0,"Mới tiếp nhận",INDEX('Nhật ký tiến độ'!$E:$E,$AJ437)))</f>
      </c>
      <c r="W437" s="222">
        <f>IF($A437="","",IF($V437="Đã xử lý",1,IF(N($AJ437)=0,0,N(INDEX('Nhật ký tiến độ'!$D:$D,$AJ437)))))</f>
      </c>
      <c r="X437" s="222">
        <f>IF(OR($A437="",$V437="Đã xử lý",N($U437)=0,N($B437)=0),"",IF(TDBC&lt;=$B437,0,IF(TDBC&gt;=$U437,1,(TDBC-$B437)/($U437-$B437))))</f>
      </c>
      <c r="Y437" s="223">
        <f>IF($A437="","",IF($V437="Đã xử lý","Hoàn thành",IF(N($U437)=0,"Chưa đặt hạn",IF(TDBC&gt;$U437,"Quá hạn",IF(ROUND((N($X437)-$W437)*100,0)&gt;=20,"Chậm tiến độ",IF($U437-TDBC&lt;=1,"Sắp đến hạn","Đúng tiến độ"))))))</f>
      </c>
      <c r="Z437" s="223">
        <f>IF(OR($A437="",$V437="Đã xử lý",N($U437)=0),"",IF(TDBC&gt;$U437,"Quá "&amp;IF(((TDBC-$U437)*24)&lt;1,MAX(1,ROUND(((TDBC-$U437)*24)*60,0))&amp;" phút",IF(ROUND(((TDBC-$U437)*24),0)&lt;24,ROUND(((TDBC-$U437)*24),0)&amp;" giờ",INT(ROUND(((TDBC-$U437)*24),0)/24)&amp;" ngày"&amp;IF(MOD(ROUND(((TDBC-$U437)*24),0),24)&gt;0," "&amp;MOD(ROUND(((TDBC-$U437)*24),0),24)&amp;" giờ",""))),"Còn "&amp;IF((($U437-TDBC)*24)&lt;1,MAX(1,ROUND((($U437-TDBC)*24)*60,0))&amp;" phút",IF(ROUND((($U437-TDBC)*24),0)&lt;24,ROUND((($U437-TDBC)*24),0)&amp;" giờ",INT(ROUND((($U437-TDBC)*24),0)/24)&amp;" ngày"&amp;IF(MOD(ROUND((($U437-TDBC)*24),0),24)&gt;0," "&amp;MOD(ROUND((($U437-TDBC)*24),0),24)&amp;" giờ","")))))</f>
      </c>
      <c r="AA437" s="220">
        <f>IF($V437="Đã xử lý",_xlfn.MAXIFS('Nhật ký tiến độ'!$B$6:$B$3005,'Nhật ký tiến độ'!$C$6:$C$3005,$A437,'Nhật ký tiến độ'!$E$6:$E$3005,"Đã xử lý"),"")</f>
      </c>
      <c r="AB437" s="223">
        <f>IF($AI437="","",IF($AI437&lt;1,MAX(1,ROUND($AI437*60,0))&amp;" phút",IF(ROUND($AI437,0)&lt;24,ROUND($AI437,0)&amp;" giờ",INT(ROUND($AI437,0)/24)&amp;" ngày"&amp;IF(MOD(ROUND($AI437,0),24)&gt;0," "&amp;MOD(ROUND($AI437,0),24)&amp;" giờ",""))))</f>
      </c>
      <c r="AC437" s="223">
        <f>IF(OR($A437="",N($AH437)=0),"",IF($AI437&lt;&gt;"",IF($AI437&lt;=$AH437,"Trong ước tính","Vượt "&amp;IF(($AI437-$AH437)&lt;1,MAX(1,ROUND(($AI437-$AH437)*60,0))&amp;" phút",IF(ROUND(($AI437-$AH437),0)&lt;24,ROUND(($AI437-$AH437),0)&amp;" giờ",INT(ROUND(($AI437-$AH437),0)/24)&amp;" ngày"&amp;IF(MOD(ROUND(($AI437-$AH437),0),24)&gt;0," "&amp;MOD(ROUND(($AI437-$AH437),0),24)&amp;" giờ","")))),IF(OR($V437="Đã xử lý",N($B437)=0),"",IF((TDBC-$B437)*24&gt;$AH437,"Đã vượt ước tính","Đã dùng "&amp;TEXT((TDBC-$B437)*24/$AH437,"0%")))))</f>
      </c>
      <c r="AD437" s="223">
        <f>IF(N($AO437)=0,"",CHOOSE($AO437,"Nhắc nhở","Cảnh báo","Báo động","Báo động đỏ"))</f>
      </c>
      <c r="AE437" s="223">
        <f>IF(OR(N($AA437)=0,N($U437)=0),"",IF($AA437&lt;=$U437,"Đúng hạn","Trễ hạn"))</f>
      </c>
      <c r="AF437" s="220">
        <f>IF($A437="","",_xlfn.MAXIFS('Nhật ký tiến độ'!$B$6:$B$3005,'Nhật ký tiến độ'!$C$6:$C$3005,$A437))</f>
      </c>
      <c r="AG437" s="223">
        <f>IF($A437="","",IF(COUNTIF('Kế hoạch'!$M$6:$M$305,$A437)=0,"",COUNTIF('Kế hoạch'!$M$6:$M$305,$A437)&amp;" việc"))</f>
      </c>
      <c r="AH437" s="224">
        <f>IF(OR($A437="",N($O437)&lt;=0),"",IF($P437="Giờ",$O437,$O437*24))</f>
      </c>
      <c r="AI437" s="224">
        <f>IF(OR(N($AA437)=0,N($B437)=0),"",IF($AA437&lt;$B437,"",($AA437-$B437)*24))</f>
      </c>
      <c r="AJ437" s="225">
        <f>IF($A437="","",IF(COUNTIF('Nhật ký tiến độ'!$C$6:$C$3005,$A437)=0,0,_xlfn.MAXIFS('Nhật ký tiến độ'!$N$6:$N$3005,'Nhật ký tiến độ'!$C$6:$C$3005,$A437,'Nhật ký tiến độ'!$B$6:$B$3005,_xlfn.MAXIFS('Nhật ký tiến độ'!$B$6:$B$3005,'Nhật ký tiến độ'!$C$6:$C$3005,$A437))))</f>
      </c>
      <c r="AK437" s="225">
        <f>IF(OR($A437="",$V437="Đã xử lý"),"",IF(N($AO437)&gt;0,5-$AO437,IF($J437="Khẩn cấp",5,IF($Y437="Chậm tiến độ",6,IF(OR($Y437="Sắp đến hạn",$J437="Cao"),7,"")))))</f>
      </c>
      <c r="AL437" s="225">
        <f>IF($AK437="","",$AK437*100000+IF(N($U437)=0,99999,INT($U437))+ROW()/100000)</f>
      </c>
      <c r="AM437" s="225">
        <f>IF(OR($A437="",TRIM($K437)="",COUNTIF($K$6:$K437,$K437)&gt;1),0,1)</f>
      </c>
      <c r="AN437" s="225">
        <f>IF($AM437=1,SUM($AM$6:$AM437),"")</f>
      </c>
      <c r="AO437" s="225">
        <f>IF(OR($A437="",$V437="Đã xử lý",N($U437)=0),0,IF(TDBC&lt;=$U437,0,MAX(1,MIN(4,IF((TDBC-$U437)*24&lt;24,1,IF((TDBC-$U437)*24&lt;72,2,IF((TDBC-$U437)*24&lt;168,3,4)))+IFERROR(INDEX({2,1,0,-1},MATCH($J437,{"Khẩn cấp","Cao","Trung bình","Thấp"},0)),0)))))</f>
      </c>
    </row>
    <row r="438">
      <c r="A438" s="216"/>
      <c r="B438" s="217"/>
      <c r="C438" s="218"/>
      <c r="D438" s="218"/>
      <c r="E438" s="218"/>
      <c r="F438" s="218"/>
      <c r="G438" s="216"/>
      <c r="H438" s="218"/>
      <c r="I438" s="218"/>
      <c r="J438" s="216"/>
      <c r="K438" s="218"/>
      <c r="L438" s="218"/>
      <c r="M438" s="218"/>
      <c r="N438" s="218"/>
      <c r="O438" s="219"/>
      <c r="P438" s="216"/>
      <c r="Q438" s="217"/>
      <c r="R438" s="216"/>
      <c r="S438" s="218"/>
      <c r="T438" s="218"/>
      <c r="U438" s="220">
        <f>IF($A438="","",IF(N($Q438)&gt;0,IF(MOD($Q438,1)=0,$Q438+1-1/1440,$Q438),IF(N($B438)=0,"",$B438+IF(N($AH438)&gt;0,$AH438,IFERROR(INDEX(DM_SLA_Gio,MATCH($J438,DM_SLA_Cap,0)),168))/24)))</f>
      </c>
      <c r="V438" s="221">
        <f>IF($A438="","",IF(N($AJ438)=0,"Mới tiếp nhận",INDEX('Nhật ký tiến độ'!$E:$E,$AJ438)))</f>
      </c>
      <c r="W438" s="222">
        <f>IF($A438="","",IF($V438="Đã xử lý",1,IF(N($AJ438)=0,0,N(INDEX('Nhật ký tiến độ'!$D:$D,$AJ438)))))</f>
      </c>
      <c r="X438" s="222">
        <f>IF(OR($A438="",$V438="Đã xử lý",N($U438)=0,N($B438)=0),"",IF(TDBC&lt;=$B438,0,IF(TDBC&gt;=$U438,1,(TDBC-$B438)/($U438-$B438))))</f>
      </c>
      <c r="Y438" s="223">
        <f>IF($A438="","",IF($V438="Đã xử lý","Hoàn thành",IF(N($U438)=0,"Chưa đặt hạn",IF(TDBC&gt;$U438,"Quá hạn",IF(ROUND((N($X438)-$W438)*100,0)&gt;=20,"Chậm tiến độ",IF($U438-TDBC&lt;=1,"Sắp đến hạn","Đúng tiến độ"))))))</f>
      </c>
      <c r="Z438" s="223">
        <f>IF(OR($A438="",$V438="Đã xử lý",N($U438)=0),"",IF(TDBC&gt;$U438,"Quá "&amp;IF(((TDBC-$U438)*24)&lt;1,MAX(1,ROUND(((TDBC-$U438)*24)*60,0))&amp;" phút",IF(ROUND(((TDBC-$U438)*24),0)&lt;24,ROUND(((TDBC-$U438)*24),0)&amp;" giờ",INT(ROUND(((TDBC-$U438)*24),0)/24)&amp;" ngày"&amp;IF(MOD(ROUND(((TDBC-$U438)*24),0),24)&gt;0," "&amp;MOD(ROUND(((TDBC-$U438)*24),0),24)&amp;" giờ",""))),"Còn "&amp;IF((($U438-TDBC)*24)&lt;1,MAX(1,ROUND((($U438-TDBC)*24)*60,0))&amp;" phút",IF(ROUND((($U438-TDBC)*24),0)&lt;24,ROUND((($U438-TDBC)*24),0)&amp;" giờ",INT(ROUND((($U438-TDBC)*24),0)/24)&amp;" ngày"&amp;IF(MOD(ROUND((($U438-TDBC)*24),0),24)&gt;0," "&amp;MOD(ROUND((($U438-TDBC)*24),0),24)&amp;" giờ","")))))</f>
      </c>
      <c r="AA438" s="220">
        <f>IF($V438="Đã xử lý",_xlfn.MAXIFS('Nhật ký tiến độ'!$B$6:$B$3005,'Nhật ký tiến độ'!$C$6:$C$3005,$A438,'Nhật ký tiến độ'!$E$6:$E$3005,"Đã xử lý"),"")</f>
      </c>
      <c r="AB438" s="223">
        <f>IF($AI438="","",IF($AI438&lt;1,MAX(1,ROUND($AI438*60,0))&amp;" phút",IF(ROUND($AI438,0)&lt;24,ROUND($AI438,0)&amp;" giờ",INT(ROUND($AI438,0)/24)&amp;" ngày"&amp;IF(MOD(ROUND($AI438,0),24)&gt;0," "&amp;MOD(ROUND($AI438,0),24)&amp;" giờ",""))))</f>
      </c>
      <c r="AC438" s="223">
        <f>IF(OR($A438="",N($AH438)=0),"",IF($AI438&lt;&gt;"",IF($AI438&lt;=$AH438,"Trong ước tính","Vượt "&amp;IF(($AI438-$AH438)&lt;1,MAX(1,ROUND(($AI438-$AH438)*60,0))&amp;" phút",IF(ROUND(($AI438-$AH438),0)&lt;24,ROUND(($AI438-$AH438),0)&amp;" giờ",INT(ROUND(($AI438-$AH438),0)/24)&amp;" ngày"&amp;IF(MOD(ROUND(($AI438-$AH438),0),24)&gt;0," "&amp;MOD(ROUND(($AI438-$AH438),0),24)&amp;" giờ","")))),IF(OR($V438="Đã xử lý",N($B438)=0),"",IF((TDBC-$B438)*24&gt;$AH438,"Đã vượt ước tính","Đã dùng "&amp;TEXT((TDBC-$B438)*24/$AH438,"0%")))))</f>
      </c>
      <c r="AD438" s="223">
        <f>IF(N($AO438)=0,"",CHOOSE($AO438,"Nhắc nhở","Cảnh báo","Báo động","Báo động đỏ"))</f>
      </c>
      <c r="AE438" s="223">
        <f>IF(OR(N($AA438)=0,N($U438)=0),"",IF($AA438&lt;=$U438,"Đúng hạn","Trễ hạn"))</f>
      </c>
      <c r="AF438" s="220">
        <f>IF($A438="","",_xlfn.MAXIFS('Nhật ký tiến độ'!$B$6:$B$3005,'Nhật ký tiến độ'!$C$6:$C$3005,$A438))</f>
      </c>
      <c r="AG438" s="223">
        <f>IF($A438="","",IF(COUNTIF('Kế hoạch'!$M$6:$M$305,$A438)=0,"",COUNTIF('Kế hoạch'!$M$6:$M$305,$A438)&amp;" việc"))</f>
      </c>
      <c r="AH438" s="224">
        <f>IF(OR($A438="",N($O438)&lt;=0),"",IF($P438="Giờ",$O438,$O438*24))</f>
      </c>
      <c r="AI438" s="224">
        <f>IF(OR(N($AA438)=0,N($B438)=0),"",IF($AA438&lt;$B438,"",($AA438-$B438)*24))</f>
      </c>
      <c r="AJ438" s="225">
        <f>IF($A438="","",IF(COUNTIF('Nhật ký tiến độ'!$C$6:$C$3005,$A438)=0,0,_xlfn.MAXIFS('Nhật ký tiến độ'!$N$6:$N$3005,'Nhật ký tiến độ'!$C$6:$C$3005,$A438,'Nhật ký tiến độ'!$B$6:$B$3005,_xlfn.MAXIFS('Nhật ký tiến độ'!$B$6:$B$3005,'Nhật ký tiến độ'!$C$6:$C$3005,$A438))))</f>
      </c>
      <c r="AK438" s="225">
        <f>IF(OR($A438="",$V438="Đã xử lý"),"",IF(N($AO438)&gt;0,5-$AO438,IF($J438="Khẩn cấp",5,IF($Y438="Chậm tiến độ",6,IF(OR($Y438="Sắp đến hạn",$J438="Cao"),7,"")))))</f>
      </c>
      <c r="AL438" s="225">
        <f>IF($AK438="","",$AK438*100000+IF(N($U438)=0,99999,INT($U438))+ROW()/100000)</f>
      </c>
      <c r="AM438" s="225">
        <f>IF(OR($A438="",TRIM($K438)="",COUNTIF($K$6:$K438,$K438)&gt;1),0,1)</f>
      </c>
      <c r="AN438" s="225">
        <f>IF($AM438=1,SUM($AM$6:$AM438),"")</f>
      </c>
      <c r="AO438" s="225">
        <f>IF(OR($A438="",$V438="Đã xử lý",N($U438)=0),0,IF(TDBC&lt;=$U438,0,MAX(1,MIN(4,IF((TDBC-$U438)*24&lt;24,1,IF((TDBC-$U438)*24&lt;72,2,IF((TDBC-$U438)*24&lt;168,3,4)))+IFERROR(INDEX({2,1,0,-1},MATCH($J438,{"Khẩn cấp","Cao","Trung bình","Thấp"},0)),0)))))</f>
      </c>
    </row>
    <row r="439">
      <c r="A439" s="216"/>
      <c r="B439" s="217"/>
      <c r="C439" s="218"/>
      <c r="D439" s="218"/>
      <c r="E439" s="218"/>
      <c r="F439" s="218"/>
      <c r="G439" s="216"/>
      <c r="H439" s="218"/>
      <c r="I439" s="218"/>
      <c r="J439" s="216"/>
      <c r="K439" s="218"/>
      <c r="L439" s="218"/>
      <c r="M439" s="218"/>
      <c r="N439" s="218"/>
      <c r="O439" s="219"/>
      <c r="P439" s="216"/>
      <c r="Q439" s="217"/>
      <c r="R439" s="216"/>
      <c r="S439" s="218"/>
      <c r="T439" s="218"/>
      <c r="U439" s="220">
        <f>IF($A439="","",IF(N($Q439)&gt;0,IF(MOD($Q439,1)=0,$Q439+1-1/1440,$Q439),IF(N($B439)=0,"",$B439+IF(N($AH439)&gt;0,$AH439,IFERROR(INDEX(DM_SLA_Gio,MATCH($J439,DM_SLA_Cap,0)),168))/24)))</f>
      </c>
      <c r="V439" s="221">
        <f>IF($A439="","",IF(N($AJ439)=0,"Mới tiếp nhận",INDEX('Nhật ký tiến độ'!$E:$E,$AJ439)))</f>
      </c>
      <c r="W439" s="222">
        <f>IF($A439="","",IF($V439="Đã xử lý",1,IF(N($AJ439)=0,0,N(INDEX('Nhật ký tiến độ'!$D:$D,$AJ439)))))</f>
      </c>
      <c r="X439" s="222">
        <f>IF(OR($A439="",$V439="Đã xử lý",N($U439)=0,N($B439)=0),"",IF(TDBC&lt;=$B439,0,IF(TDBC&gt;=$U439,1,(TDBC-$B439)/($U439-$B439))))</f>
      </c>
      <c r="Y439" s="223">
        <f>IF($A439="","",IF($V439="Đã xử lý","Hoàn thành",IF(N($U439)=0,"Chưa đặt hạn",IF(TDBC&gt;$U439,"Quá hạn",IF(ROUND((N($X439)-$W439)*100,0)&gt;=20,"Chậm tiến độ",IF($U439-TDBC&lt;=1,"Sắp đến hạn","Đúng tiến độ"))))))</f>
      </c>
      <c r="Z439" s="223">
        <f>IF(OR($A439="",$V439="Đã xử lý",N($U439)=0),"",IF(TDBC&gt;$U439,"Quá "&amp;IF(((TDBC-$U439)*24)&lt;1,MAX(1,ROUND(((TDBC-$U439)*24)*60,0))&amp;" phút",IF(ROUND(((TDBC-$U439)*24),0)&lt;24,ROUND(((TDBC-$U439)*24),0)&amp;" giờ",INT(ROUND(((TDBC-$U439)*24),0)/24)&amp;" ngày"&amp;IF(MOD(ROUND(((TDBC-$U439)*24),0),24)&gt;0," "&amp;MOD(ROUND(((TDBC-$U439)*24),0),24)&amp;" giờ",""))),"Còn "&amp;IF((($U439-TDBC)*24)&lt;1,MAX(1,ROUND((($U439-TDBC)*24)*60,0))&amp;" phút",IF(ROUND((($U439-TDBC)*24),0)&lt;24,ROUND((($U439-TDBC)*24),0)&amp;" giờ",INT(ROUND((($U439-TDBC)*24),0)/24)&amp;" ngày"&amp;IF(MOD(ROUND((($U439-TDBC)*24),0),24)&gt;0," "&amp;MOD(ROUND((($U439-TDBC)*24),0),24)&amp;" giờ","")))))</f>
      </c>
      <c r="AA439" s="220">
        <f>IF($V439="Đã xử lý",_xlfn.MAXIFS('Nhật ký tiến độ'!$B$6:$B$3005,'Nhật ký tiến độ'!$C$6:$C$3005,$A439,'Nhật ký tiến độ'!$E$6:$E$3005,"Đã xử lý"),"")</f>
      </c>
      <c r="AB439" s="223">
        <f>IF($AI439="","",IF($AI439&lt;1,MAX(1,ROUND($AI439*60,0))&amp;" phút",IF(ROUND($AI439,0)&lt;24,ROUND($AI439,0)&amp;" giờ",INT(ROUND($AI439,0)/24)&amp;" ngày"&amp;IF(MOD(ROUND($AI439,0),24)&gt;0," "&amp;MOD(ROUND($AI439,0),24)&amp;" giờ",""))))</f>
      </c>
      <c r="AC439" s="223">
        <f>IF(OR($A439="",N($AH439)=0),"",IF($AI439&lt;&gt;"",IF($AI439&lt;=$AH439,"Trong ước tính","Vượt "&amp;IF(($AI439-$AH439)&lt;1,MAX(1,ROUND(($AI439-$AH439)*60,0))&amp;" phút",IF(ROUND(($AI439-$AH439),0)&lt;24,ROUND(($AI439-$AH439),0)&amp;" giờ",INT(ROUND(($AI439-$AH439),0)/24)&amp;" ngày"&amp;IF(MOD(ROUND(($AI439-$AH439),0),24)&gt;0," "&amp;MOD(ROUND(($AI439-$AH439),0),24)&amp;" giờ","")))),IF(OR($V439="Đã xử lý",N($B439)=0),"",IF((TDBC-$B439)*24&gt;$AH439,"Đã vượt ước tính","Đã dùng "&amp;TEXT((TDBC-$B439)*24/$AH439,"0%")))))</f>
      </c>
      <c r="AD439" s="223">
        <f>IF(N($AO439)=0,"",CHOOSE($AO439,"Nhắc nhở","Cảnh báo","Báo động","Báo động đỏ"))</f>
      </c>
      <c r="AE439" s="223">
        <f>IF(OR(N($AA439)=0,N($U439)=0),"",IF($AA439&lt;=$U439,"Đúng hạn","Trễ hạn"))</f>
      </c>
      <c r="AF439" s="220">
        <f>IF($A439="","",_xlfn.MAXIFS('Nhật ký tiến độ'!$B$6:$B$3005,'Nhật ký tiến độ'!$C$6:$C$3005,$A439))</f>
      </c>
      <c r="AG439" s="223">
        <f>IF($A439="","",IF(COUNTIF('Kế hoạch'!$M$6:$M$305,$A439)=0,"",COUNTIF('Kế hoạch'!$M$6:$M$305,$A439)&amp;" việc"))</f>
      </c>
      <c r="AH439" s="224">
        <f>IF(OR($A439="",N($O439)&lt;=0),"",IF($P439="Giờ",$O439,$O439*24))</f>
      </c>
      <c r="AI439" s="224">
        <f>IF(OR(N($AA439)=0,N($B439)=0),"",IF($AA439&lt;$B439,"",($AA439-$B439)*24))</f>
      </c>
      <c r="AJ439" s="225">
        <f>IF($A439="","",IF(COUNTIF('Nhật ký tiến độ'!$C$6:$C$3005,$A439)=0,0,_xlfn.MAXIFS('Nhật ký tiến độ'!$N$6:$N$3005,'Nhật ký tiến độ'!$C$6:$C$3005,$A439,'Nhật ký tiến độ'!$B$6:$B$3005,_xlfn.MAXIFS('Nhật ký tiến độ'!$B$6:$B$3005,'Nhật ký tiến độ'!$C$6:$C$3005,$A439))))</f>
      </c>
      <c r="AK439" s="225">
        <f>IF(OR($A439="",$V439="Đã xử lý"),"",IF(N($AO439)&gt;0,5-$AO439,IF($J439="Khẩn cấp",5,IF($Y439="Chậm tiến độ",6,IF(OR($Y439="Sắp đến hạn",$J439="Cao"),7,"")))))</f>
      </c>
      <c r="AL439" s="225">
        <f>IF($AK439="","",$AK439*100000+IF(N($U439)=0,99999,INT($U439))+ROW()/100000)</f>
      </c>
      <c r="AM439" s="225">
        <f>IF(OR($A439="",TRIM($K439)="",COUNTIF($K$6:$K439,$K439)&gt;1),0,1)</f>
      </c>
      <c r="AN439" s="225">
        <f>IF($AM439=1,SUM($AM$6:$AM439),"")</f>
      </c>
      <c r="AO439" s="225">
        <f>IF(OR($A439="",$V439="Đã xử lý",N($U439)=0),0,IF(TDBC&lt;=$U439,0,MAX(1,MIN(4,IF((TDBC-$U439)*24&lt;24,1,IF((TDBC-$U439)*24&lt;72,2,IF((TDBC-$U439)*24&lt;168,3,4)))+IFERROR(INDEX({2,1,0,-1},MATCH($J439,{"Khẩn cấp","Cao","Trung bình","Thấp"},0)),0)))))</f>
      </c>
    </row>
    <row r="440">
      <c r="A440" s="216"/>
      <c r="B440" s="217"/>
      <c r="C440" s="218"/>
      <c r="D440" s="218"/>
      <c r="E440" s="218"/>
      <c r="F440" s="218"/>
      <c r="G440" s="216"/>
      <c r="H440" s="218"/>
      <c r="I440" s="218"/>
      <c r="J440" s="216"/>
      <c r="K440" s="218"/>
      <c r="L440" s="218"/>
      <c r="M440" s="218"/>
      <c r="N440" s="218"/>
      <c r="O440" s="219"/>
      <c r="P440" s="216"/>
      <c r="Q440" s="217"/>
      <c r="R440" s="216"/>
      <c r="S440" s="218"/>
      <c r="T440" s="218"/>
      <c r="U440" s="220">
        <f>IF($A440="","",IF(N($Q440)&gt;0,IF(MOD($Q440,1)=0,$Q440+1-1/1440,$Q440),IF(N($B440)=0,"",$B440+IF(N($AH440)&gt;0,$AH440,IFERROR(INDEX(DM_SLA_Gio,MATCH($J440,DM_SLA_Cap,0)),168))/24)))</f>
      </c>
      <c r="V440" s="221">
        <f>IF($A440="","",IF(N($AJ440)=0,"Mới tiếp nhận",INDEX('Nhật ký tiến độ'!$E:$E,$AJ440)))</f>
      </c>
      <c r="W440" s="222">
        <f>IF($A440="","",IF($V440="Đã xử lý",1,IF(N($AJ440)=0,0,N(INDEX('Nhật ký tiến độ'!$D:$D,$AJ440)))))</f>
      </c>
      <c r="X440" s="222">
        <f>IF(OR($A440="",$V440="Đã xử lý",N($U440)=0,N($B440)=0),"",IF(TDBC&lt;=$B440,0,IF(TDBC&gt;=$U440,1,(TDBC-$B440)/($U440-$B440))))</f>
      </c>
      <c r="Y440" s="223">
        <f>IF($A440="","",IF($V440="Đã xử lý","Hoàn thành",IF(N($U440)=0,"Chưa đặt hạn",IF(TDBC&gt;$U440,"Quá hạn",IF(ROUND((N($X440)-$W440)*100,0)&gt;=20,"Chậm tiến độ",IF($U440-TDBC&lt;=1,"Sắp đến hạn","Đúng tiến độ"))))))</f>
      </c>
      <c r="Z440" s="223">
        <f>IF(OR($A440="",$V440="Đã xử lý",N($U440)=0),"",IF(TDBC&gt;$U440,"Quá "&amp;IF(((TDBC-$U440)*24)&lt;1,MAX(1,ROUND(((TDBC-$U440)*24)*60,0))&amp;" phút",IF(ROUND(((TDBC-$U440)*24),0)&lt;24,ROUND(((TDBC-$U440)*24),0)&amp;" giờ",INT(ROUND(((TDBC-$U440)*24),0)/24)&amp;" ngày"&amp;IF(MOD(ROUND(((TDBC-$U440)*24),0),24)&gt;0," "&amp;MOD(ROUND(((TDBC-$U440)*24),0),24)&amp;" giờ",""))),"Còn "&amp;IF((($U440-TDBC)*24)&lt;1,MAX(1,ROUND((($U440-TDBC)*24)*60,0))&amp;" phút",IF(ROUND((($U440-TDBC)*24),0)&lt;24,ROUND((($U440-TDBC)*24),0)&amp;" giờ",INT(ROUND((($U440-TDBC)*24),0)/24)&amp;" ngày"&amp;IF(MOD(ROUND((($U440-TDBC)*24),0),24)&gt;0," "&amp;MOD(ROUND((($U440-TDBC)*24),0),24)&amp;" giờ","")))))</f>
      </c>
      <c r="AA440" s="220">
        <f>IF($V440="Đã xử lý",_xlfn.MAXIFS('Nhật ký tiến độ'!$B$6:$B$3005,'Nhật ký tiến độ'!$C$6:$C$3005,$A440,'Nhật ký tiến độ'!$E$6:$E$3005,"Đã xử lý"),"")</f>
      </c>
      <c r="AB440" s="223">
        <f>IF($AI440="","",IF($AI440&lt;1,MAX(1,ROUND($AI440*60,0))&amp;" phút",IF(ROUND($AI440,0)&lt;24,ROUND($AI440,0)&amp;" giờ",INT(ROUND($AI440,0)/24)&amp;" ngày"&amp;IF(MOD(ROUND($AI440,0),24)&gt;0," "&amp;MOD(ROUND($AI440,0),24)&amp;" giờ",""))))</f>
      </c>
      <c r="AC440" s="223">
        <f>IF(OR($A440="",N($AH440)=0),"",IF($AI440&lt;&gt;"",IF($AI440&lt;=$AH440,"Trong ước tính","Vượt "&amp;IF(($AI440-$AH440)&lt;1,MAX(1,ROUND(($AI440-$AH440)*60,0))&amp;" phút",IF(ROUND(($AI440-$AH440),0)&lt;24,ROUND(($AI440-$AH440),0)&amp;" giờ",INT(ROUND(($AI440-$AH440),0)/24)&amp;" ngày"&amp;IF(MOD(ROUND(($AI440-$AH440),0),24)&gt;0," "&amp;MOD(ROUND(($AI440-$AH440),0),24)&amp;" giờ","")))),IF(OR($V440="Đã xử lý",N($B440)=0),"",IF((TDBC-$B440)*24&gt;$AH440,"Đã vượt ước tính","Đã dùng "&amp;TEXT((TDBC-$B440)*24/$AH440,"0%")))))</f>
      </c>
      <c r="AD440" s="223">
        <f>IF(N($AO440)=0,"",CHOOSE($AO440,"Nhắc nhở","Cảnh báo","Báo động","Báo động đỏ"))</f>
      </c>
      <c r="AE440" s="223">
        <f>IF(OR(N($AA440)=0,N($U440)=0),"",IF($AA440&lt;=$U440,"Đúng hạn","Trễ hạn"))</f>
      </c>
      <c r="AF440" s="220">
        <f>IF($A440="","",_xlfn.MAXIFS('Nhật ký tiến độ'!$B$6:$B$3005,'Nhật ký tiến độ'!$C$6:$C$3005,$A440))</f>
      </c>
      <c r="AG440" s="223">
        <f>IF($A440="","",IF(COUNTIF('Kế hoạch'!$M$6:$M$305,$A440)=0,"",COUNTIF('Kế hoạch'!$M$6:$M$305,$A440)&amp;" việc"))</f>
      </c>
      <c r="AH440" s="224">
        <f>IF(OR($A440="",N($O440)&lt;=0),"",IF($P440="Giờ",$O440,$O440*24))</f>
      </c>
      <c r="AI440" s="224">
        <f>IF(OR(N($AA440)=0,N($B440)=0),"",IF($AA440&lt;$B440,"",($AA440-$B440)*24))</f>
      </c>
      <c r="AJ440" s="225">
        <f>IF($A440="","",IF(COUNTIF('Nhật ký tiến độ'!$C$6:$C$3005,$A440)=0,0,_xlfn.MAXIFS('Nhật ký tiến độ'!$N$6:$N$3005,'Nhật ký tiến độ'!$C$6:$C$3005,$A440,'Nhật ký tiến độ'!$B$6:$B$3005,_xlfn.MAXIFS('Nhật ký tiến độ'!$B$6:$B$3005,'Nhật ký tiến độ'!$C$6:$C$3005,$A440))))</f>
      </c>
      <c r="AK440" s="225">
        <f>IF(OR($A440="",$V440="Đã xử lý"),"",IF(N($AO440)&gt;0,5-$AO440,IF($J440="Khẩn cấp",5,IF($Y440="Chậm tiến độ",6,IF(OR($Y440="Sắp đến hạn",$J440="Cao"),7,"")))))</f>
      </c>
      <c r="AL440" s="225">
        <f>IF($AK440="","",$AK440*100000+IF(N($U440)=0,99999,INT($U440))+ROW()/100000)</f>
      </c>
      <c r="AM440" s="225">
        <f>IF(OR($A440="",TRIM($K440)="",COUNTIF($K$6:$K440,$K440)&gt;1),0,1)</f>
      </c>
      <c r="AN440" s="225">
        <f>IF($AM440=1,SUM($AM$6:$AM440),"")</f>
      </c>
      <c r="AO440" s="225">
        <f>IF(OR($A440="",$V440="Đã xử lý",N($U440)=0),0,IF(TDBC&lt;=$U440,0,MAX(1,MIN(4,IF((TDBC-$U440)*24&lt;24,1,IF((TDBC-$U440)*24&lt;72,2,IF((TDBC-$U440)*24&lt;168,3,4)))+IFERROR(INDEX({2,1,0,-1},MATCH($J440,{"Khẩn cấp","Cao","Trung bình","Thấp"},0)),0)))))</f>
      </c>
    </row>
    <row r="441">
      <c r="A441" s="216"/>
      <c r="B441" s="217"/>
      <c r="C441" s="218"/>
      <c r="D441" s="218"/>
      <c r="E441" s="218"/>
      <c r="F441" s="218"/>
      <c r="G441" s="216"/>
      <c r="H441" s="218"/>
      <c r="I441" s="218"/>
      <c r="J441" s="216"/>
      <c r="K441" s="218"/>
      <c r="L441" s="218"/>
      <c r="M441" s="218"/>
      <c r="N441" s="218"/>
      <c r="O441" s="219"/>
      <c r="P441" s="216"/>
      <c r="Q441" s="217"/>
      <c r="R441" s="216"/>
      <c r="S441" s="218"/>
      <c r="T441" s="218"/>
      <c r="U441" s="220">
        <f>IF($A441="","",IF(N($Q441)&gt;0,IF(MOD($Q441,1)=0,$Q441+1-1/1440,$Q441),IF(N($B441)=0,"",$B441+IF(N($AH441)&gt;0,$AH441,IFERROR(INDEX(DM_SLA_Gio,MATCH($J441,DM_SLA_Cap,0)),168))/24)))</f>
      </c>
      <c r="V441" s="221">
        <f>IF($A441="","",IF(N($AJ441)=0,"Mới tiếp nhận",INDEX('Nhật ký tiến độ'!$E:$E,$AJ441)))</f>
      </c>
      <c r="W441" s="222">
        <f>IF($A441="","",IF($V441="Đã xử lý",1,IF(N($AJ441)=0,0,N(INDEX('Nhật ký tiến độ'!$D:$D,$AJ441)))))</f>
      </c>
      <c r="X441" s="222">
        <f>IF(OR($A441="",$V441="Đã xử lý",N($U441)=0,N($B441)=0),"",IF(TDBC&lt;=$B441,0,IF(TDBC&gt;=$U441,1,(TDBC-$B441)/($U441-$B441))))</f>
      </c>
      <c r="Y441" s="223">
        <f>IF($A441="","",IF($V441="Đã xử lý","Hoàn thành",IF(N($U441)=0,"Chưa đặt hạn",IF(TDBC&gt;$U441,"Quá hạn",IF(ROUND((N($X441)-$W441)*100,0)&gt;=20,"Chậm tiến độ",IF($U441-TDBC&lt;=1,"Sắp đến hạn","Đúng tiến độ"))))))</f>
      </c>
      <c r="Z441" s="223">
        <f>IF(OR($A441="",$V441="Đã xử lý",N($U441)=0),"",IF(TDBC&gt;$U441,"Quá "&amp;IF(((TDBC-$U441)*24)&lt;1,MAX(1,ROUND(((TDBC-$U441)*24)*60,0))&amp;" phút",IF(ROUND(((TDBC-$U441)*24),0)&lt;24,ROUND(((TDBC-$U441)*24),0)&amp;" giờ",INT(ROUND(((TDBC-$U441)*24),0)/24)&amp;" ngày"&amp;IF(MOD(ROUND(((TDBC-$U441)*24),0),24)&gt;0," "&amp;MOD(ROUND(((TDBC-$U441)*24),0),24)&amp;" giờ",""))),"Còn "&amp;IF((($U441-TDBC)*24)&lt;1,MAX(1,ROUND((($U441-TDBC)*24)*60,0))&amp;" phút",IF(ROUND((($U441-TDBC)*24),0)&lt;24,ROUND((($U441-TDBC)*24),0)&amp;" giờ",INT(ROUND((($U441-TDBC)*24),0)/24)&amp;" ngày"&amp;IF(MOD(ROUND((($U441-TDBC)*24),0),24)&gt;0," "&amp;MOD(ROUND((($U441-TDBC)*24),0),24)&amp;" giờ","")))))</f>
      </c>
      <c r="AA441" s="220">
        <f>IF($V441="Đã xử lý",_xlfn.MAXIFS('Nhật ký tiến độ'!$B$6:$B$3005,'Nhật ký tiến độ'!$C$6:$C$3005,$A441,'Nhật ký tiến độ'!$E$6:$E$3005,"Đã xử lý"),"")</f>
      </c>
      <c r="AB441" s="223">
        <f>IF($AI441="","",IF($AI441&lt;1,MAX(1,ROUND($AI441*60,0))&amp;" phút",IF(ROUND($AI441,0)&lt;24,ROUND($AI441,0)&amp;" giờ",INT(ROUND($AI441,0)/24)&amp;" ngày"&amp;IF(MOD(ROUND($AI441,0),24)&gt;0," "&amp;MOD(ROUND($AI441,0),24)&amp;" giờ",""))))</f>
      </c>
      <c r="AC441" s="223">
        <f>IF(OR($A441="",N($AH441)=0),"",IF($AI441&lt;&gt;"",IF($AI441&lt;=$AH441,"Trong ước tính","Vượt "&amp;IF(($AI441-$AH441)&lt;1,MAX(1,ROUND(($AI441-$AH441)*60,0))&amp;" phút",IF(ROUND(($AI441-$AH441),0)&lt;24,ROUND(($AI441-$AH441),0)&amp;" giờ",INT(ROUND(($AI441-$AH441),0)/24)&amp;" ngày"&amp;IF(MOD(ROUND(($AI441-$AH441),0),24)&gt;0," "&amp;MOD(ROUND(($AI441-$AH441),0),24)&amp;" giờ","")))),IF(OR($V441="Đã xử lý",N($B441)=0),"",IF((TDBC-$B441)*24&gt;$AH441,"Đã vượt ước tính","Đã dùng "&amp;TEXT((TDBC-$B441)*24/$AH441,"0%")))))</f>
      </c>
      <c r="AD441" s="223">
        <f>IF(N($AO441)=0,"",CHOOSE($AO441,"Nhắc nhở","Cảnh báo","Báo động","Báo động đỏ"))</f>
      </c>
      <c r="AE441" s="223">
        <f>IF(OR(N($AA441)=0,N($U441)=0),"",IF($AA441&lt;=$U441,"Đúng hạn","Trễ hạn"))</f>
      </c>
      <c r="AF441" s="220">
        <f>IF($A441="","",_xlfn.MAXIFS('Nhật ký tiến độ'!$B$6:$B$3005,'Nhật ký tiến độ'!$C$6:$C$3005,$A441))</f>
      </c>
      <c r="AG441" s="223">
        <f>IF($A441="","",IF(COUNTIF('Kế hoạch'!$M$6:$M$305,$A441)=0,"",COUNTIF('Kế hoạch'!$M$6:$M$305,$A441)&amp;" việc"))</f>
      </c>
      <c r="AH441" s="224">
        <f>IF(OR($A441="",N($O441)&lt;=0),"",IF($P441="Giờ",$O441,$O441*24))</f>
      </c>
      <c r="AI441" s="224">
        <f>IF(OR(N($AA441)=0,N($B441)=0),"",IF($AA441&lt;$B441,"",($AA441-$B441)*24))</f>
      </c>
      <c r="AJ441" s="225">
        <f>IF($A441="","",IF(COUNTIF('Nhật ký tiến độ'!$C$6:$C$3005,$A441)=0,0,_xlfn.MAXIFS('Nhật ký tiến độ'!$N$6:$N$3005,'Nhật ký tiến độ'!$C$6:$C$3005,$A441,'Nhật ký tiến độ'!$B$6:$B$3005,_xlfn.MAXIFS('Nhật ký tiến độ'!$B$6:$B$3005,'Nhật ký tiến độ'!$C$6:$C$3005,$A441))))</f>
      </c>
      <c r="AK441" s="225">
        <f>IF(OR($A441="",$V441="Đã xử lý"),"",IF(N($AO441)&gt;0,5-$AO441,IF($J441="Khẩn cấp",5,IF($Y441="Chậm tiến độ",6,IF(OR($Y441="Sắp đến hạn",$J441="Cao"),7,"")))))</f>
      </c>
      <c r="AL441" s="225">
        <f>IF($AK441="","",$AK441*100000+IF(N($U441)=0,99999,INT($U441))+ROW()/100000)</f>
      </c>
      <c r="AM441" s="225">
        <f>IF(OR($A441="",TRIM($K441)="",COUNTIF($K$6:$K441,$K441)&gt;1),0,1)</f>
      </c>
      <c r="AN441" s="225">
        <f>IF($AM441=1,SUM($AM$6:$AM441),"")</f>
      </c>
      <c r="AO441" s="225">
        <f>IF(OR($A441="",$V441="Đã xử lý",N($U441)=0),0,IF(TDBC&lt;=$U441,0,MAX(1,MIN(4,IF((TDBC-$U441)*24&lt;24,1,IF((TDBC-$U441)*24&lt;72,2,IF((TDBC-$U441)*24&lt;168,3,4)))+IFERROR(INDEX({2,1,0,-1},MATCH($J441,{"Khẩn cấp","Cao","Trung bình","Thấp"},0)),0)))))</f>
      </c>
    </row>
    <row r="442">
      <c r="A442" s="216"/>
      <c r="B442" s="217"/>
      <c r="C442" s="218"/>
      <c r="D442" s="218"/>
      <c r="E442" s="218"/>
      <c r="F442" s="218"/>
      <c r="G442" s="216"/>
      <c r="H442" s="218"/>
      <c r="I442" s="218"/>
      <c r="J442" s="216"/>
      <c r="K442" s="218"/>
      <c r="L442" s="218"/>
      <c r="M442" s="218"/>
      <c r="N442" s="218"/>
      <c r="O442" s="219"/>
      <c r="P442" s="216"/>
      <c r="Q442" s="217"/>
      <c r="R442" s="216"/>
      <c r="S442" s="218"/>
      <c r="T442" s="218"/>
      <c r="U442" s="220">
        <f>IF($A442="","",IF(N($Q442)&gt;0,IF(MOD($Q442,1)=0,$Q442+1-1/1440,$Q442),IF(N($B442)=0,"",$B442+IF(N($AH442)&gt;0,$AH442,IFERROR(INDEX(DM_SLA_Gio,MATCH($J442,DM_SLA_Cap,0)),168))/24)))</f>
      </c>
      <c r="V442" s="221">
        <f>IF($A442="","",IF(N($AJ442)=0,"Mới tiếp nhận",INDEX('Nhật ký tiến độ'!$E:$E,$AJ442)))</f>
      </c>
      <c r="W442" s="222">
        <f>IF($A442="","",IF($V442="Đã xử lý",1,IF(N($AJ442)=0,0,N(INDEX('Nhật ký tiến độ'!$D:$D,$AJ442)))))</f>
      </c>
      <c r="X442" s="222">
        <f>IF(OR($A442="",$V442="Đã xử lý",N($U442)=0,N($B442)=0),"",IF(TDBC&lt;=$B442,0,IF(TDBC&gt;=$U442,1,(TDBC-$B442)/($U442-$B442))))</f>
      </c>
      <c r="Y442" s="223">
        <f>IF($A442="","",IF($V442="Đã xử lý","Hoàn thành",IF(N($U442)=0,"Chưa đặt hạn",IF(TDBC&gt;$U442,"Quá hạn",IF(ROUND((N($X442)-$W442)*100,0)&gt;=20,"Chậm tiến độ",IF($U442-TDBC&lt;=1,"Sắp đến hạn","Đúng tiến độ"))))))</f>
      </c>
      <c r="Z442" s="223">
        <f>IF(OR($A442="",$V442="Đã xử lý",N($U442)=0),"",IF(TDBC&gt;$U442,"Quá "&amp;IF(((TDBC-$U442)*24)&lt;1,MAX(1,ROUND(((TDBC-$U442)*24)*60,0))&amp;" phút",IF(ROUND(((TDBC-$U442)*24),0)&lt;24,ROUND(((TDBC-$U442)*24),0)&amp;" giờ",INT(ROUND(((TDBC-$U442)*24),0)/24)&amp;" ngày"&amp;IF(MOD(ROUND(((TDBC-$U442)*24),0),24)&gt;0," "&amp;MOD(ROUND(((TDBC-$U442)*24),0),24)&amp;" giờ",""))),"Còn "&amp;IF((($U442-TDBC)*24)&lt;1,MAX(1,ROUND((($U442-TDBC)*24)*60,0))&amp;" phút",IF(ROUND((($U442-TDBC)*24),0)&lt;24,ROUND((($U442-TDBC)*24),0)&amp;" giờ",INT(ROUND((($U442-TDBC)*24),0)/24)&amp;" ngày"&amp;IF(MOD(ROUND((($U442-TDBC)*24),0),24)&gt;0," "&amp;MOD(ROUND((($U442-TDBC)*24),0),24)&amp;" giờ","")))))</f>
      </c>
      <c r="AA442" s="220">
        <f>IF($V442="Đã xử lý",_xlfn.MAXIFS('Nhật ký tiến độ'!$B$6:$B$3005,'Nhật ký tiến độ'!$C$6:$C$3005,$A442,'Nhật ký tiến độ'!$E$6:$E$3005,"Đã xử lý"),"")</f>
      </c>
      <c r="AB442" s="223">
        <f>IF($AI442="","",IF($AI442&lt;1,MAX(1,ROUND($AI442*60,0))&amp;" phút",IF(ROUND($AI442,0)&lt;24,ROUND($AI442,0)&amp;" giờ",INT(ROUND($AI442,0)/24)&amp;" ngày"&amp;IF(MOD(ROUND($AI442,0),24)&gt;0," "&amp;MOD(ROUND($AI442,0),24)&amp;" giờ",""))))</f>
      </c>
      <c r="AC442" s="223">
        <f>IF(OR($A442="",N($AH442)=0),"",IF($AI442&lt;&gt;"",IF($AI442&lt;=$AH442,"Trong ước tính","Vượt "&amp;IF(($AI442-$AH442)&lt;1,MAX(1,ROUND(($AI442-$AH442)*60,0))&amp;" phút",IF(ROUND(($AI442-$AH442),0)&lt;24,ROUND(($AI442-$AH442),0)&amp;" giờ",INT(ROUND(($AI442-$AH442),0)/24)&amp;" ngày"&amp;IF(MOD(ROUND(($AI442-$AH442),0),24)&gt;0," "&amp;MOD(ROUND(($AI442-$AH442),0),24)&amp;" giờ","")))),IF(OR($V442="Đã xử lý",N($B442)=0),"",IF((TDBC-$B442)*24&gt;$AH442,"Đã vượt ước tính","Đã dùng "&amp;TEXT((TDBC-$B442)*24/$AH442,"0%")))))</f>
      </c>
      <c r="AD442" s="223">
        <f>IF(N($AO442)=0,"",CHOOSE($AO442,"Nhắc nhở","Cảnh báo","Báo động","Báo động đỏ"))</f>
      </c>
      <c r="AE442" s="223">
        <f>IF(OR(N($AA442)=0,N($U442)=0),"",IF($AA442&lt;=$U442,"Đúng hạn","Trễ hạn"))</f>
      </c>
      <c r="AF442" s="220">
        <f>IF($A442="","",_xlfn.MAXIFS('Nhật ký tiến độ'!$B$6:$B$3005,'Nhật ký tiến độ'!$C$6:$C$3005,$A442))</f>
      </c>
      <c r="AG442" s="223">
        <f>IF($A442="","",IF(COUNTIF('Kế hoạch'!$M$6:$M$305,$A442)=0,"",COUNTIF('Kế hoạch'!$M$6:$M$305,$A442)&amp;" việc"))</f>
      </c>
      <c r="AH442" s="224">
        <f>IF(OR($A442="",N($O442)&lt;=0),"",IF($P442="Giờ",$O442,$O442*24))</f>
      </c>
      <c r="AI442" s="224">
        <f>IF(OR(N($AA442)=0,N($B442)=0),"",IF($AA442&lt;$B442,"",($AA442-$B442)*24))</f>
      </c>
      <c r="AJ442" s="225">
        <f>IF($A442="","",IF(COUNTIF('Nhật ký tiến độ'!$C$6:$C$3005,$A442)=0,0,_xlfn.MAXIFS('Nhật ký tiến độ'!$N$6:$N$3005,'Nhật ký tiến độ'!$C$6:$C$3005,$A442,'Nhật ký tiến độ'!$B$6:$B$3005,_xlfn.MAXIFS('Nhật ký tiến độ'!$B$6:$B$3005,'Nhật ký tiến độ'!$C$6:$C$3005,$A442))))</f>
      </c>
      <c r="AK442" s="225">
        <f>IF(OR($A442="",$V442="Đã xử lý"),"",IF(N($AO442)&gt;0,5-$AO442,IF($J442="Khẩn cấp",5,IF($Y442="Chậm tiến độ",6,IF(OR($Y442="Sắp đến hạn",$J442="Cao"),7,"")))))</f>
      </c>
      <c r="AL442" s="225">
        <f>IF($AK442="","",$AK442*100000+IF(N($U442)=0,99999,INT($U442))+ROW()/100000)</f>
      </c>
      <c r="AM442" s="225">
        <f>IF(OR($A442="",TRIM($K442)="",COUNTIF($K$6:$K442,$K442)&gt;1),0,1)</f>
      </c>
      <c r="AN442" s="225">
        <f>IF($AM442=1,SUM($AM$6:$AM442),"")</f>
      </c>
      <c r="AO442" s="225">
        <f>IF(OR($A442="",$V442="Đã xử lý",N($U442)=0),0,IF(TDBC&lt;=$U442,0,MAX(1,MIN(4,IF((TDBC-$U442)*24&lt;24,1,IF((TDBC-$U442)*24&lt;72,2,IF((TDBC-$U442)*24&lt;168,3,4)))+IFERROR(INDEX({2,1,0,-1},MATCH($J442,{"Khẩn cấp","Cao","Trung bình","Thấp"},0)),0)))))</f>
      </c>
    </row>
    <row r="443">
      <c r="A443" s="216"/>
      <c r="B443" s="217"/>
      <c r="C443" s="218"/>
      <c r="D443" s="218"/>
      <c r="E443" s="218"/>
      <c r="F443" s="218"/>
      <c r="G443" s="216"/>
      <c r="H443" s="218"/>
      <c r="I443" s="218"/>
      <c r="J443" s="216"/>
      <c r="K443" s="218"/>
      <c r="L443" s="218"/>
      <c r="M443" s="218"/>
      <c r="N443" s="218"/>
      <c r="O443" s="219"/>
      <c r="P443" s="216"/>
      <c r="Q443" s="217"/>
      <c r="R443" s="216"/>
      <c r="S443" s="218"/>
      <c r="T443" s="218"/>
      <c r="U443" s="220">
        <f>IF($A443="","",IF(N($Q443)&gt;0,IF(MOD($Q443,1)=0,$Q443+1-1/1440,$Q443),IF(N($B443)=0,"",$B443+IF(N($AH443)&gt;0,$AH443,IFERROR(INDEX(DM_SLA_Gio,MATCH($J443,DM_SLA_Cap,0)),168))/24)))</f>
      </c>
      <c r="V443" s="221">
        <f>IF($A443="","",IF(N($AJ443)=0,"Mới tiếp nhận",INDEX('Nhật ký tiến độ'!$E:$E,$AJ443)))</f>
      </c>
      <c r="W443" s="222">
        <f>IF($A443="","",IF($V443="Đã xử lý",1,IF(N($AJ443)=0,0,N(INDEX('Nhật ký tiến độ'!$D:$D,$AJ443)))))</f>
      </c>
      <c r="X443" s="222">
        <f>IF(OR($A443="",$V443="Đã xử lý",N($U443)=0,N($B443)=0),"",IF(TDBC&lt;=$B443,0,IF(TDBC&gt;=$U443,1,(TDBC-$B443)/($U443-$B443))))</f>
      </c>
      <c r="Y443" s="223">
        <f>IF($A443="","",IF($V443="Đã xử lý","Hoàn thành",IF(N($U443)=0,"Chưa đặt hạn",IF(TDBC&gt;$U443,"Quá hạn",IF(ROUND((N($X443)-$W443)*100,0)&gt;=20,"Chậm tiến độ",IF($U443-TDBC&lt;=1,"Sắp đến hạn","Đúng tiến độ"))))))</f>
      </c>
      <c r="Z443" s="223">
        <f>IF(OR($A443="",$V443="Đã xử lý",N($U443)=0),"",IF(TDBC&gt;$U443,"Quá "&amp;IF(((TDBC-$U443)*24)&lt;1,MAX(1,ROUND(((TDBC-$U443)*24)*60,0))&amp;" phút",IF(ROUND(((TDBC-$U443)*24),0)&lt;24,ROUND(((TDBC-$U443)*24),0)&amp;" giờ",INT(ROUND(((TDBC-$U443)*24),0)/24)&amp;" ngày"&amp;IF(MOD(ROUND(((TDBC-$U443)*24),0),24)&gt;0," "&amp;MOD(ROUND(((TDBC-$U443)*24),0),24)&amp;" giờ",""))),"Còn "&amp;IF((($U443-TDBC)*24)&lt;1,MAX(1,ROUND((($U443-TDBC)*24)*60,0))&amp;" phút",IF(ROUND((($U443-TDBC)*24),0)&lt;24,ROUND((($U443-TDBC)*24),0)&amp;" giờ",INT(ROUND((($U443-TDBC)*24),0)/24)&amp;" ngày"&amp;IF(MOD(ROUND((($U443-TDBC)*24),0),24)&gt;0," "&amp;MOD(ROUND((($U443-TDBC)*24),0),24)&amp;" giờ","")))))</f>
      </c>
      <c r="AA443" s="220">
        <f>IF($V443="Đã xử lý",_xlfn.MAXIFS('Nhật ký tiến độ'!$B$6:$B$3005,'Nhật ký tiến độ'!$C$6:$C$3005,$A443,'Nhật ký tiến độ'!$E$6:$E$3005,"Đã xử lý"),"")</f>
      </c>
      <c r="AB443" s="223">
        <f>IF($AI443="","",IF($AI443&lt;1,MAX(1,ROUND($AI443*60,0))&amp;" phút",IF(ROUND($AI443,0)&lt;24,ROUND($AI443,0)&amp;" giờ",INT(ROUND($AI443,0)/24)&amp;" ngày"&amp;IF(MOD(ROUND($AI443,0),24)&gt;0," "&amp;MOD(ROUND($AI443,0),24)&amp;" giờ",""))))</f>
      </c>
      <c r="AC443" s="223">
        <f>IF(OR($A443="",N($AH443)=0),"",IF($AI443&lt;&gt;"",IF($AI443&lt;=$AH443,"Trong ước tính","Vượt "&amp;IF(($AI443-$AH443)&lt;1,MAX(1,ROUND(($AI443-$AH443)*60,0))&amp;" phút",IF(ROUND(($AI443-$AH443),0)&lt;24,ROUND(($AI443-$AH443),0)&amp;" giờ",INT(ROUND(($AI443-$AH443),0)/24)&amp;" ngày"&amp;IF(MOD(ROUND(($AI443-$AH443),0),24)&gt;0," "&amp;MOD(ROUND(($AI443-$AH443),0),24)&amp;" giờ","")))),IF(OR($V443="Đã xử lý",N($B443)=0),"",IF((TDBC-$B443)*24&gt;$AH443,"Đã vượt ước tính","Đã dùng "&amp;TEXT((TDBC-$B443)*24/$AH443,"0%")))))</f>
      </c>
      <c r="AD443" s="223">
        <f>IF(N($AO443)=0,"",CHOOSE($AO443,"Nhắc nhở","Cảnh báo","Báo động","Báo động đỏ"))</f>
      </c>
      <c r="AE443" s="223">
        <f>IF(OR(N($AA443)=0,N($U443)=0),"",IF($AA443&lt;=$U443,"Đúng hạn","Trễ hạn"))</f>
      </c>
      <c r="AF443" s="220">
        <f>IF($A443="","",_xlfn.MAXIFS('Nhật ký tiến độ'!$B$6:$B$3005,'Nhật ký tiến độ'!$C$6:$C$3005,$A443))</f>
      </c>
      <c r="AG443" s="223">
        <f>IF($A443="","",IF(COUNTIF('Kế hoạch'!$M$6:$M$305,$A443)=0,"",COUNTIF('Kế hoạch'!$M$6:$M$305,$A443)&amp;" việc"))</f>
      </c>
      <c r="AH443" s="224">
        <f>IF(OR($A443="",N($O443)&lt;=0),"",IF($P443="Giờ",$O443,$O443*24))</f>
      </c>
      <c r="AI443" s="224">
        <f>IF(OR(N($AA443)=0,N($B443)=0),"",IF($AA443&lt;$B443,"",($AA443-$B443)*24))</f>
      </c>
      <c r="AJ443" s="225">
        <f>IF($A443="","",IF(COUNTIF('Nhật ký tiến độ'!$C$6:$C$3005,$A443)=0,0,_xlfn.MAXIFS('Nhật ký tiến độ'!$N$6:$N$3005,'Nhật ký tiến độ'!$C$6:$C$3005,$A443,'Nhật ký tiến độ'!$B$6:$B$3005,_xlfn.MAXIFS('Nhật ký tiến độ'!$B$6:$B$3005,'Nhật ký tiến độ'!$C$6:$C$3005,$A443))))</f>
      </c>
      <c r="AK443" s="225">
        <f>IF(OR($A443="",$V443="Đã xử lý"),"",IF(N($AO443)&gt;0,5-$AO443,IF($J443="Khẩn cấp",5,IF($Y443="Chậm tiến độ",6,IF(OR($Y443="Sắp đến hạn",$J443="Cao"),7,"")))))</f>
      </c>
      <c r="AL443" s="225">
        <f>IF($AK443="","",$AK443*100000+IF(N($U443)=0,99999,INT($U443))+ROW()/100000)</f>
      </c>
      <c r="AM443" s="225">
        <f>IF(OR($A443="",TRIM($K443)="",COUNTIF($K$6:$K443,$K443)&gt;1),0,1)</f>
      </c>
      <c r="AN443" s="225">
        <f>IF($AM443=1,SUM($AM$6:$AM443),"")</f>
      </c>
      <c r="AO443" s="225">
        <f>IF(OR($A443="",$V443="Đã xử lý",N($U443)=0),0,IF(TDBC&lt;=$U443,0,MAX(1,MIN(4,IF((TDBC-$U443)*24&lt;24,1,IF((TDBC-$U443)*24&lt;72,2,IF((TDBC-$U443)*24&lt;168,3,4)))+IFERROR(INDEX({2,1,0,-1},MATCH($J443,{"Khẩn cấp","Cao","Trung bình","Thấp"},0)),0)))))</f>
      </c>
    </row>
    <row r="444">
      <c r="A444" s="216"/>
      <c r="B444" s="217"/>
      <c r="C444" s="218"/>
      <c r="D444" s="218"/>
      <c r="E444" s="218"/>
      <c r="F444" s="218"/>
      <c r="G444" s="216"/>
      <c r="H444" s="218"/>
      <c r="I444" s="218"/>
      <c r="J444" s="216"/>
      <c r="K444" s="218"/>
      <c r="L444" s="218"/>
      <c r="M444" s="218"/>
      <c r="N444" s="218"/>
      <c r="O444" s="219"/>
      <c r="P444" s="216"/>
      <c r="Q444" s="217"/>
      <c r="R444" s="216"/>
      <c r="S444" s="218"/>
      <c r="T444" s="218"/>
      <c r="U444" s="220">
        <f>IF($A444="","",IF(N($Q444)&gt;0,IF(MOD($Q444,1)=0,$Q444+1-1/1440,$Q444),IF(N($B444)=0,"",$B444+IF(N($AH444)&gt;0,$AH444,IFERROR(INDEX(DM_SLA_Gio,MATCH($J444,DM_SLA_Cap,0)),168))/24)))</f>
      </c>
      <c r="V444" s="221">
        <f>IF($A444="","",IF(N($AJ444)=0,"Mới tiếp nhận",INDEX('Nhật ký tiến độ'!$E:$E,$AJ444)))</f>
      </c>
      <c r="W444" s="222">
        <f>IF($A444="","",IF($V444="Đã xử lý",1,IF(N($AJ444)=0,0,N(INDEX('Nhật ký tiến độ'!$D:$D,$AJ444)))))</f>
      </c>
      <c r="X444" s="222">
        <f>IF(OR($A444="",$V444="Đã xử lý",N($U444)=0,N($B444)=0),"",IF(TDBC&lt;=$B444,0,IF(TDBC&gt;=$U444,1,(TDBC-$B444)/($U444-$B444))))</f>
      </c>
      <c r="Y444" s="223">
        <f>IF($A444="","",IF($V444="Đã xử lý","Hoàn thành",IF(N($U444)=0,"Chưa đặt hạn",IF(TDBC&gt;$U444,"Quá hạn",IF(ROUND((N($X444)-$W444)*100,0)&gt;=20,"Chậm tiến độ",IF($U444-TDBC&lt;=1,"Sắp đến hạn","Đúng tiến độ"))))))</f>
      </c>
      <c r="Z444" s="223">
        <f>IF(OR($A444="",$V444="Đã xử lý",N($U444)=0),"",IF(TDBC&gt;$U444,"Quá "&amp;IF(((TDBC-$U444)*24)&lt;1,MAX(1,ROUND(((TDBC-$U444)*24)*60,0))&amp;" phút",IF(ROUND(((TDBC-$U444)*24),0)&lt;24,ROUND(((TDBC-$U444)*24),0)&amp;" giờ",INT(ROUND(((TDBC-$U444)*24),0)/24)&amp;" ngày"&amp;IF(MOD(ROUND(((TDBC-$U444)*24),0),24)&gt;0," "&amp;MOD(ROUND(((TDBC-$U444)*24),0),24)&amp;" giờ",""))),"Còn "&amp;IF((($U444-TDBC)*24)&lt;1,MAX(1,ROUND((($U444-TDBC)*24)*60,0))&amp;" phút",IF(ROUND((($U444-TDBC)*24),0)&lt;24,ROUND((($U444-TDBC)*24),0)&amp;" giờ",INT(ROUND((($U444-TDBC)*24),0)/24)&amp;" ngày"&amp;IF(MOD(ROUND((($U444-TDBC)*24),0),24)&gt;0," "&amp;MOD(ROUND((($U444-TDBC)*24),0),24)&amp;" giờ","")))))</f>
      </c>
      <c r="AA444" s="220">
        <f>IF($V444="Đã xử lý",_xlfn.MAXIFS('Nhật ký tiến độ'!$B$6:$B$3005,'Nhật ký tiến độ'!$C$6:$C$3005,$A444,'Nhật ký tiến độ'!$E$6:$E$3005,"Đã xử lý"),"")</f>
      </c>
      <c r="AB444" s="223">
        <f>IF($AI444="","",IF($AI444&lt;1,MAX(1,ROUND($AI444*60,0))&amp;" phút",IF(ROUND($AI444,0)&lt;24,ROUND($AI444,0)&amp;" giờ",INT(ROUND($AI444,0)/24)&amp;" ngày"&amp;IF(MOD(ROUND($AI444,0),24)&gt;0," "&amp;MOD(ROUND($AI444,0),24)&amp;" giờ",""))))</f>
      </c>
      <c r="AC444" s="223">
        <f>IF(OR($A444="",N($AH444)=0),"",IF($AI444&lt;&gt;"",IF($AI444&lt;=$AH444,"Trong ước tính","Vượt "&amp;IF(($AI444-$AH444)&lt;1,MAX(1,ROUND(($AI444-$AH444)*60,0))&amp;" phút",IF(ROUND(($AI444-$AH444),0)&lt;24,ROUND(($AI444-$AH444),0)&amp;" giờ",INT(ROUND(($AI444-$AH444),0)/24)&amp;" ngày"&amp;IF(MOD(ROUND(($AI444-$AH444),0),24)&gt;0," "&amp;MOD(ROUND(($AI444-$AH444),0),24)&amp;" giờ","")))),IF(OR($V444="Đã xử lý",N($B444)=0),"",IF((TDBC-$B444)*24&gt;$AH444,"Đã vượt ước tính","Đã dùng "&amp;TEXT((TDBC-$B444)*24/$AH444,"0%")))))</f>
      </c>
      <c r="AD444" s="223">
        <f>IF(N($AO444)=0,"",CHOOSE($AO444,"Nhắc nhở","Cảnh báo","Báo động","Báo động đỏ"))</f>
      </c>
      <c r="AE444" s="223">
        <f>IF(OR(N($AA444)=0,N($U444)=0),"",IF($AA444&lt;=$U444,"Đúng hạn","Trễ hạn"))</f>
      </c>
      <c r="AF444" s="220">
        <f>IF($A444="","",_xlfn.MAXIFS('Nhật ký tiến độ'!$B$6:$B$3005,'Nhật ký tiến độ'!$C$6:$C$3005,$A444))</f>
      </c>
      <c r="AG444" s="223">
        <f>IF($A444="","",IF(COUNTIF('Kế hoạch'!$M$6:$M$305,$A444)=0,"",COUNTIF('Kế hoạch'!$M$6:$M$305,$A444)&amp;" việc"))</f>
      </c>
      <c r="AH444" s="224">
        <f>IF(OR($A444="",N($O444)&lt;=0),"",IF($P444="Giờ",$O444,$O444*24))</f>
      </c>
      <c r="AI444" s="224">
        <f>IF(OR(N($AA444)=0,N($B444)=0),"",IF($AA444&lt;$B444,"",($AA444-$B444)*24))</f>
      </c>
      <c r="AJ444" s="225">
        <f>IF($A444="","",IF(COUNTIF('Nhật ký tiến độ'!$C$6:$C$3005,$A444)=0,0,_xlfn.MAXIFS('Nhật ký tiến độ'!$N$6:$N$3005,'Nhật ký tiến độ'!$C$6:$C$3005,$A444,'Nhật ký tiến độ'!$B$6:$B$3005,_xlfn.MAXIFS('Nhật ký tiến độ'!$B$6:$B$3005,'Nhật ký tiến độ'!$C$6:$C$3005,$A444))))</f>
      </c>
      <c r="AK444" s="225">
        <f>IF(OR($A444="",$V444="Đã xử lý"),"",IF(N($AO444)&gt;0,5-$AO444,IF($J444="Khẩn cấp",5,IF($Y444="Chậm tiến độ",6,IF(OR($Y444="Sắp đến hạn",$J444="Cao"),7,"")))))</f>
      </c>
      <c r="AL444" s="225">
        <f>IF($AK444="","",$AK444*100000+IF(N($U444)=0,99999,INT($U444))+ROW()/100000)</f>
      </c>
      <c r="AM444" s="225">
        <f>IF(OR($A444="",TRIM($K444)="",COUNTIF($K$6:$K444,$K444)&gt;1),0,1)</f>
      </c>
      <c r="AN444" s="225">
        <f>IF($AM444=1,SUM($AM$6:$AM444),"")</f>
      </c>
      <c r="AO444" s="225">
        <f>IF(OR($A444="",$V444="Đã xử lý",N($U444)=0),0,IF(TDBC&lt;=$U444,0,MAX(1,MIN(4,IF((TDBC-$U444)*24&lt;24,1,IF((TDBC-$U444)*24&lt;72,2,IF((TDBC-$U444)*24&lt;168,3,4)))+IFERROR(INDEX({2,1,0,-1},MATCH($J444,{"Khẩn cấp","Cao","Trung bình","Thấp"},0)),0)))))</f>
      </c>
    </row>
    <row r="445">
      <c r="A445" s="216"/>
      <c r="B445" s="217"/>
      <c r="C445" s="218"/>
      <c r="D445" s="218"/>
      <c r="E445" s="218"/>
      <c r="F445" s="218"/>
      <c r="G445" s="216"/>
      <c r="H445" s="218"/>
      <c r="I445" s="218"/>
      <c r="J445" s="216"/>
      <c r="K445" s="218"/>
      <c r="L445" s="218"/>
      <c r="M445" s="218"/>
      <c r="N445" s="218"/>
      <c r="O445" s="219"/>
      <c r="P445" s="216"/>
      <c r="Q445" s="217"/>
      <c r="R445" s="216"/>
      <c r="S445" s="218"/>
      <c r="T445" s="218"/>
      <c r="U445" s="220">
        <f>IF($A445="","",IF(N($Q445)&gt;0,IF(MOD($Q445,1)=0,$Q445+1-1/1440,$Q445),IF(N($B445)=0,"",$B445+IF(N($AH445)&gt;0,$AH445,IFERROR(INDEX(DM_SLA_Gio,MATCH($J445,DM_SLA_Cap,0)),168))/24)))</f>
      </c>
      <c r="V445" s="221">
        <f>IF($A445="","",IF(N($AJ445)=0,"Mới tiếp nhận",INDEX('Nhật ký tiến độ'!$E:$E,$AJ445)))</f>
      </c>
      <c r="W445" s="222">
        <f>IF($A445="","",IF($V445="Đã xử lý",1,IF(N($AJ445)=0,0,N(INDEX('Nhật ký tiến độ'!$D:$D,$AJ445)))))</f>
      </c>
      <c r="X445" s="222">
        <f>IF(OR($A445="",$V445="Đã xử lý",N($U445)=0,N($B445)=0),"",IF(TDBC&lt;=$B445,0,IF(TDBC&gt;=$U445,1,(TDBC-$B445)/($U445-$B445))))</f>
      </c>
      <c r="Y445" s="223">
        <f>IF($A445="","",IF($V445="Đã xử lý","Hoàn thành",IF(N($U445)=0,"Chưa đặt hạn",IF(TDBC&gt;$U445,"Quá hạn",IF(ROUND((N($X445)-$W445)*100,0)&gt;=20,"Chậm tiến độ",IF($U445-TDBC&lt;=1,"Sắp đến hạn","Đúng tiến độ"))))))</f>
      </c>
      <c r="Z445" s="223">
        <f>IF(OR($A445="",$V445="Đã xử lý",N($U445)=0),"",IF(TDBC&gt;$U445,"Quá "&amp;IF(((TDBC-$U445)*24)&lt;1,MAX(1,ROUND(((TDBC-$U445)*24)*60,0))&amp;" phút",IF(ROUND(((TDBC-$U445)*24),0)&lt;24,ROUND(((TDBC-$U445)*24),0)&amp;" giờ",INT(ROUND(((TDBC-$U445)*24),0)/24)&amp;" ngày"&amp;IF(MOD(ROUND(((TDBC-$U445)*24),0),24)&gt;0," "&amp;MOD(ROUND(((TDBC-$U445)*24),0),24)&amp;" giờ",""))),"Còn "&amp;IF((($U445-TDBC)*24)&lt;1,MAX(1,ROUND((($U445-TDBC)*24)*60,0))&amp;" phút",IF(ROUND((($U445-TDBC)*24),0)&lt;24,ROUND((($U445-TDBC)*24),0)&amp;" giờ",INT(ROUND((($U445-TDBC)*24),0)/24)&amp;" ngày"&amp;IF(MOD(ROUND((($U445-TDBC)*24),0),24)&gt;0," "&amp;MOD(ROUND((($U445-TDBC)*24),0),24)&amp;" giờ","")))))</f>
      </c>
      <c r="AA445" s="220">
        <f>IF($V445="Đã xử lý",_xlfn.MAXIFS('Nhật ký tiến độ'!$B$6:$B$3005,'Nhật ký tiến độ'!$C$6:$C$3005,$A445,'Nhật ký tiến độ'!$E$6:$E$3005,"Đã xử lý"),"")</f>
      </c>
      <c r="AB445" s="223">
        <f>IF($AI445="","",IF($AI445&lt;1,MAX(1,ROUND($AI445*60,0))&amp;" phút",IF(ROUND($AI445,0)&lt;24,ROUND($AI445,0)&amp;" giờ",INT(ROUND($AI445,0)/24)&amp;" ngày"&amp;IF(MOD(ROUND($AI445,0),24)&gt;0," "&amp;MOD(ROUND($AI445,0),24)&amp;" giờ",""))))</f>
      </c>
      <c r="AC445" s="223">
        <f>IF(OR($A445="",N($AH445)=0),"",IF($AI445&lt;&gt;"",IF($AI445&lt;=$AH445,"Trong ước tính","Vượt "&amp;IF(($AI445-$AH445)&lt;1,MAX(1,ROUND(($AI445-$AH445)*60,0))&amp;" phút",IF(ROUND(($AI445-$AH445),0)&lt;24,ROUND(($AI445-$AH445),0)&amp;" giờ",INT(ROUND(($AI445-$AH445),0)/24)&amp;" ngày"&amp;IF(MOD(ROUND(($AI445-$AH445),0),24)&gt;0," "&amp;MOD(ROUND(($AI445-$AH445),0),24)&amp;" giờ","")))),IF(OR($V445="Đã xử lý",N($B445)=0),"",IF((TDBC-$B445)*24&gt;$AH445,"Đã vượt ước tính","Đã dùng "&amp;TEXT((TDBC-$B445)*24/$AH445,"0%")))))</f>
      </c>
      <c r="AD445" s="223">
        <f>IF(N($AO445)=0,"",CHOOSE($AO445,"Nhắc nhở","Cảnh báo","Báo động","Báo động đỏ"))</f>
      </c>
      <c r="AE445" s="223">
        <f>IF(OR(N($AA445)=0,N($U445)=0),"",IF($AA445&lt;=$U445,"Đúng hạn","Trễ hạn"))</f>
      </c>
      <c r="AF445" s="220">
        <f>IF($A445="","",_xlfn.MAXIFS('Nhật ký tiến độ'!$B$6:$B$3005,'Nhật ký tiến độ'!$C$6:$C$3005,$A445))</f>
      </c>
      <c r="AG445" s="223">
        <f>IF($A445="","",IF(COUNTIF('Kế hoạch'!$M$6:$M$305,$A445)=0,"",COUNTIF('Kế hoạch'!$M$6:$M$305,$A445)&amp;" việc"))</f>
      </c>
      <c r="AH445" s="224">
        <f>IF(OR($A445="",N($O445)&lt;=0),"",IF($P445="Giờ",$O445,$O445*24))</f>
      </c>
      <c r="AI445" s="224">
        <f>IF(OR(N($AA445)=0,N($B445)=0),"",IF($AA445&lt;$B445,"",($AA445-$B445)*24))</f>
      </c>
      <c r="AJ445" s="225">
        <f>IF($A445="","",IF(COUNTIF('Nhật ký tiến độ'!$C$6:$C$3005,$A445)=0,0,_xlfn.MAXIFS('Nhật ký tiến độ'!$N$6:$N$3005,'Nhật ký tiến độ'!$C$6:$C$3005,$A445,'Nhật ký tiến độ'!$B$6:$B$3005,_xlfn.MAXIFS('Nhật ký tiến độ'!$B$6:$B$3005,'Nhật ký tiến độ'!$C$6:$C$3005,$A445))))</f>
      </c>
      <c r="AK445" s="225">
        <f>IF(OR($A445="",$V445="Đã xử lý"),"",IF(N($AO445)&gt;0,5-$AO445,IF($J445="Khẩn cấp",5,IF($Y445="Chậm tiến độ",6,IF(OR($Y445="Sắp đến hạn",$J445="Cao"),7,"")))))</f>
      </c>
      <c r="AL445" s="225">
        <f>IF($AK445="","",$AK445*100000+IF(N($U445)=0,99999,INT($U445))+ROW()/100000)</f>
      </c>
      <c r="AM445" s="225">
        <f>IF(OR($A445="",TRIM($K445)="",COUNTIF($K$6:$K445,$K445)&gt;1),0,1)</f>
      </c>
      <c r="AN445" s="225">
        <f>IF($AM445=1,SUM($AM$6:$AM445),"")</f>
      </c>
      <c r="AO445" s="225">
        <f>IF(OR($A445="",$V445="Đã xử lý",N($U445)=0),0,IF(TDBC&lt;=$U445,0,MAX(1,MIN(4,IF((TDBC-$U445)*24&lt;24,1,IF((TDBC-$U445)*24&lt;72,2,IF((TDBC-$U445)*24&lt;168,3,4)))+IFERROR(INDEX({2,1,0,-1},MATCH($J445,{"Khẩn cấp","Cao","Trung bình","Thấp"},0)),0)))))</f>
      </c>
    </row>
    <row r="446">
      <c r="A446" s="216"/>
      <c r="B446" s="217"/>
      <c r="C446" s="218"/>
      <c r="D446" s="218"/>
      <c r="E446" s="218"/>
      <c r="F446" s="218"/>
      <c r="G446" s="216"/>
      <c r="H446" s="218"/>
      <c r="I446" s="218"/>
      <c r="J446" s="216"/>
      <c r="K446" s="218"/>
      <c r="L446" s="218"/>
      <c r="M446" s="218"/>
      <c r="N446" s="218"/>
      <c r="O446" s="219"/>
      <c r="P446" s="216"/>
      <c r="Q446" s="217"/>
      <c r="R446" s="216"/>
      <c r="S446" s="218"/>
      <c r="T446" s="218"/>
      <c r="U446" s="220">
        <f>IF($A446="","",IF(N($Q446)&gt;0,IF(MOD($Q446,1)=0,$Q446+1-1/1440,$Q446),IF(N($B446)=0,"",$B446+IF(N($AH446)&gt;0,$AH446,IFERROR(INDEX(DM_SLA_Gio,MATCH($J446,DM_SLA_Cap,0)),168))/24)))</f>
      </c>
      <c r="V446" s="221">
        <f>IF($A446="","",IF(N($AJ446)=0,"Mới tiếp nhận",INDEX('Nhật ký tiến độ'!$E:$E,$AJ446)))</f>
      </c>
      <c r="W446" s="222">
        <f>IF($A446="","",IF($V446="Đã xử lý",1,IF(N($AJ446)=0,0,N(INDEX('Nhật ký tiến độ'!$D:$D,$AJ446)))))</f>
      </c>
      <c r="X446" s="222">
        <f>IF(OR($A446="",$V446="Đã xử lý",N($U446)=0,N($B446)=0),"",IF(TDBC&lt;=$B446,0,IF(TDBC&gt;=$U446,1,(TDBC-$B446)/($U446-$B446))))</f>
      </c>
      <c r="Y446" s="223">
        <f>IF($A446="","",IF($V446="Đã xử lý","Hoàn thành",IF(N($U446)=0,"Chưa đặt hạn",IF(TDBC&gt;$U446,"Quá hạn",IF(ROUND((N($X446)-$W446)*100,0)&gt;=20,"Chậm tiến độ",IF($U446-TDBC&lt;=1,"Sắp đến hạn","Đúng tiến độ"))))))</f>
      </c>
      <c r="Z446" s="223">
        <f>IF(OR($A446="",$V446="Đã xử lý",N($U446)=0),"",IF(TDBC&gt;$U446,"Quá "&amp;IF(((TDBC-$U446)*24)&lt;1,MAX(1,ROUND(((TDBC-$U446)*24)*60,0))&amp;" phút",IF(ROUND(((TDBC-$U446)*24),0)&lt;24,ROUND(((TDBC-$U446)*24),0)&amp;" giờ",INT(ROUND(((TDBC-$U446)*24),0)/24)&amp;" ngày"&amp;IF(MOD(ROUND(((TDBC-$U446)*24),0),24)&gt;0," "&amp;MOD(ROUND(((TDBC-$U446)*24),0),24)&amp;" giờ",""))),"Còn "&amp;IF((($U446-TDBC)*24)&lt;1,MAX(1,ROUND((($U446-TDBC)*24)*60,0))&amp;" phút",IF(ROUND((($U446-TDBC)*24),0)&lt;24,ROUND((($U446-TDBC)*24),0)&amp;" giờ",INT(ROUND((($U446-TDBC)*24),0)/24)&amp;" ngày"&amp;IF(MOD(ROUND((($U446-TDBC)*24),0),24)&gt;0," "&amp;MOD(ROUND((($U446-TDBC)*24),0),24)&amp;" giờ","")))))</f>
      </c>
      <c r="AA446" s="220">
        <f>IF($V446="Đã xử lý",_xlfn.MAXIFS('Nhật ký tiến độ'!$B$6:$B$3005,'Nhật ký tiến độ'!$C$6:$C$3005,$A446,'Nhật ký tiến độ'!$E$6:$E$3005,"Đã xử lý"),"")</f>
      </c>
      <c r="AB446" s="223">
        <f>IF($AI446="","",IF($AI446&lt;1,MAX(1,ROUND($AI446*60,0))&amp;" phút",IF(ROUND($AI446,0)&lt;24,ROUND($AI446,0)&amp;" giờ",INT(ROUND($AI446,0)/24)&amp;" ngày"&amp;IF(MOD(ROUND($AI446,0),24)&gt;0," "&amp;MOD(ROUND($AI446,0),24)&amp;" giờ",""))))</f>
      </c>
      <c r="AC446" s="223">
        <f>IF(OR($A446="",N($AH446)=0),"",IF($AI446&lt;&gt;"",IF($AI446&lt;=$AH446,"Trong ước tính","Vượt "&amp;IF(($AI446-$AH446)&lt;1,MAX(1,ROUND(($AI446-$AH446)*60,0))&amp;" phút",IF(ROUND(($AI446-$AH446),0)&lt;24,ROUND(($AI446-$AH446),0)&amp;" giờ",INT(ROUND(($AI446-$AH446),0)/24)&amp;" ngày"&amp;IF(MOD(ROUND(($AI446-$AH446),0),24)&gt;0," "&amp;MOD(ROUND(($AI446-$AH446),0),24)&amp;" giờ","")))),IF(OR($V446="Đã xử lý",N($B446)=0),"",IF((TDBC-$B446)*24&gt;$AH446,"Đã vượt ước tính","Đã dùng "&amp;TEXT((TDBC-$B446)*24/$AH446,"0%")))))</f>
      </c>
      <c r="AD446" s="223">
        <f>IF(N($AO446)=0,"",CHOOSE($AO446,"Nhắc nhở","Cảnh báo","Báo động","Báo động đỏ"))</f>
      </c>
      <c r="AE446" s="223">
        <f>IF(OR(N($AA446)=0,N($U446)=0),"",IF($AA446&lt;=$U446,"Đúng hạn","Trễ hạn"))</f>
      </c>
      <c r="AF446" s="220">
        <f>IF($A446="","",_xlfn.MAXIFS('Nhật ký tiến độ'!$B$6:$B$3005,'Nhật ký tiến độ'!$C$6:$C$3005,$A446))</f>
      </c>
      <c r="AG446" s="223">
        <f>IF($A446="","",IF(COUNTIF('Kế hoạch'!$M$6:$M$305,$A446)=0,"",COUNTIF('Kế hoạch'!$M$6:$M$305,$A446)&amp;" việc"))</f>
      </c>
      <c r="AH446" s="224">
        <f>IF(OR($A446="",N($O446)&lt;=0),"",IF($P446="Giờ",$O446,$O446*24))</f>
      </c>
      <c r="AI446" s="224">
        <f>IF(OR(N($AA446)=0,N($B446)=0),"",IF($AA446&lt;$B446,"",($AA446-$B446)*24))</f>
      </c>
      <c r="AJ446" s="225">
        <f>IF($A446="","",IF(COUNTIF('Nhật ký tiến độ'!$C$6:$C$3005,$A446)=0,0,_xlfn.MAXIFS('Nhật ký tiến độ'!$N$6:$N$3005,'Nhật ký tiến độ'!$C$6:$C$3005,$A446,'Nhật ký tiến độ'!$B$6:$B$3005,_xlfn.MAXIFS('Nhật ký tiến độ'!$B$6:$B$3005,'Nhật ký tiến độ'!$C$6:$C$3005,$A446))))</f>
      </c>
      <c r="AK446" s="225">
        <f>IF(OR($A446="",$V446="Đã xử lý"),"",IF(N($AO446)&gt;0,5-$AO446,IF($J446="Khẩn cấp",5,IF($Y446="Chậm tiến độ",6,IF(OR($Y446="Sắp đến hạn",$J446="Cao"),7,"")))))</f>
      </c>
      <c r="AL446" s="225">
        <f>IF($AK446="","",$AK446*100000+IF(N($U446)=0,99999,INT($U446))+ROW()/100000)</f>
      </c>
      <c r="AM446" s="225">
        <f>IF(OR($A446="",TRIM($K446)="",COUNTIF($K$6:$K446,$K446)&gt;1),0,1)</f>
      </c>
      <c r="AN446" s="225">
        <f>IF($AM446=1,SUM($AM$6:$AM446),"")</f>
      </c>
      <c r="AO446" s="225">
        <f>IF(OR($A446="",$V446="Đã xử lý",N($U446)=0),0,IF(TDBC&lt;=$U446,0,MAX(1,MIN(4,IF((TDBC-$U446)*24&lt;24,1,IF((TDBC-$U446)*24&lt;72,2,IF((TDBC-$U446)*24&lt;168,3,4)))+IFERROR(INDEX({2,1,0,-1},MATCH($J446,{"Khẩn cấp","Cao","Trung bình","Thấp"},0)),0)))))</f>
      </c>
    </row>
    <row r="447">
      <c r="A447" s="216"/>
      <c r="B447" s="217"/>
      <c r="C447" s="218"/>
      <c r="D447" s="218"/>
      <c r="E447" s="218"/>
      <c r="F447" s="218"/>
      <c r="G447" s="216"/>
      <c r="H447" s="218"/>
      <c r="I447" s="218"/>
      <c r="J447" s="216"/>
      <c r="K447" s="218"/>
      <c r="L447" s="218"/>
      <c r="M447" s="218"/>
      <c r="N447" s="218"/>
      <c r="O447" s="219"/>
      <c r="P447" s="216"/>
      <c r="Q447" s="217"/>
      <c r="R447" s="216"/>
      <c r="S447" s="218"/>
      <c r="T447" s="218"/>
      <c r="U447" s="220">
        <f>IF($A447="","",IF(N($Q447)&gt;0,IF(MOD($Q447,1)=0,$Q447+1-1/1440,$Q447),IF(N($B447)=0,"",$B447+IF(N($AH447)&gt;0,$AH447,IFERROR(INDEX(DM_SLA_Gio,MATCH($J447,DM_SLA_Cap,0)),168))/24)))</f>
      </c>
      <c r="V447" s="221">
        <f>IF($A447="","",IF(N($AJ447)=0,"Mới tiếp nhận",INDEX('Nhật ký tiến độ'!$E:$E,$AJ447)))</f>
      </c>
      <c r="W447" s="222">
        <f>IF($A447="","",IF($V447="Đã xử lý",1,IF(N($AJ447)=0,0,N(INDEX('Nhật ký tiến độ'!$D:$D,$AJ447)))))</f>
      </c>
      <c r="X447" s="222">
        <f>IF(OR($A447="",$V447="Đã xử lý",N($U447)=0,N($B447)=0),"",IF(TDBC&lt;=$B447,0,IF(TDBC&gt;=$U447,1,(TDBC-$B447)/($U447-$B447))))</f>
      </c>
      <c r="Y447" s="223">
        <f>IF($A447="","",IF($V447="Đã xử lý","Hoàn thành",IF(N($U447)=0,"Chưa đặt hạn",IF(TDBC&gt;$U447,"Quá hạn",IF(ROUND((N($X447)-$W447)*100,0)&gt;=20,"Chậm tiến độ",IF($U447-TDBC&lt;=1,"Sắp đến hạn","Đúng tiến độ"))))))</f>
      </c>
      <c r="Z447" s="223">
        <f>IF(OR($A447="",$V447="Đã xử lý",N($U447)=0),"",IF(TDBC&gt;$U447,"Quá "&amp;IF(((TDBC-$U447)*24)&lt;1,MAX(1,ROUND(((TDBC-$U447)*24)*60,0))&amp;" phút",IF(ROUND(((TDBC-$U447)*24),0)&lt;24,ROUND(((TDBC-$U447)*24),0)&amp;" giờ",INT(ROUND(((TDBC-$U447)*24),0)/24)&amp;" ngày"&amp;IF(MOD(ROUND(((TDBC-$U447)*24),0),24)&gt;0," "&amp;MOD(ROUND(((TDBC-$U447)*24),0),24)&amp;" giờ",""))),"Còn "&amp;IF((($U447-TDBC)*24)&lt;1,MAX(1,ROUND((($U447-TDBC)*24)*60,0))&amp;" phút",IF(ROUND((($U447-TDBC)*24),0)&lt;24,ROUND((($U447-TDBC)*24),0)&amp;" giờ",INT(ROUND((($U447-TDBC)*24),0)/24)&amp;" ngày"&amp;IF(MOD(ROUND((($U447-TDBC)*24),0),24)&gt;0," "&amp;MOD(ROUND((($U447-TDBC)*24),0),24)&amp;" giờ","")))))</f>
      </c>
      <c r="AA447" s="220">
        <f>IF($V447="Đã xử lý",_xlfn.MAXIFS('Nhật ký tiến độ'!$B$6:$B$3005,'Nhật ký tiến độ'!$C$6:$C$3005,$A447,'Nhật ký tiến độ'!$E$6:$E$3005,"Đã xử lý"),"")</f>
      </c>
      <c r="AB447" s="223">
        <f>IF($AI447="","",IF($AI447&lt;1,MAX(1,ROUND($AI447*60,0))&amp;" phút",IF(ROUND($AI447,0)&lt;24,ROUND($AI447,0)&amp;" giờ",INT(ROUND($AI447,0)/24)&amp;" ngày"&amp;IF(MOD(ROUND($AI447,0),24)&gt;0," "&amp;MOD(ROUND($AI447,0),24)&amp;" giờ",""))))</f>
      </c>
      <c r="AC447" s="223">
        <f>IF(OR($A447="",N($AH447)=0),"",IF($AI447&lt;&gt;"",IF($AI447&lt;=$AH447,"Trong ước tính","Vượt "&amp;IF(($AI447-$AH447)&lt;1,MAX(1,ROUND(($AI447-$AH447)*60,0))&amp;" phút",IF(ROUND(($AI447-$AH447),0)&lt;24,ROUND(($AI447-$AH447),0)&amp;" giờ",INT(ROUND(($AI447-$AH447),0)/24)&amp;" ngày"&amp;IF(MOD(ROUND(($AI447-$AH447),0),24)&gt;0," "&amp;MOD(ROUND(($AI447-$AH447),0),24)&amp;" giờ","")))),IF(OR($V447="Đã xử lý",N($B447)=0),"",IF((TDBC-$B447)*24&gt;$AH447,"Đã vượt ước tính","Đã dùng "&amp;TEXT((TDBC-$B447)*24/$AH447,"0%")))))</f>
      </c>
      <c r="AD447" s="223">
        <f>IF(N($AO447)=0,"",CHOOSE($AO447,"Nhắc nhở","Cảnh báo","Báo động","Báo động đỏ"))</f>
      </c>
      <c r="AE447" s="223">
        <f>IF(OR(N($AA447)=0,N($U447)=0),"",IF($AA447&lt;=$U447,"Đúng hạn","Trễ hạn"))</f>
      </c>
      <c r="AF447" s="220">
        <f>IF($A447="","",_xlfn.MAXIFS('Nhật ký tiến độ'!$B$6:$B$3005,'Nhật ký tiến độ'!$C$6:$C$3005,$A447))</f>
      </c>
      <c r="AG447" s="223">
        <f>IF($A447="","",IF(COUNTIF('Kế hoạch'!$M$6:$M$305,$A447)=0,"",COUNTIF('Kế hoạch'!$M$6:$M$305,$A447)&amp;" việc"))</f>
      </c>
      <c r="AH447" s="224">
        <f>IF(OR($A447="",N($O447)&lt;=0),"",IF($P447="Giờ",$O447,$O447*24))</f>
      </c>
      <c r="AI447" s="224">
        <f>IF(OR(N($AA447)=0,N($B447)=0),"",IF($AA447&lt;$B447,"",($AA447-$B447)*24))</f>
      </c>
      <c r="AJ447" s="225">
        <f>IF($A447="","",IF(COUNTIF('Nhật ký tiến độ'!$C$6:$C$3005,$A447)=0,0,_xlfn.MAXIFS('Nhật ký tiến độ'!$N$6:$N$3005,'Nhật ký tiến độ'!$C$6:$C$3005,$A447,'Nhật ký tiến độ'!$B$6:$B$3005,_xlfn.MAXIFS('Nhật ký tiến độ'!$B$6:$B$3005,'Nhật ký tiến độ'!$C$6:$C$3005,$A447))))</f>
      </c>
      <c r="AK447" s="225">
        <f>IF(OR($A447="",$V447="Đã xử lý"),"",IF(N($AO447)&gt;0,5-$AO447,IF($J447="Khẩn cấp",5,IF($Y447="Chậm tiến độ",6,IF(OR($Y447="Sắp đến hạn",$J447="Cao"),7,"")))))</f>
      </c>
      <c r="AL447" s="225">
        <f>IF($AK447="","",$AK447*100000+IF(N($U447)=0,99999,INT($U447))+ROW()/100000)</f>
      </c>
      <c r="AM447" s="225">
        <f>IF(OR($A447="",TRIM($K447)="",COUNTIF($K$6:$K447,$K447)&gt;1),0,1)</f>
      </c>
      <c r="AN447" s="225">
        <f>IF($AM447=1,SUM($AM$6:$AM447),"")</f>
      </c>
      <c r="AO447" s="225">
        <f>IF(OR($A447="",$V447="Đã xử lý",N($U447)=0),0,IF(TDBC&lt;=$U447,0,MAX(1,MIN(4,IF((TDBC-$U447)*24&lt;24,1,IF((TDBC-$U447)*24&lt;72,2,IF((TDBC-$U447)*24&lt;168,3,4)))+IFERROR(INDEX({2,1,0,-1},MATCH($J447,{"Khẩn cấp","Cao","Trung bình","Thấp"},0)),0)))))</f>
      </c>
    </row>
    <row r="448">
      <c r="A448" s="216"/>
      <c r="B448" s="217"/>
      <c r="C448" s="218"/>
      <c r="D448" s="218"/>
      <c r="E448" s="218"/>
      <c r="F448" s="218"/>
      <c r="G448" s="216"/>
      <c r="H448" s="218"/>
      <c r="I448" s="218"/>
      <c r="J448" s="216"/>
      <c r="K448" s="218"/>
      <c r="L448" s="218"/>
      <c r="M448" s="218"/>
      <c r="N448" s="218"/>
      <c r="O448" s="219"/>
      <c r="P448" s="216"/>
      <c r="Q448" s="217"/>
      <c r="R448" s="216"/>
      <c r="S448" s="218"/>
      <c r="T448" s="218"/>
      <c r="U448" s="220">
        <f>IF($A448="","",IF(N($Q448)&gt;0,IF(MOD($Q448,1)=0,$Q448+1-1/1440,$Q448),IF(N($B448)=0,"",$B448+IF(N($AH448)&gt;0,$AH448,IFERROR(INDEX(DM_SLA_Gio,MATCH($J448,DM_SLA_Cap,0)),168))/24)))</f>
      </c>
      <c r="V448" s="221">
        <f>IF($A448="","",IF(N($AJ448)=0,"Mới tiếp nhận",INDEX('Nhật ký tiến độ'!$E:$E,$AJ448)))</f>
      </c>
      <c r="W448" s="222">
        <f>IF($A448="","",IF($V448="Đã xử lý",1,IF(N($AJ448)=0,0,N(INDEX('Nhật ký tiến độ'!$D:$D,$AJ448)))))</f>
      </c>
      <c r="X448" s="222">
        <f>IF(OR($A448="",$V448="Đã xử lý",N($U448)=0,N($B448)=0),"",IF(TDBC&lt;=$B448,0,IF(TDBC&gt;=$U448,1,(TDBC-$B448)/($U448-$B448))))</f>
      </c>
      <c r="Y448" s="223">
        <f>IF($A448="","",IF($V448="Đã xử lý","Hoàn thành",IF(N($U448)=0,"Chưa đặt hạn",IF(TDBC&gt;$U448,"Quá hạn",IF(ROUND((N($X448)-$W448)*100,0)&gt;=20,"Chậm tiến độ",IF($U448-TDBC&lt;=1,"Sắp đến hạn","Đúng tiến độ"))))))</f>
      </c>
      <c r="Z448" s="223">
        <f>IF(OR($A448="",$V448="Đã xử lý",N($U448)=0),"",IF(TDBC&gt;$U448,"Quá "&amp;IF(((TDBC-$U448)*24)&lt;1,MAX(1,ROUND(((TDBC-$U448)*24)*60,0))&amp;" phút",IF(ROUND(((TDBC-$U448)*24),0)&lt;24,ROUND(((TDBC-$U448)*24),0)&amp;" giờ",INT(ROUND(((TDBC-$U448)*24),0)/24)&amp;" ngày"&amp;IF(MOD(ROUND(((TDBC-$U448)*24),0),24)&gt;0," "&amp;MOD(ROUND(((TDBC-$U448)*24),0),24)&amp;" giờ",""))),"Còn "&amp;IF((($U448-TDBC)*24)&lt;1,MAX(1,ROUND((($U448-TDBC)*24)*60,0))&amp;" phút",IF(ROUND((($U448-TDBC)*24),0)&lt;24,ROUND((($U448-TDBC)*24),0)&amp;" giờ",INT(ROUND((($U448-TDBC)*24),0)/24)&amp;" ngày"&amp;IF(MOD(ROUND((($U448-TDBC)*24),0),24)&gt;0," "&amp;MOD(ROUND((($U448-TDBC)*24),0),24)&amp;" giờ","")))))</f>
      </c>
      <c r="AA448" s="220">
        <f>IF($V448="Đã xử lý",_xlfn.MAXIFS('Nhật ký tiến độ'!$B$6:$B$3005,'Nhật ký tiến độ'!$C$6:$C$3005,$A448,'Nhật ký tiến độ'!$E$6:$E$3005,"Đã xử lý"),"")</f>
      </c>
      <c r="AB448" s="223">
        <f>IF($AI448="","",IF($AI448&lt;1,MAX(1,ROUND($AI448*60,0))&amp;" phút",IF(ROUND($AI448,0)&lt;24,ROUND($AI448,0)&amp;" giờ",INT(ROUND($AI448,0)/24)&amp;" ngày"&amp;IF(MOD(ROUND($AI448,0),24)&gt;0," "&amp;MOD(ROUND($AI448,0),24)&amp;" giờ",""))))</f>
      </c>
      <c r="AC448" s="223">
        <f>IF(OR($A448="",N($AH448)=0),"",IF($AI448&lt;&gt;"",IF($AI448&lt;=$AH448,"Trong ước tính","Vượt "&amp;IF(($AI448-$AH448)&lt;1,MAX(1,ROUND(($AI448-$AH448)*60,0))&amp;" phút",IF(ROUND(($AI448-$AH448),0)&lt;24,ROUND(($AI448-$AH448),0)&amp;" giờ",INT(ROUND(($AI448-$AH448),0)/24)&amp;" ngày"&amp;IF(MOD(ROUND(($AI448-$AH448),0),24)&gt;0," "&amp;MOD(ROUND(($AI448-$AH448),0),24)&amp;" giờ","")))),IF(OR($V448="Đã xử lý",N($B448)=0),"",IF((TDBC-$B448)*24&gt;$AH448,"Đã vượt ước tính","Đã dùng "&amp;TEXT((TDBC-$B448)*24/$AH448,"0%")))))</f>
      </c>
      <c r="AD448" s="223">
        <f>IF(N($AO448)=0,"",CHOOSE($AO448,"Nhắc nhở","Cảnh báo","Báo động","Báo động đỏ"))</f>
      </c>
      <c r="AE448" s="223">
        <f>IF(OR(N($AA448)=0,N($U448)=0),"",IF($AA448&lt;=$U448,"Đúng hạn","Trễ hạn"))</f>
      </c>
      <c r="AF448" s="220">
        <f>IF($A448="","",_xlfn.MAXIFS('Nhật ký tiến độ'!$B$6:$B$3005,'Nhật ký tiến độ'!$C$6:$C$3005,$A448))</f>
      </c>
      <c r="AG448" s="223">
        <f>IF($A448="","",IF(COUNTIF('Kế hoạch'!$M$6:$M$305,$A448)=0,"",COUNTIF('Kế hoạch'!$M$6:$M$305,$A448)&amp;" việc"))</f>
      </c>
      <c r="AH448" s="224">
        <f>IF(OR($A448="",N($O448)&lt;=0),"",IF($P448="Giờ",$O448,$O448*24))</f>
      </c>
      <c r="AI448" s="224">
        <f>IF(OR(N($AA448)=0,N($B448)=0),"",IF($AA448&lt;$B448,"",($AA448-$B448)*24))</f>
      </c>
      <c r="AJ448" s="225">
        <f>IF($A448="","",IF(COUNTIF('Nhật ký tiến độ'!$C$6:$C$3005,$A448)=0,0,_xlfn.MAXIFS('Nhật ký tiến độ'!$N$6:$N$3005,'Nhật ký tiến độ'!$C$6:$C$3005,$A448,'Nhật ký tiến độ'!$B$6:$B$3005,_xlfn.MAXIFS('Nhật ký tiến độ'!$B$6:$B$3005,'Nhật ký tiến độ'!$C$6:$C$3005,$A448))))</f>
      </c>
      <c r="AK448" s="225">
        <f>IF(OR($A448="",$V448="Đã xử lý"),"",IF(N($AO448)&gt;0,5-$AO448,IF($J448="Khẩn cấp",5,IF($Y448="Chậm tiến độ",6,IF(OR($Y448="Sắp đến hạn",$J448="Cao"),7,"")))))</f>
      </c>
      <c r="AL448" s="225">
        <f>IF($AK448="","",$AK448*100000+IF(N($U448)=0,99999,INT($U448))+ROW()/100000)</f>
      </c>
      <c r="AM448" s="225">
        <f>IF(OR($A448="",TRIM($K448)="",COUNTIF($K$6:$K448,$K448)&gt;1),0,1)</f>
      </c>
      <c r="AN448" s="225">
        <f>IF($AM448=1,SUM($AM$6:$AM448),"")</f>
      </c>
      <c r="AO448" s="225">
        <f>IF(OR($A448="",$V448="Đã xử lý",N($U448)=0),0,IF(TDBC&lt;=$U448,0,MAX(1,MIN(4,IF((TDBC-$U448)*24&lt;24,1,IF((TDBC-$U448)*24&lt;72,2,IF((TDBC-$U448)*24&lt;168,3,4)))+IFERROR(INDEX({2,1,0,-1},MATCH($J448,{"Khẩn cấp","Cao","Trung bình","Thấp"},0)),0)))))</f>
      </c>
    </row>
    <row r="449">
      <c r="A449" s="216"/>
      <c r="B449" s="217"/>
      <c r="C449" s="218"/>
      <c r="D449" s="218"/>
      <c r="E449" s="218"/>
      <c r="F449" s="218"/>
      <c r="G449" s="216"/>
      <c r="H449" s="218"/>
      <c r="I449" s="218"/>
      <c r="J449" s="216"/>
      <c r="K449" s="218"/>
      <c r="L449" s="218"/>
      <c r="M449" s="218"/>
      <c r="N449" s="218"/>
      <c r="O449" s="219"/>
      <c r="P449" s="216"/>
      <c r="Q449" s="217"/>
      <c r="R449" s="216"/>
      <c r="S449" s="218"/>
      <c r="T449" s="218"/>
      <c r="U449" s="220">
        <f>IF($A449="","",IF(N($Q449)&gt;0,IF(MOD($Q449,1)=0,$Q449+1-1/1440,$Q449),IF(N($B449)=0,"",$B449+IF(N($AH449)&gt;0,$AH449,IFERROR(INDEX(DM_SLA_Gio,MATCH($J449,DM_SLA_Cap,0)),168))/24)))</f>
      </c>
      <c r="V449" s="221">
        <f>IF($A449="","",IF(N($AJ449)=0,"Mới tiếp nhận",INDEX('Nhật ký tiến độ'!$E:$E,$AJ449)))</f>
      </c>
      <c r="W449" s="222">
        <f>IF($A449="","",IF($V449="Đã xử lý",1,IF(N($AJ449)=0,0,N(INDEX('Nhật ký tiến độ'!$D:$D,$AJ449)))))</f>
      </c>
      <c r="X449" s="222">
        <f>IF(OR($A449="",$V449="Đã xử lý",N($U449)=0,N($B449)=0),"",IF(TDBC&lt;=$B449,0,IF(TDBC&gt;=$U449,1,(TDBC-$B449)/($U449-$B449))))</f>
      </c>
      <c r="Y449" s="223">
        <f>IF($A449="","",IF($V449="Đã xử lý","Hoàn thành",IF(N($U449)=0,"Chưa đặt hạn",IF(TDBC&gt;$U449,"Quá hạn",IF(ROUND((N($X449)-$W449)*100,0)&gt;=20,"Chậm tiến độ",IF($U449-TDBC&lt;=1,"Sắp đến hạn","Đúng tiến độ"))))))</f>
      </c>
      <c r="Z449" s="223">
        <f>IF(OR($A449="",$V449="Đã xử lý",N($U449)=0),"",IF(TDBC&gt;$U449,"Quá "&amp;IF(((TDBC-$U449)*24)&lt;1,MAX(1,ROUND(((TDBC-$U449)*24)*60,0))&amp;" phút",IF(ROUND(((TDBC-$U449)*24),0)&lt;24,ROUND(((TDBC-$U449)*24),0)&amp;" giờ",INT(ROUND(((TDBC-$U449)*24),0)/24)&amp;" ngày"&amp;IF(MOD(ROUND(((TDBC-$U449)*24),0),24)&gt;0," "&amp;MOD(ROUND(((TDBC-$U449)*24),0),24)&amp;" giờ",""))),"Còn "&amp;IF((($U449-TDBC)*24)&lt;1,MAX(1,ROUND((($U449-TDBC)*24)*60,0))&amp;" phút",IF(ROUND((($U449-TDBC)*24),0)&lt;24,ROUND((($U449-TDBC)*24),0)&amp;" giờ",INT(ROUND((($U449-TDBC)*24),0)/24)&amp;" ngày"&amp;IF(MOD(ROUND((($U449-TDBC)*24),0),24)&gt;0," "&amp;MOD(ROUND((($U449-TDBC)*24),0),24)&amp;" giờ","")))))</f>
      </c>
      <c r="AA449" s="220">
        <f>IF($V449="Đã xử lý",_xlfn.MAXIFS('Nhật ký tiến độ'!$B$6:$B$3005,'Nhật ký tiến độ'!$C$6:$C$3005,$A449,'Nhật ký tiến độ'!$E$6:$E$3005,"Đã xử lý"),"")</f>
      </c>
      <c r="AB449" s="223">
        <f>IF($AI449="","",IF($AI449&lt;1,MAX(1,ROUND($AI449*60,0))&amp;" phút",IF(ROUND($AI449,0)&lt;24,ROUND($AI449,0)&amp;" giờ",INT(ROUND($AI449,0)/24)&amp;" ngày"&amp;IF(MOD(ROUND($AI449,0),24)&gt;0," "&amp;MOD(ROUND($AI449,0),24)&amp;" giờ",""))))</f>
      </c>
      <c r="AC449" s="223">
        <f>IF(OR($A449="",N($AH449)=0),"",IF($AI449&lt;&gt;"",IF($AI449&lt;=$AH449,"Trong ước tính","Vượt "&amp;IF(($AI449-$AH449)&lt;1,MAX(1,ROUND(($AI449-$AH449)*60,0))&amp;" phút",IF(ROUND(($AI449-$AH449),0)&lt;24,ROUND(($AI449-$AH449),0)&amp;" giờ",INT(ROUND(($AI449-$AH449),0)/24)&amp;" ngày"&amp;IF(MOD(ROUND(($AI449-$AH449),0),24)&gt;0," "&amp;MOD(ROUND(($AI449-$AH449),0),24)&amp;" giờ","")))),IF(OR($V449="Đã xử lý",N($B449)=0),"",IF((TDBC-$B449)*24&gt;$AH449,"Đã vượt ước tính","Đã dùng "&amp;TEXT((TDBC-$B449)*24/$AH449,"0%")))))</f>
      </c>
      <c r="AD449" s="223">
        <f>IF(N($AO449)=0,"",CHOOSE($AO449,"Nhắc nhở","Cảnh báo","Báo động","Báo động đỏ"))</f>
      </c>
      <c r="AE449" s="223">
        <f>IF(OR(N($AA449)=0,N($U449)=0),"",IF($AA449&lt;=$U449,"Đúng hạn","Trễ hạn"))</f>
      </c>
      <c r="AF449" s="220">
        <f>IF($A449="","",_xlfn.MAXIFS('Nhật ký tiến độ'!$B$6:$B$3005,'Nhật ký tiến độ'!$C$6:$C$3005,$A449))</f>
      </c>
      <c r="AG449" s="223">
        <f>IF($A449="","",IF(COUNTIF('Kế hoạch'!$M$6:$M$305,$A449)=0,"",COUNTIF('Kế hoạch'!$M$6:$M$305,$A449)&amp;" việc"))</f>
      </c>
      <c r="AH449" s="224">
        <f>IF(OR($A449="",N($O449)&lt;=0),"",IF($P449="Giờ",$O449,$O449*24))</f>
      </c>
      <c r="AI449" s="224">
        <f>IF(OR(N($AA449)=0,N($B449)=0),"",IF($AA449&lt;$B449,"",($AA449-$B449)*24))</f>
      </c>
      <c r="AJ449" s="225">
        <f>IF($A449="","",IF(COUNTIF('Nhật ký tiến độ'!$C$6:$C$3005,$A449)=0,0,_xlfn.MAXIFS('Nhật ký tiến độ'!$N$6:$N$3005,'Nhật ký tiến độ'!$C$6:$C$3005,$A449,'Nhật ký tiến độ'!$B$6:$B$3005,_xlfn.MAXIFS('Nhật ký tiến độ'!$B$6:$B$3005,'Nhật ký tiến độ'!$C$6:$C$3005,$A449))))</f>
      </c>
      <c r="AK449" s="225">
        <f>IF(OR($A449="",$V449="Đã xử lý"),"",IF(N($AO449)&gt;0,5-$AO449,IF($J449="Khẩn cấp",5,IF($Y449="Chậm tiến độ",6,IF(OR($Y449="Sắp đến hạn",$J449="Cao"),7,"")))))</f>
      </c>
      <c r="AL449" s="225">
        <f>IF($AK449="","",$AK449*100000+IF(N($U449)=0,99999,INT($U449))+ROW()/100000)</f>
      </c>
      <c r="AM449" s="225">
        <f>IF(OR($A449="",TRIM($K449)="",COUNTIF($K$6:$K449,$K449)&gt;1),0,1)</f>
      </c>
      <c r="AN449" s="225">
        <f>IF($AM449=1,SUM($AM$6:$AM449),"")</f>
      </c>
      <c r="AO449" s="225">
        <f>IF(OR($A449="",$V449="Đã xử lý",N($U449)=0),0,IF(TDBC&lt;=$U449,0,MAX(1,MIN(4,IF((TDBC-$U449)*24&lt;24,1,IF((TDBC-$U449)*24&lt;72,2,IF((TDBC-$U449)*24&lt;168,3,4)))+IFERROR(INDEX({2,1,0,-1},MATCH($J449,{"Khẩn cấp","Cao","Trung bình","Thấp"},0)),0)))))</f>
      </c>
    </row>
    <row r="450">
      <c r="A450" s="216"/>
      <c r="B450" s="217"/>
      <c r="C450" s="218"/>
      <c r="D450" s="218"/>
      <c r="E450" s="218"/>
      <c r="F450" s="218"/>
      <c r="G450" s="216"/>
      <c r="H450" s="218"/>
      <c r="I450" s="218"/>
      <c r="J450" s="216"/>
      <c r="K450" s="218"/>
      <c r="L450" s="218"/>
      <c r="M450" s="218"/>
      <c r="N450" s="218"/>
      <c r="O450" s="219"/>
      <c r="P450" s="216"/>
      <c r="Q450" s="217"/>
      <c r="R450" s="216"/>
      <c r="S450" s="218"/>
      <c r="T450" s="218"/>
      <c r="U450" s="220">
        <f>IF($A450="","",IF(N($Q450)&gt;0,IF(MOD($Q450,1)=0,$Q450+1-1/1440,$Q450),IF(N($B450)=0,"",$B450+IF(N($AH450)&gt;0,$AH450,IFERROR(INDEX(DM_SLA_Gio,MATCH($J450,DM_SLA_Cap,0)),168))/24)))</f>
      </c>
      <c r="V450" s="221">
        <f>IF($A450="","",IF(N($AJ450)=0,"Mới tiếp nhận",INDEX('Nhật ký tiến độ'!$E:$E,$AJ450)))</f>
      </c>
      <c r="W450" s="222">
        <f>IF($A450="","",IF($V450="Đã xử lý",1,IF(N($AJ450)=0,0,N(INDEX('Nhật ký tiến độ'!$D:$D,$AJ450)))))</f>
      </c>
      <c r="X450" s="222">
        <f>IF(OR($A450="",$V450="Đã xử lý",N($U450)=0,N($B450)=0),"",IF(TDBC&lt;=$B450,0,IF(TDBC&gt;=$U450,1,(TDBC-$B450)/($U450-$B450))))</f>
      </c>
      <c r="Y450" s="223">
        <f>IF($A450="","",IF($V450="Đã xử lý","Hoàn thành",IF(N($U450)=0,"Chưa đặt hạn",IF(TDBC&gt;$U450,"Quá hạn",IF(ROUND((N($X450)-$W450)*100,0)&gt;=20,"Chậm tiến độ",IF($U450-TDBC&lt;=1,"Sắp đến hạn","Đúng tiến độ"))))))</f>
      </c>
      <c r="Z450" s="223">
        <f>IF(OR($A450="",$V450="Đã xử lý",N($U450)=0),"",IF(TDBC&gt;$U450,"Quá "&amp;IF(((TDBC-$U450)*24)&lt;1,MAX(1,ROUND(((TDBC-$U450)*24)*60,0))&amp;" phút",IF(ROUND(((TDBC-$U450)*24),0)&lt;24,ROUND(((TDBC-$U450)*24),0)&amp;" giờ",INT(ROUND(((TDBC-$U450)*24),0)/24)&amp;" ngày"&amp;IF(MOD(ROUND(((TDBC-$U450)*24),0),24)&gt;0," "&amp;MOD(ROUND(((TDBC-$U450)*24),0),24)&amp;" giờ",""))),"Còn "&amp;IF((($U450-TDBC)*24)&lt;1,MAX(1,ROUND((($U450-TDBC)*24)*60,0))&amp;" phút",IF(ROUND((($U450-TDBC)*24),0)&lt;24,ROUND((($U450-TDBC)*24),0)&amp;" giờ",INT(ROUND((($U450-TDBC)*24),0)/24)&amp;" ngày"&amp;IF(MOD(ROUND((($U450-TDBC)*24),0),24)&gt;0," "&amp;MOD(ROUND((($U450-TDBC)*24),0),24)&amp;" giờ","")))))</f>
      </c>
      <c r="AA450" s="220">
        <f>IF($V450="Đã xử lý",_xlfn.MAXIFS('Nhật ký tiến độ'!$B$6:$B$3005,'Nhật ký tiến độ'!$C$6:$C$3005,$A450,'Nhật ký tiến độ'!$E$6:$E$3005,"Đã xử lý"),"")</f>
      </c>
      <c r="AB450" s="223">
        <f>IF($AI450="","",IF($AI450&lt;1,MAX(1,ROUND($AI450*60,0))&amp;" phút",IF(ROUND($AI450,0)&lt;24,ROUND($AI450,0)&amp;" giờ",INT(ROUND($AI450,0)/24)&amp;" ngày"&amp;IF(MOD(ROUND($AI450,0),24)&gt;0," "&amp;MOD(ROUND($AI450,0),24)&amp;" giờ",""))))</f>
      </c>
      <c r="AC450" s="223">
        <f>IF(OR($A450="",N($AH450)=0),"",IF($AI450&lt;&gt;"",IF($AI450&lt;=$AH450,"Trong ước tính","Vượt "&amp;IF(($AI450-$AH450)&lt;1,MAX(1,ROUND(($AI450-$AH450)*60,0))&amp;" phút",IF(ROUND(($AI450-$AH450),0)&lt;24,ROUND(($AI450-$AH450),0)&amp;" giờ",INT(ROUND(($AI450-$AH450),0)/24)&amp;" ngày"&amp;IF(MOD(ROUND(($AI450-$AH450),0),24)&gt;0," "&amp;MOD(ROUND(($AI450-$AH450),0),24)&amp;" giờ","")))),IF(OR($V450="Đã xử lý",N($B450)=0),"",IF((TDBC-$B450)*24&gt;$AH450,"Đã vượt ước tính","Đã dùng "&amp;TEXT((TDBC-$B450)*24/$AH450,"0%")))))</f>
      </c>
      <c r="AD450" s="223">
        <f>IF(N($AO450)=0,"",CHOOSE($AO450,"Nhắc nhở","Cảnh báo","Báo động","Báo động đỏ"))</f>
      </c>
      <c r="AE450" s="223">
        <f>IF(OR(N($AA450)=0,N($U450)=0),"",IF($AA450&lt;=$U450,"Đúng hạn","Trễ hạn"))</f>
      </c>
      <c r="AF450" s="220">
        <f>IF($A450="","",_xlfn.MAXIFS('Nhật ký tiến độ'!$B$6:$B$3005,'Nhật ký tiến độ'!$C$6:$C$3005,$A450))</f>
      </c>
      <c r="AG450" s="223">
        <f>IF($A450="","",IF(COUNTIF('Kế hoạch'!$M$6:$M$305,$A450)=0,"",COUNTIF('Kế hoạch'!$M$6:$M$305,$A450)&amp;" việc"))</f>
      </c>
      <c r="AH450" s="224">
        <f>IF(OR($A450="",N($O450)&lt;=0),"",IF($P450="Giờ",$O450,$O450*24))</f>
      </c>
      <c r="AI450" s="224">
        <f>IF(OR(N($AA450)=0,N($B450)=0),"",IF($AA450&lt;$B450,"",($AA450-$B450)*24))</f>
      </c>
      <c r="AJ450" s="225">
        <f>IF($A450="","",IF(COUNTIF('Nhật ký tiến độ'!$C$6:$C$3005,$A450)=0,0,_xlfn.MAXIFS('Nhật ký tiến độ'!$N$6:$N$3005,'Nhật ký tiến độ'!$C$6:$C$3005,$A450,'Nhật ký tiến độ'!$B$6:$B$3005,_xlfn.MAXIFS('Nhật ký tiến độ'!$B$6:$B$3005,'Nhật ký tiến độ'!$C$6:$C$3005,$A450))))</f>
      </c>
      <c r="AK450" s="225">
        <f>IF(OR($A450="",$V450="Đã xử lý"),"",IF(N($AO450)&gt;0,5-$AO450,IF($J450="Khẩn cấp",5,IF($Y450="Chậm tiến độ",6,IF(OR($Y450="Sắp đến hạn",$J450="Cao"),7,"")))))</f>
      </c>
      <c r="AL450" s="225">
        <f>IF($AK450="","",$AK450*100000+IF(N($U450)=0,99999,INT($U450))+ROW()/100000)</f>
      </c>
      <c r="AM450" s="225">
        <f>IF(OR($A450="",TRIM($K450)="",COUNTIF($K$6:$K450,$K450)&gt;1),0,1)</f>
      </c>
      <c r="AN450" s="225">
        <f>IF($AM450=1,SUM($AM$6:$AM450),"")</f>
      </c>
      <c r="AO450" s="225">
        <f>IF(OR($A450="",$V450="Đã xử lý",N($U450)=0),0,IF(TDBC&lt;=$U450,0,MAX(1,MIN(4,IF((TDBC-$U450)*24&lt;24,1,IF((TDBC-$U450)*24&lt;72,2,IF((TDBC-$U450)*24&lt;168,3,4)))+IFERROR(INDEX({2,1,0,-1},MATCH($J450,{"Khẩn cấp","Cao","Trung bình","Thấp"},0)),0)))))</f>
      </c>
    </row>
    <row r="451">
      <c r="A451" s="216"/>
      <c r="B451" s="217"/>
      <c r="C451" s="218"/>
      <c r="D451" s="218"/>
      <c r="E451" s="218"/>
      <c r="F451" s="218"/>
      <c r="G451" s="216"/>
      <c r="H451" s="218"/>
      <c r="I451" s="218"/>
      <c r="J451" s="216"/>
      <c r="K451" s="218"/>
      <c r="L451" s="218"/>
      <c r="M451" s="218"/>
      <c r="N451" s="218"/>
      <c r="O451" s="219"/>
      <c r="P451" s="216"/>
      <c r="Q451" s="217"/>
      <c r="R451" s="216"/>
      <c r="S451" s="218"/>
      <c r="T451" s="218"/>
      <c r="U451" s="220">
        <f>IF($A451="","",IF(N($Q451)&gt;0,IF(MOD($Q451,1)=0,$Q451+1-1/1440,$Q451),IF(N($B451)=0,"",$B451+IF(N($AH451)&gt;0,$AH451,IFERROR(INDEX(DM_SLA_Gio,MATCH($J451,DM_SLA_Cap,0)),168))/24)))</f>
      </c>
      <c r="V451" s="221">
        <f>IF($A451="","",IF(N($AJ451)=0,"Mới tiếp nhận",INDEX('Nhật ký tiến độ'!$E:$E,$AJ451)))</f>
      </c>
      <c r="W451" s="222">
        <f>IF($A451="","",IF($V451="Đã xử lý",1,IF(N($AJ451)=0,0,N(INDEX('Nhật ký tiến độ'!$D:$D,$AJ451)))))</f>
      </c>
      <c r="X451" s="222">
        <f>IF(OR($A451="",$V451="Đã xử lý",N($U451)=0,N($B451)=0),"",IF(TDBC&lt;=$B451,0,IF(TDBC&gt;=$U451,1,(TDBC-$B451)/($U451-$B451))))</f>
      </c>
      <c r="Y451" s="223">
        <f>IF($A451="","",IF($V451="Đã xử lý","Hoàn thành",IF(N($U451)=0,"Chưa đặt hạn",IF(TDBC&gt;$U451,"Quá hạn",IF(ROUND((N($X451)-$W451)*100,0)&gt;=20,"Chậm tiến độ",IF($U451-TDBC&lt;=1,"Sắp đến hạn","Đúng tiến độ"))))))</f>
      </c>
      <c r="Z451" s="223">
        <f>IF(OR($A451="",$V451="Đã xử lý",N($U451)=0),"",IF(TDBC&gt;$U451,"Quá "&amp;IF(((TDBC-$U451)*24)&lt;1,MAX(1,ROUND(((TDBC-$U451)*24)*60,0))&amp;" phút",IF(ROUND(((TDBC-$U451)*24),0)&lt;24,ROUND(((TDBC-$U451)*24),0)&amp;" giờ",INT(ROUND(((TDBC-$U451)*24),0)/24)&amp;" ngày"&amp;IF(MOD(ROUND(((TDBC-$U451)*24),0),24)&gt;0," "&amp;MOD(ROUND(((TDBC-$U451)*24),0),24)&amp;" giờ",""))),"Còn "&amp;IF((($U451-TDBC)*24)&lt;1,MAX(1,ROUND((($U451-TDBC)*24)*60,0))&amp;" phút",IF(ROUND((($U451-TDBC)*24),0)&lt;24,ROUND((($U451-TDBC)*24),0)&amp;" giờ",INT(ROUND((($U451-TDBC)*24),0)/24)&amp;" ngày"&amp;IF(MOD(ROUND((($U451-TDBC)*24),0),24)&gt;0," "&amp;MOD(ROUND((($U451-TDBC)*24),0),24)&amp;" giờ","")))))</f>
      </c>
      <c r="AA451" s="220">
        <f>IF($V451="Đã xử lý",_xlfn.MAXIFS('Nhật ký tiến độ'!$B$6:$B$3005,'Nhật ký tiến độ'!$C$6:$C$3005,$A451,'Nhật ký tiến độ'!$E$6:$E$3005,"Đã xử lý"),"")</f>
      </c>
      <c r="AB451" s="223">
        <f>IF($AI451="","",IF($AI451&lt;1,MAX(1,ROUND($AI451*60,0))&amp;" phút",IF(ROUND($AI451,0)&lt;24,ROUND($AI451,0)&amp;" giờ",INT(ROUND($AI451,0)/24)&amp;" ngày"&amp;IF(MOD(ROUND($AI451,0),24)&gt;0," "&amp;MOD(ROUND($AI451,0),24)&amp;" giờ",""))))</f>
      </c>
      <c r="AC451" s="223">
        <f>IF(OR($A451="",N($AH451)=0),"",IF($AI451&lt;&gt;"",IF($AI451&lt;=$AH451,"Trong ước tính","Vượt "&amp;IF(($AI451-$AH451)&lt;1,MAX(1,ROUND(($AI451-$AH451)*60,0))&amp;" phút",IF(ROUND(($AI451-$AH451),0)&lt;24,ROUND(($AI451-$AH451),0)&amp;" giờ",INT(ROUND(($AI451-$AH451),0)/24)&amp;" ngày"&amp;IF(MOD(ROUND(($AI451-$AH451),0),24)&gt;0," "&amp;MOD(ROUND(($AI451-$AH451),0),24)&amp;" giờ","")))),IF(OR($V451="Đã xử lý",N($B451)=0),"",IF((TDBC-$B451)*24&gt;$AH451,"Đã vượt ước tính","Đã dùng "&amp;TEXT((TDBC-$B451)*24/$AH451,"0%")))))</f>
      </c>
      <c r="AD451" s="223">
        <f>IF(N($AO451)=0,"",CHOOSE($AO451,"Nhắc nhở","Cảnh báo","Báo động","Báo động đỏ"))</f>
      </c>
      <c r="AE451" s="223">
        <f>IF(OR(N($AA451)=0,N($U451)=0),"",IF($AA451&lt;=$U451,"Đúng hạn","Trễ hạn"))</f>
      </c>
      <c r="AF451" s="220">
        <f>IF($A451="","",_xlfn.MAXIFS('Nhật ký tiến độ'!$B$6:$B$3005,'Nhật ký tiến độ'!$C$6:$C$3005,$A451))</f>
      </c>
      <c r="AG451" s="223">
        <f>IF($A451="","",IF(COUNTIF('Kế hoạch'!$M$6:$M$305,$A451)=0,"",COUNTIF('Kế hoạch'!$M$6:$M$305,$A451)&amp;" việc"))</f>
      </c>
      <c r="AH451" s="224">
        <f>IF(OR($A451="",N($O451)&lt;=0),"",IF($P451="Giờ",$O451,$O451*24))</f>
      </c>
      <c r="AI451" s="224">
        <f>IF(OR(N($AA451)=0,N($B451)=0),"",IF($AA451&lt;$B451,"",($AA451-$B451)*24))</f>
      </c>
      <c r="AJ451" s="225">
        <f>IF($A451="","",IF(COUNTIF('Nhật ký tiến độ'!$C$6:$C$3005,$A451)=0,0,_xlfn.MAXIFS('Nhật ký tiến độ'!$N$6:$N$3005,'Nhật ký tiến độ'!$C$6:$C$3005,$A451,'Nhật ký tiến độ'!$B$6:$B$3005,_xlfn.MAXIFS('Nhật ký tiến độ'!$B$6:$B$3005,'Nhật ký tiến độ'!$C$6:$C$3005,$A451))))</f>
      </c>
      <c r="AK451" s="225">
        <f>IF(OR($A451="",$V451="Đã xử lý"),"",IF(N($AO451)&gt;0,5-$AO451,IF($J451="Khẩn cấp",5,IF($Y451="Chậm tiến độ",6,IF(OR($Y451="Sắp đến hạn",$J451="Cao"),7,"")))))</f>
      </c>
      <c r="AL451" s="225">
        <f>IF($AK451="","",$AK451*100000+IF(N($U451)=0,99999,INT($U451))+ROW()/100000)</f>
      </c>
      <c r="AM451" s="225">
        <f>IF(OR($A451="",TRIM($K451)="",COUNTIF($K$6:$K451,$K451)&gt;1),0,1)</f>
      </c>
      <c r="AN451" s="225">
        <f>IF($AM451=1,SUM($AM$6:$AM451),"")</f>
      </c>
      <c r="AO451" s="225">
        <f>IF(OR($A451="",$V451="Đã xử lý",N($U451)=0),0,IF(TDBC&lt;=$U451,0,MAX(1,MIN(4,IF((TDBC-$U451)*24&lt;24,1,IF((TDBC-$U451)*24&lt;72,2,IF((TDBC-$U451)*24&lt;168,3,4)))+IFERROR(INDEX({2,1,0,-1},MATCH($J451,{"Khẩn cấp","Cao","Trung bình","Thấp"},0)),0)))))</f>
      </c>
    </row>
    <row r="452">
      <c r="A452" s="216"/>
      <c r="B452" s="217"/>
      <c r="C452" s="218"/>
      <c r="D452" s="218"/>
      <c r="E452" s="218"/>
      <c r="F452" s="218"/>
      <c r="G452" s="216"/>
      <c r="H452" s="218"/>
      <c r="I452" s="218"/>
      <c r="J452" s="216"/>
      <c r="K452" s="218"/>
      <c r="L452" s="218"/>
      <c r="M452" s="218"/>
      <c r="N452" s="218"/>
      <c r="O452" s="219"/>
      <c r="P452" s="216"/>
      <c r="Q452" s="217"/>
      <c r="R452" s="216"/>
      <c r="S452" s="218"/>
      <c r="T452" s="218"/>
      <c r="U452" s="220">
        <f>IF($A452="","",IF(N($Q452)&gt;0,IF(MOD($Q452,1)=0,$Q452+1-1/1440,$Q452),IF(N($B452)=0,"",$B452+IF(N($AH452)&gt;0,$AH452,IFERROR(INDEX(DM_SLA_Gio,MATCH($J452,DM_SLA_Cap,0)),168))/24)))</f>
      </c>
      <c r="V452" s="221">
        <f>IF($A452="","",IF(N($AJ452)=0,"Mới tiếp nhận",INDEX('Nhật ký tiến độ'!$E:$E,$AJ452)))</f>
      </c>
      <c r="W452" s="222">
        <f>IF($A452="","",IF($V452="Đã xử lý",1,IF(N($AJ452)=0,0,N(INDEX('Nhật ký tiến độ'!$D:$D,$AJ452)))))</f>
      </c>
      <c r="X452" s="222">
        <f>IF(OR($A452="",$V452="Đã xử lý",N($U452)=0,N($B452)=0),"",IF(TDBC&lt;=$B452,0,IF(TDBC&gt;=$U452,1,(TDBC-$B452)/($U452-$B452))))</f>
      </c>
      <c r="Y452" s="223">
        <f>IF($A452="","",IF($V452="Đã xử lý","Hoàn thành",IF(N($U452)=0,"Chưa đặt hạn",IF(TDBC&gt;$U452,"Quá hạn",IF(ROUND((N($X452)-$W452)*100,0)&gt;=20,"Chậm tiến độ",IF($U452-TDBC&lt;=1,"Sắp đến hạn","Đúng tiến độ"))))))</f>
      </c>
      <c r="Z452" s="223">
        <f>IF(OR($A452="",$V452="Đã xử lý",N($U452)=0),"",IF(TDBC&gt;$U452,"Quá "&amp;IF(((TDBC-$U452)*24)&lt;1,MAX(1,ROUND(((TDBC-$U452)*24)*60,0))&amp;" phút",IF(ROUND(((TDBC-$U452)*24),0)&lt;24,ROUND(((TDBC-$U452)*24),0)&amp;" giờ",INT(ROUND(((TDBC-$U452)*24),0)/24)&amp;" ngày"&amp;IF(MOD(ROUND(((TDBC-$U452)*24),0),24)&gt;0," "&amp;MOD(ROUND(((TDBC-$U452)*24),0),24)&amp;" giờ",""))),"Còn "&amp;IF((($U452-TDBC)*24)&lt;1,MAX(1,ROUND((($U452-TDBC)*24)*60,0))&amp;" phút",IF(ROUND((($U452-TDBC)*24),0)&lt;24,ROUND((($U452-TDBC)*24),0)&amp;" giờ",INT(ROUND((($U452-TDBC)*24),0)/24)&amp;" ngày"&amp;IF(MOD(ROUND((($U452-TDBC)*24),0),24)&gt;0," "&amp;MOD(ROUND((($U452-TDBC)*24),0),24)&amp;" giờ","")))))</f>
      </c>
      <c r="AA452" s="220">
        <f>IF($V452="Đã xử lý",_xlfn.MAXIFS('Nhật ký tiến độ'!$B$6:$B$3005,'Nhật ký tiến độ'!$C$6:$C$3005,$A452,'Nhật ký tiến độ'!$E$6:$E$3005,"Đã xử lý"),"")</f>
      </c>
      <c r="AB452" s="223">
        <f>IF($AI452="","",IF($AI452&lt;1,MAX(1,ROUND($AI452*60,0))&amp;" phút",IF(ROUND($AI452,0)&lt;24,ROUND($AI452,0)&amp;" giờ",INT(ROUND($AI452,0)/24)&amp;" ngày"&amp;IF(MOD(ROUND($AI452,0),24)&gt;0," "&amp;MOD(ROUND($AI452,0),24)&amp;" giờ",""))))</f>
      </c>
      <c r="AC452" s="223">
        <f>IF(OR($A452="",N($AH452)=0),"",IF($AI452&lt;&gt;"",IF($AI452&lt;=$AH452,"Trong ước tính","Vượt "&amp;IF(($AI452-$AH452)&lt;1,MAX(1,ROUND(($AI452-$AH452)*60,0))&amp;" phút",IF(ROUND(($AI452-$AH452),0)&lt;24,ROUND(($AI452-$AH452),0)&amp;" giờ",INT(ROUND(($AI452-$AH452),0)/24)&amp;" ngày"&amp;IF(MOD(ROUND(($AI452-$AH452),0),24)&gt;0," "&amp;MOD(ROUND(($AI452-$AH452),0),24)&amp;" giờ","")))),IF(OR($V452="Đã xử lý",N($B452)=0),"",IF((TDBC-$B452)*24&gt;$AH452,"Đã vượt ước tính","Đã dùng "&amp;TEXT((TDBC-$B452)*24/$AH452,"0%")))))</f>
      </c>
      <c r="AD452" s="223">
        <f>IF(N($AO452)=0,"",CHOOSE($AO452,"Nhắc nhở","Cảnh báo","Báo động","Báo động đỏ"))</f>
      </c>
      <c r="AE452" s="223">
        <f>IF(OR(N($AA452)=0,N($U452)=0),"",IF($AA452&lt;=$U452,"Đúng hạn","Trễ hạn"))</f>
      </c>
      <c r="AF452" s="220">
        <f>IF($A452="","",_xlfn.MAXIFS('Nhật ký tiến độ'!$B$6:$B$3005,'Nhật ký tiến độ'!$C$6:$C$3005,$A452))</f>
      </c>
      <c r="AG452" s="223">
        <f>IF($A452="","",IF(COUNTIF('Kế hoạch'!$M$6:$M$305,$A452)=0,"",COUNTIF('Kế hoạch'!$M$6:$M$305,$A452)&amp;" việc"))</f>
      </c>
      <c r="AH452" s="224">
        <f>IF(OR($A452="",N($O452)&lt;=0),"",IF($P452="Giờ",$O452,$O452*24))</f>
      </c>
      <c r="AI452" s="224">
        <f>IF(OR(N($AA452)=0,N($B452)=0),"",IF($AA452&lt;$B452,"",($AA452-$B452)*24))</f>
      </c>
      <c r="AJ452" s="225">
        <f>IF($A452="","",IF(COUNTIF('Nhật ký tiến độ'!$C$6:$C$3005,$A452)=0,0,_xlfn.MAXIFS('Nhật ký tiến độ'!$N$6:$N$3005,'Nhật ký tiến độ'!$C$6:$C$3005,$A452,'Nhật ký tiến độ'!$B$6:$B$3005,_xlfn.MAXIFS('Nhật ký tiến độ'!$B$6:$B$3005,'Nhật ký tiến độ'!$C$6:$C$3005,$A452))))</f>
      </c>
      <c r="AK452" s="225">
        <f>IF(OR($A452="",$V452="Đã xử lý"),"",IF(N($AO452)&gt;0,5-$AO452,IF($J452="Khẩn cấp",5,IF($Y452="Chậm tiến độ",6,IF(OR($Y452="Sắp đến hạn",$J452="Cao"),7,"")))))</f>
      </c>
      <c r="AL452" s="225">
        <f>IF($AK452="","",$AK452*100000+IF(N($U452)=0,99999,INT($U452))+ROW()/100000)</f>
      </c>
      <c r="AM452" s="225">
        <f>IF(OR($A452="",TRIM($K452)="",COUNTIF($K$6:$K452,$K452)&gt;1),0,1)</f>
      </c>
      <c r="AN452" s="225">
        <f>IF($AM452=1,SUM($AM$6:$AM452),"")</f>
      </c>
      <c r="AO452" s="225">
        <f>IF(OR($A452="",$V452="Đã xử lý",N($U452)=0),0,IF(TDBC&lt;=$U452,0,MAX(1,MIN(4,IF((TDBC-$U452)*24&lt;24,1,IF((TDBC-$U452)*24&lt;72,2,IF((TDBC-$U452)*24&lt;168,3,4)))+IFERROR(INDEX({2,1,0,-1},MATCH($J452,{"Khẩn cấp","Cao","Trung bình","Thấp"},0)),0)))))</f>
      </c>
    </row>
    <row r="453">
      <c r="A453" s="216"/>
      <c r="B453" s="217"/>
      <c r="C453" s="218"/>
      <c r="D453" s="218"/>
      <c r="E453" s="218"/>
      <c r="F453" s="218"/>
      <c r="G453" s="216"/>
      <c r="H453" s="218"/>
      <c r="I453" s="218"/>
      <c r="J453" s="216"/>
      <c r="K453" s="218"/>
      <c r="L453" s="218"/>
      <c r="M453" s="218"/>
      <c r="N453" s="218"/>
      <c r="O453" s="219"/>
      <c r="P453" s="216"/>
      <c r="Q453" s="217"/>
      <c r="R453" s="216"/>
      <c r="S453" s="218"/>
      <c r="T453" s="218"/>
      <c r="U453" s="220">
        <f>IF($A453="","",IF(N($Q453)&gt;0,IF(MOD($Q453,1)=0,$Q453+1-1/1440,$Q453),IF(N($B453)=0,"",$B453+IF(N($AH453)&gt;0,$AH453,IFERROR(INDEX(DM_SLA_Gio,MATCH($J453,DM_SLA_Cap,0)),168))/24)))</f>
      </c>
      <c r="V453" s="221">
        <f>IF($A453="","",IF(N($AJ453)=0,"Mới tiếp nhận",INDEX('Nhật ký tiến độ'!$E:$E,$AJ453)))</f>
      </c>
      <c r="W453" s="222">
        <f>IF($A453="","",IF($V453="Đã xử lý",1,IF(N($AJ453)=0,0,N(INDEX('Nhật ký tiến độ'!$D:$D,$AJ453)))))</f>
      </c>
      <c r="X453" s="222">
        <f>IF(OR($A453="",$V453="Đã xử lý",N($U453)=0,N($B453)=0),"",IF(TDBC&lt;=$B453,0,IF(TDBC&gt;=$U453,1,(TDBC-$B453)/($U453-$B453))))</f>
      </c>
      <c r="Y453" s="223">
        <f>IF($A453="","",IF($V453="Đã xử lý","Hoàn thành",IF(N($U453)=0,"Chưa đặt hạn",IF(TDBC&gt;$U453,"Quá hạn",IF(ROUND((N($X453)-$W453)*100,0)&gt;=20,"Chậm tiến độ",IF($U453-TDBC&lt;=1,"Sắp đến hạn","Đúng tiến độ"))))))</f>
      </c>
      <c r="Z453" s="223">
        <f>IF(OR($A453="",$V453="Đã xử lý",N($U453)=0),"",IF(TDBC&gt;$U453,"Quá "&amp;IF(((TDBC-$U453)*24)&lt;1,MAX(1,ROUND(((TDBC-$U453)*24)*60,0))&amp;" phút",IF(ROUND(((TDBC-$U453)*24),0)&lt;24,ROUND(((TDBC-$U453)*24),0)&amp;" giờ",INT(ROUND(((TDBC-$U453)*24),0)/24)&amp;" ngày"&amp;IF(MOD(ROUND(((TDBC-$U453)*24),0),24)&gt;0," "&amp;MOD(ROUND(((TDBC-$U453)*24),0),24)&amp;" giờ",""))),"Còn "&amp;IF((($U453-TDBC)*24)&lt;1,MAX(1,ROUND((($U453-TDBC)*24)*60,0))&amp;" phút",IF(ROUND((($U453-TDBC)*24),0)&lt;24,ROUND((($U453-TDBC)*24),0)&amp;" giờ",INT(ROUND((($U453-TDBC)*24),0)/24)&amp;" ngày"&amp;IF(MOD(ROUND((($U453-TDBC)*24),0),24)&gt;0," "&amp;MOD(ROUND((($U453-TDBC)*24),0),24)&amp;" giờ","")))))</f>
      </c>
      <c r="AA453" s="220">
        <f>IF($V453="Đã xử lý",_xlfn.MAXIFS('Nhật ký tiến độ'!$B$6:$B$3005,'Nhật ký tiến độ'!$C$6:$C$3005,$A453,'Nhật ký tiến độ'!$E$6:$E$3005,"Đã xử lý"),"")</f>
      </c>
      <c r="AB453" s="223">
        <f>IF($AI453="","",IF($AI453&lt;1,MAX(1,ROUND($AI453*60,0))&amp;" phút",IF(ROUND($AI453,0)&lt;24,ROUND($AI453,0)&amp;" giờ",INT(ROUND($AI453,0)/24)&amp;" ngày"&amp;IF(MOD(ROUND($AI453,0),24)&gt;0," "&amp;MOD(ROUND($AI453,0),24)&amp;" giờ",""))))</f>
      </c>
      <c r="AC453" s="223">
        <f>IF(OR($A453="",N($AH453)=0),"",IF($AI453&lt;&gt;"",IF($AI453&lt;=$AH453,"Trong ước tính","Vượt "&amp;IF(($AI453-$AH453)&lt;1,MAX(1,ROUND(($AI453-$AH453)*60,0))&amp;" phút",IF(ROUND(($AI453-$AH453),0)&lt;24,ROUND(($AI453-$AH453),0)&amp;" giờ",INT(ROUND(($AI453-$AH453),0)/24)&amp;" ngày"&amp;IF(MOD(ROUND(($AI453-$AH453),0),24)&gt;0," "&amp;MOD(ROUND(($AI453-$AH453),0),24)&amp;" giờ","")))),IF(OR($V453="Đã xử lý",N($B453)=0),"",IF((TDBC-$B453)*24&gt;$AH453,"Đã vượt ước tính","Đã dùng "&amp;TEXT((TDBC-$B453)*24/$AH453,"0%")))))</f>
      </c>
      <c r="AD453" s="223">
        <f>IF(N($AO453)=0,"",CHOOSE($AO453,"Nhắc nhở","Cảnh báo","Báo động","Báo động đỏ"))</f>
      </c>
      <c r="AE453" s="223">
        <f>IF(OR(N($AA453)=0,N($U453)=0),"",IF($AA453&lt;=$U453,"Đúng hạn","Trễ hạn"))</f>
      </c>
      <c r="AF453" s="220">
        <f>IF($A453="","",_xlfn.MAXIFS('Nhật ký tiến độ'!$B$6:$B$3005,'Nhật ký tiến độ'!$C$6:$C$3005,$A453))</f>
      </c>
      <c r="AG453" s="223">
        <f>IF($A453="","",IF(COUNTIF('Kế hoạch'!$M$6:$M$305,$A453)=0,"",COUNTIF('Kế hoạch'!$M$6:$M$305,$A453)&amp;" việc"))</f>
      </c>
      <c r="AH453" s="224">
        <f>IF(OR($A453="",N($O453)&lt;=0),"",IF($P453="Giờ",$O453,$O453*24))</f>
      </c>
      <c r="AI453" s="224">
        <f>IF(OR(N($AA453)=0,N($B453)=0),"",IF($AA453&lt;$B453,"",($AA453-$B453)*24))</f>
      </c>
      <c r="AJ453" s="225">
        <f>IF($A453="","",IF(COUNTIF('Nhật ký tiến độ'!$C$6:$C$3005,$A453)=0,0,_xlfn.MAXIFS('Nhật ký tiến độ'!$N$6:$N$3005,'Nhật ký tiến độ'!$C$6:$C$3005,$A453,'Nhật ký tiến độ'!$B$6:$B$3005,_xlfn.MAXIFS('Nhật ký tiến độ'!$B$6:$B$3005,'Nhật ký tiến độ'!$C$6:$C$3005,$A453))))</f>
      </c>
      <c r="AK453" s="225">
        <f>IF(OR($A453="",$V453="Đã xử lý"),"",IF(N($AO453)&gt;0,5-$AO453,IF($J453="Khẩn cấp",5,IF($Y453="Chậm tiến độ",6,IF(OR($Y453="Sắp đến hạn",$J453="Cao"),7,"")))))</f>
      </c>
      <c r="AL453" s="225">
        <f>IF($AK453="","",$AK453*100000+IF(N($U453)=0,99999,INT($U453))+ROW()/100000)</f>
      </c>
      <c r="AM453" s="225">
        <f>IF(OR($A453="",TRIM($K453)="",COUNTIF($K$6:$K453,$K453)&gt;1),0,1)</f>
      </c>
      <c r="AN453" s="225">
        <f>IF($AM453=1,SUM($AM$6:$AM453),"")</f>
      </c>
      <c r="AO453" s="225">
        <f>IF(OR($A453="",$V453="Đã xử lý",N($U453)=0),0,IF(TDBC&lt;=$U453,0,MAX(1,MIN(4,IF((TDBC-$U453)*24&lt;24,1,IF((TDBC-$U453)*24&lt;72,2,IF((TDBC-$U453)*24&lt;168,3,4)))+IFERROR(INDEX({2,1,0,-1},MATCH($J453,{"Khẩn cấp","Cao","Trung bình","Thấp"},0)),0)))))</f>
      </c>
    </row>
    <row r="454">
      <c r="A454" s="216"/>
      <c r="B454" s="217"/>
      <c r="C454" s="218"/>
      <c r="D454" s="218"/>
      <c r="E454" s="218"/>
      <c r="F454" s="218"/>
      <c r="G454" s="216"/>
      <c r="H454" s="218"/>
      <c r="I454" s="218"/>
      <c r="J454" s="216"/>
      <c r="K454" s="218"/>
      <c r="L454" s="218"/>
      <c r="M454" s="218"/>
      <c r="N454" s="218"/>
      <c r="O454" s="219"/>
      <c r="P454" s="216"/>
      <c r="Q454" s="217"/>
      <c r="R454" s="216"/>
      <c r="S454" s="218"/>
      <c r="T454" s="218"/>
      <c r="U454" s="220">
        <f>IF($A454="","",IF(N($Q454)&gt;0,IF(MOD($Q454,1)=0,$Q454+1-1/1440,$Q454),IF(N($B454)=0,"",$B454+IF(N($AH454)&gt;0,$AH454,IFERROR(INDEX(DM_SLA_Gio,MATCH($J454,DM_SLA_Cap,0)),168))/24)))</f>
      </c>
      <c r="V454" s="221">
        <f>IF($A454="","",IF(N($AJ454)=0,"Mới tiếp nhận",INDEX('Nhật ký tiến độ'!$E:$E,$AJ454)))</f>
      </c>
      <c r="W454" s="222">
        <f>IF($A454="","",IF($V454="Đã xử lý",1,IF(N($AJ454)=0,0,N(INDEX('Nhật ký tiến độ'!$D:$D,$AJ454)))))</f>
      </c>
      <c r="X454" s="222">
        <f>IF(OR($A454="",$V454="Đã xử lý",N($U454)=0,N($B454)=0),"",IF(TDBC&lt;=$B454,0,IF(TDBC&gt;=$U454,1,(TDBC-$B454)/($U454-$B454))))</f>
      </c>
      <c r="Y454" s="223">
        <f>IF($A454="","",IF($V454="Đã xử lý","Hoàn thành",IF(N($U454)=0,"Chưa đặt hạn",IF(TDBC&gt;$U454,"Quá hạn",IF(ROUND((N($X454)-$W454)*100,0)&gt;=20,"Chậm tiến độ",IF($U454-TDBC&lt;=1,"Sắp đến hạn","Đúng tiến độ"))))))</f>
      </c>
      <c r="Z454" s="223">
        <f>IF(OR($A454="",$V454="Đã xử lý",N($U454)=0),"",IF(TDBC&gt;$U454,"Quá "&amp;IF(((TDBC-$U454)*24)&lt;1,MAX(1,ROUND(((TDBC-$U454)*24)*60,0))&amp;" phút",IF(ROUND(((TDBC-$U454)*24),0)&lt;24,ROUND(((TDBC-$U454)*24),0)&amp;" giờ",INT(ROUND(((TDBC-$U454)*24),0)/24)&amp;" ngày"&amp;IF(MOD(ROUND(((TDBC-$U454)*24),0),24)&gt;0," "&amp;MOD(ROUND(((TDBC-$U454)*24),0),24)&amp;" giờ",""))),"Còn "&amp;IF((($U454-TDBC)*24)&lt;1,MAX(1,ROUND((($U454-TDBC)*24)*60,0))&amp;" phút",IF(ROUND((($U454-TDBC)*24),0)&lt;24,ROUND((($U454-TDBC)*24),0)&amp;" giờ",INT(ROUND((($U454-TDBC)*24),0)/24)&amp;" ngày"&amp;IF(MOD(ROUND((($U454-TDBC)*24),0),24)&gt;0," "&amp;MOD(ROUND((($U454-TDBC)*24),0),24)&amp;" giờ","")))))</f>
      </c>
      <c r="AA454" s="220">
        <f>IF($V454="Đã xử lý",_xlfn.MAXIFS('Nhật ký tiến độ'!$B$6:$B$3005,'Nhật ký tiến độ'!$C$6:$C$3005,$A454,'Nhật ký tiến độ'!$E$6:$E$3005,"Đã xử lý"),"")</f>
      </c>
      <c r="AB454" s="223">
        <f>IF($AI454="","",IF($AI454&lt;1,MAX(1,ROUND($AI454*60,0))&amp;" phút",IF(ROUND($AI454,0)&lt;24,ROUND($AI454,0)&amp;" giờ",INT(ROUND($AI454,0)/24)&amp;" ngày"&amp;IF(MOD(ROUND($AI454,0),24)&gt;0," "&amp;MOD(ROUND($AI454,0),24)&amp;" giờ",""))))</f>
      </c>
      <c r="AC454" s="223">
        <f>IF(OR($A454="",N($AH454)=0),"",IF($AI454&lt;&gt;"",IF($AI454&lt;=$AH454,"Trong ước tính","Vượt "&amp;IF(($AI454-$AH454)&lt;1,MAX(1,ROUND(($AI454-$AH454)*60,0))&amp;" phút",IF(ROUND(($AI454-$AH454),0)&lt;24,ROUND(($AI454-$AH454),0)&amp;" giờ",INT(ROUND(($AI454-$AH454),0)/24)&amp;" ngày"&amp;IF(MOD(ROUND(($AI454-$AH454),0),24)&gt;0," "&amp;MOD(ROUND(($AI454-$AH454),0),24)&amp;" giờ","")))),IF(OR($V454="Đã xử lý",N($B454)=0),"",IF((TDBC-$B454)*24&gt;$AH454,"Đã vượt ước tính","Đã dùng "&amp;TEXT((TDBC-$B454)*24/$AH454,"0%")))))</f>
      </c>
      <c r="AD454" s="223">
        <f>IF(N($AO454)=0,"",CHOOSE($AO454,"Nhắc nhở","Cảnh báo","Báo động","Báo động đỏ"))</f>
      </c>
      <c r="AE454" s="223">
        <f>IF(OR(N($AA454)=0,N($U454)=0),"",IF($AA454&lt;=$U454,"Đúng hạn","Trễ hạn"))</f>
      </c>
      <c r="AF454" s="220">
        <f>IF($A454="","",_xlfn.MAXIFS('Nhật ký tiến độ'!$B$6:$B$3005,'Nhật ký tiến độ'!$C$6:$C$3005,$A454))</f>
      </c>
      <c r="AG454" s="223">
        <f>IF($A454="","",IF(COUNTIF('Kế hoạch'!$M$6:$M$305,$A454)=0,"",COUNTIF('Kế hoạch'!$M$6:$M$305,$A454)&amp;" việc"))</f>
      </c>
      <c r="AH454" s="224">
        <f>IF(OR($A454="",N($O454)&lt;=0),"",IF($P454="Giờ",$O454,$O454*24))</f>
      </c>
      <c r="AI454" s="224">
        <f>IF(OR(N($AA454)=0,N($B454)=0),"",IF($AA454&lt;$B454,"",($AA454-$B454)*24))</f>
      </c>
      <c r="AJ454" s="225">
        <f>IF($A454="","",IF(COUNTIF('Nhật ký tiến độ'!$C$6:$C$3005,$A454)=0,0,_xlfn.MAXIFS('Nhật ký tiến độ'!$N$6:$N$3005,'Nhật ký tiến độ'!$C$6:$C$3005,$A454,'Nhật ký tiến độ'!$B$6:$B$3005,_xlfn.MAXIFS('Nhật ký tiến độ'!$B$6:$B$3005,'Nhật ký tiến độ'!$C$6:$C$3005,$A454))))</f>
      </c>
      <c r="AK454" s="225">
        <f>IF(OR($A454="",$V454="Đã xử lý"),"",IF(N($AO454)&gt;0,5-$AO454,IF($J454="Khẩn cấp",5,IF($Y454="Chậm tiến độ",6,IF(OR($Y454="Sắp đến hạn",$J454="Cao"),7,"")))))</f>
      </c>
      <c r="AL454" s="225">
        <f>IF($AK454="","",$AK454*100000+IF(N($U454)=0,99999,INT($U454))+ROW()/100000)</f>
      </c>
      <c r="AM454" s="225">
        <f>IF(OR($A454="",TRIM($K454)="",COUNTIF($K$6:$K454,$K454)&gt;1),0,1)</f>
      </c>
      <c r="AN454" s="225">
        <f>IF($AM454=1,SUM($AM$6:$AM454),"")</f>
      </c>
      <c r="AO454" s="225">
        <f>IF(OR($A454="",$V454="Đã xử lý",N($U454)=0),0,IF(TDBC&lt;=$U454,0,MAX(1,MIN(4,IF((TDBC-$U454)*24&lt;24,1,IF((TDBC-$U454)*24&lt;72,2,IF((TDBC-$U454)*24&lt;168,3,4)))+IFERROR(INDEX({2,1,0,-1},MATCH($J454,{"Khẩn cấp","Cao","Trung bình","Thấp"},0)),0)))))</f>
      </c>
    </row>
    <row r="455">
      <c r="A455" s="216"/>
      <c r="B455" s="217"/>
      <c r="C455" s="218"/>
      <c r="D455" s="218"/>
      <c r="E455" s="218"/>
      <c r="F455" s="218"/>
      <c r="G455" s="216"/>
      <c r="H455" s="218"/>
      <c r="I455" s="218"/>
      <c r="J455" s="216"/>
      <c r="K455" s="218"/>
      <c r="L455" s="218"/>
      <c r="M455" s="218"/>
      <c r="N455" s="218"/>
      <c r="O455" s="219"/>
      <c r="P455" s="216"/>
      <c r="Q455" s="217"/>
      <c r="R455" s="216"/>
      <c r="S455" s="218"/>
      <c r="T455" s="218"/>
      <c r="U455" s="220">
        <f>IF($A455="","",IF(N($Q455)&gt;0,IF(MOD($Q455,1)=0,$Q455+1-1/1440,$Q455),IF(N($B455)=0,"",$B455+IF(N($AH455)&gt;0,$AH455,IFERROR(INDEX(DM_SLA_Gio,MATCH($J455,DM_SLA_Cap,0)),168))/24)))</f>
      </c>
      <c r="V455" s="221">
        <f>IF($A455="","",IF(N($AJ455)=0,"Mới tiếp nhận",INDEX('Nhật ký tiến độ'!$E:$E,$AJ455)))</f>
      </c>
      <c r="W455" s="222">
        <f>IF($A455="","",IF($V455="Đã xử lý",1,IF(N($AJ455)=0,0,N(INDEX('Nhật ký tiến độ'!$D:$D,$AJ455)))))</f>
      </c>
      <c r="X455" s="222">
        <f>IF(OR($A455="",$V455="Đã xử lý",N($U455)=0,N($B455)=0),"",IF(TDBC&lt;=$B455,0,IF(TDBC&gt;=$U455,1,(TDBC-$B455)/($U455-$B455))))</f>
      </c>
      <c r="Y455" s="223">
        <f>IF($A455="","",IF($V455="Đã xử lý","Hoàn thành",IF(N($U455)=0,"Chưa đặt hạn",IF(TDBC&gt;$U455,"Quá hạn",IF(ROUND((N($X455)-$W455)*100,0)&gt;=20,"Chậm tiến độ",IF($U455-TDBC&lt;=1,"Sắp đến hạn","Đúng tiến độ"))))))</f>
      </c>
      <c r="Z455" s="223">
        <f>IF(OR($A455="",$V455="Đã xử lý",N($U455)=0),"",IF(TDBC&gt;$U455,"Quá "&amp;IF(((TDBC-$U455)*24)&lt;1,MAX(1,ROUND(((TDBC-$U455)*24)*60,0))&amp;" phút",IF(ROUND(((TDBC-$U455)*24),0)&lt;24,ROUND(((TDBC-$U455)*24),0)&amp;" giờ",INT(ROUND(((TDBC-$U455)*24),0)/24)&amp;" ngày"&amp;IF(MOD(ROUND(((TDBC-$U455)*24),0),24)&gt;0," "&amp;MOD(ROUND(((TDBC-$U455)*24),0),24)&amp;" giờ",""))),"Còn "&amp;IF((($U455-TDBC)*24)&lt;1,MAX(1,ROUND((($U455-TDBC)*24)*60,0))&amp;" phút",IF(ROUND((($U455-TDBC)*24),0)&lt;24,ROUND((($U455-TDBC)*24),0)&amp;" giờ",INT(ROUND((($U455-TDBC)*24),0)/24)&amp;" ngày"&amp;IF(MOD(ROUND((($U455-TDBC)*24),0),24)&gt;0," "&amp;MOD(ROUND((($U455-TDBC)*24),0),24)&amp;" giờ","")))))</f>
      </c>
      <c r="AA455" s="220">
        <f>IF($V455="Đã xử lý",_xlfn.MAXIFS('Nhật ký tiến độ'!$B$6:$B$3005,'Nhật ký tiến độ'!$C$6:$C$3005,$A455,'Nhật ký tiến độ'!$E$6:$E$3005,"Đã xử lý"),"")</f>
      </c>
      <c r="AB455" s="223">
        <f>IF($AI455="","",IF($AI455&lt;1,MAX(1,ROUND($AI455*60,0))&amp;" phút",IF(ROUND($AI455,0)&lt;24,ROUND($AI455,0)&amp;" giờ",INT(ROUND($AI455,0)/24)&amp;" ngày"&amp;IF(MOD(ROUND($AI455,0),24)&gt;0," "&amp;MOD(ROUND($AI455,0),24)&amp;" giờ",""))))</f>
      </c>
      <c r="AC455" s="223">
        <f>IF(OR($A455="",N($AH455)=0),"",IF($AI455&lt;&gt;"",IF($AI455&lt;=$AH455,"Trong ước tính","Vượt "&amp;IF(($AI455-$AH455)&lt;1,MAX(1,ROUND(($AI455-$AH455)*60,0))&amp;" phút",IF(ROUND(($AI455-$AH455),0)&lt;24,ROUND(($AI455-$AH455),0)&amp;" giờ",INT(ROUND(($AI455-$AH455),0)/24)&amp;" ngày"&amp;IF(MOD(ROUND(($AI455-$AH455),0),24)&gt;0," "&amp;MOD(ROUND(($AI455-$AH455),0),24)&amp;" giờ","")))),IF(OR($V455="Đã xử lý",N($B455)=0),"",IF((TDBC-$B455)*24&gt;$AH455,"Đã vượt ước tính","Đã dùng "&amp;TEXT((TDBC-$B455)*24/$AH455,"0%")))))</f>
      </c>
      <c r="AD455" s="223">
        <f>IF(N($AO455)=0,"",CHOOSE($AO455,"Nhắc nhở","Cảnh báo","Báo động","Báo động đỏ"))</f>
      </c>
      <c r="AE455" s="223">
        <f>IF(OR(N($AA455)=0,N($U455)=0),"",IF($AA455&lt;=$U455,"Đúng hạn","Trễ hạn"))</f>
      </c>
      <c r="AF455" s="220">
        <f>IF($A455="","",_xlfn.MAXIFS('Nhật ký tiến độ'!$B$6:$B$3005,'Nhật ký tiến độ'!$C$6:$C$3005,$A455))</f>
      </c>
      <c r="AG455" s="223">
        <f>IF($A455="","",IF(COUNTIF('Kế hoạch'!$M$6:$M$305,$A455)=0,"",COUNTIF('Kế hoạch'!$M$6:$M$305,$A455)&amp;" việc"))</f>
      </c>
      <c r="AH455" s="224">
        <f>IF(OR($A455="",N($O455)&lt;=0),"",IF($P455="Giờ",$O455,$O455*24))</f>
      </c>
      <c r="AI455" s="224">
        <f>IF(OR(N($AA455)=0,N($B455)=0),"",IF($AA455&lt;$B455,"",($AA455-$B455)*24))</f>
      </c>
      <c r="AJ455" s="225">
        <f>IF($A455="","",IF(COUNTIF('Nhật ký tiến độ'!$C$6:$C$3005,$A455)=0,0,_xlfn.MAXIFS('Nhật ký tiến độ'!$N$6:$N$3005,'Nhật ký tiến độ'!$C$6:$C$3005,$A455,'Nhật ký tiến độ'!$B$6:$B$3005,_xlfn.MAXIFS('Nhật ký tiến độ'!$B$6:$B$3005,'Nhật ký tiến độ'!$C$6:$C$3005,$A455))))</f>
      </c>
      <c r="AK455" s="225">
        <f>IF(OR($A455="",$V455="Đã xử lý"),"",IF(N($AO455)&gt;0,5-$AO455,IF($J455="Khẩn cấp",5,IF($Y455="Chậm tiến độ",6,IF(OR($Y455="Sắp đến hạn",$J455="Cao"),7,"")))))</f>
      </c>
      <c r="AL455" s="225">
        <f>IF($AK455="","",$AK455*100000+IF(N($U455)=0,99999,INT($U455))+ROW()/100000)</f>
      </c>
      <c r="AM455" s="225">
        <f>IF(OR($A455="",TRIM($K455)="",COUNTIF($K$6:$K455,$K455)&gt;1),0,1)</f>
      </c>
      <c r="AN455" s="225">
        <f>IF($AM455=1,SUM($AM$6:$AM455),"")</f>
      </c>
      <c r="AO455" s="225">
        <f>IF(OR($A455="",$V455="Đã xử lý",N($U455)=0),0,IF(TDBC&lt;=$U455,0,MAX(1,MIN(4,IF((TDBC-$U455)*24&lt;24,1,IF((TDBC-$U455)*24&lt;72,2,IF((TDBC-$U455)*24&lt;168,3,4)))+IFERROR(INDEX({2,1,0,-1},MATCH($J455,{"Khẩn cấp","Cao","Trung bình","Thấp"},0)),0)))))</f>
      </c>
    </row>
    <row r="456">
      <c r="A456" s="216"/>
      <c r="B456" s="217"/>
      <c r="C456" s="218"/>
      <c r="D456" s="218"/>
      <c r="E456" s="218"/>
      <c r="F456" s="218"/>
      <c r="G456" s="216"/>
      <c r="H456" s="218"/>
      <c r="I456" s="218"/>
      <c r="J456" s="216"/>
      <c r="K456" s="218"/>
      <c r="L456" s="218"/>
      <c r="M456" s="218"/>
      <c r="N456" s="218"/>
      <c r="O456" s="219"/>
      <c r="P456" s="216"/>
      <c r="Q456" s="217"/>
      <c r="R456" s="216"/>
      <c r="S456" s="218"/>
      <c r="T456" s="218"/>
      <c r="U456" s="220">
        <f>IF($A456="","",IF(N($Q456)&gt;0,IF(MOD($Q456,1)=0,$Q456+1-1/1440,$Q456),IF(N($B456)=0,"",$B456+IF(N($AH456)&gt;0,$AH456,IFERROR(INDEX(DM_SLA_Gio,MATCH($J456,DM_SLA_Cap,0)),168))/24)))</f>
      </c>
      <c r="V456" s="221">
        <f>IF($A456="","",IF(N($AJ456)=0,"Mới tiếp nhận",INDEX('Nhật ký tiến độ'!$E:$E,$AJ456)))</f>
      </c>
      <c r="W456" s="222">
        <f>IF($A456="","",IF($V456="Đã xử lý",1,IF(N($AJ456)=0,0,N(INDEX('Nhật ký tiến độ'!$D:$D,$AJ456)))))</f>
      </c>
      <c r="X456" s="222">
        <f>IF(OR($A456="",$V456="Đã xử lý",N($U456)=0,N($B456)=0),"",IF(TDBC&lt;=$B456,0,IF(TDBC&gt;=$U456,1,(TDBC-$B456)/($U456-$B456))))</f>
      </c>
      <c r="Y456" s="223">
        <f>IF($A456="","",IF($V456="Đã xử lý","Hoàn thành",IF(N($U456)=0,"Chưa đặt hạn",IF(TDBC&gt;$U456,"Quá hạn",IF(ROUND((N($X456)-$W456)*100,0)&gt;=20,"Chậm tiến độ",IF($U456-TDBC&lt;=1,"Sắp đến hạn","Đúng tiến độ"))))))</f>
      </c>
      <c r="Z456" s="223">
        <f>IF(OR($A456="",$V456="Đã xử lý",N($U456)=0),"",IF(TDBC&gt;$U456,"Quá "&amp;IF(((TDBC-$U456)*24)&lt;1,MAX(1,ROUND(((TDBC-$U456)*24)*60,0))&amp;" phút",IF(ROUND(((TDBC-$U456)*24),0)&lt;24,ROUND(((TDBC-$U456)*24),0)&amp;" giờ",INT(ROUND(((TDBC-$U456)*24),0)/24)&amp;" ngày"&amp;IF(MOD(ROUND(((TDBC-$U456)*24),0),24)&gt;0," "&amp;MOD(ROUND(((TDBC-$U456)*24),0),24)&amp;" giờ",""))),"Còn "&amp;IF((($U456-TDBC)*24)&lt;1,MAX(1,ROUND((($U456-TDBC)*24)*60,0))&amp;" phút",IF(ROUND((($U456-TDBC)*24),0)&lt;24,ROUND((($U456-TDBC)*24),0)&amp;" giờ",INT(ROUND((($U456-TDBC)*24),0)/24)&amp;" ngày"&amp;IF(MOD(ROUND((($U456-TDBC)*24),0),24)&gt;0," "&amp;MOD(ROUND((($U456-TDBC)*24),0),24)&amp;" giờ","")))))</f>
      </c>
      <c r="AA456" s="220">
        <f>IF($V456="Đã xử lý",_xlfn.MAXIFS('Nhật ký tiến độ'!$B$6:$B$3005,'Nhật ký tiến độ'!$C$6:$C$3005,$A456,'Nhật ký tiến độ'!$E$6:$E$3005,"Đã xử lý"),"")</f>
      </c>
      <c r="AB456" s="223">
        <f>IF($AI456="","",IF($AI456&lt;1,MAX(1,ROUND($AI456*60,0))&amp;" phút",IF(ROUND($AI456,0)&lt;24,ROUND($AI456,0)&amp;" giờ",INT(ROUND($AI456,0)/24)&amp;" ngày"&amp;IF(MOD(ROUND($AI456,0),24)&gt;0," "&amp;MOD(ROUND($AI456,0),24)&amp;" giờ",""))))</f>
      </c>
      <c r="AC456" s="223">
        <f>IF(OR($A456="",N($AH456)=0),"",IF($AI456&lt;&gt;"",IF($AI456&lt;=$AH456,"Trong ước tính","Vượt "&amp;IF(($AI456-$AH456)&lt;1,MAX(1,ROUND(($AI456-$AH456)*60,0))&amp;" phút",IF(ROUND(($AI456-$AH456),0)&lt;24,ROUND(($AI456-$AH456),0)&amp;" giờ",INT(ROUND(($AI456-$AH456),0)/24)&amp;" ngày"&amp;IF(MOD(ROUND(($AI456-$AH456),0),24)&gt;0," "&amp;MOD(ROUND(($AI456-$AH456),0),24)&amp;" giờ","")))),IF(OR($V456="Đã xử lý",N($B456)=0),"",IF((TDBC-$B456)*24&gt;$AH456,"Đã vượt ước tính","Đã dùng "&amp;TEXT((TDBC-$B456)*24/$AH456,"0%")))))</f>
      </c>
      <c r="AD456" s="223">
        <f>IF(N($AO456)=0,"",CHOOSE($AO456,"Nhắc nhở","Cảnh báo","Báo động","Báo động đỏ"))</f>
      </c>
      <c r="AE456" s="223">
        <f>IF(OR(N($AA456)=0,N($U456)=0),"",IF($AA456&lt;=$U456,"Đúng hạn","Trễ hạn"))</f>
      </c>
      <c r="AF456" s="220">
        <f>IF($A456="","",_xlfn.MAXIFS('Nhật ký tiến độ'!$B$6:$B$3005,'Nhật ký tiến độ'!$C$6:$C$3005,$A456))</f>
      </c>
      <c r="AG456" s="223">
        <f>IF($A456="","",IF(COUNTIF('Kế hoạch'!$M$6:$M$305,$A456)=0,"",COUNTIF('Kế hoạch'!$M$6:$M$305,$A456)&amp;" việc"))</f>
      </c>
      <c r="AH456" s="224">
        <f>IF(OR($A456="",N($O456)&lt;=0),"",IF($P456="Giờ",$O456,$O456*24))</f>
      </c>
      <c r="AI456" s="224">
        <f>IF(OR(N($AA456)=0,N($B456)=0),"",IF($AA456&lt;$B456,"",($AA456-$B456)*24))</f>
      </c>
      <c r="AJ456" s="225">
        <f>IF($A456="","",IF(COUNTIF('Nhật ký tiến độ'!$C$6:$C$3005,$A456)=0,0,_xlfn.MAXIFS('Nhật ký tiến độ'!$N$6:$N$3005,'Nhật ký tiến độ'!$C$6:$C$3005,$A456,'Nhật ký tiến độ'!$B$6:$B$3005,_xlfn.MAXIFS('Nhật ký tiến độ'!$B$6:$B$3005,'Nhật ký tiến độ'!$C$6:$C$3005,$A456))))</f>
      </c>
      <c r="AK456" s="225">
        <f>IF(OR($A456="",$V456="Đã xử lý"),"",IF(N($AO456)&gt;0,5-$AO456,IF($J456="Khẩn cấp",5,IF($Y456="Chậm tiến độ",6,IF(OR($Y456="Sắp đến hạn",$J456="Cao"),7,"")))))</f>
      </c>
      <c r="AL456" s="225">
        <f>IF($AK456="","",$AK456*100000+IF(N($U456)=0,99999,INT($U456))+ROW()/100000)</f>
      </c>
      <c r="AM456" s="225">
        <f>IF(OR($A456="",TRIM($K456)="",COUNTIF($K$6:$K456,$K456)&gt;1),0,1)</f>
      </c>
      <c r="AN456" s="225">
        <f>IF($AM456=1,SUM($AM$6:$AM456),"")</f>
      </c>
      <c r="AO456" s="225">
        <f>IF(OR($A456="",$V456="Đã xử lý",N($U456)=0),0,IF(TDBC&lt;=$U456,0,MAX(1,MIN(4,IF((TDBC-$U456)*24&lt;24,1,IF((TDBC-$U456)*24&lt;72,2,IF((TDBC-$U456)*24&lt;168,3,4)))+IFERROR(INDEX({2,1,0,-1},MATCH($J456,{"Khẩn cấp","Cao","Trung bình","Thấp"},0)),0)))))</f>
      </c>
    </row>
    <row r="457">
      <c r="A457" s="216"/>
      <c r="B457" s="217"/>
      <c r="C457" s="218"/>
      <c r="D457" s="218"/>
      <c r="E457" s="218"/>
      <c r="F457" s="218"/>
      <c r="G457" s="216"/>
      <c r="H457" s="218"/>
      <c r="I457" s="218"/>
      <c r="J457" s="216"/>
      <c r="K457" s="218"/>
      <c r="L457" s="218"/>
      <c r="M457" s="218"/>
      <c r="N457" s="218"/>
      <c r="O457" s="219"/>
      <c r="P457" s="216"/>
      <c r="Q457" s="217"/>
      <c r="R457" s="216"/>
      <c r="S457" s="218"/>
      <c r="T457" s="218"/>
      <c r="U457" s="220">
        <f>IF($A457="","",IF(N($Q457)&gt;0,IF(MOD($Q457,1)=0,$Q457+1-1/1440,$Q457),IF(N($B457)=0,"",$B457+IF(N($AH457)&gt;0,$AH457,IFERROR(INDEX(DM_SLA_Gio,MATCH($J457,DM_SLA_Cap,0)),168))/24)))</f>
      </c>
      <c r="V457" s="221">
        <f>IF($A457="","",IF(N($AJ457)=0,"Mới tiếp nhận",INDEX('Nhật ký tiến độ'!$E:$E,$AJ457)))</f>
      </c>
      <c r="W457" s="222">
        <f>IF($A457="","",IF($V457="Đã xử lý",1,IF(N($AJ457)=0,0,N(INDEX('Nhật ký tiến độ'!$D:$D,$AJ457)))))</f>
      </c>
      <c r="X457" s="222">
        <f>IF(OR($A457="",$V457="Đã xử lý",N($U457)=0,N($B457)=0),"",IF(TDBC&lt;=$B457,0,IF(TDBC&gt;=$U457,1,(TDBC-$B457)/($U457-$B457))))</f>
      </c>
      <c r="Y457" s="223">
        <f>IF($A457="","",IF($V457="Đã xử lý","Hoàn thành",IF(N($U457)=0,"Chưa đặt hạn",IF(TDBC&gt;$U457,"Quá hạn",IF(ROUND((N($X457)-$W457)*100,0)&gt;=20,"Chậm tiến độ",IF($U457-TDBC&lt;=1,"Sắp đến hạn","Đúng tiến độ"))))))</f>
      </c>
      <c r="Z457" s="223">
        <f>IF(OR($A457="",$V457="Đã xử lý",N($U457)=0),"",IF(TDBC&gt;$U457,"Quá "&amp;IF(((TDBC-$U457)*24)&lt;1,MAX(1,ROUND(((TDBC-$U457)*24)*60,0))&amp;" phút",IF(ROUND(((TDBC-$U457)*24),0)&lt;24,ROUND(((TDBC-$U457)*24),0)&amp;" giờ",INT(ROUND(((TDBC-$U457)*24),0)/24)&amp;" ngày"&amp;IF(MOD(ROUND(((TDBC-$U457)*24),0),24)&gt;0," "&amp;MOD(ROUND(((TDBC-$U457)*24),0),24)&amp;" giờ",""))),"Còn "&amp;IF((($U457-TDBC)*24)&lt;1,MAX(1,ROUND((($U457-TDBC)*24)*60,0))&amp;" phút",IF(ROUND((($U457-TDBC)*24),0)&lt;24,ROUND((($U457-TDBC)*24),0)&amp;" giờ",INT(ROUND((($U457-TDBC)*24),0)/24)&amp;" ngày"&amp;IF(MOD(ROUND((($U457-TDBC)*24),0),24)&gt;0," "&amp;MOD(ROUND((($U457-TDBC)*24),0),24)&amp;" giờ","")))))</f>
      </c>
      <c r="AA457" s="220">
        <f>IF($V457="Đã xử lý",_xlfn.MAXIFS('Nhật ký tiến độ'!$B$6:$B$3005,'Nhật ký tiến độ'!$C$6:$C$3005,$A457,'Nhật ký tiến độ'!$E$6:$E$3005,"Đã xử lý"),"")</f>
      </c>
      <c r="AB457" s="223">
        <f>IF($AI457="","",IF($AI457&lt;1,MAX(1,ROUND($AI457*60,0))&amp;" phút",IF(ROUND($AI457,0)&lt;24,ROUND($AI457,0)&amp;" giờ",INT(ROUND($AI457,0)/24)&amp;" ngày"&amp;IF(MOD(ROUND($AI457,0),24)&gt;0," "&amp;MOD(ROUND($AI457,0),24)&amp;" giờ",""))))</f>
      </c>
      <c r="AC457" s="223">
        <f>IF(OR($A457="",N($AH457)=0),"",IF($AI457&lt;&gt;"",IF($AI457&lt;=$AH457,"Trong ước tính","Vượt "&amp;IF(($AI457-$AH457)&lt;1,MAX(1,ROUND(($AI457-$AH457)*60,0))&amp;" phút",IF(ROUND(($AI457-$AH457),0)&lt;24,ROUND(($AI457-$AH457),0)&amp;" giờ",INT(ROUND(($AI457-$AH457),0)/24)&amp;" ngày"&amp;IF(MOD(ROUND(($AI457-$AH457),0),24)&gt;0," "&amp;MOD(ROUND(($AI457-$AH457),0),24)&amp;" giờ","")))),IF(OR($V457="Đã xử lý",N($B457)=0),"",IF((TDBC-$B457)*24&gt;$AH457,"Đã vượt ước tính","Đã dùng "&amp;TEXT((TDBC-$B457)*24/$AH457,"0%")))))</f>
      </c>
      <c r="AD457" s="223">
        <f>IF(N($AO457)=0,"",CHOOSE($AO457,"Nhắc nhở","Cảnh báo","Báo động","Báo động đỏ"))</f>
      </c>
      <c r="AE457" s="223">
        <f>IF(OR(N($AA457)=0,N($U457)=0),"",IF($AA457&lt;=$U457,"Đúng hạn","Trễ hạn"))</f>
      </c>
      <c r="AF457" s="220">
        <f>IF($A457="","",_xlfn.MAXIFS('Nhật ký tiến độ'!$B$6:$B$3005,'Nhật ký tiến độ'!$C$6:$C$3005,$A457))</f>
      </c>
      <c r="AG457" s="223">
        <f>IF($A457="","",IF(COUNTIF('Kế hoạch'!$M$6:$M$305,$A457)=0,"",COUNTIF('Kế hoạch'!$M$6:$M$305,$A457)&amp;" việc"))</f>
      </c>
      <c r="AH457" s="224">
        <f>IF(OR($A457="",N($O457)&lt;=0),"",IF($P457="Giờ",$O457,$O457*24))</f>
      </c>
      <c r="AI457" s="224">
        <f>IF(OR(N($AA457)=0,N($B457)=0),"",IF($AA457&lt;$B457,"",($AA457-$B457)*24))</f>
      </c>
      <c r="AJ457" s="225">
        <f>IF($A457="","",IF(COUNTIF('Nhật ký tiến độ'!$C$6:$C$3005,$A457)=0,0,_xlfn.MAXIFS('Nhật ký tiến độ'!$N$6:$N$3005,'Nhật ký tiến độ'!$C$6:$C$3005,$A457,'Nhật ký tiến độ'!$B$6:$B$3005,_xlfn.MAXIFS('Nhật ký tiến độ'!$B$6:$B$3005,'Nhật ký tiến độ'!$C$6:$C$3005,$A457))))</f>
      </c>
      <c r="AK457" s="225">
        <f>IF(OR($A457="",$V457="Đã xử lý"),"",IF(N($AO457)&gt;0,5-$AO457,IF($J457="Khẩn cấp",5,IF($Y457="Chậm tiến độ",6,IF(OR($Y457="Sắp đến hạn",$J457="Cao"),7,"")))))</f>
      </c>
      <c r="AL457" s="225">
        <f>IF($AK457="","",$AK457*100000+IF(N($U457)=0,99999,INT($U457))+ROW()/100000)</f>
      </c>
      <c r="AM457" s="225">
        <f>IF(OR($A457="",TRIM($K457)="",COUNTIF($K$6:$K457,$K457)&gt;1),0,1)</f>
      </c>
      <c r="AN457" s="225">
        <f>IF($AM457=1,SUM($AM$6:$AM457),"")</f>
      </c>
      <c r="AO457" s="225">
        <f>IF(OR($A457="",$V457="Đã xử lý",N($U457)=0),0,IF(TDBC&lt;=$U457,0,MAX(1,MIN(4,IF((TDBC-$U457)*24&lt;24,1,IF((TDBC-$U457)*24&lt;72,2,IF((TDBC-$U457)*24&lt;168,3,4)))+IFERROR(INDEX({2,1,0,-1},MATCH($J457,{"Khẩn cấp","Cao","Trung bình","Thấp"},0)),0)))))</f>
      </c>
    </row>
    <row r="458">
      <c r="A458" s="216"/>
      <c r="B458" s="217"/>
      <c r="C458" s="218"/>
      <c r="D458" s="218"/>
      <c r="E458" s="218"/>
      <c r="F458" s="218"/>
      <c r="G458" s="216"/>
      <c r="H458" s="218"/>
      <c r="I458" s="218"/>
      <c r="J458" s="216"/>
      <c r="K458" s="218"/>
      <c r="L458" s="218"/>
      <c r="M458" s="218"/>
      <c r="N458" s="218"/>
      <c r="O458" s="219"/>
      <c r="P458" s="216"/>
      <c r="Q458" s="217"/>
      <c r="R458" s="216"/>
      <c r="S458" s="218"/>
      <c r="T458" s="218"/>
      <c r="U458" s="220">
        <f>IF($A458="","",IF(N($Q458)&gt;0,IF(MOD($Q458,1)=0,$Q458+1-1/1440,$Q458),IF(N($B458)=0,"",$B458+IF(N($AH458)&gt;0,$AH458,IFERROR(INDEX(DM_SLA_Gio,MATCH($J458,DM_SLA_Cap,0)),168))/24)))</f>
      </c>
      <c r="V458" s="221">
        <f>IF($A458="","",IF(N($AJ458)=0,"Mới tiếp nhận",INDEX('Nhật ký tiến độ'!$E:$E,$AJ458)))</f>
      </c>
      <c r="W458" s="222">
        <f>IF($A458="","",IF($V458="Đã xử lý",1,IF(N($AJ458)=0,0,N(INDEX('Nhật ký tiến độ'!$D:$D,$AJ458)))))</f>
      </c>
      <c r="X458" s="222">
        <f>IF(OR($A458="",$V458="Đã xử lý",N($U458)=0,N($B458)=0),"",IF(TDBC&lt;=$B458,0,IF(TDBC&gt;=$U458,1,(TDBC-$B458)/($U458-$B458))))</f>
      </c>
      <c r="Y458" s="223">
        <f>IF($A458="","",IF($V458="Đã xử lý","Hoàn thành",IF(N($U458)=0,"Chưa đặt hạn",IF(TDBC&gt;$U458,"Quá hạn",IF(ROUND((N($X458)-$W458)*100,0)&gt;=20,"Chậm tiến độ",IF($U458-TDBC&lt;=1,"Sắp đến hạn","Đúng tiến độ"))))))</f>
      </c>
      <c r="Z458" s="223">
        <f>IF(OR($A458="",$V458="Đã xử lý",N($U458)=0),"",IF(TDBC&gt;$U458,"Quá "&amp;IF(((TDBC-$U458)*24)&lt;1,MAX(1,ROUND(((TDBC-$U458)*24)*60,0))&amp;" phút",IF(ROUND(((TDBC-$U458)*24),0)&lt;24,ROUND(((TDBC-$U458)*24),0)&amp;" giờ",INT(ROUND(((TDBC-$U458)*24),0)/24)&amp;" ngày"&amp;IF(MOD(ROUND(((TDBC-$U458)*24),0),24)&gt;0," "&amp;MOD(ROUND(((TDBC-$U458)*24),0),24)&amp;" giờ",""))),"Còn "&amp;IF((($U458-TDBC)*24)&lt;1,MAX(1,ROUND((($U458-TDBC)*24)*60,0))&amp;" phút",IF(ROUND((($U458-TDBC)*24),0)&lt;24,ROUND((($U458-TDBC)*24),0)&amp;" giờ",INT(ROUND((($U458-TDBC)*24),0)/24)&amp;" ngày"&amp;IF(MOD(ROUND((($U458-TDBC)*24),0),24)&gt;0," "&amp;MOD(ROUND((($U458-TDBC)*24),0),24)&amp;" giờ","")))))</f>
      </c>
      <c r="AA458" s="220">
        <f>IF($V458="Đã xử lý",_xlfn.MAXIFS('Nhật ký tiến độ'!$B$6:$B$3005,'Nhật ký tiến độ'!$C$6:$C$3005,$A458,'Nhật ký tiến độ'!$E$6:$E$3005,"Đã xử lý"),"")</f>
      </c>
      <c r="AB458" s="223">
        <f>IF($AI458="","",IF($AI458&lt;1,MAX(1,ROUND($AI458*60,0))&amp;" phút",IF(ROUND($AI458,0)&lt;24,ROUND($AI458,0)&amp;" giờ",INT(ROUND($AI458,0)/24)&amp;" ngày"&amp;IF(MOD(ROUND($AI458,0),24)&gt;0," "&amp;MOD(ROUND($AI458,0),24)&amp;" giờ",""))))</f>
      </c>
      <c r="AC458" s="223">
        <f>IF(OR($A458="",N($AH458)=0),"",IF($AI458&lt;&gt;"",IF($AI458&lt;=$AH458,"Trong ước tính","Vượt "&amp;IF(($AI458-$AH458)&lt;1,MAX(1,ROUND(($AI458-$AH458)*60,0))&amp;" phút",IF(ROUND(($AI458-$AH458),0)&lt;24,ROUND(($AI458-$AH458),0)&amp;" giờ",INT(ROUND(($AI458-$AH458),0)/24)&amp;" ngày"&amp;IF(MOD(ROUND(($AI458-$AH458),0),24)&gt;0," "&amp;MOD(ROUND(($AI458-$AH458),0),24)&amp;" giờ","")))),IF(OR($V458="Đã xử lý",N($B458)=0),"",IF((TDBC-$B458)*24&gt;$AH458,"Đã vượt ước tính","Đã dùng "&amp;TEXT((TDBC-$B458)*24/$AH458,"0%")))))</f>
      </c>
      <c r="AD458" s="223">
        <f>IF(N($AO458)=0,"",CHOOSE($AO458,"Nhắc nhở","Cảnh báo","Báo động","Báo động đỏ"))</f>
      </c>
      <c r="AE458" s="223">
        <f>IF(OR(N($AA458)=0,N($U458)=0),"",IF($AA458&lt;=$U458,"Đúng hạn","Trễ hạn"))</f>
      </c>
      <c r="AF458" s="220">
        <f>IF($A458="","",_xlfn.MAXIFS('Nhật ký tiến độ'!$B$6:$B$3005,'Nhật ký tiến độ'!$C$6:$C$3005,$A458))</f>
      </c>
      <c r="AG458" s="223">
        <f>IF($A458="","",IF(COUNTIF('Kế hoạch'!$M$6:$M$305,$A458)=0,"",COUNTIF('Kế hoạch'!$M$6:$M$305,$A458)&amp;" việc"))</f>
      </c>
      <c r="AH458" s="224">
        <f>IF(OR($A458="",N($O458)&lt;=0),"",IF($P458="Giờ",$O458,$O458*24))</f>
      </c>
      <c r="AI458" s="224">
        <f>IF(OR(N($AA458)=0,N($B458)=0),"",IF($AA458&lt;$B458,"",($AA458-$B458)*24))</f>
      </c>
      <c r="AJ458" s="225">
        <f>IF($A458="","",IF(COUNTIF('Nhật ký tiến độ'!$C$6:$C$3005,$A458)=0,0,_xlfn.MAXIFS('Nhật ký tiến độ'!$N$6:$N$3005,'Nhật ký tiến độ'!$C$6:$C$3005,$A458,'Nhật ký tiến độ'!$B$6:$B$3005,_xlfn.MAXIFS('Nhật ký tiến độ'!$B$6:$B$3005,'Nhật ký tiến độ'!$C$6:$C$3005,$A458))))</f>
      </c>
      <c r="AK458" s="225">
        <f>IF(OR($A458="",$V458="Đã xử lý"),"",IF(N($AO458)&gt;0,5-$AO458,IF($J458="Khẩn cấp",5,IF($Y458="Chậm tiến độ",6,IF(OR($Y458="Sắp đến hạn",$J458="Cao"),7,"")))))</f>
      </c>
      <c r="AL458" s="225">
        <f>IF($AK458="","",$AK458*100000+IF(N($U458)=0,99999,INT($U458))+ROW()/100000)</f>
      </c>
      <c r="AM458" s="225">
        <f>IF(OR($A458="",TRIM($K458)="",COUNTIF($K$6:$K458,$K458)&gt;1),0,1)</f>
      </c>
      <c r="AN458" s="225">
        <f>IF($AM458=1,SUM($AM$6:$AM458),"")</f>
      </c>
      <c r="AO458" s="225">
        <f>IF(OR($A458="",$V458="Đã xử lý",N($U458)=0),0,IF(TDBC&lt;=$U458,0,MAX(1,MIN(4,IF((TDBC-$U458)*24&lt;24,1,IF((TDBC-$U458)*24&lt;72,2,IF((TDBC-$U458)*24&lt;168,3,4)))+IFERROR(INDEX({2,1,0,-1},MATCH($J458,{"Khẩn cấp","Cao","Trung bình","Thấp"},0)),0)))))</f>
      </c>
    </row>
    <row r="459">
      <c r="A459" s="216"/>
      <c r="B459" s="217"/>
      <c r="C459" s="218"/>
      <c r="D459" s="218"/>
      <c r="E459" s="218"/>
      <c r="F459" s="218"/>
      <c r="G459" s="216"/>
      <c r="H459" s="218"/>
      <c r="I459" s="218"/>
      <c r="J459" s="216"/>
      <c r="K459" s="218"/>
      <c r="L459" s="218"/>
      <c r="M459" s="218"/>
      <c r="N459" s="218"/>
      <c r="O459" s="219"/>
      <c r="P459" s="216"/>
      <c r="Q459" s="217"/>
      <c r="R459" s="216"/>
      <c r="S459" s="218"/>
      <c r="T459" s="218"/>
      <c r="U459" s="220">
        <f>IF($A459="","",IF(N($Q459)&gt;0,IF(MOD($Q459,1)=0,$Q459+1-1/1440,$Q459),IF(N($B459)=0,"",$B459+IF(N($AH459)&gt;0,$AH459,IFERROR(INDEX(DM_SLA_Gio,MATCH($J459,DM_SLA_Cap,0)),168))/24)))</f>
      </c>
      <c r="V459" s="221">
        <f>IF($A459="","",IF(N($AJ459)=0,"Mới tiếp nhận",INDEX('Nhật ký tiến độ'!$E:$E,$AJ459)))</f>
      </c>
      <c r="W459" s="222">
        <f>IF($A459="","",IF($V459="Đã xử lý",1,IF(N($AJ459)=0,0,N(INDEX('Nhật ký tiến độ'!$D:$D,$AJ459)))))</f>
      </c>
      <c r="X459" s="222">
        <f>IF(OR($A459="",$V459="Đã xử lý",N($U459)=0,N($B459)=0),"",IF(TDBC&lt;=$B459,0,IF(TDBC&gt;=$U459,1,(TDBC-$B459)/($U459-$B459))))</f>
      </c>
      <c r="Y459" s="223">
        <f>IF($A459="","",IF($V459="Đã xử lý","Hoàn thành",IF(N($U459)=0,"Chưa đặt hạn",IF(TDBC&gt;$U459,"Quá hạn",IF(ROUND((N($X459)-$W459)*100,0)&gt;=20,"Chậm tiến độ",IF($U459-TDBC&lt;=1,"Sắp đến hạn","Đúng tiến độ"))))))</f>
      </c>
      <c r="Z459" s="223">
        <f>IF(OR($A459="",$V459="Đã xử lý",N($U459)=0),"",IF(TDBC&gt;$U459,"Quá "&amp;IF(((TDBC-$U459)*24)&lt;1,MAX(1,ROUND(((TDBC-$U459)*24)*60,0))&amp;" phút",IF(ROUND(((TDBC-$U459)*24),0)&lt;24,ROUND(((TDBC-$U459)*24),0)&amp;" giờ",INT(ROUND(((TDBC-$U459)*24),0)/24)&amp;" ngày"&amp;IF(MOD(ROUND(((TDBC-$U459)*24),0),24)&gt;0," "&amp;MOD(ROUND(((TDBC-$U459)*24),0),24)&amp;" giờ",""))),"Còn "&amp;IF((($U459-TDBC)*24)&lt;1,MAX(1,ROUND((($U459-TDBC)*24)*60,0))&amp;" phút",IF(ROUND((($U459-TDBC)*24),0)&lt;24,ROUND((($U459-TDBC)*24),0)&amp;" giờ",INT(ROUND((($U459-TDBC)*24),0)/24)&amp;" ngày"&amp;IF(MOD(ROUND((($U459-TDBC)*24),0),24)&gt;0," "&amp;MOD(ROUND((($U459-TDBC)*24),0),24)&amp;" giờ","")))))</f>
      </c>
      <c r="AA459" s="220">
        <f>IF($V459="Đã xử lý",_xlfn.MAXIFS('Nhật ký tiến độ'!$B$6:$B$3005,'Nhật ký tiến độ'!$C$6:$C$3005,$A459,'Nhật ký tiến độ'!$E$6:$E$3005,"Đã xử lý"),"")</f>
      </c>
      <c r="AB459" s="223">
        <f>IF($AI459="","",IF($AI459&lt;1,MAX(1,ROUND($AI459*60,0))&amp;" phút",IF(ROUND($AI459,0)&lt;24,ROUND($AI459,0)&amp;" giờ",INT(ROUND($AI459,0)/24)&amp;" ngày"&amp;IF(MOD(ROUND($AI459,0),24)&gt;0," "&amp;MOD(ROUND($AI459,0),24)&amp;" giờ",""))))</f>
      </c>
      <c r="AC459" s="223">
        <f>IF(OR($A459="",N($AH459)=0),"",IF($AI459&lt;&gt;"",IF($AI459&lt;=$AH459,"Trong ước tính","Vượt "&amp;IF(($AI459-$AH459)&lt;1,MAX(1,ROUND(($AI459-$AH459)*60,0))&amp;" phút",IF(ROUND(($AI459-$AH459),0)&lt;24,ROUND(($AI459-$AH459),0)&amp;" giờ",INT(ROUND(($AI459-$AH459),0)/24)&amp;" ngày"&amp;IF(MOD(ROUND(($AI459-$AH459),0),24)&gt;0," "&amp;MOD(ROUND(($AI459-$AH459),0),24)&amp;" giờ","")))),IF(OR($V459="Đã xử lý",N($B459)=0),"",IF((TDBC-$B459)*24&gt;$AH459,"Đã vượt ước tính","Đã dùng "&amp;TEXT((TDBC-$B459)*24/$AH459,"0%")))))</f>
      </c>
      <c r="AD459" s="223">
        <f>IF(N($AO459)=0,"",CHOOSE($AO459,"Nhắc nhở","Cảnh báo","Báo động","Báo động đỏ"))</f>
      </c>
      <c r="AE459" s="223">
        <f>IF(OR(N($AA459)=0,N($U459)=0),"",IF($AA459&lt;=$U459,"Đúng hạn","Trễ hạn"))</f>
      </c>
      <c r="AF459" s="220">
        <f>IF($A459="","",_xlfn.MAXIFS('Nhật ký tiến độ'!$B$6:$B$3005,'Nhật ký tiến độ'!$C$6:$C$3005,$A459))</f>
      </c>
      <c r="AG459" s="223">
        <f>IF($A459="","",IF(COUNTIF('Kế hoạch'!$M$6:$M$305,$A459)=0,"",COUNTIF('Kế hoạch'!$M$6:$M$305,$A459)&amp;" việc"))</f>
      </c>
      <c r="AH459" s="224">
        <f>IF(OR($A459="",N($O459)&lt;=0),"",IF($P459="Giờ",$O459,$O459*24))</f>
      </c>
      <c r="AI459" s="224">
        <f>IF(OR(N($AA459)=0,N($B459)=0),"",IF($AA459&lt;$B459,"",($AA459-$B459)*24))</f>
      </c>
      <c r="AJ459" s="225">
        <f>IF($A459="","",IF(COUNTIF('Nhật ký tiến độ'!$C$6:$C$3005,$A459)=0,0,_xlfn.MAXIFS('Nhật ký tiến độ'!$N$6:$N$3005,'Nhật ký tiến độ'!$C$6:$C$3005,$A459,'Nhật ký tiến độ'!$B$6:$B$3005,_xlfn.MAXIFS('Nhật ký tiến độ'!$B$6:$B$3005,'Nhật ký tiến độ'!$C$6:$C$3005,$A459))))</f>
      </c>
      <c r="AK459" s="225">
        <f>IF(OR($A459="",$V459="Đã xử lý"),"",IF(N($AO459)&gt;0,5-$AO459,IF($J459="Khẩn cấp",5,IF($Y459="Chậm tiến độ",6,IF(OR($Y459="Sắp đến hạn",$J459="Cao"),7,"")))))</f>
      </c>
      <c r="AL459" s="225">
        <f>IF($AK459="","",$AK459*100000+IF(N($U459)=0,99999,INT($U459))+ROW()/100000)</f>
      </c>
      <c r="AM459" s="225">
        <f>IF(OR($A459="",TRIM($K459)="",COUNTIF($K$6:$K459,$K459)&gt;1),0,1)</f>
      </c>
      <c r="AN459" s="225">
        <f>IF($AM459=1,SUM($AM$6:$AM459),"")</f>
      </c>
      <c r="AO459" s="225">
        <f>IF(OR($A459="",$V459="Đã xử lý",N($U459)=0),0,IF(TDBC&lt;=$U459,0,MAX(1,MIN(4,IF((TDBC-$U459)*24&lt;24,1,IF((TDBC-$U459)*24&lt;72,2,IF((TDBC-$U459)*24&lt;168,3,4)))+IFERROR(INDEX({2,1,0,-1},MATCH($J459,{"Khẩn cấp","Cao","Trung bình","Thấp"},0)),0)))))</f>
      </c>
    </row>
    <row r="460">
      <c r="A460" s="216"/>
      <c r="B460" s="217"/>
      <c r="C460" s="218"/>
      <c r="D460" s="218"/>
      <c r="E460" s="218"/>
      <c r="F460" s="218"/>
      <c r="G460" s="216"/>
      <c r="H460" s="218"/>
      <c r="I460" s="218"/>
      <c r="J460" s="216"/>
      <c r="K460" s="218"/>
      <c r="L460" s="218"/>
      <c r="M460" s="218"/>
      <c r="N460" s="218"/>
      <c r="O460" s="219"/>
      <c r="P460" s="216"/>
      <c r="Q460" s="217"/>
      <c r="R460" s="216"/>
      <c r="S460" s="218"/>
      <c r="T460" s="218"/>
      <c r="U460" s="220">
        <f>IF($A460="","",IF(N($Q460)&gt;0,IF(MOD($Q460,1)=0,$Q460+1-1/1440,$Q460),IF(N($B460)=0,"",$B460+IF(N($AH460)&gt;0,$AH460,IFERROR(INDEX(DM_SLA_Gio,MATCH($J460,DM_SLA_Cap,0)),168))/24)))</f>
      </c>
      <c r="V460" s="221">
        <f>IF($A460="","",IF(N($AJ460)=0,"Mới tiếp nhận",INDEX('Nhật ký tiến độ'!$E:$E,$AJ460)))</f>
      </c>
      <c r="W460" s="222">
        <f>IF($A460="","",IF($V460="Đã xử lý",1,IF(N($AJ460)=0,0,N(INDEX('Nhật ký tiến độ'!$D:$D,$AJ460)))))</f>
      </c>
      <c r="X460" s="222">
        <f>IF(OR($A460="",$V460="Đã xử lý",N($U460)=0,N($B460)=0),"",IF(TDBC&lt;=$B460,0,IF(TDBC&gt;=$U460,1,(TDBC-$B460)/($U460-$B460))))</f>
      </c>
      <c r="Y460" s="223">
        <f>IF($A460="","",IF($V460="Đã xử lý","Hoàn thành",IF(N($U460)=0,"Chưa đặt hạn",IF(TDBC&gt;$U460,"Quá hạn",IF(ROUND((N($X460)-$W460)*100,0)&gt;=20,"Chậm tiến độ",IF($U460-TDBC&lt;=1,"Sắp đến hạn","Đúng tiến độ"))))))</f>
      </c>
      <c r="Z460" s="223">
        <f>IF(OR($A460="",$V460="Đã xử lý",N($U460)=0),"",IF(TDBC&gt;$U460,"Quá "&amp;IF(((TDBC-$U460)*24)&lt;1,MAX(1,ROUND(((TDBC-$U460)*24)*60,0))&amp;" phút",IF(ROUND(((TDBC-$U460)*24),0)&lt;24,ROUND(((TDBC-$U460)*24),0)&amp;" giờ",INT(ROUND(((TDBC-$U460)*24),0)/24)&amp;" ngày"&amp;IF(MOD(ROUND(((TDBC-$U460)*24),0),24)&gt;0," "&amp;MOD(ROUND(((TDBC-$U460)*24),0),24)&amp;" giờ",""))),"Còn "&amp;IF((($U460-TDBC)*24)&lt;1,MAX(1,ROUND((($U460-TDBC)*24)*60,0))&amp;" phút",IF(ROUND((($U460-TDBC)*24),0)&lt;24,ROUND((($U460-TDBC)*24),0)&amp;" giờ",INT(ROUND((($U460-TDBC)*24),0)/24)&amp;" ngày"&amp;IF(MOD(ROUND((($U460-TDBC)*24),0),24)&gt;0," "&amp;MOD(ROUND((($U460-TDBC)*24),0),24)&amp;" giờ","")))))</f>
      </c>
      <c r="AA460" s="220">
        <f>IF($V460="Đã xử lý",_xlfn.MAXIFS('Nhật ký tiến độ'!$B$6:$B$3005,'Nhật ký tiến độ'!$C$6:$C$3005,$A460,'Nhật ký tiến độ'!$E$6:$E$3005,"Đã xử lý"),"")</f>
      </c>
      <c r="AB460" s="223">
        <f>IF($AI460="","",IF($AI460&lt;1,MAX(1,ROUND($AI460*60,0))&amp;" phút",IF(ROUND($AI460,0)&lt;24,ROUND($AI460,0)&amp;" giờ",INT(ROUND($AI460,0)/24)&amp;" ngày"&amp;IF(MOD(ROUND($AI460,0),24)&gt;0," "&amp;MOD(ROUND($AI460,0),24)&amp;" giờ",""))))</f>
      </c>
      <c r="AC460" s="223">
        <f>IF(OR($A460="",N($AH460)=0),"",IF($AI460&lt;&gt;"",IF($AI460&lt;=$AH460,"Trong ước tính","Vượt "&amp;IF(($AI460-$AH460)&lt;1,MAX(1,ROUND(($AI460-$AH460)*60,0))&amp;" phút",IF(ROUND(($AI460-$AH460),0)&lt;24,ROUND(($AI460-$AH460),0)&amp;" giờ",INT(ROUND(($AI460-$AH460),0)/24)&amp;" ngày"&amp;IF(MOD(ROUND(($AI460-$AH460),0),24)&gt;0," "&amp;MOD(ROUND(($AI460-$AH460),0),24)&amp;" giờ","")))),IF(OR($V460="Đã xử lý",N($B460)=0),"",IF((TDBC-$B460)*24&gt;$AH460,"Đã vượt ước tính","Đã dùng "&amp;TEXT((TDBC-$B460)*24/$AH460,"0%")))))</f>
      </c>
      <c r="AD460" s="223">
        <f>IF(N($AO460)=0,"",CHOOSE($AO460,"Nhắc nhở","Cảnh báo","Báo động","Báo động đỏ"))</f>
      </c>
      <c r="AE460" s="223">
        <f>IF(OR(N($AA460)=0,N($U460)=0),"",IF($AA460&lt;=$U460,"Đúng hạn","Trễ hạn"))</f>
      </c>
      <c r="AF460" s="220">
        <f>IF($A460="","",_xlfn.MAXIFS('Nhật ký tiến độ'!$B$6:$B$3005,'Nhật ký tiến độ'!$C$6:$C$3005,$A460))</f>
      </c>
      <c r="AG460" s="223">
        <f>IF($A460="","",IF(COUNTIF('Kế hoạch'!$M$6:$M$305,$A460)=0,"",COUNTIF('Kế hoạch'!$M$6:$M$305,$A460)&amp;" việc"))</f>
      </c>
      <c r="AH460" s="224">
        <f>IF(OR($A460="",N($O460)&lt;=0),"",IF($P460="Giờ",$O460,$O460*24))</f>
      </c>
      <c r="AI460" s="224">
        <f>IF(OR(N($AA460)=0,N($B460)=0),"",IF($AA460&lt;$B460,"",($AA460-$B460)*24))</f>
      </c>
      <c r="AJ460" s="225">
        <f>IF($A460="","",IF(COUNTIF('Nhật ký tiến độ'!$C$6:$C$3005,$A460)=0,0,_xlfn.MAXIFS('Nhật ký tiến độ'!$N$6:$N$3005,'Nhật ký tiến độ'!$C$6:$C$3005,$A460,'Nhật ký tiến độ'!$B$6:$B$3005,_xlfn.MAXIFS('Nhật ký tiến độ'!$B$6:$B$3005,'Nhật ký tiến độ'!$C$6:$C$3005,$A460))))</f>
      </c>
      <c r="AK460" s="225">
        <f>IF(OR($A460="",$V460="Đã xử lý"),"",IF(N($AO460)&gt;0,5-$AO460,IF($J460="Khẩn cấp",5,IF($Y460="Chậm tiến độ",6,IF(OR($Y460="Sắp đến hạn",$J460="Cao"),7,"")))))</f>
      </c>
      <c r="AL460" s="225">
        <f>IF($AK460="","",$AK460*100000+IF(N($U460)=0,99999,INT($U460))+ROW()/100000)</f>
      </c>
      <c r="AM460" s="225">
        <f>IF(OR($A460="",TRIM($K460)="",COUNTIF($K$6:$K460,$K460)&gt;1),0,1)</f>
      </c>
      <c r="AN460" s="225">
        <f>IF($AM460=1,SUM($AM$6:$AM460),"")</f>
      </c>
      <c r="AO460" s="225">
        <f>IF(OR($A460="",$V460="Đã xử lý",N($U460)=0),0,IF(TDBC&lt;=$U460,0,MAX(1,MIN(4,IF((TDBC-$U460)*24&lt;24,1,IF((TDBC-$U460)*24&lt;72,2,IF((TDBC-$U460)*24&lt;168,3,4)))+IFERROR(INDEX({2,1,0,-1},MATCH($J460,{"Khẩn cấp","Cao","Trung bình","Thấp"},0)),0)))))</f>
      </c>
    </row>
    <row r="461">
      <c r="A461" s="216"/>
      <c r="B461" s="217"/>
      <c r="C461" s="218"/>
      <c r="D461" s="218"/>
      <c r="E461" s="218"/>
      <c r="F461" s="218"/>
      <c r="G461" s="216"/>
      <c r="H461" s="218"/>
      <c r="I461" s="218"/>
      <c r="J461" s="216"/>
      <c r="K461" s="218"/>
      <c r="L461" s="218"/>
      <c r="M461" s="218"/>
      <c r="N461" s="218"/>
      <c r="O461" s="219"/>
      <c r="P461" s="216"/>
      <c r="Q461" s="217"/>
      <c r="R461" s="216"/>
      <c r="S461" s="218"/>
      <c r="T461" s="218"/>
      <c r="U461" s="220">
        <f>IF($A461="","",IF(N($Q461)&gt;0,IF(MOD($Q461,1)=0,$Q461+1-1/1440,$Q461),IF(N($B461)=0,"",$B461+IF(N($AH461)&gt;0,$AH461,IFERROR(INDEX(DM_SLA_Gio,MATCH($J461,DM_SLA_Cap,0)),168))/24)))</f>
      </c>
      <c r="V461" s="221">
        <f>IF($A461="","",IF(N($AJ461)=0,"Mới tiếp nhận",INDEX('Nhật ký tiến độ'!$E:$E,$AJ461)))</f>
      </c>
      <c r="W461" s="222">
        <f>IF($A461="","",IF($V461="Đã xử lý",1,IF(N($AJ461)=0,0,N(INDEX('Nhật ký tiến độ'!$D:$D,$AJ461)))))</f>
      </c>
      <c r="X461" s="222">
        <f>IF(OR($A461="",$V461="Đã xử lý",N($U461)=0,N($B461)=0),"",IF(TDBC&lt;=$B461,0,IF(TDBC&gt;=$U461,1,(TDBC-$B461)/($U461-$B461))))</f>
      </c>
      <c r="Y461" s="223">
        <f>IF($A461="","",IF($V461="Đã xử lý","Hoàn thành",IF(N($U461)=0,"Chưa đặt hạn",IF(TDBC&gt;$U461,"Quá hạn",IF(ROUND((N($X461)-$W461)*100,0)&gt;=20,"Chậm tiến độ",IF($U461-TDBC&lt;=1,"Sắp đến hạn","Đúng tiến độ"))))))</f>
      </c>
      <c r="Z461" s="223">
        <f>IF(OR($A461="",$V461="Đã xử lý",N($U461)=0),"",IF(TDBC&gt;$U461,"Quá "&amp;IF(((TDBC-$U461)*24)&lt;1,MAX(1,ROUND(((TDBC-$U461)*24)*60,0))&amp;" phút",IF(ROUND(((TDBC-$U461)*24),0)&lt;24,ROUND(((TDBC-$U461)*24),0)&amp;" giờ",INT(ROUND(((TDBC-$U461)*24),0)/24)&amp;" ngày"&amp;IF(MOD(ROUND(((TDBC-$U461)*24),0),24)&gt;0," "&amp;MOD(ROUND(((TDBC-$U461)*24),0),24)&amp;" giờ",""))),"Còn "&amp;IF((($U461-TDBC)*24)&lt;1,MAX(1,ROUND((($U461-TDBC)*24)*60,0))&amp;" phút",IF(ROUND((($U461-TDBC)*24),0)&lt;24,ROUND((($U461-TDBC)*24),0)&amp;" giờ",INT(ROUND((($U461-TDBC)*24),0)/24)&amp;" ngày"&amp;IF(MOD(ROUND((($U461-TDBC)*24),0),24)&gt;0," "&amp;MOD(ROUND((($U461-TDBC)*24),0),24)&amp;" giờ","")))))</f>
      </c>
      <c r="AA461" s="220">
        <f>IF($V461="Đã xử lý",_xlfn.MAXIFS('Nhật ký tiến độ'!$B$6:$B$3005,'Nhật ký tiến độ'!$C$6:$C$3005,$A461,'Nhật ký tiến độ'!$E$6:$E$3005,"Đã xử lý"),"")</f>
      </c>
      <c r="AB461" s="223">
        <f>IF($AI461="","",IF($AI461&lt;1,MAX(1,ROUND($AI461*60,0))&amp;" phút",IF(ROUND($AI461,0)&lt;24,ROUND($AI461,0)&amp;" giờ",INT(ROUND($AI461,0)/24)&amp;" ngày"&amp;IF(MOD(ROUND($AI461,0),24)&gt;0," "&amp;MOD(ROUND($AI461,0),24)&amp;" giờ",""))))</f>
      </c>
      <c r="AC461" s="223">
        <f>IF(OR($A461="",N($AH461)=0),"",IF($AI461&lt;&gt;"",IF($AI461&lt;=$AH461,"Trong ước tính","Vượt "&amp;IF(($AI461-$AH461)&lt;1,MAX(1,ROUND(($AI461-$AH461)*60,0))&amp;" phút",IF(ROUND(($AI461-$AH461),0)&lt;24,ROUND(($AI461-$AH461),0)&amp;" giờ",INT(ROUND(($AI461-$AH461),0)/24)&amp;" ngày"&amp;IF(MOD(ROUND(($AI461-$AH461),0),24)&gt;0," "&amp;MOD(ROUND(($AI461-$AH461),0),24)&amp;" giờ","")))),IF(OR($V461="Đã xử lý",N($B461)=0),"",IF((TDBC-$B461)*24&gt;$AH461,"Đã vượt ước tính","Đã dùng "&amp;TEXT((TDBC-$B461)*24/$AH461,"0%")))))</f>
      </c>
      <c r="AD461" s="223">
        <f>IF(N($AO461)=0,"",CHOOSE($AO461,"Nhắc nhở","Cảnh báo","Báo động","Báo động đỏ"))</f>
      </c>
      <c r="AE461" s="223">
        <f>IF(OR(N($AA461)=0,N($U461)=0),"",IF($AA461&lt;=$U461,"Đúng hạn","Trễ hạn"))</f>
      </c>
      <c r="AF461" s="220">
        <f>IF($A461="","",_xlfn.MAXIFS('Nhật ký tiến độ'!$B$6:$B$3005,'Nhật ký tiến độ'!$C$6:$C$3005,$A461))</f>
      </c>
      <c r="AG461" s="223">
        <f>IF($A461="","",IF(COUNTIF('Kế hoạch'!$M$6:$M$305,$A461)=0,"",COUNTIF('Kế hoạch'!$M$6:$M$305,$A461)&amp;" việc"))</f>
      </c>
      <c r="AH461" s="224">
        <f>IF(OR($A461="",N($O461)&lt;=0),"",IF($P461="Giờ",$O461,$O461*24))</f>
      </c>
      <c r="AI461" s="224">
        <f>IF(OR(N($AA461)=0,N($B461)=0),"",IF($AA461&lt;$B461,"",($AA461-$B461)*24))</f>
      </c>
      <c r="AJ461" s="225">
        <f>IF($A461="","",IF(COUNTIF('Nhật ký tiến độ'!$C$6:$C$3005,$A461)=0,0,_xlfn.MAXIFS('Nhật ký tiến độ'!$N$6:$N$3005,'Nhật ký tiến độ'!$C$6:$C$3005,$A461,'Nhật ký tiến độ'!$B$6:$B$3005,_xlfn.MAXIFS('Nhật ký tiến độ'!$B$6:$B$3005,'Nhật ký tiến độ'!$C$6:$C$3005,$A461))))</f>
      </c>
      <c r="AK461" s="225">
        <f>IF(OR($A461="",$V461="Đã xử lý"),"",IF(N($AO461)&gt;0,5-$AO461,IF($J461="Khẩn cấp",5,IF($Y461="Chậm tiến độ",6,IF(OR($Y461="Sắp đến hạn",$J461="Cao"),7,"")))))</f>
      </c>
      <c r="AL461" s="225">
        <f>IF($AK461="","",$AK461*100000+IF(N($U461)=0,99999,INT($U461))+ROW()/100000)</f>
      </c>
      <c r="AM461" s="225">
        <f>IF(OR($A461="",TRIM($K461)="",COUNTIF($K$6:$K461,$K461)&gt;1),0,1)</f>
      </c>
      <c r="AN461" s="225">
        <f>IF($AM461=1,SUM($AM$6:$AM461),"")</f>
      </c>
      <c r="AO461" s="225">
        <f>IF(OR($A461="",$V461="Đã xử lý",N($U461)=0),0,IF(TDBC&lt;=$U461,0,MAX(1,MIN(4,IF((TDBC-$U461)*24&lt;24,1,IF((TDBC-$U461)*24&lt;72,2,IF((TDBC-$U461)*24&lt;168,3,4)))+IFERROR(INDEX({2,1,0,-1},MATCH($J461,{"Khẩn cấp","Cao","Trung bình","Thấp"},0)),0)))))</f>
      </c>
    </row>
    <row r="462">
      <c r="A462" s="216"/>
      <c r="B462" s="217"/>
      <c r="C462" s="218"/>
      <c r="D462" s="218"/>
      <c r="E462" s="218"/>
      <c r="F462" s="218"/>
      <c r="G462" s="216"/>
      <c r="H462" s="218"/>
      <c r="I462" s="218"/>
      <c r="J462" s="216"/>
      <c r="K462" s="218"/>
      <c r="L462" s="218"/>
      <c r="M462" s="218"/>
      <c r="N462" s="218"/>
      <c r="O462" s="219"/>
      <c r="P462" s="216"/>
      <c r="Q462" s="217"/>
      <c r="R462" s="216"/>
      <c r="S462" s="218"/>
      <c r="T462" s="218"/>
      <c r="U462" s="220">
        <f>IF($A462="","",IF(N($Q462)&gt;0,IF(MOD($Q462,1)=0,$Q462+1-1/1440,$Q462),IF(N($B462)=0,"",$B462+IF(N($AH462)&gt;0,$AH462,IFERROR(INDEX(DM_SLA_Gio,MATCH($J462,DM_SLA_Cap,0)),168))/24)))</f>
      </c>
      <c r="V462" s="221">
        <f>IF($A462="","",IF(N($AJ462)=0,"Mới tiếp nhận",INDEX('Nhật ký tiến độ'!$E:$E,$AJ462)))</f>
      </c>
      <c r="W462" s="222">
        <f>IF($A462="","",IF($V462="Đã xử lý",1,IF(N($AJ462)=0,0,N(INDEX('Nhật ký tiến độ'!$D:$D,$AJ462)))))</f>
      </c>
      <c r="X462" s="222">
        <f>IF(OR($A462="",$V462="Đã xử lý",N($U462)=0,N($B462)=0),"",IF(TDBC&lt;=$B462,0,IF(TDBC&gt;=$U462,1,(TDBC-$B462)/($U462-$B462))))</f>
      </c>
      <c r="Y462" s="223">
        <f>IF($A462="","",IF($V462="Đã xử lý","Hoàn thành",IF(N($U462)=0,"Chưa đặt hạn",IF(TDBC&gt;$U462,"Quá hạn",IF(ROUND((N($X462)-$W462)*100,0)&gt;=20,"Chậm tiến độ",IF($U462-TDBC&lt;=1,"Sắp đến hạn","Đúng tiến độ"))))))</f>
      </c>
      <c r="Z462" s="223">
        <f>IF(OR($A462="",$V462="Đã xử lý",N($U462)=0),"",IF(TDBC&gt;$U462,"Quá "&amp;IF(((TDBC-$U462)*24)&lt;1,MAX(1,ROUND(((TDBC-$U462)*24)*60,0))&amp;" phút",IF(ROUND(((TDBC-$U462)*24),0)&lt;24,ROUND(((TDBC-$U462)*24),0)&amp;" giờ",INT(ROUND(((TDBC-$U462)*24),0)/24)&amp;" ngày"&amp;IF(MOD(ROUND(((TDBC-$U462)*24),0),24)&gt;0," "&amp;MOD(ROUND(((TDBC-$U462)*24),0),24)&amp;" giờ",""))),"Còn "&amp;IF((($U462-TDBC)*24)&lt;1,MAX(1,ROUND((($U462-TDBC)*24)*60,0))&amp;" phút",IF(ROUND((($U462-TDBC)*24),0)&lt;24,ROUND((($U462-TDBC)*24),0)&amp;" giờ",INT(ROUND((($U462-TDBC)*24),0)/24)&amp;" ngày"&amp;IF(MOD(ROUND((($U462-TDBC)*24),0),24)&gt;0," "&amp;MOD(ROUND((($U462-TDBC)*24),0),24)&amp;" giờ","")))))</f>
      </c>
      <c r="AA462" s="220">
        <f>IF($V462="Đã xử lý",_xlfn.MAXIFS('Nhật ký tiến độ'!$B$6:$B$3005,'Nhật ký tiến độ'!$C$6:$C$3005,$A462,'Nhật ký tiến độ'!$E$6:$E$3005,"Đã xử lý"),"")</f>
      </c>
      <c r="AB462" s="223">
        <f>IF($AI462="","",IF($AI462&lt;1,MAX(1,ROUND($AI462*60,0))&amp;" phút",IF(ROUND($AI462,0)&lt;24,ROUND($AI462,0)&amp;" giờ",INT(ROUND($AI462,0)/24)&amp;" ngày"&amp;IF(MOD(ROUND($AI462,0),24)&gt;0," "&amp;MOD(ROUND($AI462,0),24)&amp;" giờ",""))))</f>
      </c>
      <c r="AC462" s="223">
        <f>IF(OR($A462="",N($AH462)=0),"",IF($AI462&lt;&gt;"",IF($AI462&lt;=$AH462,"Trong ước tính","Vượt "&amp;IF(($AI462-$AH462)&lt;1,MAX(1,ROUND(($AI462-$AH462)*60,0))&amp;" phút",IF(ROUND(($AI462-$AH462),0)&lt;24,ROUND(($AI462-$AH462),0)&amp;" giờ",INT(ROUND(($AI462-$AH462),0)/24)&amp;" ngày"&amp;IF(MOD(ROUND(($AI462-$AH462),0),24)&gt;0," "&amp;MOD(ROUND(($AI462-$AH462),0),24)&amp;" giờ","")))),IF(OR($V462="Đã xử lý",N($B462)=0),"",IF((TDBC-$B462)*24&gt;$AH462,"Đã vượt ước tính","Đã dùng "&amp;TEXT((TDBC-$B462)*24/$AH462,"0%")))))</f>
      </c>
      <c r="AD462" s="223">
        <f>IF(N($AO462)=0,"",CHOOSE($AO462,"Nhắc nhở","Cảnh báo","Báo động","Báo động đỏ"))</f>
      </c>
      <c r="AE462" s="223">
        <f>IF(OR(N($AA462)=0,N($U462)=0),"",IF($AA462&lt;=$U462,"Đúng hạn","Trễ hạn"))</f>
      </c>
      <c r="AF462" s="220">
        <f>IF($A462="","",_xlfn.MAXIFS('Nhật ký tiến độ'!$B$6:$B$3005,'Nhật ký tiến độ'!$C$6:$C$3005,$A462))</f>
      </c>
      <c r="AG462" s="223">
        <f>IF($A462="","",IF(COUNTIF('Kế hoạch'!$M$6:$M$305,$A462)=0,"",COUNTIF('Kế hoạch'!$M$6:$M$305,$A462)&amp;" việc"))</f>
      </c>
      <c r="AH462" s="224">
        <f>IF(OR($A462="",N($O462)&lt;=0),"",IF($P462="Giờ",$O462,$O462*24))</f>
      </c>
      <c r="AI462" s="224">
        <f>IF(OR(N($AA462)=0,N($B462)=0),"",IF($AA462&lt;$B462,"",($AA462-$B462)*24))</f>
      </c>
      <c r="AJ462" s="225">
        <f>IF($A462="","",IF(COUNTIF('Nhật ký tiến độ'!$C$6:$C$3005,$A462)=0,0,_xlfn.MAXIFS('Nhật ký tiến độ'!$N$6:$N$3005,'Nhật ký tiến độ'!$C$6:$C$3005,$A462,'Nhật ký tiến độ'!$B$6:$B$3005,_xlfn.MAXIFS('Nhật ký tiến độ'!$B$6:$B$3005,'Nhật ký tiến độ'!$C$6:$C$3005,$A462))))</f>
      </c>
      <c r="AK462" s="225">
        <f>IF(OR($A462="",$V462="Đã xử lý"),"",IF(N($AO462)&gt;0,5-$AO462,IF($J462="Khẩn cấp",5,IF($Y462="Chậm tiến độ",6,IF(OR($Y462="Sắp đến hạn",$J462="Cao"),7,"")))))</f>
      </c>
      <c r="AL462" s="225">
        <f>IF($AK462="","",$AK462*100000+IF(N($U462)=0,99999,INT($U462))+ROW()/100000)</f>
      </c>
      <c r="AM462" s="225">
        <f>IF(OR($A462="",TRIM($K462)="",COUNTIF($K$6:$K462,$K462)&gt;1),0,1)</f>
      </c>
      <c r="AN462" s="225">
        <f>IF($AM462=1,SUM($AM$6:$AM462),"")</f>
      </c>
      <c r="AO462" s="225">
        <f>IF(OR($A462="",$V462="Đã xử lý",N($U462)=0),0,IF(TDBC&lt;=$U462,0,MAX(1,MIN(4,IF((TDBC-$U462)*24&lt;24,1,IF((TDBC-$U462)*24&lt;72,2,IF((TDBC-$U462)*24&lt;168,3,4)))+IFERROR(INDEX({2,1,0,-1},MATCH($J462,{"Khẩn cấp","Cao","Trung bình","Thấp"},0)),0)))))</f>
      </c>
    </row>
    <row r="463">
      <c r="A463" s="216"/>
      <c r="B463" s="217"/>
      <c r="C463" s="218"/>
      <c r="D463" s="218"/>
      <c r="E463" s="218"/>
      <c r="F463" s="218"/>
      <c r="G463" s="216"/>
      <c r="H463" s="218"/>
      <c r="I463" s="218"/>
      <c r="J463" s="216"/>
      <c r="K463" s="218"/>
      <c r="L463" s="218"/>
      <c r="M463" s="218"/>
      <c r="N463" s="218"/>
      <c r="O463" s="219"/>
      <c r="P463" s="216"/>
      <c r="Q463" s="217"/>
      <c r="R463" s="216"/>
      <c r="S463" s="218"/>
      <c r="T463" s="218"/>
      <c r="U463" s="220">
        <f>IF($A463="","",IF(N($Q463)&gt;0,IF(MOD($Q463,1)=0,$Q463+1-1/1440,$Q463),IF(N($B463)=0,"",$B463+IF(N($AH463)&gt;0,$AH463,IFERROR(INDEX(DM_SLA_Gio,MATCH($J463,DM_SLA_Cap,0)),168))/24)))</f>
      </c>
      <c r="V463" s="221">
        <f>IF($A463="","",IF(N($AJ463)=0,"Mới tiếp nhận",INDEX('Nhật ký tiến độ'!$E:$E,$AJ463)))</f>
      </c>
      <c r="W463" s="222">
        <f>IF($A463="","",IF($V463="Đã xử lý",1,IF(N($AJ463)=0,0,N(INDEX('Nhật ký tiến độ'!$D:$D,$AJ463)))))</f>
      </c>
      <c r="X463" s="222">
        <f>IF(OR($A463="",$V463="Đã xử lý",N($U463)=0,N($B463)=0),"",IF(TDBC&lt;=$B463,0,IF(TDBC&gt;=$U463,1,(TDBC-$B463)/($U463-$B463))))</f>
      </c>
      <c r="Y463" s="223">
        <f>IF($A463="","",IF($V463="Đã xử lý","Hoàn thành",IF(N($U463)=0,"Chưa đặt hạn",IF(TDBC&gt;$U463,"Quá hạn",IF(ROUND((N($X463)-$W463)*100,0)&gt;=20,"Chậm tiến độ",IF($U463-TDBC&lt;=1,"Sắp đến hạn","Đúng tiến độ"))))))</f>
      </c>
      <c r="Z463" s="223">
        <f>IF(OR($A463="",$V463="Đã xử lý",N($U463)=0),"",IF(TDBC&gt;$U463,"Quá "&amp;IF(((TDBC-$U463)*24)&lt;1,MAX(1,ROUND(((TDBC-$U463)*24)*60,0))&amp;" phút",IF(ROUND(((TDBC-$U463)*24),0)&lt;24,ROUND(((TDBC-$U463)*24),0)&amp;" giờ",INT(ROUND(((TDBC-$U463)*24),0)/24)&amp;" ngày"&amp;IF(MOD(ROUND(((TDBC-$U463)*24),0),24)&gt;0," "&amp;MOD(ROUND(((TDBC-$U463)*24),0),24)&amp;" giờ",""))),"Còn "&amp;IF((($U463-TDBC)*24)&lt;1,MAX(1,ROUND((($U463-TDBC)*24)*60,0))&amp;" phút",IF(ROUND((($U463-TDBC)*24),0)&lt;24,ROUND((($U463-TDBC)*24),0)&amp;" giờ",INT(ROUND((($U463-TDBC)*24),0)/24)&amp;" ngày"&amp;IF(MOD(ROUND((($U463-TDBC)*24),0),24)&gt;0," "&amp;MOD(ROUND((($U463-TDBC)*24),0),24)&amp;" giờ","")))))</f>
      </c>
      <c r="AA463" s="220">
        <f>IF($V463="Đã xử lý",_xlfn.MAXIFS('Nhật ký tiến độ'!$B$6:$B$3005,'Nhật ký tiến độ'!$C$6:$C$3005,$A463,'Nhật ký tiến độ'!$E$6:$E$3005,"Đã xử lý"),"")</f>
      </c>
      <c r="AB463" s="223">
        <f>IF($AI463="","",IF($AI463&lt;1,MAX(1,ROUND($AI463*60,0))&amp;" phút",IF(ROUND($AI463,0)&lt;24,ROUND($AI463,0)&amp;" giờ",INT(ROUND($AI463,0)/24)&amp;" ngày"&amp;IF(MOD(ROUND($AI463,0),24)&gt;0," "&amp;MOD(ROUND($AI463,0),24)&amp;" giờ",""))))</f>
      </c>
      <c r="AC463" s="223">
        <f>IF(OR($A463="",N($AH463)=0),"",IF($AI463&lt;&gt;"",IF($AI463&lt;=$AH463,"Trong ước tính","Vượt "&amp;IF(($AI463-$AH463)&lt;1,MAX(1,ROUND(($AI463-$AH463)*60,0))&amp;" phút",IF(ROUND(($AI463-$AH463),0)&lt;24,ROUND(($AI463-$AH463),0)&amp;" giờ",INT(ROUND(($AI463-$AH463),0)/24)&amp;" ngày"&amp;IF(MOD(ROUND(($AI463-$AH463),0),24)&gt;0," "&amp;MOD(ROUND(($AI463-$AH463),0),24)&amp;" giờ","")))),IF(OR($V463="Đã xử lý",N($B463)=0),"",IF((TDBC-$B463)*24&gt;$AH463,"Đã vượt ước tính","Đã dùng "&amp;TEXT((TDBC-$B463)*24/$AH463,"0%")))))</f>
      </c>
      <c r="AD463" s="223">
        <f>IF(N($AO463)=0,"",CHOOSE($AO463,"Nhắc nhở","Cảnh báo","Báo động","Báo động đỏ"))</f>
      </c>
      <c r="AE463" s="223">
        <f>IF(OR(N($AA463)=0,N($U463)=0),"",IF($AA463&lt;=$U463,"Đúng hạn","Trễ hạn"))</f>
      </c>
      <c r="AF463" s="220">
        <f>IF($A463="","",_xlfn.MAXIFS('Nhật ký tiến độ'!$B$6:$B$3005,'Nhật ký tiến độ'!$C$6:$C$3005,$A463))</f>
      </c>
      <c r="AG463" s="223">
        <f>IF($A463="","",IF(COUNTIF('Kế hoạch'!$M$6:$M$305,$A463)=0,"",COUNTIF('Kế hoạch'!$M$6:$M$305,$A463)&amp;" việc"))</f>
      </c>
      <c r="AH463" s="224">
        <f>IF(OR($A463="",N($O463)&lt;=0),"",IF($P463="Giờ",$O463,$O463*24))</f>
      </c>
      <c r="AI463" s="224">
        <f>IF(OR(N($AA463)=0,N($B463)=0),"",IF($AA463&lt;$B463,"",($AA463-$B463)*24))</f>
      </c>
      <c r="AJ463" s="225">
        <f>IF($A463="","",IF(COUNTIF('Nhật ký tiến độ'!$C$6:$C$3005,$A463)=0,0,_xlfn.MAXIFS('Nhật ký tiến độ'!$N$6:$N$3005,'Nhật ký tiến độ'!$C$6:$C$3005,$A463,'Nhật ký tiến độ'!$B$6:$B$3005,_xlfn.MAXIFS('Nhật ký tiến độ'!$B$6:$B$3005,'Nhật ký tiến độ'!$C$6:$C$3005,$A463))))</f>
      </c>
      <c r="AK463" s="225">
        <f>IF(OR($A463="",$V463="Đã xử lý"),"",IF(N($AO463)&gt;0,5-$AO463,IF($J463="Khẩn cấp",5,IF($Y463="Chậm tiến độ",6,IF(OR($Y463="Sắp đến hạn",$J463="Cao"),7,"")))))</f>
      </c>
      <c r="AL463" s="225">
        <f>IF($AK463="","",$AK463*100000+IF(N($U463)=0,99999,INT($U463))+ROW()/100000)</f>
      </c>
      <c r="AM463" s="225">
        <f>IF(OR($A463="",TRIM($K463)="",COUNTIF($K$6:$K463,$K463)&gt;1),0,1)</f>
      </c>
      <c r="AN463" s="225">
        <f>IF($AM463=1,SUM($AM$6:$AM463),"")</f>
      </c>
      <c r="AO463" s="225">
        <f>IF(OR($A463="",$V463="Đã xử lý",N($U463)=0),0,IF(TDBC&lt;=$U463,0,MAX(1,MIN(4,IF((TDBC-$U463)*24&lt;24,1,IF((TDBC-$U463)*24&lt;72,2,IF((TDBC-$U463)*24&lt;168,3,4)))+IFERROR(INDEX({2,1,0,-1},MATCH($J463,{"Khẩn cấp","Cao","Trung bình","Thấp"},0)),0)))))</f>
      </c>
    </row>
    <row r="464">
      <c r="A464" s="216"/>
      <c r="B464" s="217"/>
      <c r="C464" s="218"/>
      <c r="D464" s="218"/>
      <c r="E464" s="218"/>
      <c r="F464" s="218"/>
      <c r="G464" s="216"/>
      <c r="H464" s="218"/>
      <c r="I464" s="218"/>
      <c r="J464" s="216"/>
      <c r="K464" s="218"/>
      <c r="L464" s="218"/>
      <c r="M464" s="218"/>
      <c r="N464" s="218"/>
      <c r="O464" s="219"/>
      <c r="P464" s="216"/>
      <c r="Q464" s="217"/>
      <c r="R464" s="216"/>
      <c r="S464" s="218"/>
      <c r="T464" s="218"/>
      <c r="U464" s="220">
        <f>IF($A464="","",IF(N($Q464)&gt;0,IF(MOD($Q464,1)=0,$Q464+1-1/1440,$Q464),IF(N($B464)=0,"",$B464+IF(N($AH464)&gt;0,$AH464,IFERROR(INDEX(DM_SLA_Gio,MATCH($J464,DM_SLA_Cap,0)),168))/24)))</f>
      </c>
      <c r="V464" s="221">
        <f>IF($A464="","",IF(N($AJ464)=0,"Mới tiếp nhận",INDEX('Nhật ký tiến độ'!$E:$E,$AJ464)))</f>
      </c>
      <c r="W464" s="222">
        <f>IF($A464="","",IF($V464="Đã xử lý",1,IF(N($AJ464)=0,0,N(INDEX('Nhật ký tiến độ'!$D:$D,$AJ464)))))</f>
      </c>
      <c r="X464" s="222">
        <f>IF(OR($A464="",$V464="Đã xử lý",N($U464)=0,N($B464)=0),"",IF(TDBC&lt;=$B464,0,IF(TDBC&gt;=$U464,1,(TDBC-$B464)/($U464-$B464))))</f>
      </c>
      <c r="Y464" s="223">
        <f>IF($A464="","",IF($V464="Đã xử lý","Hoàn thành",IF(N($U464)=0,"Chưa đặt hạn",IF(TDBC&gt;$U464,"Quá hạn",IF(ROUND((N($X464)-$W464)*100,0)&gt;=20,"Chậm tiến độ",IF($U464-TDBC&lt;=1,"Sắp đến hạn","Đúng tiến độ"))))))</f>
      </c>
      <c r="Z464" s="223">
        <f>IF(OR($A464="",$V464="Đã xử lý",N($U464)=0),"",IF(TDBC&gt;$U464,"Quá "&amp;IF(((TDBC-$U464)*24)&lt;1,MAX(1,ROUND(((TDBC-$U464)*24)*60,0))&amp;" phút",IF(ROUND(((TDBC-$U464)*24),0)&lt;24,ROUND(((TDBC-$U464)*24),0)&amp;" giờ",INT(ROUND(((TDBC-$U464)*24),0)/24)&amp;" ngày"&amp;IF(MOD(ROUND(((TDBC-$U464)*24),0),24)&gt;0," "&amp;MOD(ROUND(((TDBC-$U464)*24),0),24)&amp;" giờ",""))),"Còn "&amp;IF((($U464-TDBC)*24)&lt;1,MAX(1,ROUND((($U464-TDBC)*24)*60,0))&amp;" phút",IF(ROUND((($U464-TDBC)*24),0)&lt;24,ROUND((($U464-TDBC)*24),0)&amp;" giờ",INT(ROUND((($U464-TDBC)*24),0)/24)&amp;" ngày"&amp;IF(MOD(ROUND((($U464-TDBC)*24),0),24)&gt;0," "&amp;MOD(ROUND((($U464-TDBC)*24),0),24)&amp;" giờ","")))))</f>
      </c>
      <c r="AA464" s="220">
        <f>IF($V464="Đã xử lý",_xlfn.MAXIFS('Nhật ký tiến độ'!$B$6:$B$3005,'Nhật ký tiến độ'!$C$6:$C$3005,$A464,'Nhật ký tiến độ'!$E$6:$E$3005,"Đã xử lý"),"")</f>
      </c>
      <c r="AB464" s="223">
        <f>IF($AI464="","",IF($AI464&lt;1,MAX(1,ROUND($AI464*60,0))&amp;" phút",IF(ROUND($AI464,0)&lt;24,ROUND($AI464,0)&amp;" giờ",INT(ROUND($AI464,0)/24)&amp;" ngày"&amp;IF(MOD(ROUND($AI464,0),24)&gt;0," "&amp;MOD(ROUND($AI464,0),24)&amp;" giờ",""))))</f>
      </c>
      <c r="AC464" s="223">
        <f>IF(OR($A464="",N($AH464)=0),"",IF($AI464&lt;&gt;"",IF($AI464&lt;=$AH464,"Trong ước tính","Vượt "&amp;IF(($AI464-$AH464)&lt;1,MAX(1,ROUND(($AI464-$AH464)*60,0))&amp;" phút",IF(ROUND(($AI464-$AH464),0)&lt;24,ROUND(($AI464-$AH464),0)&amp;" giờ",INT(ROUND(($AI464-$AH464),0)/24)&amp;" ngày"&amp;IF(MOD(ROUND(($AI464-$AH464),0),24)&gt;0," "&amp;MOD(ROUND(($AI464-$AH464),0),24)&amp;" giờ","")))),IF(OR($V464="Đã xử lý",N($B464)=0),"",IF((TDBC-$B464)*24&gt;$AH464,"Đã vượt ước tính","Đã dùng "&amp;TEXT((TDBC-$B464)*24/$AH464,"0%")))))</f>
      </c>
      <c r="AD464" s="223">
        <f>IF(N($AO464)=0,"",CHOOSE($AO464,"Nhắc nhở","Cảnh báo","Báo động","Báo động đỏ"))</f>
      </c>
      <c r="AE464" s="223">
        <f>IF(OR(N($AA464)=0,N($U464)=0),"",IF($AA464&lt;=$U464,"Đúng hạn","Trễ hạn"))</f>
      </c>
      <c r="AF464" s="220">
        <f>IF($A464="","",_xlfn.MAXIFS('Nhật ký tiến độ'!$B$6:$B$3005,'Nhật ký tiến độ'!$C$6:$C$3005,$A464))</f>
      </c>
      <c r="AG464" s="223">
        <f>IF($A464="","",IF(COUNTIF('Kế hoạch'!$M$6:$M$305,$A464)=0,"",COUNTIF('Kế hoạch'!$M$6:$M$305,$A464)&amp;" việc"))</f>
      </c>
      <c r="AH464" s="224">
        <f>IF(OR($A464="",N($O464)&lt;=0),"",IF($P464="Giờ",$O464,$O464*24))</f>
      </c>
      <c r="AI464" s="224">
        <f>IF(OR(N($AA464)=0,N($B464)=0),"",IF($AA464&lt;$B464,"",($AA464-$B464)*24))</f>
      </c>
      <c r="AJ464" s="225">
        <f>IF($A464="","",IF(COUNTIF('Nhật ký tiến độ'!$C$6:$C$3005,$A464)=0,0,_xlfn.MAXIFS('Nhật ký tiến độ'!$N$6:$N$3005,'Nhật ký tiến độ'!$C$6:$C$3005,$A464,'Nhật ký tiến độ'!$B$6:$B$3005,_xlfn.MAXIFS('Nhật ký tiến độ'!$B$6:$B$3005,'Nhật ký tiến độ'!$C$6:$C$3005,$A464))))</f>
      </c>
      <c r="AK464" s="225">
        <f>IF(OR($A464="",$V464="Đã xử lý"),"",IF(N($AO464)&gt;0,5-$AO464,IF($J464="Khẩn cấp",5,IF($Y464="Chậm tiến độ",6,IF(OR($Y464="Sắp đến hạn",$J464="Cao"),7,"")))))</f>
      </c>
      <c r="AL464" s="225">
        <f>IF($AK464="","",$AK464*100000+IF(N($U464)=0,99999,INT($U464))+ROW()/100000)</f>
      </c>
      <c r="AM464" s="225">
        <f>IF(OR($A464="",TRIM($K464)="",COUNTIF($K$6:$K464,$K464)&gt;1),0,1)</f>
      </c>
      <c r="AN464" s="225">
        <f>IF($AM464=1,SUM($AM$6:$AM464),"")</f>
      </c>
      <c r="AO464" s="225">
        <f>IF(OR($A464="",$V464="Đã xử lý",N($U464)=0),0,IF(TDBC&lt;=$U464,0,MAX(1,MIN(4,IF((TDBC-$U464)*24&lt;24,1,IF((TDBC-$U464)*24&lt;72,2,IF((TDBC-$U464)*24&lt;168,3,4)))+IFERROR(INDEX({2,1,0,-1},MATCH($J464,{"Khẩn cấp","Cao","Trung bình","Thấp"},0)),0)))))</f>
      </c>
    </row>
    <row r="465">
      <c r="A465" s="216"/>
      <c r="B465" s="217"/>
      <c r="C465" s="218"/>
      <c r="D465" s="218"/>
      <c r="E465" s="218"/>
      <c r="F465" s="218"/>
      <c r="G465" s="216"/>
      <c r="H465" s="218"/>
      <c r="I465" s="218"/>
      <c r="J465" s="216"/>
      <c r="K465" s="218"/>
      <c r="L465" s="218"/>
      <c r="M465" s="218"/>
      <c r="N465" s="218"/>
      <c r="O465" s="219"/>
      <c r="P465" s="216"/>
      <c r="Q465" s="217"/>
      <c r="R465" s="216"/>
      <c r="S465" s="218"/>
      <c r="T465" s="218"/>
      <c r="U465" s="220">
        <f>IF($A465="","",IF(N($Q465)&gt;0,IF(MOD($Q465,1)=0,$Q465+1-1/1440,$Q465),IF(N($B465)=0,"",$B465+IF(N($AH465)&gt;0,$AH465,IFERROR(INDEX(DM_SLA_Gio,MATCH($J465,DM_SLA_Cap,0)),168))/24)))</f>
      </c>
      <c r="V465" s="221">
        <f>IF($A465="","",IF(N($AJ465)=0,"Mới tiếp nhận",INDEX('Nhật ký tiến độ'!$E:$E,$AJ465)))</f>
      </c>
      <c r="W465" s="222">
        <f>IF($A465="","",IF($V465="Đã xử lý",1,IF(N($AJ465)=0,0,N(INDEX('Nhật ký tiến độ'!$D:$D,$AJ465)))))</f>
      </c>
      <c r="X465" s="222">
        <f>IF(OR($A465="",$V465="Đã xử lý",N($U465)=0,N($B465)=0),"",IF(TDBC&lt;=$B465,0,IF(TDBC&gt;=$U465,1,(TDBC-$B465)/($U465-$B465))))</f>
      </c>
      <c r="Y465" s="223">
        <f>IF($A465="","",IF($V465="Đã xử lý","Hoàn thành",IF(N($U465)=0,"Chưa đặt hạn",IF(TDBC&gt;$U465,"Quá hạn",IF(ROUND((N($X465)-$W465)*100,0)&gt;=20,"Chậm tiến độ",IF($U465-TDBC&lt;=1,"Sắp đến hạn","Đúng tiến độ"))))))</f>
      </c>
      <c r="Z465" s="223">
        <f>IF(OR($A465="",$V465="Đã xử lý",N($U465)=0),"",IF(TDBC&gt;$U465,"Quá "&amp;IF(((TDBC-$U465)*24)&lt;1,MAX(1,ROUND(((TDBC-$U465)*24)*60,0))&amp;" phút",IF(ROUND(((TDBC-$U465)*24),0)&lt;24,ROUND(((TDBC-$U465)*24),0)&amp;" giờ",INT(ROUND(((TDBC-$U465)*24),0)/24)&amp;" ngày"&amp;IF(MOD(ROUND(((TDBC-$U465)*24),0),24)&gt;0," "&amp;MOD(ROUND(((TDBC-$U465)*24),0),24)&amp;" giờ",""))),"Còn "&amp;IF((($U465-TDBC)*24)&lt;1,MAX(1,ROUND((($U465-TDBC)*24)*60,0))&amp;" phút",IF(ROUND((($U465-TDBC)*24),0)&lt;24,ROUND((($U465-TDBC)*24),0)&amp;" giờ",INT(ROUND((($U465-TDBC)*24),0)/24)&amp;" ngày"&amp;IF(MOD(ROUND((($U465-TDBC)*24),0),24)&gt;0," "&amp;MOD(ROUND((($U465-TDBC)*24),0),24)&amp;" giờ","")))))</f>
      </c>
      <c r="AA465" s="220">
        <f>IF($V465="Đã xử lý",_xlfn.MAXIFS('Nhật ký tiến độ'!$B$6:$B$3005,'Nhật ký tiến độ'!$C$6:$C$3005,$A465,'Nhật ký tiến độ'!$E$6:$E$3005,"Đã xử lý"),"")</f>
      </c>
      <c r="AB465" s="223">
        <f>IF($AI465="","",IF($AI465&lt;1,MAX(1,ROUND($AI465*60,0))&amp;" phút",IF(ROUND($AI465,0)&lt;24,ROUND($AI465,0)&amp;" giờ",INT(ROUND($AI465,0)/24)&amp;" ngày"&amp;IF(MOD(ROUND($AI465,0),24)&gt;0," "&amp;MOD(ROUND($AI465,0),24)&amp;" giờ",""))))</f>
      </c>
      <c r="AC465" s="223">
        <f>IF(OR($A465="",N($AH465)=0),"",IF($AI465&lt;&gt;"",IF($AI465&lt;=$AH465,"Trong ước tính","Vượt "&amp;IF(($AI465-$AH465)&lt;1,MAX(1,ROUND(($AI465-$AH465)*60,0))&amp;" phút",IF(ROUND(($AI465-$AH465),0)&lt;24,ROUND(($AI465-$AH465),0)&amp;" giờ",INT(ROUND(($AI465-$AH465),0)/24)&amp;" ngày"&amp;IF(MOD(ROUND(($AI465-$AH465),0),24)&gt;0," "&amp;MOD(ROUND(($AI465-$AH465),0),24)&amp;" giờ","")))),IF(OR($V465="Đã xử lý",N($B465)=0),"",IF((TDBC-$B465)*24&gt;$AH465,"Đã vượt ước tính","Đã dùng "&amp;TEXT((TDBC-$B465)*24/$AH465,"0%")))))</f>
      </c>
      <c r="AD465" s="223">
        <f>IF(N($AO465)=0,"",CHOOSE($AO465,"Nhắc nhở","Cảnh báo","Báo động","Báo động đỏ"))</f>
      </c>
      <c r="AE465" s="223">
        <f>IF(OR(N($AA465)=0,N($U465)=0),"",IF($AA465&lt;=$U465,"Đúng hạn","Trễ hạn"))</f>
      </c>
      <c r="AF465" s="220">
        <f>IF($A465="","",_xlfn.MAXIFS('Nhật ký tiến độ'!$B$6:$B$3005,'Nhật ký tiến độ'!$C$6:$C$3005,$A465))</f>
      </c>
      <c r="AG465" s="223">
        <f>IF($A465="","",IF(COUNTIF('Kế hoạch'!$M$6:$M$305,$A465)=0,"",COUNTIF('Kế hoạch'!$M$6:$M$305,$A465)&amp;" việc"))</f>
      </c>
      <c r="AH465" s="224">
        <f>IF(OR($A465="",N($O465)&lt;=0),"",IF($P465="Giờ",$O465,$O465*24))</f>
      </c>
      <c r="AI465" s="224">
        <f>IF(OR(N($AA465)=0,N($B465)=0),"",IF($AA465&lt;$B465,"",($AA465-$B465)*24))</f>
      </c>
      <c r="AJ465" s="225">
        <f>IF($A465="","",IF(COUNTIF('Nhật ký tiến độ'!$C$6:$C$3005,$A465)=0,0,_xlfn.MAXIFS('Nhật ký tiến độ'!$N$6:$N$3005,'Nhật ký tiến độ'!$C$6:$C$3005,$A465,'Nhật ký tiến độ'!$B$6:$B$3005,_xlfn.MAXIFS('Nhật ký tiến độ'!$B$6:$B$3005,'Nhật ký tiến độ'!$C$6:$C$3005,$A465))))</f>
      </c>
      <c r="AK465" s="225">
        <f>IF(OR($A465="",$V465="Đã xử lý"),"",IF(N($AO465)&gt;0,5-$AO465,IF($J465="Khẩn cấp",5,IF($Y465="Chậm tiến độ",6,IF(OR($Y465="Sắp đến hạn",$J465="Cao"),7,"")))))</f>
      </c>
      <c r="AL465" s="225">
        <f>IF($AK465="","",$AK465*100000+IF(N($U465)=0,99999,INT($U465))+ROW()/100000)</f>
      </c>
      <c r="AM465" s="225">
        <f>IF(OR($A465="",TRIM($K465)="",COUNTIF($K$6:$K465,$K465)&gt;1),0,1)</f>
      </c>
      <c r="AN465" s="225">
        <f>IF($AM465=1,SUM($AM$6:$AM465),"")</f>
      </c>
      <c r="AO465" s="225">
        <f>IF(OR($A465="",$V465="Đã xử lý",N($U465)=0),0,IF(TDBC&lt;=$U465,0,MAX(1,MIN(4,IF((TDBC-$U465)*24&lt;24,1,IF((TDBC-$U465)*24&lt;72,2,IF((TDBC-$U465)*24&lt;168,3,4)))+IFERROR(INDEX({2,1,0,-1},MATCH($J465,{"Khẩn cấp","Cao","Trung bình","Thấp"},0)),0)))))</f>
      </c>
    </row>
    <row r="466">
      <c r="A466" s="216"/>
      <c r="B466" s="217"/>
      <c r="C466" s="218"/>
      <c r="D466" s="218"/>
      <c r="E466" s="218"/>
      <c r="F466" s="218"/>
      <c r="G466" s="216"/>
      <c r="H466" s="218"/>
      <c r="I466" s="218"/>
      <c r="J466" s="216"/>
      <c r="K466" s="218"/>
      <c r="L466" s="218"/>
      <c r="M466" s="218"/>
      <c r="N466" s="218"/>
      <c r="O466" s="219"/>
      <c r="P466" s="216"/>
      <c r="Q466" s="217"/>
      <c r="R466" s="216"/>
      <c r="S466" s="218"/>
      <c r="T466" s="218"/>
      <c r="U466" s="220">
        <f>IF($A466="","",IF(N($Q466)&gt;0,IF(MOD($Q466,1)=0,$Q466+1-1/1440,$Q466),IF(N($B466)=0,"",$B466+IF(N($AH466)&gt;0,$AH466,IFERROR(INDEX(DM_SLA_Gio,MATCH($J466,DM_SLA_Cap,0)),168))/24)))</f>
      </c>
      <c r="V466" s="221">
        <f>IF($A466="","",IF(N($AJ466)=0,"Mới tiếp nhận",INDEX('Nhật ký tiến độ'!$E:$E,$AJ466)))</f>
      </c>
      <c r="W466" s="222">
        <f>IF($A466="","",IF($V466="Đã xử lý",1,IF(N($AJ466)=0,0,N(INDEX('Nhật ký tiến độ'!$D:$D,$AJ466)))))</f>
      </c>
      <c r="X466" s="222">
        <f>IF(OR($A466="",$V466="Đã xử lý",N($U466)=0,N($B466)=0),"",IF(TDBC&lt;=$B466,0,IF(TDBC&gt;=$U466,1,(TDBC-$B466)/($U466-$B466))))</f>
      </c>
      <c r="Y466" s="223">
        <f>IF($A466="","",IF($V466="Đã xử lý","Hoàn thành",IF(N($U466)=0,"Chưa đặt hạn",IF(TDBC&gt;$U466,"Quá hạn",IF(ROUND((N($X466)-$W466)*100,0)&gt;=20,"Chậm tiến độ",IF($U466-TDBC&lt;=1,"Sắp đến hạn","Đúng tiến độ"))))))</f>
      </c>
      <c r="Z466" s="223">
        <f>IF(OR($A466="",$V466="Đã xử lý",N($U466)=0),"",IF(TDBC&gt;$U466,"Quá "&amp;IF(((TDBC-$U466)*24)&lt;1,MAX(1,ROUND(((TDBC-$U466)*24)*60,0))&amp;" phút",IF(ROUND(((TDBC-$U466)*24),0)&lt;24,ROUND(((TDBC-$U466)*24),0)&amp;" giờ",INT(ROUND(((TDBC-$U466)*24),0)/24)&amp;" ngày"&amp;IF(MOD(ROUND(((TDBC-$U466)*24),0),24)&gt;0," "&amp;MOD(ROUND(((TDBC-$U466)*24),0),24)&amp;" giờ",""))),"Còn "&amp;IF((($U466-TDBC)*24)&lt;1,MAX(1,ROUND((($U466-TDBC)*24)*60,0))&amp;" phút",IF(ROUND((($U466-TDBC)*24),0)&lt;24,ROUND((($U466-TDBC)*24),0)&amp;" giờ",INT(ROUND((($U466-TDBC)*24),0)/24)&amp;" ngày"&amp;IF(MOD(ROUND((($U466-TDBC)*24),0),24)&gt;0," "&amp;MOD(ROUND((($U466-TDBC)*24),0),24)&amp;" giờ","")))))</f>
      </c>
      <c r="AA466" s="220">
        <f>IF($V466="Đã xử lý",_xlfn.MAXIFS('Nhật ký tiến độ'!$B$6:$B$3005,'Nhật ký tiến độ'!$C$6:$C$3005,$A466,'Nhật ký tiến độ'!$E$6:$E$3005,"Đã xử lý"),"")</f>
      </c>
      <c r="AB466" s="223">
        <f>IF($AI466="","",IF($AI466&lt;1,MAX(1,ROUND($AI466*60,0))&amp;" phút",IF(ROUND($AI466,0)&lt;24,ROUND($AI466,0)&amp;" giờ",INT(ROUND($AI466,0)/24)&amp;" ngày"&amp;IF(MOD(ROUND($AI466,0),24)&gt;0," "&amp;MOD(ROUND($AI466,0),24)&amp;" giờ",""))))</f>
      </c>
      <c r="AC466" s="223">
        <f>IF(OR($A466="",N($AH466)=0),"",IF($AI466&lt;&gt;"",IF($AI466&lt;=$AH466,"Trong ước tính","Vượt "&amp;IF(($AI466-$AH466)&lt;1,MAX(1,ROUND(($AI466-$AH466)*60,0))&amp;" phút",IF(ROUND(($AI466-$AH466),0)&lt;24,ROUND(($AI466-$AH466),0)&amp;" giờ",INT(ROUND(($AI466-$AH466),0)/24)&amp;" ngày"&amp;IF(MOD(ROUND(($AI466-$AH466),0),24)&gt;0," "&amp;MOD(ROUND(($AI466-$AH466),0),24)&amp;" giờ","")))),IF(OR($V466="Đã xử lý",N($B466)=0),"",IF((TDBC-$B466)*24&gt;$AH466,"Đã vượt ước tính","Đã dùng "&amp;TEXT((TDBC-$B466)*24/$AH466,"0%")))))</f>
      </c>
      <c r="AD466" s="223">
        <f>IF(N($AO466)=0,"",CHOOSE($AO466,"Nhắc nhở","Cảnh báo","Báo động","Báo động đỏ"))</f>
      </c>
      <c r="AE466" s="223">
        <f>IF(OR(N($AA466)=0,N($U466)=0),"",IF($AA466&lt;=$U466,"Đúng hạn","Trễ hạn"))</f>
      </c>
      <c r="AF466" s="220">
        <f>IF($A466="","",_xlfn.MAXIFS('Nhật ký tiến độ'!$B$6:$B$3005,'Nhật ký tiến độ'!$C$6:$C$3005,$A466))</f>
      </c>
      <c r="AG466" s="223">
        <f>IF($A466="","",IF(COUNTIF('Kế hoạch'!$M$6:$M$305,$A466)=0,"",COUNTIF('Kế hoạch'!$M$6:$M$305,$A466)&amp;" việc"))</f>
      </c>
      <c r="AH466" s="224">
        <f>IF(OR($A466="",N($O466)&lt;=0),"",IF($P466="Giờ",$O466,$O466*24))</f>
      </c>
      <c r="AI466" s="224">
        <f>IF(OR(N($AA466)=0,N($B466)=0),"",IF($AA466&lt;$B466,"",($AA466-$B466)*24))</f>
      </c>
      <c r="AJ466" s="225">
        <f>IF($A466="","",IF(COUNTIF('Nhật ký tiến độ'!$C$6:$C$3005,$A466)=0,0,_xlfn.MAXIFS('Nhật ký tiến độ'!$N$6:$N$3005,'Nhật ký tiến độ'!$C$6:$C$3005,$A466,'Nhật ký tiến độ'!$B$6:$B$3005,_xlfn.MAXIFS('Nhật ký tiến độ'!$B$6:$B$3005,'Nhật ký tiến độ'!$C$6:$C$3005,$A466))))</f>
      </c>
      <c r="AK466" s="225">
        <f>IF(OR($A466="",$V466="Đã xử lý"),"",IF(N($AO466)&gt;0,5-$AO466,IF($J466="Khẩn cấp",5,IF($Y466="Chậm tiến độ",6,IF(OR($Y466="Sắp đến hạn",$J466="Cao"),7,"")))))</f>
      </c>
      <c r="AL466" s="225">
        <f>IF($AK466="","",$AK466*100000+IF(N($U466)=0,99999,INT($U466))+ROW()/100000)</f>
      </c>
      <c r="AM466" s="225">
        <f>IF(OR($A466="",TRIM($K466)="",COUNTIF($K$6:$K466,$K466)&gt;1),0,1)</f>
      </c>
      <c r="AN466" s="225">
        <f>IF($AM466=1,SUM($AM$6:$AM466),"")</f>
      </c>
      <c r="AO466" s="225">
        <f>IF(OR($A466="",$V466="Đã xử lý",N($U466)=0),0,IF(TDBC&lt;=$U466,0,MAX(1,MIN(4,IF((TDBC-$U466)*24&lt;24,1,IF((TDBC-$U466)*24&lt;72,2,IF((TDBC-$U466)*24&lt;168,3,4)))+IFERROR(INDEX({2,1,0,-1},MATCH($J466,{"Khẩn cấp","Cao","Trung bình","Thấp"},0)),0)))))</f>
      </c>
    </row>
    <row r="467">
      <c r="A467" s="216"/>
      <c r="B467" s="217"/>
      <c r="C467" s="218"/>
      <c r="D467" s="218"/>
      <c r="E467" s="218"/>
      <c r="F467" s="218"/>
      <c r="G467" s="216"/>
      <c r="H467" s="218"/>
      <c r="I467" s="218"/>
      <c r="J467" s="216"/>
      <c r="K467" s="218"/>
      <c r="L467" s="218"/>
      <c r="M467" s="218"/>
      <c r="N467" s="218"/>
      <c r="O467" s="219"/>
      <c r="P467" s="216"/>
      <c r="Q467" s="217"/>
      <c r="R467" s="216"/>
      <c r="S467" s="218"/>
      <c r="T467" s="218"/>
      <c r="U467" s="220">
        <f>IF($A467="","",IF(N($Q467)&gt;0,IF(MOD($Q467,1)=0,$Q467+1-1/1440,$Q467),IF(N($B467)=0,"",$B467+IF(N($AH467)&gt;0,$AH467,IFERROR(INDEX(DM_SLA_Gio,MATCH($J467,DM_SLA_Cap,0)),168))/24)))</f>
      </c>
      <c r="V467" s="221">
        <f>IF($A467="","",IF(N($AJ467)=0,"Mới tiếp nhận",INDEX('Nhật ký tiến độ'!$E:$E,$AJ467)))</f>
      </c>
      <c r="W467" s="222">
        <f>IF($A467="","",IF($V467="Đã xử lý",1,IF(N($AJ467)=0,0,N(INDEX('Nhật ký tiến độ'!$D:$D,$AJ467)))))</f>
      </c>
      <c r="X467" s="222">
        <f>IF(OR($A467="",$V467="Đã xử lý",N($U467)=0,N($B467)=0),"",IF(TDBC&lt;=$B467,0,IF(TDBC&gt;=$U467,1,(TDBC-$B467)/($U467-$B467))))</f>
      </c>
      <c r="Y467" s="223">
        <f>IF($A467="","",IF($V467="Đã xử lý","Hoàn thành",IF(N($U467)=0,"Chưa đặt hạn",IF(TDBC&gt;$U467,"Quá hạn",IF(ROUND((N($X467)-$W467)*100,0)&gt;=20,"Chậm tiến độ",IF($U467-TDBC&lt;=1,"Sắp đến hạn","Đúng tiến độ"))))))</f>
      </c>
      <c r="Z467" s="223">
        <f>IF(OR($A467="",$V467="Đã xử lý",N($U467)=0),"",IF(TDBC&gt;$U467,"Quá "&amp;IF(((TDBC-$U467)*24)&lt;1,MAX(1,ROUND(((TDBC-$U467)*24)*60,0))&amp;" phút",IF(ROUND(((TDBC-$U467)*24),0)&lt;24,ROUND(((TDBC-$U467)*24),0)&amp;" giờ",INT(ROUND(((TDBC-$U467)*24),0)/24)&amp;" ngày"&amp;IF(MOD(ROUND(((TDBC-$U467)*24),0),24)&gt;0," "&amp;MOD(ROUND(((TDBC-$U467)*24),0),24)&amp;" giờ",""))),"Còn "&amp;IF((($U467-TDBC)*24)&lt;1,MAX(1,ROUND((($U467-TDBC)*24)*60,0))&amp;" phút",IF(ROUND((($U467-TDBC)*24),0)&lt;24,ROUND((($U467-TDBC)*24),0)&amp;" giờ",INT(ROUND((($U467-TDBC)*24),0)/24)&amp;" ngày"&amp;IF(MOD(ROUND((($U467-TDBC)*24),0),24)&gt;0," "&amp;MOD(ROUND((($U467-TDBC)*24),0),24)&amp;" giờ","")))))</f>
      </c>
      <c r="AA467" s="220">
        <f>IF($V467="Đã xử lý",_xlfn.MAXIFS('Nhật ký tiến độ'!$B$6:$B$3005,'Nhật ký tiến độ'!$C$6:$C$3005,$A467,'Nhật ký tiến độ'!$E$6:$E$3005,"Đã xử lý"),"")</f>
      </c>
      <c r="AB467" s="223">
        <f>IF($AI467="","",IF($AI467&lt;1,MAX(1,ROUND($AI467*60,0))&amp;" phút",IF(ROUND($AI467,0)&lt;24,ROUND($AI467,0)&amp;" giờ",INT(ROUND($AI467,0)/24)&amp;" ngày"&amp;IF(MOD(ROUND($AI467,0),24)&gt;0," "&amp;MOD(ROUND($AI467,0),24)&amp;" giờ",""))))</f>
      </c>
      <c r="AC467" s="223">
        <f>IF(OR($A467="",N($AH467)=0),"",IF($AI467&lt;&gt;"",IF($AI467&lt;=$AH467,"Trong ước tính","Vượt "&amp;IF(($AI467-$AH467)&lt;1,MAX(1,ROUND(($AI467-$AH467)*60,0))&amp;" phút",IF(ROUND(($AI467-$AH467),0)&lt;24,ROUND(($AI467-$AH467),0)&amp;" giờ",INT(ROUND(($AI467-$AH467),0)/24)&amp;" ngày"&amp;IF(MOD(ROUND(($AI467-$AH467),0),24)&gt;0," "&amp;MOD(ROUND(($AI467-$AH467),0),24)&amp;" giờ","")))),IF(OR($V467="Đã xử lý",N($B467)=0),"",IF((TDBC-$B467)*24&gt;$AH467,"Đã vượt ước tính","Đã dùng "&amp;TEXT((TDBC-$B467)*24/$AH467,"0%")))))</f>
      </c>
      <c r="AD467" s="223">
        <f>IF(N($AO467)=0,"",CHOOSE($AO467,"Nhắc nhở","Cảnh báo","Báo động","Báo động đỏ"))</f>
      </c>
      <c r="AE467" s="223">
        <f>IF(OR(N($AA467)=0,N($U467)=0),"",IF($AA467&lt;=$U467,"Đúng hạn","Trễ hạn"))</f>
      </c>
      <c r="AF467" s="220">
        <f>IF($A467="","",_xlfn.MAXIFS('Nhật ký tiến độ'!$B$6:$B$3005,'Nhật ký tiến độ'!$C$6:$C$3005,$A467))</f>
      </c>
      <c r="AG467" s="223">
        <f>IF($A467="","",IF(COUNTIF('Kế hoạch'!$M$6:$M$305,$A467)=0,"",COUNTIF('Kế hoạch'!$M$6:$M$305,$A467)&amp;" việc"))</f>
      </c>
      <c r="AH467" s="224">
        <f>IF(OR($A467="",N($O467)&lt;=0),"",IF($P467="Giờ",$O467,$O467*24))</f>
      </c>
      <c r="AI467" s="224">
        <f>IF(OR(N($AA467)=0,N($B467)=0),"",IF($AA467&lt;$B467,"",($AA467-$B467)*24))</f>
      </c>
      <c r="AJ467" s="225">
        <f>IF($A467="","",IF(COUNTIF('Nhật ký tiến độ'!$C$6:$C$3005,$A467)=0,0,_xlfn.MAXIFS('Nhật ký tiến độ'!$N$6:$N$3005,'Nhật ký tiến độ'!$C$6:$C$3005,$A467,'Nhật ký tiến độ'!$B$6:$B$3005,_xlfn.MAXIFS('Nhật ký tiến độ'!$B$6:$B$3005,'Nhật ký tiến độ'!$C$6:$C$3005,$A467))))</f>
      </c>
      <c r="AK467" s="225">
        <f>IF(OR($A467="",$V467="Đã xử lý"),"",IF(N($AO467)&gt;0,5-$AO467,IF($J467="Khẩn cấp",5,IF($Y467="Chậm tiến độ",6,IF(OR($Y467="Sắp đến hạn",$J467="Cao"),7,"")))))</f>
      </c>
      <c r="AL467" s="225">
        <f>IF($AK467="","",$AK467*100000+IF(N($U467)=0,99999,INT($U467))+ROW()/100000)</f>
      </c>
      <c r="AM467" s="225">
        <f>IF(OR($A467="",TRIM($K467)="",COUNTIF($K$6:$K467,$K467)&gt;1),0,1)</f>
      </c>
      <c r="AN467" s="225">
        <f>IF($AM467=1,SUM($AM$6:$AM467),"")</f>
      </c>
      <c r="AO467" s="225">
        <f>IF(OR($A467="",$V467="Đã xử lý",N($U467)=0),0,IF(TDBC&lt;=$U467,0,MAX(1,MIN(4,IF((TDBC-$U467)*24&lt;24,1,IF((TDBC-$U467)*24&lt;72,2,IF((TDBC-$U467)*24&lt;168,3,4)))+IFERROR(INDEX({2,1,0,-1},MATCH($J467,{"Khẩn cấp","Cao","Trung bình","Thấp"},0)),0)))))</f>
      </c>
    </row>
    <row r="468">
      <c r="A468" s="216"/>
      <c r="B468" s="217"/>
      <c r="C468" s="218"/>
      <c r="D468" s="218"/>
      <c r="E468" s="218"/>
      <c r="F468" s="218"/>
      <c r="G468" s="216"/>
      <c r="H468" s="218"/>
      <c r="I468" s="218"/>
      <c r="J468" s="216"/>
      <c r="K468" s="218"/>
      <c r="L468" s="218"/>
      <c r="M468" s="218"/>
      <c r="N468" s="218"/>
      <c r="O468" s="219"/>
      <c r="P468" s="216"/>
      <c r="Q468" s="217"/>
      <c r="R468" s="216"/>
      <c r="S468" s="218"/>
      <c r="T468" s="218"/>
      <c r="U468" s="220">
        <f>IF($A468="","",IF(N($Q468)&gt;0,IF(MOD($Q468,1)=0,$Q468+1-1/1440,$Q468),IF(N($B468)=0,"",$B468+IF(N($AH468)&gt;0,$AH468,IFERROR(INDEX(DM_SLA_Gio,MATCH($J468,DM_SLA_Cap,0)),168))/24)))</f>
      </c>
      <c r="V468" s="221">
        <f>IF($A468="","",IF(N($AJ468)=0,"Mới tiếp nhận",INDEX('Nhật ký tiến độ'!$E:$E,$AJ468)))</f>
      </c>
      <c r="W468" s="222">
        <f>IF($A468="","",IF($V468="Đã xử lý",1,IF(N($AJ468)=0,0,N(INDEX('Nhật ký tiến độ'!$D:$D,$AJ468)))))</f>
      </c>
      <c r="X468" s="222">
        <f>IF(OR($A468="",$V468="Đã xử lý",N($U468)=0,N($B468)=0),"",IF(TDBC&lt;=$B468,0,IF(TDBC&gt;=$U468,1,(TDBC-$B468)/($U468-$B468))))</f>
      </c>
      <c r="Y468" s="223">
        <f>IF($A468="","",IF($V468="Đã xử lý","Hoàn thành",IF(N($U468)=0,"Chưa đặt hạn",IF(TDBC&gt;$U468,"Quá hạn",IF(ROUND((N($X468)-$W468)*100,0)&gt;=20,"Chậm tiến độ",IF($U468-TDBC&lt;=1,"Sắp đến hạn","Đúng tiến độ"))))))</f>
      </c>
      <c r="Z468" s="223">
        <f>IF(OR($A468="",$V468="Đã xử lý",N($U468)=0),"",IF(TDBC&gt;$U468,"Quá "&amp;IF(((TDBC-$U468)*24)&lt;1,MAX(1,ROUND(((TDBC-$U468)*24)*60,0))&amp;" phút",IF(ROUND(((TDBC-$U468)*24),0)&lt;24,ROUND(((TDBC-$U468)*24),0)&amp;" giờ",INT(ROUND(((TDBC-$U468)*24),0)/24)&amp;" ngày"&amp;IF(MOD(ROUND(((TDBC-$U468)*24),0),24)&gt;0," "&amp;MOD(ROUND(((TDBC-$U468)*24),0),24)&amp;" giờ",""))),"Còn "&amp;IF((($U468-TDBC)*24)&lt;1,MAX(1,ROUND((($U468-TDBC)*24)*60,0))&amp;" phút",IF(ROUND((($U468-TDBC)*24),0)&lt;24,ROUND((($U468-TDBC)*24),0)&amp;" giờ",INT(ROUND((($U468-TDBC)*24),0)/24)&amp;" ngày"&amp;IF(MOD(ROUND((($U468-TDBC)*24),0),24)&gt;0," "&amp;MOD(ROUND((($U468-TDBC)*24),0),24)&amp;" giờ","")))))</f>
      </c>
      <c r="AA468" s="220">
        <f>IF($V468="Đã xử lý",_xlfn.MAXIFS('Nhật ký tiến độ'!$B$6:$B$3005,'Nhật ký tiến độ'!$C$6:$C$3005,$A468,'Nhật ký tiến độ'!$E$6:$E$3005,"Đã xử lý"),"")</f>
      </c>
      <c r="AB468" s="223">
        <f>IF($AI468="","",IF($AI468&lt;1,MAX(1,ROUND($AI468*60,0))&amp;" phút",IF(ROUND($AI468,0)&lt;24,ROUND($AI468,0)&amp;" giờ",INT(ROUND($AI468,0)/24)&amp;" ngày"&amp;IF(MOD(ROUND($AI468,0),24)&gt;0," "&amp;MOD(ROUND($AI468,0),24)&amp;" giờ",""))))</f>
      </c>
      <c r="AC468" s="223">
        <f>IF(OR($A468="",N($AH468)=0),"",IF($AI468&lt;&gt;"",IF($AI468&lt;=$AH468,"Trong ước tính","Vượt "&amp;IF(($AI468-$AH468)&lt;1,MAX(1,ROUND(($AI468-$AH468)*60,0))&amp;" phút",IF(ROUND(($AI468-$AH468),0)&lt;24,ROUND(($AI468-$AH468),0)&amp;" giờ",INT(ROUND(($AI468-$AH468),0)/24)&amp;" ngày"&amp;IF(MOD(ROUND(($AI468-$AH468),0),24)&gt;0," "&amp;MOD(ROUND(($AI468-$AH468),0),24)&amp;" giờ","")))),IF(OR($V468="Đã xử lý",N($B468)=0),"",IF((TDBC-$B468)*24&gt;$AH468,"Đã vượt ước tính","Đã dùng "&amp;TEXT((TDBC-$B468)*24/$AH468,"0%")))))</f>
      </c>
      <c r="AD468" s="223">
        <f>IF(N($AO468)=0,"",CHOOSE($AO468,"Nhắc nhở","Cảnh báo","Báo động","Báo động đỏ"))</f>
      </c>
      <c r="AE468" s="223">
        <f>IF(OR(N($AA468)=0,N($U468)=0),"",IF($AA468&lt;=$U468,"Đúng hạn","Trễ hạn"))</f>
      </c>
      <c r="AF468" s="220">
        <f>IF($A468="","",_xlfn.MAXIFS('Nhật ký tiến độ'!$B$6:$B$3005,'Nhật ký tiến độ'!$C$6:$C$3005,$A468))</f>
      </c>
      <c r="AG468" s="223">
        <f>IF($A468="","",IF(COUNTIF('Kế hoạch'!$M$6:$M$305,$A468)=0,"",COUNTIF('Kế hoạch'!$M$6:$M$305,$A468)&amp;" việc"))</f>
      </c>
      <c r="AH468" s="224">
        <f>IF(OR($A468="",N($O468)&lt;=0),"",IF($P468="Giờ",$O468,$O468*24))</f>
      </c>
      <c r="AI468" s="224">
        <f>IF(OR(N($AA468)=0,N($B468)=0),"",IF($AA468&lt;$B468,"",($AA468-$B468)*24))</f>
      </c>
      <c r="AJ468" s="225">
        <f>IF($A468="","",IF(COUNTIF('Nhật ký tiến độ'!$C$6:$C$3005,$A468)=0,0,_xlfn.MAXIFS('Nhật ký tiến độ'!$N$6:$N$3005,'Nhật ký tiến độ'!$C$6:$C$3005,$A468,'Nhật ký tiến độ'!$B$6:$B$3005,_xlfn.MAXIFS('Nhật ký tiến độ'!$B$6:$B$3005,'Nhật ký tiến độ'!$C$6:$C$3005,$A468))))</f>
      </c>
      <c r="AK468" s="225">
        <f>IF(OR($A468="",$V468="Đã xử lý"),"",IF(N($AO468)&gt;0,5-$AO468,IF($J468="Khẩn cấp",5,IF($Y468="Chậm tiến độ",6,IF(OR($Y468="Sắp đến hạn",$J468="Cao"),7,"")))))</f>
      </c>
      <c r="AL468" s="225">
        <f>IF($AK468="","",$AK468*100000+IF(N($U468)=0,99999,INT($U468))+ROW()/100000)</f>
      </c>
      <c r="AM468" s="225">
        <f>IF(OR($A468="",TRIM($K468)="",COUNTIF($K$6:$K468,$K468)&gt;1),0,1)</f>
      </c>
      <c r="AN468" s="225">
        <f>IF($AM468=1,SUM($AM$6:$AM468),"")</f>
      </c>
      <c r="AO468" s="225">
        <f>IF(OR($A468="",$V468="Đã xử lý",N($U468)=0),0,IF(TDBC&lt;=$U468,0,MAX(1,MIN(4,IF((TDBC-$U468)*24&lt;24,1,IF((TDBC-$U468)*24&lt;72,2,IF((TDBC-$U468)*24&lt;168,3,4)))+IFERROR(INDEX({2,1,0,-1},MATCH($J468,{"Khẩn cấp","Cao","Trung bình","Thấp"},0)),0)))))</f>
      </c>
    </row>
    <row r="469">
      <c r="A469" s="216"/>
      <c r="B469" s="217"/>
      <c r="C469" s="218"/>
      <c r="D469" s="218"/>
      <c r="E469" s="218"/>
      <c r="F469" s="218"/>
      <c r="G469" s="216"/>
      <c r="H469" s="218"/>
      <c r="I469" s="218"/>
      <c r="J469" s="216"/>
      <c r="K469" s="218"/>
      <c r="L469" s="218"/>
      <c r="M469" s="218"/>
      <c r="N469" s="218"/>
      <c r="O469" s="219"/>
      <c r="P469" s="216"/>
      <c r="Q469" s="217"/>
      <c r="R469" s="216"/>
      <c r="S469" s="218"/>
      <c r="T469" s="218"/>
      <c r="U469" s="220">
        <f>IF($A469="","",IF(N($Q469)&gt;0,IF(MOD($Q469,1)=0,$Q469+1-1/1440,$Q469),IF(N($B469)=0,"",$B469+IF(N($AH469)&gt;0,$AH469,IFERROR(INDEX(DM_SLA_Gio,MATCH($J469,DM_SLA_Cap,0)),168))/24)))</f>
      </c>
      <c r="V469" s="221">
        <f>IF($A469="","",IF(N($AJ469)=0,"Mới tiếp nhận",INDEX('Nhật ký tiến độ'!$E:$E,$AJ469)))</f>
      </c>
      <c r="W469" s="222">
        <f>IF($A469="","",IF($V469="Đã xử lý",1,IF(N($AJ469)=0,0,N(INDEX('Nhật ký tiến độ'!$D:$D,$AJ469)))))</f>
      </c>
      <c r="X469" s="222">
        <f>IF(OR($A469="",$V469="Đã xử lý",N($U469)=0,N($B469)=0),"",IF(TDBC&lt;=$B469,0,IF(TDBC&gt;=$U469,1,(TDBC-$B469)/($U469-$B469))))</f>
      </c>
      <c r="Y469" s="223">
        <f>IF($A469="","",IF($V469="Đã xử lý","Hoàn thành",IF(N($U469)=0,"Chưa đặt hạn",IF(TDBC&gt;$U469,"Quá hạn",IF(ROUND((N($X469)-$W469)*100,0)&gt;=20,"Chậm tiến độ",IF($U469-TDBC&lt;=1,"Sắp đến hạn","Đúng tiến độ"))))))</f>
      </c>
      <c r="Z469" s="223">
        <f>IF(OR($A469="",$V469="Đã xử lý",N($U469)=0),"",IF(TDBC&gt;$U469,"Quá "&amp;IF(((TDBC-$U469)*24)&lt;1,MAX(1,ROUND(((TDBC-$U469)*24)*60,0))&amp;" phút",IF(ROUND(((TDBC-$U469)*24),0)&lt;24,ROUND(((TDBC-$U469)*24),0)&amp;" giờ",INT(ROUND(((TDBC-$U469)*24),0)/24)&amp;" ngày"&amp;IF(MOD(ROUND(((TDBC-$U469)*24),0),24)&gt;0," "&amp;MOD(ROUND(((TDBC-$U469)*24),0),24)&amp;" giờ",""))),"Còn "&amp;IF((($U469-TDBC)*24)&lt;1,MAX(1,ROUND((($U469-TDBC)*24)*60,0))&amp;" phút",IF(ROUND((($U469-TDBC)*24),0)&lt;24,ROUND((($U469-TDBC)*24),0)&amp;" giờ",INT(ROUND((($U469-TDBC)*24),0)/24)&amp;" ngày"&amp;IF(MOD(ROUND((($U469-TDBC)*24),0),24)&gt;0," "&amp;MOD(ROUND((($U469-TDBC)*24),0),24)&amp;" giờ","")))))</f>
      </c>
      <c r="AA469" s="220">
        <f>IF($V469="Đã xử lý",_xlfn.MAXIFS('Nhật ký tiến độ'!$B$6:$B$3005,'Nhật ký tiến độ'!$C$6:$C$3005,$A469,'Nhật ký tiến độ'!$E$6:$E$3005,"Đã xử lý"),"")</f>
      </c>
      <c r="AB469" s="223">
        <f>IF($AI469="","",IF($AI469&lt;1,MAX(1,ROUND($AI469*60,0))&amp;" phút",IF(ROUND($AI469,0)&lt;24,ROUND($AI469,0)&amp;" giờ",INT(ROUND($AI469,0)/24)&amp;" ngày"&amp;IF(MOD(ROUND($AI469,0),24)&gt;0," "&amp;MOD(ROUND($AI469,0),24)&amp;" giờ",""))))</f>
      </c>
      <c r="AC469" s="223">
        <f>IF(OR($A469="",N($AH469)=0),"",IF($AI469&lt;&gt;"",IF($AI469&lt;=$AH469,"Trong ước tính","Vượt "&amp;IF(($AI469-$AH469)&lt;1,MAX(1,ROUND(($AI469-$AH469)*60,0))&amp;" phút",IF(ROUND(($AI469-$AH469),0)&lt;24,ROUND(($AI469-$AH469),0)&amp;" giờ",INT(ROUND(($AI469-$AH469),0)/24)&amp;" ngày"&amp;IF(MOD(ROUND(($AI469-$AH469),0),24)&gt;0," "&amp;MOD(ROUND(($AI469-$AH469),0),24)&amp;" giờ","")))),IF(OR($V469="Đã xử lý",N($B469)=0),"",IF((TDBC-$B469)*24&gt;$AH469,"Đã vượt ước tính","Đã dùng "&amp;TEXT((TDBC-$B469)*24/$AH469,"0%")))))</f>
      </c>
      <c r="AD469" s="223">
        <f>IF(N($AO469)=0,"",CHOOSE($AO469,"Nhắc nhở","Cảnh báo","Báo động","Báo động đỏ"))</f>
      </c>
      <c r="AE469" s="223">
        <f>IF(OR(N($AA469)=0,N($U469)=0),"",IF($AA469&lt;=$U469,"Đúng hạn","Trễ hạn"))</f>
      </c>
      <c r="AF469" s="220">
        <f>IF($A469="","",_xlfn.MAXIFS('Nhật ký tiến độ'!$B$6:$B$3005,'Nhật ký tiến độ'!$C$6:$C$3005,$A469))</f>
      </c>
      <c r="AG469" s="223">
        <f>IF($A469="","",IF(COUNTIF('Kế hoạch'!$M$6:$M$305,$A469)=0,"",COUNTIF('Kế hoạch'!$M$6:$M$305,$A469)&amp;" việc"))</f>
      </c>
      <c r="AH469" s="224">
        <f>IF(OR($A469="",N($O469)&lt;=0),"",IF($P469="Giờ",$O469,$O469*24))</f>
      </c>
      <c r="AI469" s="224">
        <f>IF(OR(N($AA469)=0,N($B469)=0),"",IF($AA469&lt;$B469,"",($AA469-$B469)*24))</f>
      </c>
      <c r="AJ469" s="225">
        <f>IF($A469="","",IF(COUNTIF('Nhật ký tiến độ'!$C$6:$C$3005,$A469)=0,0,_xlfn.MAXIFS('Nhật ký tiến độ'!$N$6:$N$3005,'Nhật ký tiến độ'!$C$6:$C$3005,$A469,'Nhật ký tiến độ'!$B$6:$B$3005,_xlfn.MAXIFS('Nhật ký tiến độ'!$B$6:$B$3005,'Nhật ký tiến độ'!$C$6:$C$3005,$A469))))</f>
      </c>
      <c r="AK469" s="225">
        <f>IF(OR($A469="",$V469="Đã xử lý"),"",IF(N($AO469)&gt;0,5-$AO469,IF($J469="Khẩn cấp",5,IF($Y469="Chậm tiến độ",6,IF(OR($Y469="Sắp đến hạn",$J469="Cao"),7,"")))))</f>
      </c>
      <c r="AL469" s="225">
        <f>IF($AK469="","",$AK469*100000+IF(N($U469)=0,99999,INT($U469))+ROW()/100000)</f>
      </c>
      <c r="AM469" s="225">
        <f>IF(OR($A469="",TRIM($K469)="",COUNTIF($K$6:$K469,$K469)&gt;1),0,1)</f>
      </c>
      <c r="AN469" s="225">
        <f>IF($AM469=1,SUM($AM$6:$AM469),"")</f>
      </c>
      <c r="AO469" s="225">
        <f>IF(OR($A469="",$V469="Đã xử lý",N($U469)=0),0,IF(TDBC&lt;=$U469,0,MAX(1,MIN(4,IF((TDBC-$U469)*24&lt;24,1,IF((TDBC-$U469)*24&lt;72,2,IF((TDBC-$U469)*24&lt;168,3,4)))+IFERROR(INDEX({2,1,0,-1},MATCH($J469,{"Khẩn cấp","Cao","Trung bình","Thấp"},0)),0)))))</f>
      </c>
    </row>
    <row r="470">
      <c r="A470" s="216"/>
      <c r="B470" s="217"/>
      <c r="C470" s="218"/>
      <c r="D470" s="218"/>
      <c r="E470" s="218"/>
      <c r="F470" s="218"/>
      <c r="G470" s="216"/>
      <c r="H470" s="218"/>
      <c r="I470" s="218"/>
      <c r="J470" s="216"/>
      <c r="K470" s="218"/>
      <c r="L470" s="218"/>
      <c r="M470" s="218"/>
      <c r="N470" s="218"/>
      <c r="O470" s="219"/>
      <c r="P470" s="216"/>
      <c r="Q470" s="217"/>
      <c r="R470" s="216"/>
      <c r="S470" s="218"/>
      <c r="T470" s="218"/>
      <c r="U470" s="220">
        <f>IF($A470="","",IF(N($Q470)&gt;0,IF(MOD($Q470,1)=0,$Q470+1-1/1440,$Q470),IF(N($B470)=0,"",$B470+IF(N($AH470)&gt;0,$AH470,IFERROR(INDEX(DM_SLA_Gio,MATCH($J470,DM_SLA_Cap,0)),168))/24)))</f>
      </c>
      <c r="V470" s="221">
        <f>IF($A470="","",IF(N($AJ470)=0,"Mới tiếp nhận",INDEX('Nhật ký tiến độ'!$E:$E,$AJ470)))</f>
      </c>
      <c r="W470" s="222">
        <f>IF($A470="","",IF($V470="Đã xử lý",1,IF(N($AJ470)=0,0,N(INDEX('Nhật ký tiến độ'!$D:$D,$AJ470)))))</f>
      </c>
      <c r="X470" s="222">
        <f>IF(OR($A470="",$V470="Đã xử lý",N($U470)=0,N($B470)=0),"",IF(TDBC&lt;=$B470,0,IF(TDBC&gt;=$U470,1,(TDBC-$B470)/($U470-$B470))))</f>
      </c>
      <c r="Y470" s="223">
        <f>IF($A470="","",IF($V470="Đã xử lý","Hoàn thành",IF(N($U470)=0,"Chưa đặt hạn",IF(TDBC&gt;$U470,"Quá hạn",IF(ROUND((N($X470)-$W470)*100,0)&gt;=20,"Chậm tiến độ",IF($U470-TDBC&lt;=1,"Sắp đến hạn","Đúng tiến độ"))))))</f>
      </c>
      <c r="Z470" s="223">
        <f>IF(OR($A470="",$V470="Đã xử lý",N($U470)=0),"",IF(TDBC&gt;$U470,"Quá "&amp;IF(((TDBC-$U470)*24)&lt;1,MAX(1,ROUND(((TDBC-$U470)*24)*60,0))&amp;" phút",IF(ROUND(((TDBC-$U470)*24),0)&lt;24,ROUND(((TDBC-$U470)*24),0)&amp;" giờ",INT(ROUND(((TDBC-$U470)*24),0)/24)&amp;" ngày"&amp;IF(MOD(ROUND(((TDBC-$U470)*24),0),24)&gt;0," "&amp;MOD(ROUND(((TDBC-$U470)*24),0),24)&amp;" giờ",""))),"Còn "&amp;IF((($U470-TDBC)*24)&lt;1,MAX(1,ROUND((($U470-TDBC)*24)*60,0))&amp;" phút",IF(ROUND((($U470-TDBC)*24),0)&lt;24,ROUND((($U470-TDBC)*24),0)&amp;" giờ",INT(ROUND((($U470-TDBC)*24),0)/24)&amp;" ngày"&amp;IF(MOD(ROUND((($U470-TDBC)*24),0),24)&gt;0," "&amp;MOD(ROUND((($U470-TDBC)*24),0),24)&amp;" giờ","")))))</f>
      </c>
      <c r="AA470" s="220">
        <f>IF($V470="Đã xử lý",_xlfn.MAXIFS('Nhật ký tiến độ'!$B$6:$B$3005,'Nhật ký tiến độ'!$C$6:$C$3005,$A470,'Nhật ký tiến độ'!$E$6:$E$3005,"Đã xử lý"),"")</f>
      </c>
      <c r="AB470" s="223">
        <f>IF($AI470="","",IF($AI470&lt;1,MAX(1,ROUND($AI470*60,0))&amp;" phút",IF(ROUND($AI470,0)&lt;24,ROUND($AI470,0)&amp;" giờ",INT(ROUND($AI470,0)/24)&amp;" ngày"&amp;IF(MOD(ROUND($AI470,0),24)&gt;0," "&amp;MOD(ROUND($AI470,0),24)&amp;" giờ",""))))</f>
      </c>
      <c r="AC470" s="223">
        <f>IF(OR($A470="",N($AH470)=0),"",IF($AI470&lt;&gt;"",IF($AI470&lt;=$AH470,"Trong ước tính","Vượt "&amp;IF(($AI470-$AH470)&lt;1,MAX(1,ROUND(($AI470-$AH470)*60,0))&amp;" phút",IF(ROUND(($AI470-$AH470),0)&lt;24,ROUND(($AI470-$AH470),0)&amp;" giờ",INT(ROUND(($AI470-$AH470),0)/24)&amp;" ngày"&amp;IF(MOD(ROUND(($AI470-$AH470),0),24)&gt;0," "&amp;MOD(ROUND(($AI470-$AH470),0),24)&amp;" giờ","")))),IF(OR($V470="Đã xử lý",N($B470)=0),"",IF((TDBC-$B470)*24&gt;$AH470,"Đã vượt ước tính","Đã dùng "&amp;TEXT((TDBC-$B470)*24/$AH470,"0%")))))</f>
      </c>
      <c r="AD470" s="223">
        <f>IF(N($AO470)=0,"",CHOOSE($AO470,"Nhắc nhở","Cảnh báo","Báo động","Báo động đỏ"))</f>
      </c>
      <c r="AE470" s="223">
        <f>IF(OR(N($AA470)=0,N($U470)=0),"",IF($AA470&lt;=$U470,"Đúng hạn","Trễ hạn"))</f>
      </c>
      <c r="AF470" s="220">
        <f>IF($A470="","",_xlfn.MAXIFS('Nhật ký tiến độ'!$B$6:$B$3005,'Nhật ký tiến độ'!$C$6:$C$3005,$A470))</f>
      </c>
      <c r="AG470" s="223">
        <f>IF($A470="","",IF(COUNTIF('Kế hoạch'!$M$6:$M$305,$A470)=0,"",COUNTIF('Kế hoạch'!$M$6:$M$305,$A470)&amp;" việc"))</f>
      </c>
      <c r="AH470" s="224">
        <f>IF(OR($A470="",N($O470)&lt;=0),"",IF($P470="Giờ",$O470,$O470*24))</f>
      </c>
      <c r="AI470" s="224">
        <f>IF(OR(N($AA470)=0,N($B470)=0),"",IF($AA470&lt;$B470,"",($AA470-$B470)*24))</f>
      </c>
      <c r="AJ470" s="225">
        <f>IF($A470="","",IF(COUNTIF('Nhật ký tiến độ'!$C$6:$C$3005,$A470)=0,0,_xlfn.MAXIFS('Nhật ký tiến độ'!$N$6:$N$3005,'Nhật ký tiến độ'!$C$6:$C$3005,$A470,'Nhật ký tiến độ'!$B$6:$B$3005,_xlfn.MAXIFS('Nhật ký tiến độ'!$B$6:$B$3005,'Nhật ký tiến độ'!$C$6:$C$3005,$A470))))</f>
      </c>
      <c r="AK470" s="225">
        <f>IF(OR($A470="",$V470="Đã xử lý"),"",IF(N($AO470)&gt;0,5-$AO470,IF($J470="Khẩn cấp",5,IF($Y470="Chậm tiến độ",6,IF(OR($Y470="Sắp đến hạn",$J470="Cao"),7,"")))))</f>
      </c>
      <c r="AL470" s="225">
        <f>IF($AK470="","",$AK470*100000+IF(N($U470)=0,99999,INT($U470))+ROW()/100000)</f>
      </c>
      <c r="AM470" s="225">
        <f>IF(OR($A470="",TRIM($K470)="",COUNTIF($K$6:$K470,$K470)&gt;1),0,1)</f>
      </c>
      <c r="AN470" s="225">
        <f>IF($AM470=1,SUM($AM$6:$AM470),"")</f>
      </c>
      <c r="AO470" s="225">
        <f>IF(OR($A470="",$V470="Đã xử lý",N($U470)=0),0,IF(TDBC&lt;=$U470,0,MAX(1,MIN(4,IF((TDBC-$U470)*24&lt;24,1,IF((TDBC-$U470)*24&lt;72,2,IF((TDBC-$U470)*24&lt;168,3,4)))+IFERROR(INDEX({2,1,0,-1},MATCH($J470,{"Khẩn cấp","Cao","Trung bình","Thấp"},0)),0)))))</f>
      </c>
    </row>
    <row r="471">
      <c r="A471" s="216"/>
      <c r="B471" s="217"/>
      <c r="C471" s="218"/>
      <c r="D471" s="218"/>
      <c r="E471" s="218"/>
      <c r="F471" s="218"/>
      <c r="G471" s="216"/>
      <c r="H471" s="218"/>
      <c r="I471" s="218"/>
      <c r="J471" s="216"/>
      <c r="K471" s="218"/>
      <c r="L471" s="218"/>
      <c r="M471" s="218"/>
      <c r="N471" s="218"/>
      <c r="O471" s="219"/>
      <c r="P471" s="216"/>
      <c r="Q471" s="217"/>
      <c r="R471" s="216"/>
      <c r="S471" s="218"/>
      <c r="T471" s="218"/>
      <c r="U471" s="220">
        <f>IF($A471="","",IF(N($Q471)&gt;0,IF(MOD($Q471,1)=0,$Q471+1-1/1440,$Q471),IF(N($B471)=0,"",$B471+IF(N($AH471)&gt;0,$AH471,IFERROR(INDEX(DM_SLA_Gio,MATCH($J471,DM_SLA_Cap,0)),168))/24)))</f>
      </c>
      <c r="V471" s="221">
        <f>IF($A471="","",IF(N($AJ471)=0,"Mới tiếp nhận",INDEX('Nhật ký tiến độ'!$E:$E,$AJ471)))</f>
      </c>
      <c r="W471" s="222">
        <f>IF($A471="","",IF($V471="Đã xử lý",1,IF(N($AJ471)=0,0,N(INDEX('Nhật ký tiến độ'!$D:$D,$AJ471)))))</f>
      </c>
      <c r="X471" s="222">
        <f>IF(OR($A471="",$V471="Đã xử lý",N($U471)=0,N($B471)=0),"",IF(TDBC&lt;=$B471,0,IF(TDBC&gt;=$U471,1,(TDBC-$B471)/($U471-$B471))))</f>
      </c>
      <c r="Y471" s="223">
        <f>IF($A471="","",IF($V471="Đã xử lý","Hoàn thành",IF(N($U471)=0,"Chưa đặt hạn",IF(TDBC&gt;$U471,"Quá hạn",IF(ROUND((N($X471)-$W471)*100,0)&gt;=20,"Chậm tiến độ",IF($U471-TDBC&lt;=1,"Sắp đến hạn","Đúng tiến độ"))))))</f>
      </c>
      <c r="Z471" s="223">
        <f>IF(OR($A471="",$V471="Đã xử lý",N($U471)=0),"",IF(TDBC&gt;$U471,"Quá "&amp;IF(((TDBC-$U471)*24)&lt;1,MAX(1,ROUND(((TDBC-$U471)*24)*60,0))&amp;" phút",IF(ROUND(((TDBC-$U471)*24),0)&lt;24,ROUND(((TDBC-$U471)*24),0)&amp;" giờ",INT(ROUND(((TDBC-$U471)*24),0)/24)&amp;" ngày"&amp;IF(MOD(ROUND(((TDBC-$U471)*24),0),24)&gt;0," "&amp;MOD(ROUND(((TDBC-$U471)*24),0),24)&amp;" giờ",""))),"Còn "&amp;IF((($U471-TDBC)*24)&lt;1,MAX(1,ROUND((($U471-TDBC)*24)*60,0))&amp;" phút",IF(ROUND((($U471-TDBC)*24),0)&lt;24,ROUND((($U471-TDBC)*24),0)&amp;" giờ",INT(ROUND((($U471-TDBC)*24),0)/24)&amp;" ngày"&amp;IF(MOD(ROUND((($U471-TDBC)*24),0),24)&gt;0," "&amp;MOD(ROUND((($U471-TDBC)*24),0),24)&amp;" giờ","")))))</f>
      </c>
      <c r="AA471" s="220">
        <f>IF($V471="Đã xử lý",_xlfn.MAXIFS('Nhật ký tiến độ'!$B$6:$B$3005,'Nhật ký tiến độ'!$C$6:$C$3005,$A471,'Nhật ký tiến độ'!$E$6:$E$3005,"Đã xử lý"),"")</f>
      </c>
      <c r="AB471" s="223">
        <f>IF($AI471="","",IF($AI471&lt;1,MAX(1,ROUND($AI471*60,0))&amp;" phút",IF(ROUND($AI471,0)&lt;24,ROUND($AI471,0)&amp;" giờ",INT(ROUND($AI471,0)/24)&amp;" ngày"&amp;IF(MOD(ROUND($AI471,0),24)&gt;0," "&amp;MOD(ROUND($AI471,0),24)&amp;" giờ",""))))</f>
      </c>
      <c r="AC471" s="223">
        <f>IF(OR($A471="",N($AH471)=0),"",IF($AI471&lt;&gt;"",IF($AI471&lt;=$AH471,"Trong ước tính","Vượt "&amp;IF(($AI471-$AH471)&lt;1,MAX(1,ROUND(($AI471-$AH471)*60,0))&amp;" phút",IF(ROUND(($AI471-$AH471),0)&lt;24,ROUND(($AI471-$AH471),0)&amp;" giờ",INT(ROUND(($AI471-$AH471),0)/24)&amp;" ngày"&amp;IF(MOD(ROUND(($AI471-$AH471),0),24)&gt;0," "&amp;MOD(ROUND(($AI471-$AH471),0),24)&amp;" giờ","")))),IF(OR($V471="Đã xử lý",N($B471)=0),"",IF((TDBC-$B471)*24&gt;$AH471,"Đã vượt ước tính","Đã dùng "&amp;TEXT((TDBC-$B471)*24/$AH471,"0%")))))</f>
      </c>
      <c r="AD471" s="223">
        <f>IF(N($AO471)=0,"",CHOOSE($AO471,"Nhắc nhở","Cảnh báo","Báo động","Báo động đỏ"))</f>
      </c>
      <c r="AE471" s="223">
        <f>IF(OR(N($AA471)=0,N($U471)=0),"",IF($AA471&lt;=$U471,"Đúng hạn","Trễ hạn"))</f>
      </c>
      <c r="AF471" s="220">
        <f>IF($A471="","",_xlfn.MAXIFS('Nhật ký tiến độ'!$B$6:$B$3005,'Nhật ký tiến độ'!$C$6:$C$3005,$A471))</f>
      </c>
      <c r="AG471" s="223">
        <f>IF($A471="","",IF(COUNTIF('Kế hoạch'!$M$6:$M$305,$A471)=0,"",COUNTIF('Kế hoạch'!$M$6:$M$305,$A471)&amp;" việc"))</f>
      </c>
      <c r="AH471" s="224">
        <f>IF(OR($A471="",N($O471)&lt;=0),"",IF($P471="Giờ",$O471,$O471*24))</f>
      </c>
      <c r="AI471" s="224">
        <f>IF(OR(N($AA471)=0,N($B471)=0),"",IF($AA471&lt;$B471,"",($AA471-$B471)*24))</f>
      </c>
      <c r="AJ471" s="225">
        <f>IF($A471="","",IF(COUNTIF('Nhật ký tiến độ'!$C$6:$C$3005,$A471)=0,0,_xlfn.MAXIFS('Nhật ký tiến độ'!$N$6:$N$3005,'Nhật ký tiến độ'!$C$6:$C$3005,$A471,'Nhật ký tiến độ'!$B$6:$B$3005,_xlfn.MAXIFS('Nhật ký tiến độ'!$B$6:$B$3005,'Nhật ký tiến độ'!$C$6:$C$3005,$A471))))</f>
      </c>
      <c r="AK471" s="225">
        <f>IF(OR($A471="",$V471="Đã xử lý"),"",IF(N($AO471)&gt;0,5-$AO471,IF($J471="Khẩn cấp",5,IF($Y471="Chậm tiến độ",6,IF(OR($Y471="Sắp đến hạn",$J471="Cao"),7,"")))))</f>
      </c>
      <c r="AL471" s="225">
        <f>IF($AK471="","",$AK471*100000+IF(N($U471)=0,99999,INT($U471))+ROW()/100000)</f>
      </c>
      <c r="AM471" s="225">
        <f>IF(OR($A471="",TRIM($K471)="",COUNTIF($K$6:$K471,$K471)&gt;1),0,1)</f>
      </c>
      <c r="AN471" s="225">
        <f>IF($AM471=1,SUM($AM$6:$AM471),"")</f>
      </c>
      <c r="AO471" s="225">
        <f>IF(OR($A471="",$V471="Đã xử lý",N($U471)=0),0,IF(TDBC&lt;=$U471,0,MAX(1,MIN(4,IF((TDBC-$U471)*24&lt;24,1,IF((TDBC-$U471)*24&lt;72,2,IF((TDBC-$U471)*24&lt;168,3,4)))+IFERROR(INDEX({2,1,0,-1},MATCH($J471,{"Khẩn cấp","Cao","Trung bình","Thấp"},0)),0)))))</f>
      </c>
    </row>
    <row r="472">
      <c r="A472" s="216"/>
      <c r="B472" s="217"/>
      <c r="C472" s="218"/>
      <c r="D472" s="218"/>
      <c r="E472" s="218"/>
      <c r="F472" s="218"/>
      <c r="G472" s="216"/>
      <c r="H472" s="218"/>
      <c r="I472" s="218"/>
      <c r="J472" s="216"/>
      <c r="K472" s="218"/>
      <c r="L472" s="218"/>
      <c r="M472" s="218"/>
      <c r="N472" s="218"/>
      <c r="O472" s="219"/>
      <c r="P472" s="216"/>
      <c r="Q472" s="217"/>
      <c r="R472" s="216"/>
      <c r="S472" s="218"/>
      <c r="T472" s="218"/>
      <c r="U472" s="220">
        <f>IF($A472="","",IF(N($Q472)&gt;0,IF(MOD($Q472,1)=0,$Q472+1-1/1440,$Q472),IF(N($B472)=0,"",$B472+IF(N($AH472)&gt;0,$AH472,IFERROR(INDEX(DM_SLA_Gio,MATCH($J472,DM_SLA_Cap,0)),168))/24)))</f>
      </c>
      <c r="V472" s="221">
        <f>IF($A472="","",IF(N($AJ472)=0,"Mới tiếp nhận",INDEX('Nhật ký tiến độ'!$E:$E,$AJ472)))</f>
      </c>
      <c r="W472" s="222">
        <f>IF($A472="","",IF($V472="Đã xử lý",1,IF(N($AJ472)=0,0,N(INDEX('Nhật ký tiến độ'!$D:$D,$AJ472)))))</f>
      </c>
      <c r="X472" s="222">
        <f>IF(OR($A472="",$V472="Đã xử lý",N($U472)=0,N($B472)=0),"",IF(TDBC&lt;=$B472,0,IF(TDBC&gt;=$U472,1,(TDBC-$B472)/($U472-$B472))))</f>
      </c>
      <c r="Y472" s="223">
        <f>IF($A472="","",IF($V472="Đã xử lý","Hoàn thành",IF(N($U472)=0,"Chưa đặt hạn",IF(TDBC&gt;$U472,"Quá hạn",IF(ROUND((N($X472)-$W472)*100,0)&gt;=20,"Chậm tiến độ",IF($U472-TDBC&lt;=1,"Sắp đến hạn","Đúng tiến độ"))))))</f>
      </c>
      <c r="Z472" s="223">
        <f>IF(OR($A472="",$V472="Đã xử lý",N($U472)=0),"",IF(TDBC&gt;$U472,"Quá "&amp;IF(((TDBC-$U472)*24)&lt;1,MAX(1,ROUND(((TDBC-$U472)*24)*60,0))&amp;" phút",IF(ROUND(((TDBC-$U472)*24),0)&lt;24,ROUND(((TDBC-$U472)*24),0)&amp;" giờ",INT(ROUND(((TDBC-$U472)*24),0)/24)&amp;" ngày"&amp;IF(MOD(ROUND(((TDBC-$U472)*24),0),24)&gt;0," "&amp;MOD(ROUND(((TDBC-$U472)*24),0),24)&amp;" giờ",""))),"Còn "&amp;IF((($U472-TDBC)*24)&lt;1,MAX(1,ROUND((($U472-TDBC)*24)*60,0))&amp;" phút",IF(ROUND((($U472-TDBC)*24),0)&lt;24,ROUND((($U472-TDBC)*24),0)&amp;" giờ",INT(ROUND((($U472-TDBC)*24),0)/24)&amp;" ngày"&amp;IF(MOD(ROUND((($U472-TDBC)*24),0),24)&gt;0," "&amp;MOD(ROUND((($U472-TDBC)*24),0),24)&amp;" giờ","")))))</f>
      </c>
      <c r="AA472" s="220">
        <f>IF($V472="Đã xử lý",_xlfn.MAXIFS('Nhật ký tiến độ'!$B$6:$B$3005,'Nhật ký tiến độ'!$C$6:$C$3005,$A472,'Nhật ký tiến độ'!$E$6:$E$3005,"Đã xử lý"),"")</f>
      </c>
      <c r="AB472" s="223">
        <f>IF($AI472="","",IF($AI472&lt;1,MAX(1,ROUND($AI472*60,0))&amp;" phút",IF(ROUND($AI472,0)&lt;24,ROUND($AI472,0)&amp;" giờ",INT(ROUND($AI472,0)/24)&amp;" ngày"&amp;IF(MOD(ROUND($AI472,0),24)&gt;0," "&amp;MOD(ROUND($AI472,0),24)&amp;" giờ",""))))</f>
      </c>
      <c r="AC472" s="223">
        <f>IF(OR($A472="",N($AH472)=0),"",IF($AI472&lt;&gt;"",IF($AI472&lt;=$AH472,"Trong ước tính","Vượt "&amp;IF(($AI472-$AH472)&lt;1,MAX(1,ROUND(($AI472-$AH472)*60,0))&amp;" phút",IF(ROUND(($AI472-$AH472),0)&lt;24,ROUND(($AI472-$AH472),0)&amp;" giờ",INT(ROUND(($AI472-$AH472),0)/24)&amp;" ngày"&amp;IF(MOD(ROUND(($AI472-$AH472),0),24)&gt;0," "&amp;MOD(ROUND(($AI472-$AH472),0),24)&amp;" giờ","")))),IF(OR($V472="Đã xử lý",N($B472)=0),"",IF((TDBC-$B472)*24&gt;$AH472,"Đã vượt ước tính","Đã dùng "&amp;TEXT((TDBC-$B472)*24/$AH472,"0%")))))</f>
      </c>
      <c r="AD472" s="223">
        <f>IF(N($AO472)=0,"",CHOOSE($AO472,"Nhắc nhở","Cảnh báo","Báo động","Báo động đỏ"))</f>
      </c>
      <c r="AE472" s="223">
        <f>IF(OR(N($AA472)=0,N($U472)=0),"",IF($AA472&lt;=$U472,"Đúng hạn","Trễ hạn"))</f>
      </c>
      <c r="AF472" s="220">
        <f>IF($A472="","",_xlfn.MAXIFS('Nhật ký tiến độ'!$B$6:$B$3005,'Nhật ký tiến độ'!$C$6:$C$3005,$A472))</f>
      </c>
      <c r="AG472" s="223">
        <f>IF($A472="","",IF(COUNTIF('Kế hoạch'!$M$6:$M$305,$A472)=0,"",COUNTIF('Kế hoạch'!$M$6:$M$305,$A472)&amp;" việc"))</f>
      </c>
      <c r="AH472" s="224">
        <f>IF(OR($A472="",N($O472)&lt;=0),"",IF($P472="Giờ",$O472,$O472*24))</f>
      </c>
      <c r="AI472" s="224">
        <f>IF(OR(N($AA472)=0,N($B472)=0),"",IF($AA472&lt;$B472,"",($AA472-$B472)*24))</f>
      </c>
      <c r="AJ472" s="225">
        <f>IF($A472="","",IF(COUNTIF('Nhật ký tiến độ'!$C$6:$C$3005,$A472)=0,0,_xlfn.MAXIFS('Nhật ký tiến độ'!$N$6:$N$3005,'Nhật ký tiến độ'!$C$6:$C$3005,$A472,'Nhật ký tiến độ'!$B$6:$B$3005,_xlfn.MAXIFS('Nhật ký tiến độ'!$B$6:$B$3005,'Nhật ký tiến độ'!$C$6:$C$3005,$A472))))</f>
      </c>
      <c r="AK472" s="225">
        <f>IF(OR($A472="",$V472="Đã xử lý"),"",IF(N($AO472)&gt;0,5-$AO472,IF($J472="Khẩn cấp",5,IF($Y472="Chậm tiến độ",6,IF(OR($Y472="Sắp đến hạn",$J472="Cao"),7,"")))))</f>
      </c>
      <c r="AL472" s="225">
        <f>IF($AK472="","",$AK472*100000+IF(N($U472)=0,99999,INT($U472))+ROW()/100000)</f>
      </c>
      <c r="AM472" s="225">
        <f>IF(OR($A472="",TRIM($K472)="",COUNTIF($K$6:$K472,$K472)&gt;1),0,1)</f>
      </c>
      <c r="AN472" s="225">
        <f>IF($AM472=1,SUM($AM$6:$AM472),"")</f>
      </c>
      <c r="AO472" s="225">
        <f>IF(OR($A472="",$V472="Đã xử lý",N($U472)=0),0,IF(TDBC&lt;=$U472,0,MAX(1,MIN(4,IF((TDBC-$U472)*24&lt;24,1,IF((TDBC-$U472)*24&lt;72,2,IF((TDBC-$U472)*24&lt;168,3,4)))+IFERROR(INDEX({2,1,0,-1},MATCH($J472,{"Khẩn cấp","Cao","Trung bình","Thấp"},0)),0)))))</f>
      </c>
    </row>
    <row r="473">
      <c r="A473" s="216"/>
      <c r="B473" s="217"/>
      <c r="C473" s="218"/>
      <c r="D473" s="218"/>
      <c r="E473" s="218"/>
      <c r="F473" s="218"/>
      <c r="G473" s="216"/>
      <c r="H473" s="218"/>
      <c r="I473" s="218"/>
      <c r="J473" s="216"/>
      <c r="K473" s="218"/>
      <c r="L473" s="218"/>
      <c r="M473" s="218"/>
      <c r="N473" s="218"/>
      <c r="O473" s="219"/>
      <c r="P473" s="216"/>
      <c r="Q473" s="217"/>
      <c r="R473" s="216"/>
      <c r="S473" s="218"/>
      <c r="T473" s="218"/>
      <c r="U473" s="220">
        <f>IF($A473="","",IF(N($Q473)&gt;0,IF(MOD($Q473,1)=0,$Q473+1-1/1440,$Q473),IF(N($B473)=0,"",$B473+IF(N($AH473)&gt;0,$AH473,IFERROR(INDEX(DM_SLA_Gio,MATCH($J473,DM_SLA_Cap,0)),168))/24)))</f>
      </c>
      <c r="V473" s="221">
        <f>IF($A473="","",IF(N($AJ473)=0,"Mới tiếp nhận",INDEX('Nhật ký tiến độ'!$E:$E,$AJ473)))</f>
      </c>
      <c r="W473" s="222">
        <f>IF($A473="","",IF($V473="Đã xử lý",1,IF(N($AJ473)=0,0,N(INDEX('Nhật ký tiến độ'!$D:$D,$AJ473)))))</f>
      </c>
      <c r="X473" s="222">
        <f>IF(OR($A473="",$V473="Đã xử lý",N($U473)=0,N($B473)=0),"",IF(TDBC&lt;=$B473,0,IF(TDBC&gt;=$U473,1,(TDBC-$B473)/($U473-$B473))))</f>
      </c>
      <c r="Y473" s="223">
        <f>IF($A473="","",IF($V473="Đã xử lý","Hoàn thành",IF(N($U473)=0,"Chưa đặt hạn",IF(TDBC&gt;$U473,"Quá hạn",IF(ROUND((N($X473)-$W473)*100,0)&gt;=20,"Chậm tiến độ",IF($U473-TDBC&lt;=1,"Sắp đến hạn","Đúng tiến độ"))))))</f>
      </c>
      <c r="Z473" s="223">
        <f>IF(OR($A473="",$V473="Đã xử lý",N($U473)=0),"",IF(TDBC&gt;$U473,"Quá "&amp;IF(((TDBC-$U473)*24)&lt;1,MAX(1,ROUND(((TDBC-$U473)*24)*60,0))&amp;" phút",IF(ROUND(((TDBC-$U473)*24),0)&lt;24,ROUND(((TDBC-$U473)*24),0)&amp;" giờ",INT(ROUND(((TDBC-$U473)*24),0)/24)&amp;" ngày"&amp;IF(MOD(ROUND(((TDBC-$U473)*24),0),24)&gt;0," "&amp;MOD(ROUND(((TDBC-$U473)*24),0),24)&amp;" giờ",""))),"Còn "&amp;IF((($U473-TDBC)*24)&lt;1,MAX(1,ROUND((($U473-TDBC)*24)*60,0))&amp;" phút",IF(ROUND((($U473-TDBC)*24),0)&lt;24,ROUND((($U473-TDBC)*24),0)&amp;" giờ",INT(ROUND((($U473-TDBC)*24),0)/24)&amp;" ngày"&amp;IF(MOD(ROUND((($U473-TDBC)*24),0),24)&gt;0," "&amp;MOD(ROUND((($U473-TDBC)*24),0),24)&amp;" giờ","")))))</f>
      </c>
      <c r="AA473" s="220">
        <f>IF($V473="Đã xử lý",_xlfn.MAXIFS('Nhật ký tiến độ'!$B$6:$B$3005,'Nhật ký tiến độ'!$C$6:$C$3005,$A473,'Nhật ký tiến độ'!$E$6:$E$3005,"Đã xử lý"),"")</f>
      </c>
      <c r="AB473" s="223">
        <f>IF($AI473="","",IF($AI473&lt;1,MAX(1,ROUND($AI473*60,0))&amp;" phút",IF(ROUND($AI473,0)&lt;24,ROUND($AI473,0)&amp;" giờ",INT(ROUND($AI473,0)/24)&amp;" ngày"&amp;IF(MOD(ROUND($AI473,0),24)&gt;0," "&amp;MOD(ROUND($AI473,0),24)&amp;" giờ",""))))</f>
      </c>
      <c r="AC473" s="223">
        <f>IF(OR($A473="",N($AH473)=0),"",IF($AI473&lt;&gt;"",IF($AI473&lt;=$AH473,"Trong ước tính","Vượt "&amp;IF(($AI473-$AH473)&lt;1,MAX(1,ROUND(($AI473-$AH473)*60,0))&amp;" phút",IF(ROUND(($AI473-$AH473),0)&lt;24,ROUND(($AI473-$AH473),0)&amp;" giờ",INT(ROUND(($AI473-$AH473),0)/24)&amp;" ngày"&amp;IF(MOD(ROUND(($AI473-$AH473),0),24)&gt;0," "&amp;MOD(ROUND(($AI473-$AH473),0),24)&amp;" giờ","")))),IF(OR($V473="Đã xử lý",N($B473)=0),"",IF((TDBC-$B473)*24&gt;$AH473,"Đã vượt ước tính","Đã dùng "&amp;TEXT((TDBC-$B473)*24/$AH473,"0%")))))</f>
      </c>
      <c r="AD473" s="223">
        <f>IF(N($AO473)=0,"",CHOOSE($AO473,"Nhắc nhở","Cảnh báo","Báo động","Báo động đỏ"))</f>
      </c>
      <c r="AE473" s="223">
        <f>IF(OR(N($AA473)=0,N($U473)=0),"",IF($AA473&lt;=$U473,"Đúng hạn","Trễ hạn"))</f>
      </c>
      <c r="AF473" s="220">
        <f>IF($A473="","",_xlfn.MAXIFS('Nhật ký tiến độ'!$B$6:$B$3005,'Nhật ký tiến độ'!$C$6:$C$3005,$A473))</f>
      </c>
      <c r="AG473" s="223">
        <f>IF($A473="","",IF(COUNTIF('Kế hoạch'!$M$6:$M$305,$A473)=0,"",COUNTIF('Kế hoạch'!$M$6:$M$305,$A473)&amp;" việc"))</f>
      </c>
      <c r="AH473" s="224">
        <f>IF(OR($A473="",N($O473)&lt;=0),"",IF($P473="Giờ",$O473,$O473*24))</f>
      </c>
      <c r="AI473" s="224">
        <f>IF(OR(N($AA473)=0,N($B473)=0),"",IF($AA473&lt;$B473,"",($AA473-$B473)*24))</f>
      </c>
      <c r="AJ473" s="225">
        <f>IF($A473="","",IF(COUNTIF('Nhật ký tiến độ'!$C$6:$C$3005,$A473)=0,0,_xlfn.MAXIFS('Nhật ký tiến độ'!$N$6:$N$3005,'Nhật ký tiến độ'!$C$6:$C$3005,$A473,'Nhật ký tiến độ'!$B$6:$B$3005,_xlfn.MAXIFS('Nhật ký tiến độ'!$B$6:$B$3005,'Nhật ký tiến độ'!$C$6:$C$3005,$A473))))</f>
      </c>
      <c r="AK473" s="225">
        <f>IF(OR($A473="",$V473="Đã xử lý"),"",IF(N($AO473)&gt;0,5-$AO473,IF($J473="Khẩn cấp",5,IF($Y473="Chậm tiến độ",6,IF(OR($Y473="Sắp đến hạn",$J473="Cao"),7,"")))))</f>
      </c>
      <c r="AL473" s="225">
        <f>IF($AK473="","",$AK473*100000+IF(N($U473)=0,99999,INT($U473))+ROW()/100000)</f>
      </c>
      <c r="AM473" s="225">
        <f>IF(OR($A473="",TRIM($K473)="",COUNTIF($K$6:$K473,$K473)&gt;1),0,1)</f>
      </c>
      <c r="AN473" s="225">
        <f>IF($AM473=1,SUM($AM$6:$AM473),"")</f>
      </c>
      <c r="AO473" s="225">
        <f>IF(OR($A473="",$V473="Đã xử lý",N($U473)=0),0,IF(TDBC&lt;=$U473,0,MAX(1,MIN(4,IF((TDBC-$U473)*24&lt;24,1,IF((TDBC-$U473)*24&lt;72,2,IF((TDBC-$U473)*24&lt;168,3,4)))+IFERROR(INDEX({2,1,0,-1},MATCH($J473,{"Khẩn cấp","Cao","Trung bình","Thấp"},0)),0)))))</f>
      </c>
    </row>
    <row r="474">
      <c r="A474" s="216"/>
      <c r="B474" s="217"/>
      <c r="C474" s="218"/>
      <c r="D474" s="218"/>
      <c r="E474" s="218"/>
      <c r="F474" s="218"/>
      <c r="G474" s="216"/>
      <c r="H474" s="218"/>
      <c r="I474" s="218"/>
      <c r="J474" s="216"/>
      <c r="K474" s="218"/>
      <c r="L474" s="218"/>
      <c r="M474" s="218"/>
      <c r="N474" s="218"/>
      <c r="O474" s="219"/>
      <c r="P474" s="216"/>
      <c r="Q474" s="217"/>
      <c r="R474" s="216"/>
      <c r="S474" s="218"/>
      <c r="T474" s="218"/>
      <c r="U474" s="220">
        <f>IF($A474="","",IF(N($Q474)&gt;0,IF(MOD($Q474,1)=0,$Q474+1-1/1440,$Q474),IF(N($B474)=0,"",$B474+IF(N($AH474)&gt;0,$AH474,IFERROR(INDEX(DM_SLA_Gio,MATCH($J474,DM_SLA_Cap,0)),168))/24)))</f>
      </c>
      <c r="V474" s="221">
        <f>IF($A474="","",IF(N($AJ474)=0,"Mới tiếp nhận",INDEX('Nhật ký tiến độ'!$E:$E,$AJ474)))</f>
      </c>
      <c r="W474" s="222">
        <f>IF($A474="","",IF($V474="Đã xử lý",1,IF(N($AJ474)=0,0,N(INDEX('Nhật ký tiến độ'!$D:$D,$AJ474)))))</f>
      </c>
      <c r="X474" s="222">
        <f>IF(OR($A474="",$V474="Đã xử lý",N($U474)=0,N($B474)=0),"",IF(TDBC&lt;=$B474,0,IF(TDBC&gt;=$U474,1,(TDBC-$B474)/($U474-$B474))))</f>
      </c>
      <c r="Y474" s="223">
        <f>IF($A474="","",IF($V474="Đã xử lý","Hoàn thành",IF(N($U474)=0,"Chưa đặt hạn",IF(TDBC&gt;$U474,"Quá hạn",IF(ROUND((N($X474)-$W474)*100,0)&gt;=20,"Chậm tiến độ",IF($U474-TDBC&lt;=1,"Sắp đến hạn","Đúng tiến độ"))))))</f>
      </c>
      <c r="Z474" s="223">
        <f>IF(OR($A474="",$V474="Đã xử lý",N($U474)=0),"",IF(TDBC&gt;$U474,"Quá "&amp;IF(((TDBC-$U474)*24)&lt;1,MAX(1,ROUND(((TDBC-$U474)*24)*60,0))&amp;" phút",IF(ROUND(((TDBC-$U474)*24),0)&lt;24,ROUND(((TDBC-$U474)*24),0)&amp;" giờ",INT(ROUND(((TDBC-$U474)*24),0)/24)&amp;" ngày"&amp;IF(MOD(ROUND(((TDBC-$U474)*24),0),24)&gt;0," "&amp;MOD(ROUND(((TDBC-$U474)*24),0),24)&amp;" giờ",""))),"Còn "&amp;IF((($U474-TDBC)*24)&lt;1,MAX(1,ROUND((($U474-TDBC)*24)*60,0))&amp;" phút",IF(ROUND((($U474-TDBC)*24),0)&lt;24,ROUND((($U474-TDBC)*24),0)&amp;" giờ",INT(ROUND((($U474-TDBC)*24),0)/24)&amp;" ngày"&amp;IF(MOD(ROUND((($U474-TDBC)*24),0),24)&gt;0," "&amp;MOD(ROUND((($U474-TDBC)*24),0),24)&amp;" giờ","")))))</f>
      </c>
      <c r="AA474" s="220">
        <f>IF($V474="Đã xử lý",_xlfn.MAXIFS('Nhật ký tiến độ'!$B$6:$B$3005,'Nhật ký tiến độ'!$C$6:$C$3005,$A474,'Nhật ký tiến độ'!$E$6:$E$3005,"Đã xử lý"),"")</f>
      </c>
      <c r="AB474" s="223">
        <f>IF($AI474="","",IF($AI474&lt;1,MAX(1,ROUND($AI474*60,0))&amp;" phút",IF(ROUND($AI474,0)&lt;24,ROUND($AI474,0)&amp;" giờ",INT(ROUND($AI474,0)/24)&amp;" ngày"&amp;IF(MOD(ROUND($AI474,0),24)&gt;0," "&amp;MOD(ROUND($AI474,0),24)&amp;" giờ",""))))</f>
      </c>
      <c r="AC474" s="223">
        <f>IF(OR($A474="",N($AH474)=0),"",IF($AI474&lt;&gt;"",IF($AI474&lt;=$AH474,"Trong ước tính","Vượt "&amp;IF(($AI474-$AH474)&lt;1,MAX(1,ROUND(($AI474-$AH474)*60,0))&amp;" phút",IF(ROUND(($AI474-$AH474),0)&lt;24,ROUND(($AI474-$AH474),0)&amp;" giờ",INT(ROUND(($AI474-$AH474),0)/24)&amp;" ngày"&amp;IF(MOD(ROUND(($AI474-$AH474),0),24)&gt;0," "&amp;MOD(ROUND(($AI474-$AH474),0),24)&amp;" giờ","")))),IF(OR($V474="Đã xử lý",N($B474)=0),"",IF((TDBC-$B474)*24&gt;$AH474,"Đã vượt ước tính","Đã dùng "&amp;TEXT((TDBC-$B474)*24/$AH474,"0%")))))</f>
      </c>
      <c r="AD474" s="223">
        <f>IF(N($AO474)=0,"",CHOOSE($AO474,"Nhắc nhở","Cảnh báo","Báo động","Báo động đỏ"))</f>
      </c>
      <c r="AE474" s="223">
        <f>IF(OR(N($AA474)=0,N($U474)=0),"",IF($AA474&lt;=$U474,"Đúng hạn","Trễ hạn"))</f>
      </c>
      <c r="AF474" s="220">
        <f>IF($A474="","",_xlfn.MAXIFS('Nhật ký tiến độ'!$B$6:$B$3005,'Nhật ký tiến độ'!$C$6:$C$3005,$A474))</f>
      </c>
      <c r="AG474" s="223">
        <f>IF($A474="","",IF(COUNTIF('Kế hoạch'!$M$6:$M$305,$A474)=0,"",COUNTIF('Kế hoạch'!$M$6:$M$305,$A474)&amp;" việc"))</f>
      </c>
      <c r="AH474" s="224">
        <f>IF(OR($A474="",N($O474)&lt;=0),"",IF($P474="Giờ",$O474,$O474*24))</f>
      </c>
      <c r="AI474" s="224">
        <f>IF(OR(N($AA474)=0,N($B474)=0),"",IF($AA474&lt;$B474,"",($AA474-$B474)*24))</f>
      </c>
      <c r="AJ474" s="225">
        <f>IF($A474="","",IF(COUNTIF('Nhật ký tiến độ'!$C$6:$C$3005,$A474)=0,0,_xlfn.MAXIFS('Nhật ký tiến độ'!$N$6:$N$3005,'Nhật ký tiến độ'!$C$6:$C$3005,$A474,'Nhật ký tiến độ'!$B$6:$B$3005,_xlfn.MAXIFS('Nhật ký tiến độ'!$B$6:$B$3005,'Nhật ký tiến độ'!$C$6:$C$3005,$A474))))</f>
      </c>
      <c r="AK474" s="225">
        <f>IF(OR($A474="",$V474="Đã xử lý"),"",IF(N($AO474)&gt;0,5-$AO474,IF($J474="Khẩn cấp",5,IF($Y474="Chậm tiến độ",6,IF(OR($Y474="Sắp đến hạn",$J474="Cao"),7,"")))))</f>
      </c>
      <c r="AL474" s="225">
        <f>IF($AK474="","",$AK474*100000+IF(N($U474)=0,99999,INT($U474))+ROW()/100000)</f>
      </c>
      <c r="AM474" s="225">
        <f>IF(OR($A474="",TRIM($K474)="",COUNTIF($K$6:$K474,$K474)&gt;1),0,1)</f>
      </c>
      <c r="AN474" s="225">
        <f>IF($AM474=1,SUM($AM$6:$AM474),"")</f>
      </c>
      <c r="AO474" s="225">
        <f>IF(OR($A474="",$V474="Đã xử lý",N($U474)=0),0,IF(TDBC&lt;=$U474,0,MAX(1,MIN(4,IF((TDBC-$U474)*24&lt;24,1,IF((TDBC-$U474)*24&lt;72,2,IF((TDBC-$U474)*24&lt;168,3,4)))+IFERROR(INDEX({2,1,0,-1},MATCH($J474,{"Khẩn cấp","Cao","Trung bình","Thấp"},0)),0)))))</f>
      </c>
    </row>
    <row r="475">
      <c r="A475" s="216"/>
      <c r="B475" s="217"/>
      <c r="C475" s="218"/>
      <c r="D475" s="218"/>
      <c r="E475" s="218"/>
      <c r="F475" s="218"/>
      <c r="G475" s="216"/>
      <c r="H475" s="218"/>
      <c r="I475" s="218"/>
      <c r="J475" s="216"/>
      <c r="K475" s="218"/>
      <c r="L475" s="218"/>
      <c r="M475" s="218"/>
      <c r="N475" s="218"/>
      <c r="O475" s="219"/>
      <c r="P475" s="216"/>
      <c r="Q475" s="217"/>
      <c r="R475" s="216"/>
      <c r="S475" s="218"/>
      <c r="T475" s="218"/>
      <c r="U475" s="220">
        <f>IF($A475="","",IF(N($Q475)&gt;0,IF(MOD($Q475,1)=0,$Q475+1-1/1440,$Q475),IF(N($B475)=0,"",$B475+IF(N($AH475)&gt;0,$AH475,IFERROR(INDEX(DM_SLA_Gio,MATCH($J475,DM_SLA_Cap,0)),168))/24)))</f>
      </c>
      <c r="V475" s="221">
        <f>IF($A475="","",IF(N($AJ475)=0,"Mới tiếp nhận",INDEX('Nhật ký tiến độ'!$E:$E,$AJ475)))</f>
      </c>
      <c r="W475" s="222">
        <f>IF($A475="","",IF($V475="Đã xử lý",1,IF(N($AJ475)=0,0,N(INDEX('Nhật ký tiến độ'!$D:$D,$AJ475)))))</f>
      </c>
      <c r="X475" s="222">
        <f>IF(OR($A475="",$V475="Đã xử lý",N($U475)=0,N($B475)=0),"",IF(TDBC&lt;=$B475,0,IF(TDBC&gt;=$U475,1,(TDBC-$B475)/($U475-$B475))))</f>
      </c>
      <c r="Y475" s="223">
        <f>IF($A475="","",IF($V475="Đã xử lý","Hoàn thành",IF(N($U475)=0,"Chưa đặt hạn",IF(TDBC&gt;$U475,"Quá hạn",IF(ROUND((N($X475)-$W475)*100,0)&gt;=20,"Chậm tiến độ",IF($U475-TDBC&lt;=1,"Sắp đến hạn","Đúng tiến độ"))))))</f>
      </c>
      <c r="Z475" s="223">
        <f>IF(OR($A475="",$V475="Đã xử lý",N($U475)=0),"",IF(TDBC&gt;$U475,"Quá "&amp;IF(((TDBC-$U475)*24)&lt;1,MAX(1,ROUND(((TDBC-$U475)*24)*60,0))&amp;" phút",IF(ROUND(((TDBC-$U475)*24),0)&lt;24,ROUND(((TDBC-$U475)*24),0)&amp;" giờ",INT(ROUND(((TDBC-$U475)*24),0)/24)&amp;" ngày"&amp;IF(MOD(ROUND(((TDBC-$U475)*24),0),24)&gt;0," "&amp;MOD(ROUND(((TDBC-$U475)*24),0),24)&amp;" giờ",""))),"Còn "&amp;IF((($U475-TDBC)*24)&lt;1,MAX(1,ROUND((($U475-TDBC)*24)*60,0))&amp;" phút",IF(ROUND((($U475-TDBC)*24),0)&lt;24,ROUND((($U475-TDBC)*24),0)&amp;" giờ",INT(ROUND((($U475-TDBC)*24),0)/24)&amp;" ngày"&amp;IF(MOD(ROUND((($U475-TDBC)*24),0),24)&gt;0," "&amp;MOD(ROUND((($U475-TDBC)*24),0),24)&amp;" giờ","")))))</f>
      </c>
      <c r="AA475" s="220">
        <f>IF($V475="Đã xử lý",_xlfn.MAXIFS('Nhật ký tiến độ'!$B$6:$B$3005,'Nhật ký tiến độ'!$C$6:$C$3005,$A475,'Nhật ký tiến độ'!$E$6:$E$3005,"Đã xử lý"),"")</f>
      </c>
      <c r="AB475" s="223">
        <f>IF($AI475="","",IF($AI475&lt;1,MAX(1,ROUND($AI475*60,0))&amp;" phút",IF(ROUND($AI475,0)&lt;24,ROUND($AI475,0)&amp;" giờ",INT(ROUND($AI475,0)/24)&amp;" ngày"&amp;IF(MOD(ROUND($AI475,0),24)&gt;0," "&amp;MOD(ROUND($AI475,0),24)&amp;" giờ",""))))</f>
      </c>
      <c r="AC475" s="223">
        <f>IF(OR($A475="",N($AH475)=0),"",IF($AI475&lt;&gt;"",IF($AI475&lt;=$AH475,"Trong ước tính","Vượt "&amp;IF(($AI475-$AH475)&lt;1,MAX(1,ROUND(($AI475-$AH475)*60,0))&amp;" phút",IF(ROUND(($AI475-$AH475),0)&lt;24,ROUND(($AI475-$AH475),0)&amp;" giờ",INT(ROUND(($AI475-$AH475),0)/24)&amp;" ngày"&amp;IF(MOD(ROUND(($AI475-$AH475),0),24)&gt;0," "&amp;MOD(ROUND(($AI475-$AH475),0),24)&amp;" giờ","")))),IF(OR($V475="Đã xử lý",N($B475)=0),"",IF((TDBC-$B475)*24&gt;$AH475,"Đã vượt ước tính","Đã dùng "&amp;TEXT((TDBC-$B475)*24/$AH475,"0%")))))</f>
      </c>
      <c r="AD475" s="223">
        <f>IF(N($AO475)=0,"",CHOOSE($AO475,"Nhắc nhở","Cảnh báo","Báo động","Báo động đỏ"))</f>
      </c>
      <c r="AE475" s="223">
        <f>IF(OR(N($AA475)=0,N($U475)=0),"",IF($AA475&lt;=$U475,"Đúng hạn","Trễ hạn"))</f>
      </c>
      <c r="AF475" s="220">
        <f>IF($A475="","",_xlfn.MAXIFS('Nhật ký tiến độ'!$B$6:$B$3005,'Nhật ký tiến độ'!$C$6:$C$3005,$A475))</f>
      </c>
      <c r="AG475" s="223">
        <f>IF($A475="","",IF(COUNTIF('Kế hoạch'!$M$6:$M$305,$A475)=0,"",COUNTIF('Kế hoạch'!$M$6:$M$305,$A475)&amp;" việc"))</f>
      </c>
      <c r="AH475" s="224">
        <f>IF(OR($A475="",N($O475)&lt;=0),"",IF($P475="Giờ",$O475,$O475*24))</f>
      </c>
      <c r="AI475" s="224">
        <f>IF(OR(N($AA475)=0,N($B475)=0),"",IF($AA475&lt;$B475,"",($AA475-$B475)*24))</f>
      </c>
      <c r="AJ475" s="225">
        <f>IF($A475="","",IF(COUNTIF('Nhật ký tiến độ'!$C$6:$C$3005,$A475)=0,0,_xlfn.MAXIFS('Nhật ký tiến độ'!$N$6:$N$3005,'Nhật ký tiến độ'!$C$6:$C$3005,$A475,'Nhật ký tiến độ'!$B$6:$B$3005,_xlfn.MAXIFS('Nhật ký tiến độ'!$B$6:$B$3005,'Nhật ký tiến độ'!$C$6:$C$3005,$A475))))</f>
      </c>
      <c r="AK475" s="225">
        <f>IF(OR($A475="",$V475="Đã xử lý"),"",IF(N($AO475)&gt;0,5-$AO475,IF($J475="Khẩn cấp",5,IF($Y475="Chậm tiến độ",6,IF(OR($Y475="Sắp đến hạn",$J475="Cao"),7,"")))))</f>
      </c>
      <c r="AL475" s="225">
        <f>IF($AK475="","",$AK475*100000+IF(N($U475)=0,99999,INT($U475))+ROW()/100000)</f>
      </c>
      <c r="AM475" s="225">
        <f>IF(OR($A475="",TRIM($K475)="",COUNTIF($K$6:$K475,$K475)&gt;1),0,1)</f>
      </c>
      <c r="AN475" s="225">
        <f>IF($AM475=1,SUM($AM$6:$AM475),"")</f>
      </c>
      <c r="AO475" s="225">
        <f>IF(OR($A475="",$V475="Đã xử lý",N($U475)=0),0,IF(TDBC&lt;=$U475,0,MAX(1,MIN(4,IF((TDBC-$U475)*24&lt;24,1,IF((TDBC-$U475)*24&lt;72,2,IF((TDBC-$U475)*24&lt;168,3,4)))+IFERROR(INDEX({2,1,0,-1},MATCH($J475,{"Khẩn cấp","Cao","Trung bình","Thấp"},0)),0)))))</f>
      </c>
    </row>
    <row r="476">
      <c r="A476" s="216"/>
      <c r="B476" s="217"/>
      <c r="C476" s="218"/>
      <c r="D476" s="218"/>
      <c r="E476" s="218"/>
      <c r="F476" s="218"/>
      <c r="G476" s="216"/>
      <c r="H476" s="218"/>
      <c r="I476" s="218"/>
      <c r="J476" s="216"/>
      <c r="K476" s="218"/>
      <c r="L476" s="218"/>
      <c r="M476" s="218"/>
      <c r="N476" s="218"/>
      <c r="O476" s="219"/>
      <c r="P476" s="216"/>
      <c r="Q476" s="217"/>
      <c r="R476" s="216"/>
      <c r="S476" s="218"/>
      <c r="T476" s="218"/>
      <c r="U476" s="220">
        <f>IF($A476="","",IF(N($Q476)&gt;0,IF(MOD($Q476,1)=0,$Q476+1-1/1440,$Q476),IF(N($B476)=0,"",$B476+IF(N($AH476)&gt;0,$AH476,IFERROR(INDEX(DM_SLA_Gio,MATCH($J476,DM_SLA_Cap,0)),168))/24)))</f>
      </c>
      <c r="V476" s="221">
        <f>IF($A476="","",IF(N($AJ476)=0,"Mới tiếp nhận",INDEX('Nhật ký tiến độ'!$E:$E,$AJ476)))</f>
      </c>
      <c r="W476" s="222">
        <f>IF($A476="","",IF($V476="Đã xử lý",1,IF(N($AJ476)=0,0,N(INDEX('Nhật ký tiến độ'!$D:$D,$AJ476)))))</f>
      </c>
      <c r="X476" s="222">
        <f>IF(OR($A476="",$V476="Đã xử lý",N($U476)=0,N($B476)=0),"",IF(TDBC&lt;=$B476,0,IF(TDBC&gt;=$U476,1,(TDBC-$B476)/($U476-$B476))))</f>
      </c>
      <c r="Y476" s="223">
        <f>IF($A476="","",IF($V476="Đã xử lý","Hoàn thành",IF(N($U476)=0,"Chưa đặt hạn",IF(TDBC&gt;$U476,"Quá hạn",IF(ROUND((N($X476)-$W476)*100,0)&gt;=20,"Chậm tiến độ",IF($U476-TDBC&lt;=1,"Sắp đến hạn","Đúng tiến độ"))))))</f>
      </c>
      <c r="Z476" s="223">
        <f>IF(OR($A476="",$V476="Đã xử lý",N($U476)=0),"",IF(TDBC&gt;$U476,"Quá "&amp;IF(((TDBC-$U476)*24)&lt;1,MAX(1,ROUND(((TDBC-$U476)*24)*60,0))&amp;" phút",IF(ROUND(((TDBC-$U476)*24),0)&lt;24,ROUND(((TDBC-$U476)*24),0)&amp;" giờ",INT(ROUND(((TDBC-$U476)*24),0)/24)&amp;" ngày"&amp;IF(MOD(ROUND(((TDBC-$U476)*24),0),24)&gt;0," "&amp;MOD(ROUND(((TDBC-$U476)*24),0),24)&amp;" giờ",""))),"Còn "&amp;IF((($U476-TDBC)*24)&lt;1,MAX(1,ROUND((($U476-TDBC)*24)*60,0))&amp;" phút",IF(ROUND((($U476-TDBC)*24),0)&lt;24,ROUND((($U476-TDBC)*24),0)&amp;" giờ",INT(ROUND((($U476-TDBC)*24),0)/24)&amp;" ngày"&amp;IF(MOD(ROUND((($U476-TDBC)*24),0),24)&gt;0," "&amp;MOD(ROUND((($U476-TDBC)*24),0),24)&amp;" giờ","")))))</f>
      </c>
      <c r="AA476" s="220">
        <f>IF($V476="Đã xử lý",_xlfn.MAXIFS('Nhật ký tiến độ'!$B$6:$B$3005,'Nhật ký tiến độ'!$C$6:$C$3005,$A476,'Nhật ký tiến độ'!$E$6:$E$3005,"Đã xử lý"),"")</f>
      </c>
      <c r="AB476" s="223">
        <f>IF($AI476="","",IF($AI476&lt;1,MAX(1,ROUND($AI476*60,0))&amp;" phút",IF(ROUND($AI476,0)&lt;24,ROUND($AI476,0)&amp;" giờ",INT(ROUND($AI476,0)/24)&amp;" ngày"&amp;IF(MOD(ROUND($AI476,0),24)&gt;0," "&amp;MOD(ROUND($AI476,0),24)&amp;" giờ",""))))</f>
      </c>
      <c r="AC476" s="223">
        <f>IF(OR($A476="",N($AH476)=0),"",IF($AI476&lt;&gt;"",IF($AI476&lt;=$AH476,"Trong ước tính","Vượt "&amp;IF(($AI476-$AH476)&lt;1,MAX(1,ROUND(($AI476-$AH476)*60,0))&amp;" phút",IF(ROUND(($AI476-$AH476),0)&lt;24,ROUND(($AI476-$AH476),0)&amp;" giờ",INT(ROUND(($AI476-$AH476),0)/24)&amp;" ngày"&amp;IF(MOD(ROUND(($AI476-$AH476),0),24)&gt;0," "&amp;MOD(ROUND(($AI476-$AH476),0),24)&amp;" giờ","")))),IF(OR($V476="Đã xử lý",N($B476)=0),"",IF((TDBC-$B476)*24&gt;$AH476,"Đã vượt ước tính","Đã dùng "&amp;TEXT((TDBC-$B476)*24/$AH476,"0%")))))</f>
      </c>
      <c r="AD476" s="223">
        <f>IF(N($AO476)=0,"",CHOOSE($AO476,"Nhắc nhở","Cảnh báo","Báo động","Báo động đỏ"))</f>
      </c>
      <c r="AE476" s="223">
        <f>IF(OR(N($AA476)=0,N($U476)=0),"",IF($AA476&lt;=$U476,"Đúng hạn","Trễ hạn"))</f>
      </c>
      <c r="AF476" s="220">
        <f>IF($A476="","",_xlfn.MAXIFS('Nhật ký tiến độ'!$B$6:$B$3005,'Nhật ký tiến độ'!$C$6:$C$3005,$A476))</f>
      </c>
      <c r="AG476" s="223">
        <f>IF($A476="","",IF(COUNTIF('Kế hoạch'!$M$6:$M$305,$A476)=0,"",COUNTIF('Kế hoạch'!$M$6:$M$305,$A476)&amp;" việc"))</f>
      </c>
      <c r="AH476" s="224">
        <f>IF(OR($A476="",N($O476)&lt;=0),"",IF($P476="Giờ",$O476,$O476*24))</f>
      </c>
      <c r="AI476" s="224">
        <f>IF(OR(N($AA476)=0,N($B476)=0),"",IF($AA476&lt;$B476,"",($AA476-$B476)*24))</f>
      </c>
      <c r="AJ476" s="225">
        <f>IF($A476="","",IF(COUNTIF('Nhật ký tiến độ'!$C$6:$C$3005,$A476)=0,0,_xlfn.MAXIFS('Nhật ký tiến độ'!$N$6:$N$3005,'Nhật ký tiến độ'!$C$6:$C$3005,$A476,'Nhật ký tiến độ'!$B$6:$B$3005,_xlfn.MAXIFS('Nhật ký tiến độ'!$B$6:$B$3005,'Nhật ký tiến độ'!$C$6:$C$3005,$A476))))</f>
      </c>
      <c r="AK476" s="225">
        <f>IF(OR($A476="",$V476="Đã xử lý"),"",IF(N($AO476)&gt;0,5-$AO476,IF($J476="Khẩn cấp",5,IF($Y476="Chậm tiến độ",6,IF(OR($Y476="Sắp đến hạn",$J476="Cao"),7,"")))))</f>
      </c>
      <c r="AL476" s="225">
        <f>IF($AK476="","",$AK476*100000+IF(N($U476)=0,99999,INT($U476))+ROW()/100000)</f>
      </c>
      <c r="AM476" s="225">
        <f>IF(OR($A476="",TRIM($K476)="",COUNTIF($K$6:$K476,$K476)&gt;1),0,1)</f>
      </c>
      <c r="AN476" s="225">
        <f>IF($AM476=1,SUM($AM$6:$AM476),"")</f>
      </c>
      <c r="AO476" s="225">
        <f>IF(OR($A476="",$V476="Đã xử lý",N($U476)=0),0,IF(TDBC&lt;=$U476,0,MAX(1,MIN(4,IF((TDBC-$U476)*24&lt;24,1,IF((TDBC-$U476)*24&lt;72,2,IF((TDBC-$U476)*24&lt;168,3,4)))+IFERROR(INDEX({2,1,0,-1},MATCH($J476,{"Khẩn cấp","Cao","Trung bình","Thấp"},0)),0)))))</f>
      </c>
    </row>
    <row r="477">
      <c r="A477" s="216"/>
      <c r="B477" s="217"/>
      <c r="C477" s="218"/>
      <c r="D477" s="218"/>
      <c r="E477" s="218"/>
      <c r="F477" s="218"/>
      <c r="G477" s="216"/>
      <c r="H477" s="218"/>
      <c r="I477" s="218"/>
      <c r="J477" s="216"/>
      <c r="K477" s="218"/>
      <c r="L477" s="218"/>
      <c r="M477" s="218"/>
      <c r="N477" s="218"/>
      <c r="O477" s="219"/>
      <c r="P477" s="216"/>
      <c r="Q477" s="217"/>
      <c r="R477" s="216"/>
      <c r="S477" s="218"/>
      <c r="T477" s="218"/>
      <c r="U477" s="220">
        <f>IF($A477="","",IF(N($Q477)&gt;0,IF(MOD($Q477,1)=0,$Q477+1-1/1440,$Q477),IF(N($B477)=0,"",$B477+IF(N($AH477)&gt;0,$AH477,IFERROR(INDEX(DM_SLA_Gio,MATCH($J477,DM_SLA_Cap,0)),168))/24)))</f>
      </c>
      <c r="V477" s="221">
        <f>IF($A477="","",IF(N($AJ477)=0,"Mới tiếp nhận",INDEX('Nhật ký tiến độ'!$E:$E,$AJ477)))</f>
      </c>
      <c r="W477" s="222">
        <f>IF($A477="","",IF($V477="Đã xử lý",1,IF(N($AJ477)=0,0,N(INDEX('Nhật ký tiến độ'!$D:$D,$AJ477)))))</f>
      </c>
      <c r="X477" s="222">
        <f>IF(OR($A477="",$V477="Đã xử lý",N($U477)=0,N($B477)=0),"",IF(TDBC&lt;=$B477,0,IF(TDBC&gt;=$U477,1,(TDBC-$B477)/($U477-$B477))))</f>
      </c>
      <c r="Y477" s="223">
        <f>IF($A477="","",IF($V477="Đã xử lý","Hoàn thành",IF(N($U477)=0,"Chưa đặt hạn",IF(TDBC&gt;$U477,"Quá hạn",IF(ROUND((N($X477)-$W477)*100,0)&gt;=20,"Chậm tiến độ",IF($U477-TDBC&lt;=1,"Sắp đến hạn","Đúng tiến độ"))))))</f>
      </c>
      <c r="Z477" s="223">
        <f>IF(OR($A477="",$V477="Đã xử lý",N($U477)=0),"",IF(TDBC&gt;$U477,"Quá "&amp;IF(((TDBC-$U477)*24)&lt;1,MAX(1,ROUND(((TDBC-$U477)*24)*60,0))&amp;" phút",IF(ROUND(((TDBC-$U477)*24),0)&lt;24,ROUND(((TDBC-$U477)*24),0)&amp;" giờ",INT(ROUND(((TDBC-$U477)*24),0)/24)&amp;" ngày"&amp;IF(MOD(ROUND(((TDBC-$U477)*24),0),24)&gt;0," "&amp;MOD(ROUND(((TDBC-$U477)*24),0),24)&amp;" giờ",""))),"Còn "&amp;IF((($U477-TDBC)*24)&lt;1,MAX(1,ROUND((($U477-TDBC)*24)*60,0))&amp;" phút",IF(ROUND((($U477-TDBC)*24),0)&lt;24,ROUND((($U477-TDBC)*24),0)&amp;" giờ",INT(ROUND((($U477-TDBC)*24),0)/24)&amp;" ngày"&amp;IF(MOD(ROUND((($U477-TDBC)*24),0),24)&gt;0," "&amp;MOD(ROUND((($U477-TDBC)*24),0),24)&amp;" giờ","")))))</f>
      </c>
      <c r="AA477" s="220">
        <f>IF($V477="Đã xử lý",_xlfn.MAXIFS('Nhật ký tiến độ'!$B$6:$B$3005,'Nhật ký tiến độ'!$C$6:$C$3005,$A477,'Nhật ký tiến độ'!$E$6:$E$3005,"Đã xử lý"),"")</f>
      </c>
      <c r="AB477" s="223">
        <f>IF($AI477="","",IF($AI477&lt;1,MAX(1,ROUND($AI477*60,0))&amp;" phút",IF(ROUND($AI477,0)&lt;24,ROUND($AI477,0)&amp;" giờ",INT(ROUND($AI477,0)/24)&amp;" ngày"&amp;IF(MOD(ROUND($AI477,0),24)&gt;0," "&amp;MOD(ROUND($AI477,0),24)&amp;" giờ",""))))</f>
      </c>
      <c r="AC477" s="223">
        <f>IF(OR($A477="",N($AH477)=0),"",IF($AI477&lt;&gt;"",IF($AI477&lt;=$AH477,"Trong ước tính","Vượt "&amp;IF(($AI477-$AH477)&lt;1,MAX(1,ROUND(($AI477-$AH477)*60,0))&amp;" phút",IF(ROUND(($AI477-$AH477),0)&lt;24,ROUND(($AI477-$AH477),0)&amp;" giờ",INT(ROUND(($AI477-$AH477),0)/24)&amp;" ngày"&amp;IF(MOD(ROUND(($AI477-$AH477),0),24)&gt;0," "&amp;MOD(ROUND(($AI477-$AH477),0),24)&amp;" giờ","")))),IF(OR($V477="Đã xử lý",N($B477)=0),"",IF((TDBC-$B477)*24&gt;$AH477,"Đã vượt ước tính","Đã dùng "&amp;TEXT((TDBC-$B477)*24/$AH477,"0%")))))</f>
      </c>
      <c r="AD477" s="223">
        <f>IF(N($AO477)=0,"",CHOOSE($AO477,"Nhắc nhở","Cảnh báo","Báo động","Báo động đỏ"))</f>
      </c>
      <c r="AE477" s="223">
        <f>IF(OR(N($AA477)=0,N($U477)=0),"",IF($AA477&lt;=$U477,"Đúng hạn","Trễ hạn"))</f>
      </c>
      <c r="AF477" s="220">
        <f>IF($A477="","",_xlfn.MAXIFS('Nhật ký tiến độ'!$B$6:$B$3005,'Nhật ký tiến độ'!$C$6:$C$3005,$A477))</f>
      </c>
      <c r="AG477" s="223">
        <f>IF($A477="","",IF(COUNTIF('Kế hoạch'!$M$6:$M$305,$A477)=0,"",COUNTIF('Kế hoạch'!$M$6:$M$305,$A477)&amp;" việc"))</f>
      </c>
      <c r="AH477" s="224">
        <f>IF(OR($A477="",N($O477)&lt;=0),"",IF($P477="Giờ",$O477,$O477*24))</f>
      </c>
      <c r="AI477" s="224">
        <f>IF(OR(N($AA477)=0,N($B477)=0),"",IF($AA477&lt;$B477,"",($AA477-$B477)*24))</f>
      </c>
      <c r="AJ477" s="225">
        <f>IF($A477="","",IF(COUNTIF('Nhật ký tiến độ'!$C$6:$C$3005,$A477)=0,0,_xlfn.MAXIFS('Nhật ký tiến độ'!$N$6:$N$3005,'Nhật ký tiến độ'!$C$6:$C$3005,$A477,'Nhật ký tiến độ'!$B$6:$B$3005,_xlfn.MAXIFS('Nhật ký tiến độ'!$B$6:$B$3005,'Nhật ký tiến độ'!$C$6:$C$3005,$A477))))</f>
      </c>
      <c r="AK477" s="225">
        <f>IF(OR($A477="",$V477="Đã xử lý"),"",IF(N($AO477)&gt;0,5-$AO477,IF($J477="Khẩn cấp",5,IF($Y477="Chậm tiến độ",6,IF(OR($Y477="Sắp đến hạn",$J477="Cao"),7,"")))))</f>
      </c>
      <c r="AL477" s="225">
        <f>IF($AK477="","",$AK477*100000+IF(N($U477)=0,99999,INT($U477))+ROW()/100000)</f>
      </c>
      <c r="AM477" s="225">
        <f>IF(OR($A477="",TRIM($K477)="",COUNTIF($K$6:$K477,$K477)&gt;1),0,1)</f>
      </c>
      <c r="AN477" s="225">
        <f>IF($AM477=1,SUM($AM$6:$AM477),"")</f>
      </c>
      <c r="AO477" s="225">
        <f>IF(OR($A477="",$V477="Đã xử lý",N($U477)=0),0,IF(TDBC&lt;=$U477,0,MAX(1,MIN(4,IF((TDBC-$U477)*24&lt;24,1,IF((TDBC-$U477)*24&lt;72,2,IF((TDBC-$U477)*24&lt;168,3,4)))+IFERROR(INDEX({2,1,0,-1},MATCH($J477,{"Khẩn cấp","Cao","Trung bình","Thấp"},0)),0)))))</f>
      </c>
    </row>
    <row r="478">
      <c r="A478" s="216"/>
      <c r="B478" s="217"/>
      <c r="C478" s="218"/>
      <c r="D478" s="218"/>
      <c r="E478" s="218"/>
      <c r="F478" s="218"/>
      <c r="G478" s="216"/>
      <c r="H478" s="218"/>
      <c r="I478" s="218"/>
      <c r="J478" s="216"/>
      <c r="K478" s="218"/>
      <c r="L478" s="218"/>
      <c r="M478" s="218"/>
      <c r="N478" s="218"/>
      <c r="O478" s="219"/>
      <c r="P478" s="216"/>
      <c r="Q478" s="217"/>
      <c r="R478" s="216"/>
      <c r="S478" s="218"/>
      <c r="T478" s="218"/>
      <c r="U478" s="220">
        <f>IF($A478="","",IF(N($Q478)&gt;0,IF(MOD($Q478,1)=0,$Q478+1-1/1440,$Q478),IF(N($B478)=0,"",$B478+IF(N($AH478)&gt;0,$AH478,IFERROR(INDEX(DM_SLA_Gio,MATCH($J478,DM_SLA_Cap,0)),168))/24)))</f>
      </c>
      <c r="V478" s="221">
        <f>IF($A478="","",IF(N($AJ478)=0,"Mới tiếp nhận",INDEX('Nhật ký tiến độ'!$E:$E,$AJ478)))</f>
      </c>
      <c r="W478" s="222">
        <f>IF($A478="","",IF($V478="Đã xử lý",1,IF(N($AJ478)=0,0,N(INDEX('Nhật ký tiến độ'!$D:$D,$AJ478)))))</f>
      </c>
      <c r="X478" s="222">
        <f>IF(OR($A478="",$V478="Đã xử lý",N($U478)=0,N($B478)=0),"",IF(TDBC&lt;=$B478,0,IF(TDBC&gt;=$U478,1,(TDBC-$B478)/($U478-$B478))))</f>
      </c>
      <c r="Y478" s="223">
        <f>IF($A478="","",IF($V478="Đã xử lý","Hoàn thành",IF(N($U478)=0,"Chưa đặt hạn",IF(TDBC&gt;$U478,"Quá hạn",IF(ROUND((N($X478)-$W478)*100,0)&gt;=20,"Chậm tiến độ",IF($U478-TDBC&lt;=1,"Sắp đến hạn","Đúng tiến độ"))))))</f>
      </c>
      <c r="Z478" s="223">
        <f>IF(OR($A478="",$V478="Đã xử lý",N($U478)=0),"",IF(TDBC&gt;$U478,"Quá "&amp;IF(((TDBC-$U478)*24)&lt;1,MAX(1,ROUND(((TDBC-$U478)*24)*60,0))&amp;" phút",IF(ROUND(((TDBC-$U478)*24),0)&lt;24,ROUND(((TDBC-$U478)*24),0)&amp;" giờ",INT(ROUND(((TDBC-$U478)*24),0)/24)&amp;" ngày"&amp;IF(MOD(ROUND(((TDBC-$U478)*24),0),24)&gt;0," "&amp;MOD(ROUND(((TDBC-$U478)*24),0),24)&amp;" giờ",""))),"Còn "&amp;IF((($U478-TDBC)*24)&lt;1,MAX(1,ROUND((($U478-TDBC)*24)*60,0))&amp;" phút",IF(ROUND((($U478-TDBC)*24),0)&lt;24,ROUND((($U478-TDBC)*24),0)&amp;" giờ",INT(ROUND((($U478-TDBC)*24),0)/24)&amp;" ngày"&amp;IF(MOD(ROUND((($U478-TDBC)*24),0),24)&gt;0," "&amp;MOD(ROUND((($U478-TDBC)*24),0),24)&amp;" giờ","")))))</f>
      </c>
      <c r="AA478" s="220">
        <f>IF($V478="Đã xử lý",_xlfn.MAXIFS('Nhật ký tiến độ'!$B$6:$B$3005,'Nhật ký tiến độ'!$C$6:$C$3005,$A478,'Nhật ký tiến độ'!$E$6:$E$3005,"Đã xử lý"),"")</f>
      </c>
      <c r="AB478" s="223">
        <f>IF($AI478="","",IF($AI478&lt;1,MAX(1,ROUND($AI478*60,0))&amp;" phút",IF(ROUND($AI478,0)&lt;24,ROUND($AI478,0)&amp;" giờ",INT(ROUND($AI478,0)/24)&amp;" ngày"&amp;IF(MOD(ROUND($AI478,0),24)&gt;0," "&amp;MOD(ROUND($AI478,0),24)&amp;" giờ",""))))</f>
      </c>
      <c r="AC478" s="223">
        <f>IF(OR($A478="",N($AH478)=0),"",IF($AI478&lt;&gt;"",IF($AI478&lt;=$AH478,"Trong ước tính","Vượt "&amp;IF(($AI478-$AH478)&lt;1,MAX(1,ROUND(($AI478-$AH478)*60,0))&amp;" phút",IF(ROUND(($AI478-$AH478),0)&lt;24,ROUND(($AI478-$AH478),0)&amp;" giờ",INT(ROUND(($AI478-$AH478),0)/24)&amp;" ngày"&amp;IF(MOD(ROUND(($AI478-$AH478),0),24)&gt;0," "&amp;MOD(ROUND(($AI478-$AH478),0),24)&amp;" giờ","")))),IF(OR($V478="Đã xử lý",N($B478)=0),"",IF((TDBC-$B478)*24&gt;$AH478,"Đã vượt ước tính","Đã dùng "&amp;TEXT((TDBC-$B478)*24/$AH478,"0%")))))</f>
      </c>
      <c r="AD478" s="223">
        <f>IF(N($AO478)=0,"",CHOOSE($AO478,"Nhắc nhở","Cảnh báo","Báo động","Báo động đỏ"))</f>
      </c>
      <c r="AE478" s="223">
        <f>IF(OR(N($AA478)=0,N($U478)=0),"",IF($AA478&lt;=$U478,"Đúng hạn","Trễ hạn"))</f>
      </c>
      <c r="AF478" s="220">
        <f>IF($A478="","",_xlfn.MAXIFS('Nhật ký tiến độ'!$B$6:$B$3005,'Nhật ký tiến độ'!$C$6:$C$3005,$A478))</f>
      </c>
      <c r="AG478" s="223">
        <f>IF($A478="","",IF(COUNTIF('Kế hoạch'!$M$6:$M$305,$A478)=0,"",COUNTIF('Kế hoạch'!$M$6:$M$305,$A478)&amp;" việc"))</f>
      </c>
      <c r="AH478" s="224">
        <f>IF(OR($A478="",N($O478)&lt;=0),"",IF($P478="Giờ",$O478,$O478*24))</f>
      </c>
      <c r="AI478" s="224">
        <f>IF(OR(N($AA478)=0,N($B478)=0),"",IF($AA478&lt;$B478,"",($AA478-$B478)*24))</f>
      </c>
      <c r="AJ478" s="225">
        <f>IF($A478="","",IF(COUNTIF('Nhật ký tiến độ'!$C$6:$C$3005,$A478)=0,0,_xlfn.MAXIFS('Nhật ký tiến độ'!$N$6:$N$3005,'Nhật ký tiến độ'!$C$6:$C$3005,$A478,'Nhật ký tiến độ'!$B$6:$B$3005,_xlfn.MAXIFS('Nhật ký tiến độ'!$B$6:$B$3005,'Nhật ký tiến độ'!$C$6:$C$3005,$A478))))</f>
      </c>
      <c r="AK478" s="225">
        <f>IF(OR($A478="",$V478="Đã xử lý"),"",IF(N($AO478)&gt;0,5-$AO478,IF($J478="Khẩn cấp",5,IF($Y478="Chậm tiến độ",6,IF(OR($Y478="Sắp đến hạn",$J478="Cao"),7,"")))))</f>
      </c>
      <c r="AL478" s="225">
        <f>IF($AK478="","",$AK478*100000+IF(N($U478)=0,99999,INT($U478))+ROW()/100000)</f>
      </c>
      <c r="AM478" s="225">
        <f>IF(OR($A478="",TRIM($K478)="",COUNTIF($K$6:$K478,$K478)&gt;1),0,1)</f>
      </c>
      <c r="AN478" s="225">
        <f>IF($AM478=1,SUM($AM$6:$AM478),"")</f>
      </c>
      <c r="AO478" s="225">
        <f>IF(OR($A478="",$V478="Đã xử lý",N($U478)=0),0,IF(TDBC&lt;=$U478,0,MAX(1,MIN(4,IF((TDBC-$U478)*24&lt;24,1,IF((TDBC-$U478)*24&lt;72,2,IF((TDBC-$U478)*24&lt;168,3,4)))+IFERROR(INDEX({2,1,0,-1},MATCH($J478,{"Khẩn cấp","Cao","Trung bình","Thấp"},0)),0)))))</f>
      </c>
    </row>
    <row r="479">
      <c r="A479" s="216"/>
      <c r="B479" s="217"/>
      <c r="C479" s="218"/>
      <c r="D479" s="218"/>
      <c r="E479" s="218"/>
      <c r="F479" s="218"/>
      <c r="G479" s="216"/>
      <c r="H479" s="218"/>
      <c r="I479" s="218"/>
      <c r="J479" s="216"/>
      <c r="K479" s="218"/>
      <c r="L479" s="218"/>
      <c r="M479" s="218"/>
      <c r="N479" s="218"/>
      <c r="O479" s="219"/>
      <c r="P479" s="216"/>
      <c r="Q479" s="217"/>
      <c r="R479" s="216"/>
      <c r="S479" s="218"/>
      <c r="T479" s="218"/>
      <c r="U479" s="220">
        <f>IF($A479="","",IF(N($Q479)&gt;0,IF(MOD($Q479,1)=0,$Q479+1-1/1440,$Q479),IF(N($B479)=0,"",$B479+IF(N($AH479)&gt;0,$AH479,IFERROR(INDEX(DM_SLA_Gio,MATCH($J479,DM_SLA_Cap,0)),168))/24)))</f>
      </c>
      <c r="V479" s="221">
        <f>IF($A479="","",IF(N($AJ479)=0,"Mới tiếp nhận",INDEX('Nhật ký tiến độ'!$E:$E,$AJ479)))</f>
      </c>
      <c r="W479" s="222">
        <f>IF($A479="","",IF($V479="Đã xử lý",1,IF(N($AJ479)=0,0,N(INDEX('Nhật ký tiến độ'!$D:$D,$AJ479)))))</f>
      </c>
      <c r="X479" s="222">
        <f>IF(OR($A479="",$V479="Đã xử lý",N($U479)=0,N($B479)=0),"",IF(TDBC&lt;=$B479,0,IF(TDBC&gt;=$U479,1,(TDBC-$B479)/($U479-$B479))))</f>
      </c>
      <c r="Y479" s="223">
        <f>IF($A479="","",IF($V479="Đã xử lý","Hoàn thành",IF(N($U479)=0,"Chưa đặt hạn",IF(TDBC&gt;$U479,"Quá hạn",IF(ROUND((N($X479)-$W479)*100,0)&gt;=20,"Chậm tiến độ",IF($U479-TDBC&lt;=1,"Sắp đến hạn","Đúng tiến độ"))))))</f>
      </c>
      <c r="Z479" s="223">
        <f>IF(OR($A479="",$V479="Đã xử lý",N($U479)=0),"",IF(TDBC&gt;$U479,"Quá "&amp;IF(((TDBC-$U479)*24)&lt;1,MAX(1,ROUND(((TDBC-$U479)*24)*60,0))&amp;" phút",IF(ROUND(((TDBC-$U479)*24),0)&lt;24,ROUND(((TDBC-$U479)*24),0)&amp;" giờ",INT(ROUND(((TDBC-$U479)*24),0)/24)&amp;" ngày"&amp;IF(MOD(ROUND(((TDBC-$U479)*24),0),24)&gt;0," "&amp;MOD(ROUND(((TDBC-$U479)*24),0),24)&amp;" giờ",""))),"Còn "&amp;IF((($U479-TDBC)*24)&lt;1,MAX(1,ROUND((($U479-TDBC)*24)*60,0))&amp;" phút",IF(ROUND((($U479-TDBC)*24),0)&lt;24,ROUND((($U479-TDBC)*24),0)&amp;" giờ",INT(ROUND((($U479-TDBC)*24),0)/24)&amp;" ngày"&amp;IF(MOD(ROUND((($U479-TDBC)*24),0),24)&gt;0," "&amp;MOD(ROUND((($U479-TDBC)*24),0),24)&amp;" giờ","")))))</f>
      </c>
      <c r="AA479" s="220">
        <f>IF($V479="Đã xử lý",_xlfn.MAXIFS('Nhật ký tiến độ'!$B$6:$B$3005,'Nhật ký tiến độ'!$C$6:$C$3005,$A479,'Nhật ký tiến độ'!$E$6:$E$3005,"Đã xử lý"),"")</f>
      </c>
      <c r="AB479" s="223">
        <f>IF($AI479="","",IF($AI479&lt;1,MAX(1,ROUND($AI479*60,0))&amp;" phút",IF(ROUND($AI479,0)&lt;24,ROUND($AI479,0)&amp;" giờ",INT(ROUND($AI479,0)/24)&amp;" ngày"&amp;IF(MOD(ROUND($AI479,0),24)&gt;0," "&amp;MOD(ROUND($AI479,0),24)&amp;" giờ",""))))</f>
      </c>
      <c r="AC479" s="223">
        <f>IF(OR($A479="",N($AH479)=0),"",IF($AI479&lt;&gt;"",IF($AI479&lt;=$AH479,"Trong ước tính","Vượt "&amp;IF(($AI479-$AH479)&lt;1,MAX(1,ROUND(($AI479-$AH479)*60,0))&amp;" phút",IF(ROUND(($AI479-$AH479),0)&lt;24,ROUND(($AI479-$AH479),0)&amp;" giờ",INT(ROUND(($AI479-$AH479),0)/24)&amp;" ngày"&amp;IF(MOD(ROUND(($AI479-$AH479),0),24)&gt;0," "&amp;MOD(ROUND(($AI479-$AH479),0),24)&amp;" giờ","")))),IF(OR($V479="Đã xử lý",N($B479)=0),"",IF((TDBC-$B479)*24&gt;$AH479,"Đã vượt ước tính","Đã dùng "&amp;TEXT((TDBC-$B479)*24/$AH479,"0%")))))</f>
      </c>
      <c r="AD479" s="223">
        <f>IF(N($AO479)=0,"",CHOOSE($AO479,"Nhắc nhở","Cảnh báo","Báo động","Báo động đỏ"))</f>
      </c>
      <c r="AE479" s="223">
        <f>IF(OR(N($AA479)=0,N($U479)=0),"",IF($AA479&lt;=$U479,"Đúng hạn","Trễ hạn"))</f>
      </c>
      <c r="AF479" s="220">
        <f>IF($A479="","",_xlfn.MAXIFS('Nhật ký tiến độ'!$B$6:$B$3005,'Nhật ký tiến độ'!$C$6:$C$3005,$A479))</f>
      </c>
      <c r="AG479" s="223">
        <f>IF($A479="","",IF(COUNTIF('Kế hoạch'!$M$6:$M$305,$A479)=0,"",COUNTIF('Kế hoạch'!$M$6:$M$305,$A479)&amp;" việc"))</f>
      </c>
      <c r="AH479" s="224">
        <f>IF(OR($A479="",N($O479)&lt;=0),"",IF($P479="Giờ",$O479,$O479*24))</f>
      </c>
      <c r="AI479" s="224">
        <f>IF(OR(N($AA479)=0,N($B479)=0),"",IF($AA479&lt;$B479,"",($AA479-$B479)*24))</f>
      </c>
      <c r="AJ479" s="225">
        <f>IF($A479="","",IF(COUNTIF('Nhật ký tiến độ'!$C$6:$C$3005,$A479)=0,0,_xlfn.MAXIFS('Nhật ký tiến độ'!$N$6:$N$3005,'Nhật ký tiến độ'!$C$6:$C$3005,$A479,'Nhật ký tiến độ'!$B$6:$B$3005,_xlfn.MAXIFS('Nhật ký tiến độ'!$B$6:$B$3005,'Nhật ký tiến độ'!$C$6:$C$3005,$A479))))</f>
      </c>
      <c r="AK479" s="225">
        <f>IF(OR($A479="",$V479="Đã xử lý"),"",IF(N($AO479)&gt;0,5-$AO479,IF($J479="Khẩn cấp",5,IF($Y479="Chậm tiến độ",6,IF(OR($Y479="Sắp đến hạn",$J479="Cao"),7,"")))))</f>
      </c>
      <c r="AL479" s="225">
        <f>IF($AK479="","",$AK479*100000+IF(N($U479)=0,99999,INT($U479))+ROW()/100000)</f>
      </c>
      <c r="AM479" s="225">
        <f>IF(OR($A479="",TRIM($K479)="",COUNTIF($K$6:$K479,$K479)&gt;1),0,1)</f>
      </c>
      <c r="AN479" s="225">
        <f>IF($AM479=1,SUM($AM$6:$AM479),"")</f>
      </c>
      <c r="AO479" s="225">
        <f>IF(OR($A479="",$V479="Đã xử lý",N($U479)=0),0,IF(TDBC&lt;=$U479,0,MAX(1,MIN(4,IF((TDBC-$U479)*24&lt;24,1,IF((TDBC-$U479)*24&lt;72,2,IF((TDBC-$U479)*24&lt;168,3,4)))+IFERROR(INDEX({2,1,0,-1},MATCH($J479,{"Khẩn cấp","Cao","Trung bình","Thấp"},0)),0)))))</f>
      </c>
    </row>
    <row r="480">
      <c r="A480" s="216"/>
      <c r="B480" s="217"/>
      <c r="C480" s="218"/>
      <c r="D480" s="218"/>
      <c r="E480" s="218"/>
      <c r="F480" s="218"/>
      <c r="G480" s="216"/>
      <c r="H480" s="218"/>
      <c r="I480" s="218"/>
      <c r="J480" s="216"/>
      <c r="K480" s="218"/>
      <c r="L480" s="218"/>
      <c r="M480" s="218"/>
      <c r="N480" s="218"/>
      <c r="O480" s="219"/>
      <c r="P480" s="216"/>
      <c r="Q480" s="217"/>
      <c r="R480" s="216"/>
      <c r="S480" s="218"/>
      <c r="T480" s="218"/>
      <c r="U480" s="220">
        <f>IF($A480="","",IF(N($Q480)&gt;0,IF(MOD($Q480,1)=0,$Q480+1-1/1440,$Q480),IF(N($B480)=0,"",$B480+IF(N($AH480)&gt;0,$AH480,IFERROR(INDEX(DM_SLA_Gio,MATCH($J480,DM_SLA_Cap,0)),168))/24)))</f>
      </c>
      <c r="V480" s="221">
        <f>IF($A480="","",IF(N($AJ480)=0,"Mới tiếp nhận",INDEX('Nhật ký tiến độ'!$E:$E,$AJ480)))</f>
      </c>
      <c r="W480" s="222">
        <f>IF($A480="","",IF($V480="Đã xử lý",1,IF(N($AJ480)=0,0,N(INDEX('Nhật ký tiến độ'!$D:$D,$AJ480)))))</f>
      </c>
      <c r="X480" s="222">
        <f>IF(OR($A480="",$V480="Đã xử lý",N($U480)=0,N($B480)=0),"",IF(TDBC&lt;=$B480,0,IF(TDBC&gt;=$U480,1,(TDBC-$B480)/($U480-$B480))))</f>
      </c>
      <c r="Y480" s="223">
        <f>IF($A480="","",IF($V480="Đã xử lý","Hoàn thành",IF(N($U480)=0,"Chưa đặt hạn",IF(TDBC&gt;$U480,"Quá hạn",IF(ROUND((N($X480)-$W480)*100,0)&gt;=20,"Chậm tiến độ",IF($U480-TDBC&lt;=1,"Sắp đến hạn","Đúng tiến độ"))))))</f>
      </c>
      <c r="Z480" s="223">
        <f>IF(OR($A480="",$V480="Đã xử lý",N($U480)=0),"",IF(TDBC&gt;$U480,"Quá "&amp;IF(((TDBC-$U480)*24)&lt;1,MAX(1,ROUND(((TDBC-$U480)*24)*60,0))&amp;" phút",IF(ROUND(((TDBC-$U480)*24),0)&lt;24,ROUND(((TDBC-$U480)*24),0)&amp;" giờ",INT(ROUND(((TDBC-$U480)*24),0)/24)&amp;" ngày"&amp;IF(MOD(ROUND(((TDBC-$U480)*24),0),24)&gt;0," "&amp;MOD(ROUND(((TDBC-$U480)*24),0),24)&amp;" giờ",""))),"Còn "&amp;IF((($U480-TDBC)*24)&lt;1,MAX(1,ROUND((($U480-TDBC)*24)*60,0))&amp;" phút",IF(ROUND((($U480-TDBC)*24),0)&lt;24,ROUND((($U480-TDBC)*24),0)&amp;" giờ",INT(ROUND((($U480-TDBC)*24),0)/24)&amp;" ngày"&amp;IF(MOD(ROUND((($U480-TDBC)*24),0),24)&gt;0," "&amp;MOD(ROUND((($U480-TDBC)*24),0),24)&amp;" giờ","")))))</f>
      </c>
      <c r="AA480" s="220">
        <f>IF($V480="Đã xử lý",_xlfn.MAXIFS('Nhật ký tiến độ'!$B$6:$B$3005,'Nhật ký tiến độ'!$C$6:$C$3005,$A480,'Nhật ký tiến độ'!$E$6:$E$3005,"Đã xử lý"),"")</f>
      </c>
      <c r="AB480" s="223">
        <f>IF($AI480="","",IF($AI480&lt;1,MAX(1,ROUND($AI480*60,0))&amp;" phút",IF(ROUND($AI480,0)&lt;24,ROUND($AI480,0)&amp;" giờ",INT(ROUND($AI480,0)/24)&amp;" ngày"&amp;IF(MOD(ROUND($AI480,0),24)&gt;0," "&amp;MOD(ROUND($AI480,0),24)&amp;" giờ",""))))</f>
      </c>
      <c r="AC480" s="223">
        <f>IF(OR($A480="",N($AH480)=0),"",IF($AI480&lt;&gt;"",IF($AI480&lt;=$AH480,"Trong ước tính","Vượt "&amp;IF(($AI480-$AH480)&lt;1,MAX(1,ROUND(($AI480-$AH480)*60,0))&amp;" phút",IF(ROUND(($AI480-$AH480),0)&lt;24,ROUND(($AI480-$AH480),0)&amp;" giờ",INT(ROUND(($AI480-$AH480),0)/24)&amp;" ngày"&amp;IF(MOD(ROUND(($AI480-$AH480),0),24)&gt;0," "&amp;MOD(ROUND(($AI480-$AH480),0),24)&amp;" giờ","")))),IF(OR($V480="Đã xử lý",N($B480)=0),"",IF((TDBC-$B480)*24&gt;$AH480,"Đã vượt ước tính","Đã dùng "&amp;TEXT((TDBC-$B480)*24/$AH480,"0%")))))</f>
      </c>
      <c r="AD480" s="223">
        <f>IF(N($AO480)=0,"",CHOOSE($AO480,"Nhắc nhở","Cảnh báo","Báo động","Báo động đỏ"))</f>
      </c>
      <c r="AE480" s="223">
        <f>IF(OR(N($AA480)=0,N($U480)=0),"",IF($AA480&lt;=$U480,"Đúng hạn","Trễ hạn"))</f>
      </c>
      <c r="AF480" s="220">
        <f>IF($A480="","",_xlfn.MAXIFS('Nhật ký tiến độ'!$B$6:$B$3005,'Nhật ký tiến độ'!$C$6:$C$3005,$A480))</f>
      </c>
      <c r="AG480" s="223">
        <f>IF($A480="","",IF(COUNTIF('Kế hoạch'!$M$6:$M$305,$A480)=0,"",COUNTIF('Kế hoạch'!$M$6:$M$305,$A480)&amp;" việc"))</f>
      </c>
      <c r="AH480" s="224">
        <f>IF(OR($A480="",N($O480)&lt;=0),"",IF($P480="Giờ",$O480,$O480*24))</f>
      </c>
      <c r="AI480" s="224">
        <f>IF(OR(N($AA480)=0,N($B480)=0),"",IF($AA480&lt;$B480,"",($AA480-$B480)*24))</f>
      </c>
      <c r="AJ480" s="225">
        <f>IF($A480="","",IF(COUNTIF('Nhật ký tiến độ'!$C$6:$C$3005,$A480)=0,0,_xlfn.MAXIFS('Nhật ký tiến độ'!$N$6:$N$3005,'Nhật ký tiến độ'!$C$6:$C$3005,$A480,'Nhật ký tiến độ'!$B$6:$B$3005,_xlfn.MAXIFS('Nhật ký tiến độ'!$B$6:$B$3005,'Nhật ký tiến độ'!$C$6:$C$3005,$A480))))</f>
      </c>
      <c r="AK480" s="225">
        <f>IF(OR($A480="",$V480="Đã xử lý"),"",IF(N($AO480)&gt;0,5-$AO480,IF($J480="Khẩn cấp",5,IF($Y480="Chậm tiến độ",6,IF(OR($Y480="Sắp đến hạn",$J480="Cao"),7,"")))))</f>
      </c>
      <c r="AL480" s="225">
        <f>IF($AK480="","",$AK480*100000+IF(N($U480)=0,99999,INT($U480))+ROW()/100000)</f>
      </c>
      <c r="AM480" s="225">
        <f>IF(OR($A480="",TRIM($K480)="",COUNTIF($K$6:$K480,$K480)&gt;1),0,1)</f>
      </c>
      <c r="AN480" s="225">
        <f>IF($AM480=1,SUM($AM$6:$AM480),"")</f>
      </c>
      <c r="AO480" s="225">
        <f>IF(OR($A480="",$V480="Đã xử lý",N($U480)=0),0,IF(TDBC&lt;=$U480,0,MAX(1,MIN(4,IF((TDBC-$U480)*24&lt;24,1,IF((TDBC-$U480)*24&lt;72,2,IF((TDBC-$U480)*24&lt;168,3,4)))+IFERROR(INDEX({2,1,0,-1},MATCH($J480,{"Khẩn cấp","Cao","Trung bình","Thấp"},0)),0)))))</f>
      </c>
    </row>
    <row r="481">
      <c r="A481" s="216"/>
      <c r="B481" s="217"/>
      <c r="C481" s="218"/>
      <c r="D481" s="218"/>
      <c r="E481" s="218"/>
      <c r="F481" s="218"/>
      <c r="G481" s="216"/>
      <c r="H481" s="218"/>
      <c r="I481" s="218"/>
      <c r="J481" s="216"/>
      <c r="K481" s="218"/>
      <c r="L481" s="218"/>
      <c r="M481" s="218"/>
      <c r="N481" s="218"/>
      <c r="O481" s="219"/>
      <c r="P481" s="216"/>
      <c r="Q481" s="217"/>
      <c r="R481" s="216"/>
      <c r="S481" s="218"/>
      <c r="T481" s="218"/>
      <c r="U481" s="220">
        <f>IF($A481="","",IF(N($Q481)&gt;0,IF(MOD($Q481,1)=0,$Q481+1-1/1440,$Q481),IF(N($B481)=0,"",$B481+IF(N($AH481)&gt;0,$AH481,IFERROR(INDEX(DM_SLA_Gio,MATCH($J481,DM_SLA_Cap,0)),168))/24)))</f>
      </c>
      <c r="V481" s="221">
        <f>IF($A481="","",IF(N($AJ481)=0,"Mới tiếp nhận",INDEX('Nhật ký tiến độ'!$E:$E,$AJ481)))</f>
      </c>
      <c r="W481" s="222">
        <f>IF($A481="","",IF($V481="Đã xử lý",1,IF(N($AJ481)=0,0,N(INDEX('Nhật ký tiến độ'!$D:$D,$AJ481)))))</f>
      </c>
      <c r="X481" s="222">
        <f>IF(OR($A481="",$V481="Đã xử lý",N($U481)=0,N($B481)=0),"",IF(TDBC&lt;=$B481,0,IF(TDBC&gt;=$U481,1,(TDBC-$B481)/($U481-$B481))))</f>
      </c>
      <c r="Y481" s="223">
        <f>IF($A481="","",IF($V481="Đã xử lý","Hoàn thành",IF(N($U481)=0,"Chưa đặt hạn",IF(TDBC&gt;$U481,"Quá hạn",IF(ROUND((N($X481)-$W481)*100,0)&gt;=20,"Chậm tiến độ",IF($U481-TDBC&lt;=1,"Sắp đến hạn","Đúng tiến độ"))))))</f>
      </c>
      <c r="Z481" s="223">
        <f>IF(OR($A481="",$V481="Đã xử lý",N($U481)=0),"",IF(TDBC&gt;$U481,"Quá "&amp;IF(((TDBC-$U481)*24)&lt;1,MAX(1,ROUND(((TDBC-$U481)*24)*60,0))&amp;" phút",IF(ROUND(((TDBC-$U481)*24),0)&lt;24,ROUND(((TDBC-$U481)*24),0)&amp;" giờ",INT(ROUND(((TDBC-$U481)*24),0)/24)&amp;" ngày"&amp;IF(MOD(ROUND(((TDBC-$U481)*24),0),24)&gt;0," "&amp;MOD(ROUND(((TDBC-$U481)*24),0),24)&amp;" giờ",""))),"Còn "&amp;IF((($U481-TDBC)*24)&lt;1,MAX(1,ROUND((($U481-TDBC)*24)*60,0))&amp;" phút",IF(ROUND((($U481-TDBC)*24),0)&lt;24,ROUND((($U481-TDBC)*24),0)&amp;" giờ",INT(ROUND((($U481-TDBC)*24),0)/24)&amp;" ngày"&amp;IF(MOD(ROUND((($U481-TDBC)*24),0),24)&gt;0," "&amp;MOD(ROUND((($U481-TDBC)*24),0),24)&amp;" giờ","")))))</f>
      </c>
      <c r="AA481" s="220">
        <f>IF($V481="Đã xử lý",_xlfn.MAXIFS('Nhật ký tiến độ'!$B$6:$B$3005,'Nhật ký tiến độ'!$C$6:$C$3005,$A481,'Nhật ký tiến độ'!$E$6:$E$3005,"Đã xử lý"),"")</f>
      </c>
      <c r="AB481" s="223">
        <f>IF($AI481="","",IF($AI481&lt;1,MAX(1,ROUND($AI481*60,0))&amp;" phút",IF(ROUND($AI481,0)&lt;24,ROUND($AI481,0)&amp;" giờ",INT(ROUND($AI481,0)/24)&amp;" ngày"&amp;IF(MOD(ROUND($AI481,0),24)&gt;0," "&amp;MOD(ROUND($AI481,0),24)&amp;" giờ",""))))</f>
      </c>
      <c r="AC481" s="223">
        <f>IF(OR($A481="",N($AH481)=0),"",IF($AI481&lt;&gt;"",IF($AI481&lt;=$AH481,"Trong ước tính","Vượt "&amp;IF(($AI481-$AH481)&lt;1,MAX(1,ROUND(($AI481-$AH481)*60,0))&amp;" phút",IF(ROUND(($AI481-$AH481),0)&lt;24,ROUND(($AI481-$AH481),0)&amp;" giờ",INT(ROUND(($AI481-$AH481),0)/24)&amp;" ngày"&amp;IF(MOD(ROUND(($AI481-$AH481),0),24)&gt;0," "&amp;MOD(ROUND(($AI481-$AH481),0),24)&amp;" giờ","")))),IF(OR($V481="Đã xử lý",N($B481)=0),"",IF((TDBC-$B481)*24&gt;$AH481,"Đã vượt ước tính","Đã dùng "&amp;TEXT((TDBC-$B481)*24/$AH481,"0%")))))</f>
      </c>
      <c r="AD481" s="223">
        <f>IF(N($AO481)=0,"",CHOOSE($AO481,"Nhắc nhở","Cảnh báo","Báo động","Báo động đỏ"))</f>
      </c>
      <c r="AE481" s="223">
        <f>IF(OR(N($AA481)=0,N($U481)=0),"",IF($AA481&lt;=$U481,"Đúng hạn","Trễ hạn"))</f>
      </c>
      <c r="AF481" s="220">
        <f>IF($A481="","",_xlfn.MAXIFS('Nhật ký tiến độ'!$B$6:$B$3005,'Nhật ký tiến độ'!$C$6:$C$3005,$A481))</f>
      </c>
      <c r="AG481" s="223">
        <f>IF($A481="","",IF(COUNTIF('Kế hoạch'!$M$6:$M$305,$A481)=0,"",COUNTIF('Kế hoạch'!$M$6:$M$305,$A481)&amp;" việc"))</f>
      </c>
      <c r="AH481" s="224">
        <f>IF(OR($A481="",N($O481)&lt;=0),"",IF($P481="Giờ",$O481,$O481*24))</f>
      </c>
      <c r="AI481" s="224">
        <f>IF(OR(N($AA481)=0,N($B481)=0),"",IF($AA481&lt;$B481,"",($AA481-$B481)*24))</f>
      </c>
      <c r="AJ481" s="225">
        <f>IF($A481="","",IF(COUNTIF('Nhật ký tiến độ'!$C$6:$C$3005,$A481)=0,0,_xlfn.MAXIFS('Nhật ký tiến độ'!$N$6:$N$3005,'Nhật ký tiến độ'!$C$6:$C$3005,$A481,'Nhật ký tiến độ'!$B$6:$B$3005,_xlfn.MAXIFS('Nhật ký tiến độ'!$B$6:$B$3005,'Nhật ký tiến độ'!$C$6:$C$3005,$A481))))</f>
      </c>
      <c r="AK481" s="225">
        <f>IF(OR($A481="",$V481="Đã xử lý"),"",IF(N($AO481)&gt;0,5-$AO481,IF($J481="Khẩn cấp",5,IF($Y481="Chậm tiến độ",6,IF(OR($Y481="Sắp đến hạn",$J481="Cao"),7,"")))))</f>
      </c>
      <c r="AL481" s="225">
        <f>IF($AK481="","",$AK481*100000+IF(N($U481)=0,99999,INT($U481))+ROW()/100000)</f>
      </c>
      <c r="AM481" s="225">
        <f>IF(OR($A481="",TRIM($K481)="",COUNTIF($K$6:$K481,$K481)&gt;1),0,1)</f>
      </c>
      <c r="AN481" s="225">
        <f>IF($AM481=1,SUM($AM$6:$AM481),"")</f>
      </c>
      <c r="AO481" s="225">
        <f>IF(OR($A481="",$V481="Đã xử lý",N($U481)=0),0,IF(TDBC&lt;=$U481,0,MAX(1,MIN(4,IF((TDBC-$U481)*24&lt;24,1,IF((TDBC-$U481)*24&lt;72,2,IF((TDBC-$U481)*24&lt;168,3,4)))+IFERROR(INDEX({2,1,0,-1},MATCH($J481,{"Khẩn cấp","Cao","Trung bình","Thấp"},0)),0)))))</f>
      </c>
    </row>
    <row r="482">
      <c r="A482" s="216"/>
      <c r="B482" s="217"/>
      <c r="C482" s="218"/>
      <c r="D482" s="218"/>
      <c r="E482" s="218"/>
      <c r="F482" s="218"/>
      <c r="G482" s="216"/>
      <c r="H482" s="218"/>
      <c r="I482" s="218"/>
      <c r="J482" s="216"/>
      <c r="K482" s="218"/>
      <c r="L482" s="218"/>
      <c r="M482" s="218"/>
      <c r="N482" s="218"/>
      <c r="O482" s="219"/>
      <c r="P482" s="216"/>
      <c r="Q482" s="217"/>
      <c r="R482" s="216"/>
      <c r="S482" s="218"/>
      <c r="T482" s="218"/>
      <c r="U482" s="220">
        <f>IF($A482="","",IF(N($Q482)&gt;0,IF(MOD($Q482,1)=0,$Q482+1-1/1440,$Q482),IF(N($B482)=0,"",$B482+IF(N($AH482)&gt;0,$AH482,IFERROR(INDEX(DM_SLA_Gio,MATCH($J482,DM_SLA_Cap,0)),168))/24)))</f>
      </c>
      <c r="V482" s="221">
        <f>IF($A482="","",IF(N($AJ482)=0,"Mới tiếp nhận",INDEX('Nhật ký tiến độ'!$E:$E,$AJ482)))</f>
      </c>
      <c r="W482" s="222">
        <f>IF($A482="","",IF($V482="Đã xử lý",1,IF(N($AJ482)=0,0,N(INDEX('Nhật ký tiến độ'!$D:$D,$AJ482)))))</f>
      </c>
      <c r="X482" s="222">
        <f>IF(OR($A482="",$V482="Đã xử lý",N($U482)=0,N($B482)=0),"",IF(TDBC&lt;=$B482,0,IF(TDBC&gt;=$U482,1,(TDBC-$B482)/($U482-$B482))))</f>
      </c>
      <c r="Y482" s="223">
        <f>IF($A482="","",IF($V482="Đã xử lý","Hoàn thành",IF(N($U482)=0,"Chưa đặt hạn",IF(TDBC&gt;$U482,"Quá hạn",IF(ROUND((N($X482)-$W482)*100,0)&gt;=20,"Chậm tiến độ",IF($U482-TDBC&lt;=1,"Sắp đến hạn","Đúng tiến độ"))))))</f>
      </c>
      <c r="Z482" s="223">
        <f>IF(OR($A482="",$V482="Đã xử lý",N($U482)=0),"",IF(TDBC&gt;$U482,"Quá "&amp;IF(((TDBC-$U482)*24)&lt;1,MAX(1,ROUND(((TDBC-$U482)*24)*60,0))&amp;" phút",IF(ROUND(((TDBC-$U482)*24),0)&lt;24,ROUND(((TDBC-$U482)*24),0)&amp;" giờ",INT(ROUND(((TDBC-$U482)*24),0)/24)&amp;" ngày"&amp;IF(MOD(ROUND(((TDBC-$U482)*24),0),24)&gt;0," "&amp;MOD(ROUND(((TDBC-$U482)*24),0),24)&amp;" giờ",""))),"Còn "&amp;IF((($U482-TDBC)*24)&lt;1,MAX(1,ROUND((($U482-TDBC)*24)*60,0))&amp;" phút",IF(ROUND((($U482-TDBC)*24),0)&lt;24,ROUND((($U482-TDBC)*24),0)&amp;" giờ",INT(ROUND((($U482-TDBC)*24),0)/24)&amp;" ngày"&amp;IF(MOD(ROUND((($U482-TDBC)*24),0),24)&gt;0," "&amp;MOD(ROUND((($U482-TDBC)*24),0),24)&amp;" giờ","")))))</f>
      </c>
      <c r="AA482" s="220">
        <f>IF($V482="Đã xử lý",_xlfn.MAXIFS('Nhật ký tiến độ'!$B$6:$B$3005,'Nhật ký tiến độ'!$C$6:$C$3005,$A482,'Nhật ký tiến độ'!$E$6:$E$3005,"Đã xử lý"),"")</f>
      </c>
      <c r="AB482" s="223">
        <f>IF($AI482="","",IF($AI482&lt;1,MAX(1,ROUND($AI482*60,0))&amp;" phút",IF(ROUND($AI482,0)&lt;24,ROUND($AI482,0)&amp;" giờ",INT(ROUND($AI482,0)/24)&amp;" ngày"&amp;IF(MOD(ROUND($AI482,0),24)&gt;0," "&amp;MOD(ROUND($AI482,0),24)&amp;" giờ",""))))</f>
      </c>
      <c r="AC482" s="223">
        <f>IF(OR($A482="",N($AH482)=0),"",IF($AI482&lt;&gt;"",IF($AI482&lt;=$AH482,"Trong ước tính","Vượt "&amp;IF(($AI482-$AH482)&lt;1,MAX(1,ROUND(($AI482-$AH482)*60,0))&amp;" phút",IF(ROUND(($AI482-$AH482),0)&lt;24,ROUND(($AI482-$AH482),0)&amp;" giờ",INT(ROUND(($AI482-$AH482),0)/24)&amp;" ngày"&amp;IF(MOD(ROUND(($AI482-$AH482),0),24)&gt;0," "&amp;MOD(ROUND(($AI482-$AH482),0),24)&amp;" giờ","")))),IF(OR($V482="Đã xử lý",N($B482)=0),"",IF((TDBC-$B482)*24&gt;$AH482,"Đã vượt ước tính","Đã dùng "&amp;TEXT((TDBC-$B482)*24/$AH482,"0%")))))</f>
      </c>
      <c r="AD482" s="223">
        <f>IF(N($AO482)=0,"",CHOOSE($AO482,"Nhắc nhở","Cảnh báo","Báo động","Báo động đỏ"))</f>
      </c>
      <c r="AE482" s="223">
        <f>IF(OR(N($AA482)=0,N($U482)=0),"",IF($AA482&lt;=$U482,"Đúng hạn","Trễ hạn"))</f>
      </c>
      <c r="AF482" s="220">
        <f>IF($A482="","",_xlfn.MAXIFS('Nhật ký tiến độ'!$B$6:$B$3005,'Nhật ký tiến độ'!$C$6:$C$3005,$A482))</f>
      </c>
      <c r="AG482" s="223">
        <f>IF($A482="","",IF(COUNTIF('Kế hoạch'!$M$6:$M$305,$A482)=0,"",COUNTIF('Kế hoạch'!$M$6:$M$305,$A482)&amp;" việc"))</f>
      </c>
      <c r="AH482" s="224">
        <f>IF(OR($A482="",N($O482)&lt;=0),"",IF($P482="Giờ",$O482,$O482*24))</f>
      </c>
      <c r="AI482" s="224">
        <f>IF(OR(N($AA482)=0,N($B482)=0),"",IF($AA482&lt;$B482,"",($AA482-$B482)*24))</f>
      </c>
      <c r="AJ482" s="225">
        <f>IF($A482="","",IF(COUNTIF('Nhật ký tiến độ'!$C$6:$C$3005,$A482)=0,0,_xlfn.MAXIFS('Nhật ký tiến độ'!$N$6:$N$3005,'Nhật ký tiến độ'!$C$6:$C$3005,$A482,'Nhật ký tiến độ'!$B$6:$B$3005,_xlfn.MAXIFS('Nhật ký tiến độ'!$B$6:$B$3005,'Nhật ký tiến độ'!$C$6:$C$3005,$A482))))</f>
      </c>
      <c r="AK482" s="225">
        <f>IF(OR($A482="",$V482="Đã xử lý"),"",IF(N($AO482)&gt;0,5-$AO482,IF($J482="Khẩn cấp",5,IF($Y482="Chậm tiến độ",6,IF(OR($Y482="Sắp đến hạn",$J482="Cao"),7,"")))))</f>
      </c>
      <c r="AL482" s="225">
        <f>IF($AK482="","",$AK482*100000+IF(N($U482)=0,99999,INT($U482))+ROW()/100000)</f>
      </c>
      <c r="AM482" s="225">
        <f>IF(OR($A482="",TRIM($K482)="",COUNTIF($K$6:$K482,$K482)&gt;1),0,1)</f>
      </c>
      <c r="AN482" s="225">
        <f>IF($AM482=1,SUM($AM$6:$AM482),"")</f>
      </c>
      <c r="AO482" s="225">
        <f>IF(OR($A482="",$V482="Đã xử lý",N($U482)=0),0,IF(TDBC&lt;=$U482,0,MAX(1,MIN(4,IF((TDBC-$U482)*24&lt;24,1,IF((TDBC-$U482)*24&lt;72,2,IF((TDBC-$U482)*24&lt;168,3,4)))+IFERROR(INDEX({2,1,0,-1},MATCH($J482,{"Khẩn cấp","Cao","Trung bình","Thấp"},0)),0)))))</f>
      </c>
    </row>
    <row r="483">
      <c r="A483" s="216"/>
      <c r="B483" s="217"/>
      <c r="C483" s="218"/>
      <c r="D483" s="218"/>
      <c r="E483" s="218"/>
      <c r="F483" s="218"/>
      <c r="G483" s="216"/>
      <c r="H483" s="218"/>
      <c r="I483" s="218"/>
      <c r="J483" s="216"/>
      <c r="K483" s="218"/>
      <c r="L483" s="218"/>
      <c r="M483" s="218"/>
      <c r="N483" s="218"/>
      <c r="O483" s="219"/>
      <c r="P483" s="216"/>
      <c r="Q483" s="217"/>
      <c r="R483" s="216"/>
      <c r="S483" s="218"/>
      <c r="T483" s="218"/>
      <c r="U483" s="220">
        <f>IF($A483="","",IF(N($Q483)&gt;0,IF(MOD($Q483,1)=0,$Q483+1-1/1440,$Q483),IF(N($B483)=0,"",$B483+IF(N($AH483)&gt;0,$AH483,IFERROR(INDEX(DM_SLA_Gio,MATCH($J483,DM_SLA_Cap,0)),168))/24)))</f>
      </c>
      <c r="V483" s="221">
        <f>IF($A483="","",IF(N($AJ483)=0,"Mới tiếp nhận",INDEX('Nhật ký tiến độ'!$E:$E,$AJ483)))</f>
      </c>
      <c r="W483" s="222">
        <f>IF($A483="","",IF($V483="Đã xử lý",1,IF(N($AJ483)=0,0,N(INDEX('Nhật ký tiến độ'!$D:$D,$AJ483)))))</f>
      </c>
      <c r="X483" s="222">
        <f>IF(OR($A483="",$V483="Đã xử lý",N($U483)=0,N($B483)=0),"",IF(TDBC&lt;=$B483,0,IF(TDBC&gt;=$U483,1,(TDBC-$B483)/($U483-$B483))))</f>
      </c>
      <c r="Y483" s="223">
        <f>IF($A483="","",IF($V483="Đã xử lý","Hoàn thành",IF(N($U483)=0,"Chưa đặt hạn",IF(TDBC&gt;$U483,"Quá hạn",IF(ROUND((N($X483)-$W483)*100,0)&gt;=20,"Chậm tiến độ",IF($U483-TDBC&lt;=1,"Sắp đến hạn","Đúng tiến độ"))))))</f>
      </c>
      <c r="Z483" s="223">
        <f>IF(OR($A483="",$V483="Đã xử lý",N($U483)=0),"",IF(TDBC&gt;$U483,"Quá "&amp;IF(((TDBC-$U483)*24)&lt;1,MAX(1,ROUND(((TDBC-$U483)*24)*60,0))&amp;" phút",IF(ROUND(((TDBC-$U483)*24),0)&lt;24,ROUND(((TDBC-$U483)*24),0)&amp;" giờ",INT(ROUND(((TDBC-$U483)*24),0)/24)&amp;" ngày"&amp;IF(MOD(ROUND(((TDBC-$U483)*24),0),24)&gt;0," "&amp;MOD(ROUND(((TDBC-$U483)*24),0),24)&amp;" giờ",""))),"Còn "&amp;IF((($U483-TDBC)*24)&lt;1,MAX(1,ROUND((($U483-TDBC)*24)*60,0))&amp;" phút",IF(ROUND((($U483-TDBC)*24),0)&lt;24,ROUND((($U483-TDBC)*24),0)&amp;" giờ",INT(ROUND((($U483-TDBC)*24),0)/24)&amp;" ngày"&amp;IF(MOD(ROUND((($U483-TDBC)*24),0),24)&gt;0," "&amp;MOD(ROUND((($U483-TDBC)*24),0),24)&amp;" giờ","")))))</f>
      </c>
      <c r="AA483" s="220">
        <f>IF($V483="Đã xử lý",_xlfn.MAXIFS('Nhật ký tiến độ'!$B$6:$B$3005,'Nhật ký tiến độ'!$C$6:$C$3005,$A483,'Nhật ký tiến độ'!$E$6:$E$3005,"Đã xử lý"),"")</f>
      </c>
      <c r="AB483" s="223">
        <f>IF($AI483="","",IF($AI483&lt;1,MAX(1,ROUND($AI483*60,0))&amp;" phút",IF(ROUND($AI483,0)&lt;24,ROUND($AI483,0)&amp;" giờ",INT(ROUND($AI483,0)/24)&amp;" ngày"&amp;IF(MOD(ROUND($AI483,0),24)&gt;0," "&amp;MOD(ROUND($AI483,0),24)&amp;" giờ",""))))</f>
      </c>
      <c r="AC483" s="223">
        <f>IF(OR($A483="",N($AH483)=0),"",IF($AI483&lt;&gt;"",IF($AI483&lt;=$AH483,"Trong ước tính","Vượt "&amp;IF(($AI483-$AH483)&lt;1,MAX(1,ROUND(($AI483-$AH483)*60,0))&amp;" phút",IF(ROUND(($AI483-$AH483),0)&lt;24,ROUND(($AI483-$AH483),0)&amp;" giờ",INT(ROUND(($AI483-$AH483),0)/24)&amp;" ngày"&amp;IF(MOD(ROUND(($AI483-$AH483),0),24)&gt;0," "&amp;MOD(ROUND(($AI483-$AH483),0),24)&amp;" giờ","")))),IF(OR($V483="Đã xử lý",N($B483)=0),"",IF((TDBC-$B483)*24&gt;$AH483,"Đã vượt ước tính","Đã dùng "&amp;TEXT((TDBC-$B483)*24/$AH483,"0%")))))</f>
      </c>
      <c r="AD483" s="223">
        <f>IF(N($AO483)=0,"",CHOOSE($AO483,"Nhắc nhở","Cảnh báo","Báo động","Báo động đỏ"))</f>
      </c>
      <c r="AE483" s="223">
        <f>IF(OR(N($AA483)=0,N($U483)=0),"",IF($AA483&lt;=$U483,"Đúng hạn","Trễ hạn"))</f>
      </c>
      <c r="AF483" s="220">
        <f>IF($A483="","",_xlfn.MAXIFS('Nhật ký tiến độ'!$B$6:$B$3005,'Nhật ký tiến độ'!$C$6:$C$3005,$A483))</f>
      </c>
      <c r="AG483" s="223">
        <f>IF($A483="","",IF(COUNTIF('Kế hoạch'!$M$6:$M$305,$A483)=0,"",COUNTIF('Kế hoạch'!$M$6:$M$305,$A483)&amp;" việc"))</f>
      </c>
      <c r="AH483" s="224">
        <f>IF(OR($A483="",N($O483)&lt;=0),"",IF($P483="Giờ",$O483,$O483*24))</f>
      </c>
      <c r="AI483" s="224">
        <f>IF(OR(N($AA483)=0,N($B483)=0),"",IF($AA483&lt;$B483,"",($AA483-$B483)*24))</f>
      </c>
      <c r="AJ483" s="225">
        <f>IF($A483="","",IF(COUNTIF('Nhật ký tiến độ'!$C$6:$C$3005,$A483)=0,0,_xlfn.MAXIFS('Nhật ký tiến độ'!$N$6:$N$3005,'Nhật ký tiến độ'!$C$6:$C$3005,$A483,'Nhật ký tiến độ'!$B$6:$B$3005,_xlfn.MAXIFS('Nhật ký tiến độ'!$B$6:$B$3005,'Nhật ký tiến độ'!$C$6:$C$3005,$A483))))</f>
      </c>
      <c r="AK483" s="225">
        <f>IF(OR($A483="",$V483="Đã xử lý"),"",IF(N($AO483)&gt;0,5-$AO483,IF($J483="Khẩn cấp",5,IF($Y483="Chậm tiến độ",6,IF(OR($Y483="Sắp đến hạn",$J483="Cao"),7,"")))))</f>
      </c>
      <c r="AL483" s="225">
        <f>IF($AK483="","",$AK483*100000+IF(N($U483)=0,99999,INT($U483))+ROW()/100000)</f>
      </c>
      <c r="AM483" s="225">
        <f>IF(OR($A483="",TRIM($K483)="",COUNTIF($K$6:$K483,$K483)&gt;1),0,1)</f>
      </c>
      <c r="AN483" s="225">
        <f>IF($AM483=1,SUM($AM$6:$AM483),"")</f>
      </c>
      <c r="AO483" s="225">
        <f>IF(OR($A483="",$V483="Đã xử lý",N($U483)=0),0,IF(TDBC&lt;=$U483,0,MAX(1,MIN(4,IF((TDBC-$U483)*24&lt;24,1,IF((TDBC-$U483)*24&lt;72,2,IF((TDBC-$U483)*24&lt;168,3,4)))+IFERROR(INDEX({2,1,0,-1},MATCH($J483,{"Khẩn cấp","Cao","Trung bình","Thấp"},0)),0)))))</f>
      </c>
    </row>
    <row r="484">
      <c r="A484" s="216"/>
      <c r="B484" s="217"/>
      <c r="C484" s="218"/>
      <c r="D484" s="218"/>
      <c r="E484" s="218"/>
      <c r="F484" s="218"/>
      <c r="G484" s="216"/>
      <c r="H484" s="218"/>
      <c r="I484" s="218"/>
      <c r="J484" s="216"/>
      <c r="K484" s="218"/>
      <c r="L484" s="218"/>
      <c r="M484" s="218"/>
      <c r="N484" s="218"/>
      <c r="O484" s="219"/>
      <c r="P484" s="216"/>
      <c r="Q484" s="217"/>
      <c r="R484" s="216"/>
      <c r="S484" s="218"/>
      <c r="T484" s="218"/>
      <c r="U484" s="220">
        <f>IF($A484="","",IF(N($Q484)&gt;0,IF(MOD($Q484,1)=0,$Q484+1-1/1440,$Q484),IF(N($B484)=0,"",$B484+IF(N($AH484)&gt;0,$AH484,IFERROR(INDEX(DM_SLA_Gio,MATCH($J484,DM_SLA_Cap,0)),168))/24)))</f>
      </c>
      <c r="V484" s="221">
        <f>IF($A484="","",IF(N($AJ484)=0,"Mới tiếp nhận",INDEX('Nhật ký tiến độ'!$E:$E,$AJ484)))</f>
      </c>
      <c r="W484" s="222">
        <f>IF($A484="","",IF($V484="Đã xử lý",1,IF(N($AJ484)=0,0,N(INDEX('Nhật ký tiến độ'!$D:$D,$AJ484)))))</f>
      </c>
      <c r="X484" s="222">
        <f>IF(OR($A484="",$V484="Đã xử lý",N($U484)=0,N($B484)=0),"",IF(TDBC&lt;=$B484,0,IF(TDBC&gt;=$U484,1,(TDBC-$B484)/($U484-$B484))))</f>
      </c>
      <c r="Y484" s="223">
        <f>IF($A484="","",IF($V484="Đã xử lý","Hoàn thành",IF(N($U484)=0,"Chưa đặt hạn",IF(TDBC&gt;$U484,"Quá hạn",IF(ROUND((N($X484)-$W484)*100,0)&gt;=20,"Chậm tiến độ",IF($U484-TDBC&lt;=1,"Sắp đến hạn","Đúng tiến độ"))))))</f>
      </c>
      <c r="Z484" s="223">
        <f>IF(OR($A484="",$V484="Đã xử lý",N($U484)=0),"",IF(TDBC&gt;$U484,"Quá "&amp;IF(((TDBC-$U484)*24)&lt;1,MAX(1,ROUND(((TDBC-$U484)*24)*60,0))&amp;" phút",IF(ROUND(((TDBC-$U484)*24),0)&lt;24,ROUND(((TDBC-$U484)*24),0)&amp;" giờ",INT(ROUND(((TDBC-$U484)*24),0)/24)&amp;" ngày"&amp;IF(MOD(ROUND(((TDBC-$U484)*24),0),24)&gt;0," "&amp;MOD(ROUND(((TDBC-$U484)*24),0),24)&amp;" giờ",""))),"Còn "&amp;IF((($U484-TDBC)*24)&lt;1,MAX(1,ROUND((($U484-TDBC)*24)*60,0))&amp;" phút",IF(ROUND((($U484-TDBC)*24),0)&lt;24,ROUND((($U484-TDBC)*24),0)&amp;" giờ",INT(ROUND((($U484-TDBC)*24),0)/24)&amp;" ngày"&amp;IF(MOD(ROUND((($U484-TDBC)*24),0),24)&gt;0," "&amp;MOD(ROUND((($U484-TDBC)*24),0),24)&amp;" giờ","")))))</f>
      </c>
      <c r="AA484" s="220">
        <f>IF($V484="Đã xử lý",_xlfn.MAXIFS('Nhật ký tiến độ'!$B$6:$B$3005,'Nhật ký tiến độ'!$C$6:$C$3005,$A484,'Nhật ký tiến độ'!$E$6:$E$3005,"Đã xử lý"),"")</f>
      </c>
      <c r="AB484" s="223">
        <f>IF($AI484="","",IF($AI484&lt;1,MAX(1,ROUND($AI484*60,0))&amp;" phút",IF(ROUND($AI484,0)&lt;24,ROUND($AI484,0)&amp;" giờ",INT(ROUND($AI484,0)/24)&amp;" ngày"&amp;IF(MOD(ROUND($AI484,0),24)&gt;0," "&amp;MOD(ROUND($AI484,0),24)&amp;" giờ",""))))</f>
      </c>
      <c r="AC484" s="223">
        <f>IF(OR($A484="",N($AH484)=0),"",IF($AI484&lt;&gt;"",IF($AI484&lt;=$AH484,"Trong ước tính","Vượt "&amp;IF(($AI484-$AH484)&lt;1,MAX(1,ROUND(($AI484-$AH484)*60,0))&amp;" phút",IF(ROUND(($AI484-$AH484),0)&lt;24,ROUND(($AI484-$AH484),0)&amp;" giờ",INT(ROUND(($AI484-$AH484),0)/24)&amp;" ngày"&amp;IF(MOD(ROUND(($AI484-$AH484),0),24)&gt;0," "&amp;MOD(ROUND(($AI484-$AH484),0),24)&amp;" giờ","")))),IF(OR($V484="Đã xử lý",N($B484)=0),"",IF((TDBC-$B484)*24&gt;$AH484,"Đã vượt ước tính","Đã dùng "&amp;TEXT((TDBC-$B484)*24/$AH484,"0%")))))</f>
      </c>
      <c r="AD484" s="223">
        <f>IF(N($AO484)=0,"",CHOOSE($AO484,"Nhắc nhở","Cảnh báo","Báo động","Báo động đỏ"))</f>
      </c>
      <c r="AE484" s="223">
        <f>IF(OR(N($AA484)=0,N($U484)=0),"",IF($AA484&lt;=$U484,"Đúng hạn","Trễ hạn"))</f>
      </c>
      <c r="AF484" s="220">
        <f>IF($A484="","",_xlfn.MAXIFS('Nhật ký tiến độ'!$B$6:$B$3005,'Nhật ký tiến độ'!$C$6:$C$3005,$A484))</f>
      </c>
      <c r="AG484" s="223">
        <f>IF($A484="","",IF(COUNTIF('Kế hoạch'!$M$6:$M$305,$A484)=0,"",COUNTIF('Kế hoạch'!$M$6:$M$305,$A484)&amp;" việc"))</f>
      </c>
      <c r="AH484" s="224">
        <f>IF(OR($A484="",N($O484)&lt;=0),"",IF($P484="Giờ",$O484,$O484*24))</f>
      </c>
      <c r="AI484" s="224">
        <f>IF(OR(N($AA484)=0,N($B484)=0),"",IF($AA484&lt;$B484,"",($AA484-$B484)*24))</f>
      </c>
      <c r="AJ484" s="225">
        <f>IF($A484="","",IF(COUNTIF('Nhật ký tiến độ'!$C$6:$C$3005,$A484)=0,0,_xlfn.MAXIFS('Nhật ký tiến độ'!$N$6:$N$3005,'Nhật ký tiến độ'!$C$6:$C$3005,$A484,'Nhật ký tiến độ'!$B$6:$B$3005,_xlfn.MAXIFS('Nhật ký tiến độ'!$B$6:$B$3005,'Nhật ký tiến độ'!$C$6:$C$3005,$A484))))</f>
      </c>
      <c r="AK484" s="225">
        <f>IF(OR($A484="",$V484="Đã xử lý"),"",IF(N($AO484)&gt;0,5-$AO484,IF($J484="Khẩn cấp",5,IF($Y484="Chậm tiến độ",6,IF(OR($Y484="Sắp đến hạn",$J484="Cao"),7,"")))))</f>
      </c>
      <c r="AL484" s="225">
        <f>IF($AK484="","",$AK484*100000+IF(N($U484)=0,99999,INT($U484))+ROW()/100000)</f>
      </c>
      <c r="AM484" s="225">
        <f>IF(OR($A484="",TRIM($K484)="",COUNTIF($K$6:$K484,$K484)&gt;1),0,1)</f>
      </c>
      <c r="AN484" s="225">
        <f>IF($AM484=1,SUM($AM$6:$AM484),"")</f>
      </c>
      <c r="AO484" s="225">
        <f>IF(OR($A484="",$V484="Đã xử lý",N($U484)=0),0,IF(TDBC&lt;=$U484,0,MAX(1,MIN(4,IF((TDBC-$U484)*24&lt;24,1,IF((TDBC-$U484)*24&lt;72,2,IF((TDBC-$U484)*24&lt;168,3,4)))+IFERROR(INDEX({2,1,0,-1},MATCH($J484,{"Khẩn cấp","Cao","Trung bình","Thấp"},0)),0)))))</f>
      </c>
    </row>
    <row r="485">
      <c r="A485" s="216"/>
      <c r="B485" s="217"/>
      <c r="C485" s="218"/>
      <c r="D485" s="218"/>
      <c r="E485" s="218"/>
      <c r="F485" s="218"/>
      <c r="G485" s="216"/>
      <c r="H485" s="218"/>
      <c r="I485" s="218"/>
      <c r="J485" s="216"/>
      <c r="K485" s="218"/>
      <c r="L485" s="218"/>
      <c r="M485" s="218"/>
      <c r="N485" s="218"/>
      <c r="O485" s="219"/>
      <c r="P485" s="216"/>
      <c r="Q485" s="217"/>
      <c r="R485" s="216"/>
      <c r="S485" s="218"/>
      <c r="T485" s="218"/>
      <c r="U485" s="220">
        <f>IF($A485="","",IF(N($Q485)&gt;0,IF(MOD($Q485,1)=0,$Q485+1-1/1440,$Q485),IF(N($B485)=0,"",$B485+IF(N($AH485)&gt;0,$AH485,IFERROR(INDEX(DM_SLA_Gio,MATCH($J485,DM_SLA_Cap,0)),168))/24)))</f>
      </c>
      <c r="V485" s="221">
        <f>IF($A485="","",IF(N($AJ485)=0,"Mới tiếp nhận",INDEX('Nhật ký tiến độ'!$E:$E,$AJ485)))</f>
      </c>
      <c r="W485" s="222">
        <f>IF($A485="","",IF($V485="Đã xử lý",1,IF(N($AJ485)=0,0,N(INDEX('Nhật ký tiến độ'!$D:$D,$AJ485)))))</f>
      </c>
      <c r="X485" s="222">
        <f>IF(OR($A485="",$V485="Đã xử lý",N($U485)=0,N($B485)=0),"",IF(TDBC&lt;=$B485,0,IF(TDBC&gt;=$U485,1,(TDBC-$B485)/($U485-$B485))))</f>
      </c>
      <c r="Y485" s="223">
        <f>IF($A485="","",IF($V485="Đã xử lý","Hoàn thành",IF(N($U485)=0,"Chưa đặt hạn",IF(TDBC&gt;$U485,"Quá hạn",IF(ROUND((N($X485)-$W485)*100,0)&gt;=20,"Chậm tiến độ",IF($U485-TDBC&lt;=1,"Sắp đến hạn","Đúng tiến độ"))))))</f>
      </c>
      <c r="Z485" s="223">
        <f>IF(OR($A485="",$V485="Đã xử lý",N($U485)=0),"",IF(TDBC&gt;$U485,"Quá "&amp;IF(((TDBC-$U485)*24)&lt;1,MAX(1,ROUND(((TDBC-$U485)*24)*60,0))&amp;" phút",IF(ROUND(((TDBC-$U485)*24),0)&lt;24,ROUND(((TDBC-$U485)*24),0)&amp;" giờ",INT(ROUND(((TDBC-$U485)*24),0)/24)&amp;" ngày"&amp;IF(MOD(ROUND(((TDBC-$U485)*24),0),24)&gt;0," "&amp;MOD(ROUND(((TDBC-$U485)*24),0),24)&amp;" giờ",""))),"Còn "&amp;IF((($U485-TDBC)*24)&lt;1,MAX(1,ROUND((($U485-TDBC)*24)*60,0))&amp;" phút",IF(ROUND((($U485-TDBC)*24),0)&lt;24,ROUND((($U485-TDBC)*24),0)&amp;" giờ",INT(ROUND((($U485-TDBC)*24),0)/24)&amp;" ngày"&amp;IF(MOD(ROUND((($U485-TDBC)*24),0),24)&gt;0," "&amp;MOD(ROUND((($U485-TDBC)*24),0),24)&amp;" giờ","")))))</f>
      </c>
      <c r="AA485" s="220">
        <f>IF($V485="Đã xử lý",_xlfn.MAXIFS('Nhật ký tiến độ'!$B$6:$B$3005,'Nhật ký tiến độ'!$C$6:$C$3005,$A485,'Nhật ký tiến độ'!$E$6:$E$3005,"Đã xử lý"),"")</f>
      </c>
      <c r="AB485" s="223">
        <f>IF($AI485="","",IF($AI485&lt;1,MAX(1,ROUND($AI485*60,0))&amp;" phút",IF(ROUND($AI485,0)&lt;24,ROUND($AI485,0)&amp;" giờ",INT(ROUND($AI485,0)/24)&amp;" ngày"&amp;IF(MOD(ROUND($AI485,0),24)&gt;0," "&amp;MOD(ROUND($AI485,0),24)&amp;" giờ",""))))</f>
      </c>
      <c r="AC485" s="223">
        <f>IF(OR($A485="",N($AH485)=0),"",IF($AI485&lt;&gt;"",IF($AI485&lt;=$AH485,"Trong ước tính","Vượt "&amp;IF(($AI485-$AH485)&lt;1,MAX(1,ROUND(($AI485-$AH485)*60,0))&amp;" phút",IF(ROUND(($AI485-$AH485),0)&lt;24,ROUND(($AI485-$AH485),0)&amp;" giờ",INT(ROUND(($AI485-$AH485),0)/24)&amp;" ngày"&amp;IF(MOD(ROUND(($AI485-$AH485),0),24)&gt;0," "&amp;MOD(ROUND(($AI485-$AH485),0),24)&amp;" giờ","")))),IF(OR($V485="Đã xử lý",N($B485)=0),"",IF((TDBC-$B485)*24&gt;$AH485,"Đã vượt ước tính","Đã dùng "&amp;TEXT((TDBC-$B485)*24/$AH485,"0%")))))</f>
      </c>
      <c r="AD485" s="223">
        <f>IF(N($AO485)=0,"",CHOOSE($AO485,"Nhắc nhở","Cảnh báo","Báo động","Báo động đỏ"))</f>
      </c>
      <c r="AE485" s="223">
        <f>IF(OR(N($AA485)=0,N($U485)=0),"",IF($AA485&lt;=$U485,"Đúng hạn","Trễ hạn"))</f>
      </c>
      <c r="AF485" s="220">
        <f>IF($A485="","",_xlfn.MAXIFS('Nhật ký tiến độ'!$B$6:$B$3005,'Nhật ký tiến độ'!$C$6:$C$3005,$A485))</f>
      </c>
      <c r="AG485" s="223">
        <f>IF($A485="","",IF(COUNTIF('Kế hoạch'!$M$6:$M$305,$A485)=0,"",COUNTIF('Kế hoạch'!$M$6:$M$305,$A485)&amp;" việc"))</f>
      </c>
      <c r="AH485" s="224">
        <f>IF(OR($A485="",N($O485)&lt;=0),"",IF($P485="Giờ",$O485,$O485*24))</f>
      </c>
      <c r="AI485" s="224">
        <f>IF(OR(N($AA485)=0,N($B485)=0),"",IF($AA485&lt;$B485,"",($AA485-$B485)*24))</f>
      </c>
      <c r="AJ485" s="225">
        <f>IF($A485="","",IF(COUNTIF('Nhật ký tiến độ'!$C$6:$C$3005,$A485)=0,0,_xlfn.MAXIFS('Nhật ký tiến độ'!$N$6:$N$3005,'Nhật ký tiến độ'!$C$6:$C$3005,$A485,'Nhật ký tiến độ'!$B$6:$B$3005,_xlfn.MAXIFS('Nhật ký tiến độ'!$B$6:$B$3005,'Nhật ký tiến độ'!$C$6:$C$3005,$A485))))</f>
      </c>
      <c r="AK485" s="225">
        <f>IF(OR($A485="",$V485="Đã xử lý"),"",IF(N($AO485)&gt;0,5-$AO485,IF($J485="Khẩn cấp",5,IF($Y485="Chậm tiến độ",6,IF(OR($Y485="Sắp đến hạn",$J485="Cao"),7,"")))))</f>
      </c>
      <c r="AL485" s="225">
        <f>IF($AK485="","",$AK485*100000+IF(N($U485)=0,99999,INT($U485))+ROW()/100000)</f>
      </c>
      <c r="AM485" s="225">
        <f>IF(OR($A485="",TRIM($K485)="",COUNTIF($K$6:$K485,$K485)&gt;1),0,1)</f>
      </c>
      <c r="AN485" s="225">
        <f>IF($AM485=1,SUM($AM$6:$AM485),"")</f>
      </c>
      <c r="AO485" s="225">
        <f>IF(OR($A485="",$V485="Đã xử lý",N($U485)=0),0,IF(TDBC&lt;=$U485,0,MAX(1,MIN(4,IF((TDBC-$U485)*24&lt;24,1,IF((TDBC-$U485)*24&lt;72,2,IF((TDBC-$U485)*24&lt;168,3,4)))+IFERROR(INDEX({2,1,0,-1},MATCH($J485,{"Khẩn cấp","Cao","Trung bình","Thấp"},0)),0)))))</f>
      </c>
    </row>
    <row r="486">
      <c r="A486" s="216"/>
      <c r="B486" s="217"/>
      <c r="C486" s="218"/>
      <c r="D486" s="218"/>
      <c r="E486" s="218"/>
      <c r="F486" s="218"/>
      <c r="G486" s="216"/>
      <c r="H486" s="218"/>
      <c r="I486" s="218"/>
      <c r="J486" s="216"/>
      <c r="K486" s="218"/>
      <c r="L486" s="218"/>
      <c r="M486" s="218"/>
      <c r="N486" s="218"/>
      <c r="O486" s="219"/>
      <c r="P486" s="216"/>
      <c r="Q486" s="217"/>
      <c r="R486" s="216"/>
      <c r="S486" s="218"/>
      <c r="T486" s="218"/>
      <c r="U486" s="220">
        <f>IF($A486="","",IF(N($Q486)&gt;0,IF(MOD($Q486,1)=0,$Q486+1-1/1440,$Q486),IF(N($B486)=0,"",$B486+IF(N($AH486)&gt;0,$AH486,IFERROR(INDEX(DM_SLA_Gio,MATCH($J486,DM_SLA_Cap,0)),168))/24)))</f>
      </c>
      <c r="V486" s="221">
        <f>IF($A486="","",IF(N($AJ486)=0,"Mới tiếp nhận",INDEX('Nhật ký tiến độ'!$E:$E,$AJ486)))</f>
      </c>
      <c r="W486" s="222">
        <f>IF($A486="","",IF($V486="Đã xử lý",1,IF(N($AJ486)=0,0,N(INDEX('Nhật ký tiến độ'!$D:$D,$AJ486)))))</f>
      </c>
      <c r="X486" s="222">
        <f>IF(OR($A486="",$V486="Đã xử lý",N($U486)=0,N($B486)=0),"",IF(TDBC&lt;=$B486,0,IF(TDBC&gt;=$U486,1,(TDBC-$B486)/($U486-$B486))))</f>
      </c>
      <c r="Y486" s="223">
        <f>IF($A486="","",IF($V486="Đã xử lý","Hoàn thành",IF(N($U486)=0,"Chưa đặt hạn",IF(TDBC&gt;$U486,"Quá hạn",IF(ROUND((N($X486)-$W486)*100,0)&gt;=20,"Chậm tiến độ",IF($U486-TDBC&lt;=1,"Sắp đến hạn","Đúng tiến độ"))))))</f>
      </c>
      <c r="Z486" s="223">
        <f>IF(OR($A486="",$V486="Đã xử lý",N($U486)=0),"",IF(TDBC&gt;$U486,"Quá "&amp;IF(((TDBC-$U486)*24)&lt;1,MAX(1,ROUND(((TDBC-$U486)*24)*60,0))&amp;" phút",IF(ROUND(((TDBC-$U486)*24),0)&lt;24,ROUND(((TDBC-$U486)*24),0)&amp;" giờ",INT(ROUND(((TDBC-$U486)*24),0)/24)&amp;" ngày"&amp;IF(MOD(ROUND(((TDBC-$U486)*24),0),24)&gt;0," "&amp;MOD(ROUND(((TDBC-$U486)*24),0),24)&amp;" giờ",""))),"Còn "&amp;IF((($U486-TDBC)*24)&lt;1,MAX(1,ROUND((($U486-TDBC)*24)*60,0))&amp;" phút",IF(ROUND((($U486-TDBC)*24),0)&lt;24,ROUND((($U486-TDBC)*24),0)&amp;" giờ",INT(ROUND((($U486-TDBC)*24),0)/24)&amp;" ngày"&amp;IF(MOD(ROUND((($U486-TDBC)*24),0),24)&gt;0," "&amp;MOD(ROUND((($U486-TDBC)*24),0),24)&amp;" giờ","")))))</f>
      </c>
      <c r="AA486" s="220">
        <f>IF($V486="Đã xử lý",_xlfn.MAXIFS('Nhật ký tiến độ'!$B$6:$B$3005,'Nhật ký tiến độ'!$C$6:$C$3005,$A486,'Nhật ký tiến độ'!$E$6:$E$3005,"Đã xử lý"),"")</f>
      </c>
      <c r="AB486" s="223">
        <f>IF($AI486="","",IF($AI486&lt;1,MAX(1,ROUND($AI486*60,0))&amp;" phút",IF(ROUND($AI486,0)&lt;24,ROUND($AI486,0)&amp;" giờ",INT(ROUND($AI486,0)/24)&amp;" ngày"&amp;IF(MOD(ROUND($AI486,0),24)&gt;0," "&amp;MOD(ROUND($AI486,0),24)&amp;" giờ",""))))</f>
      </c>
      <c r="AC486" s="223">
        <f>IF(OR($A486="",N($AH486)=0),"",IF($AI486&lt;&gt;"",IF($AI486&lt;=$AH486,"Trong ước tính","Vượt "&amp;IF(($AI486-$AH486)&lt;1,MAX(1,ROUND(($AI486-$AH486)*60,0))&amp;" phút",IF(ROUND(($AI486-$AH486),0)&lt;24,ROUND(($AI486-$AH486),0)&amp;" giờ",INT(ROUND(($AI486-$AH486),0)/24)&amp;" ngày"&amp;IF(MOD(ROUND(($AI486-$AH486),0),24)&gt;0," "&amp;MOD(ROUND(($AI486-$AH486),0),24)&amp;" giờ","")))),IF(OR($V486="Đã xử lý",N($B486)=0),"",IF((TDBC-$B486)*24&gt;$AH486,"Đã vượt ước tính","Đã dùng "&amp;TEXT((TDBC-$B486)*24/$AH486,"0%")))))</f>
      </c>
      <c r="AD486" s="223">
        <f>IF(N($AO486)=0,"",CHOOSE($AO486,"Nhắc nhở","Cảnh báo","Báo động","Báo động đỏ"))</f>
      </c>
      <c r="AE486" s="223">
        <f>IF(OR(N($AA486)=0,N($U486)=0),"",IF($AA486&lt;=$U486,"Đúng hạn","Trễ hạn"))</f>
      </c>
      <c r="AF486" s="220">
        <f>IF($A486="","",_xlfn.MAXIFS('Nhật ký tiến độ'!$B$6:$B$3005,'Nhật ký tiến độ'!$C$6:$C$3005,$A486))</f>
      </c>
      <c r="AG486" s="223">
        <f>IF($A486="","",IF(COUNTIF('Kế hoạch'!$M$6:$M$305,$A486)=0,"",COUNTIF('Kế hoạch'!$M$6:$M$305,$A486)&amp;" việc"))</f>
      </c>
      <c r="AH486" s="224">
        <f>IF(OR($A486="",N($O486)&lt;=0),"",IF($P486="Giờ",$O486,$O486*24))</f>
      </c>
      <c r="AI486" s="224">
        <f>IF(OR(N($AA486)=0,N($B486)=0),"",IF($AA486&lt;$B486,"",($AA486-$B486)*24))</f>
      </c>
      <c r="AJ486" s="225">
        <f>IF($A486="","",IF(COUNTIF('Nhật ký tiến độ'!$C$6:$C$3005,$A486)=0,0,_xlfn.MAXIFS('Nhật ký tiến độ'!$N$6:$N$3005,'Nhật ký tiến độ'!$C$6:$C$3005,$A486,'Nhật ký tiến độ'!$B$6:$B$3005,_xlfn.MAXIFS('Nhật ký tiến độ'!$B$6:$B$3005,'Nhật ký tiến độ'!$C$6:$C$3005,$A486))))</f>
      </c>
      <c r="AK486" s="225">
        <f>IF(OR($A486="",$V486="Đã xử lý"),"",IF(N($AO486)&gt;0,5-$AO486,IF($J486="Khẩn cấp",5,IF($Y486="Chậm tiến độ",6,IF(OR($Y486="Sắp đến hạn",$J486="Cao"),7,"")))))</f>
      </c>
      <c r="AL486" s="225">
        <f>IF($AK486="","",$AK486*100000+IF(N($U486)=0,99999,INT($U486))+ROW()/100000)</f>
      </c>
      <c r="AM486" s="225">
        <f>IF(OR($A486="",TRIM($K486)="",COUNTIF($K$6:$K486,$K486)&gt;1),0,1)</f>
      </c>
      <c r="AN486" s="225">
        <f>IF($AM486=1,SUM($AM$6:$AM486),"")</f>
      </c>
      <c r="AO486" s="225">
        <f>IF(OR($A486="",$V486="Đã xử lý",N($U486)=0),0,IF(TDBC&lt;=$U486,0,MAX(1,MIN(4,IF((TDBC-$U486)*24&lt;24,1,IF((TDBC-$U486)*24&lt;72,2,IF((TDBC-$U486)*24&lt;168,3,4)))+IFERROR(INDEX({2,1,0,-1},MATCH($J486,{"Khẩn cấp","Cao","Trung bình","Thấp"},0)),0)))))</f>
      </c>
    </row>
    <row r="487">
      <c r="A487" s="216"/>
      <c r="B487" s="217"/>
      <c r="C487" s="218"/>
      <c r="D487" s="218"/>
      <c r="E487" s="218"/>
      <c r="F487" s="218"/>
      <c r="G487" s="216"/>
      <c r="H487" s="218"/>
      <c r="I487" s="218"/>
      <c r="J487" s="216"/>
      <c r="K487" s="218"/>
      <c r="L487" s="218"/>
      <c r="M487" s="218"/>
      <c r="N487" s="218"/>
      <c r="O487" s="219"/>
      <c r="P487" s="216"/>
      <c r="Q487" s="217"/>
      <c r="R487" s="216"/>
      <c r="S487" s="218"/>
      <c r="T487" s="218"/>
      <c r="U487" s="220">
        <f>IF($A487="","",IF(N($Q487)&gt;0,IF(MOD($Q487,1)=0,$Q487+1-1/1440,$Q487),IF(N($B487)=0,"",$B487+IF(N($AH487)&gt;0,$AH487,IFERROR(INDEX(DM_SLA_Gio,MATCH($J487,DM_SLA_Cap,0)),168))/24)))</f>
      </c>
      <c r="V487" s="221">
        <f>IF($A487="","",IF(N($AJ487)=0,"Mới tiếp nhận",INDEX('Nhật ký tiến độ'!$E:$E,$AJ487)))</f>
      </c>
      <c r="W487" s="222">
        <f>IF($A487="","",IF($V487="Đã xử lý",1,IF(N($AJ487)=0,0,N(INDEX('Nhật ký tiến độ'!$D:$D,$AJ487)))))</f>
      </c>
      <c r="X487" s="222">
        <f>IF(OR($A487="",$V487="Đã xử lý",N($U487)=0,N($B487)=0),"",IF(TDBC&lt;=$B487,0,IF(TDBC&gt;=$U487,1,(TDBC-$B487)/($U487-$B487))))</f>
      </c>
      <c r="Y487" s="223">
        <f>IF($A487="","",IF($V487="Đã xử lý","Hoàn thành",IF(N($U487)=0,"Chưa đặt hạn",IF(TDBC&gt;$U487,"Quá hạn",IF(ROUND((N($X487)-$W487)*100,0)&gt;=20,"Chậm tiến độ",IF($U487-TDBC&lt;=1,"Sắp đến hạn","Đúng tiến độ"))))))</f>
      </c>
      <c r="Z487" s="223">
        <f>IF(OR($A487="",$V487="Đã xử lý",N($U487)=0),"",IF(TDBC&gt;$U487,"Quá "&amp;IF(((TDBC-$U487)*24)&lt;1,MAX(1,ROUND(((TDBC-$U487)*24)*60,0))&amp;" phút",IF(ROUND(((TDBC-$U487)*24),0)&lt;24,ROUND(((TDBC-$U487)*24),0)&amp;" giờ",INT(ROUND(((TDBC-$U487)*24),0)/24)&amp;" ngày"&amp;IF(MOD(ROUND(((TDBC-$U487)*24),0),24)&gt;0," "&amp;MOD(ROUND(((TDBC-$U487)*24),0),24)&amp;" giờ",""))),"Còn "&amp;IF((($U487-TDBC)*24)&lt;1,MAX(1,ROUND((($U487-TDBC)*24)*60,0))&amp;" phút",IF(ROUND((($U487-TDBC)*24),0)&lt;24,ROUND((($U487-TDBC)*24),0)&amp;" giờ",INT(ROUND((($U487-TDBC)*24),0)/24)&amp;" ngày"&amp;IF(MOD(ROUND((($U487-TDBC)*24),0),24)&gt;0," "&amp;MOD(ROUND((($U487-TDBC)*24),0),24)&amp;" giờ","")))))</f>
      </c>
      <c r="AA487" s="220">
        <f>IF($V487="Đã xử lý",_xlfn.MAXIFS('Nhật ký tiến độ'!$B$6:$B$3005,'Nhật ký tiến độ'!$C$6:$C$3005,$A487,'Nhật ký tiến độ'!$E$6:$E$3005,"Đã xử lý"),"")</f>
      </c>
      <c r="AB487" s="223">
        <f>IF($AI487="","",IF($AI487&lt;1,MAX(1,ROUND($AI487*60,0))&amp;" phút",IF(ROUND($AI487,0)&lt;24,ROUND($AI487,0)&amp;" giờ",INT(ROUND($AI487,0)/24)&amp;" ngày"&amp;IF(MOD(ROUND($AI487,0),24)&gt;0," "&amp;MOD(ROUND($AI487,0),24)&amp;" giờ",""))))</f>
      </c>
      <c r="AC487" s="223">
        <f>IF(OR($A487="",N($AH487)=0),"",IF($AI487&lt;&gt;"",IF($AI487&lt;=$AH487,"Trong ước tính","Vượt "&amp;IF(($AI487-$AH487)&lt;1,MAX(1,ROUND(($AI487-$AH487)*60,0))&amp;" phút",IF(ROUND(($AI487-$AH487),0)&lt;24,ROUND(($AI487-$AH487),0)&amp;" giờ",INT(ROUND(($AI487-$AH487),0)/24)&amp;" ngày"&amp;IF(MOD(ROUND(($AI487-$AH487),0),24)&gt;0," "&amp;MOD(ROUND(($AI487-$AH487),0),24)&amp;" giờ","")))),IF(OR($V487="Đã xử lý",N($B487)=0),"",IF((TDBC-$B487)*24&gt;$AH487,"Đã vượt ước tính","Đã dùng "&amp;TEXT((TDBC-$B487)*24/$AH487,"0%")))))</f>
      </c>
      <c r="AD487" s="223">
        <f>IF(N($AO487)=0,"",CHOOSE($AO487,"Nhắc nhở","Cảnh báo","Báo động","Báo động đỏ"))</f>
      </c>
      <c r="AE487" s="223">
        <f>IF(OR(N($AA487)=0,N($U487)=0),"",IF($AA487&lt;=$U487,"Đúng hạn","Trễ hạn"))</f>
      </c>
      <c r="AF487" s="220">
        <f>IF($A487="","",_xlfn.MAXIFS('Nhật ký tiến độ'!$B$6:$B$3005,'Nhật ký tiến độ'!$C$6:$C$3005,$A487))</f>
      </c>
      <c r="AG487" s="223">
        <f>IF($A487="","",IF(COUNTIF('Kế hoạch'!$M$6:$M$305,$A487)=0,"",COUNTIF('Kế hoạch'!$M$6:$M$305,$A487)&amp;" việc"))</f>
      </c>
      <c r="AH487" s="224">
        <f>IF(OR($A487="",N($O487)&lt;=0),"",IF($P487="Giờ",$O487,$O487*24))</f>
      </c>
      <c r="AI487" s="224">
        <f>IF(OR(N($AA487)=0,N($B487)=0),"",IF($AA487&lt;$B487,"",($AA487-$B487)*24))</f>
      </c>
      <c r="AJ487" s="225">
        <f>IF($A487="","",IF(COUNTIF('Nhật ký tiến độ'!$C$6:$C$3005,$A487)=0,0,_xlfn.MAXIFS('Nhật ký tiến độ'!$N$6:$N$3005,'Nhật ký tiến độ'!$C$6:$C$3005,$A487,'Nhật ký tiến độ'!$B$6:$B$3005,_xlfn.MAXIFS('Nhật ký tiến độ'!$B$6:$B$3005,'Nhật ký tiến độ'!$C$6:$C$3005,$A487))))</f>
      </c>
      <c r="AK487" s="225">
        <f>IF(OR($A487="",$V487="Đã xử lý"),"",IF(N($AO487)&gt;0,5-$AO487,IF($J487="Khẩn cấp",5,IF($Y487="Chậm tiến độ",6,IF(OR($Y487="Sắp đến hạn",$J487="Cao"),7,"")))))</f>
      </c>
      <c r="AL487" s="225">
        <f>IF($AK487="","",$AK487*100000+IF(N($U487)=0,99999,INT($U487))+ROW()/100000)</f>
      </c>
      <c r="AM487" s="225">
        <f>IF(OR($A487="",TRIM($K487)="",COUNTIF($K$6:$K487,$K487)&gt;1),0,1)</f>
      </c>
      <c r="AN487" s="225">
        <f>IF($AM487=1,SUM($AM$6:$AM487),"")</f>
      </c>
      <c r="AO487" s="225">
        <f>IF(OR($A487="",$V487="Đã xử lý",N($U487)=0),0,IF(TDBC&lt;=$U487,0,MAX(1,MIN(4,IF((TDBC-$U487)*24&lt;24,1,IF((TDBC-$U487)*24&lt;72,2,IF((TDBC-$U487)*24&lt;168,3,4)))+IFERROR(INDEX({2,1,0,-1},MATCH($J487,{"Khẩn cấp","Cao","Trung bình","Thấp"},0)),0)))))</f>
      </c>
    </row>
    <row r="488">
      <c r="A488" s="216"/>
      <c r="B488" s="217"/>
      <c r="C488" s="218"/>
      <c r="D488" s="218"/>
      <c r="E488" s="218"/>
      <c r="F488" s="218"/>
      <c r="G488" s="216"/>
      <c r="H488" s="218"/>
      <c r="I488" s="218"/>
      <c r="J488" s="216"/>
      <c r="K488" s="218"/>
      <c r="L488" s="218"/>
      <c r="M488" s="218"/>
      <c r="N488" s="218"/>
      <c r="O488" s="219"/>
      <c r="P488" s="216"/>
      <c r="Q488" s="217"/>
      <c r="R488" s="216"/>
      <c r="S488" s="218"/>
      <c r="T488" s="218"/>
      <c r="U488" s="220">
        <f>IF($A488="","",IF(N($Q488)&gt;0,IF(MOD($Q488,1)=0,$Q488+1-1/1440,$Q488),IF(N($B488)=0,"",$B488+IF(N($AH488)&gt;0,$AH488,IFERROR(INDEX(DM_SLA_Gio,MATCH($J488,DM_SLA_Cap,0)),168))/24)))</f>
      </c>
      <c r="V488" s="221">
        <f>IF($A488="","",IF(N($AJ488)=0,"Mới tiếp nhận",INDEX('Nhật ký tiến độ'!$E:$E,$AJ488)))</f>
      </c>
      <c r="W488" s="222">
        <f>IF($A488="","",IF($V488="Đã xử lý",1,IF(N($AJ488)=0,0,N(INDEX('Nhật ký tiến độ'!$D:$D,$AJ488)))))</f>
      </c>
      <c r="X488" s="222">
        <f>IF(OR($A488="",$V488="Đã xử lý",N($U488)=0,N($B488)=0),"",IF(TDBC&lt;=$B488,0,IF(TDBC&gt;=$U488,1,(TDBC-$B488)/($U488-$B488))))</f>
      </c>
      <c r="Y488" s="223">
        <f>IF($A488="","",IF($V488="Đã xử lý","Hoàn thành",IF(N($U488)=0,"Chưa đặt hạn",IF(TDBC&gt;$U488,"Quá hạn",IF(ROUND((N($X488)-$W488)*100,0)&gt;=20,"Chậm tiến độ",IF($U488-TDBC&lt;=1,"Sắp đến hạn","Đúng tiến độ"))))))</f>
      </c>
      <c r="Z488" s="223">
        <f>IF(OR($A488="",$V488="Đã xử lý",N($U488)=0),"",IF(TDBC&gt;$U488,"Quá "&amp;IF(((TDBC-$U488)*24)&lt;1,MAX(1,ROUND(((TDBC-$U488)*24)*60,0))&amp;" phút",IF(ROUND(((TDBC-$U488)*24),0)&lt;24,ROUND(((TDBC-$U488)*24),0)&amp;" giờ",INT(ROUND(((TDBC-$U488)*24),0)/24)&amp;" ngày"&amp;IF(MOD(ROUND(((TDBC-$U488)*24),0),24)&gt;0," "&amp;MOD(ROUND(((TDBC-$U488)*24),0),24)&amp;" giờ",""))),"Còn "&amp;IF((($U488-TDBC)*24)&lt;1,MAX(1,ROUND((($U488-TDBC)*24)*60,0))&amp;" phút",IF(ROUND((($U488-TDBC)*24),0)&lt;24,ROUND((($U488-TDBC)*24),0)&amp;" giờ",INT(ROUND((($U488-TDBC)*24),0)/24)&amp;" ngày"&amp;IF(MOD(ROUND((($U488-TDBC)*24),0),24)&gt;0," "&amp;MOD(ROUND((($U488-TDBC)*24),0),24)&amp;" giờ","")))))</f>
      </c>
      <c r="AA488" s="220">
        <f>IF($V488="Đã xử lý",_xlfn.MAXIFS('Nhật ký tiến độ'!$B$6:$B$3005,'Nhật ký tiến độ'!$C$6:$C$3005,$A488,'Nhật ký tiến độ'!$E$6:$E$3005,"Đã xử lý"),"")</f>
      </c>
      <c r="AB488" s="223">
        <f>IF($AI488="","",IF($AI488&lt;1,MAX(1,ROUND($AI488*60,0))&amp;" phút",IF(ROUND($AI488,0)&lt;24,ROUND($AI488,0)&amp;" giờ",INT(ROUND($AI488,0)/24)&amp;" ngày"&amp;IF(MOD(ROUND($AI488,0),24)&gt;0," "&amp;MOD(ROUND($AI488,0),24)&amp;" giờ",""))))</f>
      </c>
      <c r="AC488" s="223">
        <f>IF(OR($A488="",N($AH488)=0),"",IF($AI488&lt;&gt;"",IF($AI488&lt;=$AH488,"Trong ước tính","Vượt "&amp;IF(($AI488-$AH488)&lt;1,MAX(1,ROUND(($AI488-$AH488)*60,0))&amp;" phút",IF(ROUND(($AI488-$AH488),0)&lt;24,ROUND(($AI488-$AH488),0)&amp;" giờ",INT(ROUND(($AI488-$AH488),0)/24)&amp;" ngày"&amp;IF(MOD(ROUND(($AI488-$AH488),0),24)&gt;0," "&amp;MOD(ROUND(($AI488-$AH488),0),24)&amp;" giờ","")))),IF(OR($V488="Đã xử lý",N($B488)=0),"",IF((TDBC-$B488)*24&gt;$AH488,"Đã vượt ước tính","Đã dùng "&amp;TEXT((TDBC-$B488)*24/$AH488,"0%")))))</f>
      </c>
      <c r="AD488" s="223">
        <f>IF(N($AO488)=0,"",CHOOSE($AO488,"Nhắc nhở","Cảnh báo","Báo động","Báo động đỏ"))</f>
      </c>
      <c r="AE488" s="223">
        <f>IF(OR(N($AA488)=0,N($U488)=0),"",IF($AA488&lt;=$U488,"Đúng hạn","Trễ hạn"))</f>
      </c>
      <c r="AF488" s="220">
        <f>IF($A488="","",_xlfn.MAXIFS('Nhật ký tiến độ'!$B$6:$B$3005,'Nhật ký tiến độ'!$C$6:$C$3005,$A488))</f>
      </c>
      <c r="AG488" s="223">
        <f>IF($A488="","",IF(COUNTIF('Kế hoạch'!$M$6:$M$305,$A488)=0,"",COUNTIF('Kế hoạch'!$M$6:$M$305,$A488)&amp;" việc"))</f>
      </c>
      <c r="AH488" s="224">
        <f>IF(OR($A488="",N($O488)&lt;=0),"",IF($P488="Giờ",$O488,$O488*24))</f>
      </c>
      <c r="AI488" s="224">
        <f>IF(OR(N($AA488)=0,N($B488)=0),"",IF($AA488&lt;$B488,"",($AA488-$B488)*24))</f>
      </c>
      <c r="AJ488" s="225">
        <f>IF($A488="","",IF(COUNTIF('Nhật ký tiến độ'!$C$6:$C$3005,$A488)=0,0,_xlfn.MAXIFS('Nhật ký tiến độ'!$N$6:$N$3005,'Nhật ký tiến độ'!$C$6:$C$3005,$A488,'Nhật ký tiến độ'!$B$6:$B$3005,_xlfn.MAXIFS('Nhật ký tiến độ'!$B$6:$B$3005,'Nhật ký tiến độ'!$C$6:$C$3005,$A488))))</f>
      </c>
      <c r="AK488" s="225">
        <f>IF(OR($A488="",$V488="Đã xử lý"),"",IF(N($AO488)&gt;0,5-$AO488,IF($J488="Khẩn cấp",5,IF($Y488="Chậm tiến độ",6,IF(OR($Y488="Sắp đến hạn",$J488="Cao"),7,"")))))</f>
      </c>
      <c r="AL488" s="225">
        <f>IF($AK488="","",$AK488*100000+IF(N($U488)=0,99999,INT($U488))+ROW()/100000)</f>
      </c>
      <c r="AM488" s="225">
        <f>IF(OR($A488="",TRIM($K488)="",COUNTIF($K$6:$K488,$K488)&gt;1),0,1)</f>
      </c>
      <c r="AN488" s="225">
        <f>IF($AM488=1,SUM($AM$6:$AM488),"")</f>
      </c>
      <c r="AO488" s="225">
        <f>IF(OR($A488="",$V488="Đã xử lý",N($U488)=0),0,IF(TDBC&lt;=$U488,0,MAX(1,MIN(4,IF((TDBC-$U488)*24&lt;24,1,IF((TDBC-$U488)*24&lt;72,2,IF((TDBC-$U488)*24&lt;168,3,4)))+IFERROR(INDEX({2,1,0,-1},MATCH($J488,{"Khẩn cấp","Cao","Trung bình","Thấp"},0)),0)))))</f>
      </c>
    </row>
    <row r="489">
      <c r="A489" s="216"/>
      <c r="B489" s="217"/>
      <c r="C489" s="218"/>
      <c r="D489" s="218"/>
      <c r="E489" s="218"/>
      <c r="F489" s="218"/>
      <c r="G489" s="216"/>
      <c r="H489" s="218"/>
      <c r="I489" s="218"/>
      <c r="J489" s="216"/>
      <c r="K489" s="218"/>
      <c r="L489" s="218"/>
      <c r="M489" s="218"/>
      <c r="N489" s="218"/>
      <c r="O489" s="219"/>
      <c r="P489" s="216"/>
      <c r="Q489" s="217"/>
      <c r="R489" s="216"/>
      <c r="S489" s="218"/>
      <c r="T489" s="218"/>
      <c r="U489" s="220">
        <f>IF($A489="","",IF(N($Q489)&gt;0,IF(MOD($Q489,1)=0,$Q489+1-1/1440,$Q489),IF(N($B489)=0,"",$B489+IF(N($AH489)&gt;0,$AH489,IFERROR(INDEX(DM_SLA_Gio,MATCH($J489,DM_SLA_Cap,0)),168))/24)))</f>
      </c>
      <c r="V489" s="221">
        <f>IF($A489="","",IF(N($AJ489)=0,"Mới tiếp nhận",INDEX('Nhật ký tiến độ'!$E:$E,$AJ489)))</f>
      </c>
      <c r="W489" s="222">
        <f>IF($A489="","",IF($V489="Đã xử lý",1,IF(N($AJ489)=0,0,N(INDEX('Nhật ký tiến độ'!$D:$D,$AJ489)))))</f>
      </c>
      <c r="X489" s="222">
        <f>IF(OR($A489="",$V489="Đã xử lý",N($U489)=0,N($B489)=0),"",IF(TDBC&lt;=$B489,0,IF(TDBC&gt;=$U489,1,(TDBC-$B489)/($U489-$B489))))</f>
      </c>
      <c r="Y489" s="223">
        <f>IF($A489="","",IF($V489="Đã xử lý","Hoàn thành",IF(N($U489)=0,"Chưa đặt hạn",IF(TDBC&gt;$U489,"Quá hạn",IF(ROUND((N($X489)-$W489)*100,0)&gt;=20,"Chậm tiến độ",IF($U489-TDBC&lt;=1,"Sắp đến hạn","Đúng tiến độ"))))))</f>
      </c>
      <c r="Z489" s="223">
        <f>IF(OR($A489="",$V489="Đã xử lý",N($U489)=0),"",IF(TDBC&gt;$U489,"Quá "&amp;IF(((TDBC-$U489)*24)&lt;1,MAX(1,ROUND(((TDBC-$U489)*24)*60,0))&amp;" phút",IF(ROUND(((TDBC-$U489)*24),0)&lt;24,ROUND(((TDBC-$U489)*24),0)&amp;" giờ",INT(ROUND(((TDBC-$U489)*24),0)/24)&amp;" ngày"&amp;IF(MOD(ROUND(((TDBC-$U489)*24),0),24)&gt;0," "&amp;MOD(ROUND(((TDBC-$U489)*24),0),24)&amp;" giờ",""))),"Còn "&amp;IF((($U489-TDBC)*24)&lt;1,MAX(1,ROUND((($U489-TDBC)*24)*60,0))&amp;" phút",IF(ROUND((($U489-TDBC)*24),0)&lt;24,ROUND((($U489-TDBC)*24),0)&amp;" giờ",INT(ROUND((($U489-TDBC)*24),0)/24)&amp;" ngày"&amp;IF(MOD(ROUND((($U489-TDBC)*24),0),24)&gt;0," "&amp;MOD(ROUND((($U489-TDBC)*24),0),24)&amp;" giờ","")))))</f>
      </c>
      <c r="AA489" s="220">
        <f>IF($V489="Đã xử lý",_xlfn.MAXIFS('Nhật ký tiến độ'!$B$6:$B$3005,'Nhật ký tiến độ'!$C$6:$C$3005,$A489,'Nhật ký tiến độ'!$E$6:$E$3005,"Đã xử lý"),"")</f>
      </c>
      <c r="AB489" s="223">
        <f>IF($AI489="","",IF($AI489&lt;1,MAX(1,ROUND($AI489*60,0))&amp;" phút",IF(ROUND($AI489,0)&lt;24,ROUND($AI489,0)&amp;" giờ",INT(ROUND($AI489,0)/24)&amp;" ngày"&amp;IF(MOD(ROUND($AI489,0),24)&gt;0," "&amp;MOD(ROUND($AI489,0),24)&amp;" giờ",""))))</f>
      </c>
      <c r="AC489" s="223">
        <f>IF(OR($A489="",N($AH489)=0),"",IF($AI489&lt;&gt;"",IF($AI489&lt;=$AH489,"Trong ước tính","Vượt "&amp;IF(($AI489-$AH489)&lt;1,MAX(1,ROUND(($AI489-$AH489)*60,0))&amp;" phút",IF(ROUND(($AI489-$AH489),0)&lt;24,ROUND(($AI489-$AH489),0)&amp;" giờ",INT(ROUND(($AI489-$AH489),0)/24)&amp;" ngày"&amp;IF(MOD(ROUND(($AI489-$AH489),0),24)&gt;0," "&amp;MOD(ROUND(($AI489-$AH489),0),24)&amp;" giờ","")))),IF(OR($V489="Đã xử lý",N($B489)=0),"",IF((TDBC-$B489)*24&gt;$AH489,"Đã vượt ước tính","Đã dùng "&amp;TEXT((TDBC-$B489)*24/$AH489,"0%")))))</f>
      </c>
      <c r="AD489" s="223">
        <f>IF(N($AO489)=0,"",CHOOSE($AO489,"Nhắc nhở","Cảnh báo","Báo động","Báo động đỏ"))</f>
      </c>
      <c r="AE489" s="223">
        <f>IF(OR(N($AA489)=0,N($U489)=0),"",IF($AA489&lt;=$U489,"Đúng hạn","Trễ hạn"))</f>
      </c>
      <c r="AF489" s="220">
        <f>IF($A489="","",_xlfn.MAXIFS('Nhật ký tiến độ'!$B$6:$B$3005,'Nhật ký tiến độ'!$C$6:$C$3005,$A489))</f>
      </c>
      <c r="AG489" s="223">
        <f>IF($A489="","",IF(COUNTIF('Kế hoạch'!$M$6:$M$305,$A489)=0,"",COUNTIF('Kế hoạch'!$M$6:$M$305,$A489)&amp;" việc"))</f>
      </c>
      <c r="AH489" s="224">
        <f>IF(OR($A489="",N($O489)&lt;=0),"",IF($P489="Giờ",$O489,$O489*24))</f>
      </c>
      <c r="AI489" s="224">
        <f>IF(OR(N($AA489)=0,N($B489)=0),"",IF($AA489&lt;$B489,"",($AA489-$B489)*24))</f>
      </c>
      <c r="AJ489" s="225">
        <f>IF($A489="","",IF(COUNTIF('Nhật ký tiến độ'!$C$6:$C$3005,$A489)=0,0,_xlfn.MAXIFS('Nhật ký tiến độ'!$N$6:$N$3005,'Nhật ký tiến độ'!$C$6:$C$3005,$A489,'Nhật ký tiến độ'!$B$6:$B$3005,_xlfn.MAXIFS('Nhật ký tiến độ'!$B$6:$B$3005,'Nhật ký tiến độ'!$C$6:$C$3005,$A489))))</f>
      </c>
      <c r="AK489" s="225">
        <f>IF(OR($A489="",$V489="Đã xử lý"),"",IF(N($AO489)&gt;0,5-$AO489,IF($J489="Khẩn cấp",5,IF($Y489="Chậm tiến độ",6,IF(OR($Y489="Sắp đến hạn",$J489="Cao"),7,"")))))</f>
      </c>
      <c r="AL489" s="225">
        <f>IF($AK489="","",$AK489*100000+IF(N($U489)=0,99999,INT($U489))+ROW()/100000)</f>
      </c>
      <c r="AM489" s="225">
        <f>IF(OR($A489="",TRIM($K489)="",COUNTIF($K$6:$K489,$K489)&gt;1),0,1)</f>
      </c>
      <c r="AN489" s="225">
        <f>IF($AM489=1,SUM($AM$6:$AM489),"")</f>
      </c>
      <c r="AO489" s="225">
        <f>IF(OR($A489="",$V489="Đã xử lý",N($U489)=0),0,IF(TDBC&lt;=$U489,0,MAX(1,MIN(4,IF((TDBC-$U489)*24&lt;24,1,IF((TDBC-$U489)*24&lt;72,2,IF((TDBC-$U489)*24&lt;168,3,4)))+IFERROR(INDEX({2,1,0,-1},MATCH($J489,{"Khẩn cấp","Cao","Trung bình","Thấp"},0)),0)))))</f>
      </c>
    </row>
    <row r="490">
      <c r="A490" s="216"/>
      <c r="B490" s="217"/>
      <c r="C490" s="218"/>
      <c r="D490" s="218"/>
      <c r="E490" s="218"/>
      <c r="F490" s="218"/>
      <c r="G490" s="216"/>
      <c r="H490" s="218"/>
      <c r="I490" s="218"/>
      <c r="J490" s="216"/>
      <c r="K490" s="218"/>
      <c r="L490" s="218"/>
      <c r="M490" s="218"/>
      <c r="N490" s="218"/>
      <c r="O490" s="219"/>
      <c r="P490" s="216"/>
      <c r="Q490" s="217"/>
      <c r="R490" s="216"/>
      <c r="S490" s="218"/>
      <c r="T490" s="218"/>
      <c r="U490" s="220">
        <f>IF($A490="","",IF(N($Q490)&gt;0,IF(MOD($Q490,1)=0,$Q490+1-1/1440,$Q490),IF(N($B490)=0,"",$B490+IF(N($AH490)&gt;0,$AH490,IFERROR(INDEX(DM_SLA_Gio,MATCH($J490,DM_SLA_Cap,0)),168))/24)))</f>
      </c>
      <c r="V490" s="221">
        <f>IF($A490="","",IF(N($AJ490)=0,"Mới tiếp nhận",INDEX('Nhật ký tiến độ'!$E:$E,$AJ490)))</f>
      </c>
      <c r="W490" s="222">
        <f>IF($A490="","",IF($V490="Đã xử lý",1,IF(N($AJ490)=0,0,N(INDEX('Nhật ký tiến độ'!$D:$D,$AJ490)))))</f>
      </c>
      <c r="X490" s="222">
        <f>IF(OR($A490="",$V490="Đã xử lý",N($U490)=0,N($B490)=0),"",IF(TDBC&lt;=$B490,0,IF(TDBC&gt;=$U490,1,(TDBC-$B490)/($U490-$B490))))</f>
      </c>
      <c r="Y490" s="223">
        <f>IF($A490="","",IF($V490="Đã xử lý","Hoàn thành",IF(N($U490)=0,"Chưa đặt hạn",IF(TDBC&gt;$U490,"Quá hạn",IF(ROUND((N($X490)-$W490)*100,0)&gt;=20,"Chậm tiến độ",IF($U490-TDBC&lt;=1,"Sắp đến hạn","Đúng tiến độ"))))))</f>
      </c>
      <c r="Z490" s="223">
        <f>IF(OR($A490="",$V490="Đã xử lý",N($U490)=0),"",IF(TDBC&gt;$U490,"Quá "&amp;IF(((TDBC-$U490)*24)&lt;1,MAX(1,ROUND(((TDBC-$U490)*24)*60,0))&amp;" phút",IF(ROUND(((TDBC-$U490)*24),0)&lt;24,ROUND(((TDBC-$U490)*24),0)&amp;" giờ",INT(ROUND(((TDBC-$U490)*24),0)/24)&amp;" ngày"&amp;IF(MOD(ROUND(((TDBC-$U490)*24),0),24)&gt;0," "&amp;MOD(ROUND(((TDBC-$U490)*24),0),24)&amp;" giờ",""))),"Còn "&amp;IF((($U490-TDBC)*24)&lt;1,MAX(1,ROUND((($U490-TDBC)*24)*60,0))&amp;" phút",IF(ROUND((($U490-TDBC)*24),0)&lt;24,ROUND((($U490-TDBC)*24),0)&amp;" giờ",INT(ROUND((($U490-TDBC)*24),0)/24)&amp;" ngày"&amp;IF(MOD(ROUND((($U490-TDBC)*24),0),24)&gt;0," "&amp;MOD(ROUND((($U490-TDBC)*24),0),24)&amp;" giờ","")))))</f>
      </c>
      <c r="AA490" s="220">
        <f>IF($V490="Đã xử lý",_xlfn.MAXIFS('Nhật ký tiến độ'!$B$6:$B$3005,'Nhật ký tiến độ'!$C$6:$C$3005,$A490,'Nhật ký tiến độ'!$E$6:$E$3005,"Đã xử lý"),"")</f>
      </c>
      <c r="AB490" s="223">
        <f>IF($AI490="","",IF($AI490&lt;1,MAX(1,ROUND($AI490*60,0))&amp;" phút",IF(ROUND($AI490,0)&lt;24,ROUND($AI490,0)&amp;" giờ",INT(ROUND($AI490,0)/24)&amp;" ngày"&amp;IF(MOD(ROUND($AI490,0),24)&gt;0," "&amp;MOD(ROUND($AI490,0),24)&amp;" giờ",""))))</f>
      </c>
      <c r="AC490" s="223">
        <f>IF(OR($A490="",N($AH490)=0),"",IF($AI490&lt;&gt;"",IF($AI490&lt;=$AH490,"Trong ước tính","Vượt "&amp;IF(($AI490-$AH490)&lt;1,MAX(1,ROUND(($AI490-$AH490)*60,0))&amp;" phút",IF(ROUND(($AI490-$AH490),0)&lt;24,ROUND(($AI490-$AH490),0)&amp;" giờ",INT(ROUND(($AI490-$AH490),0)/24)&amp;" ngày"&amp;IF(MOD(ROUND(($AI490-$AH490),0),24)&gt;0," "&amp;MOD(ROUND(($AI490-$AH490),0),24)&amp;" giờ","")))),IF(OR($V490="Đã xử lý",N($B490)=0),"",IF((TDBC-$B490)*24&gt;$AH490,"Đã vượt ước tính","Đã dùng "&amp;TEXT((TDBC-$B490)*24/$AH490,"0%")))))</f>
      </c>
      <c r="AD490" s="223">
        <f>IF(N($AO490)=0,"",CHOOSE($AO490,"Nhắc nhở","Cảnh báo","Báo động","Báo động đỏ"))</f>
      </c>
      <c r="AE490" s="223">
        <f>IF(OR(N($AA490)=0,N($U490)=0),"",IF($AA490&lt;=$U490,"Đúng hạn","Trễ hạn"))</f>
      </c>
      <c r="AF490" s="220">
        <f>IF($A490="","",_xlfn.MAXIFS('Nhật ký tiến độ'!$B$6:$B$3005,'Nhật ký tiến độ'!$C$6:$C$3005,$A490))</f>
      </c>
      <c r="AG490" s="223">
        <f>IF($A490="","",IF(COUNTIF('Kế hoạch'!$M$6:$M$305,$A490)=0,"",COUNTIF('Kế hoạch'!$M$6:$M$305,$A490)&amp;" việc"))</f>
      </c>
      <c r="AH490" s="224">
        <f>IF(OR($A490="",N($O490)&lt;=0),"",IF($P490="Giờ",$O490,$O490*24))</f>
      </c>
      <c r="AI490" s="224">
        <f>IF(OR(N($AA490)=0,N($B490)=0),"",IF($AA490&lt;$B490,"",($AA490-$B490)*24))</f>
      </c>
      <c r="AJ490" s="225">
        <f>IF($A490="","",IF(COUNTIF('Nhật ký tiến độ'!$C$6:$C$3005,$A490)=0,0,_xlfn.MAXIFS('Nhật ký tiến độ'!$N$6:$N$3005,'Nhật ký tiến độ'!$C$6:$C$3005,$A490,'Nhật ký tiến độ'!$B$6:$B$3005,_xlfn.MAXIFS('Nhật ký tiến độ'!$B$6:$B$3005,'Nhật ký tiến độ'!$C$6:$C$3005,$A490))))</f>
      </c>
      <c r="AK490" s="225">
        <f>IF(OR($A490="",$V490="Đã xử lý"),"",IF(N($AO490)&gt;0,5-$AO490,IF($J490="Khẩn cấp",5,IF($Y490="Chậm tiến độ",6,IF(OR($Y490="Sắp đến hạn",$J490="Cao"),7,"")))))</f>
      </c>
      <c r="AL490" s="225">
        <f>IF($AK490="","",$AK490*100000+IF(N($U490)=0,99999,INT($U490))+ROW()/100000)</f>
      </c>
      <c r="AM490" s="225">
        <f>IF(OR($A490="",TRIM($K490)="",COUNTIF($K$6:$K490,$K490)&gt;1),0,1)</f>
      </c>
      <c r="AN490" s="225">
        <f>IF($AM490=1,SUM($AM$6:$AM490),"")</f>
      </c>
      <c r="AO490" s="225">
        <f>IF(OR($A490="",$V490="Đã xử lý",N($U490)=0),0,IF(TDBC&lt;=$U490,0,MAX(1,MIN(4,IF((TDBC-$U490)*24&lt;24,1,IF((TDBC-$U490)*24&lt;72,2,IF((TDBC-$U490)*24&lt;168,3,4)))+IFERROR(INDEX({2,1,0,-1},MATCH($J490,{"Khẩn cấp","Cao","Trung bình","Thấp"},0)),0)))))</f>
      </c>
    </row>
    <row r="491">
      <c r="A491" s="216"/>
      <c r="B491" s="217"/>
      <c r="C491" s="218"/>
      <c r="D491" s="218"/>
      <c r="E491" s="218"/>
      <c r="F491" s="218"/>
      <c r="G491" s="216"/>
      <c r="H491" s="218"/>
      <c r="I491" s="218"/>
      <c r="J491" s="216"/>
      <c r="K491" s="218"/>
      <c r="L491" s="218"/>
      <c r="M491" s="218"/>
      <c r="N491" s="218"/>
      <c r="O491" s="219"/>
      <c r="P491" s="216"/>
      <c r="Q491" s="217"/>
      <c r="R491" s="216"/>
      <c r="S491" s="218"/>
      <c r="T491" s="218"/>
      <c r="U491" s="220">
        <f>IF($A491="","",IF(N($Q491)&gt;0,IF(MOD($Q491,1)=0,$Q491+1-1/1440,$Q491),IF(N($B491)=0,"",$B491+IF(N($AH491)&gt;0,$AH491,IFERROR(INDEX(DM_SLA_Gio,MATCH($J491,DM_SLA_Cap,0)),168))/24)))</f>
      </c>
      <c r="V491" s="221">
        <f>IF($A491="","",IF(N($AJ491)=0,"Mới tiếp nhận",INDEX('Nhật ký tiến độ'!$E:$E,$AJ491)))</f>
      </c>
      <c r="W491" s="222">
        <f>IF($A491="","",IF($V491="Đã xử lý",1,IF(N($AJ491)=0,0,N(INDEX('Nhật ký tiến độ'!$D:$D,$AJ491)))))</f>
      </c>
      <c r="X491" s="222">
        <f>IF(OR($A491="",$V491="Đã xử lý",N($U491)=0,N($B491)=0),"",IF(TDBC&lt;=$B491,0,IF(TDBC&gt;=$U491,1,(TDBC-$B491)/($U491-$B491))))</f>
      </c>
      <c r="Y491" s="223">
        <f>IF($A491="","",IF($V491="Đã xử lý","Hoàn thành",IF(N($U491)=0,"Chưa đặt hạn",IF(TDBC&gt;$U491,"Quá hạn",IF(ROUND((N($X491)-$W491)*100,0)&gt;=20,"Chậm tiến độ",IF($U491-TDBC&lt;=1,"Sắp đến hạn","Đúng tiến độ"))))))</f>
      </c>
      <c r="Z491" s="223">
        <f>IF(OR($A491="",$V491="Đã xử lý",N($U491)=0),"",IF(TDBC&gt;$U491,"Quá "&amp;IF(((TDBC-$U491)*24)&lt;1,MAX(1,ROUND(((TDBC-$U491)*24)*60,0))&amp;" phút",IF(ROUND(((TDBC-$U491)*24),0)&lt;24,ROUND(((TDBC-$U491)*24),0)&amp;" giờ",INT(ROUND(((TDBC-$U491)*24),0)/24)&amp;" ngày"&amp;IF(MOD(ROUND(((TDBC-$U491)*24),0),24)&gt;0," "&amp;MOD(ROUND(((TDBC-$U491)*24),0),24)&amp;" giờ",""))),"Còn "&amp;IF((($U491-TDBC)*24)&lt;1,MAX(1,ROUND((($U491-TDBC)*24)*60,0))&amp;" phút",IF(ROUND((($U491-TDBC)*24),0)&lt;24,ROUND((($U491-TDBC)*24),0)&amp;" giờ",INT(ROUND((($U491-TDBC)*24),0)/24)&amp;" ngày"&amp;IF(MOD(ROUND((($U491-TDBC)*24),0),24)&gt;0," "&amp;MOD(ROUND((($U491-TDBC)*24),0),24)&amp;" giờ","")))))</f>
      </c>
      <c r="AA491" s="220">
        <f>IF($V491="Đã xử lý",_xlfn.MAXIFS('Nhật ký tiến độ'!$B$6:$B$3005,'Nhật ký tiến độ'!$C$6:$C$3005,$A491,'Nhật ký tiến độ'!$E$6:$E$3005,"Đã xử lý"),"")</f>
      </c>
      <c r="AB491" s="223">
        <f>IF($AI491="","",IF($AI491&lt;1,MAX(1,ROUND($AI491*60,0))&amp;" phút",IF(ROUND($AI491,0)&lt;24,ROUND($AI491,0)&amp;" giờ",INT(ROUND($AI491,0)/24)&amp;" ngày"&amp;IF(MOD(ROUND($AI491,0),24)&gt;0," "&amp;MOD(ROUND($AI491,0),24)&amp;" giờ",""))))</f>
      </c>
      <c r="AC491" s="223">
        <f>IF(OR($A491="",N($AH491)=0),"",IF($AI491&lt;&gt;"",IF($AI491&lt;=$AH491,"Trong ước tính","Vượt "&amp;IF(($AI491-$AH491)&lt;1,MAX(1,ROUND(($AI491-$AH491)*60,0))&amp;" phút",IF(ROUND(($AI491-$AH491),0)&lt;24,ROUND(($AI491-$AH491),0)&amp;" giờ",INT(ROUND(($AI491-$AH491),0)/24)&amp;" ngày"&amp;IF(MOD(ROUND(($AI491-$AH491),0),24)&gt;0," "&amp;MOD(ROUND(($AI491-$AH491),0),24)&amp;" giờ","")))),IF(OR($V491="Đã xử lý",N($B491)=0),"",IF((TDBC-$B491)*24&gt;$AH491,"Đã vượt ước tính","Đã dùng "&amp;TEXT((TDBC-$B491)*24/$AH491,"0%")))))</f>
      </c>
      <c r="AD491" s="223">
        <f>IF(N($AO491)=0,"",CHOOSE($AO491,"Nhắc nhở","Cảnh báo","Báo động","Báo động đỏ"))</f>
      </c>
      <c r="AE491" s="223">
        <f>IF(OR(N($AA491)=0,N($U491)=0),"",IF($AA491&lt;=$U491,"Đúng hạn","Trễ hạn"))</f>
      </c>
      <c r="AF491" s="220">
        <f>IF($A491="","",_xlfn.MAXIFS('Nhật ký tiến độ'!$B$6:$B$3005,'Nhật ký tiến độ'!$C$6:$C$3005,$A491))</f>
      </c>
      <c r="AG491" s="223">
        <f>IF($A491="","",IF(COUNTIF('Kế hoạch'!$M$6:$M$305,$A491)=0,"",COUNTIF('Kế hoạch'!$M$6:$M$305,$A491)&amp;" việc"))</f>
      </c>
      <c r="AH491" s="224">
        <f>IF(OR($A491="",N($O491)&lt;=0),"",IF($P491="Giờ",$O491,$O491*24))</f>
      </c>
      <c r="AI491" s="224">
        <f>IF(OR(N($AA491)=0,N($B491)=0),"",IF($AA491&lt;$B491,"",($AA491-$B491)*24))</f>
      </c>
      <c r="AJ491" s="225">
        <f>IF($A491="","",IF(COUNTIF('Nhật ký tiến độ'!$C$6:$C$3005,$A491)=0,0,_xlfn.MAXIFS('Nhật ký tiến độ'!$N$6:$N$3005,'Nhật ký tiến độ'!$C$6:$C$3005,$A491,'Nhật ký tiến độ'!$B$6:$B$3005,_xlfn.MAXIFS('Nhật ký tiến độ'!$B$6:$B$3005,'Nhật ký tiến độ'!$C$6:$C$3005,$A491))))</f>
      </c>
      <c r="AK491" s="225">
        <f>IF(OR($A491="",$V491="Đã xử lý"),"",IF(N($AO491)&gt;0,5-$AO491,IF($J491="Khẩn cấp",5,IF($Y491="Chậm tiến độ",6,IF(OR($Y491="Sắp đến hạn",$J491="Cao"),7,"")))))</f>
      </c>
      <c r="AL491" s="225">
        <f>IF($AK491="","",$AK491*100000+IF(N($U491)=0,99999,INT($U491))+ROW()/100000)</f>
      </c>
      <c r="AM491" s="225">
        <f>IF(OR($A491="",TRIM($K491)="",COUNTIF($K$6:$K491,$K491)&gt;1),0,1)</f>
      </c>
      <c r="AN491" s="225">
        <f>IF($AM491=1,SUM($AM$6:$AM491),"")</f>
      </c>
      <c r="AO491" s="225">
        <f>IF(OR($A491="",$V491="Đã xử lý",N($U491)=0),0,IF(TDBC&lt;=$U491,0,MAX(1,MIN(4,IF((TDBC-$U491)*24&lt;24,1,IF((TDBC-$U491)*24&lt;72,2,IF((TDBC-$U491)*24&lt;168,3,4)))+IFERROR(INDEX({2,1,0,-1},MATCH($J491,{"Khẩn cấp","Cao","Trung bình","Thấp"},0)),0)))))</f>
      </c>
    </row>
    <row r="492">
      <c r="A492" s="216"/>
      <c r="B492" s="217"/>
      <c r="C492" s="218"/>
      <c r="D492" s="218"/>
      <c r="E492" s="218"/>
      <c r="F492" s="218"/>
      <c r="G492" s="216"/>
      <c r="H492" s="218"/>
      <c r="I492" s="218"/>
      <c r="J492" s="216"/>
      <c r="K492" s="218"/>
      <c r="L492" s="218"/>
      <c r="M492" s="218"/>
      <c r="N492" s="218"/>
      <c r="O492" s="219"/>
      <c r="P492" s="216"/>
      <c r="Q492" s="217"/>
      <c r="R492" s="216"/>
      <c r="S492" s="218"/>
      <c r="T492" s="218"/>
      <c r="U492" s="220">
        <f>IF($A492="","",IF(N($Q492)&gt;0,IF(MOD($Q492,1)=0,$Q492+1-1/1440,$Q492),IF(N($B492)=0,"",$B492+IF(N($AH492)&gt;0,$AH492,IFERROR(INDEX(DM_SLA_Gio,MATCH($J492,DM_SLA_Cap,0)),168))/24)))</f>
      </c>
      <c r="V492" s="221">
        <f>IF($A492="","",IF(N($AJ492)=0,"Mới tiếp nhận",INDEX('Nhật ký tiến độ'!$E:$E,$AJ492)))</f>
      </c>
      <c r="W492" s="222">
        <f>IF($A492="","",IF($V492="Đã xử lý",1,IF(N($AJ492)=0,0,N(INDEX('Nhật ký tiến độ'!$D:$D,$AJ492)))))</f>
      </c>
      <c r="X492" s="222">
        <f>IF(OR($A492="",$V492="Đã xử lý",N($U492)=0,N($B492)=0),"",IF(TDBC&lt;=$B492,0,IF(TDBC&gt;=$U492,1,(TDBC-$B492)/($U492-$B492))))</f>
      </c>
      <c r="Y492" s="223">
        <f>IF($A492="","",IF($V492="Đã xử lý","Hoàn thành",IF(N($U492)=0,"Chưa đặt hạn",IF(TDBC&gt;$U492,"Quá hạn",IF(ROUND((N($X492)-$W492)*100,0)&gt;=20,"Chậm tiến độ",IF($U492-TDBC&lt;=1,"Sắp đến hạn","Đúng tiến độ"))))))</f>
      </c>
      <c r="Z492" s="223">
        <f>IF(OR($A492="",$V492="Đã xử lý",N($U492)=0),"",IF(TDBC&gt;$U492,"Quá "&amp;IF(((TDBC-$U492)*24)&lt;1,MAX(1,ROUND(((TDBC-$U492)*24)*60,0))&amp;" phút",IF(ROUND(((TDBC-$U492)*24),0)&lt;24,ROUND(((TDBC-$U492)*24),0)&amp;" giờ",INT(ROUND(((TDBC-$U492)*24),0)/24)&amp;" ngày"&amp;IF(MOD(ROUND(((TDBC-$U492)*24),0),24)&gt;0," "&amp;MOD(ROUND(((TDBC-$U492)*24),0),24)&amp;" giờ",""))),"Còn "&amp;IF((($U492-TDBC)*24)&lt;1,MAX(1,ROUND((($U492-TDBC)*24)*60,0))&amp;" phút",IF(ROUND((($U492-TDBC)*24),0)&lt;24,ROUND((($U492-TDBC)*24),0)&amp;" giờ",INT(ROUND((($U492-TDBC)*24),0)/24)&amp;" ngày"&amp;IF(MOD(ROUND((($U492-TDBC)*24),0),24)&gt;0," "&amp;MOD(ROUND((($U492-TDBC)*24),0),24)&amp;" giờ","")))))</f>
      </c>
      <c r="AA492" s="220">
        <f>IF($V492="Đã xử lý",_xlfn.MAXIFS('Nhật ký tiến độ'!$B$6:$B$3005,'Nhật ký tiến độ'!$C$6:$C$3005,$A492,'Nhật ký tiến độ'!$E$6:$E$3005,"Đã xử lý"),"")</f>
      </c>
      <c r="AB492" s="223">
        <f>IF($AI492="","",IF($AI492&lt;1,MAX(1,ROUND($AI492*60,0))&amp;" phút",IF(ROUND($AI492,0)&lt;24,ROUND($AI492,0)&amp;" giờ",INT(ROUND($AI492,0)/24)&amp;" ngày"&amp;IF(MOD(ROUND($AI492,0),24)&gt;0," "&amp;MOD(ROUND($AI492,0),24)&amp;" giờ",""))))</f>
      </c>
      <c r="AC492" s="223">
        <f>IF(OR($A492="",N($AH492)=0),"",IF($AI492&lt;&gt;"",IF($AI492&lt;=$AH492,"Trong ước tính","Vượt "&amp;IF(($AI492-$AH492)&lt;1,MAX(1,ROUND(($AI492-$AH492)*60,0))&amp;" phút",IF(ROUND(($AI492-$AH492),0)&lt;24,ROUND(($AI492-$AH492),0)&amp;" giờ",INT(ROUND(($AI492-$AH492),0)/24)&amp;" ngày"&amp;IF(MOD(ROUND(($AI492-$AH492),0),24)&gt;0," "&amp;MOD(ROUND(($AI492-$AH492),0),24)&amp;" giờ","")))),IF(OR($V492="Đã xử lý",N($B492)=0),"",IF((TDBC-$B492)*24&gt;$AH492,"Đã vượt ước tính","Đã dùng "&amp;TEXT((TDBC-$B492)*24/$AH492,"0%")))))</f>
      </c>
      <c r="AD492" s="223">
        <f>IF(N($AO492)=0,"",CHOOSE($AO492,"Nhắc nhở","Cảnh báo","Báo động","Báo động đỏ"))</f>
      </c>
      <c r="AE492" s="223">
        <f>IF(OR(N($AA492)=0,N($U492)=0),"",IF($AA492&lt;=$U492,"Đúng hạn","Trễ hạn"))</f>
      </c>
      <c r="AF492" s="220">
        <f>IF($A492="","",_xlfn.MAXIFS('Nhật ký tiến độ'!$B$6:$B$3005,'Nhật ký tiến độ'!$C$6:$C$3005,$A492))</f>
      </c>
      <c r="AG492" s="223">
        <f>IF($A492="","",IF(COUNTIF('Kế hoạch'!$M$6:$M$305,$A492)=0,"",COUNTIF('Kế hoạch'!$M$6:$M$305,$A492)&amp;" việc"))</f>
      </c>
      <c r="AH492" s="224">
        <f>IF(OR($A492="",N($O492)&lt;=0),"",IF($P492="Giờ",$O492,$O492*24))</f>
      </c>
      <c r="AI492" s="224">
        <f>IF(OR(N($AA492)=0,N($B492)=0),"",IF($AA492&lt;$B492,"",($AA492-$B492)*24))</f>
      </c>
      <c r="AJ492" s="225">
        <f>IF($A492="","",IF(COUNTIF('Nhật ký tiến độ'!$C$6:$C$3005,$A492)=0,0,_xlfn.MAXIFS('Nhật ký tiến độ'!$N$6:$N$3005,'Nhật ký tiến độ'!$C$6:$C$3005,$A492,'Nhật ký tiến độ'!$B$6:$B$3005,_xlfn.MAXIFS('Nhật ký tiến độ'!$B$6:$B$3005,'Nhật ký tiến độ'!$C$6:$C$3005,$A492))))</f>
      </c>
      <c r="AK492" s="225">
        <f>IF(OR($A492="",$V492="Đã xử lý"),"",IF(N($AO492)&gt;0,5-$AO492,IF($J492="Khẩn cấp",5,IF($Y492="Chậm tiến độ",6,IF(OR($Y492="Sắp đến hạn",$J492="Cao"),7,"")))))</f>
      </c>
      <c r="AL492" s="225">
        <f>IF($AK492="","",$AK492*100000+IF(N($U492)=0,99999,INT($U492))+ROW()/100000)</f>
      </c>
      <c r="AM492" s="225">
        <f>IF(OR($A492="",TRIM($K492)="",COUNTIF($K$6:$K492,$K492)&gt;1),0,1)</f>
      </c>
      <c r="AN492" s="225">
        <f>IF($AM492=1,SUM($AM$6:$AM492),"")</f>
      </c>
      <c r="AO492" s="225">
        <f>IF(OR($A492="",$V492="Đã xử lý",N($U492)=0),0,IF(TDBC&lt;=$U492,0,MAX(1,MIN(4,IF((TDBC-$U492)*24&lt;24,1,IF((TDBC-$U492)*24&lt;72,2,IF((TDBC-$U492)*24&lt;168,3,4)))+IFERROR(INDEX({2,1,0,-1},MATCH($J492,{"Khẩn cấp","Cao","Trung bình","Thấp"},0)),0)))))</f>
      </c>
    </row>
    <row r="493">
      <c r="A493" s="216"/>
      <c r="B493" s="217"/>
      <c r="C493" s="218"/>
      <c r="D493" s="218"/>
      <c r="E493" s="218"/>
      <c r="F493" s="218"/>
      <c r="G493" s="216"/>
      <c r="H493" s="218"/>
      <c r="I493" s="218"/>
      <c r="J493" s="216"/>
      <c r="K493" s="218"/>
      <c r="L493" s="218"/>
      <c r="M493" s="218"/>
      <c r="N493" s="218"/>
      <c r="O493" s="219"/>
      <c r="P493" s="216"/>
      <c r="Q493" s="217"/>
      <c r="R493" s="216"/>
      <c r="S493" s="218"/>
      <c r="T493" s="218"/>
      <c r="U493" s="220">
        <f>IF($A493="","",IF(N($Q493)&gt;0,IF(MOD($Q493,1)=0,$Q493+1-1/1440,$Q493),IF(N($B493)=0,"",$B493+IF(N($AH493)&gt;0,$AH493,IFERROR(INDEX(DM_SLA_Gio,MATCH($J493,DM_SLA_Cap,0)),168))/24)))</f>
      </c>
      <c r="V493" s="221">
        <f>IF($A493="","",IF(N($AJ493)=0,"Mới tiếp nhận",INDEX('Nhật ký tiến độ'!$E:$E,$AJ493)))</f>
      </c>
      <c r="W493" s="222">
        <f>IF($A493="","",IF($V493="Đã xử lý",1,IF(N($AJ493)=0,0,N(INDEX('Nhật ký tiến độ'!$D:$D,$AJ493)))))</f>
      </c>
      <c r="X493" s="222">
        <f>IF(OR($A493="",$V493="Đã xử lý",N($U493)=0,N($B493)=0),"",IF(TDBC&lt;=$B493,0,IF(TDBC&gt;=$U493,1,(TDBC-$B493)/($U493-$B493))))</f>
      </c>
      <c r="Y493" s="223">
        <f>IF($A493="","",IF($V493="Đã xử lý","Hoàn thành",IF(N($U493)=0,"Chưa đặt hạn",IF(TDBC&gt;$U493,"Quá hạn",IF(ROUND((N($X493)-$W493)*100,0)&gt;=20,"Chậm tiến độ",IF($U493-TDBC&lt;=1,"Sắp đến hạn","Đúng tiến độ"))))))</f>
      </c>
      <c r="Z493" s="223">
        <f>IF(OR($A493="",$V493="Đã xử lý",N($U493)=0),"",IF(TDBC&gt;$U493,"Quá "&amp;IF(((TDBC-$U493)*24)&lt;1,MAX(1,ROUND(((TDBC-$U493)*24)*60,0))&amp;" phút",IF(ROUND(((TDBC-$U493)*24),0)&lt;24,ROUND(((TDBC-$U493)*24),0)&amp;" giờ",INT(ROUND(((TDBC-$U493)*24),0)/24)&amp;" ngày"&amp;IF(MOD(ROUND(((TDBC-$U493)*24),0),24)&gt;0," "&amp;MOD(ROUND(((TDBC-$U493)*24),0),24)&amp;" giờ",""))),"Còn "&amp;IF((($U493-TDBC)*24)&lt;1,MAX(1,ROUND((($U493-TDBC)*24)*60,0))&amp;" phút",IF(ROUND((($U493-TDBC)*24),0)&lt;24,ROUND((($U493-TDBC)*24),0)&amp;" giờ",INT(ROUND((($U493-TDBC)*24),0)/24)&amp;" ngày"&amp;IF(MOD(ROUND((($U493-TDBC)*24),0),24)&gt;0," "&amp;MOD(ROUND((($U493-TDBC)*24),0),24)&amp;" giờ","")))))</f>
      </c>
      <c r="AA493" s="220">
        <f>IF($V493="Đã xử lý",_xlfn.MAXIFS('Nhật ký tiến độ'!$B$6:$B$3005,'Nhật ký tiến độ'!$C$6:$C$3005,$A493,'Nhật ký tiến độ'!$E$6:$E$3005,"Đã xử lý"),"")</f>
      </c>
      <c r="AB493" s="223">
        <f>IF($AI493="","",IF($AI493&lt;1,MAX(1,ROUND($AI493*60,0))&amp;" phút",IF(ROUND($AI493,0)&lt;24,ROUND($AI493,0)&amp;" giờ",INT(ROUND($AI493,0)/24)&amp;" ngày"&amp;IF(MOD(ROUND($AI493,0),24)&gt;0," "&amp;MOD(ROUND($AI493,0),24)&amp;" giờ",""))))</f>
      </c>
      <c r="AC493" s="223">
        <f>IF(OR($A493="",N($AH493)=0),"",IF($AI493&lt;&gt;"",IF($AI493&lt;=$AH493,"Trong ước tính","Vượt "&amp;IF(($AI493-$AH493)&lt;1,MAX(1,ROUND(($AI493-$AH493)*60,0))&amp;" phút",IF(ROUND(($AI493-$AH493),0)&lt;24,ROUND(($AI493-$AH493),0)&amp;" giờ",INT(ROUND(($AI493-$AH493),0)/24)&amp;" ngày"&amp;IF(MOD(ROUND(($AI493-$AH493),0),24)&gt;0," "&amp;MOD(ROUND(($AI493-$AH493),0),24)&amp;" giờ","")))),IF(OR($V493="Đã xử lý",N($B493)=0),"",IF((TDBC-$B493)*24&gt;$AH493,"Đã vượt ước tính","Đã dùng "&amp;TEXT((TDBC-$B493)*24/$AH493,"0%")))))</f>
      </c>
      <c r="AD493" s="223">
        <f>IF(N($AO493)=0,"",CHOOSE($AO493,"Nhắc nhở","Cảnh báo","Báo động","Báo động đỏ"))</f>
      </c>
      <c r="AE493" s="223">
        <f>IF(OR(N($AA493)=0,N($U493)=0),"",IF($AA493&lt;=$U493,"Đúng hạn","Trễ hạn"))</f>
      </c>
      <c r="AF493" s="220">
        <f>IF($A493="","",_xlfn.MAXIFS('Nhật ký tiến độ'!$B$6:$B$3005,'Nhật ký tiến độ'!$C$6:$C$3005,$A493))</f>
      </c>
      <c r="AG493" s="223">
        <f>IF($A493="","",IF(COUNTIF('Kế hoạch'!$M$6:$M$305,$A493)=0,"",COUNTIF('Kế hoạch'!$M$6:$M$305,$A493)&amp;" việc"))</f>
      </c>
      <c r="AH493" s="224">
        <f>IF(OR($A493="",N($O493)&lt;=0),"",IF($P493="Giờ",$O493,$O493*24))</f>
      </c>
      <c r="AI493" s="224">
        <f>IF(OR(N($AA493)=0,N($B493)=0),"",IF($AA493&lt;$B493,"",($AA493-$B493)*24))</f>
      </c>
      <c r="AJ493" s="225">
        <f>IF($A493="","",IF(COUNTIF('Nhật ký tiến độ'!$C$6:$C$3005,$A493)=0,0,_xlfn.MAXIFS('Nhật ký tiến độ'!$N$6:$N$3005,'Nhật ký tiến độ'!$C$6:$C$3005,$A493,'Nhật ký tiến độ'!$B$6:$B$3005,_xlfn.MAXIFS('Nhật ký tiến độ'!$B$6:$B$3005,'Nhật ký tiến độ'!$C$6:$C$3005,$A493))))</f>
      </c>
      <c r="AK493" s="225">
        <f>IF(OR($A493="",$V493="Đã xử lý"),"",IF(N($AO493)&gt;0,5-$AO493,IF($J493="Khẩn cấp",5,IF($Y493="Chậm tiến độ",6,IF(OR($Y493="Sắp đến hạn",$J493="Cao"),7,"")))))</f>
      </c>
      <c r="AL493" s="225">
        <f>IF($AK493="","",$AK493*100000+IF(N($U493)=0,99999,INT($U493))+ROW()/100000)</f>
      </c>
      <c r="AM493" s="225">
        <f>IF(OR($A493="",TRIM($K493)="",COUNTIF($K$6:$K493,$K493)&gt;1),0,1)</f>
      </c>
      <c r="AN493" s="225">
        <f>IF($AM493=1,SUM($AM$6:$AM493),"")</f>
      </c>
      <c r="AO493" s="225">
        <f>IF(OR($A493="",$V493="Đã xử lý",N($U493)=0),0,IF(TDBC&lt;=$U493,0,MAX(1,MIN(4,IF((TDBC-$U493)*24&lt;24,1,IF((TDBC-$U493)*24&lt;72,2,IF((TDBC-$U493)*24&lt;168,3,4)))+IFERROR(INDEX({2,1,0,-1},MATCH($J493,{"Khẩn cấp","Cao","Trung bình","Thấp"},0)),0)))))</f>
      </c>
    </row>
    <row r="494">
      <c r="A494" s="216"/>
      <c r="B494" s="217"/>
      <c r="C494" s="218"/>
      <c r="D494" s="218"/>
      <c r="E494" s="218"/>
      <c r="F494" s="218"/>
      <c r="G494" s="216"/>
      <c r="H494" s="218"/>
      <c r="I494" s="218"/>
      <c r="J494" s="216"/>
      <c r="K494" s="218"/>
      <c r="L494" s="218"/>
      <c r="M494" s="218"/>
      <c r="N494" s="218"/>
      <c r="O494" s="219"/>
      <c r="P494" s="216"/>
      <c r="Q494" s="217"/>
      <c r="R494" s="216"/>
      <c r="S494" s="218"/>
      <c r="T494" s="218"/>
      <c r="U494" s="220">
        <f>IF($A494="","",IF(N($Q494)&gt;0,IF(MOD($Q494,1)=0,$Q494+1-1/1440,$Q494),IF(N($B494)=0,"",$B494+IF(N($AH494)&gt;0,$AH494,IFERROR(INDEX(DM_SLA_Gio,MATCH($J494,DM_SLA_Cap,0)),168))/24)))</f>
      </c>
      <c r="V494" s="221">
        <f>IF($A494="","",IF(N($AJ494)=0,"Mới tiếp nhận",INDEX('Nhật ký tiến độ'!$E:$E,$AJ494)))</f>
      </c>
      <c r="W494" s="222">
        <f>IF($A494="","",IF($V494="Đã xử lý",1,IF(N($AJ494)=0,0,N(INDEX('Nhật ký tiến độ'!$D:$D,$AJ494)))))</f>
      </c>
      <c r="X494" s="222">
        <f>IF(OR($A494="",$V494="Đã xử lý",N($U494)=0,N($B494)=0),"",IF(TDBC&lt;=$B494,0,IF(TDBC&gt;=$U494,1,(TDBC-$B494)/($U494-$B494))))</f>
      </c>
      <c r="Y494" s="223">
        <f>IF($A494="","",IF($V494="Đã xử lý","Hoàn thành",IF(N($U494)=0,"Chưa đặt hạn",IF(TDBC&gt;$U494,"Quá hạn",IF(ROUND((N($X494)-$W494)*100,0)&gt;=20,"Chậm tiến độ",IF($U494-TDBC&lt;=1,"Sắp đến hạn","Đúng tiến độ"))))))</f>
      </c>
      <c r="Z494" s="223">
        <f>IF(OR($A494="",$V494="Đã xử lý",N($U494)=0),"",IF(TDBC&gt;$U494,"Quá "&amp;IF(((TDBC-$U494)*24)&lt;1,MAX(1,ROUND(((TDBC-$U494)*24)*60,0))&amp;" phút",IF(ROUND(((TDBC-$U494)*24),0)&lt;24,ROUND(((TDBC-$U494)*24),0)&amp;" giờ",INT(ROUND(((TDBC-$U494)*24),0)/24)&amp;" ngày"&amp;IF(MOD(ROUND(((TDBC-$U494)*24),0),24)&gt;0," "&amp;MOD(ROUND(((TDBC-$U494)*24),0),24)&amp;" giờ",""))),"Còn "&amp;IF((($U494-TDBC)*24)&lt;1,MAX(1,ROUND((($U494-TDBC)*24)*60,0))&amp;" phút",IF(ROUND((($U494-TDBC)*24),0)&lt;24,ROUND((($U494-TDBC)*24),0)&amp;" giờ",INT(ROUND((($U494-TDBC)*24),0)/24)&amp;" ngày"&amp;IF(MOD(ROUND((($U494-TDBC)*24),0),24)&gt;0," "&amp;MOD(ROUND((($U494-TDBC)*24),0),24)&amp;" giờ","")))))</f>
      </c>
      <c r="AA494" s="220">
        <f>IF($V494="Đã xử lý",_xlfn.MAXIFS('Nhật ký tiến độ'!$B$6:$B$3005,'Nhật ký tiến độ'!$C$6:$C$3005,$A494,'Nhật ký tiến độ'!$E$6:$E$3005,"Đã xử lý"),"")</f>
      </c>
      <c r="AB494" s="223">
        <f>IF($AI494="","",IF($AI494&lt;1,MAX(1,ROUND($AI494*60,0))&amp;" phút",IF(ROUND($AI494,0)&lt;24,ROUND($AI494,0)&amp;" giờ",INT(ROUND($AI494,0)/24)&amp;" ngày"&amp;IF(MOD(ROUND($AI494,0),24)&gt;0," "&amp;MOD(ROUND($AI494,0),24)&amp;" giờ",""))))</f>
      </c>
      <c r="AC494" s="223">
        <f>IF(OR($A494="",N($AH494)=0),"",IF($AI494&lt;&gt;"",IF($AI494&lt;=$AH494,"Trong ước tính","Vượt "&amp;IF(($AI494-$AH494)&lt;1,MAX(1,ROUND(($AI494-$AH494)*60,0))&amp;" phút",IF(ROUND(($AI494-$AH494),0)&lt;24,ROUND(($AI494-$AH494),0)&amp;" giờ",INT(ROUND(($AI494-$AH494),0)/24)&amp;" ngày"&amp;IF(MOD(ROUND(($AI494-$AH494),0),24)&gt;0," "&amp;MOD(ROUND(($AI494-$AH494),0),24)&amp;" giờ","")))),IF(OR($V494="Đã xử lý",N($B494)=0),"",IF((TDBC-$B494)*24&gt;$AH494,"Đã vượt ước tính","Đã dùng "&amp;TEXT((TDBC-$B494)*24/$AH494,"0%")))))</f>
      </c>
      <c r="AD494" s="223">
        <f>IF(N($AO494)=0,"",CHOOSE($AO494,"Nhắc nhở","Cảnh báo","Báo động","Báo động đỏ"))</f>
      </c>
      <c r="AE494" s="223">
        <f>IF(OR(N($AA494)=0,N($U494)=0),"",IF($AA494&lt;=$U494,"Đúng hạn","Trễ hạn"))</f>
      </c>
      <c r="AF494" s="220">
        <f>IF($A494="","",_xlfn.MAXIFS('Nhật ký tiến độ'!$B$6:$B$3005,'Nhật ký tiến độ'!$C$6:$C$3005,$A494))</f>
      </c>
      <c r="AG494" s="223">
        <f>IF($A494="","",IF(COUNTIF('Kế hoạch'!$M$6:$M$305,$A494)=0,"",COUNTIF('Kế hoạch'!$M$6:$M$305,$A494)&amp;" việc"))</f>
      </c>
      <c r="AH494" s="224">
        <f>IF(OR($A494="",N($O494)&lt;=0),"",IF($P494="Giờ",$O494,$O494*24))</f>
      </c>
      <c r="AI494" s="224">
        <f>IF(OR(N($AA494)=0,N($B494)=0),"",IF($AA494&lt;$B494,"",($AA494-$B494)*24))</f>
      </c>
      <c r="AJ494" s="225">
        <f>IF($A494="","",IF(COUNTIF('Nhật ký tiến độ'!$C$6:$C$3005,$A494)=0,0,_xlfn.MAXIFS('Nhật ký tiến độ'!$N$6:$N$3005,'Nhật ký tiến độ'!$C$6:$C$3005,$A494,'Nhật ký tiến độ'!$B$6:$B$3005,_xlfn.MAXIFS('Nhật ký tiến độ'!$B$6:$B$3005,'Nhật ký tiến độ'!$C$6:$C$3005,$A494))))</f>
      </c>
      <c r="AK494" s="225">
        <f>IF(OR($A494="",$V494="Đã xử lý"),"",IF(N($AO494)&gt;0,5-$AO494,IF($J494="Khẩn cấp",5,IF($Y494="Chậm tiến độ",6,IF(OR($Y494="Sắp đến hạn",$J494="Cao"),7,"")))))</f>
      </c>
      <c r="AL494" s="225">
        <f>IF($AK494="","",$AK494*100000+IF(N($U494)=0,99999,INT($U494))+ROW()/100000)</f>
      </c>
      <c r="AM494" s="225">
        <f>IF(OR($A494="",TRIM($K494)="",COUNTIF($K$6:$K494,$K494)&gt;1),0,1)</f>
      </c>
      <c r="AN494" s="225">
        <f>IF($AM494=1,SUM($AM$6:$AM494),"")</f>
      </c>
      <c r="AO494" s="225">
        <f>IF(OR($A494="",$V494="Đã xử lý",N($U494)=0),0,IF(TDBC&lt;=$U494,0,MAX(1,MIN(4,IF((TDBC-$U494)*24&lt;24,1,IF((TDBC-$U494)*24&lt;72,2,IF((TDBC-$U494)*24&lt;168,3,4)))+IFERROR(INDEX({2,1,0,-1},MATCH($J494,{"Khẩn cấp","Cao","Trung bình","Thấp"},0)),0)))))</f>
      </c>
    </row>
    <row r="495">
      <c r="A495" s="216"/>
      <c r="B495" s="217"/>
      <c r="C495" s="218"/>
      <c r="D495" s="218"/>
      <c r="E495" s="218"/>
      <c r="F495" s="218"/>
      <c r="G495" s="216"/>
      <c r="H495" s="218"/>
      <c r="I495" s="218"/>
      <c r="J495" s="216"/>
      <c r="K495" s="218"/>
      <c r="L495" s="218"/>
      <c r="M495" s="218"/>
      <c r="N495" s="218"/>
      <c r="O495" s="219"/>
      <c r="P495" s="216"/>
      <c r="Q495" s="217"/>
      <c r="R495" s="216"/>
      <c r="S495" s="218"/>
      <c r="T495" s="218"/>
      <c r="U495" s="220">
        <f>IF($A495="","",IF(N($Q495)&gt;0,IF(MOD($Q495,1)=0,$Q495+1-1/1440,$Q495),IF(N($B495)=0,"",$B495+IF(N($AH495)&gt;0,$AH495,IFERROR(INDEX(DM_SLA_Gio,MATCH($J495,DM_SLA_Cap,0)),168))/24)))</f>
      </c>
      <c r="V495" s="221">
        <f>IF($A495="","",IF(N($AJ495)=0,"Mới tiếp nhận",INDEX('Nhật ký tiến độ'!$E:$E,$AJ495)))</f>
      </c>
      <c r="W495" s="222">
        <f>IF($A495="","",IF($V495="Đã xử lý",1,IF(N($AJ495)=0,0,N(INDEX('Nhật ký tiến độ'!$D:$D,$AJ495)))))</f>
      </c>
      <c r="X495" s="222">
        <f>IF(OR($A495="",$V495="Đã xử lý",N($U495)=0,N($B495)=0),"",IF(TDBC&lt;=$B495,0,IF(TDBC&gt;=$U495,1,(TDBC-$B495)/($U495-$B495))))</f>
      </c>
      <c r="Y495" s="223">
        <f>IF($A495="","",IF($V495="Đã xử lý","Hoàn thành",IF(N($U495)=0,"Chưa đặt hạn",IF(TDBC&gt;$U495,"Quá hạn",IF(ROUND((N($X495)-$W495)*100,0)&gt;=20,"Chậm tiến độ",IF($U495-TDBC&lt;=1,"Sắp đến hạn","Đúng tiến độ"))))))</f>
      </c>
      <c r="Z495" s="223">
        <f>IF(OR($A495="",$V495="Đã xử lý",N($U495)=0),"",IF(TDBC&gt;$U495,"Quá "&amp;IF(((TDBC-$U495)*24)&lt;1,MAX(1,ROUND(((TDBC-$U495)*24)*60,0))&amp;" phút",IF(ROUND(((TDBC-$U495)*24),0)&lt;24,ROUND(((TDBC-$U495)*24),0)&amp;" giờ",INT(ROUND(((TDBC-$U495)*24),0)/24)&amp;" ngày"&amp;IF(MOD(ROUND(((TDBC-$U495)*24),0),24)&gt;0," "&amp;MOD(ROUND(((TDBC-$U495)*24),0),24)&amp;" giờ",""))),"Còn "&amp;IF((($U495-TDBC)*24)&lt;1,MAX(1,ROUND((($U495-TDBC)*24)*60,0))&amp;" phút",IF(ROUND((($U495-TDBC)*24),0)&lt;24,ROUND((($U495-TDBC)*24),0)&amp;" giờ",INT(ROUND((($U495-TDBC)*24),0)/24)&amp;" ngày"&amp;IF(MOD(ROUND((($U495-TDBC)*24),0),24)&gt;0," "&amp;MOD(ROUND((($U495-TDBC)*24),0),24)&amp;" giờ","")))))</f>
      </c>
      <c r="AA495" s="220">
        <f>IF($V495="Đã xử lý",_xlfn.MAXIFS('Nhật ký tiến độ'!$B$6:$B$3005,'Nhật ký tiến độ'!$C$6:$C$3005,$A495,'Nhật ký tiến độ'!$E$6:$E$3005,"Đã xử lý"),"")</f>
      </c>
      <c r="AB495" s="223">
        <f>IF($AI495="","",IF($AI495&lt;1,MAX(1,ROUND($AI495*60,0))&amp;" phút",IF(ROUND($AI495,0)&lt;24,ROUND($AI495,0)&amp;" giờ",INT(ROUND($AI495,0)/24)&amp;" ngày"&amp;IF(MOD(ROUND($AI495,0),24)&gt;0," "&amp;MOD(ROUND($AI495,0),24)&amp;" giờ",""))))</f>
      </c>
      <c r="AC495" s="223">
        <f>IF(OR($A495="",N($AH495)=0),"",IF($AI495&lt;&gt;"",IF($AI495&lt;=$AH495,"Trong ước tính","Vượt "&amp;IF(($AI495-$AH495)&lt;1,MAX(1,ROUND(($AI495-$AH495)*60,0))&amp;" phút",IF(ROUND(($AI495-$AH495),0)&lt;24,ROUND(($AI495-$AH495),0)&amp;" giờ",INT(ROUND(($AI495-$AH495),0)/24)&amp;" ngày"&amp;IF(MOD(ROUND(($AI495-$AH495),0),24)&gt;0," "&amp;MOD(ROUND(($AI495-$AH495),0),24)&amp;" giờ","")))),IF(OR($V495="Đã xử lý",N($B495)=0),"",IF((TDBC-$B495)*24&gt;$AH495,"Đã vượt ước tính","Đã dùng "&amp;TEXT((TDBC-$B495)*24/$AH495,"0%")))))</f>
      </c>
      <c r="AD495" s="223">
        <f>IF(N($AO495)=0,"",CHOOSE($AO495,"Nhắc nhở","Cảnh báo","Báo động","Báo động đỏ"))</f>
      </c>
      <c r="AE495" s="223">
        <f>IF(OR(N($AA495)=0,N($U495)=0),"",IF($AA495&lt;=$U495,"Đúng hạn","Trễ hạn"))</f>
      </c>
      <c r="AF495" s="220">
        <f>IF($A495="","",_xlfn.MAXIFS('Nhật ký tiến độ'!$B$6:$B$3005,'Nhật ký tiến độ'!$C$6:$C$3005,$A495))</f>
      </c>
      <c r="AG495" s="223">
        <f>IF($A495="","",IF(COUNTIF('Kế hoạch'!$M$6:$M$305,$A495)=0,"",COUNTIF('Kế hoạch'!$M$6:$M$305,$A495)&amp;" việc"))</f>
      </c>
      <c r="AH495" s="224">
        <f>IF(OR($A495="",N($O495)&lt;=0),"",IF($P495="Giờ",$O495,$O495*24))</f>
      </c>
      <c r="AI495" s="224">
        <f>IF(OR(N($AA495)=0,N($B495)=0),"",IF($AA495&lt;$B495,"",($AA495-$B495)*24))</f>
      </c>
      <c r="AJ495" s="225">
        <f>IF($A495="","",IF(COUNTIF('Nhật ký tiến độ'!$C$6:$C$3005,$A495)=0,0,_xlfn.MAXIFS('Nhật ký tiến độ'!$N$6:$N$3005,'Nhật ký tiến độ'!$C$6:$C$3005,$A495,'Nhật ký tiến độ'!$B$6:$B$3005,_xlfn.MAXIFS('Nhật ký tiến độ'!$B$6:$B$3005,'Nhật ký tiến độ'!$C$6:$C$3005,$A495))))</f>
      </c>
      <c r="AK495" s="225">
        <f>IF(OR($A495="",$V495="Đã xử lý"),"",IF(N($AO495)&gt;0,5-$AO495,IF($J495="Khẩn cấp",5,IF($Y495="Chậm tiến độ",6,IF(OR($Y495="Sắp đến hạn",$J495="Cao"),7,"")))))</f>
      </c>
      <c r="AL495" s="225">
        <f>IF($AK495="","",$AK495*100000+IF(N($U495)=0,99999,INT($U495))+ROW()/100000)</f>
      </c>
      <c r="AM495" s="225">
        <f>IF(OR($A495="",TRIM($K495)="",COUNTIF($K$6:$K495,$K495)&gt;1),0,1)</f>
      </c>
      <c r="AN495" s="225">
        <f>IF($AM495=1,SUM($AM$6:$AM495),"")</f>
      </c>
      <c r="AO495" s="225">
        <f>IF(OR($A495="",$V495="Đã xử lý",N($U495)=0),0,IF(TDBC&lt;=$U495,0,MAX(1,MIN(4,IF((TDBC-$U495)*24&lt;24,1,IF((TDBC-$U495)*24&lt;72,2,IF((TDBC-$U495)*24&lt;168,3,4)))+IFERROR(INDEX({2,1,0,-1},MATCH($J495,{"Khẩn cấp","Cao","Trung bình","Thấp"},0)),0)))))</f>
      </c>
    </row>
    <row r="496">
      <c r="A496" s="216"/>
      <c r="B496" s="217"/>
      <c r="C496" s="218"/>
      <c r="D496" s="218"/>
      <c r="E496" s="218"/>
      <c r="F496" s="218"/>
      <c r="G496" s="216"/>
      <c r="H496" s="218"/>
      <c r="I496" s="218"/>
      <c r="J496" s="216"/>
      <c r="K496" s="218"/>
      <c r="L496" s="218"/>
      <c r="M496" s="218"/>
      <c r="N496" s="218"/>
      <c r="O496" s="219"/>
      <c r="P496" s="216"/>
      <c r="Q496" s="217"/>
      <c r="R496" s="216"/>
      <c r="S496" s="218"/>
      <c r="T496" s="218"/>
      <c r="U496" s="220">
        <f>IF($A496="","",IF(N($Q496)&gt;0,IF(MOD($Q496,1)=0,$Q496+1-1/1440,$Q496),IF(N($B496)=0,"",$B496+IF(N($AH496)&gt;0,$AH496,IFERROR(INDEX(DM_SLA_Gio,MATCH($J496,DM_SLA_Cap,0)),168))/24)))</f>
      </c>
      <c r="V496" s="221">
        <f>IF($A496="","",IF(N($AJ496)=0,"Mới tiếp nhận",INDEX('Nhật ký tiến độ'!$E:$E,$AJ496)))</f>
      </c>
      <c r="W496" s="222">
        <f>IF($A496="","",IF($V496="Đã xử lý",1,IF(N($AJ496)=0,0,N(INDEX('Nhật ký tiến độ'!$D:$D,$AJ496)))))</f>
      </c>
      <c r="X496" s="222">
        <f>IF(OR($A496="",$V496="Đã xử lý",N($U496)=0,N($B496)=0),"",IF(TDBC&lt;=$B496,0,IF(TDBC&gt;=$U496,1,(TDBC-$B496)/($U496-$B496))))</f>
      </c>
      <c r="Y496" s="223">
        <f>IF($A496="","",IF($V496="Đã xử lý","Hoàn thành",IF(N($U496)=0,"Chưa đặt hạn",IF(TDBC&gt;$U496,"Quá hạn",IF(ROUND((N($X496)-$W496)*100,0)&gt;=20,"Chậm tiến độ",IF($U496-TDBC&lt;=1,"Sắp đến hạn","Đúng tiến độ"))))))</f>
      </c>
      <c r="Z496" s="223">
        <f>IF(OR($A496="",$V496="Đã xử lý",N($U496)=0),"",IF(TDBC&gt;$U496,"Quá "&amp;IF(((TDBC-$U496)*24)&lt;1,MAX(1,ROUND(((TDBC-$U496)*24)*60,0))&amp;" phút",IF(ROUND(((TDBC-$U496)*24),0)&lt;24,ROUND(((TDBC-$U496)*24),0)&amp;" giờ",INT(ROUND(((TDBC-$U496)*24),0)/24)&amp;" ngày"&amp;IF(MOD(ROUND(((TDBC-$U496)*24),0),24)&gt;0," "&amp;MOD(ROUND(((TDBC-$U496)*24),0),24)&amp;" giờ",""))),"Còn "&amp;IF((($U496-TDBC)*24)&lt;1,MAX(1,ROUND((($U496-TDBC)*24)*60,0))&amp;" phút",IF(ROUND((($U496-TDBC)*24),0)&lt;24,ROUND((($U496-TDBC)*24),0)&amp;" giờ",INT(ROUND((($U496-TDBC)*24),0)/24)&amp;" ngày"&amp;IF(MOD(ROUND((($U496-TDBC)*24),0),24)&gt;0," "&amp;MOD(ROUND((($U496-TDBC)*24),0),24)&amp;" giờ","")))))</f>
      </c>
      <c r="AA496" s="220">
        <f>IF($V496="Đã xử lý",_xlfn.MAXIFS('Nhật ký tiến độ'!$B$6:$B$3005,'Nhật ký tiến độ'!$C$6:$C$3005,$A496,'Nhật ký tiến độ'!$E$6:$E$3005,"Đã xử lý"),"")</f>
      </c>
      <c r="AB496" s="223">
        <f>IF($AI496="","",IF($AI496&lt;1,MAX(1,ROUND($AI496*60,0))&amp;" phút",IF(ROUND($AI496,0)&lt;24,ROUND($AI496,0)&amp;" giờ",INT(ROUND($AI496,0)/24)&amp;" ngày"&amp;IF(MOD(ROUND($AI496,0),24)&gt;0," "&amp;MOD(ROUND($AI496,0),24)&amp;" giờ",""))))</f>
      </c>
      <c r="AC496" s="223">
        <f>IF(OR($A496="",N($AH496)=0),"",IF($AI496&lt;&gt;"",IF($AI496&lt;=$AH496,"Trong ước tính","Vượt "&amp;IF(($AI496-$AH496)&lt;1,MAX(1,ROUND(($AI496-$AH496)*60,0))&amp;" phút",IF(ROUND(($AI496-$AH496),0)&lt;24,ROUND(($AI496-$AH496),0)&amp;" giờ",INT(ROUND(($AI496-$AH496),0)/24)&amp;" ngày"&amp;IF(MOD(ROUND(($AI496-$AH496),0),24)&gt;0," "&amp;MOD(ROUND(($AI496-$AH496),0),24)&amp;" giờ","")))),IF(OR($V496="Đã xử lý",N($B496)=0),"",IF((TDBC-$B496)*24&gt;$AH496,"Đã vượt ước tính","Đã dùng "&amp;TEXT((TDBC-$B496)*24/$AH496,"0%")))))</f>
      </c>
      <c r="AD496" s="223">
        <f>IF(N($AO496)=0,"",CHOOSE($AO496,"Nhắc nhở","Cảnh báo","Báo động","Báo động đỏ"))</f>
      </c>
      <c r="AE496" s="223">
        <f>IF(OR(N($AA496)=0,N($U496)=0),"",IF($AA496&lt;=$U496,"Đúng hạn","Trễ hạn"))</f>
      </c>
      <c r="AF496" s="220">
        <f>IF($A496="","",_xlfn.MAXIFS('Nhật ký tiến độ'!$B$6:$B$3005,'Nhật ký tiến độ'!$C$6:$C$3005,$A496))</f>
      </c>
      <c r="AG496" s="223">
        <f>IF($A496="","",IF(COUNTIF('Kế hoạch'!$M$6:$M$305,$A496)=0,"",COUNTIF('Kế hoạch'!$M$6:$M$305,$A496)&amp;" việc"))</f>
      </c>
      <c r="AH496" s="224">
        <f>IF(OR($A496="",N($O496)&lt;=0),"",IF($P496="Giờ",$O496,$O496*24))</f>
      </c>
      <c r="AI496" s="224">
        <f>IF(OR(N($AA496)=0,N($B496)=0),"",IF($AA496&lt;$B496,"",($AA496-$B496)*24))</f>
      </c>
      <c r="AJ496" s="225">
        <f>IF($A496="","",IF(COUNTIF('Nhật ký tiến độ'!$C$6:$C$3005,$A496)=0,0,_xlfn.MAXIFS('Nhật ký tiến độ'!$N$6:$N$3005,'Nhật ký tiến độ'!$C$6:$C$3005,$A496,'Nhật ký tiến độ'!$B$6:$B$3005,_xlfn.MAXIFS('Nhật ký tiến độ'!$B$6:$B$3005,'Nhật ký tiến độ'!$C$6:$C$3005,$A496))))</f>
      </c>
      <c r="AK496" s="225">
        <f>IF(OR($A496="",$V496="Đã xử lý"),"",IF(N($AO496)&gt;0,5-$AO496,IF($J496="Khẩn cấp",5,IF($Y496="Chậm tiến độ",6,IF(OR($Y496="Sắp đến hạn",$J496="Cao"),7,"")))))</f>
      </c>
      <c r="AL496" s="225">
        <f>IF($AK496="","",$AK496*100000+IF(N($U496)=0,99999,INT($U496))+ROW()/100000)</f>
      </c>
      <c r="AM496" s="225">
        <f>IF(OR($A496="",TRIM($K496)="",COUNTIF($K$6:$K496,$K496)&gt;1),0,1)</f>
      </c>
      <c r="AN496" s="225">
        <f>IF($AM496=1,SUM($AM$6:$AM496),"")</f>
      </c>
      <c r="AO496" s="225">
        <f>IF(OR($A496="",$V496="Đã xử lý",N($U496)=0),0,IF(TDBC&lt;=$U496,0,MAX(1,MIN(4,IF((TDBC-$U496)*24&lt;24,1,IF((TDBC-$U496)*24&lt;72,2,IF((TDBC-$U496)*24&lt;168,3,4)))+IFERROR(INDEX({2,1,0,-1},MATCH($J496,{"Khẩn cấp","Cao","Trung bình","Thấp"},0)),0)))))</f>
      </c>
    </row>
    <row r="497">
      <c r="A497" s="216"/>
      <c r="B497" s="217"/>
      <c r="C497" s="218"/>
      <c r="D497" s="218"/>
      <c r="E497" s="218"/>
      <c r="F497" s="218"/>
      <c r="G497" s="216"/>
      <c r="H497" s="218"/>
      <c r="I497" s="218"/>
      <c r="J497" s="216"/>
      <c r="K497" s="218"/>
      <c r="L497" s="218"/>
      <c r="M497" s="218"/>
      <c r="N497" s="218"/>
      <c r="O497" s="219"/>
      <c r="P497" s="216"/>
      <c r="Q497" s="217"/>
      <c r="R497" s="216"/>
      <c r="S497" s="218"/>
      <c r="T497" s="218"/>
      <c r="U497" s="220">
        <f>IF($A497="","",IF(N($Q497)&gt;0,IF(MOD($Q497,1)=0,$Q497+1-1/1440,$Q497),IF(N($B497)=0,"",$B497+IF(N($AH497)&gt;0,$AH497,IFERROR(INDEX(DM_SLA_Gio,MATCH($J497,DM_SLA_Cap,0)),168))/24)))</f>
      </c>
      <c r="V497" s="221">
        <f>IF($A497="","",IF(N($AJ497)=0,"Mới tiếp nhận",INDEX('Nhật ký tiến độ'!$E:$E,$AJ497)))</f>
      </c>
      <c r="W497" s="222">
        <f>IF($A497="","",IF($V497="Đã xử lý",1,IF(N($AJ497)=0,0,N(INDEX('Nhật ký tiến độ'!$D:$D,$AJ497)))))</f>
      </c>
      <c r="X497" s="222">
        <f>IF(OR($A497="",$V497="Đã xử lý",N($U497)=0,N($B497)=0),"",IF(TDBC&lt;=$B497,0,IF(TDBC&gt;=$U497,1,(TDBC-$B497)/($U497-$B497))))</f>
      </c>
      <c r="Y497" s="223">
        <f>IF($A497="","",IF($V497="Đã xử lý","Hoàn thành",IF(N($U497)=0,"Chưa đặt hạn",IF(TDBC&gt;$U497,"Quá hạn",IF(ROUND((N($X497)-$W497)*100,0)&gt;=20,"Chậm tiến độ",IF($U497-TDBC&lt;=1,"Sắp đến hạn","Đúng tiến độ"))))))</f>
      </c>
      <c r="Z497" s="223">
        <f>IF(OR($A497="",$V497="Đã xử lý",N($U497)=0),"",IF(TDBC&gt;$U497,"Quá "&amp;IF(((TDBC-$U497)*24)&lt;1,MAX(1,ROUND(((TDBC-$U497)*24)*60,0))&amp;" phút",IF(ROUND(((TDBC-$U497)*24),0)&lt;24,ROUND(((TDBC-$U497)*24),0)&amp;" giờ",INT(ROUND(((TDBC-$U497)*24),0)/24)&amp;" ngày"&amp;IF(MOD(ROUND(((TDBC-$U497)*24),0),24)&gt;0," "&amp;MOD(ROUND(((TDBC-$U497)*24),0),24)&amp;" giờ",""))),"Còn "&amp;IF((($U497-TDBC)*24)&lt;1,MAX(1,ROUND((($U497-TDBC)*24)*60,0))&amp;" phút",IF(ROUND((($U497-TDBC)*24),0)&lt;24,ROUND((($U497-TDBC)*24),0)&amp;" giờ",INT(ROUND((($U497-TDBC)*24),0)/24)&amp;" ngày"&amp;IF(MOD(ROUND((($U497-TDBC)*24),0),24)&gt;0," "&amp;MOD(ROUND((($U497-TDBC)*24),0),24)&amp;" giờ","")))))</f>
      </c>
      <c r="AA497" s="220">
        <f>IF($V497="Đã xử lý",_xlfn.MAXIFS('Nhật ký tiến độ'!$B$6:$B$3005,'Nhật ký tiến độ'!$C$6:$C$3005,$A497,'Nhật ký tiến độ'!$E$6:$E$3005,"Đã xử lý"),"")</f>
      </c>
      <c r="AB497" s="223">
        <f>IF($AI497="","",IF($AI497&lt;1,MAX(1,ROUND($AI497*60,0))&amp;" phút",IF(ROUND($AI497,0)&lt;24,ROUND($AI497,0)&amp;" giờ",INT(ROUND($AI497,0)/24)&amp;" ngày"&amp;IF(MOD(ROUND($AI497,0),24)&gt;0," "&amp;MOD(ROUND($AI497,0),24)&amp;" giờ",""))))</f>
      </c>
      <c r="AC497" s="223">
        <f>IF(OR($A497="",N($AH497)=0),"",IF($AI497&lt;&gt;"",IF($AI497&lt;=$AH497,"Trong ước tính","Vượt "&amp;IF(($AI497-$AH497)&lt;1,MAX(1,ROUND(($AI497-$AH497)*60,0))&amp;" phút",IF(ROUND(($AI497-$AH497),0)&lt;24,ROUND(($AI497-$AH497),0)&amp;" giờ",INT(ROUND(($AI497-$AH497),0)/24)&amp;" ngày"&amp;IF(MOD(ROUND(($AI497-$AH497),0),24)&gt;0," "&amp;MOD(ROUND(($AI497-$AH497),0),24)&amp;" giờ","")))),IF(OR($V497="Đã xử lý",N($B497)=0),"",IF((TDBC-$B497)*24&gt;$AH497,"Đã vượt ước tính","Đã dùng "&amp;TEXT((TDBC-$B497)*24/$AH497,"0%")))))</f>
      </c>
      <c r="AD497" s="223">
        <f>IF(N($AO497)=0,"",CHOOSE($AO497,"Nhắc nhở","Cảnh báo","Báo động","Báo động đỏ"))</f>
      </c>
      <c r="AE497" s="223">
        <f>IF(OR(N($AA497)=0,N($U497)=0),"",IF($AA497&lt;=$U497,"Đúng hạn","Trễ hạn"))</f>
      </c>
      <c r="AF497" s="220">
        <f>IF($A497="","",_xlfn.MAXIFS('Nhật ký tiến độ'!$B$6:$B$3005,'Nhật ký tiến độ'!$C$6:$C$3005,$A497))</f>
      </c>
      <c r="AG497" s="223">
        <f>IF($A497="","",IF(COUNTIF('Kế hoạch'!$M$6:$M$305,$A497)=0,"",COUNTIF('Kế hoạch'!$M$6:$M$305,$A497)&amp;" việc"))</f>
      </c>
      <c r="AH497" s="224">
        <f>IF(OR($A497="",N($O497)&lt;=0),"",IF($P497="Giờ",$O497,$O497*24))</f>
      </c>
      <c r="AI497" s="224">
        <f>IF(OR(N($AA497)=0,N($B497)=0),"",IF($AA497&lt;$B497,"",($AA497-$B497)*24))</f>
      </c>
      <c r="AJ497" s="225">
        <f>IF($A497="","",IF(COUNTIF('Nhật ký tiến độ'!$C$6:$C$3005,$A497)=0,0,_xlfn.MAXIFS('Nhật ký tiến độ'!$N$6:$N$3005,'Nhật ký tiến độ'!$C$6:$C$3005,$A497,'Nhật ký tiến độ'!$B$6:$B$3005,_xlfn.MAXIFS('Nhật ký tiến độ'!$B$6:$B$3005,'Nhật ký tiến độ'!$C$6:$C$3005,$A497))))</f>
      </c>
      <c r="AK497" s="225">
        <f>IF(OR($A497="",$V497="Đã xử lý"),"",IF(N($AO497)&gt;0,5-$AO497,IF($J497="Khẩn cấp",5,IF($Y497="Chậm tiến độ",6,IF(OR($Y497="Sắp đến hạn",$J497="Cao"),7,"")))))</f>
      </c>
      <c r="AL497" s="225">
        <f>IF($AK497="","",$AK497*100000+IF(N($U497)=0,99999,INT($U497))+ROW()/100000)</f>
      </c>
      <c r="AM497" s="225">
        <f>IF(OR($A497="",TRIM($K497)="",COUNTIF($K$6:$K497,$K497)&gt;1),0,1)</f>
      </c>
      <c r="AN497" s="225">
        <f>IF($AM497=1,SUM($AM$6:$AM497),"")</f>
      </c>
      <c r="AO497" s="225">
        <f>IF(OR($A497="",$V497="Đã xử lý",N($U497)=0),0,IF(TDBC&lt;=$U497,0,MAX(1,MIN(4,IF((TDBC-$U497)*24&lt;24,1,IF((TDBC-$U497)*24&lt;72,2,IF((TDBC-$U497)*24&lt;168,3,4)))+IFERROR(INDEX({2,1,0,-1},MATCH($J497,{"Khẩn cấp","Cao","Trung bình","Thấp"},0)),0)))))</f>
      </c>
    </row>
    <row r="498">
      <c r="A498" s="216"/>
      <c r="B498" s="217"/>
      <c r="C498" s="218"/>
      <c r="D498" s="218"/>
      <c r="E498" s="218"/>
      <c r="F498" s="218"/>
      <c r="G498" s="216"/>
      <c r="H498" s="218"/>
      <c r="I498" s="218"/>
      <c r="J498" s="216"/>
      <c r="K498" s="218"/>
      <c r="L498" s="218"/>
      <c r="M498" s="218"/>
      <c r="N498" s="218"/>
      <c r="O498" s="219"/>
      <c r="P498" s="216"/>
      <c r="Q498" s="217"/>
      <c r="R498" s="216"/>
      <c r="S498" s="218"/>
      <c r="T498" s="218"/>
      <c r="U498" s="220">
        <f>IF($A498="","",IF(N($Q498)&gt;0,IF(MOD($Q498,1)=0,$Q498+1-1/1440,$Q498),IF(N($B498)=0,"",$B498+IF(N($AH498)&gt;0,$AH498,IFERROR(INDEX(DM_SLA_Gio,MATCH($J498,DM_SLA_Cap,0)),168))/24)))</f>
      </c>
      <c r="V498" s="221">
        <f>IF($A498="","",IF(N($AJ498)=0,"Mới tiếp nhận",INDEX('Nhật ký tiến độ'!$E:$E,$AJ498)))</f>
      </c>
      <c r="W498" s="222">
        <f>IF($A498="","",IF($V498="Đã xử lý",1,IF(N($AJ498)=0,0,N(INDEX('Nhật ký tiến độ'!$D:$D,$AJ498)))))</f>
      </c>
      <c r="X498" s="222">
        <f>IF(OR($A498="",$V498="Đã xử lý",N($U498)=0,N($B498)=0),"",IF(TDBC&lt;=$B498,0,IF(TDBC&gt;=$U498,1,(TDBC-$B498)/($U498-$B498))))</f>
      </c>
      <c r="Y498" s="223">
        <f>IF($A498="","",IF($V498="Đã xử lý","Hoàn thành",IF(N($U498)=0,"Chưa đặt hạn",IF(TDBC&gt;$U498,"Quá hạn",IF(ROUND((N($X498)-$W498)*100,0)&gt;=20,"Chậm tiến độ",IF($U498-TDBC&lt;=1,"Sắp đến hạn","Đúng tiến độ"))))))</f>
      </c>
      <c r="Z498" s="223">
        <f>IF(OR($A498="",$V498="Đã xử lý",N($U498)=0),"",IF(TDBC&gt;$U498,"Quá "&amp;IF(((TDBC-$U498)*24)&lt;1,MAX(1,ROUND(((TDBC-$U498)*24)*60,0))&amp;" phút",IF(ROUND(((TDBC-$U498)*24),0)&lt;24,ROUND(((TDBC-$U498)*24),0)&amp;" giờ",INT(ROUND(((TDBC-$U498)*24),0)/24)&amp;" ngày"&amp;IF(MOD(ROUND(((TDBC-$U498)*24),0),24)&gt;0," "&amp;MOD(ROUND(((TDBC-$U498)*24),0),24)&amp;" giờ",""))),"Còn "&amp;IF((($U498-TDBC)*24)&lt;1,MAX(1,ROUND((($U498-TDBC)*24)*60,0))&amp;" phút",IF(ROUND((($U498-TDBC)*24),0)&lt;24,ROUND((($U498-TDBC)*24),0)&amp;" giờ",INT(ROUND((($U498-TDBC)*24),0)/24)&amp;" ngày"&amp;IF(MOD(ROUND((($U498-TDBC)*24),0),24)&gt;0," "&amp;MOD(ROUND((($U498-TDBC)*24),0),24)&amp;" giờ","")))))</f>
      </c>
      <c r="AA498" s="220">
        <f>IF($V498="Đã xử lý",_xlfn.MAXIFS('Nhật ký tiến độ'!$B$6:$B$3005,'Nhật ký tiến độ'!$C$6:$C$3005,$A498,'Nhật ký tiến độ'!$E$6:$E$3005,"Đã xử lý"),"")</f>
      </c>
      <c r="AB498" s="223">
        <f>IF($AI498="","",IF($AI498&lt;1,MAX(1,ROUND($AI498*60,0))&amp;" phút",IF(ROUND($AI498,0)&lt;24,ROUND($AI498,0)&amp;" giờ",INT(ROUND($AI498,0)/24)&amp;" ngày"&amp;IF(MOD(ROUND($AI498,0),24)&gt;0," "&amp;MOD(ROUND($AI498,0),24)&amp;" giờ",""))))</f>
      </c>
      <c r="AC498" s="223">
        <f>IF(OR($A498="",N($AH498)=0),"",IF($AI498&lt;&gt;"",IF($AI498&lt;=$AH498,"Trong ước tính","Vượt "&amp;IF(($AI498-$AH498)&lt;1,MAX(1,ROUND(($AI498-$AH498)*60,0))&amp;" phút",IF(ROUND(($AI498-$AH498),0)&lt;24,ROUND(($AI498-$AH498),0)&amp;" giờ",INT(ROUND(($AI498-$AH498),0)/24)&amp;" ngày"&amp;IF(MOD(ROUND(($AI498-$AH498),0),24)&gt;0," "&amp;MOD(ROUND(($AI498-$AH498),0),24)&amp;" giờ","")))),IF(OR($V498="Đã xử lý",N($B498)=0),"",IF((TDBC-$B498)*24&gt;$AH498,"Đã vượt ước tính","Đã dùng "&amp;TEXT((TDBC-$B498)*24/$AH498,"0%")))))</f>
      </c>
      <c r="AD498" s="223">
        <f>IF(N($AO498)=0,"",CHOOSE($AO498,"Nhắc nhở","Cảnh báo","Báo động","Báo động đỏ"))</f>
      </c>
      <c r="AE498" s="223">
        <f>IF(OR(N($AA498)=0,N($U498)=0),"",IF($AA498&lt;=$U498,"Đúng hạn","Trễ hạn"))</f>
      </c>
      <c r="AF498" s="220">
        <f>IF($A498="","",_xlfn.MAXIFS('Nhật ký tiến độ'!$B$6:$B$3005,'Nhật ký tiến độ'!$C$6:$C$3005,$A498))</f>
      </c>
      <c r="AG498" s="223">
        <f>IF($A498="","",IF(COUNTIF('Kế hoạch'!$M$6:$M$305,$A498)=0,"",COUNTIF('Kế hoạch'!$M$6:$M$305,$A498)&amp;" việc"))</f>
      </c>
      <c r="AH498" s="224">
        <f>IF(OR($A498="",N($O498)&lt;=0),"",IF($P498="Giờ",$O498,$O498*24))</f>
      </c>
      <c r="AI498" s="224">
        <f>IF(OR(N($AA498)=0,N($B498)=0),"",IF($AA498&lt;$B498,"",($AA498-$B498)*24))</f>
      </c>
      <c r="AJ498" s="225">
        <f>IF($A498="","",IF(COUNTIF('Nhật ký tiến độ'!$C$6:$C$3005,$A498)=0,0,_xlfn.MAXIFS('Nhật ký tiến độ'!$N$6:$N$3005,'Nhật ký tiến độ'!$C$6:$C$3005,$A498,'Nhật ký tiến độ'!$B$6:$B$3005,_xlfn.MAXIFS('Nhật ký tiến độ'!$B$6:$B$3005,'Nhật ký tiến độ'!$C$6:$C$3005,$A498))))</f>
      </c>
      <c r="AK498" s="225">
        <f>IF(OR($A498="",$V498="Đã xử lý"),"",IF(N($AO498)&gt;0,5-$AO498,IF($J498="Khẩn cấp",5,IF($Y498="Chậm tiến độ",6,IF(OR($Y498="Sắp đến hạn",$J498="Cao"),7,"")))))</f>
      </c>
      <c r="AL498" s="225">
        <f>IF($AK498="","",$AK498*100000+IF(N($U498)=0,99999,INT($U498))+ROW()/100000)</f>
      </c>
      <c r="AM498" s="225">
        <f>IF(OR($A498="",TRIM($K498)="",COUNTIF($K$6:$K498,$K498)&gt;1),0,1)</f>
      </c>
      <c r="AN498" s="225">
        <f>IF($AM498=1,SUM($AM$6:$AM498),"")</f>
      </c>
      <c r="AO498" s="225">
        <f>IF(OR($A498="",$V498="Đã xử lý",N($U498)=0),0,IF(TDBC&lt;=$U498,0,MAX(1,MIN(4,IF((TDBC-$U498)*24&lt;24,1,IF((TDBC-$U498)*24&lt;72,2,IF((TDBC-$U498)*24&lt;168,3,4)))+IFERROR(INDEX({2,1,0,-1},MATCH($J498,{"Khẩn cấp","Cao","Trung bình","Thấp"},0)),0)))))</f>
      </c>
    </row>
    <row r="499">
      <c r="A499" s="216"/>
      <c r="B499" s="217"/>
      <c r="C499" s="218"/>
      <c r="D499" s="218"/>
      <c r="E499" s="218"/>
      <c r="F499" s="218"/>
      <c r="G499" s="216"/>
      <c r="H499" s="218"/>
      <c r="I499" s="218"/>
      <c r="J499" s="216"/>
      <c r="K499" s="218"/>
      <c r="L499" s="218"/>
      <c r="M499" s="218"/>
      <c r="N499" s="218"/>
      <c r="O499" s="219"/>
      <c r="P499" s="216"/>
      <c r="Q499" s="217"/>
      <c r="R499" s="216"/>
      <c r="S499" s="218"/>
      <c r="T499" s="218"/>
      <c r="U499" s="220">
        <f>IF($A499="","",IF(N($Q499)&gt;0,IF(MOD($Q499,1)=0,$Q499+1-1/1440,$Q499),IF(N($B499)=0,"",$B499+IF(N($AH499)&gt;0,$AH499,IFERROR(INDEX(DM_SLA_Gio,MATCH($J499,DM_SLA_Cap,0)),168))/24)))</f>
      </c>
      <c r="V499" s="221">
        <f>IF($A499="","",IF(N($AJ499)=0,"Mới tiếp nhận",INDEX('Nhật ký tiến độ'!$E:$E,$AJ499)))</f>
      </c>
      <c r="W499" s="222">
        <f>IF($A499="","",IF($V499="Đã xử lý",1,IF(N($AJ499)=0,0,N(INDEX('Nhật ký tiến độ'!$D:$D,$AJ499)))))</f>
      </c>
      <c r="X499" s="222">
        <f>IF(OR($A499="",$V499="Đã xử lý",N($U499)=0,N($B499)=0),"",IF(TDBC&lt;=$B499,0,IF(TDBC&gt;=$U499,1,(TDBC-$B499)/($U499-$B499))))</f>
      </c>
      <c r="Y499" s="223">
        <f>IF($A499="","",IF($V499="Đã xử lý","Hoàn thành",IF(N($U499)=0,"Chưa đặt hạn",IF(TDBC&gt;$U499,"Quá hạn",IF(ROUND((N($X499)-$W499)*100,0)&gt;=20,"Chậm tiến độ",IF($U499-TDBC&lt;=1,"Sắp đến hạn","Đúng tiến độ"))))))</f>
      </c>
      <c r="Z499" s="223">
        <f>IF(OR($A499="",$V499="Đã xử lý",N($U499)=0),"",IF(TDBC&gt;$U499,"Quá "&amp;IF(((TDBC-$U499)*24)&lt;1,MAX(1,ROUND(((TDBC-$U499)*24)*60,0))&amp;" phút",IF(ROUND(((TDBC-$U499)*24),0)&lt;24,ROUND(((TDBC-$U499)*24),0)&amp;" giờ",INT(ROUND(((TDBC-$U499)*24),0)/24)&amp;" ngày"&amp;IF(MOD(ROUND(((TDBC-$U499)*24),0),24)&gt;0," "&amp;MOD(ROUND(((TDBC-$U499)*24),0),24)&amp;" giờ",""))),"Còn "&amp;IF((($U499-TDBC)*24)&lt;1,MAX(1,ROUND((($U499-TDBC)*24)*60,0))&amp;" phút",IF(ROUND((($U499-TDBC)*24),0)&lt;24,ROUND((($U499-TDBC)*24),0)&amp;" giờ",INT(ROUND((($U499-TDBC)*24),0)/24)&amp;" ngày"&amp;IF(MOD(ROUND((($U499-TDBC)*24),0),24)&gt;0," "&amp;MOD(ROUND((($U499-TDBC)*24),0),24)&amp;" giờ","")))))</f>
      </c>
      <c r="AA499" s="220">
        <f>IF($V499="Đã xử lý",_xlfn.MAXIFS('Nhật ký tiến độ'!$B$6:$B$3005,'Nhật ký tiến độ'!$C$6:$C$3005,$A499,'Nhật ký tiến độ'!$E$6:$E$3005,"Đã xử lý"),"")</f>
      </c>
      <c r="AB499" s="223">
        <f>IF($AI499="","",IF($AI499&lt;1,MAX(1,ROUND($AI499*60,0))&amp;" phút",IF(ROUND($AI499,0)&lt;24,ROUND($AI499,0)&amp;" giờ",INT(ROUND($AI499,0)/24)&amp;" ngày"&amp;IF(MOD(ROUND($AI499,0),24)&gt;0," "&amp;MOD(ROUND($AI499,0),24)&amp;" giờ",""))))</f>
      </c>
      <c r="AC499" s="223">
        <f>IF(OR($A499="",N($AH499)=0),"",IF($AI499&lt;&gt;"",IF($AI499&lt;=$AH499,"Trong ước tính","Vượt "&amp;IF(($AI499-$AH499)&lt;1,MAX(1,ROUND(($AI499-$AH499)*60,0))&amp;" phút",IF(ROUND(($AI499-$AH499),0)&lt;24,ROUND(($AI499-$AH499),0)&amp;" giờ",INT(ROUND(($AI499-$AH499),0)/24)&amp;" ngày"&amp;IF(MOD(ROUND(($AI499-$AH499),0),24)&gt;0," "&amp;MOD(ROUND(($AI499-$AH499),0),24)&amp;" giờ","")))),IF(OR($V499="Đã xử lý",N($B499)=0),"",IF((TDBC-$B499)*24&gt;$AH499,"Đã vượt ước tính","Đã dùng "&amp;TEXT((TDBC-$B499)*24/$AH499,"0%")))))</f>
      </c>
      <c r="AD499" s="223">
        <f>IF(N($AO499)=0,"",CHOOSE($AO499,"Nhắc nhở","Cảnh báo","Báo động","Báo động đỏ"))</f>
      </c>
      <c r="AE499" s="223">
        <f>IF(OR(N($AA499)=0,N($U499)=0),"",IF($AA499&lt;=$U499,"Đúng hạn","Trễ hạn"))</f>
      </c>
      <c r="AF499" s="220">
        <f>IF($A499="","",_xlfn.MAXIFS('Nhật ký tiến độ'!$B$6:$B$3005,'Nhật ký tiến độ'!$C$6:$C$3005,$A499))</f>
      </c>
      <c r="AG499" s="223">
        <f>IF($A499="","",IF(COUNTIF('Kế hoạch'!$M$6:$M$305,$A499)=0,"",COUNTIF('Kế hoạch'!$M$6:$M$305,$A499)&amp;" việc"))</f>
      </c>
      <c r="AH499" s="224">
        <f>IF(OR($A499="",N($O499)&lt;=0),"",IF($P499="Giờ",$O499,$O499*24))</f>
      </c>
      <c r="AI499" s="224">
        <f>IF(OR(N($AA499)=0,N($B499)=0),"",IF($AA499&lt;$B499,"",($AA499-$B499)*24))</f>
      </c>
      <c r="AJ499" s="225">
        <f>IF($A499="","",IF(COUNTIF('Nhật ký tiến độ'!$C$6:$C$3005,$A499)=0,0,_xlfn.MAXIFS('Nhật ký tiến độ'!$N$6:$N$3005,'Nhật ký tiến độ'!$C$6:$C$3005,$A499,'Nhật ký tiến độ'!$B$6:$B$3005,_xlfn.MAXIFS('Nhật ký tiến độ'!$B$6:$B$3005,'Nhật ký tiến độ'!$C$6:$C$3005,$A499))))</f>
      </c>
      <c r="AK499" s="225">
        <f>IF(OR($A499="",$V499="Đã xử lý"),"",IF(N($AO499)&gt;0,5-$AO499,IF($J499="Khẩn cấp",5,IF($Y499="Chậm tiến độ",6,IF(OR($Y499="Sắp đến hạn",$J499="Cao"),7,"")))))</f>
      </c>
      <c r="AL499" s="225">
        <f>IF($AK499="","",$AK499*100000+IF(N($U499)=0,99999,INT($U499))+ROW()/100000)</f>
      </c>
      <c r="AM499" s="225">
        <f>IF(OR($A499="",TRIM($K499)="",COUNTIF($K$6:$K499,$K499)&gt;1),0,1)</f>
      </c>
      <c r="AN499" s="225">
        <f>IF($AM499=1,SUM($AM$6:$AM499),"")</f>
      </c>
      <c r="AO499" s="225">
        <f>IF(OR($A499="",$V499="Đã xử lý",N($U499)=0),0,IF(TDBC&lt;=$U499,0,MAX(1,MIN(4,IF((TDBC-$U499)*24&lt;24,1,IF((TDBC-$U499)*24&lt;72,2,IF((TDBC-$U499)*24&lt;168,3,4)))+IFERROR(INDEX({2,1,0,-1},MATCH($J499,{"Khẩn cấp","Cao","Trung bình","Thấp"},0)),0)))))</f>
      </c>
    </row>
    <row r="500">
      <c r="A500" s="216"/>
      <c r="B500" s="217"/>
      <c r="C500" s="218"/>
      <c r="D500" s="218"/>
      <c r="E500" s="218"/>
      <c r="F500" s="218"/>
      <c r="G500" s="216"/>
      <c r="H500" s="218"/>
      <c r="I500" s="218"/>
      <c r="J500" s="216"/>
      <c r="K500" s="218"/>
      <c r="L500" s="218"/>
      <c r="M500" s="218"/>
      <c r="N500" s="218"/>
      <c r="O500" s="219"/>
      <c r="P500" s="216"/>
      <c r="Q500" s="217"/>
      <c r="R500" s="216"/>
      <c r="S500" s="218"/>
      <c r="T500" s="218"/>
      <c r="U500" s="220">
        <f>IF($A500="","",IF(N($Q500)&gt;0,IF(MOD($Q500,1)=0,$Q500+1-1/1440,$Q500),IF(N($B500)=0,"",$B500+IF(N($AH500)&gt;0,$AH500,IFERROR(INDEX(DM_SLA_Gio,MATCH($J500,DM_SLA_Cap,0)),168))/24)))</f>
      </c>
      <c r="V500" s="221">
        <f>IF($A500="","",IF(N($AJ500)=0,"Mới tiếp nhận",INDEX('Nhật ký tiến độ'!$E:$E,$AJ500)))</f>
      </c>
      <c r="W500" s="222">
        <f>IF($A500="","",IF($V500="Đã xử lý",1,IF(N($AJ500)=0,0,N(INDEX('Nhật ký tiến độ'!$D:$D,$AJ500)))))</f>
      </c>
      <c r="X500" s="222">
        <f>IF(OR($A500="",$V500="Đã xử lý",N($U500)=0,N($B500)=0),"",IF(TDBC&lt;=$B500,0,IF(TDBC&gt;=$U500,1,(TDBC-$B500)/($U500-$B500))))</f>
      </c>
      <c r="Y500" s="223">
        <f>IF($A500="","",IF($V500="Đã xử lý","Hoàn thành",IF(N($U500)=0,"Chưa đặt hạn",IF(TDBC&gt;$U500,"Quá hạn",IF(ROUND((N($X500)-$W500)*100,0)&gt;=20,"Chậm tiến độ",IF($U500-TDBC&lt;=1,"Sắp đến hạn","Đúng tiến độ"))))))</f>
      </c>
      <c r="Z500" s="223">
        <f>IF(OR($A500="",$V500="Đã xử lý",N($U500)=0),"",IF(TDBC&gt;$U500,"Quá "&amp;IF(((TDBC-$U500)*24)&lt;1,MAX(1,ROUND(((TDBC-$U500)*24)*60,0))&amp;" phút",IF(ROUND(((TDBC-$U500)*24),0)&lt;24,ROUND(((TDBC-$U500)*24),0)&amp;" giờ",INT(ROUND(((TDBC-$U500)*24),0)/24)&amp;" ngày"&amp;IF(MOD(ROUND(((TDBC-$U500)*24),0),24)&gt;0," "&amp;MOD(ROUND(((TDBC-$U500)*24),0),24)&amp;" giờ",""))),"Còn "&amp;IF((($U500-TDBC)*24)&lt;1,MAX(1,ROUND((($U500-TDBC)*24)*60,0))&amp;" phút",IF(ROUND((($U500-TDBC)*24),0)&lt;24,ROUND((($U500-TDBC)*24),0)&amp;" giờ",INT(ROUND((($U500-TDBC)*24),0)/24)&amp;" ngày"&amp;IF(MOD(ROUND((($U500-TDBC)*24),0),24)&gt;0," "&amp;MOD(ROUND((($U500-TDBC)*24),0),24)&amp;" giờ","")))))</f>
      </c>
      <c r="AA500" s="220">
        <f>IF($V500="Đã xử lý",_xlfn.MAXIFS('Nhật ký tiến độ'!$B$6:$B$3005,'Nhật ký tiến độ'!$C$6:$C$3005,$A500,'Nhật ký tiến độ'!$E$6:$E$3005,"Đã xử lý"),"")</f>
      </c>
      <c r="AB500" s="223">
        <f>IF($AI500="","",IF($AI500&lt;1,MAX(1,ROUND($AI500*60,0))&amp;" phút",IF(ROUND($AI500,0)&lt;24,ROUND($AI500,0)&amp;" giờ",INT(ROUND($AI500,0)/24)&amp;" ngày"&amp;IF(MOD(ROUND($AI500,0),24)&gt;0," "&amp;MOD(ROUND($AI500,0),24)&amp;" giờ",""))))</f>
      </c>
      <c r="AC500" s="223">
        <f>IF(OR($A500="",N($AH500)=0),"",IF($AI500&lt;&gt;"",IF($AI500&lt;=$AH500,"Trong ước tính","Vượt "&amp;IF(($AI500-$AH500)&lt;1,MAX(1,ROUND(($AI500-$AH500)*60,0))&amp;" phút",IF(ROUND(($AI500-$AH500),0)&lt;24,ROUND(($AI500-$AH500),0)&amp;" giờ",INT(ROUND(($AI500-$AH500),0)/24)&amp;" ngày"&amp;IF(MOD(ROUND(($AI500-$AH500),0),24)&gt;0," "&amp;MOD(ROUND(($AI500-$AH500),0),24)&amp;" giờ","")))),IF(OR($V500="Đã xử lý",N($B500)=0),"",IF((TDBC-$B500)*24&gt;$AH500,"Đã vượt ước tính","Đã dùng "&amp;TEXT((TDBC-$B500)*24/$AH500,"0%")))))</f>
      </c>
      <c r="AD500" s="223">
        <f>IF(N($AO500)=0,"",CHOOSE($AO500,"Nhắc nhở","Cảnh báo","Báo động","Báo động đỏ"))</f>
      </c>
      <c r="AE500" s="223">
        <f>IF(OR(N($AA500)=0,N($U500)=0),"",IF($AA500&lt;=$U500,"Đúng hạn","Trễ hạn"))</f>
      </c>
      <c r="AF500" s="220">
        <f>IF($A500="","",_xlfn.MAXIFS('Nhật ký tiến độ'!$B$6:$B$3005,'Nhật ký tiến độ'!$C$6:$C$3005,$A500))</f>
      </c>
      <c r="AG500" s="223">
        <f>IF($A500="","",IF(COUNTIF('Kế hoạch'!$M$6:$M$305,$A500)=0,"",COUNTIF('Kế hoạch'!$M$6:$M$305,$A500)&amp;" việc"))</f>
      </c>
      <c r="AH500" s="224">
        <f>IF(OR($A500="",N($O500)&lt;=0),"",IF($P500="Giờ",$O500,$O500*24))</f>
      </c>
      <c r="AI500" s="224">
        <f>IF(OR(N($AA500)=0,N($B500)=0),"",IF($AA500&lt;$B500,"",($AA500-$B500)*24))</f>
      </c>
      <c r="AJ500" s="225">
        <f>IF($A500="","",IF(COUNTIF('Nhật ký tiến độ'!$C$6:$C$3005,$A500)=0,0,_xlfn.MAXIFS('Nhật ký tiến độ'!$N$6:$N$3005,'Nhật ký tiến độ'!$C$6:$C$3005,$A500,'Nhật ký tiến độ'!$B$6:$B$3005,_xlfn.MAXIFS('Nhật ký tiến độ'!$B$6:$B$3005,'Nhật ký tiến độ'!$C$6:$C$3005,$A500))))</f>
      </c>
      <c r="AK500" s="225">
        <f>IF(OR($A500="",$V500="Đã xử lý"),"",IF(N($AO500)&gt;0,5-$AO500,IF($J500="Khẩn cấp",5,IF($Y500="Chậm tiến độ",6,IF(OR($Y500="Sắp đến hạn",$J500="Cao"),7,"")))))</f>
      </c>
      <c r="AL500" s="225">
        <f>IF($AK500="","",$AK500*100000+IF(N($U500)=0,99999,INT($U500))+ROW()/100000)</f>
      </c>
      <c r="AM500" s="225">
        <f>IF(OR($A500="",TRIM($K500)="",COUNTIF($K$6:$K500,$K500)&gt;1),0,1)</f>
      </c>
      <c r="AN500" s="225">
        <f>IF($AM500=1,SUM($AM$6:$AM500),"")</f>
      </c>
      <c r="AO500" s="225">
        <f>IF(OR($A500="",$V500="Đã xử lý",N($U500)=0),0,IF(TDBC&lt;=$U500,0,MAX(1,MIN(4,IF((TDBC-$U500)*24&lt;24,1,IF((TDBC-$U500)*24&lt;72,2,IF((TDBC-$U500)*24&lt;168,3,4)))+IFERROR(INDEX({2,1,0,-1},MATCH($J500,{"Khẩn cấp","Cao","Trung bình","Thấp"},0)),0)))))</f>
      </c>
    </row>
    <row r="501">
      <c r="A501" s="216"/>
      <c r="B501" s="217"/>
      <c r="C501" s="218"/>
      <c r="D501" s="218"/>
      <c r="E501" s="218"/>
      <c r="F501" s="218"/>
      <c r="G501" s="216"/>
      <c r="H501" s="218"/>
      <c r="I501" s="218"/>
      <c r="J501" s="216"/>
      <c r="K501" s="218"/>
      <c r="L501" s="218"/>
      <c r="M501" s="218"/>
      <c r="N501" s="218"/>
      <c r="O501" s="219"/>
      <c r="P501" s="216"/>
      <c r="Q501" s="217"/>
      <c r="R501" s="216"/>
      <c r="S501" s="218"/>
      <c r="T501" s="218"/>
      <c r="U501" s="220">
        <f>IF($A501="","",IF(N($Q501)&gt;0,IF(MOD($Q501,1)=0,$Q501+1-1/1440,$Q501),IF(N($B501)=0,"",$B501+IF(N($AH501)&gt;0,$AH501,IFERROR(INDEX(DM_SLA_Gio,MATCH($J501,DM_SLA_Cap,0)),168))/24)))</f>
      </c>
      <c r="V501" s="221">
        <f>IF($A501="","",IF(N($AJ501)=0,"Mới tiếp nhận",INDEX('Nhật ký tiến độ'!$E:$E,$AJ501)))</f>
      </c>
      <c r="W501" s="222">
        <f>IF($A501="","",IF($V501="Đã xử lý",1,IF(N($AJ501)=0,0,N(INDEX('Nhật ký tiến độ'!$D:$D,$AJ501)))))</f>
      </c>
      <c r="X501" s="222">
        <f>IF(OR($A501="",$V501="Đã xử lý",N($U501)=0,N($B501)=0),"",IF(TDBC&lt;=$B501,0,IF(TDBC&gt;=$U501,1,(TDBC-$B501)/($U501-$B501))))</f>
      </c>
      <c r="Y501" s="223">
        <f>IF($A501="","",IF($V501="Đã xử lý","Hoàn thành",IF(N($U501)=0,"Chưa đặt hạn",IF(TDBC&gt;$U501,"Quá hạn",IF(ROUND((N($X501)-$W501)*100,0)&gt;=20,"Chậm tiến độ",IF($U501-TDBC&lt;=1,"Sắp đến hạn","Đúng tiến độ"))))))</f>
      </c>
      <c r="Z501" s="223">
        <f>IF(OR($A501="",$V501="Đã xử lý",N($U501)=0),"",IF(TDBC&gt;$U501,"Quá "&amp;IF(((TDBC-$U501)*24)&lt;1,MAX(1,ROUND(((TDBC-$U501)*24)*60,0))&amp;" phút",IF(ROUND(((TDBC-$U501)*24),0)&lt;24,ROUND(((TDBC-$U501)*24),0)&amp;" giờ",INT(ROUND(((TDBC-$U501)*24),0)/24)&amp;" ngày"&amp;IF(MOD(ROUND(((TDBC-$U501)*24),0),24)&gt;0," "&amp;MOD(ROUND(((TDBC-$U501)*24),0),24)&amp;" giờ",""))),"Còn "&amp;IF((($U501-TDBC)*24)&lt;1,MAX(1,ROUND((($U501-TDBC)*24)*60,0))&amp;" phút",IF(ROUND((($U501-TDBC)*24),0)&lt;24,ROUND((($U501-TDBC)*24),0)&amp;" giờ",INT(ROUND((($U501-TDBC)*24),0)/24)&amp;" ngày"&amp;IF(MOD(ROUND((($U501-TDBC)*24),0),24)&gt;0," "&amp;MOD(ROUND((($U501-TDBC)*24),0),24)&amp;" giờ","")))))</f>
      </c>
      <c r="AA501" s="220">
        <f>IF($V501="Đã xử lý",_xlfn.MAXIFS('Nhật ký tiến độ'!$B$6:$B$3005,'Nhật ký tiến độ'!$C$6:$C$3005,$A501,'Nhật ký tiến độ'!$E$6:$E$3005,"Đã xử lý"),"")</f>
      </c>
      <c r="AB501" s="223">
        <f>IF($AI501="","",IF($AI501&lt;1,MAX(1,ROUND($AI501*60,0))&amp;" phút",IF(ROUND($AI501,0)&lt;24,ROUND($AI501,0)&amp;" giờ",INT(ROUND($AI501,0)/24)&amp;" ngày"&amp;IF(MOD(ROUND($AI501,0),24)&gt;0," "&amp;MOD(ROUND($AI501,0),24)&amp;" giờ",""))))</f>
      </c>
      <c r="AC501" s="223">
        <f>IF(OR($A501="",N($AH501)=0),"",IF($AI501&lt;&gt;"",IF($AI501&lt;=$AH501,"Trong ước tính","Vượt "&amp;IF(($AI501-$AH501)&lt;1,MAX(1,ROUND(($AI501-$AH501)*60,0))&amp;" phút",IF(ROUND(($AI501-$AH501),0)&lt;24,ROUND(($AI501-$AH501),0)&amp;" giờ",INT(ROUND(($AI501-$AH501),0)/24)&amp;" ngày"&amp;IF(MOD(ROUND(($AI501-$AH501),0),24)&gt;0," "&amp;MOD(ROUND(($AI501-$AH501),0),24)&amp;" giờ","")))),IF(OR($V501="Đã xử lý",N($B501)=0),"",IF((TDBC-$B501)*24&gt;$AH501,"Đã vượt ước tính","Đã dùng "&amp;TEXT((TDBC-$B501)*24/$AH501,"0%")))))</f>
      </c>
      <c r="AD501" s="223">
        <f>IF(N($AO501)=0,"",CHOOSE($AO501,"Nhắc nhở","Cảnh báo","Báo động","Báo động đỏ"))</f>
      </c>
      <c r="AE501" s="223">
        <f>IF(OR(N($AA501)=0,N($U501)=0),"",IF($AA501&lt;=$U501,"Đúng hạn","Trễ hạn"))</f>
      </c>
      <c r="AF501" s="220">
        <f>IF($A501="","",_xlfn.MAXIFS('Nhật ký tiến độ'!$B$6:$B$3005,'Nhật ký tiến độ'!$C$6:$C$3005,$A501))</f>
      </c>
      <c r="AG501" s="223">
        <f>IF($A501="","",IF(COUNTIF('Kế hoạch'!$M$6:$M$305,$A501)=0,"",COUNTIF('Kế hoạch'!$M$6:$M$305,$A501)&amp;" việc"))</f>
      </c>
      <c r="AH501" s="224">
        <f>IF(OR($A501="",N($O501)&lt;=0),"",IF($P501="Giờ",$O501,$O501*24))</f>
      </c>
      <c r="AI501" s="224">
        <f>IF(OR(N($AA501)=0,N($B501)=0),"",IF($AA501&lt;$B501,"",($AA501-$B501)*24))</f>
      </c>
      <c r="AJ501" s="225">
        <f>IF($A501="","",IF(COUNTIF('Nhật ký tiến độ'!$C$6:$C$3005,$A501)=0,0,_xlfn.MAXIFS('Nhật ký tiến độ'!$N$6:$N$3005,'Nhật ký tiến độ'!$C$6:$C$3005,$A501,'Nhật ký tiến độ'!$B$6:$B$3005,_xlfn.MAXIFS('Nhật ký tiến độ'!$B$6:$B$3005,'Nhật ký tiến độ'!$C$6:$C$3005,$A501))))</f>
      </c>
      <c r="AK501" s="225">
        <f>IF(OR($A501="",$V501="Đã xử lý"),"",IF(N($AO501)&gt;0,5-$AO501,IF($J501="Khẩn cấp",5,IF($Y501="Chậm tiến độ",6,IF(OR($Y501="Sắp đến hạn",$J501="Cao"),7,"")))))</f>
      </c>
      <c r="AL501" s="225">
        <f>IF($AK501="","",$AK501*100000+IF(N($U501)=0,99999,INT($U501))+ROW()/100000)</f>
      </c>
      <c r="AM501" s="225">
        <f>IF(OR($A501="",TRIM($K501)="",COUNTIF($K$6:$K501,$K501)&gt;1),0,1)</f>
      </c>
      <c r="AN501" s="225">
        <f>IF($AM501=1,SUM($AM$6:$AM501),"")</f>
      </c>
      <c r="AO501" s="225">
        <f>IF(OR($A501="",$V501="Đã xử lý",N($U501)=0),0,IF(TDBC&lt;=$U501,0,MAX(1,MIN(4,IF((TDBC-$U501)*24&lt;24,1,IF((TDBC-$U501)*24&lt;72,2,IF((TDBC-$U501)*24&lt;168,3,4)))+IFERROR(INDEX({2,1,0,-1},MATCH($J501,{"Khẩn cấp","Cao","Trung bình","Thấp"},0)),0)))))</f>
      </c>
    </row>
    <row r="502">
      <c r="A502" s="216"/>
      <c r="B502" s="217"/>
      <c r="C502" s="218"/>
      <c r="D502" s="218"/>
      <c r="E502" s="218"/>
      <c r="F502" s="218"/>
      <c r="G502" s="216"/>
      <c r="H502" s="218"/>
      <c r="I502" s="218"/>
      <c r="J502" s="216"/>
      <c r="K502" s="218"/>
      <c r="L502" s="218"/>
      <c r="M502" s="218"/>
      <c r="N502" s="218"/>
      <c r="O502" s="219"/>
      <c r="P502" s="216"/>
      <c r="Q502" s="217"/>
      <c r="R502" s="216"/>
      <c r="S502" s="218"/>
      <c r="T502" s="218"/>
      <c r="U502" s="220">
        <f>IF($A502="","",IF(N($Q502)&gt;0,IF(MOD($Q502,1)=0,$Q502+1-1/1440,$Q502),IF(N($B502)=0,"",$B502+IF(N($AH502)&gt;0,$AH502,IFERROR(INDEX(DM_SLA_Gio,MATCH($J502,DM_SLA_Cap,0)),168))/24)))</f>
      </c>
      <c r="V502" s="221">
        <f>IF($A502="","",IF(N($AJ502)=0,"Mới tiếp nhận",INDEX('Nhật ký tiến độ'!$E:$E,$AJ502)))</f>
      </c>
      <c r="W502" s="222">
        <f>IF($A502="","",IF($V502="Đã xử lý",1,IF(N($AJ502)=0,0,N(INDEX('Nhật ký tiến độ'!$D:$D,$AJ502)))))</f>
      </c>
      <c r="X502" s="222">
        <f>IF(OR($A502="",$V502="Đã xử lý",N($U502)=0,N($B502)=0),"",IF(TDBC&lt;=$B502,0,IF(TDBC&gt;=$U502,1,(TDBC-$B502)/($U502-$B502))))</f>
      </c>
      <c r="Y502" s="223">
        <f>IF($A502="","",IF($V502="Đã xử lý","Hoàn thành",IF(N($U502)=0,"Chưa đặt hạn",IF(TDBC&gt;$U502,"Quá hạn",IF(ROUND((N($X502)-$W502)*100,0)&gt;=20,"Chậm tiến độ",IF($U502-TDBC&lt;=1,"Sắp đến hạn","Đúng tiến độ"))))))</f>
      </c>
      <c r="Z502" s="223">
        <f>IF(OR($A502="",$V502="Đã xử lý",N($U502)=0),"",IF(TDBC&gt;$U502,"Quá "&amp;IF(((TDBC-$U502)*24)&lt;1,MAX(1,ROUND(((TDBC-$U502)*24)*60,0))&amp;" phút",IF(ROUND(((TDBC-$U502)*24),0)&lt;24,ROUND(((TDBC-$U502)*24),0)&amp;" giờ",INT(ROUND(((TDBC-$U502)*24),0)/24)&amp;" ngày"&amp;IF(MOD(ROUND(((TDBC-$U502)*24),0),24)&gt;0," "&amp;MOD(ROUND(((TDBC-$U502)*24),0),24)&amp;" giờ",""))),"Còn "&amp;IF((($U502-TDBC)*24)&lt;1,MAX(1,ROUND((($U502-TDBC)*24)*60,0))&amp;" phút",IF(ROUND((($U502-TDBC)*24),0)&lt;24,ROUND((($U502-TDBC)*24),0)&amp;" giờ",INT(ROUND((($U502-TDBC)*24),0)/24)&amp;" ngày"&amp;IF(MOD(ROUND((($U502-TDBC)*24),0),24)&gt;0," "&amp;MOD(ROUND((($U502-TDBC)*24),0),24)&amp;" giờ","")))))</f>
      </c>
      <c r="AA502" s="220">
        <f>IF($V502="Đã xử lý",_xlfn.MAXIFS('Nhật ký tiến độ'!$B$6:$B$3005,'Nhật ký tiến độ'!$C$6:$C$3005,$A502,'Nhật ký tiến độ'!$E$6:$E$3005,"Đã xử lý"),"")</f>
      </c>
      <c r="AB502" s="223">
        <f>IF($AI502="","",IF($AI502&lt;1,MAX(1,ROUND($AI502*60,0))&amp;" phút",IF(ROUND($AI502,0)&lt;24,ROUND($AI502,0)&amp;" giờ",INT(ROUND($AI502,0)/24)&amp;" ngày"&amp;IF(MOD(ROUND($AI502,0),24)&gt;0," "&amp;MOD(ROUND($AI502,0),24)&amp;" giờ",""))))</f>
      </c>
      <c r="AC502" s="223">
        <f>IF(OR($A502="",N($AH502)=0),"",IF($AI502&lt;&gt;"",IF($AI502&lt;=$AH502,"Trong ước tính","Vượt "&amp;IF(($AI502-$AH502)&lt;1,MAX(1,ROUND(($AI502-$AH502)*60,0))&amp;" phút",IF(ROUND(($AI502-$AH502),0)&lt;24,ROUND(($AI502-$AH502),0)&amp;" giờ",INT(ROUND(($AI502-$AH502),0)/24)&amp;" ngày"&amp;IF(MOD(ROUND(($AI502-$AH502),0),24)&gt;0," "&amp;MOD(ROUND(($AI502-$AH502),0),24)&amp;" giờ","")))),IF(OR($V502="Đã xử lý",N($B502)=0),"",IF((TDBC-$B502)*24&gt;$AH502,"Đã vượt ước tính","Đã dùng "&amp;TEXT((TDBC-$B502)*24/$AH502,"0%")))))</f>
      </c>
      <c r="AD502" s="223">
        <f>IF(N($AO502)=0,"",CHOOSE($AO502,"Nhắc nhở","Cảnh báo","Báo động","Báo động đỏ"))</f>
      </c>
      <c r="AE502" s="223">
        <f>IF(OR(N($AA502)=0,N($U502)=0),"",IF($AA502&lt;=$U502,"Đúng hạn","Trễ hạn"))</f>
      </c>
      <c r="AF502" s="220">
        <f>IF($A502="","",_xlfn.MAXIFS('Nhật ký tiến độ'!$B$6:$B$3005,'Nhật ký tiến độ'!$C$6:$C$3005,$A502))</f>
      </c>
      <c r="AG502" s="223">
        <f>IF($A502="","",IF(COUNTIF('Kế hoạch'!$M$6:$M$305,$A502)=0,"",COUNTIF('Kế hoạch'!$M$6:$M$305,$A502)&amp;" việc"))</f>
      </c>
      <c r="AH502" s="224">
        <f>IF(OR($A502="",N($O502)&lt;=0),"",IF($P502="Giờ",$O502,$O502*24))</f>
      </c>
      <c r="AI502" s="224">
        <f>IF(OR(N($AA502)=0,N($B502)=0),"",IF($AA502&lt;$B502,"",($AA502-$B502)*24))</f>
      </c>
      <c r="AJ502" s="225">
        <f>IF($A502="","",IF(COUNTIF('Nhật ký tiến độ'!$C$6:$C$3005,$A502)=0,0,_xlfn.MAXIFS('Nhật ký tiến độ'!$N$6:$N$3005,'Nhật ký tiến độ'!$C$6:$C$3005,$A502,'Nhật ký tiến độ'!$B$6:$B$3005,_xlfn.MAXIFS('Nhật ký tiến độ'!$B$6:$B$3005,'Nhật ký tiến độ'!$C$6:$C$3005,$A502))))</f>
      </c>
      <c r="AK502" s="225">
        <f>IF(OR($A502="",$V502="Đã xử lý"),"",IF(N($AO502)&gt;0,5-$AO502,IF($J502="Khẩn cấp",5,IF($Y502="Chậm tiến độ",6,IF(OR($Y502="Sắp đến hạn",$J502="Cao"),7,"")))))</f>
      </c>
      <c r="AL502" s="225">
        <f>IF($AK502="","",$AK502*100000+IF(N($U502)=0,99999,INT($U502))+ROW()/100000)</f>
      </c>
      <c r="AM502" s="225">
        <f>IF(OR($A502="",TRIM($K502)="",COUNTIF($K$6:$K502,$K502)&gt;1),0,1)</f>
      </c>
      <c r="AN502" s="225">
        <f>IF($AM502=1,SUM($AM$6:$AM502),"")</f>
      </c>
      <c r="AO502" s="225">
        <f>IF(OR($A502="",$V502="Đã xử lý",N($U502)=0),0,IF(TDBC&lt;=$U502,0,MAX(1,MIN(4,IF((TDBC-$U502)*24&lt;24,1,IF((TDBC-$U502)*24&lt;72,2,IF((TDBC-$U502)*24&lt;168,3,4)))+IFERROR(INDEX({2,1,0,-1},MATCH($J502,{"Khẩn cấp","Cao","Trung bình","Thấp"},0)),0)))))</f>
      </c>
    </row>
    <row r="503">
      <c r="A503" s="216"/>
      <c r="B503" s="217"/>
      <c r="C503" s="218"/>
      <c r="D503" s="218"/>
      <c r="E503" s="218"/>
      <c r="F503" s="218"/>
      <c r="G503" s="216"/>
      <c r="H503" s="218"/>
      <c r="I503" s="218"/>
      <c r="J503" s="216"/>
      <c r="K503" s="218"/>
      <c r="L503" s="218"/>
      <c r="M503" s="218"/>
      <c r="N503" s="218"/>
      <c r="O503" s="219"/>
      <c r="P503" s="216"/>
      <c r="Q503" s="217"/>
      <c r="R503" s="216"/>
      <c r="S503" s="218"/>
      <c r="T503" s="218"/>
      <c r="U503" s="220">
        <f>IF($A503="","",IF(N($Q503)&gt;0,IF(MOD($Q503,1)=0,$Q503+1-1/1440,$Q503),IF(N($B503)=0,"",$B503+IF(N($AH503)&gt;0,$AH503,IFERROR(INDEX(DM_SLA_Gio,MATCH($J503,DM_SLA_Cap,0)),168))/24)))</f>
      </c>
      <c r="V503" s="221">
        <f>IF($A503="","",IF(N($AJ503)=0,"Mới tiếp nhận",INDEX('Nhật ký tiến độ'!$E:$E,$AJ503)))</f>
      </c>
      <c r="W503" s="222">
        <f>IF($A503="","",IF($V503="Đã xử lý",1,IF(N($AJ503)=0,0,N(INDEX('Nhật ký tiến độ'!$D:$D,$AJ503)))))</f>
      </c>
      <c r="X503" s="222">
        <f>IF(OR($A503="",$V503="Đã xử lý",N($U503)=0,N($B503)=0),"",IF(TDBC&lt;=$B503,0,IF(TDBC&gt;=$U503,1,(TDBC-$B503)/($U503-$B503))))</f>
      </c>
      <c r="Y503" s="223">
        <f>IF($A503="","",IF($V503="Đã xử lý","Hoàn thành",IF(N($U503)=0,"Chưa đặt hạn",IF(TDBC&gt;$U503,"Quá hạn",IF(ROUND((N($X503)-$W503)*100,0)&gt;=20,"Chậm tiến độ",IF($U503-TDBC&lt;=1,"Sắp đến hạn","Đúng tiến độ"))))))</f>
      </c>
      <c r="Z503" s="223">
        <f>IF(OR($A503="",$V503="Đã xử lý",N($U503)=0),"",IF(TDBC&gt;$U503,"Quá "&amp;IF(((TDBC-$U503)*24)&lt;1,MAX(1,ROUND(((TDBC-$U503)*24)*60,0))&amp;" phút",IF(ROUND(((TDBC-$U503)*24),0)&lt;24,ROUND(((TDBC-$U503)*24),0)&amp;" giờ",INT(ROUND(((TDBC-$U503)*24),0)/24)&amp;" ngày"&amp;IF(MOD(ROUND(((TDBC-$U503)*24),0),24)&gt;0," "&amp;MOD(ROUND(((TDBC-$U503)*24),0),24)&amp;" giờ",""))),"Còn "&amp;IF((($U503-TDBC)*24)&lt;1,MAX(1,ROUND((($U503-TDBC)*24)*60,0))&amp;" phút",IF(ROUND((($U503-TDBC)*24),0)&lt;24,ROUND((($U503-TDBC)*24),0)&amp;" giờ",INT(ROUND((($U503-TDBC)*24),0)/24)&amp;" ngày"&amp;IF(MOD(ROUND((($U503-TDBC)*24),0),24)&gt;0," "&amp;MOD(ROUND((($U503-TDBC)*24),0),24)&amp;" giờ","")))))</f>
      </c>
      <c r="AA503" s="220">
        <f>IF($V503="Đã xử lý",_xlfn.MAXIFS('Nhật ký tiến độ'!$B$6:$B$3005,'Nhật ký tiến độ'!$C$6:$C$3005,$A503,'Nhật ký tiến độ'!$E$6:$E$3005,"Đã xử lý"),"")</f>
      </c>
      <c r="AB503" s="223">
        <f>IF($AI503="","",IF($AI503&lt;1,MAX(1,ROUND($AI503*60,0))&amp;" phút",IF(ROUND($AI503,0)&lt;24,ROUND($AI503,0)&amp;" giờ",INT(ROUND($AI503,0)/24)&amp;" ngày"&amp;IF(MOD(ROUND($AI503,0),24)&gt;0," "&amp;MOD(ROUND($AI503,0),24)&amp;" giờ",""))))</f>
      </c>
      <c r="AC503" s="223">
        <f>IF(OR($A503="",N($AH503)=0),"",IF($AI503&lt;&gt;"",IF($AI503&lt;=$AH503,"Trong ước tính","Vượt "&amp;IF(($AI503-$AH503)&lt;1,MAX(1,ROUND(($AI503-$AH503)*60,0))&amp;" phút",IF(ROUND(($AI503-$AH503),0)&lt;24,ROUND(($AI503-$AH503),0)&amp;" giờ",INT(ROUND(($AI503-$AH503),0)/24)&amp;" ngày"&amp;IF(MOD(ROUND(($AI503-$AH503),0),24)&gt;0," "&amp;MOD(ROUND(($AI503-$AH503),0),24)&amp;" giờ","")))),IF(OR($V503="Đã xử lý",N($B503)=0),"",IF((TDBC-$B503)*24&gt;$AH503,"Đã vượt ước tính","Đã dùng "&amp;TEXT((TDBC-$B503)*24/$AH503,"0%")))))</f>
      </c>
      <c r="AD503" s="223">
        <f>IF(N($AO503)=0,"",CHOOSE($AO503,"Nhắc nhở","Cảnh báo","Báo động","Báo động đỏ"))</f>
      </c>
      <c r="AE503" s="223">
        <f>IF(OR(N($AA503)=0,N($U503)=0),"",IF($AA503&lt;=$U503,"Đúng hạn","Trễ hạn"))</f>
      </c>
      <c r="AF503" s="220">
        <f>IF($A503="","",_xlfn.MAXIFS('Nhật ký tiến độ'!$B$6:$B$3005,'Nhật ký tiến độ'!$C$6:$C$3005,$A503))</f>
      </c>
      <c r="AG503" s="223">
        <f>IF($A503="","",IF(COUNTIF('Kế hoạch'!$M$6:$M$305,$A503)=0,"",COUNTIF('Kế hoạch'!$M$6:$M$305,$A503)&amp;" việc"))</f>
      </c>
      <c r="AH503" s="224">
        <f>IF(OR($A503="",N($O503)&lt;=0),"",IF($P503="Giờ",$O503,$O503*24))</f>
      </c>
      <c r="AI503" s="224">
        <f>IF(OR(N($AA503)=0,N($B503)=0),"",IF($AA503&lt;$B503,"",($AA503-$B503)*24))</f>
      </c>
      <c r="AJ503" s="225">
        <f>IF($A503="","",IF(COUNTIF('Nhật ký tiến độ'!$C$6:$C$3005,$A503)=0,0,_xlfn.MAXIFS('Nhật ký tiến độ'!$N$6:$N$3005,'Nhật ký tiến độ'!$C$6:$C$3005,$A503,'Nhật ký tiến độ'!$B$6:$B$3005,_xlfn.MAXIFS('Nhật ký tiến độ'!$B$6:$B$3005,'Nhật ký tiến độ'!$C$6:$C$3005,$A503))))</f>
      </c>
      <c r="AK503" s="225">
        <f>IF(OR($A503="",$V503="Đã xử lý"),"",IF(N($AO503)&gt;0,5-$AO503,IF($J503="Khẩn cấp",5,IF($Y503="Chậm tiến độ",6,IF(OR($Y503="Sắp đến hạn",$J503="Cao"),7,"")))))</f>
      </c>
      <c r="AL503" s="225">
        <f>IF($AK503="","",$AK503*100000+IF(N($U503)=0,99999,INT($U503))+ROW()/100000)</f>
      </c>
      <c r="AM503" s="225">
        <f>IF(OR($A503="",TRIM($K503)="",COUNTIF($K$6:$K503,$K503)&gt;1),0,1)</f>
      </c>
      <c r="AN503" s="225">
        <f>IF($AM503=1,SUM($AM$6:$AM503),"")</f>
      </c>
      <c r="AO503" s="225">
        <f>IF(OR($A503="",$V503="Đã xử lý",N($U503)=0),0,IF(TDBC&lt;=$U503,0,MAX(1,MIN(4,IF((TDBC-$U503)*24&lt;24,1,IF((TDBC-$U503)*24&lt;72,2,IF((TDBC-$U503)*24&lt;168,3,4)))+IFERROR(INDEX({2,1,0,-1},MATCH($J503,{"Khẩn cấp","Cao","Trung bình","Thấp"},0)),0)))))</f>
      </c>
    </row>
    <row r="504">
      <c r="A504" s="216"/>
      <c r="B504" s="217"/>
      <c r="C504" s="218"/>
      <c r="D504" s="218"/>
      <c r="E504" s="218"/>
      <c r="F504" s="218"/>
      <c r="G504" s="216"/>
      <c r="H504" s="218"/>
      <c r="I504" s="218"/>
      <c r="J504" s="216"/>
      <c r="K504" s="218"/>
      <c r="L504" s="218"/>
      <c r="M504" s="218"/>
      <c r="N504" s="218"/>
      <c r="O504" s="219"/>
      <c r="P504" s="216"/>
      <c r="Q504" s="217"/>
      <c r="R504" s="216"/>
      <c r="S504" s="218"/>
      <c r="T504" s="218"/>
      <c r="U504" s="220">
        <f>IF($A504="","",IF(N($Q504)&gt;0,IF(MOD($Q504,1)=0,$Q504+1-1/1440,$Q504),IF(N($B504)=0,"",$B504+IF(N($AH504)&gt;0,$AH504,IFERROR(INDEX(DM_SLA_Gio,MATCH($J504,DM_SLA_Cap,0)),168))/24)))</f>
      </c>
      <c r="V504" s="221">
        <f>IF($A504="","",IF(N($AJ504)=0,"Mới tiếp nhận",INDEX('Nhật ký tiến độ'!$E:$E,$AJ504)))</f>
      </c>
      <c r="W504" s="222">
        <f>IF($A504="","",IF($V504="Đã xử lý",1,IF(N($AJ504)=0,0,N(INDEX('Nhật ký tiến độ'!$D:$D,$AJ504)))))</f>
      </c>
      <c r="X504" s="222">
        <f>IF(OR($A504="",$V504="Đã xử lý",N($U504)=0,N($B504)=0),"",IF(TDBC&lt;=$B504,0,IF(TDBC&gt;=$U504,1,(TDBC-$B504)/($U504-$B504))))</f>
      </c>
      <c r="Y504" s="223">
        <f>IF($A504="","",IF($V504="Đã xử lý","Hoàn thành",IF(N($U504)=0,"Chưa đặt hạn",IF(TDBC&gt;$U504,"Quá hạn",IF(ROUND((N($X504)-$W504)*100,0)&gt;=20,"Chậm tiến độ",IF($U504-TDBC&lt;=1,"Sắp đến hạn","Đúng tiến độ"))))))</f>
      </c>
      <c r="Z504" s="223">
        <f>IF(OR($A504="",$V504="Đã xử lý",N($U504)=0),"",IF(TDBC&gt;$U504,"Quá "&amp;IF(((TDBC-$U504)*24)&lt;1,MAX(1,ROUND(((TDBC-$U504)*24)*60,0))&amp;" phút",IF(ROUND(((TDBC-$U504)*24),0)&lt;24,ROUND(((TDBC-$U504)*24),0)&amp;" giờ",INT(ROUND(((TDBC-$U504)*24),0)/24)&amp;" ngày"&amp;IF(MOD(ROUND(((TDBC-$U504)*24),0),24)&gt;0," "&amp;MOD(ROUND(((TDBC-$U504)*24),0),24)&amp;" giờ",""))),"Còn "&amp;IF((($U504-TDBC)*24)&lt;1,MAX(1,ROUND((($U504-TDBC)*24)*60,0))&amp;" phút",IF(ROUND((($U504-TDBC)*24),0)&lt;24,ROUND((($U504-TDBC)*24),0)&amp;" giờ",INT(ROUND((($U504-TDBC)*24),0)/24)&amp;" ngày"&amp;IF(MOD(ROUND((($U504-TDBC)*24),0),24)&gt;0," "&amp;MOD(ROUND((($U504-TDBC)*24),0),24)&amp;" giờ","")))))</f>
      </c>
      <c r="AA504" s="220">
        <f>IF($V504="Đã xử lý",_xlfn.MAXIFS('Nhật ký tiến độ'!$B$6:$B$3005,'Nhật ký tiến độ'!$C$6:$C$3005,$A504,'Nhật ký tiến độ'!$E$6:$E$3005,"Đã xử lý"),"")</f>
      </c>
      <c r="AB504" s="223">
        <f>IF($AI504="","",IF($AI504&lt;1,MAX(1,ROUND($AI504*60,0))&amp;" phút",IF(ROUND($AI504,0)&lt;24,ROUND($AI504,0)&amp;" giờ",INT(ROUND($AI504,0)/24)&amp;" ngày"&amp;IF(MOD(ROUND($AI504,0),24)&gt;0," "&amp;MOD(ROUND($AI504,0),24)&amp;" giờ",""))))</f>
      </c>
      <c r="AC504" s="223">
        <f>IF(OR($A504="",N($AH504)=0),"",IF($AI504&lt;&gt;"",IF($AI504&lt;=$AH504,"Trong ước tính","Vượt "&amp;IF(($AI504-$AH504)&lt;1,MAX(1,ROUND(($AI504-$AH504)*60,0))&amp;" phút",IF(ROUND(($AI504-$AH504),0)&lt;24,ROUND(($AI504-$AH504),0)&amp;" giờ",INT(ROUND(($AI504-$AH504),0)/24)&amp;" ngày"&amp;IF(MOD(ROUND(($AI504-$AH504),0),24)&gt;0," "&amp;MOD(ROUND(($AI504-$AH504),0),24)&amp;" giờ","")))),IF(OR($V504="Đã xử lý",N($B504)=0),"",IF((TDBC-$B504)*24&gt;$AH504,"Đã vượt ước tính","Đã dùng "&amp;TEXT((TDBC-$B504)*24/$AH504,"0%")))))</f>
      </c>
      <c r="AD504" s="223">
        <f>IF(N($AO504)=0,"",CHOOSE($AO504,"Nhắc nhở","Cảnh báo","Báo động","Báo động đỏ"))</f>
      </c>
      <c r="AE504" s="223">
        <f>IF(OR(N($AA504)=0,N($U504)=0),"",IF($AA504&lt;=$U504,"Đúng hạn","Trễ hạn"))</f>
      </c>
      <c r="AF504" s="220">
        <f>IF($A504="","",_xlfn.MAXIFS('Nhật ký tiến độ'!$B$6:$B$3005,'Nhật ký tiến độ'!$C$6:$C$3005,$A504))</f>
      </c>
      <c r="AG504" s="223">
        <f>IF($A504="","",IF(COUNTIF('Kế hoạch'!$M$6:$M$305,$A504)=0,"",COUNTIF('Kế hoạch'!$M$6:$M$305,$A504)&amp;" việc"))</f>
      </c>
      <c r="AH504" s="224">
        <f>IF(OR($A504="",N($O504)&lt;=0),"",IF($P504="Giờ",$O504,$O504*24))</f>
      </c>
      <c r="AI504" s="224">
        <f>IF(OR(N($AA504)=0,N($B504)=0),"",IF($AA504&lt;$B504,"",($AA504-$B504)*24))</f>
      </c>
      <c r="AJ504" s="225">
        <f>IF($A504="","",IF(COUNTIF('Nhật ký tiến độ'!$C$6:$C$3005,$A504)=0,0,_xlfn.MAXIFS('Nhật ký tiến độ'!$N$6:$N$3005,'Nhật ký tiến độ'!$C$6:$C$3005,$A504,'Nhật ký tiến độ'!$B$6:$B$3005,_xlfn.MAXIFS('Nhật ký tiến độ'!$B$6:$B$3005,'Nhật ký tiến độ'!$C$6:$C$3005,$A504))))</f>
      </c>
      <c r="AK504" s="225">
        <f>IF(OR($A504="",$V504="Đã xử lý"),"",IF(N($AO504)&gt;0,5-$AO504,IF($J504="Khẩn cấp",5,IF($Y504="Chậm tiến độ",6,IF(OR($Y504="Sắp đến hạn",$J504="Cao"),7,"")))))</f>
      </c>
      <c r="AL504" s="225">
        <f>IF($AK504="","",$AK504*100000+IF(N($U504)=0,99999,INT($U504))+ROW()/100000)</f>
      </c>
      <c r="AM504" s="225">
        <f>IF(OR($A504="",TRIM($K504)="",COUNTIF($K$6:$K504,$K504)&gt;1),0,1)</f>
      </c>
      <c r="AN504" s="225">
        <f>IF($AM504=1,SUM($AM$6:$AM504),"")</f>
      </c>
      <c r="AO504" s="225">
        <f>IF(OR($A504="",$V504="Đã xử lý",N($U504)=0),0,IF(TDBC&lt;=$U504,0,MAX(1,MIN(4,IF((TDBC-$U504)*24&lt;24,1,IF((TDBC-$U504)*24&lt;72,2,IF((TDBC-$U504)*24&lt;168,3,4)))+IFERROR(INDEX({2,1,0,-1},MATCH($J504,{"Khẩn cấp","Cao","Trung bình","Thấp"},0)),0)))))</f>
      </c>
    </row>
    <row r="505">
      <c r="A505" s="216"/>
      <c r="B505" s="217"/>
      <c r="C505" s="218"/>
      <c r="D505" s="218"/>
      <c r="E505" s="218"/>
      <c r="F505" s="218"/>
      <c r="G505" s="216"/>
      <c r="H505" s="218"/>
      <c r="I505" s="218"/>
      <c r="J505" s="216"/>
      <c r="K505" s="218"/>
      <c r="L505" s="218"/>
      <c r="M505" s="218"/>
      <c r="N505" s="218"/>
      <c r="O505" s="219"/>
      <c r="P505" s="216"/>
      <c r="Q505" s="217"/>
      <c r="R505" s="216"/>
      <c r="S505" s="218"/>
      <c r="T505" s="218"/>
      <c r="U505" s="220">
        <f>IF($A505="","",IF(N($Q505)&gt;0,IF(MOD($Q505,1)=0,$Q505+1-1/1440,$Q505),IF(N($B505)=0,"",$B505+IF(N($AH505)&gt;0,$AH505,IFERROR(INDEX(DM_SLA_Gio,MATCH($J505,DM_SLA_Cap,0)),168))/24)))</f>
      </c>
      <c r="V505" s="221">
        <f>IF($A505="","",IF(N($AJ505)=0,"Mới tiếp nhận",INDEX('Nhật ký tiến độ'!$E:$E,$AJ505)))</f>
      </c>
      <c r="W505" s="222">
        <f>IF($A505="","",IF($V505="Đã xử lý",1,IF(N($AJ505)=0,0,N(INDEX('Nhật ký tiến độ'!$D:$D,$AJ505)))))</f>
      </c>
      <c r="X505" s="222">
        <f>IF(OR($A505="",$V505="Đã xử lý",N($U505)=0,N($B505)=0),"",IF(TDBC&lt;=$B505,0,IF(TDBC&gt;=$U505,1,(TDBC-$B505)/($U505-$B505))))</f>
      </c>
      <c r="Y505" s="223">
        <f>IF($A505="","",IF($V505="Đã xử lý","Hoàn thành",IF(N($U505)=0,"Chưa đặt hạn",IF(TDBC&gt;$U505,"Quá hạn",IF(ROUND((N($X505)-$W505)*100,0)&gt;=20,"Chậm tiến độ",IF($U505-TDBC&lt;=1,"Sắp đến hạn","Đúng tiến độ"))))))</f>
      </c>
      <c r="Z505" s="223">
        <f>IF(OR($A505="",$V505="Đã xử lý",N($U505)=0),"",IF(TDBC&gt;$U505,"Quá "&amp;IF(((TDBC-$U505)*24)&lt;1,MAX(1,ROUND(((TDBC-$U505)*24)*60,0))&amp;" phút",IF(ROUND(((TDBC-$U505)*24),0)&lt;24,ROUND(((TDBC-$U505)*24),0)&amp;" giờ",INT(ROUND(((TDBC-$U505)*24),0)/24)&amp;" ngày"&amp;IF(MOD(ROUND(((TDBC-$U505)*24),0),24)&gt;0," "&amp;MOD(ROUND(((TDBC-$U505)*24),0),24)&amp;" giờ",""))),"Còn "&amp;IF((($U505-TDBC)*24)&lt;1,MAX(1,ROUND((($U505-TDBC)*24)*60,0))&amp;" phút",IF(ROUND((($U505-TDBC)*24),0)&lt;24,ROUND((($U505-TDBC)*24),0)&amp;" giờ",INT(ROUND((($U505-TDBC)*24),0)/24)&amp;" ngày"&amp;IF(MOD(ROUND((($U505-TDBC)*24),0),24)&gt;0," "&amp;MOD(ROUND((($U505-TDBC)*24),0),24)&amp;" giờ","")))))</f>
      </c>
      <c r="AA505" s="220">
        <f>IF($V505="Đã xử lý",_xlfn.MAXIFS('Nhật ký tiến độ'!$B$6:$B$3005,'Nhật ký tiến độ'!$C$6:$C$3005,$A505,'Nhật ký tiến độ'!$E$6:$E$3005,"Đã xử lý"),"")</f>
      </c>
      <c r="AB505" s="223">
        <f>IF($AI505="","",IF($AI505&lt;1,MAX(1,ROUND($AI505*60,0))&amp;" phút",IF(ROUND($AI505,0)&lt;24,ROUND($AI505,0)&amp;" giờ",INT(ROUND($AI505,0)/24)&amp;" ngày"&amp;IF(MOD(ROUND($AI505,0),24)&gt;0," "&amp;MOD(ROUND($AI505,0),24)&amp;" giờ",""))))</f>
      </c>
      <c r="AC505" s="223">
        <f>IF(OR($A505="",N($AH505)=0),"",IF($AI505&lt;&gt;"",IF($AI505&lt;=$AH505,"Trong ước tính","Vượt "&amp;IF(($AI505-$AH505)&lt;1,MAX(1,ROUND(($AI505-$AH505)*60,0))&amp;" phút",IF(ROUND(($AI505-$AH505),0)&lt;24,ROUND(($AI505-$AH505),0)&amp;" giờ",INT(ROUND(($AI505-$AH505),0)/24)&amp;" ngày"&amp;IF(MOD(ROUND(($AI505-$AH505),0),24)&gt;0," "&amp;MOD(ROUND(($AI505-$AH505),0),24)&amp;" giờ","")))),IF(OR($V505="Đã xử lý",N($B505)=0),"",IF((TDBC-$B505)*24&gt;$AH505,"Đã vượt ước tính","Đã dùng "&amp;TEXT((TDBC-$B505)*24/$AH505,"0%")))))</f>
      </c>
      <c r="AD505" s="223">
        <f>IF(N($AO505)=0,"",CHOOSE($AO505,"Nhắc nhở","Cảnh báo","Báo động","Báo động đỏ"))</f>
      </c>
      <c r="AE505" s="223">
        <f>IF(OR(N($AA505)=0,N($U505)=0),"",IF($AA505&lt;=$U505,"Đúng hạn","Trễ hạn"))</f>
      </c>
      <c r="AF505" s="220">
        <f>IF($A505="","",_xlfn.MAXIFS('Nhật ký tiến độ'!$B$6:$B$3005,'Nhật ký tiến độ'!$C$6:$C$3005,$A505))</f>
      </c>
      <c r="AG505" s="223">
        <f>IF($A505="","",IF(COUNTIF('Kế hoạch'!$M$6:$M$305,$A505)=0,"",COUNTIF('Kế hoạch'!$M$6:$M$305,$A505)&amp;" việc"))</f>
      </c>
      <c r="AH505" s="224">
        <f>IF(OR($A505="",N($O505)&lt;=0),"",IF($P505="Giờ",$O505,$O505*24))</f>
      </c>
      <c r="AI505" s="224">
        <f>IF(OR(N($AA505)=0,N($B505)=0),"",IF($AA505&lt;$B505,"",($AA505-$B505)*24))</f>
      </c>
      <c r="AJ505" s="225">
        <f>IF($A505="","",IF(COUNTIF('Nhật ký tiến độ'!$C$6:$C$3005,$A505)=0,0,_xlfn.MAXIFS('Nhật ký tiến độ'!$N$6:$N$3005,'Nhật ký tiến độ'!$C$6:$C$3005,$A505,'Nhật ký tiến độ'!$B$6:$B$3005,_xlfn.MAXIFS('Nhật ký tiến độ'!$B$6:$B$3005,'Nhật ký tiến độ'!$C$6:$C$3005,$A505))))</f>
      </c>
      <c r="AK505" s="225">
        <f>IF(OR($A505="",$V505="Đã xử lý"),"",IF(N($AO505)&gt;0,5-$AO505,IF($J505="Khẩn cấp",5,IF($Y505="Chậm tiến độ",6,IF(OR($Y505="Sắp đến hạn",$J505="Cao"),7,"")))))</f>
      </c>
      <c r="AL505" s="225">
        <f>IF($AK505="","",$AK505*100000+IF(N($U505)=0,99999,INT($U505))+ROW()/100000)</f>
      </c>
      <c r="AM505" s="225">
        <f>IF(OR($A505="",TRIM($K505)="",COUNTIF($K$6:$K505,$K505)&gt;1),0,1)</f>
      </c>
      <c r="AN505" s="225">
        <f>IF($AM505=1,SUM($AM$6:$AM505),"")</f>
      </c>
      <c r="AO505" s="225">
        <f>IF(OR($A505="",$V505="Đã xử lý",N($U505)=0),0,IF(TDBC&lt;=$U505,0,MAX(1,MIN(4,IF((TDBC-$U505)*24&lt;24,1,IF((TDBC-$U505)*24&lt;72,2,IF((TDBC-$U505)*24&lt;168,3,4)))+IFERROR(INDEX({2,1,0,-1},MATCH($J505,{"Khẩn cấp","Cao","Trung bình","Thấp"},0)),0)))))</f>
      </c>
    </row>
  </sheetData>
  <sheetProtection selectLockedCells="0" selectUnlockedCells="0" sheet="1" objects="0" insertRows="1" insertHyperlinks="1" autoFilter="0" scenarios="0" formatColumns="0" deleteColumns="1" insertColumns="1" pivotTables="1" deleteRows="1" formatCells="1" formatRows="0" sort="1" password="88D8"/>
  <protectedRanges>
    <protectedRange password="DF96" sqref="A6:T505" name="NhapLieuPhanAnh"/>
  </protectedRanges>
  <autoFilter ref="A5:AO505"/>
  <mergeCells count="7">
    <mergeCell ref="A2:AO2"/>
    <mergeCell ref="A4:T4"/>
    <mergeCell ref="AH4:AO4"/>
    <mergeCell ref="A1:AO1"/>
    <mergeCell ref="U4:AG4"/>
    <mergeCell ref="A3:F3"/>
    <mergeCell ref="G3:H3"/>
  </mergeCells>
  <conditionalFormatting sqref="A6:A505">
    <cfRule type="expression" priority="1" dxfId="1" stopIfTrue="1">
      <formula>AND($A6&lt;&gt;"",COUNTIF($A$6:$A$505,$A6)&gt;1)</formula>
    </cfRule>
  </conditionalFormatting>
  <conditionalFormatting sqref="J6:J505">
    <cfRule type="expression" priority="2" dxfId="1" stopIfTrue="0">
      <formula>$J6="Khẩn cấp"</formula>
    </cfRule>
    <cfRule type="expression" priority="3" dxfId="2" stopIfTrue="0">
      <formula>$J6="Cao"</formula>
    </cfRule>
    <cfRule type="expression" priority="4" dxfId="23" stopIfTrue="0">
      <formula>$J6="Trung bình"</formula>
    </cfRule>
    <cfRule type="expression" priority="5" dxfId="24" stopIfTrue="0">
      <formula>$J6="Thấp"</formula>
    </cfRule>
  </conditionalFormatting>
  <conditionalFormatting sqref="V6:V505">
    <cfRule type="expression" priority="6" dxfId="25" stopIfTrue="0">
      <formula>V6="Mới tiếp nhận"</formula>
    </cfRule>
    <cfRule type="expression" priority="7" dxfId="26" stopIfTrue="0">
      <formula>V6="Đang xử lý"</formula>
    </cfRule>
    <cfRule type="expression" priority="8" dxfId="27" stopIfTrue="0">
      <formula>V6="Chờ nhà thầu"</formula>
    </cfRule>
    <cfRule type="expression" priority="9" dxfId="20" stopIfTrue="0">
      <formula>V6="Đã xử lý"</formula>
    </cfRule>
  </conditionalFormatting>
  <conditionalFormatting sqref="W6:W505">
    <cfRule type="dataBar" priority="10">
      <dataBar showValue="1">
        <cfvo type="num" val="0"/>
        <cfvo type="num" val="1"/>
        <color rgb="003FA36B"/>
      </dataBar>
    </cfRule>
  </conditionalFormatting>
  <conditionalFormatting sqref="Y6:Y505">
    <cfRule type="expression" priority="11" dxfId="0" stopIfTrue="0">
      <formula>Y6="Báo động đỏ"</formula>
    </cfRule>
    <cfRule type="expression" priority="12" dxfId="1" stopIfTrue="0">
      <formula>Y6="Báo động"</formula>
    </cfRule>
    <cfRule type="expression" priority="13" dxfId="2" stopIfTrue="0">
      <formula>Y6="Cảnh báo"</formula>
    </cfRule>
    <cfRule type="expression" priority="14" dxfId="14" stopIfTrue="0">
      <formula>Y6="Nhắc nhở"</formula>
    </cfRule>
    <cfRule type="expression" priority="15" dxfId="1" stopIfTrue="0">
      <formula>Y6="Quá hạn"</formula>
    </cfRule>
    <cfRule type="expression" priority="16" dxfId="15" stopIfTrue="0">
      <formula>Y6="Chậm tiến độ"</formula>
    </cfRule>
    <cfRule type="expression" priority="17" dxfId="16" stopIfTrue="0">
      <formula>Y6="Đúng tiến độ"</formula>
    </cfRule>
    <cfRule type="expression" priority="18" dxfId="11" stopIfTrue="0">
      <formula>Y6="Đến hạn hôm nay"</formula>
    </cfRule>
    <cfRule type="expression" priority="19" dxfId="17" stopIfTrue="0">
      <formula>Y6="Sắp đến hạn"</formula>
    </cfRule>
    <cfRule type="expression" priority="20" dxfId="18" stopIfTrue="0">
      <formula>Y6="Hoàn thành"</formula>
    </cfRule>
    <cfRule type="expression" priority="21" dxfId="19" stopIfTrue="0">
      <formula>Y6="Theo lịch"</formula>
    </cfRule>
    <cfRule type="expression" priority="22" dxfId="19" stopIfTrue="0">
      <formula>Y6="Chưa đặt hạn"</formula>
    </cfRule>
  </conditionalFormatting>
  <conditionalFormatting sqref="AD6:AD505">
    <cfRule type="expression" priority="23" dxfId="0" stopIfTrue="0">
      <formula>$AO6=4</formula>
    </cfRule>
    <cfRule type="expression" priority="24" dxfId="1" stopIfTrue="0">
      <formula>$AO6=3</formula>
    </cfRule>
    <cfRule type="expression" priority="25" dxfId="2" stopIfTrue="0">
      <formula>$AO6=2</formula>
    </cfRule>
    <cfRule type="expression" priority="26" dxfId="14" stopIfTrue="0">
      <formula>$AO6=1</formula>
    </cfRule>
  </conditionalFormatting>
  <conditionalFormatting sqref="A6:T505">
    <cfRule type="expression" priority="27" dxfId="28" stopIfTrue="0">
      <formula>$AO6=4</formula>
    </cfRule>
    <cfRule type="expression" priority="28" dxfId="29" stopIfTrue="0">
      <formula>$AO6=3</formula>
    </cfRule>
    <cfRule type="expression" priority="29" dxfId="30" stopIfTrue="0">
      <formula>$AO6=2</formula>
    </cfRule>
    <cfRule type="expression" priority="30" dxfId="31" stopIfTrue="0">
      <formula>$AO6=1</formula>
    </cfRule>
  </conditionalFormatting>
  <conditionalFormatting sqref="Z6:Z505">
    <cfRule type="expression" priority="31" dxfId="6" stopIfTrue="0">
      <formula>LEFT($Z6,3)="Quá"</formula>
    </cfRule>
  </conditionalFormatting>
  <conditionalFormatting sqref="AC6:AC505">
    <cfRule type="expression" priority="32" dxfId="21" stopIfTrue="0">
      <formula>OR(LEFT($AC6,4)="Vượt",LEFT($AC6,7)="Đã vượt")</formula>
    </cfRule>
    <cfRule type="expression" priority="33" dxfId="18" stopIfTrue="0">
      <formula>$AC6="Trong ước tính"</formula>
    </cfRule>
  </conditionalFormatting>
  <conditionalFormatting sqref="AE6:AE505">
    <cfRule type="expression" priority="34" dxfId="18" stopIfTrue="0">
      <formula>$AE6="Đúng hạn"</formula>
    </cfRule>
    <cfRule type="expression" priority="35" dxfId="21" stopIfTrue="0">
      <formula>$AE6="Trễ hạn"</formula>
    </cfRule>
  </conditionalFormatting>
  <conditionalFormatting sqref="P6:P505">
    <cfRule type="expression" priority="36" dxfId="32" stopIfTrue="0">
      <formula>AND(N($O6)&gt;0,$P6="")</formula>
    </cfRule>
  </conditionalFormatting>
  <dataValidations count="14">
    <dataValidation sqref="B6:B505" showDropDown="0" showInputMessage="1" showErrorMessage="0" allowBlank="1" errorTitle="Kiểm tra dữ liệu" error="Nhập ngày giờ dạng dd/mm/yyyy hh:mm." promptTitle="Ngày và giờ" prompt="Ngày giờ dạng dd/mm/yyyy hh:mm, ví dụ 24/09/2026 14:30. Phím tắt: Ctrl+; (ngày), dấu cách, Ctrl+Shift+; (giờ)." type="decimal" operator="greaterThan">
      <formula1>36526</formula1>
    </dataValidation>
    <dataValidation sqref="D6:D505" showDropDown="0" showInputMessage="0" showErrorMessage="0" allowBlank="1" errorTitle="Kiểm tra dữ liệu" error="Giá trị chưa hợp lệ, vui lòng chọn trong danh sách hoặc nhập đúng định dạng." type="list">
      <formula1>=DM_Kenh</formula1>
    </dataValidation>
    <dataValidation sqref="F6:F505" showDropDown="0" showInputMessage="0" showErrorMessage="1" allowBlank="1" errorTitle="Kiểm tra dữ liệu" error="Giá trị chưa hợp lệ, vui lòng chọn trong danh sách hoặc nhập đúng định dạng." type="list">
      <formula1>=DM_ViTri</formula1>
    </dataValidation>
    <dataValidation sqref="G6:G505" showDropDown="0" showInputMessage="0" showErrorMessage="1" allowBlank="1" errorTitle="Kiểm tra dữ liệu" error="Giá trị chưa hợp lệ, vui lòng chọn trong danh sách hoặc nhập đúng định dạng." type="list">
      <formula1>=DM_Tang</formula1>
    </dataValidation>
    <dataValidation sqref="I6:I505" showDropDown="0" showInputMessage="0" showErrorMessage="1" allowBlank="1" errorTitle="Kiểm tra dữ liệu" error="Giá trị chưa hợp lệ, vui lòng chọn trong danh sách hoặc nhập đúng định dạng." type="list">
      <formula1>=DM_PhanLoai</formula1>
    </dataValidation>
    <dataValidation sqref="J6:J505" showDropDown="0" showInputMessage="0" showErrorMessage="1" allowBlank="1" errorTitle="Kiểm tra dữ liệu" error="Giá trị chưa hợp lệ, vui lòng chọn trong danh sách hoặc nhập đúng định dạng." type="list">
      <formula1>=DM_CapDo</formula1>
    </dataValidation>
    <dataValidation sqref="K6:K505" showDropDown="0" showInputMessage="0" showErrorMessage="0" allowBlank="1" errorTitle="Kiểm tra dữ liệu" error="Giá trị chưa hợp lệ, vui lòng chọn trong danh sách hoặc nhập đúng định dạng." type="list">
      <formula1>=DM_PhuTrach</formula1>
    </dataValidation>
    <dataValidation sqref="L6:L505" showDropDown="0" showInputMessage="0" showErrorMessage="0" allowBlank="1" errorTitle="Kiểm tra dữ liệu" error="Giá trị chưa hợp lệ, vui lòng chọn trong danh sách hoặc nhập đúng định dạng." type="list">
      <formula1>=DM_ThucHien</formula1>
    </dataValidation>
    <dataValidation sqref="M6:M505" showDropDown="0" showInputMessage="0" showErrorMessage="0" allowBlank="1" errorTitle="Kiểm tra dữ liệu" error="Giá trị chưa hợp lệ, vui lòng chọn trong danh sách hoặc nhập đúng định dạng." type="list">
      <formula1>=DM_DonVi</formula1>
    </dataValidation>
    <dataValidation sqref="N6:N505" showDropDown="0" showInputMessage="0" showErrorMessage="0" allowBlank="1" errorTitle="Kiểm tra dữ liệu" error="Giá trị chưa hợp lệ, vui lòng chọn trong danh sách hoặc nhập đúng định dạng." type="list">
      <formula1>=DM_TVBQT</formula1>
    </dataValidation>
    <dataValidation sqref="O6:O505" showDropDown="0" showInputMessage="0" showErrorMessage="0" allowBlank="1" errorTitle="Kiểm tra dữ liệu" error="Nhập một số không âm." type="decimal" operator="greaterThanOrEqual">
      <formula1>0</formula1>
    </dataValidation>
    <dataValidation sqref="P6:P505" showDropDown="0" showInputMessage="0" showErrorMessage="1" allowBlank="1" errorTitle="Kiểm tra dữ liệu" error="Giá trị chưa hợp lệ, vui lòng chọn trong danh sách hoặc nhập đúng định dạng." type="list">
      <formula1>=DM_DonViTG</formula1>
    </dataValidation>
    <dataValidation sqref="Q6:Q505" showDropDown="0" showInputMessage="1" showErrorMessage="0" allowBlank="1" errorTitle="Kiểm tra dữ liệu" error="Nhập ngày giờ dạng dd/mm/yyyy hh:mm." promptTitle="Ngày và giờ" prompt="Ngày giờ dạng dd/mm/yyyy hh:mm, ví dụ 24/09/2026 14:30. Phím tắt: Ctrl+; (ngày), dấu cách, Ctrl+Shift+; (giờ)." type="decimal" operator="greaterThan">
      <formula1>36526</formula1>
    </dataValidation>
    <dataValidation sqref="R6:R505" showDropDown="0" showInputMessage="0" showErrorMessage="0" allowBlank="1" errorTitle="Kiểm tra dữ liệu" error="Giá trị chưa hợp lệ, vui lòng chọn trong danh sách hoặc nhập đúng định dạng." type="whole" operator="between">
      <formula1>1</formula1>
      <formula2>5</formula2>
    </dataValidation>
  </dataValidations>
  <pageMargins left="0.75" right="0.75" top="1" bottom="1" header="0.5" footer="0.5"/>
  <pageSetup orientation="landscape" paperSize="9" fitToHeight="0" fitToWidth="1"/>
  <legacyDrawing xmlns:r="http://schemas.openxmlformats.org/officeDocument/2006/relationships" r:id="anysvml"/>
</worksheet>
</file>

<file path=xl/worksheets/sheet5.xml><?xml version="1.0" encoding="utf-8"?>
<worksheet xmlns="http://schemas.openxmlformats.org/spreadsheetml/2006/main">
  <sheetPr>
    <tabColor rgb="001C8C84"/>
    <outlinePr summaryBelow="1" summaryRight="1"/>
    <pageSetUpPr fitToPage="1"/>
  </sheetPr>
  <dimension ref="A1:BB305"/>
  <sheetViews>
    <sheetView showGridLines="0" tabSelected="0" zoomScale="10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34" customWidth="1" min="3" max="3"/>
    <col width="17" customWidth="1" min="4" max="4"/>
    <col width="15" customWidth="1" min="5" max="5"/>
    <col width="7" customWidth="1" min="6" max="6"/>
    <col width="15" customWidth="1" min="7" max="7"/>
    <col width="12" customWidth="1" min="8" max="8"/>
    <col width="12" customWidth="1" min="9" max="9"/>
    <col width="15" customWidth="1" min="10" max="10"/>
    <col width="15" customWidth="1" min="11" max="11"/>
    <col width="11" customWidth="1" min="12" max="12"/>
    <col width="11" customWidth="1" min="13" max="13"/>
    <col width="16" customWidth="1" min="14" max="14"/>
    <col width="16" customWidth="1" min="15" max="15"/>
    <col width="16" customWidth="1" min="16" max="16"/>
    <col width="17" customWidth="1" min="17" max="17"/>
    <col width="9" customWidth="1" min="18" max="18"/>
    <col width="8" customWidth="1" min="19" max="19"/>
    <col width="13" customWidth="1" min="20" max="20"/>
    <col width="13" customWidth="1" min="21" max="21"/>
    <col width="15" customWidth="1" min="22" max="22"/>
    <col width="24" customWidth="1" min="23" max="23"/>
    <col width="15" customWidth="1" min="24" max="24"/>
    <col width="15" customWidth="1" min="25" max="25"/>
    <col width="12" customWidth="1" min="26" max="26"/>
    <col width="14" customWidth="1" min="27" max="27"/>
    <col width="10" customWidth="1" min="28" max="28"/>
    <col width="10" customWidth="1" min="29" max="29"/>
    <col width="14" customWidth="1" min="30" max="30"/>
    <col width="14" customWidth="1" min="31" max="31"/>
    <col width="14" customWidth="1" min="32" max="32"/>
    <col width="12" customWidth="1" min="33" max="33"/>
    <col width="10" customWidth="1" min="34" max="34"/>
    <col width="15" customWidth="1" min="35" max="35"/>
    <col hidden="1" outlineLevel="1" width="8" customWidth="1" min="36" max="54"/>
  </cols>
  <sheetData>
    <row r="1" ht="34" customHeight="1">
      <c r="A1" s="183" t="inlineStr">
        <is>
          <t>KẾ HOẠCH BẢO TRÌ, VỆ SINH, CẢNH QUAN</t>
        </is>
      </c>
    </row>
    <row r="2" ht="20" customHeight="1">
      <c r="A2" s="226" t="inlineStr">
        <is>
          <t>Việc định kỳ lặp theo tần suất và việc đột xuất phát sinh. Tiến độ lấy tự động từ tab Nhật ký tiến độ.</t>
        </is>
      </c>
      <c r="B2" s="227" t="n"/>
      <c r="C2" s="227" t="n"/>
      <c r="D2" s="227" t="n"/>
      <c r="E2" s="227" t="n"/>
      <c r="F2" s="227" t="n"/>
      <c r="G2" s="227" t="n"/>
      <c r="H2" s="227" t="n"/>
      <c r="I2" s="227" t="n"/>
      <c r="J2" s="227" t="n"/>
      <c r="K2" s="227" t="n"/>
      <c r="L2" s="227" t="n"/>
      <c r="M2" s="227" t="n"/>
      <c r="N2" s="227" t="n"/>
      <c r="O2" s="227" t="n"/>
      <c r="P2" s="227" t="n"/>
      <c r="Q2" s="227" t="n"/>
      <c r="R2" s="227" t="n"/>
      <c r="S2" s="227" t="n"/>
      <c r="T2" s="227" t="n"/>
      <c r="U2" s="227" t="n"/>
      <c r="V2" s="227" t="n"/>
      <c r="W2" s="227" t="n"/>
      <c r="X2" s="227" t="n"/>
      <c r="Y2" s="227" t="n"/>
      <c r="Z2" s="227" t="n"/>
      <c r="AA2" s="227" t="n"/>
      <c r="AB2" s="227" t="n"/>
      <c r="AC2" s="227" t="n"/>
      <c r="AD2" s="227" t="n"/>
      <c r="AE2" s="227" t="n"/>
      <c r="AF2" s="227" t="n"/>
      <c r="AG2" s="227" t="n"/>
      <c r="AH2" s="227" t="n"/>
      <c r="AI2" s="227" t="n"/>
      <c r="AJ2" s="227" t="n"/>
      <c r="AK2" s="227" t="n"/>
      <c r="AL2" s="227" t="n"/>
      <c r="AM2" s="227" t="n"/>
      <c r="AN2" s="227" t="n"/>
      <c r="AO2" s="227" t="n"/>
      <c r="AP2" s="227" t="n"/>
      <c r="AQ2" s="227" t="n"/>
      <c r="AR2" s="227" t="n"/>
      <c r="AS2" s="227" t="n"/>
      <c r="AT2" s="227" t="n"/>
      <c r="AU2" s="227" t="n"/>
      <c r="AV2" s="227" t="n"/>
      <c r="AW2" s="227" t="n"/>
      <c r="AX2" s="227" t="n"/>
      <c r="AY2" s="227" t="n"/>
      <c r="AZ2" s="227" t="n"/>
      <c r="BA2" s="227" t="n"/>
      <c r="BB2" s="227" t="n"/>
    </row>
    <row r="3" ht="22" customHeight="1">
      <c r="A3" s="204" t="inlineStr">
        <is>
          <t>Ô nền trắng: nhập liệu. Cột tiêu đề xám: tự tính, không sửa.</t>
        </is>
      </c>
      <c r="G3" s="205" t="inlineStr">
        <is>
          <t>Mã gợi ý tiếp theo</t>
        </is>
      </c>
      <c r="I3" s="228">
        <f>"CV-"&amp;TEXT(COUNTIF($A$6:$A$305,"?*")+1,"000")</f>
      </c>
    </row>
    <row r="4" ht="18" customHeight="1">
      <c r="A4" s="229" t="inlineStr">
        <is>
          <t>THÔNG TIN NHẬP</t>
        </is>
      </c>
      <c r="B4" s="230" t="n"/>
      <c r="C4" s="230" t="n"/>
      <c r="D4" s="230" t="n"/>
      <c r="E4" s="230" t="n"/>
      <c r="F4" s="230" t="n"/>
      <c r="G4" s="230" t="n"/>
      <c r="H4" s="230" t="n"/>
      <c r="I4" s="230" t="n"/>
      <c r="J4" s="230" t="n"/>
      <c r="K4" s="230" t="n"/>
      <c r="L4" s="230" t="n"/>
      <c r="M4" s="230" t="n"/>
      <c r="N4" s="230" t="n"/>
      <c r="O4" s="230" t="n"/>
      <c r="P4" s="230" t="n"/>
      <c r="Q4" s="230" t="n"/>
      <c r="R4" s="230" t="n"/>
      <c r="S4" s="230" t="n"/>
      <c r="T4" s="230" t="n"/>
      <c r="U4" s="230" t="n"/>
      <c r="V4" s="230" t="n"/>
      <c r="W4" s="230" t="n"/>
      <c r="X4" s="209" t="inlineStr">
        <is>
          <t>TỰ ĐỘNG TÍNH, KHÔNG SỬA</t>
        </is>
      </c>
      <c r="Y4" s="210" t="n"/>
      <c r="Z4" s="210" t="n"/>
      <c r="AA4" s="210" t="n"/>
      <c r="AB4" s="210" t="n"/>
      <c r="AC4" s="210" t="n"/>
      <c r="AD4" s="210" t="n"/>
      <c r="AE4" s="210" t="n"/>
      <c r="AF4" s="210" t="n"/>
      <c r="AG4" s="210" t="n"/>
      <c r="AH4" s="210" t="n"/>
      <c r="AI4" s="210" t="n"/>
      <c r="AJ4" s="211" t="inlineStr">
        <is>
          <t>CỘT KỸ THUẬT</t>
        </is>
      </c>
      <c r="AK4" s="212" t="n"/>
      <c r="AL4" s="212" t="n"/>
      <c r="AM4" s="212" t="n"/>
      <c r="AN4" s="212" t="n"/>
      <c r="AO4" s="212" t="n"/>
      <c r="AP4" s="212" t="n"/>
      <c r="AQ4" s="212" t="n"/>
      <c r="AR4" s="212" t="n"/>
      <c r="AS4" s="212" t="n"/>
      <c r="AT4" s="212" t="n"/>
      <c r="AU4" s="212" t="n"/>
      <c r="AV4" s="212" t="n"/>
      <c r="AW4" s="212" t="n"/>
      <c r="AX4" s="212" t="n"/>
      <c r="AY4" s="212" t="n"/>
      <c r="AZ4" s="212" t="n"/>
      <c r="BA4" s="212" t="n"/>
      <c r="BB4" s="212" t="n"/>
    </row>
    <row r="5" ht="40" customHeight="1">
      <c r="A5" s="213" t="inlineStr">
        <is>
          <t>Mã</t>
        </is>
      </c>
      <c r="B5" s="213" t="inlineStr">
        <is>
          <t>Loại</t>
        </is>
      </c>
      <c r="C5" s="213" t="inlineStr">
        <is>
          <t>Tên công việc</t>
        </is>
      </c>
      <c r="D5" s="213" t="inlineStr">
        <is>
          <t>Nhóm việc</t>
        </is>
      </c>
      <c r="E5" s="213" t="inlineStr">
        <is>
          <t>Vị trí</t>
        </is>
      </c>
      <c r="F5" s="213" t="inlineStr">
        <is>
          <t>Tầng</t>
        </is>
      </c>
      <c r="G5" s="213" t="inlineStr">
        <is>
          <t>Chi tiết vị trí</t>
        </is>
      </c>
      <c r="H5" s="213" t="inlineStr">
        <is>
          <t>Tần suất (định kỳ)</t>
        </is>
      </c>
      <c r="I5" s="213" t="inlineStr">
        <is>
          <t>Ngày bắt đầu lịch (định kỳ)</t>
        </is>
      </c>
      <c r="J5" s="213" t="inlineStr">
        <is>
          <t>Thời điểm ghi nhận (đột xuất)</t>
        </is>
      </c>
      <c r="K5" s="213" t="inlineStr">
        <is>
          <t>Deadline (đột xuất)</t>
        </is>
      </c>
      <c r="L5" s="213" t="inlineStr">
        <is>
          <t>Mức ưu tiên</t>
        </is>
      </c>
      <c r="M5" s="213" t="inlineStr">
        <is>
          <t>Liên quan phản ánh</t>
        </is>
      </c>
      <c r="N5" s="213" t="inlineStr">
        <is>
          <t>Người phụ trách</t>
        </is>
      </c>
      <c r="O5" s="213" t="inlineStr">
        <is>
          <t>Người thực hiện trực tiếp</t>
        </is>
      </c>
      <c r="P5" s="213" t="inlineStr">
        <is>
          <t>Đơn vị thực hiện</t>
        </is>
      </c>
      <c r="Q5" s="213" t="inlineStr">
        <is>
          <t>TV BQT giám sát</t>
        </is>
      </c>
      <c r="R5" s="213" t="inlineStr">
        <is>
          <t>Thời gian ước tính</t>
        </is>
      </c>
      <c r="S5" s="213" t="inlineStr">
        <is>
          <t>Đơn vị (Giờ, Ngày)</t>
        </is>
      </c>
      <c r="T5" s="213" t="inlineStr">
        <is>
          <t>Dự toán (đồng)</t>
        </is>
      </c>
      <c r="U5" s="213" t="inlineStr">
        <is>
          <t>Chi phí thực tế (đồng)</t>
        </is>
      </c>
      <c r="V5" s="213" t="inlineStr">
        <is>
          <t>Link ảnh, hồ sơ</t>
        </is>
      </c>
      <c r="W5" s="213" t="inlineStr">
        <is>
          <t>Ghi chú</t>
        </is>
      </c>
      <c r="X5" s="214" t="inlineStr">
        <is>
          <t>Lần hoàn thành gần nhất</t>
        </is>
      </c>
      <c r="Y5" s="214" t="inlineStr">
        <is>
          <t>Deadline hoặc kỳ tới</t>
        </is>
      </c>
      <c r="Z5" s="214" t="inlineStr">
        <is>
          <t>Còn lại hoặc quá hạn</t>
        </is>
      </c>
      <c r="AA5" s="214" t="inlineStr">
        <is>
          <t>Trạng thái</t>
        </is>
      </c>
      <c r="AB5" s="214" t="inlineStr">
        <is>
          <t>Tiến độ (kỳ này)</t>
        </is>
      </c>
      <c r="AC5" s="214" t="inlineStr">
        <is>
          <t>Kế hoạch đến nay</t>
        </is>
      </c>
      <c r="AD5" s="214" t="inlineStr">
        <is>
          <t>Đánh giá tiến độ</t>
        </is>
      </c>
      <c r="AE5" s="214" t="inlineStr">
        <is>
          <t>Thời gian thực tế</t>
        </is>
      </c>
      <c r="AF5" s="214" t="inlineStr">
        <is>
          <t>So với ước tính</t>
        </is>
      </c>
      <c r="AG5" s="214" t="inlineStr">
        <is>
          <t>Mức báo động</t>
        </is>
      </c>
      <c r="AH5" s="214" t="inlineStr">
        <is>
          <t>Đúng deadline</t>
        </is>
      </c>
      <c r="AI5" s="214" t="inlineStr">
        <is>
          <t>Cập nhật gần nhất</t>
        </is>
      </c>
      <c r="AJ5" s="215" t="inlineStr">
        <is>
          <t>Số ngày mỗi kỳ</t>
        </is>
      </c>
      <c r="AK5" s="215" t="inlineStr">
        <is>
          <t>Số tháng mỗi kỳ</t>
        </is>
      </c>
      <c r="AL5" s="215" t="inlineStr">
        <is>
          <t>Chỉ số kỳ đã xong</t>
        </is>
      </c>
      <c r="AM5" s="215" t="inlineStr">
        <is>
          <t>Dòng nhật ký cuối</t>
        </is>
      </c>
      <c r="AN5" s="215" t="inlineStr">
        <is>
          <t>Trạng thái nhật ký cuối</t>
        </is>
      </c>
      <c r="AO5" s="215" t="inlineStr">
        <is>
          <t>Chưa xong</t>
        </is>
      </c>
      <c r="AP5" s="215" t="inlineStr">
        <is>
          <t>Hạn (ngày)</t>
        </is>
      </c>
      <c r="AQ5" s="215" t="inlineStr">
        <is>
          <t>Lặp theo ngày</t>
        </is>
      </c>
      <c r="AR5" s="215" t="inlineStr">
        <is>
          <t>Việc hằng ngày</t>
        </is>
      </c>
      <c r="AS5" s="215" t="inlineStr">
        <is>
          <t>Mức chú ý</t>
        </is>
      </c>
      <c r="AT5" s="215" t="inlineStr">
        <is>
          <t>Khóa sắp xếp</t>
        </is>
      </c>
      <c r="AU5" s="215" t="inlineStr">
        <is>
          <t>Ước tính (giờ)</t>
        </is>
      </c>
      <c r="AV5" s="215" t="inlineStr">
        <is>
          <t>Thực tế (giờ)</t>
        </is>
      </c>
      <c r="AW5" s="215" t="inlineStr">
        <is>
          <t>Deadline (số)</t>
        </is>
      </c>
      <c r="AX5" s="215" t="inlineStr">
        <is>
          <t>Kỳ tới (định kỳ)</t>
        </is>
      </c>
      <c r="AY5" s="215" t="inlineStr">
        <is>
          <t>Deadline đột xuất</t>
        </is>
      </c>
      <c r="AZ5" s="215" t="inlineStr">
        <is>
          <t>Người phụ trách mới</t>
        </is>
      </c>
      <c r="BA5" s="215" t="inlineStr">
        <is>
          <t>Thứ tự người phụ trách</t>
        </is>
      </c>
      <c r="BB5" s="215" t="inlineStr">
        <is>
          <t>Mức báo động (số)</t>
        </is>
      </c>
    </row>
    <row r="6">
      <c r="A6" s="216"/>
      <c r="B6" s="216"/>
      <c r="C6" s="218"/>
      <c r="D6" s="218"/>
      <c r="E6" s="218"/>
      <c r="F6" s="216"/>
      <c r="G6" s="218"/>
      <c r="H6" s="218"/>
      <c r="I6" s="231"/>
      <c r="J6" s="217"/>
      <c r="K6" s="217"/>
      <c r="L6" s="216"/>
      <c r="M6" s="216"/>
      <c r="N6" s="218"/>
      <c r="O6" s="218"/>
      <c r="P6" s="218"/>
      <c r="Q6" s="218"/>
      <c r="R6" s="219"/>
      <c r="S6" s="216"/>
      <c r="T6" s="232"/>
      <c r="U6" s="232"/>
      <c r="V6" s="218"/>
      <c r="W6" s="218"/>
      <c r="X6" s="220">
        <f>IF($A6="","",IF(OR($B6="Định kỳ",$AA6="Hoàn thành"),MAX(_xlfn.MAXIFS('Nhật ký tiến độ'!$B$6:$B$3005,'Nhật ký tiến độ'!$C$6:$C$3005,$A6,'Nhật ký tiến độ'!$E$6:$E$3005,"Hoàn thành kỳ"),_xlfn.MAXIFS('Nhật ký tiến độ'!$B$6:$B$3005,'Nhật ký tiến độ'!$C$6:$C$3005,$A6,'Nhật ký tiến độ'!$E$6:$E$3005,"Hoàn thành")),0))</f>
      </c>
      <c r="Y6" s="220">
        <f>IF($A6="","",IF($B6="Đột xuất",IF($AY6=0,"",$AY6),IF($AX6=0,"",$AX6)))</f>
      </c>
      <c r="Z6" s="223">
        <f>IF(OR($AO6=0,$AW6=0),"",IF(TDBC&gt;$AW6,"Quá "&amp;IF($B6="Định kỳ",(NgayBC-$AP6)&amp;" ngày",IF(((TDBC-$AW6)*24)&lt;1,MAX(1,ROUND(((TDBC-$AW6)*24)*60,0))&amp;" phút",IF(ROUND(((TDBC-$AW6)*24),0)&lt;24,ROUND(((TDBC-$AW6)*24),0)&amp;" giờ",INT(ROUND(((TDBC-$AW6)*24),0)/24)&amp;" ngày"&amp;IF(MOD(ROUND(((TDBC-$AW6)*24),0),24)&gt;0," "&amp;MOD(ROUND(((TDBC-$AW6)*24),0),24)&amp;" giờ","")))),IF($B6="Định kỳ",IF($AP6=NgayBC,"Hôm nay","Còn "&amp;($AP6-NgayBC)&amp;" ngày"),"Còn "&amp;IF((($AW6-TDBC)*24)&lt;1,MAX(1,ROUND((($AW6-TDBC)*24)*60,0))&amp;" phút",IF(ROUND((($AW6-TDBC)*24),0)&lt;24,ROUND((($AW6-TDBC)*24),0)&amp;" giờ",INT(ROUND((($AW6-TDBC)*24),0)/24)&amp;" ngày"&amp;IF(MOD(ROUND((($AW6-TDBC)*24),0),24)&gt;0," "&amp;MOD(ROUND((($AW6-TDBC)*24),0),24)&amp;" giờ",""))))))</f>
      </c>
      <c r="AA6" s="221">
        <f>IF($A6="","",IF(N($AM6)=0,"Chưa bắt đầu",IF(OR($AN6="Hoàn thành kỳ",$AN6="Hoàn thành"),IF($B6="Định kỳ","Chưa bắt đầu","Hoàn thành"),$AN6)))</f>
      </c>
      <c r="AB6" s="222">
        <f>IF($A6="","",IF($AA6="Hoàn thành",1,IF(OR(N($AM6)=0,$AN6="Hoàn thành kỳ",$AN6="Hoàn thành"),0,N(INDEX('Nhật ký tiến độ'!$D:$D,$AM6)))))</f>
      </c>
      <c r="AC6" s="222">
        <f>IF(OR($A6="",$B6&lt;&gt;"Đột xuất",$AA6="Hoàn thành",N($J6)=0,$AW6=0),"",IF(TDBC&lt;=$J6,0,IF(TDBC&gt;=$AW6,1,(TDBC-$J6)/($AW6-$J6))))</f>
      </c>
      <c r="AD6" s="223">
        <f>IF($A6="","",IF($AA6="Hoàn thành","Hoàn thành",IF($AW6=0,"Chưa đặt hạn",IF(TDBC&gt;$AW6,"Quá hạn",IF(AND($B6="Đột xuất",ROUND((N($AC6)-$AB6)*100,0)&gt;=20),"Chậm tiến độ",IF($AP6=NgayBC,"Đến hạn hôm nay",IF($B6="Đột xuất",IF($AW6-TDBC&lt;=1,"Sắp đến hạn","Đúng tiến độ"),IF($AP6-NgayBC&lt;=3,"Sắp đến hạn","Theo lịch"))))))))</f>
      </c>
      <c r="AE6" s="223">
        <f>IF($AV6="","",IF($B6="Định kỳ","Bình quân "&amp;IF($AV6&lt;1,MAX(1,ROUND($AV6*60,0))&amp;" phút",IF(ROUND($AV6,0)&lt;24,ROUND($AV6,0)&amp;" giờ",INT(ROUND($AV6,0)/24)&amp;" ngày"&amp;IF(MOD(ROUND($AV6,0),24)&gt;0," "&amp;MOD(ROUND($AV6,0),24)&amp;" giờ","")))&amp;" mỗi kỳ",IF($AV6&lt;1,MAX(1,ROUND($AV6*60,0))&amp;" phút",IF(ROUND($AV6,0)&lt;24,ROUND($AV6,0)&amp;" giờ",INT(ROUND($AV6,0)/24)&amp;" ngày"&amp;IF(MOD(ROUND($AV6,0),24)&gt;0," "&amp;MOD(ROUND($AV6,0),24)&amp;" giờ","")))))</f>
      </c>
      <c r="AF6" s="223">
        <f>IF(OR($A6="",N($AU6)=0),"",IF($AV6&lt;&gt;"",IF($AV6&lt;=$AU6,"Trong ước tính","Vượt "&amp;IF(($AV6-$AU6)&lt;1,MAX(1,ROUND(($AV6-$AU6)*60,0))&amp;" phút",IF(ROUND(($AV6-$AU6),0)&lt;24,ROUND(($AV6-$AU6),0)&amp;" giờ",INT(ROUND(($AV6-$AU6),0)/24)&amp;" ngày"&amp;IF(MOD(ROUND(($AV6-$AU6),0),24)&gt;0," "&amp;MOD(ROUND(($AV6-$AU6),0),24)&amp;" giờ","")))),IF(OR($B6&lt;&gt;"Đột xuất",$AA6="Hoàn thành",N($J6)=0),"",IF((TDBC-$J6)*24&gt;$AU6,"Đã vượt ước tính","Đã dùng "&amp;TEXT((TDBC-$J6)*24/$AU6,"0%")))))</f>
      </c>
      <c r="AG6" s="223">
        <f>IF(N($BB6)=0,"",CHOOSE($BB6,"Nhắc nhở","Cảnh báo","Báo động","Báo động đỏ"))</f>
      </c>
      <c r="AH6" s="223">
        <f>IF(OR($B6&lt;&gt;"Đột xuất",$AA6&lt;&gt;"Hoàn thành",N($X6)=0,$AW6=0),"",IF($X6&lt;=$AW6,"Đúng hạn","Trễ hạn"))</f>
      </c>
      <c r="AI6" s="220">
        <f>IF($A6="","",_xlfn.MAXIFS('Nhật ký tiến độ'!$B$6:$B$3005,'Nhật ký tiến độ'!$C$6:$C$3005,$A6))</f>
      </c>
      <c r="AJ6" s="225">
        <f>IF(OR($A6="",$B6&lt;&gt;"Định kỳ"),0,IFERROR(INDEX(DM_TanSuatNgay,MATCH($H6,DM_TanSuat,0)),0))</f>
      </c>
      <c r="AK6" s="225">
        <f>IF(OR($A6="",$B6&lt;&gt;"Định kỳ"),0,IFERROR(INDEX(DM_TanSuatThang,MATCH($H6,DM_TanSuat,0)),0))</f>
      </c>
      <c r="AL6" s="225">
        <f>IF(OR($A6="",$B6&lt;&gt;"Định kỳ",N($X6)=0,N($I6)=0),"",IF(INT($X6)&lt;$I6,0,IF($AJ6&gt;0,ROUND((INT($X6)-$I6)/$AJ6,0),IF($AK6&gt;0,ROUND((DATEDIF($I6,INT($X6),"m")+(INT($X6)-EDATE($I6,DATEDIF($I6,INT($X6),"m")))/(EDATE($I6,DATEDIF($I6,INT($X6),"m")+1)-EDATE($I6,DATEDIF($I6,INT($X6),"m"))))/$AK6,0),0))))</f>
      </c>
      <c r="AM6" s="225">
        <f>IF($A6="","",IF(COUNTIF('Nhật ký tiến độ'!$C$6:$C$3005,$A6)=0,0,_xlfn.MAXIFS('Nhật ký tiến độ'!$N$6:$N$3005,'Nhật ký tiến độ'!$C$6:$C$3005,$A6,'Nhật ký tiến độ'!$B$6:$B$3005,_xlfn.MAXIFS('Nhật ký tiến độ'!$B$6:$B$3005,'Nhật ký tiến độ'!$C$6:$C$3005,$A6))))</f>
      </c>
      <c r="AN6" s="225">
        <f>IF($A6="","",IF(N($AM6)=0,"",INDEX('Nhật ký tiến độ'!$E:$E,$AM6)))</f>
      </c>
      <c r="AO6" s="225">
        <f>IF($A6="",0,IF($AA6="Hoàn thành",0,1))</f>
      </c>
      <c r="AP6" s="225">
        <f>IF($AO6=0,0,INT(N($AW6)))</f>
      </c>
      <c r="AQ6" s="225">
        <f>IF(AND($AO6=1,$AJ6&gt;1),$AJ6,0)</f>
      </c>
      <c r="AR6" s="225">
        <f>IF(AND($AO6=1,$AJ6=1),1,0)</f>
      </c>
      <c r="AS6" s="225">
        <f>IF(OR($AO6=0,AND($AR6=1,N($BB6)=0)),"",IF(N($BB6)&gt;0,5-$BB6,IF($AD6="Chậm tiến độ",6,IF($AD6="Đến hạn hôm nay",7,IF(AND($AP6&gt;0,$AP6-NgayBC&lt;=7),8,"")))))</f>
      </c>
      <c r="AT6" s="225">
        <f>IF($AS6="","",$AS6*100000+$AP6+ROW()/100000)</f>
      </c>
      <c r="AU6" s="224">
        <f>IF(OR($A6="",N($R6)&lt;=0),"",IF($S6="Ngày",$R6*24,$R6))</f>
      </c>
      <c r="AV6" s="224">
        <f>IF($A6="","",IF($B6="Đột xuất",IF(OR($AA6&lt;&gt;"Hoàn thành",N($X6)=0,N($J6)=0),"",IF($X6&lt;$J6,"",($X6-$J6)*24)),IFERROR(AVERAGEIFS('Nhật ký tiến độ'!$H$6:$H$3005,'Nhật ký tiến độ'!$C$6:$C$3005,$A6,'Nhật ký tiến độ'!$H$6:$H$3005,"&gt;0"),"")))</f>
      </c>
      <c r="AW6" s="233">
        <f>IF($A6="",0,IF($B6="Đột xuất",$AY6,IF($AX6=0,0,$AX6+1-1/1440)))</f>
      </c>
      <c r="AX6" s="234">
        <f>IF(OR($A6="",$B6&lt;&gt;"Định kỳ",N($I6)=0),0,IF($AL6="",$I6,IF($AJ6&gt;0,$I6+($AL6+1)*$AJ6,IF($AK6&gt;0,EDATE($I6,($AL6+1)*$AK6),$I6))))</f>
      </c>
      <c r="AY6" s="233">
        <f>IF(OR($A6="",$B6&lt;&gt;"Đột xuất"),0,IF(N($K6)&gt;0,IF(MOD($K6,1)=0,$K6+1-1/1440,$K6),IF(N($J6)=0,0,$J6+IF(N($AU6)&gt;0,$AU6,IFERROR(INDEX(DM_SLA_Gio,MATCH($L6,DM_SLA_Cap,0)),168))/24)))</f>
      </c>
      <c r="AZ6" s="225">
        <f>IF(OR($A6="",TRIM($N6)="",COUNTIF('Phản ánh'!$K$6:$K$505,$N6)&gt;0,COUNTIF($N$6:$N6,$N6)&gt;1),0,1)</f>
      </c>
      <c r="BA6" s="225">
        <f>IF($AZ6=1,SUM($AZ$6:$AZ6),"")</f>
      </c>
      <c r="BB6" s="225">
        <f>IF(OR($AO6=0,N($AW6)=0),0,IF(TDBC&lt;=$AW6,0,MAX(1,MIN(4,IF((TDBC-$AW6)*24&lt;24,1,IF((TDBC-$AW6)*24&lt;72,2,IF((TDBC-$AW6)*24&lt;168,3,4)))+IF($B6="Đột xuất",IFERROR(INDEX({2,1,0,-1},MATCH($L6,{"Khẩn cấp","Cao","Trung bình","Thấp"},0)),0),IF($D6="PCCC và an ninh",1,0))))))</f>
      </c>
    </row>
    <row r="7">
      <c r="A7" s="216"/>
      <c r="B7" s="216"/>
      <c r="C7" s="218"/>
      <c r="D7" s="218"/>
      <c r="E7" s="218"/>
      <c r="F7" s="216"/>
      <c r="G7" s="218"/>
      <c r="H7" s="218"/>
      <c r="I7" s="231"/>
      <c r="J7" s="217"/>
      <c r="K7" s="217"/>
      <c r="L7" s="216"/>
      <c r="M7" s="216"/>
      <c r="N7" s="218"/>
      <c r="O7" s="218"/>
      <c r="P7" s="218"/>
      <c r="Q7" s="218"/>
      <c r="R7" s="219"/>
      <c r="S7" s="216"/>
      <c r="T7" s="232"/>
      <c r="U7" s="232"/>
      <c r="V7" s="218"/>
      <c r="W7" s="218"/>
      <c r="X7" s="220">
        <f>IF($A7="","",IF(OR($B7="Định kỳ",$AA7="Hoàn thành"),MAX(_xlfn.MAXIFS('Nhật ký tiến độ'!$B$6:$B$3005,'Nhật ký tiến độ'!$C$6:$C$3005,$A7,'Nhật ký tiến độ'!$E$6:$E$3005,"Hoàn thành kỳ"),_xlfn.MAXIFS('Nhật ký tiến độ'!$B$6:$B$3005,'Nhật ký tiến độ'!$C$6:$C$3005,$A7,'Nhật ký tiến độ'!$E$6:$E$3005,"Hoàn thành")),0))</f>
      </c>
      <c r="Y7" s="220">
        <f>IF($A7="","",IF($B7="Đột xuất",IF($AY7=0,"",$AY7),IF($AX7=0,"",$AX7)))</f>
      </c>
      <c r="Z7" s="223">
        <f>IF(OR($AO7=0,$AW7=0),"",IF(TDBC&gt;$AW7,"Quá "&amp;IF($B7="Định kỳ",(NgayBC-$AP7)&amp;" ngày",IF(((TDBC-$AW7)*24)&lt;1,MAX(1,ROUND(((TDBC-$AW7)*24)*60,0))&amp;" phút",IF(ROUND(((TDBC-$AW7)*24),0)&lt;24,ROUND(((TDBC-$AW7)*24),0)&amp;" giờ",INT(ROUND(((TDBC-$AW7)*24),0)/24)&amp;" ngày"&amp;IF(MOD(ROUND(((TDBC-$AW7)*24),0),24)&gt;0," "&amp;MOD(ROUND(((TDBC-$AW7)*24),0),24)&amp;" giờ","")))),IF($B7="Định kỳ",IF($AP7=NgayBC,"Hôm nay","Còn "&amp;($AP7-NgayBC)&amp;" ngày"),"Còn "&amp;IF((($AW7-TDBC)*24)&lt;1,MAX(1,ROUND((($AW7-TDBC)*24)*60,0))&amp;" phút",IF(ROUND((($AW7-TDBC)*24),0)&lt;24,ROUND((($AW7-TDBC)*24),0)&amp;" giờ",INT(ROUND((($AW7-TDBC)*24),0)/24)&amp;" ngày"&amp;IF(MOD(ROUND((($AW7-TDBC)*24),0),24)&gt;0," "&amp;MOD(ROUND((($AW7-TDBC)*24),0),24)&amp;" giờ",""))))))</f>
      </c>
      <c r="AA7" s="221">
        <f>IF($A7="","",IF(N($AM7)=0,"Chưa bắt đầu",IF(OR($AN7="Hoàn thành kỳ",$AN7="Hoàn thành"),IF($B7="Định kỳ","Chưa bắt đầu","Hoàn thành"),$AN7)))</f>
      </c>
      <c r="AB7" s="222">
        <f>IF($A7="","",IF($AA7="Hoàn thành",1,IF(OR(N($AM7)=0,$AN7="Hoàn thành kỳ",$AN7="Hoàn thành"),0,N(INDEX('Nhật ký tiến độ'!$D:$D,$AM7)))))</f>
      </c>
      <c r="AC7" s="222">
        <f>IF(OR($A7="",$B7&lt;&gt;"Đột xuất",$AA7="Hoàn thành",N($J7)=0,$AW7=0),"",IF(TDBC&lt;=$J7,0,IF(TDBC&gt;=$AW7,1,(TDBC-$J7)/($AW7-$J7))))</f>
      </c>
      <c r="AD7" s="223">
        <f>IF($A7="","",IF($AA7="Hoàn thành","Hoàn thành",IF($AW7=0,"Chưa đặt hạn",IF(TDBC&gt;$AW7,"Quá hạn",IF(AND($B7="Đột xuất",ROUND((N($AC7)-$AB7)*100,0)&gt;=20),"Chậm tiến độ",IF($AP7=NgayBC,"Đến hạn hôm nay",IF($B7="Đột xuất",IF($AW7-TDBC&lt;=1,"Sắp đến hạn","Đúng tiến độ"),IF($AP7-NgayBC&lt;=3,"Sắp đến hạn","Theo lịch"))))))))</f>
      </c>
      <c r="AE7" s="223">
        <f>IF($AV7="","",IF($B7="Định kỳ","Bình quân "&amp;IF($AV7&lt;1,MAX(1,ROUND($AV7*60,0))&amp;" phút",IF(ROUND($AV7,0)&lt;24,ROUND($AV7,0)&amp;" giờ",INT(ROUND($AV7,0)/24)&amp;" ngày"&amp;IF(MOD(ROUND($AV7,0),24)&gt;0," "&amp;MOD(ROUND($AV7,0),24)&amp;" giờ","")))&amp;" mỗi kỳ",IF($AV7&lt;1,MAX(1,ROUND($AV7*60,0))&amp;" phút",IF(ROUND($AV7,0)&lt;24,ROUND($AV7,0)&amp;" giờ",INT(ROUND($AV7,0)/24)&amp;" ngày"&amp;IF(MOD(ROUND($AV7,0),24)&gt;0," "&amp;MOD(ROUND($AV7,0),24)&amp;" giờ","")))))</f>
      </c>
      <c r="AF7" s="223">
        <f>IF(OR($A7="",N($AU7)=0),"",IF($AV7&lt;&gt;"",IF($AV7&lt;=$AU7,"Trong ước tính","Vượt "&amp;IF(($AV7-$AU7)&lt;1,MAX(1,ROUND(($AV7-$AU7)*60,0))&amp;" phút",IF(ROUND(($AV7-$AU7),0)&lt;24,ROUND(($AV7-$AU7),0)&amp;" giờ",INT(ROUND(($AV7-$AU7),0)/24)&amp;" ngày"&amp;IF(MOD(ROUND(($AV7-$AU7),0),24)&gt;0," "&amp;MOD(ROUND(($AV7-$AU7),0),24)&amp;" giờ","")))),IF(OR($B7&lt;&gt;"Đột xuất",$AA7="Hoàn thành",N($J7)=0),"",IF((TDBC-$J7)*24&gt;$AU7,"Đã vượt ước tính","Đã dùng "&amp;TEXT((TDBC-$J7)*24/$AU7,"0%")))))</f>
      </c>
      <c r="AG7" s="223">
        <f>IF(N($BB7)=0,"",CHOOSE($BB7,"Nhắc nhở","Cảnh báo","Báo động","Báo động đỏ"))</f>
      </c>
      <c r="AH7" s="223">
        <f>IF(OR($B7&lt;&gt;"Đột xuất",$AA7&lt;&gt;"Hoàn thành",N($X7)=0,$AW7=0),"",IF($X7&lt;=$AW7,"Đúng hạn","Trễ hạn"))</f>
      </c>
      <c r="AI7" s="220">
        <f>IF($A7="","",_xlfn.MAXIFS('Nhật ký tiến độ'!$B$6:$B$3005,'Nhật ký tiến độ'!$C$6:$C$3005,$A7))</f>
      </c>
      <c r="AJ7" s="225">
        <f>IF(OR($A7="",$B7&lt;&gt;"Định kỳ"),0,IFERROR(INDEX(DM_TanSuatNgay,MATCH($H7,DM_TanSuat,0)),0))</f>
      </c>
      <c r="AK7" s="225">
        <f>IF(OR($A7="",$B7&lt;&gt;"Định kỳ"),0,IFERROR(INDEX(DM_TanSuatThang,MATCH($H7,DM_TanSuat,0)),0))</f>
      </c>
      <c r="AL7" s="225">
        <f>IF(OR($A7="",$B7&lt;&gt;"Định kỳ",N($X7)=0,N($I7)=0),"",IF(INT($X7)&lt;$I7,0,IF($AJ7&gt;0,ROUND((INT($X7)-$I7)/$AJ7,0),IF($AK7&gt;0,ROUND((DATEDIF($I7,INT($X7),"m")+(INT($X7)-EDATE($I7,DATEDIF($I7,INT($X7),"m")))/(EDATE($I7,DATEDIF($I7,INT($X7),"m")+1)-EDATE($I7,DATEDIF($I7,INT($X7),"m"))))/$AK7,0),0))))</f>
      </c>
      <c r="AM7" s="225">
        <f>IF($A7="","",IF(COUNTIF('Nhật ký tiến độ'!$C$6:$C$3005,$A7)=0,0,_xlfn.MAXIFS('Nhật ký tiến độ'!$N$6:$N$3005,'Nhật ký tiến độ'!$C$6:$C$3005,$A7,'Nhật ký tiến độ'!$B$6:$B$3005,_xlfn.MAXIFS('Nhật ký tiến độ'!$B$6:$B$3005,'Nhật ký tiến độ'!$C$6:$C$3005,$A7))))</f>
      </c>
      <c r="AN7" s="225">
        <f>IF($A7="","",IF(N($AM7)=0,"",INDEX('Nhật ký tiến độ'!$E:$E,$AM7)))</f>
      </c>
      <c r="AO7" s="225">
        <f>IF($A7="",0,IF($AA7="Hoàn thành",0,1))</f>
      </c>
      <c r="AP7" s="225">
        <f>IF($AO7=0,0,INT(N($AW7)))</f>
      </c>
      <c r="AQ7" s="225">
        <f>IF(AND($AO7=1,$AJ7&gt;1),$AJ7,0)</f>
      </c>
      <c r="AR7" s="225">
        <f>IF(AND($AO7=1,$AJ7=1),1,0)</f>
      </c>
      <c r="AS7" s="225">
        <f>IF(OR($AO7=0,AND($AR7=1,N($BB7)=0)),"",IF(N($BB7)&gt;0,5-$BB7,IF($AD7="Chậm tiến độ",6,IF($AD7="Đến hạn hôm nay",7,IF(AND($AP7&gt;0,$AP7-NgayBC&lt;=7),8,"")))))</f>
      </c>
      <c r="AT7" s="225">
        <f>IF($AS7="","",$AS7*100000+$AP7+ROW()/100000)</f>
      </c>
      <c r="AU7" s="224">
        <f>IF(OR($A7="",N($R7)&lt;=0),"",IF($S7="Ngày",$R7*24,$R7))</f>
      </c>
      <c r="AV7" s="224">
        <f>IF($A7="","",IF($B7="Đột xuất",IF(OR($AA7&lt;&gt;"Hoàn thành",N($X7)=0,N($J7)=0),"",IF($X7&lt;$J7,"",($X7-$J7)*24)),IFERROR(AVERAGEIFS('Nhật ký tiến độ'!$H$6:$H$3005,'Nhật ký tiến độ'!$C$6:$C$3005,$A7,'Nhật ký tiến độ'!$H$6:$H$3005,"&gt;0"),"")))</f>
      </c>
      <c r="AW7" s="233">
        <f>IF($A7="",0,IF($B7="Đột xuất",$AY7,IF($AX7=0,0,$AX7+1-1/1440)))</f>
      </c>
      <c r="AX7" s="234">
        <f>IF(OR($A7="",$B7&lt;&gt;"Định kỳ",N($I7)=0),0,IF($AL7="",$I7,IF($AJ7&gt;0,$I7+($AL7+1)*$AJ7,IF($AK7&gt;0,EDATE($I7,($AL7+1)*$AK7),$I7))))</f>
      </c>
      <c r="AY7" s="233">
        <f>IF(OR($A7="",$B7&lt;&gt;"Đột xuất"),0,IF(N($K7)&gt;0,IF(MOD($K7,1)=0,$K7+1-1/1440,$K7),IF(N($J7)=0,0,$J7+IF(N($AU7)&gt;0,$AU7,IFERROR(INDEX(DM_SLA_Gio,MATCH($L7,DM_SLA_Cap,0)),168))/24)))</f>
      </c>
      <c r="AZ7" s="225">
        <f>IF(OR($A7="",TRIM($N7)="",COUNTIF('Phản ánh'!$K$6:$K$505,$N7)&gt;0,COUNTIF($N$6:$N7,$N7)&gt;1),0,1)</f>
      </c>
      <c r="BA7" s="225">
        <f>IF($AZ7=1,SUM($AZ$6:$AZ7),"")</f>
      </c>
      <c r="BB7" s="225">
        <f>IF(OR($AO7=0,N($AW7)=0),0,IF(TDBC&lt;=$AW7,0,MAX(1,MIN(4,IF((TDBC-$AW7)*24&lt;24,1,IF((TDBC-$AW7)*24&lt;72,2,IF((TDBC-$AW7)*24&lt;168,3,4)))+IF($B7="Đột xuất",IFERROR(INDEX({2,1,0,-1},MATCH($L7,{"Khẩn cấp","Cao","Trung bình","Thấp"},0)),0),IF($D7="PCCC và an ninh",1,0))))))</f>
      </c>
    </row>
    <row r="8">
      <c r="A8" s="216"/>
      <c r="B8" s="216"/>
      <c r="C8" s="218"/>
      <c r="D8" s="218"/>
      <c r="E8" s="218"/>
      <c r="F8" s="216"/>
      <c r="G8" s="218"/>
      <c r="H8" s="218"/>
      <c r="I8" s="231"/>
      <c r="J8" s="217"/>
      <c r="K8" s="217"/>
      <c r="L8" s="216"/>
      <c r="M8" s="216"/>
      <c r="N8" s="218"/>
      <c r="O8" s="218"/>
      <c r="P8" s="218"/>
      <c r="Q8" s="218"/>
      <c r="R8" s="219"/>
      <c r="S8" s="216"/>
      <c r="T8" s="232"/>
      <c r="U8" s="232"/>
      <c r="V8" s="218"/>
      <c r="W8" s="218"/>
      <c r="X8" s="220">
        <f>IF($A8="","",IF(OR($B8="Định kỳ",$AA8="Hoàn thành"),MAX(_xlfn.MAXIFS('Nhật ký tiến độ'!$B$6:$B$3005,'Nhật ký tiến độ'!$C$6:$C$3005,$A8,'Nhật ký tiến độ'!$E$6:$E$3005,"Hoàn thành kỳ"),_xlfn.MAXIFS('Nhật ký tiến độ'!$B$6:$B$3005,'Nhật ký tiến độ'!$C$6:$C$3005,$A8,'Nhật ký tiến độ'!$E$6:$E$3005,"Hoàn thành")),0))</f>
      </c>
      <c r="Y8" s="220">
        <f>IF($A8="","",IF($B8="Đột xuất",IF($AY8=0,"",$AY8),IF($AX8=0,"",$AX8)))</f>
      </c>
      <c r="Z8" s="223">
        <f>IF(OR($AO8=0,$AW8=0),"",IF(TDBC&gt;$AW8,"Quá "&amp;IF($B8="Định kỳ",(NgayBC-$AP8)&amp;" ngày",IF(((TDBC-$AW8)*24)&lt;1,MAX(1,ROUND(((TDBC-$AW8)*24)*60,0))&amp;" phút",IF(ROUND(((TDBC-$AW8)*24),0)&lt;24,ROUND(((TDBC-$AW8)*24),0)&amp;" giờ",INT(ROUND(((TDBC-$AW8)*24),0)/24)&amp;" ngày"&amp;IF(MOD(ROUND(((TDBC-$AW8)*24),0),24)&gt;0," "&amp;MOD(ROUND(((TDBC-$AW8)*24),0),24)&amp;" giờ","")))),IF($B8="Định kỳ",IF($AP8=NgayBC,"Hôm nay","Còn "&amp;($AP8-NgayBC)&amp;" ngày"),"Còn "&amp;IF((($AW8-TDBC)*24)&lt;1,MAX(1,ROUND((($AW8-TDBC)*24)*60,0))&amp;" phút",IF(ROUND((($AW8-TDBC)*24),0)&lt;24,ROUND((($AW8-TDBC)*24),0)&amp;" giờ",INT(ROUND((($AW8-TDBC)*24),0)/24)&amp;" ngày"&amp;IF(MOD(ROUND((($AW8-TDBC)*24),0),24)&gt;0," "&amp;MOD(ROUND((($AW8-TDBC)*24),0),24)&amp;" giờ",""))))))</f>
      </c>
      <c r="AA8" s="221">
        <f>IF($A8="","",IF(N($AM8)=0,"Chưa bắt đầu",IF(OR($AN8="Hoàn thành kỳ",$AN8="Hoàn thành"),IF($B8="Định kỳ","Chưa bắt đầu","Hoàn thành"),$AN8)))</f>
      </c>
      <c r="AB8" s="222">
        <f>IF($A8="","",IF($AA8="Hoàn thành",1,IF(OR(N($AM8)=0,$AN8="Hoàn thành kỳ",$AN8="Hoàn thành"),0,N(INDEX('Nhật ký tiến độ'!$D:$D,$AM8)))))</f>
      </c>
      <c r="AC8" s="222">
        <f>IF(OR($A8="",$B8&lt;&gt;"Đột xuất",$AA8="Hoàn thành",N($J8)=0,$AW8=0),"",IF(TDBC&lt;=$J8,0,IF(TDBC&gt;=$AW8,1,(TDBC-$J8)/($AW8-$J8))))</f>
      </c>
      <c r="AD8" s="223">
        <f>IF($A8="","",IF($AA8="Hoàn thành","Hoàn thành",IF($AW8=0,"Chưa đặt hạn",IF(TDBC&gt;$AW8,"Quá hạn",IF(AND($B8="Đột xuất",ROUND((N($AC8)-$AB8)*100,0)&gt;=20),"Chậm tiến độ",IF($AP8=NgayBC,"Đến hạn hôm nay",IF($B8="Đột xuất",IF($AW8-TDBC&lt;=1,"Sắp đến hạn","Đúng tiến độ"),IF($AP8-NgayBC&lt;=3,"Sắp đến hạn","Theo lịch"))))))))</f>
      </c>
      <c r="AE8" s="223">
        <f>IF($AV8="","",IF($B8="Định kỳ","Bình quân "&amp;IF($AV8&lt;1,MAX(1,ROUND($AV8*60,0))&amp;" phút",IF(ROUND($AV8,0)&lt;24,ROUND($AV8,0)&amp;" giờ",INT(ROUND($AV8,0)/24)&amp;" ngày"&amp;IF(MOD(ROUND($AV8,0),24)&gt;0," "&amp;MOD(ROUND($AV8,0),24)&amp;" giờ","")))&amp;" mỗi kỳ",IF($AV8&lt;1,MAX(1,ROUND($AV8*60,0))&amp;" phút",IF(ROUND($AV8,0)&lt;24,ROUND($AV8,0)&amp;" giờ",INT(ROUND($AV8,0)/24)&amp;" ngày"&amp;IF(MOD(ROUND($AV8,0),24)&gt;0," "&amp;MOD(ROUND($AV8,0),24)&amp;" giờ","")))))</f>
      </c>
      <c r="AF8" s="223">
        <f>IF(OR($A8="",N($AU8)=0),"",IF($AV8&lt;&gt;"",IF($AV8&lt;=$AU8,"Trong ước tính","Vượt "&amp;IF(($AV8-$AU8)&lt;1,MAX(1,ROUND(($AV8-$AU8)*60,0))&amp;" phút",IF(ROUND(($AV8-$AU8),0)&lt;24,ROUND(($AV8-$AU8),0)&amp;" giờ",INT(ROUND(($AV8-$AU8),0)/24)&amp;" ngày"&amp;IF(MOD(ROUND(($AV8-$AU8),0),24)&gt;0," "&amp;MOD(ROUND(($AV8-$AU8),0),24)&amp;" giờ","")))),IF(OR($B8&lt;&gt;"Đột xuất",$AA8="Hoàn thành",N($J8)=0),"",IF((TDBC-$J8)*24&gt;$AU8,"Đã vượt ước tính","Đã dùng "&amp;TEXT((TDBC-$J8)*24/$AU8,"0%")))))</f>
      </c>
      <c r="AG8" s="223">
        <f>IF(N($BB8)=0,"",CHOOSE($BB8,"Nhắc nhở","Cảnh báo","Báo động","Báo động đỏ"))</f>
      </c>
      <c r="AH8" s="223">
        <f>IF(OR($B8&lt;&gt;"Đột xuất",$AA8&lt;&gt;"Hoàn thành",N($X8)=0,$AW8=0),"",IF($X8&lt;=$AW8,"Đúng hạn","Trễ hạn"))</f>
      </c>
      <c r="AI8" s="220">
        <f>IF($A8="","",_xlfn.MAXIFS('Nhật ký tiến độ'!$B$6:$B$3005,'Nhật ký tiến độ'!$C$6:$C$3005,$A8))</f>
      </c>
      <c r="AJ8" s="225">
        <f>IF(OR($A8="",$B8&lt;&gt;"Định kỳ"),0,IFERROR(INDEX(DM_TanSuatNgay,MATCH($H8,DM_TanSuat,0)),0))</f>
      </c>
      <c r="AK8" s="225">
        <f>IF(OR($A8="",$B8&lt;&gt;"Định kỳ"),0,IFERROR(INDEX(DM_TanSuatThang,MATCH($H8,DM_TanSuat,0)),0))</f>
      </c>
      <c r="AL8" s="225">
        <f>IF(OR($A8="",$B8&lt;&gt;"Định kỳ",N($X8)=0,N($I8)=0),"",IF(INT($X8)&lt;$I8,0,IF($AJ8&gt;0,ROUND((INT($X8)-$I8)/$AJ8,0),IF($AK8&gt;0,ROUND((DATEDIF($I8,INT($X8),"m")+(INT($X8)-EDATE($I8,DATEDIF($I8,INT($X8),"m")))/(EDATE($I8,DATEDIF($I8,INT($X8),"m")+1)-EDATE($I8,DATEDIF($I8,INT($X8),"m"))))/$AK8,0),0))))</f>
      </c>
      <c r="AM8" s="225">
        <f>IF($A8="","",IF(COUNTIF('Nhật ký tiến độ'!$C$6:$C$3005,$A8)=0,0,_xlfn.MAXIFS('Nhật ký tiến độ'!$N$6:$N$3005,'Nhật ký tiến độ'!$C$6:$C$3005,$A8,'Nhật ký tiến độ'!$B$6:$B$3005,_xlfn.MAXIFS('Nhật ký tiến độ'!$B$6:$B$3005,'Nhật ký tiến độ'!$C$6:$C$3005,$A8))))</f>
      </c>
      <c r="AN8" s="225">
        <f>IF($A8="","",IF(N($AM8)=0,"",INDEX('Nhật ký tiến độ'!$E:$E,$AM8)))</f>
      </c>
      <c r="AO8" s="225">
        <f>IF($A8="",0,IF($AA8="Hoàn thành",0,1))</f>
      </c>
      <c r="AP8" s="225">
        <f>IF($AO8=0,0,INT(N($AW8)))</f>
      </c>
      <c r="AQ8" s="225">
        <f>IF(AND($AO8=1,$AJ8&gt;1),$AJ8,0)</f>
      </c>
      <c r="AR8" s="225">
        <f>IF(AND($AO8=1,$AJ8=1),1,0)</f>
      </c>
      <c r="AS8" s="225">
        <f>IF(OR($AO8=0,AND($AR8=1,N($BB8)=0)),"",IF(N($BB8)&gt;0,5-$BB8,IF($AD8="Chậm tiến độ",6,IF($AD8="Đến hạn hôm nay",7,IF(AND($AP8&gt;0,$AP8-NgayBC&lt;=7),8,"")))))</f>
      </c>
      <c r="AT8" s="225">
        <f>IF($AS8="","",$AS8*100000+$AP8+ROW()/100000)</f>
      </c>
      <c r="AU8" s="224">
        <f>IF(OR($A8="",N($R8)&lt;=0),"",IF($S8="Ngày",$R8*24,$R8))</f>
      </c>
      <c r="AV8" s="224">
        <f>IF($A8="","",IF($B8="Đột xuất",IF(OR($AA8&lt;&gt;"Hoàn thành",N($X8)=0,N($J8)=0),"",IF($X8&lt;$J8,"",($X8-$J8)*24)),IFERROR(AVERAGEIFS('Nhật ký tiến độ'!$H$6:$H$3005,'Nhật ký tiến độ'!$C$6:$C$3005,$A8,'Nhật ký tiến độ'!$H$6:$H$3005,"&gt;0"),"")))</f>
      </c>
      <c r="AW8" s="233">
        <f>IF($A8="",0,IF($B8="Đột xuất",$AY8,IF($AX8=0,0,$AX8+1-1/1440)))</f>
      </c>
      <c r="AX8" s="234">
        <f>IF(OR($A8="",$B8&lt;&gt;"Định kỳ",N($I8)=0),0,IF($AL8="",$I8,IF($AJ8&gt;0,$I8+($AL8+1)*$AJ8,IF($AK8&gt;0,EDATE($I8,($AL8+1)*$AK8),$I8))))</f>
      </c>
      <c r="AY8" s="233">
        <f>IF(OR($A8="",$B8&lt;&gt;"Đột xuất"),0,IF(N($K8)&gt;0,IF(MOD($K8,1)=0,$K8+1-1/1440,$K8),IF(N($J8)=0,0,$J8+IF(N($AU8)&gt;0,$AU8,IFERROR(INDEX(DM_SLA_Gio,MATCH($L8,DM_SLA_Cap,0)),168))/24)))</f>
      </c>
      <c r="AZ8" s="225">
        <f>IF(OR($A8="",TRIM($N8)="",COUNTIF('Phản ánh'!$K$6:$K$505,$N8)&gt;0,COUNTIF($N$6:$N8,$N8)&gt;1),0,1)</f>
      </c>
      <c r="BA8" s="225">
        <f>IF($AZ8=1,SUM($AZ$6:$AZ8),"")</f>
      </c>
      <c r="BB8" s="225">
        <f>IF(OR($AO8=0,N($AW8)=0),0,IF(TDBC&lt;=$AW8,0,MAX(1,MIN(4,IF((TDBC-$AW8)*24&lt;24,1,IF((TDBC-$AW8)*24&lt;72,2,IF((TDBC-$AW8)*24&lt;168,3,4)))+IF($B8="Đột xuất",IFERROR(INDEX({2,1,0,-1},MATCH($L8,{"Khẩn cấp","Cao","Trung bình","Thấp"},0)),0),IF($D8="PCCC và an ninh",1,0))))))</f>
      </c>
    </row>
    <row r="9">
      <c r="A9" s="216"/>
      <c r="B9" s="216"/>
      <c r="C9" s="218"/>
      <c r="D9" s="218"/>
      <c r="E9" s="218"/>
      <c r="F9" s="216"/>
      <c r="G9" s="218"/>
      <c r="H9" s="218"/>
      <c r="I9" s="231"/>
      <c r="J9" s="217"/>
      <c r="K9" s="217"/>
      <c r="L9" s="216"/>
      <c r="M9" s="216"/>
      <c r="N9" s="218"/>
      <c r="O9" s="218"/>
      <c r="P9" s="218"/>
      <c r="Q9" s="218"/>
      <c r="R9" s="219"/>
      <c r="S9" s="216"/>
      <c r="T9" s="232"/>
      <c r="U9" s="232"/>
      <c r="V9" s="218"/>
      <c r="W9" s="218"/>
      <c r="X9" s="220">
        <f>IF($A9="","",IF(OR($B9="Định kỳ",$AA9="Hoàn thành"),MAX(_xlfn.MAXIFS('Nhật ký tiến độ'!$B$6:$B$3005,'Nhật ký tiến độ'!$C$6:$C$3005,$A9,'Nhật ký tiến độ'!$E$6:$E$3005,"Hoàn thành kỳ"),_xlfn.MAXIFS('Nhật ký tiến độ'!$B$6:$B$3005,'Nhật ký tiến độ'!$C$6:$C$3005,$A9,'Nhật ký tiến độ'!$E$6:$E$3005,"Hoàn thành")),0))</f>
      </c>
      <c r="Y9" s="220">
        <f>IF($A9="","",IF($B9="Đột xuất",IF($AY9=0,"",$AY9),IF($AX9=0,"",$AX9)))</f>
      </c>
      <c r="Z9" s="223">
        <f>IF(OR($AO9=0,$AW9=0),"",IF(TDBC&gt;$AW9,"Quá "&amp;IF($B9="Định kỳ",(NgayBC-$AP9)&amp;" ngày",IF(((TDBC-$AW9)*24)&lt;1,MAX(1,ROUND(((TDBC-$AW9)*24)*60,0))&amp;" phút",IF(ROUND(((TDBC-$AW9)*24),0)&lt;24,ROUND(((TDBC-$AW9)*24),0)&amp;" giờ",INT(ROUND(((TDBC-$AW9)*24),0)/24)&amp;" ngày"&amp;IF(MOD(ROUND(((TDBC-$AW9)*24),0),24)&gt;0," "&amp;MOD(ROUND(((TDBC-$AW9)*24),0),24)&amp;" giờ","")))),IF($B9="Định kỳ",IF($AP9=NgayBC,"Hôm nay","Còn "&amp;($AP9-NgayBC)&amp;" ngày"),"Còn "&amp;IF((($AW9-TDBC)*24)&lt;1,MAX(1,ROUND((($AW9-TDBC)*24)*60,0))&amp;" phút",IF(ROUND((($AW9-TDBC)*24),0)&lt;24,ROUND((($AW9-TDBC)*24),0)&amp;" giờ",INT(ROUND((($AW9-TDBC)*24),0)/24)&amp;" ngày"&amp;IF(MOD(ROUND((($AW9-TDBC)*24),0),24)&gt;0," "&amp;MOD(ROUND((($AW9-TDBC)*24),0),24)&amp;" giờ",""))))))</f>
      </c>
      <c r="AA9" s="221">
        <f>IF($A9="","",IF(N($AM9)=0,"Chưa bắt đầu",IF(OR($AN9="Hoàn thành kỳ",$AN9="Hoàn thành"),IF($B9="Định kỳ","Chưa bắt đầu","Hoàn thành"),$AN9)))</f>
      </c>
      <c r="AB9" s="222">
        <f>IF($A9="","",IF($AA9="Hoàn thành",1,IF(OR(N($AM9)=0,$AN9="Hoàn thành kỳ",$AN9="Hoàn thành"),0,N(INDEX('Nhật ký tiến độ'!$D:$D,$AM9)))))</f>
      </c>
      <c r="AC9" s="222">
        <f>IF(OR($A9="",$B9&lt;&gt;"Đột xuất",$AA9="Hoàn thành",N($J9)=0,$AW9=0),"",IF(TDBC&lt;=$J9,0,IF(TDBC&gt;=$AW9,1,(TDBC-$J9)/($AW9-$J9))))</f>
      </c>
      <c r="AD9" s="223">
        <f>IF($A9="","",IF($AA9="Hoàn thành","Hoàn thành",IF($AW9=0,"Chưa đặt hạn",IF(TDBC&gt;$AW9,"Quá hạn",IF(AND($B9="Đột xuất",ROUND((N($AC9)-$AB9)*100,0)&gt;=20),"Chậm tiến độ",IF($AP9=NgayBC,"Đến hạn hôm nay",IF($B9="Đột xuất",IF($AW9-TDBC&lt;=1,"Sắp đến hạn","Đúng tiến độ"),IF($AP9-NgayBC&lt;=3,"Sắp đến hạn","Theo lịch"))))))))</f>
      </c>
      <c r="AE9" s="223">
        <f>IF($AV9="","",IF($B9="Định kỳ","Bình quân "&amp;IF($AV9&lt;1,MAX(1,ROUND($AV9*60,0))&amp;" phút",IF(ROUND($AV9,0)&lt;24,ROUND($AV9,0)&amp;" giờ",INT(ROUND($AV9,0)/24)&amp;" ngày"&amp;IF(MOD(ROUND($AV9,0),24)&gt;0," "&amp;MOD(ROUND($AV9,0),24)&amp;" giờ","")))&amp;" mỗi kỳ",IF($AV9&lt;1,MAX(1,ROUND($AV9*60,0))&amp;" phút",IF(ROUND($AV9,0)&lt;24,ROUND($AV9,0)&amp;" giờ",INT(ROUND($AV9,0)/24)&amp;" ngày"&amp;IF(MOD(ROUND($AV9,0),24)&gt;0," "&amp;MOD(ROUND($AV9,0),24)&amp;" giờ","")))))</f>
      </c>
      <c r="AF9" s="223">
        <f>IF(OR($A9="",N($AU9)=0),"",IF($AV9&lt;&gt;"",IF($AV9&lt;=$AU9,"Trong ước tính","Vượt "&amp;IF(($AV9-$AU9)&lt;1,MAX(1,ROUND(($AV9-$AU9)*60,0))&amp;" phút",IF(ROUND(($AV9-$AU9),0)&lt;24,ROUND(($AV9-$AU9),0)&amp;" giờ",INT(ROUND(($AV9-$AU9),0)/24)&amp;" ngày"&amp;IF(MOD(ROUND(($AV9-$AU9),0),24)&gt;0," "&amp;MOD(ROUND(($AV9-$AU9),0),24)&amp;" giờ","")))),IF(OR($B9&lt;&gt;"Đột xuất",$AA9="Hoàn thành",N($J9)=0),"",IF((TDBC-$J9)*24&gt;$AU9,"Đã vượt ước tính","Đã dùng "&amp;TEXT((TDBC-$J9)*24/$AU9,"0%")))))</f>
      </c>
      <c r="AG9" s="223">
        <f>IF(N($BB9)=0,"",CHOOSE($BB9,"Nhắc nhở","Cảnh báo","Báo động","Báo động đỏ"))</f>
      </c>
      <c r="AH9" s="223">
        <f>IF(OR($B9&lt;&gt;"Đột xuất",$AA9&lt;&gt;"Hoàn thành",N($X9)=0,$AW9=0),"",IF($X9&lt;=$AW9,"Đúng hạn","Trễ hạn"))</f>
      </c>
      <c r="AI9" s="220">
        <f>IF($A9="","",_xlfn.MAXIFS('Nhật ký tiến độ'!$B$6:$B$3005,'Nhật ký tiến độ'!$C$6:$C$3005,$A9))</f>
      </c>
      <c r="AJ9" s="225">
        <f>IF(OR($A9="",$B9&lt;&gt;"Định kỳ"),0,IFERROR(INDEX(DM_TanSuatNgay,MATCH($H9,DM_TanSuat,0)),0))</f>
      </c>
      <c r="AK9" s="225">
        <f>IF(OR($A9="",$B9&lt;&gt;"Định kỳ"),0,IFERROR(INDEX(DM_TanSuatThang,MATCH($H9,DM_TanSuat,0)),0))</f>
      </c>
      <c r="AL9" s="225">
        <f>IF(OR($A9="",$B9&lt;&gt;"Định kỳ",N($X9)=0,N($I9)=0),"",IF(INT($X9)&lt;$I9,0,IF($AJ9&gt;0,ROUND((INT($X9)-$I9)/$AJ9,0),IF($AK9&gt;0,ROUND((DATEDIF($I9,INT($X9),"m")+(INT($X9)-EDATE($I9,DATEDIF($I9,INT($X9),"m")))/(EDATE($I9,DATEDIF($I9,INT($X9),"m")+1)-EDATE($I9,DATEDIF($I9,INT($X9),"m"))))/$AK9,0),0))))</f>
      </c>
      <c r="AM9" s="225">
        <f>IF($A9="","",IF(COUNTIF('Nhật ký tiến độ'!$C$6:$C$3005,$A9)=0,0,_xlfn.MAXIFS('Nhật ký tiến độ'!$N$6:$N$3005,'Nhật ký tiến độ'!$C$6:$C$3005,$A9,'Nhật ký tiến độ'!$B$6:$B$3005,_xlfn.MAXIFS('Nhật ký tiến độ'!$B$6:$B$3005,'Nhật ký tiến độ'!$C$6:$C$3005,$A9))))</f>
      </c>
      <c r="AN9" s="225">
        <f>IF($A9="","",IF(N($AM9)=0,"",INDEX('Nhật ký tiến độ'!$E:$E,$AM9)))</f>
      </c>
      <c r="AO9" s="225">
        <f>IF($A9="",0,IF($AA9="Hoàn thành",0,1))</f>
      </c>
      <c r="AP9" s="225">
        <f>IF($AO9=0,0,INT(N($AW9)))</f>
      </c>
      <c r="AQ9" s="225">
        <f>IF(AND($AO9=1,$AJ9&gt;1),$AJ9,0)</f>
      </c>
      <c r="AR9" s="225">
        <f>IF(AND($AO9=1,$AJ9=1),1,0)</f>
      </c>
      <c r="AS9" s="225">
        <f>IF(OR($AO9=0,AND($AR9=1,N($BB9)=0)),"",IF(N($BB9)&gt;0,5-$BB9,IF($AD9="Chậm tiến độ",6,IF($AD9="Đến hạn hôm nay",7,IF(AND($AP9&gt;0,$AP9-NgayBC&lt;=7),8,"")))))</f>
      </c>
      <c r="AT9" s="225">
        <f>IF($AS9="","",$AS9*100000+$AP9+ROW()/100000)</f>
      </c>
      <c r="AU9" s="224">
        <f>IF(OR($A9="",N($R9)&lt;=0),"",IF($S9="Ngày",$R9*24,$R9))</f>
      </c>
      <c r="AV9" s="224">
        <f>IF($A9="","",IF($B9="Đột xuất",IF(OR($AA9&lt;&gt;"Hoàn thành",N($X9)=0,N($J9)=0),"",IF($X9&lt;$J9,"",($X9-$J9)*24)),IFERROR(AVERAGEIFS('Nhật ký tiến độ'!$H$6:$H$3005,'Nhật ký tiến độ'!$C$6:$C$3005,$A9,'Nhật ký tiến độ'!$H$6:$H$3005,"&gt;0"),"")))</f>
      </c>
      <c r="AW9" s="233">
        <f>IF($A9="",0,IF($B9="Đột xuất",$AY9,IF($AX9=0,0,$AX9+1-1/1440)))</f>
      </c>
      <c r="AX9" s="234">
        <f>IF(OR($A9="",$B9&lt;&gt;"Định kỳ",N($I9)=0),0,IF($AL9="",$I9,IF($AJ9&gt;0,$I9+($AL9+1)*$AJ9,IF($AK9&gt;0,EDATE($I9,($AL9+1)*$AK9),$I9))))</f>
      </c>
      <c r="AY9" s="233">
        <f>IF(OR($A9="",$B9&lt;&gt;"Đột xuất"),0,IF(N($K9)&gt;0,IF(MOD($K9,1)=0,$K9+1-1/1440,$K9),IF(N($J9)=0,0,$J9+IF(N($AU9)&gt;0,$AU9,IFERROR(INDEX(DM_SLA_Gio,MATCH($L9,DM_SLA_Cap,0)),168))/24)))</f>
      </c>
      <c r="AZ9" s="225">
        <f>IF(OR($A9="",TRIM($N9)="",COUNTIF('Phản ánh'!$K$6:$K$505,$N9)&gt;0,COUNTIF($N$6:$N9,$N9)&gt;1),0,1)</f>
      </c>
      <c r="BA9" s="225">
        <f>IF($AZ9=1,SUM($AZ$6:$AZ9),"")</f>
      </c>
      <c r="BB9" s="225">
        <f>IF(OR($AO9=0,N($AW9)=0),0,IF(TDBC&lt;=$AW9,0,MAX(1,MIN(4,IF((TDBC-$AW9)*24&lt;24,1,IF((TDBC-$AW9)*24&lt;72,2,IF((TDBC-$AW9)*24&lt;168,3,4)))+IF($B9="Đột xuất",IFERROR(INDEX({2,1,0,-1},MATCH($L9,{"Khẩn cấp","Cao","Trung bình","Thấp"},0)),0),IF($D9="PCCC và an ninh",1,0))))))</f>
      </c>
    </row>
    <row r="10">
      <c r="A10" s="216"/>
      <c r="B10" s="216"/>
      <c r="C10" s="218"/>
      <c r="D10" s="218"/>
      <c r="E10" s="218"/>
      <c r="F10" s="216"/>
      <c r="G10" s="218"/>
      <c r="H10" s="218"/>
      <c r="I10" s="231"/>
      <c r="J10" s="217"/>
      <c r="K10" s="217"/>
      <c r="L10" s="216"/>
      <c r="M10" s="216"/>
      <c r="N10" s="218"/>
      <c r="O10" s="218"/>
      <c r="P10" s="218"/>
      <c r="Q10" s="218"/>
      <c r="R10" s="219"/>
      <c r="S10" s="216"/>
      <c r="T10" s="232"/>
      <c r="U10" s="232"/>
      <c r="V10" s="218"/>
      <c r="W10" s="218"/>
      <c r="X10" s="220">
        <f>IF($A10="","",IF(OR($B10="Định kỳ",$AA10="Hoàn thành"),MAX(_xlfn.MAXIFS('Nhật ký tiến độ'!$B$6:$B$3005,'Nhật ký tiến độ'!$C$6:$C$3005,$A10,'Nhật ký tiến độ'!$E$6:$E$3005,"Hoàn thành kỳ"),_xlfn.MAXIFS('Nhật ký tiến độ'!$B$6:$B$3005,'Nhật ký tiến độ'!$C$6:$C$3005,$A10,'Nhật ký tiến độ'!$E$6:$E$3005,"Hoàn thành")),0))</f>
      </c>
      <c r="Y10" s="220">
        <f>IF($A10="","",IF($B10="Đột xuất",IF($AY10=0,"",$AY10),IF($AX10=0,"",$AX10)))</f>
      </c>
      <c r="Z10" s="223">
        <f>IF(OR($AO10=0,$AW10=0),"",IF(TDBC&gt;$AW10,"Quá "&amp;IF($B10="Định kỳ",(NgayBC-$AP10)&amp;" ngày",IF(((TDBC-$AW10)*24)&lt;1,MAX(1,ROUND(((TDBC-$AW10)*24)*60,0))&amp;" phút",IF(ROUND(((TDBC-$AW10)*24),0)&lt;24,ROUND(((TDBC-$AW10)*24),0)&amp;" giờ",INT(ROUND(((TDBC-$AW10)*24),0)/24)&amp;" ngày"&amp;IF(MOD(ROUND(((TDBC-$AW10)*24),0),24)&gt;0," "&amp;MOD(ROUND(((TDBC-$AW10)*24),0),24)&amp;" giờ","")))),IF($B10="Định kỳ",IF($AP10=NgayBC,"Hôm nay","Còn "&amp;($AP10-NgayBC)&amp;" ngày"),"Còn "&amp;IF((($AW10-TDBC)*24)&lt;1,MAX(1,ROUND((($AW10-TDBC)*24)*60,0))&amp;" phút",IF(ROUND((($AW10-TDBC)*24),0)&lt;24,ROUND((($AW10-TDBC)*24),0)&amp;" giờ",INT(ROUND((($AW10-TDBC)*24),0)/24)&amp;" ngày"&amp;IF(MOD(ROUND((($AW10-TDBC)*24),0),24)&gt;0," "&amp;MOD(ROUND((($AW10-TDBC)*24),0),24)&amp;" giờ",""))))))</f>
      </c>
      <c r="AA10" s="221">
        <f>IF($A10="","",IF(N($AM10)=0,"Chưa bắt đầu",IF(OR($AN10="Hoàn thành kỳ",$AN10="Hoàn thành"),IF($B10="Định kỳ","Chưa bắt đầu","Hoàn thành"),$AN10)))</f>
      </c>
      <c r="AB10" s="222">
        <f>IF($A10="","",IF($AA10="Hoàn thành",1,IF(OR(N($AM10)=0,$AN10="Hoàn thành kỳ",$AN10="Hoàn thành"),0,N(INDEX('Nhật ký tiến độ'!$D:$D,$AM10)))))</f>
      </c>
      <c r="AC10" s="222">
        <f>IF(OR($A10="",$B10&lt;&gt;"Đột xuất",$AA10="Hoàn thành",N($J10)=0,$AW10=0),"",IF(TDBC&lt;=$J10,0,IF(TDBC&gt;=$AW10,1,(TDBC-$J10)/($AW10-$J10))))</f>
      </c>
      <c r="AD10" s="223">
        <f>IF($A10="","",IF($AA10="Hoàn thành","Hoàn thành",IF($AW10=0,"Chưa đặt hạn",IF(TDBC&gt;$AW10,"Quá hạn",IF(AND($B10="Đột xuất",ROUND((N($AC10)-$AB10)*100,0)&gt;=20),"Chậm tiến độ",IF($AP10=NgayBC,"Đến hạn hôm nay",IF($B10="Đột xuất",IF($AW10-TDBC&lt;=1,"Sắp đến hạn","Đúng tiến độ"),IF($AP10-NgayBC&lt;=3,"Sắp đến hạn","Theo lịch"))))))))</f>
      </c>
      <c r="AE10" s="223">
        <f>IF($AV10="","",IF($B10="Định kỳ","Bình quân "&amp;IF($AV10&lt;1,MAX(1,ROUND($AV10*60,0))&amp;" phút",IF(ROUND($AV10,0)&lt;24,ROUND($AV10,0)&amp;" giờ",INT(ROUND($AV10,0)/24)&amp;" ngày"&amp;IF(MOD(ROUND($AV10,0),24)&gt;0," "&amp;MOD(ROUND($AV10,0),24)&amp;" giờ","")))&amp;" mỗi kỳ",IF($AV10&lt;1,MAX(1,ROUND($AV10*60,0))&amp;" phút",IF(ROUND($AV10,0)&lt;24,ROUND($AV10,0)&amp;" giờ",INT(ROUND($AV10,0)/24)&amp;" ngày"&amp;IF(MOD(ROUND($AV10,0),24)&gt;0," "&amp;MOD(ROUND($AV10,0),24)&amp;" giờ","")))))</f>
      </c>
      <c r="AF10" s="223">
        <f>IF(OR($A10="",N($AU10)=0),"",IF($AV10&lt;&gt;"",IF($AV10&lt;=$AU10,"Trong ước tính","Vượt "&amp;IF(($AV10-$AU10)&lt;1,MAX(1,ROUND(($AV10-$AU10)*60,0))&amp;" phút",IF(ROUND(($AV10-$AU10),0)&lt;24,ROUND(($AV10-$AU10),0)&amp;" giờ",INT(ROUND(($AV10-$AU10),0)/24)&amp;" ngày"&amp;IF(MOD(ROUND(($AV10-$AU10),0),24)&gt;0," "&amp;MOD(ROUND(($AV10-$AU10),0),24)&amp;" giờ","")))),IF(OR($B10&lt;&gt;"Đột xuất",$AA10="Hoàn thành",N($J10)=0),"",IF((TDBC-$J10)*24&gt;$AU10,"Đã vượt ước tính","Đã dùng "&amp;TEXT((TDBC-$J10)*24/$AU10,"0%")))))</f>
      </c>
      <c r="AG10" s="223">
        <f>IF(N($BB10)=0,"",CHOOSE($BB10,"Nhắc nhở","Cảnh báo","Báo động","Báo động đỏ"))</f>
      </c>
      <c r="AH10" s="223">
        <f>IF(OR($B10&lt;&gt;"Đột xuất",$AA10&lt;&gt;"Hoàn thành",N($X10)=0,$AW10=0),"",IF($X10&lt;=$AW10,"Đúng hạn","Trễ hạn"))</f>
      </c>
      <c r="AI10" s="220">
        <f>IF($A10="","",_xlfn.MAXIFS('Nhật ký tiến độ'!$B$6:$B$3005,'Nhật ký tiến độ'!$C$6:$C$3005,$A10))</f>
      </c>
      <c r="AJ10" s="225">
        <f>IF(OR($A10="",$B10&lt;&gt;"Định kỳ"),0,IFERROR(INDEX(DM_TanSuatNgay,MATCH($H10,DM_TanSuat,0)),0))</f>
      </c>
      <c r="AK10" s="225">
        <f>IF(OR($A10="",$B10&lt;&gt;"Định kỳ"),0,IFERROR(INDEX(DM_TanSuatThang,MATCH($H10,DM_TanSuat,0)),0))</f>
      </c>
      <c r="AL10" s="225">
        <f>IF(OR($A10="",$B10&lt;&gt;"Định kỳ",N($X10)=0,N($I10)=0),"",IF(INT($X10)&lt;$I10,0,IF($AJ10&gt;0,ROUND((INT($X10)-$I10)/$AJ10,0),IF($AK10&gt;0,ROUND((DATEDIF($I10,INT($X10),"m")+(INT($X10)-EDATE($I10,DATEDIF($I10,INT($X10),"m")))/(EDATE($I10,DATEDIF($I10,INT($X10),"m")+1)-EDATE($I10,DATEDIF($I10,INT($X10),"m"))))/$AK10,0),0))))</f>
      </c>
      <c r="AM10" s="225">
        <f>IF($A10="","",IF(COUNTIF('Nhật ký tiến độ'!$C$6:$C$3005,$A10)=0,0,_xlfn.MAXIFS('Nhật ký tiến độ'!$N$6:$N$3005,'Nhật ký tiến độ'!$C$6:$C$3005,$A10,'Nhật ký tiến độ'!$B$6:$B$3005,_xlfn.MAXIFS('Nhật ký tiến độ'!$B$6:$B$3005,'Nhật ký tiến độ'!$C$6:$C$3005,$A10))))</f>
      </c>
      <c r="AN10" s="225">
        <f>IF($A10="","",IF(N($AM10)=0,"",INDEX('Nhật ký tiến độ'!$E:$E,$AM10)))</f>
      </c>
      <c r="AO10" s="225">
        <f>IF($A10="",0,IF($AA10="Hoàn thành",0,1))</f>
      </c>
      <c r="AP10" s="225">
        <f>IF($AO10=0,0,INT(N($AW10)))</f>
      </c>
      <c r="AQ10" s="225">
        <f>IF(AND($AO10=1,$AJ10&gt;1),$AJ10,0)</f>
      </c>
      <c r="AR10" s="225">
        <f>IF(AND($AO10=1,$AJ10=1),1,0)</f>
      </c>
      <c r="AS10" s="225">
        <f>IF(OR($AO10=0,AND($AR10=1,N($BB10)=0)),"",IF(N($BB10)&gt;0,5-$BB10,IF($AD10="Chậm tiến độ",6,IF($AD10="Đến hạn hôm nay",7,IF(AND($AP10&gt;0,$AP10-NgayBC&lt;=7),8,"")))))</f>
      </c>
      <c r="AT10" s="225">
        <f>IF($AS10="","",$AS10*100000+$AP10+ROW()/100000)</f>
      </c>
      <c r="AU10" s="224">
        <f>IF(OR($A10="",N($R10)&lt;=0),"",IF($S10="Ngày",$R10*24,$R10))</f>
      </c>
      <c r="AV10" s="224">
        <f>IF($A10="","",IF($B10="Đột xuất",IF(OR($AA10&lt;&gt;"Hoàn thành",N($X10)=0,N($J10)=0),"",IF($X10&lt;$J10,"",($X10-$J10)*24)),IFERROR(AVERAGEIFS('Nhật ký tiến độ'!$H$6:$H$3005,'Nhật ký tiến độ'!$C$6:$C$3005,$A10,'Nhật ký tiến độ'!$H$6:$H$3005,"&gt;0"),"")))</f>
      </c>
      <c r="AW10" s="233">
        <f>IF($A10="",0,IF($B10="Đột xuất",$AY10,IF($AX10=0,0,$AX10+1-1/1440)))</f>
      </c>
      <c r="AX10" s="234">
        <f>IF(OR($A10="",$B10&lt;&gt;"Định kỳ",N($I10)=0),0,IF($AL10="",$I10,IF($AJ10&gt;0,$I10+($AL10+1)*$AJ10,IF($AK10&gt;0,EDATE($I10,($AL10+1)*$AK10),$I10))))</f>
      </c>
      <c r="AY10" s="233">
        <f>IF(OR($A10="",$B10&lt;&gt;"Đột xuất"),0,IF(N($K10)&gt;0,IF(MOD($K10,1)=0,$K10+1-1/1440,$K10),IF(N($J10)=0,0,$J10+IF(N($AU10)&gt;0,$AU10,IFERROR(INDEX(DM_SLA_Gio,MATCH($L10,DM_SLA_Cap,0)),168))/24)))</f>
      </c>
      <c r="AZ10" s="225">
        <f>IF(OR($A10="",TRIM($N10)="",COUNTIF('Phản ánh'!$K$6:$K$505,$N10)&gt;0,COUNTIF($N$6:$N10,$N10)&gt;1),0,1)</f>
      </c>
      <c r="BA10" s="225">
        <f>IF($AZ10=1,SUM($AZ$6:$AZ10),"")</f>
      </c>
      <c r="BB10" s="225">
        <f>IF(OR($AO10=0,N($AW10)=0),0,IF(TDBC&lt;=$AW10,0,MAX(1,MIN(4,IF((TDBC-$AW10)*24&lt;24,1,IF((TDBC-$AW10)*24&lt;72,2,IF((TDBC-$AW10)*24&lt;168,3,4)))+IF($B10="Đột xuất",IFERROR(INDEX({2,1,0,-1},MATCH($L10,{"Khẩn cấp","Cao","Trung bình","Thấp"},0)),0),IF($D10="PCCC và an ninh",1,0))))))</f>
      </c>
    </row>
    <row r="11">
      <c r="A11" s="216"/>
      <c r="B11" s="216"/>
      <c r="C11" s="218"/>
      <c r="D11" s="218"/>
      <c r="E11" s="218"/>
      <c r="F11" s="216"/>
      <c r="G11" s="218"/>
      <c r="H11" s="218"/>
      <c r="I11" s="231"/>
      <c r="J11" s="217"/>
      <c r="K11" s="217"/>
      <c r="L11" s="216"/>
      <c r="M11" s="216"/>
      <c r="N11" s="218"/>
      <c r="O11" s="218"/>
      <c r="P11" s="218"/>
      <c r="Q11" s="218"/>
      <c r="R11" s="219"/>
      <c r="S11" s="216"/>
      <c r="T11" s="232"/>
      <c r="U11" s="232"/>
      <c r="V11" s="218"/>
      <c r="W11" s="218"/>
      <c r="X11" s="220">
        <f>IF($A11="","",IF(OR($B11="Định kỳ",$AA11="Hoàn thành"),MAX(_xlfn.MAXIFS('Nhật ký tiến độ'!$B$6:$B$3005,'Nhật ký tiến độ'!$C$6:$C$3005,$A11,'Nhật ký tiến độ'!$E$6:$E$3005,"Hoàn thành kỳ"),_xlfn.MAXIFS('Nhật ký tiến độ'!$B$6:$B$3005,'Nhật ký tiến độ'!$C$6:$C$3005,$A11,'Nhật ký tiến độ'!$E$6:$E$3005,"Hoàn thành")),0))</f>
      </c>
      <c r="Y11" s="220">
        <f>IF($A11="","",IF($B11="Đột xuất",IF($AY11=0,"",$AY11),IF($AX11=0,"",$AX11)))</f>
      </c>
      <c r="Z11" s="223">
        <f>IF(OR($AO11=0,$AW11=0),"",IF(TDBC&gt;$AW11,"Quá "&amp;IF($B11="Định kỳ",(NgayBC-$AP11)&amp;" ngày",IF(((TDBC-$AW11)*24)&lt;1,MAX(1,ROUND(((TDBC-$AW11)*24)*60,0))&amp;" phút",IF(ROUND(((TDBC-$AW11)*24),0)&lt;24,ROUND(((TDBC-$AW11)*24),0)&amp;" giờ",INT(ROUND(((TDBC-$AW11)*24),0)/24)&amp;" ngày"&amp;IF(MOD(ROUND(((TDBC-$AW11)*24),0),24)&gt;0," "&amp;MOD(ROUND(((TDBC-$AW11)*24),0),24)&amp;" giờ","")))),IF($B11="Định kỳ",IF($AP11=NgayBC,"Hôm nay","Còn "&amp;($AP11-NgayBC)&amp;" ngày"),"Còn "&amp;IF((($AW11-TDBC)*24)&lt;1,MAX(1,ROUND((($AW11-TDBC)*24)*60,0))&amp;" phút",IF(ROUND((($AW11-TDBC)*24),0)&lt;24,ROUND((($AW11-TDBC)*24),0)&amp;" giờ",INT(ROUND((($AW11-TDBC)*24),0)/24)&amp;" ngày"&amp;IF(MOD(ROUND((($AW11-TDBC)*24),0),24)&gt;0," "&amp;MOD(ROUND((($AW11-TDBC)*24),0),24)&amp;" giờ",""))))))</f>
      </c>
      <c r="AA11" s="221">
        <f>IF($A11="","",IF(N($AM11)=0,"Chưa bắt đầu",IF(OR($AN11="Hoàn thành kỳ",$AN11="Hoàn thành"),IF($B11="Định kỳ","Chưa bắt đầu","Hoàn thành"),$AN11)))</f>
      </c>
      <c r="AB11" s="222">
        <f>IF($A11="","",IF($AA11="Hoàn thành",1,IF(OR(N($AM11)=0,$AN11="Hoàn thành kỳ",$AN11="Hoàn thành"),0,N(INDEX('Nhật ký tiến độ'!$D:$D,$AM11)))))</f>
      </c>
      <c r="AC11" s="222">
        <f>IF(OR($A11="",$B11&lt;&gt;"Đột xuất",$AA11="Hoàn thành",N($J11)=0,$AW11=0),"",IF(TDBC&lt;=$J11,0,IF(TDBC&gt;=$AW11,1,(TDBC-$J11)/($AW11-$J11))))</f>
      </c>
      <c r="AD11" s="223">
        <f>IF($A11="","",IF($AA11="Hoàn thành","Hoàn thành",IF($AW11=0,"Chưa đặt hạn",IF(TDBC&gt;$AW11,"Quá hạn",IF(AND($B11="Đột xuất",ROUND((N($AC11)-$AB11)*100,0)&gt;=20),"Chậm tiến độ",IF($AP11=NgayBC,"Đến hạn hôm nay",IF($B11="Đột xuất",IF($AW11-TDBC&lt;=1,"Sắp đến hạn","Đúng tiến độ"),IF($AP11-NgayBC&lt;=3,"Sắp đến hạn","Theo lịch"))))))))</f>
      </c>
      <c r="AE11" s="223">
        <f>IF($AV11="","",IF($B11="Định kỳ","Bình quân "&amp;IF($AV11&lt;1,MAX(1,ROUND($AV11*60,0))&amp;" phút",IF(ROUND($AV11,0)&lt;24,ROUND($AV11,0)&amp;" giờ",INT(ROUND($AV11,0)/24)&amp;" ngày"&amp;IF(MOD(ROUND($AV11,0),24)&gt;0," "&amp;MOD(ROUND($AV11,0),24)&amp;" giờ","")))&amp;" mỗi kỳ",IF($AV11&lt;1,MAX(1,ROUND($AV11*60,0))&amp;" phút",IF(ROUND($AV11,0)&lt;24,ROUND($AV11,0)&amp;" giờ",INT(ROUND($AV11,0)/24)&amp;" ngày"&amp;IF(MOD(ROUND($AV11,0),24)&gt;0," "&amp;MOD(ROUND($AV11,0),24)&amp;" giờ","")))))</f>
      </c>
      <c r="AF11" s="223">
        <f>IF(OR($A11="",N($AU11)=0),"",IF($AV11&lt;&gt;"",IF($AV11&lt;=$AU11,"Trong ước tính","Vượt "&amp;IF(($AV11-$AU11)&lt;1,MAX(1,ROUND(($AV11-$AU11)*60,0))&amp;" phút",IF(ROUND(($AV11-$AU11),0)&lt;24,ROUND(($AV11-$AU11),0)&amp;" giờ",INT(ROUND(($AV11-$AU11),0)/24)&amp;" ngày"&amp;IF(MOD(ROUND(($AV11-$AU11),0),24)&gt;0," "&amp;MOD(ROUND(($AV11-$AU11),0),24)&amp;" giờ","")))),IF(OR($B11&lt;&gt;"Đột xuất",$AA11="Hoàn thành",N($J11)=0),"",IF((TDBC-$J11)*24&gt;$AU11,"Đã vượt ước tính","Đã dùng "&amp;TEXT((TDBC-$J11)*24/$AU11,"0%")))))</f>
      </c>
      <c r="AG11" s="223">
        <f>IF(N($BB11)=0,"",CHOOSE($BB11,"Nhắc nhở","Cảnh báo","Báo động","Báo động đỏ"))</f>
      </c>
      <c r="AH11" s="223">
        <f>IF(OR($B11&lt;&gt;"Đột xuất",$AA11&lt;&gt;"Hoàn thành",N($X11)=0,$AW11=0),"",IF($X11&lt;=$AW11,"Đúng hạn","Trễ hạn"))</f>
      </c>
      <c r="AI11" s="220">
        <f>IF($A11="","",_xlfn.MAXIFS('Nhật ký tiến độ'!$B$6:$B$3005,'Nhật ký tiến độ'!$C$6:$C$3005,$A11))</f>
      </c>
      <c r="AJ11" s="225">
        <f>IF(OR($A11="",$B11&lt;&gt;"Định kỳ"),0,IFERROR(INDEX(DM_TanSuatNgay,MATCH($H11,DM_TanSuat,0)),0))</f>
      </c>
      <c r="AK11" s="225">
        <f>IF(OR($A11="",$B11&lt;&gt;"Định kỳ"),0,IFERROR(INDEX(DM_TanSuatThang,MATCH($H11,DM_TanSuat,0)),0))</f>
      </c>
      <c r="AL11" s="225">
        <f>IF(OR($A11="",$B11&lt;&gt;"Định kỳ",N($X11)=0,N($I11)=0),"",IF(INT($X11)&lt;$I11,0,IF($AJ11&gt;0,ROUND((INT($X11)-$I11)/$AJ11,0),IF($AK11&gt;0,ROUND((DATEDIF($I11,INT($X11),"m")+(INT($X11)-EDATE($I11,DATEDIF($I11,INT($X11),"m")))/(EDATE($I11,DATEDIF($I11,INT($X11),"m")+1)-EDATE($I11,DATEDIF($I11,INT($X11),"m"))))/$AK11,0),0))))</f>
      </c>
      <c r="AM11" s="225">
        <f>IF($A11="","",IF(COUNTIF('Nhật ký tiến độ'!$C$6:$C$3005,$A11)=0,0,_xlfn.MAXIFS('Nhật ký tiến độ'!$N$6:$N$3005,'Nhật ký tiến độ'!$C$6:$C$3005,$A11,'Nhật ký tiến độ'!$B$6:$B$3005,_xlfn.MAXIFS('Nhật ký tiến độ'!$B$6:$B$3005,'Nhật ký tiến độ'!$C$6:$C$3005,$A11))))</f>
      </c>
      <c r="AN11" s="225">
        <f>IF($A11="","",IF(N($AM11)=0,"",INDEX('Nhật ký tiến độ'!$E:$E,$AM11)))</f>
      </c>
      <c r="AO11" s="225">
        <f>IF($A11="",0,IF($AA11="Hoàn thành",0,1))</f>
      </c>
      <c r="AP11" s="225">
        <f>IF($AO11=0,0,INT(N($AW11)))</f>
      </c>
      <c r="AQ11" s="225">
        <f>IF(AND($AO11=1,$AJ11&gt;1),$AJ11,0)</f>
      </c>
      <c r="AR11" s="225">
        <f>IF(AND($AO11=1,$AJ11=1),1,0)</f>
      </c>
      <c r="AS11" s="225">
        <f>IF(OR($AO11=0,AND($AR11=1,N($BB11)=0)),"",IF(N($BB11)&gt;0,5-$BB11,IF($AD11="Chậm tiến độ",6,IF($AD11="Đến hạn hôm nay",7,IF(AND($AP11&gt;0,$AP11-NgayBC&lt;=7),8,"")))))</f>
      </c>
      <c r="AT11" s="225">
        <f>IF($AS11="","",$AS11*100000+$AP11+ROW()/100000)</f>
      </c>
      <c r="AU11" s="224">
        <f>IF(OR($A11="",N($R11)&lt;=0),"",IF($S11="Ngày",$R11*24,$R11))</f>
      </c>
      <c r="AV11" s="224">
        <f>IF($A11="","",IF($B11="Đột xuất",IF(OR($AA11&lt;&gt;"Hoàn thành",N($X11)=0,N($J11)=0),"",IF($X11&lt;$J11,"",($X11-$J11)*24)),IFERROR(AVERAGEIFS('Nhật ký tiến độ'!$H$6:$H$3005,'Nhật ký tiến độ'!$C$6:$C$3005,$A11,'Nhật ký tiến độ'!$H$6:$H$3005,"&gt;0"),"")))</f>
      </c>
      <c r="AW11" s="233">
        <f>IF($A11="",0,IF($B11="Đột xuất",$AY11,IF($AX11=0,0,$AX11+1-1/1440)))</f>
      </c>
      <c r="AX11" s="234">
        <f>IF(OR($A11="",$B11&lt;&gt;"Định kỳ",N($I11)=0),0,IF($AL11="",$I11,IF($AJ11&gt;0,$I11+($AL11+1)*$AJ11,IF($AK11&gt;0,EDATE($I11,($AL11+1)*$AK11),$I11))))</f>
      </c>
      <c r="AY11" s="233">
        <f>IF(OR($A11="",$B11&lt;&gt;"Đột xuất"),0,IF(N($K11)&gt;0,IF(MOD($K11,1)=0,$K11+1-1/1440,$K11),IF(N($J11)=0,0,$J11+IF(N($AU11)&gt;0,$AU11,IFERROR(INDEX(DM_SLA_Gio,MATCH($L11,DM_SLA_Cap,0)),168))/24)))</f>
      </c>
      <c r="AZ11" s="225">
        <f>IF(OR($A11="",TRIM($N11)="",COUNTIF('Phản ánh'!$K$6:$K$505,$N11)&gt;0,COUNTIF($N$6:$N11,$N11)&gt;1),0,1)</f>
      </c>
      <c r="BA11" s="225">
        <f>IF($AZ11=1,SUM($AZ$6:$AZ11),"")</f>
      </c>
      <c r="BB11" s="225">
        <f>IF(OR($AO11=0,N($AW11)=0),0,IF(TDBC&lt;=$AW11,0,MAX(1,MIN(4,IF((TDBC-$AW11)*24&lt;24,1,IF((TDBC-$AW11)*24&lt;72,2,IF((TDBC-$AW11)*24&lt;168,3,4)))+IF($B11="Đột xuất",IFERROR(INDEX({2,1,0,-1},MATCH($L11,{"Khẩn cấp","Cao","Trung bình","Thấp"},0)),0),IF($D11="PCCC và an ninh",1,0))))))</f>
      </c>
    </row>
    <row r="12">
      <c r="A12" s="216"/>
      <c r="B12" s="216"/>
      <c r="C12" s="218"/>
      <c r="D12" s="218"/>
      <c r="E12" s="218"/>
      <c r="F12" s="216"/>
      <c r="G12" s="218"/>
      <c r="H12" s="218"/>
      <c r="I12" s="231"/>
      <c r="J12" s="217"/>
      <c r="K12" s="217"/>
      <c r="L12" s="216"/>
      <c r="M12" s="216"/>
      <c r="N12" s="218"/>
      <c r="O12" s="218"/>
      <c r="P12" s="218"/>
      <c r="Q12" s="218"/>
      <c r="R12" s="219"/>
      <c r="S12" s="216"/>
      <c r="T12" s="232"/>
      <c r="U12" s="232"/>
      <c r="V12" s="218"/>
      <c r="W12" s="218"/>
      <c r="X12" s="220">
        <f>IF($A12="","",IF(OR($B12="Định kỳ",$AA12="Hoàn thành"),MAX(_xlfn.MAXIFS('Nhật ký tiến độ'!$B$6:$B$3005,'Nhật ký tiến độ'!$C$6:$C$3005,$A12,'Nhật ký tiến độ'!$E$6:$E$3005,"Hoàn thành kỳ"),_xlfn.MAXIFS('Nhật ký tiến độ'!$B$6:$B$3005,'Nhật ký tiến độ'!$C$6:$C$3005,$A12,'Nhật ký tiến độ'!$E$6:$E$3005,"Hoàn thành")),0))</f>
      </c>
      <c r="Y12" s="220">
        <f>IF($A12="","",IF($B12="Đột xuất",IF($AY12=0,"",$AY12),IF($AX12=0,"",$AX12)))</f>
      </c>
      <c r="Z12" s="223">
        <f>IF(OR($AO12=0,$AW12=0),"",IF(TDBC&gt;$AW12,"Quá "&amp;IF($B12="Định kỳ",(NgayBC-$AP12)&amp;" ngày",IF(((TDBC-$AW12)*24)&lt;1,MAX(1,ROUND(((TDBC-$AW12)*24)*60,0))&amp;" phút",IF(ROUND(((TDBC-$AW12)*24),0)&lt;24,ROUND(((TDBC-$AW12)*24),0)&amp;" giờ",INT(ROUND(((TDBC-$AW12)*24),0)/24)&amp;" ngày"&amp;IF(MOD(ROUND(((TDBC-$AW12)*24),0),24)&gt;0," "&amp;MOD(ROUND(((TDBC-$AW12)*24),0),24)&amp;" giờ","")))),IF($B12="Định kỳ",IF($AP12=NgayBC,"Hôm nay","Còn "&amp;($AP12-NgayBC)&amp;" ngày"),"Còn "&amp;IF((($AW12-TDBC)*24)&lt;1,MAX(1,ROUND((($AW12-TDBC)*24)*60,0))&amp;" phút",IF(ROUND((($AW12-TDBC)*24),0)&lt;24,ROUND((($AW12-TDBC)*24),0)&amp;" giờ",INT(ROUND((($AW12-TDBC)*24),0)/24)&amp;" ngày"&amp;IF(MOD(ROUND((($AW12-TDBC)*24),0),24)&gt;0," "&amp;MOD(ROUND((($AW12-TDBC)*24),0),24)&amp;" giờ",""))))))</f>
      </c>
      <c r="AA12" s="221">
        <f>IF($A12="","",IF(N($AM12)=0,"Chưa bắt đầu",IF(OR($AN12="Hoàn thành kỳ",$AN12="Hoàn thành"),IF($B12="Định kỳ","Chưa bắt đầu","Hoàn thành"),$AN12)))</f>
      </c>
      <c r="AB12" s="222">
        <f>IF($A12="","",IF($AA12="Hoàn thành",1,IF(OR(N($AM12)=0,$AN12="Hoàn thành kỳ",$AN12="Hoàn thành"),0,N(INDEX('Nhật ký tiến độ'!$D:$D,$AM12)))))</f>
      </c>
      <c r="AC12" s="222">
        <f>IF(OR($A12="",$B12&lt;&gt;"Đột xuất",$AA12="Hoàn thành",N($J12)=0,$AW12=0),"",IF(TDBC&lt;=$J12,0,IF(TDBC&gt;=$AW12,1,(TDBC-$J12)/($AW12-$J12))))</f>
      </c>
      <c r="AD12" s="223">
        <f>IF($A12="","",IF($AA12="Hoàn thành","Hoàn thành",IF($AW12=0,"Chưa đặt hạn",IF(TDBC&gt;$AW12,"Quá hạn",IF(AND($B12="Đột xuất",ROUND((N($AC12)-$AB12)*100,0)&gt;=20),"Chậm tiến độ",IF($AP12=NgayBC,"Đến hạn hôm nay",IF($B12="Đột xuất",IF($AW12-TDBC&lt;=1,"Sắp đến hạn","Đúng tiến độ"),IF($AP12-NgayBC&lt;=3,"Sắp đến hạn","Theo lịch"))))))))</f>
      </c>
      <c r="AE12" s="223">
        <f>IF($AV12="","",IF($B12="Định kỳ","Bình quân "&amp;IF($AV12&lt;1,MAX(1,ROUND($AV12*60,0))&amp;" phút",IF(ROUND($AV12,0)&lt;24,ROUND($AV12,0)&amp;" giờ",INT(ROUND($AV12,0)/24)&amp;" ngày"&amp;IF(MOD(ROUND($AV12,0),24)&gt;0," "&amp;MOD(ROUND($AV12,0),24)&amp;" giờ","")))&amp;" mỗi kỳ",IF($AV12&lt;1,MAX(1,ROUND($AV12*60,0))&amp;" phút",IF(ROUND($AV12,0)&lt;24,ROUND($AV12,0)&amp;" giờ",INT(ROUND($AV12,0)/24)&amp;" ngày"&amp;IF(MOD(ROUND($AV12,0),24)&gt;0," "&amp;MOD(ROUND($AV12,0),24)&amp;" giờ","")))))</f>
      </c>
      <c r="AF12" s="223">
        <f>IF(OR($A12="",N($AU12)=0),"",IF($AV12&lt;&gt;"",IF($AV12&lt;=$AU12,"Trong ước tính","Vượt "&amp;IF(($AV12-$AU12)&lt;1,MAX(1,ROUND(($AV12-$AU12)*60,0))&amp;" phút",IF(ROUND(($AV12-$AU12),0)&lt;24,ROUND(($AV12-$AU12),0)&amp;" giờ",INT(ROUND(($AV12-$AU12),0)/24)&amp;" ngày"&amp;IF(MOD(ROUND(($AV12-$AU12),0),24)&gt;0," "&amp;MOD(ROUND(($AV12-$AU12),0),24)&amp;" giờ","")))),IF(OR($B12&lt;&gt;"Đột xuất",$AA12="Hoàn thành",N($J12)=0),"",IF((TDBC-$J12)*24&gt;$AU12,"Đã vượt ước tính","Đã dùng "&amp;TEXT((TDBC-$J12)*24/$AU12,"0%")))))</f>
      </c>
      <c r="AG12" s="223">
        <f>IF(N($BB12)=0,"",CHOOSE($BB12,"Nhắc nhở","Cảnh báo","Báo động","Báo động đỏ"))</f>
      </c>
      <c r="AH12" s="223">
        <f>IF(OR($B12&lt;&gt;"Đột xuất",$AA12&lt;&gt;"Hoàn thành",N($X12)=0,$AW12=0),"",IF($X12&lt;=$AW12,"Đúng hạn","Trễ hạn"))</f>
      </c>
      <c r="AI12" s="220">
        <f>IF($A12="","",_xlfn.MAXIFS('Nhật ký tiến độ'!$B$6:$B$3005,'Nhật ký tiến độ'!$C$6:$C$3005,$A12))</f>
      </c>
      <c r="AJ12" s="225">
        <f>IF(OR($A12="",$B12&lt;&gt;"Định kỳ"),0,IFERROR(INDEX(DM_TanSuatNgay,MATCH($H12,DM_TanSuat,0)),0))</f>
      </c>
      <c r="AK12" s="225">
        <f>IF(OR($A12="",$B12&lt;&gt;"Định kỳ"),0,IFERROR(INDEX(DM_TanSuatThang,MATCH($H12,DM_TanSuat,0)),0))</f>
      </c>
      <c r="AL12" s="225">
        <f>IF(OR($A12="",$B12&lt;&gt;"Định kỳ",N($X12)=0,N($I12)=0),"",IF(INT($X12)&lt;$I12,0,IF($AJ12&gt;0,ROUND((INT($X12)-$I12)/$AJ12,0),IF($AK12&gt;0,ROUND((DATEDIF($I12,INT($X12),"m")+(INT($X12)-EDATE($I12,DATEDIF($I12,INT($X12),"m")))/(EDATE($I12,DATEDIF($I12,INT($X12),"m")+1)-EDATE($I12,DATEDIF($I12,INT($X12),"m"))))/$AK12,0),0))))</f>
      </c>
      <c r="AM12" s="225">
        <f>IF($A12="","",IF(COUNTIF('Nhật ký tiến độ'!$C$6:$C$3005,$A12)=0,0,_xlfn.MAXIFS('Nhật ký tiến độ'!$N$6:$N$3005,'Nhật ký tiến độ'!$C$6:$C$3005,$A12,'Nhật ký tiến độ'!$B$6:$B$3005,_xlfn.MAXIFS('Nhật ký tiến độ'!$B$6:$B$3005,'Nhật ký tiến độ'!$C$6:$C$3005,$A12))))</f>
      </c>
      <c r="AN12" s="225">
        <f>IF($A12="","",IF(N($AM12)=0,"",INDEX('Nhật ký tiến độ'!$E:$E,$AM12)))</f>
      </c>
      <c r="AO12" s="225">
        <f>IF($A12="",0,IF($AA12="Hoàn thành",0,1))</f>
      </c>
      <c r="AP12" s="225">
        <f>IF($AO12=0,0,INT(N($AW12)))</f>
      </c>
      <c r="AQ12" s="225">
        <f>IF(AND($AO12=1,$AJ12&gt;1),$AJ12,0)</f>
      </c>
      <c r="AR12" s="225">
        <f>IF(AND($AO12=1,$AJ12=1),1,0)</f>
      </c>
      <c r="AS12" s="225">
        <f>IF(OR($AO12=0,AND($AR12=1,N($BB12)=0)),"",IF(N($BB12)&gt;0,5-$BB12,IF($AD12="Chậm tiến độ",6,IF($AD12="Đến hạn hôm nay",7,IF(AND($AP12&gt;0,$AP12-NgayBC&lt;=7),8,"")))))</f>
      </c>
      <c r="AT12" s="225">
        <f>IF($AS12="","",$AS12*100000+$AP12+ROW()/100000)</f>
      </c>
      <c r="AU12" s="224">
        <f>IF(OR($A12="",N($R12)&lt;=0),"",IF($S12="Ngày",$R12*24,$R12))</f>
      </c>
      <c r="AV12" s="224">
        <f>IF($A12="","",IF($B12="Đột xuất",IF(OR($AA12&lt;&gt;"Hoàn thành",N($X12)=0,N($J12)=0),"",IF($X12&lt;$J12,"",($X12-$J12)*24)),IFERROR(AVERAGEIFS('Nhật ký tiến độ'!$H$6:$H$3005,'Nhật ký tiến độ'!$C$6:$C$3005,$A12,'Nhật ký tiến độ'!$H$6:$H$3005,"&gt;0"),"")))</f>
      </c>
      <c r="AW12" s="233">
        <f>IF($A12="",0,IF($B12="Đột xuất",$AY12,IF($AX12=0,0,$AX12+1-1/1440)))</f>
      </c>
      <c r="AX12" s="234">
        <f>IF(OR($A12="",$B12&lt;&gt;"Định kỳ",N($I12)=0),0,IF($AL12="",$I12,IF($AJ12&gt;0,$I12+($AL12+1)*$AJ12,IF($AK12&gt;0,EDATE($I12,($AL12+1)*$AK12),$I12))))</f>
      </c>
      <c r="AY12" s="233">
        <f>IF(OR($A12="",$B12&lt;&gt;"Đột xuất"),0,IF(N($K12)&gt;0,IF(MOD($K12,1)=0,$K12+1-1/1440,$K12),IF(N($J12)=0,0,$J12+IF(N($AU12)&gt;0,$AU12,IFERROR(INDEX(DM_SLA_Gio,MATCH($L12,DM_SLA_Cap,0)),168))/24)))</f>
      </c>
      <c r="AZ12" s="225">
        <f>IF(OR($A12="",TRIM($N12)="",COUNTIF('Phản ánh'!$K$6:$K$505,$N12)&gt;0,COUNTIF($N$6:$N12,$N12)&gt;1),0,1)</f>
      </c>
      <c r="BA12" s="225">
        <f>IF($AZ12=1,SUM($AZ$6:$AZ12),"")</f>
      </c>
      <c r="BB12" s="225">
        <f>IF(OR($AO12=0,N($AW12)=0),0,IF(TDBC&lt;=$AW12,0,MAX(1,MIN(4,IF((TDBC-$AW12)*24&lt;24,1,IF((TDBC-$AW12)*24&lt;72,2,IF((TDBC-$AW12)*24&lt;168,3,4)))+IF($B12="Đột xuất",IFERROR(INDEX({2,1,0,-1},MATCH($L12,{"Khẩn cấp","Cao","Trung bình","Thấp"},0)),0),IF($D12="PCCC và an ninh",1,0))))))</f>
      </c>
    </row>
    <row r="13">
      <c r="A13" s="216"/>
      <c r="B13" s="216"/>
      <c r="C13" s="218"/>
      <c r="D13" s="218"/>
      <c r="E13" s="218"/>
      <c r="F13" s="216"/>
      <c r="G13" s="218"/>
      <c r="H13" s="218"/>
      <c r="I13" s="231"/>
      <c r="J13" s="217"/>
      <c r="K13" s="217"/>
      <c r="L13" s="216"/>
      <c r="M13" s="216"/>
      <c r="N13" s="218"/>
      <c r="O13" s="218"/>
      <c r="P13" s="218"/>
      <c r="Q13" s="218"/>
      <c r="R13" s="219"/>
      <c r="S13" s="216"/>
      <c r="T13" s="232"/>
      <c r="U13" s="232"/>
      <c r="V13" s="218"/>
      <c r="W13" s="218"/>
      <c r="X13" s="220">
        <f>IF($A13="","",IF(OR($B13="Định kỳ",$AA13="Hoàn thành"),MAX(_xlfn.MAXIFS('Nhật ký tiến độ'!$B$6:$B$3005,'Nhật ký tiến độ'!$C$6:$C$3005,$A13,'Nhật ký tiến độ'!$E$6:$E$3005,"Hoàn thành kỳ"),_xlfn.MAXIFS('Nhật ký tiến độ'!$B$6:$B$3005,'Nhật ký tiến độ'!$C$6:$C$3005,$A13,'Nhật ký tiến độ'!$E$6:$E$3005,"Hoàn thành")),0))</f>
      </c>
      <c r="Y13" s="220">
        <f>IF($A13="","",IF($B13="Đột xuất",IF($AY13=0,"",$AY13),IF($AX13=0,"",$AX13)))</f>
      </c>
      <c r="Z13" s="223">
        <f>IF(OR($AO13=0,$AW13=0),"",IF(TDBC&gt;$AW13,"Quá "&amp;IF($B13="Định kỳ",(NgayBC-$AP13)&amp;" ngày",IF(((TDBC-$AW13)*24)&lt;1,MAX(1,ROUND(((TDBC-$AW13)*24)*60,0))&amp;" phút",IF(ROUND(((TDBC-$AW13)*24),0)&lt;24,ROUND(((TDBC-$AW13)*24),0)&amp;" giờ",INT(ROUND(((TDBC-$AW13)*24),0)/24)&amp;" ngày"&amp;IF(MOD(ROUND(((TDBC-$AW13)*24),0),24)&gt;0," "&amp;MOD(ROUND(((TDBC-$AW13)*24),0),24)&amp;" giờ","")))),IF($B13="Định kỳ",IF($AP13=NgayBC,"Hôm nay","Còn "&amp;($AP13-NgayBC)&amp;" ngày"),"Còn "&amp;IF((($AW13-TDBC)*24)&lt;1,MAX(1,ROUND((($AW13-TDBC)*24)*60,0))&amp;" phút",IF(ROUND((($AW13-TDBC)*24),0)&lt;24,ROUND((($AW13-TDBC)*24),0)&amp;" giờ",INT(ROUND((($AW13-TDBC)*24),0)/24)&amp;" ngày"&amp;IF(MOD(ROUND((($AW13-TDBC)*24),0),24)&gt;0," "&amp;MOD(ROUND((($AW13-TDBC)*24),0),24)&amp;" giờ",""))))))</f>
      </c>
      <c r="AA13" s="221">
        <f>IF($A13="","",IF(N($AM13)=0,"Chưa bắt đầu",IF(OR($AN13="Hoàn thành kỳ",$AN13="Hoàn thành"),IF($B13="Định kỳ","Chưa bắt đầu","Hoàn thành"),$AN13)))</f>
      </c>
      <c r="AB13" s="222">
        <f>IF($A13="","",IF($AA13="Hoàn thành",1,IF(OR(N($AM13)=0,$AN13="Hoàn thành kỳ",$AN13="Hoàn thành"),0,N(INDEX('Nhật ký tiến độ'!$D:$D,$AM13)))))</f>
      </c>
      <c r="AC13" s="222">
        <f>IF(OR($A13="",$B13&lt;&gt;"Đột xuất",$AA13="Hoàn thành",N($J13)=0,$AW13=0),"",IF(TDBC&lt;=$J13,0,IF(TDBC&gt;=$AW13,1,(TDBC-$J13)/($AW13-$J13))))</f>
      </c>
      <c r="AD13" s="223">
        <f>IF($A13="","",IF($AA13="Hoàn thành","Hoàn thành",IF($AW13=0,"Chưa đặt hạn",IF(TDBC&gt;$AW13,"Quá hạn",IF(AND($B13="Đột xuất",ROUND((N($AC13)-$AB13)*100,0)&gt;=20),"Chậm tiến độ",IF($AP13=NgayBC,"Đến hạn hôm nay",IF($B13="Đột xuất",IF($AW13-TDBC&lt;=1,"Sắp đến hạn","Đúng tiến độ"),IF($AP13-NgayBC&lt;=3,"Sắp đến hạn","Theo lịch"))))))))</f>
      </c>
      <c r="AE13" s="223">
        <f>IF($AV13="","",IF($B13="Định kỳ","Bình quân "&amp;IF($AV13&lt;1,MAX(1,ROUND($AV13*60,0))&amp;" phút",IF(ROUND($AV13,0)&lt;24,ROUND($AV13,0)&amp;" giờ",INT(ROUND($AV13,0)/24)&amp;" ngày"&amp;IF(MOD(ROUND($AV13,0),24)&gt;0," "&amp;MOD(ROUND($AV13,0),24)&amp;" giờ","")))&amp;" mỗi kỳ",IF($AV13&lt;1,MAX(1,ROUND($AV13*60,0))&amp;" phút",IF(ROUND($AV13,0)&lt;24,ROUND($AV13,0)&amp;" giờ",INT(ROUND($AV13,0)/24)&amp;" ngày"&amp;IF(MOD(ROUND($AV13,0),24)&gt;0," "&amp;MOD(ROUND($AV13,0),24)&amp;" giờ","")))))</f>
      </c>
      <c r="AF13" s="223">
        <f>IF(OR($A13="",N($AU13)=0),"",IF($AV13&lt;&gt;"",IF($AV13&lt;=$AU13,"Trong ước tính","Vượt "&amp;IF(($AV13-$AU13)&lt;1,MAX(1,ROUND(($AV13-$AU13)*60,0))&amp;" phút",IF(ROUND(($AV13-$AU13),0)&lt;24,ROUND(($AV13-$AU13),0)&amp;" giờ",INT(ROUND(($AV13-$AU13),0)/24)&amp;" ngày"&amp;IF(MOD(ROUND(($AV13-$AU13),0),24)&gt;0," "&amp;MOD(ROUND(($AV13-$AU13),0),24)&amp;" giờ","")))),IF(OR($B13&lt;&gt;"Đột xuất",$AA13="Hoàn thành",N($J13)=0),"",IF((TDBC-$J13)*24&gt;$AU13,"Đã vượt ước tính","Đã dùng "&amp;TEXT((TDBC-$J13)*24/$AU13,"0%")))))</f>
      </c>
      <c r="AG13" s="223">
        <f>IF(N($BB13)=0,"",CHOOSE($BB13,"Nhắc nhở","Cảnh báo","Báo động","Báo động đỏ"))</f>
      </c>
      <c r="AH13" s="223">
        <f>IF(OR($B13&lt;&gt;"Đột xuất",$AA13&lt;&gt;"Hoàn thành",N($X13)=0,$AW13=0),"",IF($X13&lt;=$AW13,"Đúng hạn","Trễ hạn"))</f>
      </c>
      <c r="AI13" s="220">
        <f>IF($A13="","",_xlfn.MAXIFS('Nhật ký tiến độ'!$B$6:$B$3005,'Nhật ký tiến độ'!$C$6:$C$3005,$A13))</f>
      </c>
      <c r="AJ13" s="225">
        <f>IF(OR($A13="",$B13&lt;&gt;"Định kỳ"),0,IFERROR(INDEX(DM_TanSuatNgay,MATCH($H13,DM_TanSuat,0)),0))</f>
      </c>
      <c r="AK13" s="225">
        <f>IF(OR($A13="",$B13&lt;&gt;"Định kỳ"),0,IFERROR(INDEX(DM_TanSuatThang,MATCH($H13,DM_TanSuat,0)),0))</f>
      </c>
      <c r="AL13" s="225">
        <f>IF(OR($A13="",$B13&lt;&gt;"Định kỳ",N($X13)=0,N($I13)=0),"",IF(INT($X13)&lt;$I13,0,IF($AJ13&gt;0,ROUND((INT($X13)-$I13)/$AJ13,0),IF($AK13&gt;0,ROUND((DATEDIF($I13,INT($X13),"m")+(INT($X13)-EDATE($I13,DATEDIF($I13,INT($X13),"m")))/(EDATE($I13,DATEDIF($I13,INT($X13),"m")+1)-EDATE($I13,DATEDIF($I13,INT($X13),"m"))))/$AK13,0),0))))</f>
      </c>
      <c r="AM13" s="225">
        <f>IF($A13="","",IF(COUNTIF('Nhật ký tiến độ'!$C$6:$C$3005,$A13)=0,0,_xlfn.MAXIFS('Nhật ký tiến độ'!$N$6:$N$3005,'Nhật ký tiến độ'!$C$6:$C$3005,$A13,'Nhật ký tiến độ'!$B$6:$B$3005,_xlfn.MAXIFS('Nhật ký tiến độ'!$B$6:$B$3005,'Nhật ký tiến độ'!$C$6:$C$3005,$A13))))</f>
      </c>
      <c r="AN13" s="225">
        <f>IF($A13="","",IF(N($AM13)=0,"",INDEX('Nhật ký tiến độ'!$E:$E,$AM13)))</f>
      </c>
      <c r="AO13" s="225">
        <f>IF($A13="",0,IF($AA13="Hoàn thành",0,1))</f>
      </c>
      <c r="AP13" s="225">
        <f>IF($AO13=0,0,INT(N($AW13)))</f>
      </c>
      <c r="AQ13" s="225">
        <f>IF(AND($AO13=1,$AJ13&gt;1),$AJ13,0)</f>
      </c>
      <c r="AR13" s="225">
        <f>IF(AND($AO13=1,$AJ13=1),1,0)</f>
      </c>
      <c r="AS13" s="225">
        <f>IF(OR($AO13=0,AND($AR13=1,N($BB13)=0)),"",IF(N($BB13)&gt;0,5-$BB13,IF($AD13="Chậm tiến độ",6,IF($AD13="Đến hạn hôm nay",7,IF(AND($AP13&gt;0,$AP13-NgayBC&lt;=7),8,"")))))</f>
      </c>
      <c r="AT13" s="225">
        <f>IF($AS13="","",$AS13*100000+$AP13+ROW()/100000)</f>
      </c>
      <c r="AU13" s="224">
        <f>IF(OR($A13="",N($R13)&lt;=0),"",IF($S13="Ngày",$R13*24,$R13))</f>
      </c>
      <c r="AV13" s="224">
        <f>IF($A13="","",IF($B13="Đột xuất",IF(OR($AA13&lt;&gt;"Hoàn thành",N($X13)=0,N($J13)=0),"",IF($X13&lt;$J13,"",($X13-$J13)*24)),IFERROR(AVERAGEIFS('Nhật ký tiến độ'!$H$6:$H$3005,'Nhật ký tiến độ'!$C$6:$C$3005,$A13,'Nhật ký tiến độ'!$H$6:$H$3005,"&gt;0"),"")))</f>
      </c>
      <c r="AW13" s="233">
        <f>IF($A13="",0,IF($B13="Đột xuất",$AY13,IF($AX13=0,0,$AX13+1-1/1440)))</f>
      </c>
      <c r="AX13" s="234">
        <f>IF(OR($A13="",$B13&lt;&gt;"Định kỳ",N($I13)=0),0,IF($AL13="",$I13,IF($AJ13&gt;0,$I13+($AL13+1)*$AJ13,IF($AK13&gt;0,EDATE($I13,($AL13+1)*$AK13),$I13))))</f>
      </c>
      <c r="AY13" s="233">
        <f>IF(OR($A13="",$B13&lt;&gt;"Đột xuất"),0,IF(N($K13)&gt;0,IF(MOD($K13,1)=0,$K13+1-1/1440,$K13),IF(N($J13)=0,0,$J13+IF(N($AU13)&gt;0,$AU13,IFERROR(INDEX(DM_SLA_Gio,MATCH($L13,DM_SLA_Cap,0)),168))/24)))</f>
      </c>
      <c r="AZ13" s="225">
        <f>IF(OR($A13="",TRIM($N13)="",COUNTIF('Phản ánh'!$K$6:$K$505,$N13)&gt;0,COUNTIF($N$6:$N13,$N13)&gt;1),0,1)</f>
      </c>
      <c r="BA13" s="225">
        <f>IF($AZ13=1,SUM($AZ$6:$AZ13),"")</f>
      </c>
      <c r="BB13" s="225">
        <f>IF(OR($AO13=0,N($AW13)=0),0,IF(TDBC&lt;=$AW13,0,MAX(1,MIN(4,IF((TDBC-$AW13)*24&lt;24,1,IF((TDBC-$AW13)*24&lt;72,2,IF((TDBC-$AW13)*24&lt;168,3,4)))+IF($B13="Đột xuất",IFERROR(INDEX({2,1,0,-1},MATCH($L13,{"Khẩn cấp","Cao","Trung bình","Thấp"},0)),0),IF($D13="PCCC và an ninh",1,0))))))</f>
      </c>
    </row>
    <row r="14">
      <c r="A14" s="216"/>
      <c r="B14" s="216"/>
      <c r="C14" s="218"/>
      <c r="D14" s="218"/>
      <c r="E14" s="218"/>
      <c r="F14" s="216"/>
      <c r="G14" s="218"/>
      <c r="H14" s="218"/>
      <c r="I14" s="231"/>
      <c r="J14" s="217"/>
      <c r="K14" s="217"/>
      <c r="L14" s="216"/>
      <c r="M14" s="216"/>
      <c r="N14" s="218"/>
      <c r="O14" s="218"/>
      <c r="P14" s="218"/>
      <c r="Q14" s="218"/>
      <c r="R14" s="219"/>
      <c r="S14" s="216"/>
      <c r="T14" s="232"/>
      <c r="U14" s="232"/>
      <c r="V14" s="218"/>
      <c r="W14" s="218"/>
      <c r="X14" s="220">
        <f>IF($A14="","",IF(OR($B14="Định kỳ",$AA14="Hoàn thành"),MAX(_xlfn.MAXIFS('Nhật ký tiến độ'!$B$6:$B$3005,'Nhật ký tiến độ'!$C$6:$C$3005,$A14,'Nhật ký tiến độ'!$E$6:$E$3005,"Hoàn thành kỳ"),_xlfn.MAXIFS('Nhật ký tiến độ'!$B$6:$B$3005,'Nhật ký tiến độ'!$C$6:$C$3005,$A14,'Nhật ký tiến độ'!$E$6:$E$3005,"Hoàn thành")),0))</f>
      </c>
      <c r="Y14" s="220">
        <f>IF($A14="","",IF($B14="Đột xuất",IF($AY14=0,"",$AY14),IF($AX14=0,"",$AX14)))</f>
      </c>
      <c r="Z14" s="223">
        <f>IF(OR($AO14=0,$AW14=0),"",IF(TDBC&gt;$AW14,"Quá "&amp;IF($B14="Định kỳ",(NgayBC-$AP14)&amp;" ngày",IF(((TDBC-$AW14)*24)&lt;1,MAX(1,ROUND(((TDBC-$AW14)*24)*60,0))&amp;" phút",IF(ROUND(((TDBC-$AW14)*24),0)&lt;24,ROUND(((TDBC-$AW14)*24),0)&amp;" giờ",INT(ROUND(((TDBC-$AW14)*24),0)/24)&amp;" ngày"&amp;IF(MOD(ROUND(((TDBC-$AW14)*24),0),24)&gt;0," "&amp;MOD(ROUND(((TDBC-$AW14)*24),0),24)&amp;" giờ","")))),IF($B14="Định kỳ",IF($AP14=NgayBC,"Hôm nay","Còn "&amp;($AP14-NgayBC)&amp;" ngày"),"Còn "&amp;IF((($AW14-TDBC)*24)&lt;1,MAX(1,ROUND((($AW14-TDBC)*24)*60,0))&amp;" phút",IF(ROUND((($AW14-TDBC)*24),0)&lt;24,ROUND((($AW14-TDBC)*24),0)&amp;" giờ",INT(ROUND((($AW14-TDBC)*24),0)/24)&amp;" ngày"&amp;IF(MOD(ROUND((($AW14-TDBC)*24),0),24)&gt;0," "&amp;MOD(ROUND((($AW14-TDBC)*24),0),24)&amp;" giờ",""))))))</f>
      </c>
      <c r="AA14" s="221">
        <f>IF($A14="","",IF(N($AM14)=0,"Chưa bắt đầu",IF(OR($AN14="Hoàn thành kỳ",$AN14="Hoàn thành"),IF($B14="Định kỳ","Chưa bắt đầu","Hoàn thành"),$AN14)))</f>
      </c>
      <c r="AB14" s="222">
        <f>IF($A14="","",IF($AA14="Hoàn thành",1,IF(OR(N($AM14)=0,$AN14="Hoàn thành kỳ",$AN14="Hoàn thành"),0,N(INDEX('Nhật ký tiến độ'!$D:$D,$AM14)))))</f>
      </c>
      <c r="AC14" s="222">
        <f>IF(OR($A14="",$B14&lt;&gt;"Đột xuất",$AA14="Hoàn thành",N($J14)=0,$AW14=0),"",IF(TDBC&lt;=$J14,0,IF(TDBC&gt;=$AW14,1,(TDBC-$J14)/($AW14-$J14))))</f>
      </c>
      <c r="AD14" s="223">
        <f>IF($A14="","",IF($AA14="Hoàn thành","Hoàn thành",IF($AW14=0,"Chưa đặt hạn",IF(TDBC&gt;$AW14,"Quá hạn",IF(AND($B14="Đột xuất",ROUND((N($AC14)-$AB14)*100,0)&gt;=20),"Chậm tiến độ",IF($AP14=NgayBC,"Đến hạn hôm nay",IF($B14="Đột xuất",IF($AW14-TDBC&lt;=1,"Sắp đến hạn","Đúng tiến độ"),IF($AP14-NgayBC&lt;=3,"Sắp đến hạn","Theo lịch"))))))))</f>
      </c>
      <c r="AE14" s="223">
        <f>IF($AV14="","",IF($B14="Định kỳ","Bình quân "&amp;IF($AV14&lt;1,MAX(1,ROUND($AV14*60,0))&amp;" phút",IF(ROUND($AV14,0)&lt;24,ROUND($AV14,0)&amp;" giờ",INT(ROUND($AV14,0)/24)&amp;" ngày"&amp;IF(MOD(ROUND($AV14,0),24)&gt;0," "&amp;MOD(ROUND($AV14,0),24)&amp;" giờ","")))&amp;" mỗi kỳ",IF($AV14&lt;1,MAX(1,ROUND($AV14*60,0))&amp;" phút",IF(ROUND($AV14,0)&lt;24,ROUND($AV14,0)&amp;" giờ",INT(ROUND($AV14,0)/24)&amp;" ngày"&amp;IF(MOD(ROUND($AV14,0),24)&gt;0," "&amp;MOD(ROUND($AV14,0),24)&amp;" giờ","")))))</f>
      </c>
      <c r="AF14" s="223">
        <f>IF(OR($A14="",N($AU14)=0),"",IF($AV14&lt;&gt;"",IF($AV14&lt;=$AU14,"Trong ước tính","Vượt "&amp;IF(($AV14-$AU14)&lt;1,MAX(1,ROUND(($AV14-$AU14)*60,0))&amp;" phút",IF(ROUND(($AV14-$AU14),0)&lt;24,ROUND(($AV14-$AU14),0)&amp;" giờ",INT(ROUND(($AV14-$AU14),0)/24)&amp;" ngày"&amp;IF(MOD(ROUND(($AV14-$AU14),0),24)&gt;0," "&amp;MOD(ROUND(($AV14-$AU14),0),24)&amp;" giờ","")))),IF(OR($B14&lt;&gt;"Đột xuất",$AA14="Hoàn thành",N($J14)=0),"",IF((TDBC-$J14)*24&gt;$AU14,"Đã vượt ước tính","Đã dùng "&amp;TEXT((TDBC-$J14)*24/$AU14,"0%")))))</f>
      </c>
      <c r="AG14" s="223">
        <f>IF(N($BB14)=0,"",CHOOSE($BB14,"Nhắc nhở","Cảnh báo","Báo động","Báo động đỏ"))</f>
      </c>
      <c r="AH14" s="223">
        <f>IF(OR($B14&lt;&gt;"Đột xuất",$AA14&lt;&gt;"Hoàn thành",N($X14)=0,$AW14=0),"",IF($X14&lt;=$AW14,"Đúng hạn","Trễ hạn"))</f>
      </c>
      <c r="AI14" s="220">
        <f>IF($A14="","",_xlfn.MAXIFS('Nhật ký tiến độ'!$B$6:$B$3005,'Nhật ký tiến độ'!$C$6:$C$3005,$A14))</f>
      </c>
      <c r="AJ14" s="225">
        <f>IF(OR($A14="",$B14&lt;&gt;"Định kỳ"),0,IFERROR(INDEX(DM_TanSuatNgay,MATCH($H14,DM_TanSuat,0)),0))</f>
      </c>
      <c r="AK14" s="225">
        <f>IF(OR($A14="",$B14&lt;&gt;"Định kỳ"),0,IFERROR(INDEX(DM_TanSuatThang,MATCH($H14,DM_TanSuat,0)),0))</f>
      </c>
      <c r="AL14" s="225">
        <f>IF(OR($A14="",$B14&lt;&gt;"Định kỳ",N($X14)=0,N($I14)=0),"",IF(INT($X14)&lt;$I14,0,IF($AJ14&gt;0,ROUND((INT($X14)-$I14)/$AJ14,0),IF($AK14&gt;0,ROUND((DATEDIF($I14,INT($X14),"m")+(INT($X14)-EDATE($I14,DATEDIF($I14,INT($X14),"m")))/(EDATE($I14,DATEDIF($I14,INT($X14),"m")+1)-EDATE($I14,DATEDIF($I14,INT($X14),"m"))))/$AK14,0),0))))</f>
      </c>
      <c r="AM14" s="225">
        <f>IF($A14="","",IF(COUNTIF('Nhật ký tiến độ'!$C$6:$C$3005,$A14)=0,0,_xlfn.MAXIFS('Nhật ký tiến độ'!$N$6:$N$3005,'Nhật ký tiến độ'!$C$6:$C$3005,$A14,'Nhật ký tiến độ'!$B$6:$B$3005,_xlfn.MAXIFS('Nhật ký tiến độ'!$B$6:$B$3005,'Nhật ký tiến độ'!$C$6:$C$3005,$A14))))</f>
      </c>
      <c r="AN14" s="225">
        <f>IF($A14="","",IF(N($AM14)=0,"",INDEX('Nhật ký tiến độ'!$E:$E,$AM14)))</f>
      </c>
      <c r="AO14" s="225">
        <f>IF($A14="",0,IF($AA14="Hoàn thành",0,1))</f>
      </c>
      <c r="AP14" s="225">
        <f>IF($AO14=0,0,INT(N($AW14)))</f>
      </c>
      <c r="AQ14" s="225">
        <f>IF(AND($AO14=1,$AJ14&gt;1),$AJ14,0)</f>
      </c>
      <c r="AR14" s="225">
        <f>IF(AND($AO14=1,$AJ14=1),1,0)</f>
      </c>
      <c r="AS14" s="225">
        <f>IF(OR($AO14=0,AND($AR14=1,N($BB14)=0)),"",IF(N($BB14)&gt;0,5-$BB14,IF($AD14="Chậm tiến độ",6,IF($AD14="Đến hạn hôm nay",7,IF(AND($AP14&gt;0,$AP14-NgayBC&lt;=7),8,"")))))</f>
      </c>
      <c r="AT14" s="225">
        <f>IF($AS14="","",$AS14*100000+$AP14+ROW()/100000)</f>
      </c>
      <c r="AU14" s="224">
        <f>IF(OR($A14="",N($R14)&lt;=0),"",IF($S14="Ngày",$R14*24,$R14))</f>
      </c>
      <c r="AV14" s="224">
        <f>IF($A14="","",IF($B14="Đột xuất",IF(OR($AA14&lt;&gt;"Hoàn thành",N($X14)=0,N($J14)=0),"",IF($X14&lt;$J14,"",($X14-$J14)*24)),IFERROR(AVERAGEIFS('Nhật ký tiến độ'!$H$6:$H$3005,'Nhật ký tiến độ'!$C$6:$C$3005,$A14,'Nhật ký tiến độ'!$H$6:$H$3005,"&gt;0"),"")))</f>
      </c>
      <c r="AW14" s="233">
        <f>IF($A14="",0,IF($B14="Đột xuất",$AY14,IF($AX14=0,0,$AX14+1-1/1440)))</f>
      </c>
      <c r="AX14" s="234">
        <f>IF(OR($A14="",$B14&lt;&gt;"Định kỳ",N($I14)=0),0,IF($AL14="",$I14,IF($AJ14&gt;0,$I14+($AL14+1)*$AJ14,IF($AK14&gt;0,EDATE($I14,($AL14+1)*$AK14),$I14))))</f>
      </c>
      <c r="AY14" s="233">
        <f>IF(OR($A14="",$B14&lt;&gt;"Đột xuất"),0,IF(N($K14)&gt;0,IF(MOD($K14,1)=0,$K14+1-1/1440,$K14),IF(N($J14)=0,0,$J14+IF(N($AU14)&gt;0,$AU14,IFERROR(INDEX(DM_SLA_Gio,MATCH($L14,DM_SLA_Cap,0)),168))/24)))</f>
      </c>
      <c r="AZ14" s="225">
        <f>IF(OR($A14="",TRIM($N14)="",COUNTIF('Phản ánh'!$K$6:$K$505,$N14)&gt;0,COUNTIF($N$6:$N14,$N14)&gt;1),0,1)</f>
      </c>
      <c r="BA14" s="225">
        <f>IF($AZ14=1,SUM($AZ$6:$AZ14),"")</f>
      </c>
      <c r="BB14" s="225">
        <f>IF(OR($AO14=0,N($AW14)=0),0,IF(TDBC&lt;=$AW14,0,MAX(1,MIN(4,IF((TDBC-$AW14)*24&lt;24,1,IF((TDBC-$AW14)*24&lt;72,2,IF((TDBC-$AW14)*24&lt;168,3,4)))+IF($B14="Đột xuất",IFERROR(INDEX({2,1,0,-1},MATCH($L14,{"Khẩn cấp","Cao","Trung bình","Thấp"},0)),0),IF($D14="PCCC và an ninh",1,0))))))</f>
      </c>
    </row>
    <row r="15">
      <c r="A15" s="216"/>
      <c r="B15" s="216"/>
      <c r="C15" s="218"/>
      <c r="D15" s="218"/>
      <c r="E15" s="218"/>
      <c r="F15" s="216"/>
      <c r="G15" s="218"/>
      <c r="H15" s="218"/>
      <c r="I15" s="231"/>
      <c r="J15" s="217"/>
      <c r="K15" s="217"/>
      <c r="L15" s="216"/>
      <c r="M15" s="216"/>
      <c r="N15" s="218"/>
      <c r="O15" s="218"/>
      <c r="P15" s="218"/>
      <c r="Q15" s="218"/>
      <c r="R15" s="219"/>
      <c r="S15" s="216"/>
      <c r="T15" s="232"/>
      <c r="U15" s="232"/>
      <c r="V15" s="218"/>
      <c r="W15" s="218"/>
      <c r="X15" s="220">
        <f>IF($A15="","",IF(OR($B15="Định kỳ",$AA15="Hoàn thành"),MAX(_xlfn.MAXIFS('Nhật ký tiến độ'!$B$6:$B$3005,'Nhật ký tiến độ'!$C$6:$C$3005,$A15,'Nhật ký tiến độ'!$E$6:$E$3005,"Hoàn thành kỳ"),_xlfn.MAXIFS('Nhật ký tiến độ'!$B$6:$B$3005,'Nhật ký tiến độ'!$C$6:$C$3005,$A15,'Nhật ký tiến độ'!$E$6:$E$3005,"Hoàn thành")),0))</f>
      </c>
      <c r="Y15" s="220">
        <f>IF($A15="","",IF($B15="Đột xuất",IF($AY15=0,"",$AY15),IF($AX15=0,"",$AX15)))</f>
      </c>
      <c r="Z15" s="223">
        <f>IF(OR($AO15=0,$AW15=0),"",IF(TDBC&gt;$AW15,"Quá "&amp;IF($B15="Định kỳ",(NgayBC-$AP15)&amp;" ngày",IF(((TDBC-$AW15)*24)&lt;1,MAX(1,ROUND(((TDBC-$AW15)*24)*60,0))&amp;" phút",IF(ROUND(((TDBC-$AW15)*24),0)&lt;24,ROUND(((TDBC-$AW15)*24),0)&amp;" giờ",INT(ROUND(((TDBC-$AW15)*24),0)/24)&amp;" ngày"&amp;IF(MOD(ROUND(((TDBC-$AW15)*24),0),24)&gt;0," "&amp;MOD(ROUND(((TDBC-$AW15)*24),0),24)&amp;" giờ","")))),IF($B15="Định kỳ",IF($AP15=NgayBC,"Hôm nay","Còn "&amp;($AP15-NgayBC)&amp;" ngày"),"Còn "&amp;IF((($AW15-TDBC)*24)&lt;1,MAX(1,ROUND((($AW15-TDBC)*24)*60,0))&amp;" phút",IF(ROUND((($AW15-TDBC)*24),0)&lt;24,ROUND((($AW15-TDBC)*24),0)&amp;" giờ",INT(ROUND((($AW15-TDBC)*24),0)/24)&amp;" ngày"&amp;IF(MOD(ROUND((($AW15-TDBC)*24),0),24)&gt;0," "&amp;MOD(ROUND((($AW15-TDBC)*24),0),24)&amp;" giờ",""))))))</f>
      </c>
      <c r="AA15" s="221">
        <f>IF($A15="","",IF(N($AM15)=0,"Chưa bắt đầu",IF(OR($AN15="Hoàn thành kỳ",$AN15="Hoàn thành"),IF($B15="Định kỳ","Chưa bắt đầu","Hoàn thành"),$AN15)))</f>
      </c>
      <c r="AB15" s="222">
        <f>IF($A15="","",IF($AA15="Hoàn thành",1,IF(OR(N($AM15)=0,$AN15="Hoàn thành kỳ",$AN15="Hoàn thành"),0,N(INDEX('Nhật ký tiến độ'!$D:$D,$AM15)))))</f>
      </c>
      <c r="AC15" s="222">
        <f>IF(OR($A15="",$B15&lt;&gt;"Đột xuất",$AA15="Hoàn thành",N($J15)=0,$AW15=0),"",IF(TDBC&lt;=$J15,0,IF(TDBC&gt;=$AW15,1,(TDBC-$J15)/($AW15-$J15))))</f>
      </c>
      <c r="AD15" s="223">
        <f>IF($A15="","",IF($AA15="Hoàn thành","Hoàn thành",IF($AW15=0,"Chưa đặt hạn",IF(TDBC&gt;$AW15,"Quá hạn",IF(AND($B15="Đột xuất",ROUND((N($AC15)-$AB15)*100,0)&gt;=20),"Chậm tiến độ",IF($AP15=NgayBC,"Đến hạn hôm nay",IF($B15="Đột xuất",IF($AW15-TDBC&lt;=1,"Sắp đến hạn","Đúng tiến độ"),IF($AP15-NgayBC&lt;=3,"Sắp đến hạn","Theo lịch"))))))))</f>
      </c>
      <c r="AE15" s="223">
        <f>IF($AV15="","",IF($B15="Định kỳ","Bình quân "&amp;IF($AV15&lt;1,MAX(1,ROUND($AV15*60,0))&amp;" phút",IF(ROUND($AV15,0)&lt;24,ROUND($AV15,0)&amp;" giờ",INT(ROUND($AV15,0)/24)&amp;" ngày"&amp;IF(MOD(ROUND($AV15,0),24)&gt;0," "&amp;MOD(ROUND($AV15,0),24)&amp;" giờ","")))&amp;" mỗi kỳ",IF($AV15&lt;1,MAX(1,ROUND($AV15*60,0))&amp;" phút",IF(ROUND($AV15,0)&lt;24,ROUND($AV15,0)&amp;" giờ",INT(ROUND($AV15,0)/24)&amp;" ngày"&amp;IF(MOD(ROUND($AV15,0),24)&gt;0," "&amp;MOD(ROUND($AV15,0),24)&amp;" giờ","")))))</f>
      </c>
      <c r="AF15" s="223">
        <f>IF(OR($A15="",N($AU15)=0),"",IF($AV15&lt;&gt;"",IF($AV15&lt;=$AU15,"Trong ước tính","Vượt "&amp;IF(($AV15-$AU15)&lt;1,MAX(1,ROUND(($AV15-$AU15)*60,0))&amp;" phút",IF(ROUND(($AV15-$AU15),0)&lt;24,ROUND(($AV15-$AU15),0)&amp;" giờ",INT(ROUND(($AV15-$AU15),0)/24)&amp;" ngày"&amp;IF(MOD(ROUND(($AV15-$AU15),0),24)&gt;0," "&amp;MOD(ROUND(($AV15-$AU15),0),24)&amp;" giờ","")))),IF(OR($B15&lt;&gt;"Đột xuất",$AA15="Hoàn thành",N($J15)=0),"",IF((TDBC-$J15)*24&gt;$AU15,"Đã vượt ước tính","Đã dùng "&amp;TEXT((TDBC-$J15)*24/$AU15,"0%")))))</f>
      </c>
      <c r="AG15" s="223">
        <f>IF(N($BB15)=0,"",CHOOSE($BB15,"Nhắc nhở","Cảnh báo","Báo động","Báo động đỏ"))</f>
      </c>
      <c r="AH15" s="223">
        <f>IF(OR($B15&lt;&gt;"Đột xuất",$AA15&lt;&gt;"Hoàn thành",N($X15)=0,$AW15=0),"",IF($X15&lt;=$AW15,"Đúng hạn","Trễ hạn"))</f>
      </c>
      <c r="AI15" s="220">
        <f>IF($A15="","",_xlfn.MAXIFS('Nhật ký tiến độ'!$B$6:$B$3005,'Nhật ký tiến độ'!$C$6:$C$3005,$A15))</f>
      </c>
      <c r="AJ15" s="225">
        <f>IF(OR($A15="",$B15&lt;&gt;"Định kỳ"),0,IFERROR(INDEX(DM_TanSuatNgay,MATCH($H15,DM_TanSuat,0)),0))</f>
      </c>
      <c r="AK15" s="225">
        <f>IF(OR($A15="",$B15&lt;&gt;"Định kỳ"),0,IFERROR(INDEX(DM_TanSuatThang,MATCH($H15,DM_TanSuat,0)),0))</f>
      </c>
      <c r="AL15" s="225">
        <f>IF(OR($A15="",$B15&lt;&gt;"Định kỳ",N($X15)=0,N($I15)=0),"",IF(INT($X15)&lt;$I15,0,IF($AJ15&gt;0,ROUND((INT($X15)-$I15)/$AJ15,0),IF($AK15&gt;0,ROUND((DATEDIF($I15,INT($X15),"m")+(INT($X15)-EDATE($I15,DATEDIF($I15,INT($X15),"m")))/(EDATE($I15,DATEDIF($I15,INT($X15),"m")+1)-EDATE($I15,DATEDIF($I15,INT($X15),"m"))))/$AK15,0),0))))</f>
      </c>
      <c r="AM15" s="225">
        <f>IF($A15="","",IF(COUNTIF('Nhật ký tiến độ'!$C$6:$C$3005,$A15)=0,0,_xlfn.MAXIFS('Nhật ký tiến độ'!$N$6:$N$3005,'Nhật ký tiến độ'!$C$6:$C$3005,$A15,'Nhật ký tiến độ'!$B$6:$B$3005,_xlfn.MAXIFS('Nhật ký tiến độ'!$B$6:$B$3005,'Nhật ký tiến độ'!$C$6:$C$3005,$A15))))</f>
      </c>
      <c r="AN15" s="225">
        <f>IF($A15="","",IF(N($AM15)=0,"",INDEX('Nhật ký tiến độ'!$E:$E,$AM15)))</f>
      </c>
      <c r="AO15" s="225">
        <f>IF($A15="",0,IF($AA15="Hoàn thành",0,1))</f>
      </c>
      <c r="AP15" s="225">
        <f>IF($AO15=0,0,INT(N($AW15)))</f>
      </c>
      <c r="AQ15" s="225">
        <f>IF(AND($AO15=1,$AJ15&gt;1),$AJ15,0)</f>
      </c>
      <c r="AR15" s="225">
        <f>IF(AND($AO15=1,$AJ15=1),1,0)</f>
      </c>
      <c r="AS15" s="225">
        <f>IF(OR($AO15=0,AND($AR15=1,N($BB15)=0)),"",IF(N($BB15)&gt;0,5-$BB15,IF($AD15="Chậm tiến độ",6,IF($AD15="Đến hạn hôm nay",7,IF(AND($AP15&gt;0,$AP15-NgayBC&lt;=7),8,"")))))</f>
      </c>
      <c r="AT15" s="225">
        <f>IF($AS15="","",$AS15*100000+$AP15+ROW()/100000)</f>
      </c>
      <c r="AU15" s="224">
        <f>IF(OR($A15="",N($R15)&lt;=0),"",IF($S15="Ngày",$R15*24,$R15))</f>
      </c>
      <c r="AV15" s="224">
        <f>IF($A15="","",IF($B15="Đột xuất",IF(OR($AA15&lt;&gt;"Hoàn thành",N($X15)=0,N($J15)=0),"",IF($X15&lt;$J15,"",($X15-$J15)*24)),IFERROR(AVERAGEIFS('Nhật ký tiến độ'!$H$6:$H$3005,'Nhật ký tiến độ'!$C$6:$C$3005,$A15,'Nhật ký tiến độ'!$H$6:$H$3005,"&gt;0"),"")))</f>
      </c>
      <c r="AW15" s="233">
        <f>IF($A15="",0,IF($B15="Đột xuất",$AY15,IF($AX15=0,0,$AX15+1-1/1440)))</f>
      </c>
      <c r="AX15" s="234">
        <f>IF(OR($A15="",$B15&lt;&gt;"Định kỳ",N($I15)=0),0,IF($AL15="",$I15,IF($AJ15&gt;0,$I15+($AL15+1)*$AJ15,IF($AK15&gt;0,EDATE($I15,($AL15+1)*$AK15),$I15))))</f>
      </c>
      <c r="AY15" s="233">
        <f>IF(OR($A15="",$B15&lt;&gt;"Đột xuất"),0,IF(N($K15)&gt;0,IF(MOD($K15,1)=0,$K15+1-1/1440,$K15),IF(N($J15)=0,0,$J15+IF(N($AU15)&gt;0,$AU15,IFERROR(INDEX(DM_SLA_Gio,MATCH($L15,DM_SLA_Cap,0)),168))/24)))</f>
      </c>
      <c r="AZ15" s="225">
        <f>IF(OR($A15="",TRIM($N15)="",COUNTIF('Phản ánh'!$K$6:$K$505,$N15)&gt;0,COUNTIF($N$6:$N15,$N15)&gt;1),0,1)</f>
      </c>
      <c r="BA15" s="225">
        <f>IF($AZ15=1,SUM($AZ$6:$AZ15),"")</f>
      </c>
      <c r="BB15" s="225">
        <f>IF(OR($AO15=0,N($AW15)=0),0,IF(TDBC&lt;=$AW15,0,MAX(1,MIN(4,IF((TDBC-$AW15)*24&lt;24,1,IF((TDBC-$AW15)*24&lt;72,2,IF((TDBC-$AW15)*24&lt;168,3,4)))+IF($B15="Đột xuất",IFERROR(INDEX({2,1,0,-1},MATCH($L15,{"Khẩn cấp","Cao","Trung bình","Thấp"},0)),0),IF($D15="PCCC và an ninh",1,0))))))</f>
      </c>
    </row>
    <row r="16">
      <c r="A16" s="216"/>
      <c r="B16" s="216"/>
      <c r="C16" s="218"/>
      <c r="D16" s="218"/>
      <c r="E16" s="218"/>
      <c r="F16" s="216"/>
      <c r="G16" s="218"/>
      <c r="H16" s="218"/>
      <c r="I16" s="231"/>
      <c r="J16" s="217"/>
      <c r="K16" s="217"/>
      <c r="L16" s="216"/>
      <c r="M16" s="216"/>
      <c r="N16" s="218"/>
      <c r="O16" s="218"/>
      <c r="P16" s="218"/>
      <c r="Q16" s="218"/>
      <c r="R16" s="219"/>
      <c r="S16" s="216"/>
      <c r="T16" s="232"/>
      <c r="U16" s="232"/>
      <c r="V16" s="218"/>
      <c r="W16" s="218"/>
      <c r="X16" s="220">
        <f>IF($A16="","",IF(OR($B16="Định kỳ",$AA16="Hoàn thành"),MAX(_xlfn.MAXIFS('Nhật ký tiến độ'!$B$6:$B$3005,'Nhật ký tiến độ'!$C$6:$C$3005,$A16,'Nhật ký tiến độ'!$E$6:$E$3005,"Hoàn thành kỳ"),_xlfn.MAXIFS('Nhật ký tiến độ'!$B$6:$B$3005,'Nhật ký tiến độ'!$C$6:$C$3005,$A16,'Nhật ký tiến độ'!$E$6:$E$3005,"Hoàn thành")),0))</f>
      </c>
      <c r="Y16" s="220">
        <f>IF($A16="","",IF($B16="Đột xuất",IF($AY16=0,"",$AY16),IF($AX16=0,"",$AX16)))</f>
      </c>
      <c r="Z16" s="223">
        <f>IF(OR($AO16=0,$AW16=0),"",IF(TDBC&gt;$AW16,"Quá "&amp;IF($B16="Định kỳ",(NgayBC-$AP16)&amp;" ngày",IF(((TDBC-$AW16)*24)&lt;1,MAX(1,ROUND(((TDBC-$AW16)*24)*60,0))&amp;" phút",IF(ROUND(((TDBC-$AW16)*24),0)&lt;24,ROUND(((TDBC-$AW16)*24),0)&amp;" giờ",INT(ROUND(((TDBC-$AW16)*24),0)/24)&amp;" ngày"&amp;IF(MOD(ROUND(((TDBC-$AW16)*24),0),24)&gt;0," "&amp;MOD(ROUND(((TDBC-$AW16)*24),0),24)&amp;" giờ","")))),IF($B16="Định kỳ",IF($AP16=NgayBC,"Hôm nay","Còn "&amp;($AP16-NgayBC)&amp;" ngày"),"Còn "&amp;IF((($AW16-TDBC)*24)&lt;1,MAX(1,ROUND((($AW16-TDBC)*24)*60,0))&amp;" phút",IF(ROUND((($AW16-TDBC)*24),0)&lt;24,ROUND((($AW16-TDBC)*24),0)&amp;" giờ",INT(ROUND((($AW16-TDBC)*24),0)/24)&amp;" ngày"&amp;IF(MOD(ROUND((($AW16-TDBC)*24),0),24)&gt;0," "&amp;MOD(ROUND((($AW16-TDBC)*24),0),24)&amp;" giờ",""))))))</f>
      </c>
      <c r="AA16" s="221">
        <f>IF($A16="","",IF(N($AM16)=0,"Chưa bắt đầu",IF(OR($AN16="Hoàn thành kỳ",$AN16="Hoàn thành"),IF($B16="Định kỳ","Chưa bắt đầu","Hoàn thành"),$AN16)))</f>
      </c>
      <c r="AB16" s="222">
        <f>IF($A16="","",IF($AA16="Hoàn thành",1,IF(OR(N($AM16)=0,$AN16="Hoàn thành kỳ",$AN16="Hoàn thành"),0,N(INDEX('Nhật ký tiến độ'!$D:$D,$AM16)))))</f>
      </c>
      <c r="AC16" s="222">
        <f>IF(OR($A16="",$B16&lt;&gt;"Đột xuất",$AA16="Hoàn thành",N($J16)=0,$AW16=0),"",IF(TDBC&lt;=$J16,0,IF(TDBC&gt;=$AW16,1,(TDBC-$J16)/($AW16-$J16))))</f>
      </c>
      <c r="AD16" s="223">
        <f>IF($A16="","",IF($AA16="Hoàn thành","Hoàn thành",IF($AW16=0,"Chưa đặt hạn",IF(TDBC&gt;$AW16,"Quá hạn",IF(AND($B16="Đột xuất",ROUND((N($AC16)-$AB16)*100,0)&gt;=20),"Chậm tiến độ",IF($AP16=NgayBC,"Đến hạn hôm nay",IF($B16="Đột xuất",IF($AW16-TDBC&lt;=1,"Sắp đến hạn","Đúng tiến độ"),IF($AP16-NgayBC&lt;=3,"Sắp đến hạn","Theo lịch"))))))))</f>
      </c>
      <c r="AE16" s="223">
        <f>IF($AV16="","",IF($B16="Định kỳ","Bình quân "&amp;IF($AV16&lt;1,MAX(1,ROUND($AV16*60,0))&amp;" phút",IF(ROUND($AV16,0)&lt;24,ROUND($AV16,0)&amp;" giờ",INT(ROUND($AV16,0)/24)&amp;" ngày"&amp;IF(MOD(ROUND($AV16,0),24)&gt;0," "&amp;MOD(ROUND($AV16,0),24)&amp;" giờ","")))&amp;" mỗi kỳ",IF($AV16&lt;1,MAX(1,ROUND($AV16*60,0))&amp;" phút",IF(ROUND($AV16,0)&lt;24,ROUND($AV16,0)&amp;" giờ",INT(ROUND($AV16,0)/24)&amp;" ngày"&amp;IF(MOD(ROUND($AV16,0),24)&gt;0," "&amp;MOD(ROUND($AV16,0),24)&amp;" giờ","")))))</f>
      </c>
      <c r="AF16" s="223">
        <f>IF(OR($A16="",N($AU16)=0),"",IF($AV16&lt;&gt;"",IF($AV16&lt;=$AU16,"Trong ước tính","Vượt "&amp;IF(($AV16-$AU16)&lt;1,MAX(1,ROUND(($AV16-$AU16)*60,0))&amp;" phút",IF(ROUND(($AV16-$AU16),0)&lt;24,ROUND(($AV16-$AU16),0)&amp;" giờ",INT(ROUND(($AV16-$AU16),0)/24)&amp;" ngày"&amp;IF(MOD(ROUND(($AV16-$AU16),0),24)&gt;0," "&amp;MOD(ROUND(($AV16-$AU16),0),24)&amp;" giờ","")))),IF(OR($B16&lt;&gt;"Đột xuất",$AA16="Hoàn thành",N($J16)=0),"",IF((TDBC-$J16)*24&gt;$AU16,"Đã vượt ước tính","Đã dùng "&amp;TEXT((TDBC-$J16)*24/$AU16,"0%")))))</f>
      </c>
      <c r="AG16" s="223">
        <f>IF(N($BB16)=0,"",CHOOSE($BB16,"Nhắc nhở","Cảnh báo","Báo động","Báo động đỏ"))</f>
      </c>
      <c r="AH16" s="223">
        <f>IF(OR($B16&lt;&gt;"Đột xuất",$AA16&lt;&gt;"Hoàn thành",N($X16)=0,$AW16=0),"",IF($X16&lt;=$AW16,"Đúng hạn","Trễ hạn"))</f>
      </c>
      <c r="AI16" s="220">
        <f>IF($A16="","",_xlfn.MAXIFS('Nhật ký tiến độ'!$B$6:$B$3005,'Nhật ký tiến độ'!$C$6:$C$3005,$A16))</f>
      </c>
      <c r="AJ16" s="225">
        <f>IF(OR($A16="",$B16&lt;&gt;"Định kỳ"),0,IFERROR(INDEX(DM_TanSuatNgay,MATCH($H16,DM_TanSuat,0)),0))</f>
      </c>
      <c r="AK16" s="225">
        <f>IF(OR($A16="",$B16&lt;&gt;"Định kỳ"),0,IFERROR(INDEX(DM_TanSuatThang,MATCH($H16,DM_TanSuat,0)),0))</f>
      </c>
      <c r="AL16" s="225">
        <f>IF(OR($A16="",$B16&lt;&gt;"Định kỳ",N($X16)=0,N($I16)=0),"",IF(INT($X16)&lt;$I16,0,IF($AJ16&gt;0,ROUND((INT($X16)-$I16)/$AJ16,0),IF($AK16&gt;0,ROUND((DATEDIF($I16,INT($X16),"m")+(INT($X16)-EDATE($I16,DATEDIF($I16,INT($X16),"m")))/(EDATE($I16,DATEDIF($I16,INT($X16),"m")+1)-EDATE($I16,DATEDIF($I16,INT($X16),"m"))))/$AK16,0),0))))</f>
      </c>
      <c r="AM16" s="225">
        <f>IF($A16="","",IF(COUNTIF('Nhật ký tiến độ'!$C$6:$C$3005,$A16)=0,0,_xlfn.MAXIFS('Nhật ký tiến độ'!$N$6:$N$3005,'Nhật ký tiến độ'!$C$6:$C$3005,$A16,'Nhật ký tiến độ'!$B$6:$B$3005,_xlfn.MAXIFS('Nhật ký tiến độ'!$B$6:$B$3005,'Nhật ký tiến độ'!$C$6:$C$3005,$A16))))</f>
      </c>
      <c r="AN16" s="225">
        <f>IF($A16="","",IF(N($AM16)=0,"",INDEX('Nhật ký tiến độ'!$E:$E,$AM16)))</f>
      </c>
      <c r="AO16" s="225">
        <f>IF($A16="",0,IF($AA16="Hoàn thành",0,1))</f>
      </c>
      <c r="AP16" s="225">
        <f>IF($AO16=0,0,INT(N($AW16)))</f>
      </c>
      <c r="AQ16" s="225">
        <f>IF(AND($AO16=1,$AJ16&gt;1),$AJ16,0)</f>
      </c>
      <c r="AR16" s="225">
        <f>IF(AND($AO16=1,$AJ16=1),1,0)</f>
      </c>
      <c r="AS16" s="225">
        <f>IF(OR($AO16=0,AND($AR16=1,N($BB16)=0)),"",IF(N($BB16)&gt;0,5-$BB16,IF($AD16="Chậm tiến độ",6,IF($AD16="Đến hạn hôm nay",7,IF(AND($AP16&gt;0,$AP16-NgayBC&lt;=7),8,"")))))</f>
      </c>
      <c r="AT16" s="225">
        <f>IF($AS16="","",$AS16*100000+$AP16+ROW()/100000)</f>
      </c>
      <c r="AU16" s="224">
        <f>IF(OR($A16="",N($R16)&lt;=0),"",IF($S16="Ngày",$R16*24,$R16))</f>
      </c>
      <c r="AV16" s="224">
        <f>IF($A16="","",IF($B16="Đột xuất",IF(OR($AA16&lt;&gt;"Hoàn thành",N($X16)=0,N($J16)=0),"",IF($X16&lt;$J16,"",($X16-$J16)*24)),IFERROR(AVERAGEIFS('Nhật ký tiến độ'!$H$6:$H$3005,'Nhật ký tiến độ'!$C$6:$C$3005,$A16,'Nhật ký tiến độ'!$H$6:$H$3005,"&gt;0"),"")))</f>
      </c>
      <c r="AW16" s="233">
        <f>IF($A16="",0,IF($B16="Đột xuất",$AY16,IF($AX16=0,0,$AX16+1-1/1440)))</f>
      </c>
      <c r="AX16" s="234">
        <f>IF(OR($A16="",$B16&lt;&gt;"Định kỳ",N($I16)=0),0,IF($AL16="",$I16,IF($AJ16&gt;0,$I16+($AL16+1)*$AJ16,IF($AK16&gt;0,EDATE($I16,($AL16+1)*$AK16),$I16))))</f>
      </c>
      <c r="AY16" s="233">
        <f>IF(OR($A16="",$B16&lt;&gt;"Đột xuất"),0,IF(N($K16)&gt;0,IF(MOD($K16,1)=0,$K16+1-1/1440,$K16),IF(N($J16)=0,0,$J16+IF(N($AU16)&gt;0,$AU16,IFERROR(INDEX(DM_SLA_Gio,MATCH($L16,DM_SLA_Cap,0)),168))/24)))</f>
      </c>
      <c r="AZ16" s="225">
        <f>IF(OR($A16="",TRIM($N16)="",COUNTIF('Phản ánh'!$K$6:$K$505,$N16)&gt;0,COUNTIF($N$6:$N16,$N16)&gt;1),0,1)</f>
      </c>
      <c r="BA16" s="225">
        <f>IF($AZ16=1,SUM($AZ$6:$AZ16),"")</f>
      </c>
      <c r="BB16" s="225">
        <f>IF(OR($AO16=0,N($AW16)=0),0,IF(TDBC&lt;=$AW16,0,MAX(1,MIN(4,IF((TDBC-$AW16)*24&lt;24,1,IF((TDBC-$AW16)*24&lt;72,2,IF((TDBC-$AW16)*24&lt;168,3,4)))+IF($B16="Đột xuất",IFERROR(INDEX({2,1,0,-1},MATCH($L16,{"Khẩn cấp","Cao","Trung bình","Thấp"},0)),0),IF($D16="PCCC và an ninh",1,0))))))</f>
      </c>
    </row>
    <row r="17">
      <c r="A17" s="216"/>
      <c r="B17" s="216"/>
      <c r="C17" s="218"/>
      <c r="D17" s="218"/>
      <c r="E17" s="218"/>
      <c r="F17" s="216"/>
      <c r="G17" s="218"/>
      <c r="H17" s="218"/>
      <c r="I17" s="231"/>
      <c r="J17" s="217"/>
      <c r="K17" s="217"/>
      <c r="L17" s="216"/>
      <c r="M17" s="216"/>
      <c r="N17" s="218"/>
      <c r="O17" s="218"/>
      <c r="P17" s="218"/>
      <c r="Q17" s="218"/>
      <c r="R17" s="219"/>
      <c r="S17" s="216"/>
      <c r="T17" s="232"/>
      <c r="U17" s="232"/>
      <c r="V17" s="218"/>
      <c r="W17" s="218"/>
      <c r="X17" s="220">
        <f>IF($A17="","",IF(OR($B17="Định kỳ",$AA17="Hoàn thành"),MAX(_xlfn.MAXIFS('Nhật ký tiến độ'!$B$6:$B$3005,'Nhật ký tiến độ'!$C$6:$C$3005,$A17,'Nhật ký tiến độ'!$E$6:$E$3005,"Hoàn thành kỳ"),_xlfn.MAXIFS('Nhật ký tiến độ'!$B$6:$B$3005,'Nhật ký tiến độ'!$C$6:$C$3005,$A17,'Nhật ký tiến độ'!$E$6:$E$3005,"Hoàn thành")),0))</f>
      </c>
      <c r="Y17" s="220">
        <f>IF($A17="","",IF($B17="Đột xuất",IF($AY17=0,"",$AY17),IF($AX17=0,"",$AX17)))</f>
      </c>
      <c r="Z17" s="223">
        <f>IF(OR($AO17=0,$AW17=0),"",IF(TDBC&gt;$AW17,"Quá "&amp;IF($B17="Định kỳ",(NgayBC-$AP17)&amp;" ngày",IF(((TDBC-$AW17)*24)&lt;1,MAX(1,ROUND(((TDBC-$AW17)*24)*60,0))&amp;" phút",IF(ROUND(((TDBC-$AW17)*24),0)&lt;24,ROUND(((TDBC-$AW17)*24),0)&amp;" giờ",INT(ROUND(((TDBC-$AW17)*24),0)/24)&amp;" ngày"&amp;IF(MOD(ROUND(((TDBC-$AW17)*24),0),24)&gt;0," "&amp;MOD(ROUND(((TDBC-$AW17)*24),0),24)&amp;" giờ","")))),IF($B17="Định kỳ",IF($AP17=NgayBC,"Hôm nay","Còn "&amp;($AP17-NgayBC)&amp;" ngày"),"Còn "&amp;IF((($AW17-TDBC)*24)&lt;1,MAX(1,ROUND((($AW17-TDBC)*24)*60,0))&amp;" phút",IF(ROUND((($AW17-TDBC)*24),0)&lt;24,ROUND((($AW17-TDBC)*24),0)&amp;" giờ",INT(ROUND((($AW17-TDBC)*24),0)/24)&amp;" ngày"&amp;IF(MOD(ROUND((($AW17-TDBC)*24),0),24)&gt;0," "&amp;MOD(ROUND((($AW17-TDBC)*24),0),24)&amp;" giờ",""))))))</f>
      </c>
      <c r="AA17" s="221">
        <f>IF($A17="","",IF(N($AM17)=0,"Chưa bắt đầu",IF(OR($AN17="Hoàn thành kỳ",$AN17="Hoàn thành"),IF($B17="Định kỳ","Chưa bắt đầu","Hoàn thành"),$AN17)))</f>
      </c>
      <c r="AB17" s="222">
        <f>IF($A17="","",IF($AA17="Hoàn thành",1,IF(OR(N($AM17)=0,$AN17="Hoàn thành kỳ",$AN17="Hoàn thành"),0,N(INDEX('Nhật ký tiến độ'!$D:$D,$AM17)))))</f>
      </c>
      <c r="AC17" s="222">
        <f>IF(OR($A17="",$B17&lt;&gt;"Đột xuất",$AA17="Hoàn thành",N($J17)=0,$AW17=0),"",IF(TDBC&lt;=$J17,0,IF(TDBC&gt;=$AW17,1,(TDBC-$J17)/($AW17-$J17))))</f>
      </c>
      <c r="AD17" s="223">
        <f>IF($A17="","",IF($AA17="Hoàn thành","Hoàn thành",IF($AW17=0,"Chưa đặt hạn",IF(TDBC&gt;$AW17,"Quá hạn",IF(AND($B17="Đột xuất",ROUND((N($AC17)-$AB17)*100,0)&gt;=20),"Chậm tiến độ",IF($AP17=NgayBC,"Đến hạn hôm nay",IF($B17="Đột xuất",IF($AW17-TDBC&lt;=1,"Sắp đến hạn","Đúng tiến độ"),IF($AP17-NgayBC&lt;=3,"Sắp đến hạn","Theo lịch"))))))))</f>
      </c>
      <c r="AE17" s="223">
        <f>IF($AV17="","",IF($B17="Định kỳ","Bình quân "&amp;IF($AV17&lt;1,MAX(1,ROUND($AV17*60,0))&amp;" phút",IF(ROUND($AV17,0)&lt;24,ROUND($AV17,0)&amp;" giờ",INT(ROUND($AV17,0)/24)&amp;" ngày"&amp;IF(MOD(ROUND($AV17,0),24)&gt;0," "&amp;MOD(ROUND($AV17,0),24)&amp;" giờ","")))&amp;" mỗi kỳ",IF($AV17&lt;1,MAX(1,ROUND($AV17*60,0))&amp;" phút",IF(ROUND($AV17,0)&lt;24,ROUND($AV17,0)&amp;" giờ",INT(ROUND($AV17,0)/24)&amp;" ngày"&amp;IF(MOD(ROUND($AV17,0),24)&gt;0," "&amp;MOD(ROUND($AV17,0),24)&amp;" giờ","")))))</f>
      </c>
      <c r="AF17" s="223">
        <f>IF(OR($A17="",N($AU17)=0),"",IF($AV17&lt;&gt;"",IF($AV17&lt;=$AU17,"Trong ước tính","Vượt "&amp;IF(($AV17-$AU17)&lt;1,MAX(1,ROUND(($AV17-$AU17)*60,0))&amp;" phút",IF(ROUND(($AV17-$AU17),0)&lt;24,ROUND(($AV17-$AU17),0)&amp;" giờ",INT(ROUND(($AV17-$AU17),0)/24)&amp;" ngày"&amp;IF(MOD(ROUND(($AV17-$AU17),0),24)&gt;0," "&amp;MOD(ROUND(($AV17-$AU17),0),24)&amp;" giờ","")))),IF(OR($B17&lt;&gt;"Đột xuất",$AA17="Hoàn thành",N($J17)=0),"",IF((TDBC-$J17)*24&gt;$AU17,"Đã vượt ước tính","Đã dùng "&amp;TEXT((TDBC-$J17)*24/$AU17,"0%")))))</f>
      </c>
      <c r="AG17" s="223">
        <f>IF(N($BB17)=0,"",CHOOSE($BB17,"Nhắc nhở","Cảnh báo","Báo động","Báo động đỏ"))</f>
      </c>
      <c r="AH17" s="223">
        <f>IF(OR($B17&lt;&gt;"Đột xuất",$AA17&lt;&gt;"Hoàn thành",N($X17)=0,$AW17=0),"",IF($X17&lt;=$AW17,"Đúng hạn","Trễ hạn"))</f>
      </c>
      <c r="AI17" s="220">
        <f>IF($A17="","",_xlfn.MAXIFS('Nhật ký tiến độ'!$B$6:$B$3005,'Nhật ký tiến độ'!$C$6:$C$3005,$A17))</f>
      </c>
      <c r="AJ17" s="225">
        <f>IF(OR($A17="",$B17&lt;&gt;"Định kỳ"),0,IFERROR(INDEX(DM_TanSuatNgay,MATCH($H17,DM_TanSuat,0)),0))</f>
      </c>
      <c r="AK17" s="225">
        <f>IF(OR($A17="",$B17&lt;&gt;"Định kỳ"),0,IFERROR(INDEX(DM_TanSuatThang,MATCH($H17,DM_TanSuat,0)),0))</f>
      </c>
      <c r="AL17" s="225">
        <f>IF(OR($A17="",$B17&lt;&gt;"Định kỳ",N($X17)=0,N($I17)=0),"",IF(INT($X17)&lt;$I17,0,IF($AJ17&gt;0,ROUND((INT($X17)-$I17)/$AJ17,0),IF($AK17&gt;0,ROUND((DATEDIF($I17,INT($X17),"m")+(INT($X17)-EDATE($I17,DATEDIF($I17,INT($X17),"m")))/(EDATE($I17,DATEDIF($I17,INT($X17),"m")+1)-EDATE($I17,DATEDIF($I17,INT($X17),"m"))))/$AK17,0),0))))</f>
      </c>
      <c r="AM17" s="225">
        <f>IF($A17="","",IF(COUNTIF('Nhật ký tiến độ'!$C$6:$C$3005,$A17)=0,0,_xlfn.MAXIFS('Nhật ký tiến độ'!$N$6:$N$3005,'Nhật ký tiến độ'!$C$6:$C$3005,$A17,'Nhật ký tiến độ'!$B$6:$B$3005,_xlfn.MAXIFS('Nhật ký tiến độ'!$B$6:$B$3005,'Nhật ký tiến độ'!$C$6:$C$3005,$A17))))</f>
      </c>
      <c r="AN17" s="225">
        <f>IF($A17="","",IF(N($AM17)=0,"",INDEX('Nhật ký tiến độ'!$E:$E,$AM17)))</f>
      </c>
      <c r="AO17" s="225">
        <f>IF($A17="",0,IF($AA17="Hoàn thành",0,1))</f>
      </c>
      <c r="AP17" s="225">
        <f>IF($AO17=0,0,INT(N($AW17)))</f>
      </c>
      <c r="AQ17" s="225">
        <f>IF(AND($AO17=1,$AJ17&gt;1),$AJ17,0)</f>
      </c>
      <c r="AR17" s="225">
        <f>IF(AND($AO17=1,$AJ17=1),1,0)</f>
      </c>
      <c r="AS17" s="225">
        <f>IF(OR($AO17=0,AND($AR17=1,N($BB17)=0)),"",IF(N($BB17)&gt;0,5-$BB17,IF($AD17="Chậm tiến độ",6,IF($AD17="Đến hạn hôm nay",7,IF(AND($AP17&gt;0,$AP17-NgayBC&lt;=7),8,"")))))</f>
      </c>
      <c r="AT17" s="225">
        <f>IF($AS17="","",$AS17*100000+$AP17+ROW()/100000)</f>
      </c>
      <c r="AU17" s="224">
        <f>IF(OR($A17="",N($R17)&lt;=0),"",IF($S17="Ngày",$R17*24,$R17))</f>
      </c>
      <c r="AV17" s="224">
        <f>IF($A17="","",IF($B17="Đột xuất",IF(OR($AA17&lt;&gt;"Hoàn thành",N($X17)=0,N($J17)=0),"",IF($X17&lt;$J17,"",($X17-$J17)*24)),IFERROR(AVERAGEIFS('Nhật ký tiến độ'!$H$6:$H$3005,'Nhật ký tiến độ'!$C$6:$C$3005,$A17,'Nhật ký tiến độ'!$H$6:$H$3005,"&gt;0"),"")))</f>
      </c>
      <c r="AW17" s="233">
        <f>IF($A17="",0,IF($B17="Đột xuất",$AY17,IF($AX17=0,0,$AX17+1-1/1440)))</f>
      </c>
      <c r="AX17" s="234">
        <f>IF(OR($A17="",$B17&lt;&gt;"Định kỳ",N($I17)=0),0,IF($AL17="",$I17,IF($AJ17&gt;0,$I17+($AL17+1)*$AJ17,IF($AK17&gt;0,EDATE($I17,($AL17+1)*$AK17),$I17))))</f>
      </c>
      <c r="AY17" s="233">
        <f>IF(OR($A17="",$B17&lt;&gt;"Đột xuất"),0,IF(N($K17)&gt;0,IF(MOD($K17,1)=0,$K17+1-1/1440,$K17),IF(N($J17)=0,0,$J17+IF(N($AU17)&gt;0,$AU17,IFERROR(INDEX(DM_SLA_Gio,MATCH($L17,DM_SLA_Cap,0)),168))/24)))</f>
      </c>
      <c r="AZ17" s="225">
        <f>IF(OR($A17="",TRIM($N17)="",COUNTIF('Phản ánh'!$K$6:$K$505,$N17)&gt;0,COUNTIF($N$6:$N17,$N17)&gt;1),0,1)</f>
      </c>
      <c r="BA17" s="225">
        <f>IF($AZ17=1,SUM($AZ$6:$AZ17),"")</f>
      </c>
      <c r="BB17" s="225">
        <f>IF(OR($AO17=0,N($AW17)=0),0,IF(TDBC&lt;=$AW17,0,MAX(1,MIN(4,IF((TDBC-$AW17)*24&lt;24,1,IF((TDBC-$AW17)*24&lt;72,2,IF((TDBC-$AW17)*24&lt;168,3,4)))+IF($B17="Đột xuất",IFERROR(INDEX({2,1,0,-1},MATCH($L17,{"Khẩn cấp","Cao","Trung bình","Thấp"},0)),0),IF($D17="PCCC và an ninh",1,0))))))</f>
      </c>
    </row>
    <row r="18">
      <c r="A18" s="216"/>
      <c r="B18" s="216"/>
      <c r="C18" s="218"/>
      <c r="D18" s="218"/>
      <c r="E18" s="218"/>
      <c r="F18" s="216"/>
      <c r="G18" s="218"/>
      <c r="H18" s="218"/>
      <c r="I18" s="231"/>
      <c r="J18" s="217"/>
      <c r="K18" s="217"/>
      <c r="L18" s="216"/>
      <c r="M18" s="216"/>
      <c r="N18" s="218"/>
      <c r="O18" s="218"/>
      <c r="P18" s="218"/>
      <c r="Q18" s="218"/>
      <c r="R18" s="219"/>
      <c r="S18" s="216"/>
      <c r="T18" s="232"/>
      <c r="U18" s="232"/>
      <c r="V18" s="218"/>
      <c r="W18" s="218"/>
      <c r="X18" s="220">
        <f>IF($A18="","",IF(OR($B18="Định kỳ",$AA18="Hoàn thành"),MAX(_xlfn.MAXIFS('Nhật ký tiến độ'!$B$6:$B$3005,'Nhật ký tiến độ'!$C$6:$C$3005,$A18,'Nhật ký tiến độ'!$E$6:$E$3005,"Hoàn thành kỳ"),_xlfn.MAXIFS('Nhật ký tiến độ'!$B$6:$B$3005,'Nhật ký tiến độ'!$C$6:$C$3005,$A18,'Nhật ký tiến độ'!$E$6:$E$3005,"Hoàn thành")),0))</f>
      </c>
      <c r="Y18" s="220">
        <f>IF($A18="","",IF($B18="Đột xuất",IF($AY18=0,"",$AY18),IF($AX18=0,"",$AX18)))</f>
      </c>
      <c r="Z18" s="223">
        <f>IF(OR($AO18=0,$AW18=0),"",IF(TDBC&gt;$AW18,"Quá "&amp;IF($B18="Định kỳ",(NgayBC-$AP18)&amp;" ngày",IF(((TDBC-$AW18)*24)&lt;1,MAX(1,ROUND(((TDBC-$AW18)*24)*60,0))&amp;" phút",IF(ROUND(((TDBC-$AW18)*24),0)&lt;24,ROUND(((TDBC-$AW18)*24),0)&amp;" giờ",INT(ROUND(((TDBC-$AW18)*24),0)/24)&amp;" ngày"&amp;IF(MOD(ROUND(((TDBC-$AW18)*24),0),24)&gt;0," "&amp;MOD(ROUND(((TDBC-$AW18)*24),0),24)&amp;" giờ","")))),IF($B18="Định kỳ",IF($AP18=NgayBC,"Hôm nay","Còn "&amp;($AP18-NgayBC)&amp;" ngày"),"Còn "&amp;IF((($AW18-TDBC)*24)&lt;1,MAX(1,ROUND((($AW18-TDBC)*24)*60,0))&amp;" phút",IF(ROUND((($AW18-TDBC)*24),0)&lt;24,ROUND((($AW18-TDBC)*24),0)&amp;" giờ",INT(ROUND((($AW18-TDBC)*24),0)/24)&amp;" ngày"&amp;IF(MOD(ROUND((($AW18-TDBC)*24),0),24)&gt;0," "&amp;MOD(ROUND((($AW18-TDBC)*24),0),24)&amp;" giờ",""))))))</f>
      </c>
      <c r="AA18" s="221">
        <f>IF($A18="","",IF(N($AM18)=0,"Chưa bắt đầu",IF(OR($AN18="Hoàn thành kỳ",$AN18="Hoàn thành"),IF($B18="Định kỳ","Chưa bắt đầu","Hoàn thành"),$AN18)))</f>
      </c>
      <c r="AB18" s="222">
        <f>IF($A18="","",IF($AA18="Hoàn thành",1,IF(OR(N($AM18)=0,$AN18="Hoàn thành kỳ",$AN18="Hoàn thành"),0,N(INDEX('Nhật ký tiến độ'!$D:$D,$AM18)))))</f>
      </c>
      <c r="AC18" s="222">
        <f>IF(OR($A18="",$B18&lt;&gt;"Đột xuất",$AA18="Hoàn thành",N($J18)=0,$AW18=0),"",IF(TDBC&lt;=$J18,0,IF(TDBC&gt;=$AW18,1,(TDBC-$J18)/($AW18-$J18))))</f>
      </c>
      <c r="AD18" s="223">
        <f>IF($A18="","",IF($AA18="Hoàn thành","Hoàn thành",IF($AW18=0,"Chưa đặt hạn",IF(TDBC&gt;$AW18,"Quá hạn",IF(AND($B18="Đột xuất",ROUND((N($AC18)-$AB18)*100,0)&gt;=20),"Chậm tiến độ",IF($AP18=NgayBC,"Đến hạn hôm nay",IF($B18="Đột xuất",IF($AW18-TDBC&lt;=1,"Sắp đến hạn","Đúng tiến độ"),IF($AP18-NgayBC&lt;=3,"Sắp đến hạn","Theo lịch"))))))))</f>
      </c>
      <c r="AE18" s="223">
        <f>IF($AV18="","",IF($B18="Định kỳ","Bình quân "&amp;IF($AV18&lt;1,MAX(1,ROUND($AV18*60,0))&amp;" phút",IF(ROUND($AV18,0)&lt;24,ROUND($AV18,0)&amp;" giờ",INT(ROUND($AV18,0)/24)&amp;" ngày"&amp;IF(MOD(ROUND($AV18,0),24)&gt;0," "&amp;MOD(ROUND($AV18,0),24)&amp;" giờ","")))&amp;" mỗi kỳ",IF($AV18&lt;1,MAX(1,ROUND($AV18*60,0))&amp;" phút",IF(ROUND($AV18,0)&lt;24,ROUND($AV18,0)&amp;" giờ",INT(ROUND($AV18,0)/24)&amp;" ngày"&amp;IF(MOD(ROUND($AV18,0),24)&gt;0," "&amp;MOD(ROUND($AV18,0),24)&amp;" giờ","")))))</f>
      </c>
      <c r="AF18" s="223">
        <f>IF(OR($A18="",N($AU18)=0),"",IF($AV18&lt;&gt;"",IF($AV18&lt;=$AU18,"Trong ước tính","Vượt "&amp;IF(($AV18-$AU18)&lt;1,MAX(1,ROUND(($AV18-$AU18)*60,0))&amp;" phút",IF(ROUND(($AV18-$AU18),0)&lt;24,ROUND(($AV18-$AU18),0)&amp;" giờ",INT(ROUND(($AV18-$AU18),0)/24)&amp;" ngày"&amp;IF(MOD(ROUND(($AV18-$AU18),0),24)&gt;0," "&amp;MOD(ROUND(($AV18-$AU18),0),24)&amp;" giờ","")))),IF(OR($B18&lt;&gt;"Đột xuất",$AA18="Hoàn thành",N($J18)=0),"",IF((TDBC-$J18)*24&gt;$AU18,"Đã vượt ước tính","Đã dùng "&amp;TEXT((TDBC-$J18)*24/$AU18,"0%")))))</f>
      </c>
      <c r="AG18" s="223">
        <f>IF(N($BB18)=0,"",CHOOSE($BB18,"Nhắc nhở","Cảnh báo","Báo động","Báo động đỏ"))</f>
      </c>
      <c r="AH18" s="223">
        <f>IF(OR($B18&lt;&gt;"Đột xuất",$AA18&lt;&gt;"Hoàn thành",N($X18)=0,$AW18=0),"",IF($X18&lt;=$AW18,"Đúng hạn","Trễ hạn"))</f>
      </c>
      <c r="AI18" s="220">
        <f>IF($A18="","",_xlfn.MAXIFS('Nhật ký tiến độ'!$B$6:$B$3005,'Nhật ký tiến độ'!$C$6:$C$3005,$A18))</f>
      </c>
      <c r="AJ18" s="225">
        <f>IF(OR($A18="",$B18&lt;&gt;"Định kỳ"),0,IFERROR(INDEX(DM_TanSuatNgay,MATCH($H18,DM_TanSuat,0)),0))</f>
      </c>
      <c r="AK18" s="225">
        <f>IF(OR($A18="",$B18&lt;&gt;"Định kỳ"),0,IFERROR(INDEX(DM_TanSuatThang,MATCH($H18,DM_TanSuat,0)),0))</f>
      </c>
      <c r="AL18" s="225">
        <f>IF(OR($A18="",$B18&lt;&gt;"Định kỳ",N($X18)=0,N($I18)=0),"",IF(INT($X18)&lt;$I18,0,IF($AJ18&gt;0,ROUND((INT($X18)-$I18)/$AJ18,0),IF($AK18&gt;0,ROUND((DATEDIF($I18,INT($X18),"m")+(INT($X18)-EDATE($I18,DATEDIF($I18,INT($X18),"m")))/(EDATE($I18,DATEDIF($I18,INT($X18),"m")+1)-EDATE($I18,DATEDIF($I18,INT($X18),"m"))))/$AK18,0),0))))</f>
      </c>
      <c r="AM18" s="225">
        <f>IF($A18="","",IF(COUNTIF('Nhật ký tiến độ'!$C$6:$C$3005,$A18)=0,0,_xlfn.MAXIFS('Nhật ký tiến độ'!$N$6:$N$3005,'Nhật ký tiến độ'!$C$6:$C$3005,$A18,'Nhật ký tiến độ'!$B$6:$B$3005,_xlfn.MAXIFS('Nhật ký tiến độ'!$B$6:$B$3005,'Nhật ký tiến độ'!$C$6:$C$3005,$A18))))</f>
      </c>
      <c r="AN18" s="225">
        <f>IF($A18="","",IF(N($AM18)=0,"",INDEX('Nhật ký tiến độ'!$E:$E,$AM18)))</f>
      </c>
      <c r="AO18" s="225">
        <f>IF($A18="",0,IF($AA18="Hoàn thành",0,1))</f>
      </c>
      <c r="AP18" s="225">
        <f>IF($AO18=0,0,INT(N($AW18)))</f>
      </c>
      <c r="AQ18" s="225">
        <f>IF(AND($AO18=1,$AJ18&gt;1),$AJ18,0)</f>
      </c>
      <c r="AR18" s="225">
        <f>IF(AND($AO18=1,$AJ18=1),1,0)</f>
      </c>
      <c r="AS18" s="225">
        <f>IF(OR($AO18=0,AND($AR18=1,N($BB18)=0)),"",IF(N($BB18)&gt;0,5-$BB18,IF($AD18="Chậm tiến độ",6,IF($AD18="Đến hạn hôm nay",7,IF(AND($AP18&gt;0,$AP18-NgayBC&lt;=7),8,"")))))</f>
      </c>
      <c r="AT18" s="225">
        <f>IF($AS18="","",$AS18*100000+$AP18+ROW()/100000)</f>
      </c>
      <c r="AU18" s="224">
        <f>IF(OR($A18="",N($R18)&lt;=0),"",IF($S18="Ngày",$R18*24,$R18))</f>
      </c>
      <c r="AV18" s="224">
        <f>IF($A18="","",IF($B18="Đột xuất",IF(OR($AA18&lt;&gt;"Hoàn thành",N($X18)=0,N($J18)=0),"",IF($X18&lt;$J18,"",($X18-$J18)*24)),IFERROR(AVERAGEIFS('Nhật ký tiến độ'!$H$6:$H$3005,'Nhật ký tiến độ'!$C$6:$C$3005,$A18,'Nhật ký tiến độ'!$H$6:$H$3005,"&gt;0"),"")))</f>
      </c>
      <c r="AW18" s="233">
        <f>IF($A18="",0,IF($B18="Đột xuất",$AY18,IF($AX18=0,0,$AX18+1-1/1440)))</f>
      </c>
      <c r="AX18" s="234">
        <f>IF(OR($A18="",$B18&lt;&gt;"Định kỳ",N($I18)=0),0,IF($AL18="",$I18,IF($AJ18&gt;0,$I18+($AL18+1)*$AJ18,IF($AK18&gt;0,EDATE($I18,($AL18+1)*$AK18),$I18))))</f>
      </c>
      <c r="AY18" s="233">
        <f>IF(OR($A18="",$B18&lt;&gt;"Đột xuất"),0,IF(N($K18)&gt;0,IF(MOD($K18,1)=0,$K18+1-1/1440,$K18),IF(N($J18)=0,0,$J18+IF(N($AU18)&gt;0,$AU18,IFERROR(INDEX(DM_SLA_Gio,MATCH($L18,DM_SLA_Cap,0)),168))/24)))</f>
      </c>
      <c r="AZ18" s="225">
        <f>IF(OR($A18="",TRIM($N18)="",COUNTIF('Phản ánh'!$K$6:$K$505,$N18)&gt;0,COUNTIF($N$6:$N18,$N18)&gt;1),0,1)</f>
      </c>
      <c r="BA18" s="225">
        <f>IF($AZ18=1,SUM($AZ$6:$AZ18),"")</f>
      </c>
      <c r="BB18" s="225">
        <f>IF(OR($AO18=0,N($AW18)=0),0,IF(TDBC&lt;=$AW18,0,MAX(1,MIN(4,IF((TDBC-$AW18)*24&lt;24,1,IF((TDBC-$AW18)*24&lt;72,2,IF((TDBC-$AW18)*24&lt;168,3,4)))+IF($B18="Đột xuất",IFERROR(INDEX({2,1,0,-1},MATCH($L18,{"Khẩn cấp","Cao","Trung bình","Thấp"},0)),0),IF($D18="PCCC và an ninh",1,0))))))</f>
      </c>
    </row>
    <row r="19">
      <c r="A19" s="216"/>
      <c r="B19" s="216"/>
      <c r="C19" s="218"/>
      <c r="D19" s="218"/>
      <c r="E19" s="218"/>
      <c r="F19" s="216"/>
      <c r="G19" s="218"/>
      <c r="H19" s="218"/>
      <c r="I19" s="231"/>
      <c r="J19" s="217"/>
      <c r="K19" s="217"/>
      <c r="L19" s="216"/>
      <c r="M19" s="216"/>
      <c r="N19" s="218"/>
      <c r="O19" s="218"/>
      <c r="P19" s="218"/>
      <c r="Q19" s="218"/>
      <c r="R19" s="219"/>
      <c r="S19" s="216"/>
      <c r="T19" s="232"/>
      <c r="U19" s="232"/>
      <c r="V19" s="218"/>
      <c r="W19" s="218"/>
      <c r="X19" s="220">
        <f>IF($A19="","",IF(OR($B19="Định kỳ",$AA19="Hoàn thành"),MAX(_xlfn.MAXIFS('Nhật ký tiến độ'!$B$6:$B$3005,'Nhật ký tiến độ'!$C$6:$C$3005,$A19,'Nhật ký tiến độ'!$E$6:$E$3005,"Hoàn thành kỳ"),_xlfn.MAXIFS('Nhật ký tiến độ'!$B$6:$B$3005,'Nhật ký tiến độ'!$C$6:$C$3005,$A19,'Nhật ký tiến độ'!$E$6:$E$3005,"Hoàn thành")),0))</f>
      </c>
      <c r="Y19" s="220">
        <f>IF($A19="","",IF($B19="Đột xuất",IF($AY19=0,"",$AY19),IF($AX19=0,"",$AX19)))</f>
      </c>
      <c r="Z19" s="223">
        <f>IF(OR($AO19=0,$AW19=0),"",IF(TDBC&gt;$AW19,"Quá "&amp;IF($B19="Định kỳ",(NgayBC-$AP19)&amp;" ngày",IF(((TDBC-$AW19)*24)&lt;1,MAX(1,ROUND(((TDBC-$AW19)*24)*60,0))&amp;" phút",IF(ROUND(((TDBC-$AW19)*24),0)&lt;24,ROUND(((TDBC-$AW19)*24),0)&amp;" giờ",INT(ROUND(((TDBC-$AW19)*24),0)/24)&amp;" ngày"&amp;IF(MOD(ROUND(((TDBC-$AW19)*24),0),24)&gt;0," "&amp;MOD(ROUND(((TDBC-$AW19)*24),0),24)&amp;" giờ","")))),IF($B19="Định kỳ",IF($AP19=NgayBC,"Hôm nay","Còn "&amp;($AP19-NgayBC)&amp;" ngày"),"Còn "&amp;IF((($AW19-TDBC)*24)&lt;1,MAX(1,ROUND((($AW19-TDBC)*24)*60,0))&amp;" phút",IF(ROUND((($AW19-TDBC)*24),0)&lt;24,ROUND((($AW19-TDBC)*24),0)&amp;" giờ",INT(ROUND((($AW19-TDBC)*24),0)/24)&amp;" ngày"&amp;IF(MOD(ROUND((($AW19-TDBC)*24),0),24)&gt;0," "&amp;MOD(ROUND((($AW19-TDBC)*24),0),24)&amp;" giờ",""))))))</f>
      </c>
      <c r="AA19" s="221">
        <f>IF($A19="","",IF(N($AM19)=0,"Chưa bắt đầu",IF(OR($AN19="Hoàn thành kỳ",$AN19="Hoàn thành"),IF($B19="Định kỳ","Chưa bắt đầu","Hoàn thành"),$AN19)))</f>
      </c>
      <c r="AB19" s="222">
        <f>IF($A19="","",IF($AA19="Hoàn thành",1,IF(OR(N($AM19)=0,$AN19="Hoàn thành kỳ",$AN19="Hoàn thành"),0,N(INDEX('Nhật ký tiến độ'!$D:$D,$AM19)))))</f>
      </c>
      <c r="AC19" s="222">
        <f>IF(OR($A19="",$B19&lt;&gt;"Đột xuất",$AA19="Hoàn thành",N($J19)=0,$AW19=0),"",IF(TDBC&lt;=$J19,0,IF(TDBC&gt;=$AW19,1,(TDBC-$J19)/($AW19-$J19))))</f>
      </c>
      <c r="AD19" s="223">
        <f>IF($A19="","",IF($AA19="Hoàn thành","Hoàn thành",IF($AW19=0,"Chưa đặt hạn",IF(TDBC&gt;$AW19,"Quá hạn",IF(AND($B19="Đột xuất",ROUND((N($AC19)-$AB19)*100,0)&gt;=20),"Chậm tiến độ",IF($AP19=NgayBC,"Đến hạn hôm nay",IF($B19="Đột xuất",IF($AW19-TDBC&lt;=1,"Sắp đến hạn","Đúng tiến độ"),IF($AP19-NgayBC&lt;=3,"Sắp đến hạn","Theo lịch"))))))))</f>
      </c>
      <c r="AE19" s="223">
        <f>IF($AV19="","",IF($B19="Định kỳ","Bình quân "&amp;IF($AV19&lt;1,MAX(1,ROUND($AV19*60,0))&amp;" phút",IF(ROUND($AV19,0)&lt;24,ROUND($AV19,0)&amp;" giờ",INT(ROUND($AV19,0)/24)&amp;" ngày"&amp;IF(MOD(ROUND($AV19,0),24)&gt;0," "&amp;MOD(ROUND($AV19,0),24)&amp;" giờ","")))&amp;" mỗi kỳ",IF($AV19&lt;1,MAX(1,ROUND($AV19*60,0))&amp;" phút",IF(ROUND($AV19,0)&lt;24,ROUND($AV19,0)&amp;" giờ",INT(ROUND($AV19,0)/24)&amp;" ngày"&amp;IF(MOD(ROUND($AV19,0),24)&gt;0," "&amp;MOD(ROUND($AV19,0),24)&amp;" giờ","")))))</f>
      </c>
      <c r="AF19" s="223">
        <f>IF(OR($A19="",N($AU19)=0),"",IF($AV19&lt;&gt;"",IF($AV19&lt;=$AU19,"Trong ước tính","Vượt "&amp;IF(($AV19-$AU19)&lt;1,MAX(1,ROUND(($AV19-$AU19)*60,0))&amp;" phút",IF(ROUND(($AV19-$AU19),0)&lt;24,ROUND(($AV19-$AU19),0)&amp;" giờ",INT(ROUND(($AV19-$AU19),0)/24)&amp;" ngày"&amp;IF(MOD(ROUND(($AV19-$AU19),0),24)&gt;0," "&amp;MOD(ROUND(($AV19-$AU19),0),24)&amp;" giờ","")))),IF(OR($B19&lt;&gt;"Đột xuất",$AA19="Hoàn thành",N($J19)=0),"",IF((TDBC-$J19)*24&gt;$AU19,"Đã vượt ước tính","Đã dùng "&amp;TEXT((TDBC-$J19)*24/$AU19,"0%")))))</f>
      </c>
      <c r="AG19" s="223">
        <f>IF(N($BB19)=0,"",CHOOSE($BB19,"Nhắc nhở","Cảnh báo","Báo động","Báo động đỏ"))</f>
      </c>
      <c r="AH19" s="223">
        <f>IF(OR($B19&lt;&gt;"Đột xuất",$AA19&lt;&gt;"Hoàn thành",N($X19)=0,$AW19=0),"",IF($X19&lt;=$AW19,"Đúng hạn","Trễ hạn"))</f>
      </c>
      <c r="AI19" s="220">
        <f>IF($A19="","",_xlfn.MAXIFS('Nhật ký tiến độ'!$B$6:$B$3005,'Nhật ký tiến độ'!$C$6:$C$3005,$A19))</f>
      </c>
      <c r="AJ19" s="225">
        <f>IF(OR($A19="",$B19&lt;&gt;"Định kỳ"),0,IFERROR(INDEX(DM_TanSuatNgay,MATCH($H19,DM_TanSuat,0)),0))</f>
      </c>
      <c r="AK19" s="225">
        <f>IF(OR($A19="",$B19&lt;&gt;"Định kỳ"),0,IFERROR(INDEX(DM_TanSuatThang,MATCH($H19,DM_TanSuat,0)),0))</f>
      </c>
      <c r="AL19" s="225">
        <f>IF(OR($A19="",$B19&lt;&gt;"Định kỳ",N($X19)=0,N($I19)=0),"",IF(INT($X19)&lt;$I19,0,IF($AJ19&gt;0,ROUND((INT($X19)-$I19)/$AJ19,0),IF($AK19&gt;0,ROUND((DATEDIF($I19,INT($X19),"m")+(INT($X19)-EDATE($I19,DATEDIF($I19,INT($X19),"m")))/(EDATE($I19,DATEDIF($I19,INT($X19),"m")+1)-EDATE($I19,DATEDIF($I19,INT($X19),"m"))))/$AK19,0),0))))</f>
      </c>
      <c r="AM19" s="225">
        <f>IF($A19="","",IF(COUNTIF('Nhật ký tiến độ'!$C$6:$C$3005,$A19)=0,0,_xlfn.MAXIFS('Nhật ký tiến độ'!$N$6:$N$3005,'Nhật ký tiến độ'!$C$6:$C$3005,$A19,'Nhật ký tiến độ'!$B$6:$B$3005,_xlfn.MAXIFS('Nhật ký tiến độ'!$B$6:$B$3005,'Nhật ký tiến độ'!$C$6:$C$3005,$A19))))</f>
      </c>
      <c r="AN19" s="225">
        <f>IF($A19="","",IF(N($AM19)=0,"",INDEX('Nhật ký tiến độ'!$E:$E,$AM19)))</f>
      </c>
      <c r="AO19" s="225">
        <f>IF($A19="",0,IF($AA19="Hoàn thành",0,1))</f>
      </c>
      <c r="AP19" s="225">
        <f>IF($AO19=0,0,INT(N($AW19)))</f>
      </c>
      <c r="AQ19" s="225">
        <f>IF(AND($AO19=1,$AJ19&gt;1),$AJ19,0)</f>
      </c>
      <c r="AR19" s="225">
        <f>IF(AND($AO19=1,$AJ19=1),1,0)</f>
      </c>
      <c r="AS19" s="225">
        <f>IF(OR($AO19=0,AND($AR19=1,N($BB19)=0)),"",IF(N($BB19)&gt;0,5-$BB19,IF($AD19="Chậm tiến độ",6,IF($AD19="Đến hạn hôm nay",7,IF(AND($AP19&gt;0,$AP19-NgayBC&lt;=7),8,"")))))</f>
      </c>
      <c r="AT19" s="225">
        <f>IF($AS19="","",$AS19*100000+$AP19+ROW()/100000)</f>
      </c>
      <c r="AU19" s="224">
        <f>IF(OR($A19="",N($R19)&lt;=0),"",IF($S19="Ngày",$R19*24,$R19))</f>
      </c>
      <c r="AV19" s="224">
        <f>IF($A19="","",IF($B19="Đột xuất",IF(OR($AA19&lt;&gt;"Hoàn thành",N($X19)=0,N($J19)=0),"",IF($X19&lt;$J19,"",($X19-$J19)*24)),IFERROR(AVERAGEIFS('Nhật ký tiến độ'!$H$6:$H$3005,'Nhật ký tiến độ'!$C$6:$C$3005,$A19,'Nhật ký tiến độ'!$H$6:$H$3005,"&gt;0"),"")))</f>
      </c>
      <c r="AW19" s="233">
        <f>IF($A19="",0,IF($B19="Đột xuất",$AY19,IF($AX19=0,0,$AX19+1-1/1440)))</f>
      </c>
      <c r="AX19" s="234">
        <f>IF(OR($A19="",$B19&lt;&gt;"Định kỳ",N($I19)=0),0,IF($AL19="",$I19,IF($AJ19&gt;0,$I19+($AL19+1)*$AJ19,IF($AK19&gt;0,EDATE($I19,($AL19+1)*$AK19),$I19))))</f>
      </c>
      <c r="AY19" s="233">
        <f>IF(OR($A19="",$B19&lt;&gt;"Đột xuất"),0,IF(N($K19)&gt;0,IF(MOD($K19,1)=0,$K19+1-1/1440,$K19),IF(N($J19)=0,0,$J19+IF(N($AU19)&gt;0,$AU19,IFERROR(INDEX(DM_SLA_Gio,MATCH($L19,DM_SLA_Cap,0)),168))/24)))</f>
      </c>
      <c r="AZ19" s="225">
        <f>IF(OR($A19="",TRIM($N19)="",COUNTIF('Phản ánh'!$K$6:$K$505,$N19)&gt;0,COUNTIF($N$6:$N19,$N19)&gt;1),0,1)</f>
      </c>
      <c r="BA19" s="225">
        <f>IF($AZ19=1,SUM($AZ$6:$AZ19),"")</f>
      </c>
      <c r="BB19" s="225">
        <f>IF(OR($AO19=0,N($AW19)=0),0,IF(TDBC&lt;=$AW19,0,MAX(1,MIN(4,IF((TDBC-$AW19)*24&lt;24,1,IF((TDBC-$AW19)*24&lt;72,2,IF((TDBC-$AW19)*24&lt;168,3,4)))+IF($B19="Đột xuất",IFERROR(INDEX({2,1,0,-1},MATCH($L19,{"Khẩn cấp","Cao","Trung bình","Thấp"},0)),0),IF($D19="PCCC và an ninh",1,0))))))</f>
      </c>
    </row>
    <row r="20">
      <c r="A20" s="216"/>
      <c r="B20" s="216"/>
      <c r="C20" s="218"/>
      <c r="D20" s="218"/>
      <c r="E20" s="218"/>
      <c r="F20" s="216"/>
      <c r="G20" s="218"/>
      <c r="H20" s="218"/>
      <c r="I20" s="231"/>
      <c r="J20" s="217"/>
      <c r="K20" s="217"/>
      <c r="L20" s="216"/>
      <c r="M20" s="216"/>
      <c r="N20" s="218"/>
      <c r="O20" s="218"/>
      <c r="P20" s="218"/>
      <c r="Q20" s="218"/>
      <c r="R20" s="219"/>
      <c r="S20" s="216"/>
      <c r="T20" s="232"/>
      <c r="U20" s="232"/>
      <c r="V20" s="218"/>
      <c r="W20" s="218"/>
      <c r="X20" s="220">
        <f>IF($A20="","",IF(OR($B20="Định kỳ",$AA20="Hoàn thành"),MAX(_xlfn.MAXIFS('Nhật ký tiến độ'!$B$6:$B$3005,'Nhật ký tiến độ'!$C$6:$C$3005,$A20,'Nhật ký tiến độ'!$E$6:$E$3005,"Hoàn thành kỳ"),_xlfn.MAXIFS('Nhật ký tiến độ'!$B$6:$B$3005,'Nhật ký tiến độ'!$C$6:$C$3005,$A20,'Nhật ký tiến độ'!$E$6:$E$3005,"Hoàn thành")),0))</f>
      </c>
      <c r="Y20" s="220">
        <f>IF($A20="","",IF($B20="Đột xuất",IF($AY20=0,"",$AY20),IF($AX20=0,"",$AX20)))</f>
      </c>
      <c r="Z20" s="223">
        <f>IF(OR($AO20=0,$AW20=0),"",IF(TDBC&gt;$AW20,"Quá "&amp;IF($B20="Định kỳ",(NgayBC-$AP20)&amp;" ngày",IF(((TDBC-$AW20)*24)&lt;1,MAX(1,ROUND(((TDBC-$AW20)*24)*60,0))&amp;" phút",IF(ROUND(((TDBC-$AW20)*24),0)&lt;24,ROUND(((TDBC-$AW20)*24),0)&amp;" giờ",INT(ROUND(((TDBC-$AW20)*24),0)/24)&amp;" ngày"&amp;IF(MOD(ROUND(((TDBC-$AW20)*24),0),24)&gt;0," "&amp;MOD(ROUND(((TDBC-$AW20)*24),0),24)&amp;" giờ","")))),IF($B20="Định kỳ",IF($AP20=NgayBC,"Hôm nay","Còn "&amp;($AP20-NgayBC)&amp;" ngày"),"Còn "&amp;IF((($AW20-TDBC)*24)&lt;1,MAX(1,ROUND((($AW20-TDBC)*24)*60,0))&amp;" phút",IF(ROUND((($AW20-TDBC)*24),0)&lt;24,ROUND((($AW20-TDBC)*24),0)&amp;" giờ",INT(ROUND((($AW20-TDBC)*24),0)/24)&amp;" ngày"&amp;IF(MOD(ROUND((($AW20-TDBC)*24),0),24)&gt;0," "&amp;MOD(ROUND((($AW20-TDBC)*24),0),24)&amp;" giờ",""))))))</f>
      </c>
      <c r="AA20" s="221">
        <f>IF($A20="","",IF(N($AM20)=0,"Chưa bắt đầu",IF(OR($AN20="Hoàn thành kỳ",$AN20="Hoàn thành"),IF($B20="Định kỳ","Chưa bắt đầu","Hoàn thành"),$AN20)))</f>
      </c>
      <c r="AB20" s="222">
        <f>IF($A20="","",IF($AA20="Hoàn thành",1,IF(OR(N($AM20)=0,$AN20="Hoàn thành kỳ",$AN20="Hoàn thành"),0,N(INDEX('Nhật ký tiến độ'!$D:$D,$AM20)))))</f>
      </c>
      <c r="AC20" s="222">
        <f>IF(OR($A20="",$B20&lt;&gt;"Đột xuất",$AA20="Hoàn thành",N($J20)=0,$AW20=0),"",IF(TDBC&lt;=$J20,0,IF(TDBC&gt;=$AW20,1,(TDBC-$J20)/($AW20-$J20))))</f>
      </c>
      <c r="AD20" s="223">
        <f>IF($A20="","",IF($AA20="Hoàn thành","Hoàn thành",IF($AW20=0,"Chưa đặt hạn",IF(TDBC&gt;$AW20,"Quá hạn",IF(AND($B20="Đột xuất",ROUND((N($AC20)-$AB20)*100,0)&gt;=20),"Chậm tiến độ",IF($AP20=NgayBC,"Đến hạn hôm nay",IF($B20="Đột xuất",IF($AW20-TDBC&lt;=1,"Sắp đến hạn","Đúng tiến độ"),IF($AP20-NgayBC&lt;=3,"Sắp đến hạn","Theo lịch"))))))))</f>
      </c>
      <c r="AE20" s="223">
        <f>IF($AV20="","",IF($B20="Định kỳ","Bình quân "&amp;IF($AV20&lt;1,MAX(1,ROUND($AV20*60,0))&amp;" phút",IF(ROUND($AV20,0)&lt;24,ROUND($AV20,0)&amp;" giờ",INT(ROUND($AV20,0)/24)&amp;" ngày"&amp;IF(MOD(ROUND($AV20,0),24)&gt;0," "&amp;MOD(ROUND($AV20,0),24)&amp;" giờ","")))&amp;" mỗi kỳ",IF($AV20&lt;1,MAX(1,ROUND($AV20*60,0))&amp;" phút",IF(ROUND($AV20,0)&lt;24,ROUND($AV20,0)&amp;" giờ",INT(ROUND($AV20,0)/24)&amp;" ngày"&amp;IF(MOD(ROUND($AV20,0),24)&gt;0," "&amp;MOD(ROUND($AV20,0),24)&amp;" giờ","")))))</f>
      </c>
      <c r="AF20" s="223">
        <f>IF(OR($A20="",N($AU20)=0),"",IF($AV20&lt;&gt;"",IF($AV20&lt;=$AU20,"Trong ước tính","Vượt "&amp;IF(($AV20-$AU20)&lt;1,MAX(1,ROUND(($AV20-$AU20)*60,0))&amp;" phút",IF(ROUND(($AV20-$AU20),0)&lt;24,ROUND(($AV20-$AU20),0)&amp;" giờ",INT(ROUND(($AV20-$AU20),0)/24)&amp;" ngày"&amp;IF(MOD(ROUND(($AV20-$AU20),0),24)&gt;0," "&amp;MOD(ROUND(($AV20-$AU20),0),24)&amp;" giờ","")))),IF(OR($B20&lt;&gt;"Đột xuất",$AA20="Hoàn thành",N($J20)=0),"",IF((TDBC-$J20)*24&gt;$AU20,"Đã vượt ước tính","Đã dùng "&amp;TEXT((TDBC-$J20)*24/$AU20,"0%")))))</f>
      </c>
      <c r="AG20" s="223">
        <f>IF(N($BB20)=0,"",CHOOSE($BB20,"Nhắc nhở","Cảnh báo","Báo động","Báo động đỏ"))</f>
      </c>
      <c r="AH20" s="223">
        <f>IF(OR($B20&lt;&gt;"Đột xuất",$AA20&lt;&gt;"Hoàn thành",N($X20)=0,$AW20=0),"",IF($X20&lt;=$AW20,"Đúng hạn","Trễ hạn"))</f>
      </c>
      <c r="AI20" s="220">
        <f>IF($A20="","",_xlfn.MAXIFS('Nhật ký tiến độ'!$B$6:$B$3005,'Nhật ký tiến độ'!$C$6:$C$3005,$A20))</f>
      </c>
      <c r="AJ20" s="225">
        <f>IF(OR($A20="",$B20&lt;&gt;"Định kỳ"),0,IFERROR(INDEX(DM_TanSuatNgay,MATCH($H20,DM_TanSuat,0)),0))</f>
      </c>
      <c r="AK20" s="225">
        <f>IF(OR($A20="",$B20&lt;&gt;"Định kỳ"),0,IFERROR(INDEX(DM_TanSuatThang,MATCH($H20,DM_TanSuat,0)),0))</f>
      </c>
      <c r="AL20" s="225">
        <f>IF(OR($A20="",$B20&lt;&gt;"Định kỳ",N($X20)=0,N($I20)=0),"",IF(INT($X20)&lt;$I20,0,IF($AJ20&gt;0,ROUND((INT($X20)-$I20)/$AJ20,0),IF($AK20&gt;0,ROUND((DATEDIF($I20,INT($X20),"m")+(INT($X20)-EDATE($I20,DATEDIF($I20,INT($X20),"m")))/(EDATE($I20,DATEDIF($I20,INT($X20),"m")+1)-EDATE($I20,DATEDIF($I20,INT($X20),"m"))))/$AK20,0),0))))</f>
      </c>
      <c r="AM20" s="225">
        <f>IF($A20="","",IF(COUNTIF('Nhật ký tiến độ'!$C$6:$C$3005,$A20)=0,0,_xlfn.MAXIFS('Nhật ký tiến độ'!$N$6:$N$3005,'Nhật ký tiến độ'!$C$6:$C$3005,$A20,'Nhật ký tiến độ'!$B$6:$B$3005,_xlfn.MAXIFS('Nhật ký tiến độ'!$B$6:$B$3005,'Nhật ký tiến độ'!$C$6:$C$3005,$A20))))</f>
      </c>
      <c r="AN20" s="225">
        <f>IF($A20="","",IF(N($AM20)=0,"",INDEX('Nhật ký tiến độ'!$E:$E,$AM20)))</f>
      </c>
      <c r="AO20" s="225">
        <f>IF($A20="",0,IF($AA20="Hoàn thành",0,1))</f>
      </c>
      <c r="AP20" s="225">
        <f>IF($AO20=0,0,INT(N($AW20)))</f>
      </c>
      <c r="AQ20" s="225">
        <f>IF(AND($AO20=1,$AJ20&gt;1),$AJ20,0)</f>
      </c>
      <c r="AR20" s="225">
        <f>IF(AND($AO20=1,$AJ20=1),1,0)</f>
      </c>
      <c r="AS20" s="225">
        <f>IF(OR($AO20=0,AND($AR20=1,N($BB20)=0)),"",IF(N($BB20)&gt;0,5-$BB20,IF($AD20="Chậm tiến độ",6,IF($AD20="Đến hạn hôm nay",7,IF(AND($AP20&gt;0,$AP20-NgayBC&lt;=7),8,"")))))</f>
      </c>
      <c r="AT20" s="225">
        <f>IF($AS20="","",$AS20*100000+$AP20+ROW()/100000)</f>
      </c>
      <c r="AU20" s="224">
        <f>IF(OR($A20="",N($R20)&lt;=0),"",IF($S20="Ngày",$R20*24,$R20))</f>
      </c>
      <c r="AV20" s="224">
        <f>IF($A20="","",IF($B20="Đột xuất",IF(OR($AA20&lt;&gt;"Hoàn thành",N($X20)=0,N($J20)=0),"",IF($X20&lt;$J20,"",($X20-$J20)*24)),IFERROR(AVERAGEIFS('Nhật ký tiến độ'!$H$6:$H$3005,'Nhật ký tiến độ'!$C$6:$C$3005,$A20,'Nhật ký tiến độ'!$H$6:$H$3005,"&gt;0"),"")))</f>
      </c>
      <c r="AW20" s="233">
        <f>IF($A20="",0,IF($B20="Đột xuất",$AY20,IF($AX20=0,0,$AX20+1-1/1440)))</f>
      </c>
      <c r="AX20" s="234">
        <f>IF(OR($A20="",$B20&lt;&gt;"Định kỳ",N($I20)=0),0,IF($AL20="",$I20,IF($AJ20&gt;0,$I20+($AL20+1)*$AJ20,IF($AK20&gt;0,EDATE($I20,($AL20+1)*$AK20),$I20))))</f>
      </c>
      <c r="AY20" s="233">
        <f>IF(OR($A20="",$B20&lt;&gt;"Đột xuất"),0,IF(N($K20)&gt;0,IF(MOD($K20,1)=0,$K20+1-1/1440,$K20),IF(N($J20)=0,0,$J20+IF(N($AU20)&gt;0,$AU20,IFERROR(INDEX(DM_SLA_Gio,MATCH($L20,DM_SLA_Cap,0)),168))/24)))</f>
      </c>
      <c r="AZ20" s="225">
        <f>IF(OR($A20="",TRIM($N20)="",COUNTIF('Phản ánh'!$K$6:$K$505,$N20)&gt;0,COUNTIF($N$6:$N20,$N20)&gt;1),0,1)</f>
      </c>
      <c r="BA20" s="225">
        <f>IF($AZ20=1,SUM($AZ$6:$AZ20),"")</f>
      </c>
      <c r="BB20" s="225">
        <f>IF(OR($AO20=0,N($AW20)=0),0,IF(TDBC&lt;=$AW20,0,MAX(1,MIN(4,IF((TDBC-$AW20)*24&lt;24,1,IF((TDBC-$AW20)*24&lt;72,2,IF((TDBC-$AW20)*24&lt;168,3,4)))+IF($B20="Đột xuất",IFERROR(INDEX({2,1,0,-1},MATCH($L20,{"Khẩn cấp","Cao","Trung bình","Thấp"},0)),0),IF($D20="PCCC và an ninh",1,0))))))</f>
      </c>
    </row>
    <row r="21">
      <c r="A21" s="216"/>
      <c r="B21" s="216"/>
      <c r="C21" s="218"/>
      <c r="D21" s="218"/>
      <c r="E21" s="218"/>
      <c r="F21" s="216"/>
      <c r="G21" s="218"/>
      <c r="H21" s="218"/>
      <c r="I21" s="231"/>
      <c r="J21" s="217"/>
      <c r="K21" s="217"/>
      <c r="L21" s="216"/>
      <c r="M21" s="216"/>
      <c r="N21" s="218"/>
      <c r="O21" s="218"/>
      <c r="P21" s="218"/>
      <c r="Q21" s="218"/>
      <c r="R21" s="219"/>
      <c r="S21" s="216"/>
      <c r="T21" s="232"/>
      <c r="U21" s="232"/>
      <c r="V21" s="218"/>
      <c r="W21" s="218"/>
      <c r="X21" s="220">
        <f>IF($A21="","",IF(OR($B21="Định kỳ",$AA21="Hoàn thành"),MAX(_xlfn.MAXIFS('Nhật ký tiến độ'!$B$6:$B$3005,'Nhật ký tiến độ'!$C$6:$C$3005,$A21,'Nhật ký tiến độ'!$E$6:$E$3005,"Hoàn thành kỳ"),_xlfn.MAXIFS('Nhật ký tiến độ'!$B$6:$B$3005,'Nhật ký tiến độ'!$C$6:$C$3005,$A21,'Nhật ký tiến độ'!$E$6:$E$3005,"Hoàn thành")),0))</f>
      </c>
      <c r="Y21" s="220">
        <f>IF($A21="","",IF($B21="Đột xuất",IF($AY21=0,"",$AY21),IF($AX21=0,"",$AX21)))</f>
      </c>
      <c r="Z21" s="223">
        <f>IF(OR($AO21=0,$AW21=0),"",IF(TDBC&gt;$AW21,"Quá "&amp;IF($B21="Định kỳ",(NgayBC-$AP21)&amp;" ngày",IF(((TDBC-$AW21)*24)&lt;1,MAX(1,ROUND(((TDBC-$AW21)*24)*60,0))&amp;" phút",IF(ROUND(((TDBC-$AW21)*24),0)&lt;24,ROUND(((TDBC-$AW21)*24),0)&amp;" giờ",INT(ROUND(((TDBC-$AW21)*24),0)/24)&amp;" ngày"&amp;IF(MOD(ROUND(((TDBC-$AW21)*24),0),24)&gt;0," "&amp;MOD(ROUND(((TDBC-$AW21)*24),0),24)&amp;" giờ","")))),IF($B21="Định kỳ",IF($AP21=NgayBC,"Hôm nay","Còn "&amp;($AP21-NgayBC)&amp;" ngày"),"Còn "&amp;IF((($AW21-TDBC)*24)&lt;1,MAX(1,ROUND((($AW21-TDBC)*24)*60,0))&amp;" phút",IF(ROUND((($AW21-TDBC)*24),0)&lt;24,ROUND((($AW21-TDBC)*24),0)&amp;" giờ",INT(ROUND((($AW21-TDBC)*24),0)/24)&amp;" ngày"&amp;IF(MOD(ROUND((($AW21-TDBC)*24),0),24)&gt;0," "&amp;MOD(ROUND((($AW21-TDBC)*24),0),24)&amp;" giờ",""))))))</f>
      </c>
      <c r="AA21" s="221">
        <f>IF($A21="","",IF(N($AM21)=0,"Chưa bắt đầu",IF(OR($AN21="Hoàn thành kỳ",$AN21="Hoàn thành"),IF($B21="Định kỳ","Chưa bắt đầu","Hoàn thành"),$AN21)))</f>
      </c>
      <c r="AB21" s="222">
        <f>IF($A21="","",IF($AA21="Hoàn thành",1,IF(OR(N($AM21)=0,$AN21="Hoàn thành kỳ",$AN21="Hoàn thành"),0,N(INDEX('Nhật ký tiến độ'!$D:$D,$AM21)))))</f>
      </c>
      <c r="AC21" s="222">
        <f>IF(OR($A21="",$B21&lt;&gt;"Đột xuất",$AA21="Hoàn thành",N($J21)=0,$AW21=0),"",IF(TDBC&lt;=$J21,0,IF(TDBC&gt;=$AW21,1,(TDBC-$J21)/($AW21-$J21))))</f>
      </c>
      <c r="AD21" s="223">
        <f>IF($A21="","",IF($AA21="Hoàn thành","Hoàn thành",IF($AW21=0,"Chưa đặt hạn",IF(TDBC&gt;$AW21,"Quá hạn",IF(AND($B21="Đột xuất",ROUND((N($AC21)-$AB21)*100,0)&gt;=20),"Chậm tiến độ",IF($AP21=NgayBC,"Đến hạn hôm nay",IF($B21="Đột xuất",IF($AW21-TDBC&lt;=1,"Sắp đến hạn","Đúng tiến độ"),IF($AP21-NgayBC&lt;=3,"Sắp đến hạn","Theo lịch"))))))))</f>
      </c>
      <c r="AE21" s="223">
        <f>IF($AV21="","",IF($B21="Định kỳ","Bình quân "&amp;IF($AV21&lt;1,MAX(1,ROUND($AV21*60,0))&amp;" phút",IF(ROUND($AV21,0)&lt;24,ROUND($AV21,0)&amp;" giờ",INT(ROUND($AV21,0)/24)&amp;" ngày"&amp;IF(MOD(ROUND($AV21,0),24)&gt;0," "&amp;MOD(ROUND($AV21,0),24)&amp;" giờ","")))&amp;" mỗi kỳ",IF($AV21&lt;1,MAX(1,ROUND($AV21*60,0))&amp;" phút",IF(ROUND($AV21,0)&lt;24,ROUND($AV21,0)&amp;" giờ",INT(ROUND($AV21,0)/24)&amp;" ngày"&amp;IF(MOD(ROUND($AV21,0),24)&gt;0," "&amp;MOD(ROUND($AV21,0),24)&amp;" giờ","")))))</f>
      </c>
      <c r="AF21" s="223">
        <f>IF(OR($A21="",N($AU21)=0),"",IF($AV21&lt;&gt;"",IF($AV21&lt;=$AU21,"Trong ước tính","Vượt "&amp;IF(($AV21-$AU21)&lt;1,MAX(1,ROUND(($AV21-$AU21)*60,0))&amp;" phút",IF(ROUND(($AV21-$AU21),0)&lt;24,ROUND(($AV21-$AU21),0)&amp;" giờ",INT(ROUND(($AV21-$AU21),0)/24)&amp;" ngày"&amp;IF(MOD(ROUND(($AV21-$AU21),0),24)&gt;0," "&amp;MOD(ROUND(($AV21-$AU21),0),24)&amp;" giờ","")))),IF(OR($B21&lt;&gt;"Đột xuất",$AA21="Hoàn thành",N($J21)=0),"",IF((TDBC-$J21)*24&gt;$AU21,"Đã vượt ước tính","Đã dùng "&amp;TEXT((TDBC-$J21)*24/$AU21,"0%")))))</f>
      </c>
      <c r="AG21" s="223">
        <f>IF(N($BB21)=0,"",CHOOSE($BB21,"Nhắc nhở","Cảnh báo","Báo động","Báo động đỏ"))</f>
      </c>
      <c r="AH21" s="223">
        <f>IF(OR($B21&lt;&gt;"Đột xuất",$AA21&lt;&gt;"Hoàn thành",N($X21)=0,$AW21=0),"",IF($X21&lt;=$AW21,"Đúng hạn","Trễ hạn"))</f>
      </c>
      <c r="AI21" s="220">
        <f>IF($A21="","",_xlfn.MAXIFS('Nhật ký tiến độ'!$B$6:$B$3005,'Nhật ký tiến độ'!$C$6:$C$3005,$A21))</f>
      </c>
      <c r="AJ21" s="225">
        <f>IF(OR($A21="",$B21&lt;&gt;"Định kỳ"),0,IFERROR(INDEX(DM_TanSuatNgay,MATCH($H21,DM_TanSuat,0)),0))</f>
      </c>
      <c r="AK21" s="225">
        <f>IF(OR($A21="",$B21&lt;&gt;"Định kỳ"),0,IFERROR(INDEX(DM_TanSuatThang,MATCH($H21,DM_TanSuat,0)),0))</f>
      </c>
      <c r="AL21" s="225">
        <f>IF(OR($A21="",$B21&lt;&gt;"Định kỳ",N($X21)=0,N($I21)=0),"",IF(INT($X21)&lt;$I21,0,IF($AJ21&gt;0,ROUND((INT($X21)-$I21)/$AJ21,0),IF($AK21&gt;0,ROUND((DATEDIF($I21,INT($X21),"m")+(INT($X21)-EDATE($I21,DATEDIF($I21,INT($X21),"m")))/(EDATE($I21,DATEDIF($I21,INT($X21),"m")+1)-EDATE($I21,DATEDIF($I21,INT($X21),"m"))))/$AK21,0),0))))</f>
      </c>
      <c r="AM21" s="225">
        <f>IF($A21="","",IF(COUNTIF('Nhật ký tiến độ'!$C$6:$C$3005,$A21)=0,0,_xlfn.MAXIFS('Nhật ký tiến độ'!$N$6:$N$3005,'Nhật ký tiến độ'!$C$6:$C$3005,$A21,'Nhật ký tiến độ'!$B$6:$B$3005,_xlfn.MAXIFS('Nhật ký tiến độ'!$B$6:$B$3005,'Nhật ký tiến độ'!$C$6:$C$3005,$A21))))</f>
      </c>
      <c r="AN21" s="225">
        <f>IF($A21="","",IF(N($AM21)=0,"",INDEX('Nhật ký tiến độ'!$E:$E,$AM21)))</f>
      </c>
      <c r="AO21" s="225">
        <f>IF($A21="",0,IF($AA21="Hoàn thành",0,1))</f>
      </c>
      <c r="AP21" s="225">
        <f>IF($AO21=0,0,INT(N($AW21)))</f>
      </c>
      <c r="AQ21" s="225">
        <f>IF(AND($AO21=1,$AJ21&gt;1),$AJ21,0)</f>
      </c>
      <c r="AR21" s="225">
        <f>IF(AND($AO21=1,$AJ21=1),1,0)</f>
      </c>
      <c r="AS21" s="225">
        <f>IF(OR($AO21=0,AND($AR21=1,N($BB21)=0)),"",IF(N($BB21)&gt;0,5-$BB21,IF($AD21="Chậm tiến độ",6,IF($AD21="Đến hạn hôm nay",7,IF(AND($AP21&gt;0,$AP21-NgayBC&lt;=7),8,"")))))</f>
      </c>
      <c r="AT21" s="225">
        <f>IF($AS21="","",$AS21*100000+$AP21+ROW()/100000)</f>
      </c>
      <c r="AU21" s="224">
        <f>IF(OR($A21="",N($R21)&lt;=0),"",IF($S21="Ngày",$R21*24,$R21))</f>
      </c>
      <c r="AV21" s="224">
        <f>IF($A21="","",IF($B21="Đột xuất",IF(OR($AA21&lt;&gt;"Hoàn thành",N($X21)=0,N($J21)=0),"",IF($X21&lt;$J21,"",($X21-$J21)*24)),IFERROR(AVERAGEIFS('Nhật ký tiến độ'!$H$6:$H$3005,'Nhật ký tiến độ'!$C$6:$C$3005,$A21,'Nhật ký tiến độ'!$H$6:$H$3005,"&gt;0"),"")))</f>
      </c>
      <c r="AW21" s="233">
        <f>IF($A21="",0,IF($B21="Đột xuất",$AY21,IF($AX21=0,0,$AX21+1-1/1440)))</f>
      </c>
      <c r="AX21" s="234">
        <f>IF(OR($A21="",$B21&lt;&gt;"Định kỳ",N($I21)=0),0,IF($AL21="",$I21,IF($AJ21&gt;0,$I21+($AL21+1)*$AJ21,IF($AK21&gt;0,EDATE($I21,($AL21+1)*$AK21),$I21))))</f>
      </c>
      <c r="AY21" s="233">
        <f>IF(OR($A21="",$B21&lt;&gt;"Đột xuất"),0,IF(N($K21)&gt;0,IF(MOD($K21,1)=0,$K21+1-1/1440,$K21),IF(N($J21)=0,0,$J21+IF(N($AU21)&gt;0,$AU21,IFERROR(INDEX(DM_SLA_Gio,MATCH($L21,DM_SLA_Cap,0)),168))/24)))</f>
      </c>
      <c r="AZ21" s="225">
        <f>IF(OR($A21="",TRIM($N21)="",COUNTIF('Phản ánh'!$K$6:$K$505,$N21)&gt;0,COUNTIF($N$6:$N21,$N21)&gt;1),0,1)</f>
      </c>
      <c r="BA21" s="225">
        <f>IF($AZ21=1,SUM($AZ$6:$AZ21),"")</f>
      </c>
      <c r="BB21" s="225">
        <f>IF(OR($AO21=0,N($AW21)=0),0,IF(TDBC&lt;=$AW21,0,MAX(1,MIN(4,IF((TDBC-$AW21)*24&lt;24,1,IF((TDBC-$AW21)*24&lt;72,2,IF((TDBC-$AW21)*24&lt;168,3,4)))+IF($B21="Đột xuất",IFERROR(INDEX({2,1,0,-1},MATCH($L21,{"Khẩn cấp","Cao","Trung bình","Thấp"},0)),0),IF($D21="PCCC và an ninh",1,0))))))</f>
      </c>
    </row>
    <row r="22">
      <c r="A22" s="216"/>
      <c r="B22" s="216"/>
      <c r="C22" s="218"/>
      <c r="D22" s="218"/>
      <c r="E22" s="218"/>
      <c r="F22" s="216"/>
      <c r="G22" s="218"/>
      <c r="H22" s="218"/>
      <c r="I22" s="231"/>
      <c r="J22" s="217"/>
      <c r="K22" s="217"/>
      <c r="L22" s="216"/>
      <c r="M22" s="216"/>
      <c r="N22" s="218"/>
      <c r="O22" s="218"/>
      <c r="P22" s="218"/>
      <c r="Q22" s="218"/>
      <c r="R22" s="219"/>
      <c r="S22" s="216"/>
      <c r="T22" s="232"/>
      <c r="U22" s="232"/>
      <c r="V22" s="218"/>
      <c r="W22" s="218"/>
      <c r="X22" s="220">
        <f>IF($A22="","",IF(OR($B22="Định kỳ",$AA22="Hoàn thành"),MAX(_xlfn.MAXIFS('Nhật ký tiến độ'!$B$6:$B$3005,'Nhật ký tiến độ'!$C$6:$C$3005,$A22,'Nhật ký tiến độ'!$E$6:$E$3005,"Hoàn thành kỳ"),_xlfn.MAXIFS('Nhật ký tiến độ'!$B$6:$B$3005,'Nhật ký tiến độ'!$C$6:$C$3005,$A22,'Nhật ký tiến độ'!$E$6:$E$3005,"Hoàn thành")),0))</f>
      </c>
      <c r="Y22" s="220">
        <f>IF($A22="","",IF($B22="Đột xuất",IF($AY22=0,"",$AY22),IF($AX22=0,"",$AX22)))</f>
      </c>
      <c r="Z22" s="223">
        <f>IF(OR($AO22=0,$AW22=0),"",IF(TDBC&gt;$AW22,"Quá "&amp;IF($B22="Định kỳ",(NgayBC-$AP22)&amp;" ngày",IF(((TDBC-$AW22)*24)&lt;1,MAX(1,ROUND(((TDBC-$AW22)*24)*60,0))&amp;" phút",IF(ROUND(((TDBC-$AW22)*24),0)&lt;24,ROUND(((TDBC-$AW22)*24),0)&amp;" giờ",INT(ROUND(((TDBC-$AW22)*24),0)/24)&amp;" ngày"&amp;IF(MOD(ROUND(((TDBC-$AW22)*24),0),24)&gt;0," "&amp;MOD(ROUND(((TDBC-$AW22)*24),0),24)&amp;" giờ","")))),IF($B22="Định kỳ",IF($AP22=NgayBC,"Hôm nay","Còn "&amp;($AP22-NgayBC)&amp;" ngày"),"Còn "&amp;IF((($AW22-TDBC)*24)&lt;1,MAX(1,ROUND((($AW22-TDBC)*24)*60,0))&amp;" phút",IF(ROUND((($AW22-TDBC)*24),0)&lt;24,ROUND((($AW22-TDBC)*24),0)&amp;" giờ",INT(ROUND((($AW22-TDBC)*24),0)/24)&amp;" ngày"&amp;IF(MOD(ROUND((($AW22-TDBC)*24),0),24)&gt;0," "&amp;MOD(ROUND((($AW22-TDBC)*24),0),24)&amp;" giờ",""))))))</f>
      </c>
      <c r="AA22" s="221">
        <f>IF($A22="","",IF(N($AM22)=0,"Chưa bắt đầu",IF(OR($AN22="Hoàn thành kỳ",$AN22="Hoàn thành"),IF($B22="Định kỳ","Chưa bắt đầu","Hoàn thành"),$AN22)))</f>
      </c>
      <c r="AB22" s="222">
        <f>IF($A22="","",IF($AA22="Hoàn thành",1,IF(OR(N($AM22)=0,$AN22="Hoàn thành kỳ",$AN22="Hoàn thành"),0,N(INDEX('Nhật ký tiến độ'!$D:$D,$AM22)))))</f>
      </c>
      <c r="AC22" s="222">
        <f>IF(OR($A22="",$B22&lt;&gt;"Đột xuất",$AA22="Hoàn thành",N($J22)=0,$AW22=0),"",IF(TDBC&lt;=$J22,0,IF(TDBC&gt;=$AW22,1,(TDBC-$J22)/($AW22-$J22))))</f>
      </c>
      <c r="AD22" s="223">
        <f>IF($A22="","",IF($AA22="Hoàn thành","Hoàn thành",IF($AW22=0,"Chưa đặt hạn",IF(TDBC&gt;$AW22,"Quá hạn",IF(AND($B22="Đột xuất",ROUND((N($AC22)-$AB22)*100,0)&gt;=20),"Chậm tiến độ",IF($AP22=NgayBC,"Đến hạn hôm nay",IF($B22="Đột xuất",IF($AW22-TDBC&lt;=1,"Sắp đến hạn","Đúng tiến độ"),IF($AP22-NgayBC&lt;=3,"Sắp đến hạn","Theo lịch"))))))))</f>
      </c>
      <c r="AE22" s="223">
        <f>IF($AV22="","",IF($B22="Định kỳ","Bình quân "&amp;IF($AV22&lt;1,MAX(1,ROUND($AV22*60,0))&amp;" phút",IF(ROUND($AV22,0)&lt;24,ROUND($AV22,0)&amp;" giờ",INT(ROUND($AV22,0)/24)&amp;" ngày"&amp;IF(MOD(ROUND($AV22,0),24)&gt;0," "&amp;MOD(ROUND($AV22,0),24)&amp;" giờ","")))&amp;" mỗi kỳ",IF($AV22&lt;1,MAX(1,ROUND($AV22*60,0))&amp;" phút",IF(ROUND($AV22,0)&lt;24,ROUND($AV22,0)&amp;" giờ",INT(ROUND($AV22,0)/24)&amp;" ngày"&amp;IF(MOD(ROUND($AV22,0),24)&gt;0," "&amp;MOD(ROUND($AV22,0),24)&amp;" giờ","")))))</f>
      </c>
      <c r="AF22" s="223">
        <f>IF(OR($A22="",N($AU22)=0),"",IF($AV22&lt;&gt;"",IF($AV22&lt;=$AU22,"Trong ước tính","Vượt "&amp;IF(($AV22-$AU22)&lt;1,MAX(1,ROUND(($AV22-$AU22)*60,0))&amp;" phút",IF(ROUND(($AV22-$AU22),0)&lt;24,ROUND(($AV22-$AU22),0)&amp;" giờ",INT(ROUND(($AV22-$AU22),0)/24)&amp;" ngày"&amp;IF(MOD(ROUND(($AV22-$AU22),0),24)&gt;0," "&amp;MOD(ROUND(($AV22-$AU22),0),24)&amp;" giờ","")))),IF(OR($B22&lt;&gt;"Đột xuất",$AA22="Hoàn thành",N($J22)=0),"",IF((TDBC-$J22)*24&gt;$AU22,"Đã vượt ước tính","Đã dùng "&amp;TEXT((TDBC-$J22)*24/$AU22,"0%")))))</f>
      </c>
      <c r="AG22" s="223">
        <f>IF(N($BB22)=0,"",CHOOSE($BB22,"Nhắc nhở","Cảnh báo","Báo động","Báo động đỏ"))</f>
      </c>
      <c r="AH22" s="223">
        <f>IF(OR($B22&lt;&gt;"Đột xuất",$AA22&lt;&gt;"Hoàn thành",N($X22)=0,$AW22=0),"",IF($X22&lt;=$AW22,"Đúng hạn","Trễ hạn"))</f>
      </c>
      <c r="AI22" s="220">
        <f>IF($A22="","",_xlfn.MAXIFS('Nhật ký tiến độ'!$B$6:$B$3005,'Nhật ký tiến độ'!$C$6:$C$3005,$A22))</f>
      </c>
      <c r="AJ22" s="225">
        <f>IF(OR($A22="",$B22&lt;&gt;"Định kỳ"),0,IFERROR(INDEX(DM_TanSuatNgay,MATCH($H22,DM_TanSuat,0)),0))</f>
      </c>
      <c r="AK22" s="225">
        <f>IF(OR($A22="",$B22&lt;&gt;"Định kỳ"),0,IFERROR(INDEX(DM_TanSuatThang,MATCH($H22,DM_TanSuat,0)),0))</f>
      </c>
      <c r="AL22" s="225">
        <f>IF(OR($A22="",$B22&lt;&gt;"Định kỳ",N($X22)=0,N($I22)=0),"",IF(INT($X22)&lt;$I22,0,IF($AJ22&gt;0,ROUND((INT($X22)-$I22)/$AJ22,0),IF($AK22&gt;0,ROUND((DATEDIF($I22,INT($X22),"m")+(INT($X22)-EDATE($I22,DATEDIF($I22,INT($X22),"m")))/(EDATE($I22,DATEDIF($I22,INT($X22),"m")+1)-EDATE($I22,DATEDIF($I22,INT($X22),"m"))))/$AK22,0),0))))</f>
      </c>
      <c r="AM22" s="225">
        <f>IF($A22="","",IF(COUNTIF('Nhật ký tiến độ'!$C$6:$C$3005,$A22)=0,0,_xlfn.MAXIFS('Nhật ký tiến độ'!$N$6:$N$3005,'Nhật ký tiến độ'!$C$6:$C$3005,$A22,'Nhật ký tiến độ'!$B$6:$B$3005,_xlfn.MAXIFS('Nhật ký tiến độ'!$B$6:$B$3005,'Nhật ký tiến độ'!$C$6:$C$3005,$A22))))</f>
      </c>
      <c r="AN22" s="225">
        <f>IF($A22="","",IF(N($AM22)=0,"",INDEX('Nhật ký tiến độ'!$E:$E,$AM22)))</f>
      </c>
      <c r="AO22" s="225">
        <f>IF($A22="",0,IF($AA22="Hoàn thành",0,1))</f>
      </c>
      <c r="AP22" s="225">
        <f>IF($AO22=0,0,INT(N($AW22)))</f>
      </c>
      <c r="AQ22" s="225">
        <f>IF(AND($AO22=1,$AJ22&gt;1),$AJ22,0)</f>
      </c>
      <c r="AR22" s="225">
        <f>IF(AND($AO22=1,$AJ22=1),1,0)</f>
      </c>
      <c r="AS22" s="225">
        <f>IF(OR($AO22=0,AND($AR22=1,N($BB22)=0)),"",IF(N($BB22)&gt;0,5-$BB22,IF($AD22="Chậm tiến độ",6,IF($AD22="Đến hạn hôm nay",7,IF(AND($AP22&gt;0,$AP22-NgayBC&lt;=7),8,"")))))</f>
      </c>
      <c r="AT22" s="225">
        <f>IF($AS22="","",$AS22*100000+$AP22+ROW()/100000)</f>
      </c>
      <c r="AU22" s="224">
        <f>IF(OR($A22="",N($R22)&lt;=0),"",IF($S22="Ngày",$R22*24,$R22))</f>
      </c>
      <c r="AV22" s="224">
        <f>IF($A22="","",IF($B22="Đột xuất",IF(OR($AA22&lt;&gt;"Hoàn thành",N($X22)=0,N($J22)=0),"",IF($X22&lt;$J22,"",($X22-$J22)*24)),IFERROR(AVERAGEIFS('Nhật ký tiến độ'!$H$6:$H$3005,'Nhật ký tiến độ'!$C$6:$C$3005,$A22,'Nhật ký tiến độ'!$H$6:$H$3005,"&gt;0"),"")))</f>
      </c>
      <c r="AW22" s="233">
        <f>IF($A22="",0,IF($B22="Đột xuất",$AY22,IF($AX22=0,0,$AX22+1-1/1440)))</f>
      </c>
      <c r="AX22" s="234">
        <f>IF(OR($A22="",$B22&lt;&gt;"Định kỳ",N($I22)=0),0,IF($AL22="",$I22,IF($AJ22&gt;0,$I22+($AL22+1)*$AJ22,IF($AK22&gt;0,EDATE($I22,($AL22+1)*$AK22),$I22))))</f>
      </c>
      <c r="AY22" s="233">
        <f>IF(OR($A22="",$B22&lt;&gt;"Đột xuất"),0,IF(N($K22)&gt;0,IF(MOD($K22,1)=0,$K22+1-1/1440,$K22),IF(N($J22)=0,0,$J22+IF(N($AU22)&gt;0,$AU22,IFERROR(INDEX(DM_SLA_Gio,MATCH($L22,DM_SLA_Cap,0)),168))/24)))</f>
      </c>
      <c r="AZ22" s="225">
        <f>IF(OR($A22="",TRIM($N22)="",COUNTIF('Phản ánh'!$K$6:$K$505,$N22)&gt;0,COUNTIF($N$6:$N22,$N22)&gt;1),0,1)</f>
      </c>
      <c r="BA22" s="225">
        <f>IF($AZ22=1,SUM($AZ$6:$AZ22),"")</f>
      </c>
      <c r="BB22" s="225">
        <f>IF(OR($AO22=0,N($AW22)=0),0,IF(TDBC&lt;=$AW22,0,MAX(1,MIN(4,IF((TDBC-$AW22)*24&lt;24,1,IF((TDBC-$AW22)*24&lt;72,2,IF((TDBC-$AW22)*24&lt;168,3,4)))+IF($B22="Đột xuất",IFERROR(INDEX({2,1,0,-1},MATCH($L22,{"Khẩn cấp","Cao","Trung bình","Thấp"},0)),0),IF($D22="PCCC và an ninh",1,0))))))</f>
      </c>
    </row>
    <row r="23">
      <c r="A23" s="216"/>
      <c r="B23" s="216"/>
      <c r="C23" s="218"/>
      <c r="D23" s="218"/>
      <c r="E23" s="218"/>
      <c r="F23" s="216"/>
      <c r="G23" s="218"/>
      <c r="H23" s="218"/>
      <c r="I23" s="231"/>
      <c r="J23" s="217"/>
      <c r="K23" s="217"/>
      <c r="L23" s="216"/>
      <c r="M23" s="216"/>
      <c r="N23" s="218"/>
      <c r="O23" s="218"/>
      <c r="P23" s="218"/>
      <c r="Q23" s="218"/>
      <c r="R23" s="219"/>
      <c r="S23" s="216"/>
      <c r="T23" s="232"/>
      <c r="U23" s="232"/>
      <c r="V23" s="218"/>
      <c r="W23" s="218"/>
      <c r="X23" s="220">
        <f>IF($A23="","",IF(OR($B23="Định kỳ",$AA23="Hoàn thành"),MAX(_xlfn.MAXIFS('Nhật ký tiến độ'!$B$6:$B$3005,'Nhật ký tiến độ'!$C$6:$C$3005,$A23,'Nhật ký tiến độ'!$E$6:$E$3005,"Hoàn thành kỳ"),_xlfn.MAXIFS('Nhật ký tiến độ'!$B$6:$B$3005,'Nhật ký tiến độ'!$C$6:$C$3005,$A23,'Nhật ký tiến độ'!$E$6:$E$3005,"Hoàn thành")),0))</f>
      </c>
      <c r="Y23" s="220">
        <f>IF($A23="","",IF($B23="Đột xuất",IF($AY23=0,"",$AY23),IF($AX23=0,"",$AX23)))</f>
      </c>
      <c r="Z23" s="223">
        <f>IF(OR($AO23=0,$AW23=0),"",IF(TDBC&gt;$AW23,"Quá "&amp;IF($B23="Định kỳ",(NgayBC-$AP23)&amp;" ngày",IF(((TDBC-$AW23)*24)&lt;1,MAX(1,ROUND(((TDBC-$AW23)*24)*60,0))&amp;" phút",IF(ROUND(((TDBC-$AW23)*24),0)&lt;24,ROUND(((TDBC-$AW23)*24),0)&amp;" giờ",INT(ROUND(((TDBC-$AW23)*24),0)/24)&amp;" ngày"&amp;IF(MOD(ROUND(((TDBC-$AW23)*24),0),24)&gt;0," "&amp;MOD(ROUND(((TDBC-$AW23)*24),0),24)&amp;" giờ","")))),IF($B23="Định kỳ",IF($AP23=NgayBC,"Hôm nay","Còn "&amp;($AP23-NgayBC)&amp;" ngày"),"Còn "&amp;IF((($AW23-TDBC)*24)&lt;1,MAX(1,ROUND((($AW23-TDBC)*24)*60,0))&amp;" phút",IF(ROUND((($AW23-TDBC)*24),0)&lt;24,ROUND((($AW23-TDBC)*24),0)&amp;" giờ",INT(ROUND((($AW23-TDBC)*24),0)/24)&amp;" ngày"&amp;IF(MOD(ROUND((($AW23-TDBC)*24),0),24)&gt;0," "&amp;MOD(ROUND((($AW23-TDBC)*24),0),24)&amp;" giờ",""))))))</f>
      </c>
      <c r="AA23" s="221">
        <f>IF($A23="","",IF(N($AM23)=0,"Chưa bắt đầu",IF(OR($AN23="Hoàn thành kỳ",$AN23="Hoàn thành"),IF($B23="Định kỳ","Chưa bắt đầu","Hoàn thành"),$AN23)))</f>
      </c>
      <c r="AB23" s="222">
        <f>IF($A23="","",IF($AA23="Hoàn thành",1,IF(OR(N($AM23)=0,$AN23="Hoàn thành kỳ",$AN23="Hoàn thành"),0,N(INDEX('Nhật ký tiến độ'!$D:$D,$AM23)))))</f>
      </c>
      <c r="AC23" s="222">
        <f>IF(OR($A23="",$B23&lt;&gt;"Đột xuất",$AA23="Hoàn thành",N($J23)=0,$AW23=0),"",IF(TDBC&lt;=$J23,0,IF(TDBC&gt;=$AW23,1,(TDBC-$J23)/($AW23-$J23))))</f>
      </c>
      <c r="AD23" s="223">
        <f>IF($A23="","",IF($AA23="Hoàn thành","Hoàn thành",IF($AW23=0,"Chưa đặt hạn",IF(TDBC&gt;$AW23,"Quá hạn",IF(AND($B23="Đột xuất",ROUND((N($AC23)-$AB23)*100,0)&gt;=20),"Chậm tiến độ",IF($AP23=NgayBC,"Đến hạn hôm nay",IF($B23="Đột xuất",IF($AW23-TDBC&lt;=1,"Sắp đến hạn","Đúng tiến độ"),IF($AP23-NgayBC&lt;=3,"Sắp đến hạn","Theo lịch"))))))))</f>
      </c>
      <c r="AE23" s="223">
        <f>IF($AV23="","",IF($B23="Định kỳ","Bình quân "&amp;IF($AV23&lt;1,MAX(1,ROUND($AV23*60,0))&amp;" phút",IF(ROUND($AV23,0)&lt;24,ROUND($AV23,0)&amp;" giờ",INT(ROUND($AV23,0)/24)&amp;" ngày"&amp;IF(MOD(ROUND($AV23,0),24)&gt;0," "&amp;MOD(ROUND($AV23,0),24)&amp;" giờ","")))&amp;" mỗi kỳ",IF($AV23&lt;1,MAX(1,ROUND($AV23*60,0))&amp;" phút",IF(ROUND($AV23,0)&lt;24,ROUND($AV23,0)&amp;" giờ",INT(ROUND($AV23,0)/24)&amp;" ngày"&amp;IF(MOD(ROUND($AV23,0),24)&gt;0," "&amp;MOD(ROUND($AV23,0),24)&amp;" giờ","")))))</f>
      </c>
      <c r="AF23" s="223">
        <f>IF(OR($A23="",N($AU23)=0),"",IF($AV23&lt;&gt;"",IF($AV23&lt;=$AU23,"Trong ước tính","Vượt "&amp;IF(($AV23-$AU23)&lt;1,MAX(1,ROUND(($AV23-$AU23)*60,0))&amp;" phút",IF(ROUND(($AV23-$AU23),0)&lt;24,ROUND(($AV23-$AU23),0)&amp;" giờ",INT(ROUND(($AV23-$AU23),0)/24)&amp;" ngày"&amp;IF(MOD(ROUND(($AV23-$AU23),0),24)&gt;0," "&amp;MOD(ROUND(($AV23-$AU23),0),24)&amp;" giờ","")))),IF(OR($B23&lt;&gt;"Đột xuất",$AA23="Hoàn thành",N($J23)=0),"",IF((TDBC-$J23)*24&gt;$AU23,"Đã vượt ước tính","Đã dùng "&amp;TEXT((TDBC-$J23)*24/$AU23,"0%")))))</f>
      </c>
      <c r="AG23" s="223">
        <f>IF(N($BB23)=0,"",CHOOSE($BB23,"Nhắc nhở","Cảnh báo","Báo động","Báo động đỏ"))</f>
      </c>
      <c r="AH23" s="223">
        <f>IF(OR($B23&lt;&gt;"Đột xuất",$AA23&lt;&gt;"Hoàn thành",N($X23)=0,$AW23=0),"",IF($X23&lt;=$AW23,"Đúng hạn","Trễ hạn"))</f>
      </c>
      <c r="AI23" s="220">
        <f>IF($A23="","",_xlfn.MAXIFS('Nhật ký tiến độ'!$B$6:$B$3005,'Nhật ký tiến độ'!$C$6:$C$3005,$A23))</f>
      </c>
      <c r="AJ23" s="225">
        <f>IF(OR($A23="",$B23&lt;&gt;"Định kỳ"),0,IFERROR(INDEX(DM_TanSuatNgay,MATCH($H23,DM_TanSuat,0)),0))</f>
      </c>
      <c r="AK23" s="225">
        <f>IF(OR($A23="",$B23&lt;&gt;"Định kỳ"),0,IFERROR(INDEX(DM_TanSuatThang,MATCH($H23,DM_TanSuat,0)),0))</f>
      </c>
      <c r="AL23" s="225">
        <f>IF(OR($A23="",$B23&lt;&gt;"Định kỳ",N($X23)=0,N($I23)=0),"",IF(INT($X23)&lt;$I23,0,IF($AJ23&gt;0,ROUND((INT($X23)-$I23)/$AJ23,0),IF($AK23&gt;0,ROUND((DATEDIF($I23,INT($X23),"m")+(INT($X23)-EDATE($I23,DATEDIF($I23,INT($X23),"m")))/(EDATE($I23,DATEDIF($I23,INT($X23),"m")+1)-EDATE($I23,DATEDIF($I23,INT($X23),"m"))))/$AK23,0),0))))</f>
      </c>
      <c r="AM23" s="225">
        <f>IF($A23="","",IF(COUNTIF('Nhật ký tiến độ'!$C$6:$C$3005,$A23)=0,0,_xlfn.MAXIFS('Nhật ký tiến độ'!$N$6:$N$3005,'Nhật ký tiến độ'!$C$6:$C$3005,$A23,'Nhật ký tiến độ'!$B$6:$B$3005,_xlfn.MAXIFS('Nhật ký tiến độ'!$B$6:$B$3005,'Nhật ký tiến độ'!$C$6:$C$3005,$A23))))</f>
      </c>
      <c r="AN23" s="225">
        <f>IF($A23="","",IF(N($AM23)=0,"",INDEX('Nhật ký tiến độ'!$E:$E,$AM23)))</f>
      </c>
      <c r="AO23" s="225">
        <f>IF($A23="",0,IF($AA23="Hoàn thành",0,1))</f>
      </c>
      <c r="AP23" s="225">
        <f>IF($AO23=0,0,INT(N($AW23)))</f>
      </c>
      <c r="AQ23" s="225">
        <f>IF(AND($AO23=1,$AJ23&gt;1),$AJ23,0)</f>
      </c>
      <c r="AR23" s="225">
        <f>IF(AND($AO23=1,$AJ23=1),1,0)</f>
      </c>
      <c r="AS23" s="225">
        <f>IF(OR($AO23=0,AND($AR23=1,N($BB23)=0)),"",IF(N($BB23)&gt;0,5-$BB23,IF($AD23="Chậm tiến độ",6,IF($AD23="Đến hạn hôm nay",7,IF(AND($AP23&gt;0,$AP23-NgayBC&lt;=7),8,"")))))</f>
      </c>
      <c r="AT23" s="225">
        <f>IF($AS23="","",$AS23*100000+$AP23+ROW()/100000)</f>
      </c>
      <c r="AU23" s="224">
        <f>IF(OR($A23="",N($R23)&lt;=0),"",IF($S23="Ngày",$R23*24,$R23))</f>
      </c>
      <c r="AV23" s="224">
        <f>IF($A23="","",IF($B23="Đột xuất",IF(OR($AA23&lt;&gt;"Hoàn thành",N($X23)=0,N($J23)=0),"",IF($X23&lt;$J23,"",($X23-$J23)*24)),IFERROR(AVERAGEIFS('Nhật ký tiến độ'!$H$6:$H$3005,'Nhật ký tiến độ'!$C$6:$C$3005,$A23,'Nhật ký tiến độ'!$H$6:$H$3005,"&gt;0"),"")))</f>
      </c>
      <c r="AW23" s="233">
        <f>IF($A23="",0,IF($B23="Đột xuất",$AY23,IF($AX23=0,0,$AX23+1-1/1440)))</f>
      </c>
      <c r="AX23" s="234">
        <f>IF(OR($A23="",$B23&lt;&gt;"Định kỳ",N($I23)=0),0,IF($AL23="",$I23,IF($AJ23&gt;0,$I23+($AL23+1)*$AJ23,IF($AK23&gt;0,EDATE($I23,($AL23+1)*$AK23),$I23))))</f>
      </c>
      <c r="AY23" s="233">
        <f>IF(OR($A23="",$B23&lt;&gt;"Đột xuất"),0,IF(N($K23)&gt;0,IF(MOD($K23,1)=0,$K23+1-1/1440,$K23),IF(N($J23)=0,0,$J23+IF(N($AU23)&gt;0,$AU23,IFERROR(INDEX(DM_SLA_Gio,MATCH($L23,DM_SLA_Cap,0)),168))/24)))</f>
      </c>
      <c r="AZ23" s="225">
        <f>IF(OR($A23="",TRIM($N23)="",COUNTIF('Phản ánh'!$K$6:$K$505,$N23)&gt;0,COUNTIF($N$6:$N23,$N23)&gt;1),0,1)</f>
      </c>
      <c r="BA23" s="225">
        <f>IF($AZ23=1,SUM($AZ$6:$AZ23),"")</f>
      </c>
      <c r="BB23" s="225">
        <f>IF(OR($AO23=0,N($AW23)=0),0,IF(TDBC&lt;=$AW23,0,MAX(1,MIN(4,IF((TDBC-$AW23)*24&lt;24,1,IF((TDBC-$AW23)*24&lt;72,2,IF((TDBC-$AW23)*24&lt;168,3,4)))+IF($B23="Đột xuất",IFERROR(INDEX({2,1,0,-1},MATCH($L23,{"Khẩn cấp","Cao","Trung bình","Thấp"},0)),0),IF($D23="PCCC và an ninh",1,0))))))</f>
      </c>
    </row>
    <row r="24">
      <c r="A24" s="216"/>
      <c r="B24" s="216"/>
      <c r="C24" s="218"/>
      <c r="D24" s="218"/>
      <c r="E24" s="218"/>
      <c r="F24" s="216"/>
      <c r="G24" s="218"/>
      <c r="H24" s="218"/>
      <c r="I24" s="231"/>
      <c r="J24" s="217"/>
      <c r="K24" s="217"/>
      <c r="L24" s="216"/>
      <c r="M24" s="216"/>
      <c r="N24" s="218"/>
      <c r="O24" s="218"/>
      <c r="P24" s="218"/>
      <c r="Q24" s="218"/>
      <c r="R24" s="219"/>
      <c r="S24" s="216"/>
      <c r="T24" s="232"/>
      <c r="U24" s="232"/>
      <c r="V24" s="218"/>
      <c r="W24" s="218"/>
      <c r="X24" s="220">
        <f>IF($A24="","",IF(OR($B24="Định kỳ",$AA24="Hoàn thành"),MAX(_xlfn.MAXIFS('Nhật ký tiến độ'!$B$6:$B$3005,'Nhật ký tiến độ'!$C$6:$C$3005,$A24,'Nhật ký tiến độ'!$E$6:$E$3005,"Hoàn thành kỳ"),_xlfn.MAXIFS('Nhật ký tiến độ'!$B$6:$B$3005,'Nhật ký tiến độ'!$C$6:$C$3005,$A24,'Nhật ký tiến độ'!$E$6:$E$3005,"Hoàn thành")),0))</f>
      </c>
      <c r="Y24" s="220">
        <f>IF($A24="","",IF($B24="Đột xuất",IF($AY24=0,"",$AY24),IF($AX24=0,"",$AX24)))</f>
      </c>
      <c r="Z24" s="223">
        <f>IF(OR($AO24=0,$AW24=0),"",IF(TDBC&gt;$AW24,"Quá "&amp;IF($B24="Định kỳ",(NgayBC-$AP24)&amp;" ngày",IF(((TDBC-$AW24)*24)&lt;1,MAX(1,ROUND(((TDBC-$AW24)*24)*60,0))&amp;" phút",IF(ROUND(((TDBC-$AW24)*24),0)&lt;24,ROUND(((TDBC-$AW24)*24),0)&amp;" giờ",INT(ROUND(((TDBC-$AW24)*24),0)/24)&amp;" ngày"&amp;IF(MOD(ROUND(((TDBC-$AW24)*24),0),24)&gt;0," "&amp;MOD(ROUND(((TDBC-$AW24)*24),0),24)&amp;" giờ","")))),IF($B24="Định kỳ",IF($AP24=NgayBC,"Hôm nay","Còn "&amp;($AP24-NgayBC)&amp;" ngày"),"Còn "&amp;IF((($AW24-TDBC)*24)&lt;1,MAX(1,ROUND((($AW24-TDBC)*24)*60,0))&amp;" phút",IF(ROUND((($AW24-TDBC)*24),0)&lt;24,ROUND((($AW24-TDBC)*24),0)&amp;" giờ",INT(ROUND((($AW24-TDBC)*24),0)/24)&amp;" ngày"&amp;IF(MOD(ROUND((($AW24-TDBC)*24),0),24)&gt;0," "&amp;MOD(ROUND((($AW24-TDBC)*24),0),24)&amp;" giờ",""))))))</f>
      </c>
      <c r="AA24" s="221">
        <f>IF($A24="","",IF(N($AM24)=0,"Chưa bắt đầu",IF(OR($AN24="Hoàn thành kỳ",$AN24="Hoàn thành"),IF($B24="Định kỳ","Chưa bắt đầu","Hoàn thành"),$AN24)))</f>
      </c>
      <c r="AB24" s="222">
        <f>IF($A24="","",IF($AA24="Hoàn thành",1,IF(OR(N($AM24)=0,$AN24="Hoàn thành kỳ",$AN24="Hoàn thành"),0,N(INDEX('Nhật ký tiến độ'!$D:$D,$AM24)))))</f>
      </c>
      <c r="AC24" s="222">
        <f>IF(OR($A24="",$B24&lt;&gt;"Đột xuất",$AA24="Hoàn thành",N($J24)=0,$AW24=0),"",IF(TDBC&lt;=$J24,0,IF(TDBC&gt;=$AW24,1,(TDBC-$J24)/($AW24-$J24))))</f>
      </c>
      <c r="AD24" s="223">
        <f>IF($A24="","",IF($AA24="Hoàn thành","Hoàn thành",IF($AW24=0,"Chưa đặt hạn",IF(TDBC&gt;$AW24,"Quá hạn",IF(AND($B24="Đột xuất",ROUND((N($AC24)-$AB24)*100,0)&gt;=20),"Chậm tiến độ",IF($AP24=NgayBC,"Đến hạn hôm nay",IF($B24="Đột xuất",IF($AW24-TDBC&lt;=1,"Sắp đến hạn","Đúng tiến độ"),IF($AP24-NgayBC&lt;=3,"Sắp đến hạn","Theo lịch"))))))))</f>
      </c>
      <c r="AE24" s="223">
        <f>IF($AV24="","",IF($B24="Định kỳ","Bình quân "&amp;IF($AV24&lt;1,MAX(1,ROUND($AV24*60,0))&amp;" phút",IF(ROUND($AV24,0)&lt;24,ROUND($AV24,0)&amp;" giờ",INT(ROUND($AV24,0)/24)&amp;" ngày"&amp;IF(MOD(ROUND($AV24,0),24)&gt;0," "&amp;MOD(ROUND($AV24,0),24)&amp;" giờ","")))&amp;" mỗi kỳ",IF($AV24&lt;1,MAX(1,ROUND($AV24*60,0))&amp;" phút",IF(ROUND($AV24,0)&lt;24,ROUND($AV24,0)&amp;" giờ",INT(ROUND($AV24,0)/24)&amp;" ngày"&amp;IF(MOD(ROUND($AV24,0),24)&gt;0," "&amp;MOD(ROUND($AV24,0),24)&amp;" giờ","")))))</f>
      </c>
      <c r="AF24" s="223">
        <f>IF(OR($A24="",N($AU24)=0),"",IF($AV24&lt;&gt;"",IF($AV24&lt;=$AU24,"Trong ước tính","Vượt "&amp;IF(($AV24-$AU24)&lt;1,MAX(1,ROUND(($AV24-$AU24)*60,0))&amp;" phút",IF(ROUND(($AV24-$AU24),0)&lt;24,ROUND(($AV24-$AU24),0)&amp;" giờ",INT(ROUND(($AV24-$AU24),0)/24)&amp;" ngày"&amp;IF(MOD(ROUND(($AV24-$AU24),0),24)&gt;0," "&amp;MOD(ROUND(($AV24-$AU24),0),24)&amp;" giờ","")))),IF(OR($B24&lt;&gt;"Đột xuất",$AA24="Hoàn thành",N($J24)=0),"",IF((TDBC-$J24)*24&gt;$AU24,"Đã vượt ước tính","Đã dùng "&amp;TEXT((TDBC-$J24)*24/$AU24,"0%")))))</f>
      </c>
      <c r="AG24" s="223">
        <f>IF(N($BB24)=0,"",CHOOSE($BB24,"Nhắc nhở","Cảnh báo","Báo động","Báo động đỏ"))</f>
      </c>
      <c r="AH24" s="223">
        <f>IF(OR($B24&lt;&gt;"Đột xuất",$AA24&lt;&gt;"Hoàn thành",N($X24)=0,$AW24=0),"",IF($X24&lt;=$AW24,"Đúng hạn","Trễ hạn"))</f>
      </c>
      <c r="AI24" s="220">
        <f>IF($A24="","",_xlfn.MAXIFS('Nhật ký tiến độ'!$B$6:$B$3005,'Nhật ký tiến độ'!$C$6:$C$3005,$A24))</f>
      </c>
      <c r="AJ24" s="225">
        <f>IF(OR($A24="",$B24&lt;&gt;"Định kỳ"),0,IFERROR(INDEX(DM_TanSuatNgay,MATCH($H24,DM_TanSuat,0)),0))</f>
      </c>
      <c r="AK24" s="225">
        <f>IF(OR($A24="",$B24&lt;&gt;"Định kỳ"),0,IFERROR(INDEX(DM_TanSuatThang,MATCH($H24,DM_TanSuat,0)),0))</f>
      </c>
      <c r="AL24" s="225">
        <f>IF(OR($A24="",$B24&lt;&gt;"Định kỳ",N($X24)=0,N($I24)=0),"",IF(INT($X24)&lt;$I24,0,IF($AJ24&gt;0,ROUND((INT($X24)-$I24)/$AJ24,0),IF($AK24&gt;0,ROUND((DATEDIF($I24,INT($X24),"m")+(INT($X24)-EDATE($I24,DATEDIF($I24,INT($X24),"m")))/(EDATE($I24,DATEDIF($I24,INT($X24),"m")+1)-EDATE($I24,DATEDIF($I24,INT($X24),"m"))))/$AK24,0),0))))</f>
      </c>
      <c r="AM24" s="225">
        <f>IF($A24="","",IF(COUNTIF('Nhật ký tiến độ'!$C$6:$C$3005,$A24)=0,0,_xlfn.MAXIFS('Nhật ký tiến độ'!$N$6:$N$3005,'Nhật ký tiến độ'!$C$6:$C$3005,$A24,'Nhật ký tiến độ'!$B$6:$B$3005,_xlfn.MAXIFS('Nhật ký tiến độ'!$B$6:$B$3005,'Nhật ký tiến độ'!$C$6:$C$3005,$A24))))</f>
      </c>
      <c r="AN24" s="225">
        <f>IF($A24="","",IF(N($AM24)=0,"",INDEX('Nhật ký tiến độ'!$E:$E,$AM24)))</f>
      </c>
      <c r="AO24" s="225">
        <f>IF($A24="",0,IF($AA24="Hoàn thành",0,1))</f>
      </c>
      <c r="AP24" s="225">
        <f>IF($AO24=0,0,INT(N($AW24)))</f>
      </c>
      <c r="AQ24" s="225">
        <f>IF(AND($AO24=1,$AJ24&gt;1),$AJ24,0)</f>
      </c>
      <c r="AR24" s="225">
        <f>IF(AND($AO24=1,$AJ24=1),1,0)</f>
      </c>
      <c r="AS24" s="225">
        <f>IF(OR($AO24=0,AND($AR24=1,N($BB24)=0)),"",IF(N($BB24)&gt;0,5-$BB24,IF($AD24="Chậm tiến độ",6,IF($AD24="Đến hạn hôm nay",7,IF(AND($AP24&gt;0,$AP24-NgayBC&lt;=7),8,"")))))</f>
      </c>
      <c r="AT24" s="225">
        <f>IF($AS24="","",$AS24*100000+$AP24+ROW()/100000)</f>
      </c>
      <c r="AU24" s="224">
        <f>IF(OR($A24="",N($R24)&lt;=0),"",IF($S24="Ngày",$R24*24,$R24))</f>
      </c>
      <c r="AV24" s="224">
        <f>IF($A24="","",IF($B24="Đột xuất",IF(OR($AA24&lt;&gt;"Hoàn thành",N($X24)=0,N($J24)=0),"",IF($X24&lt;$J24,"",($X24-$J24)*24)),IFERROR(AVERAGEIFS('Nhật ký tiến độ'!$H$6:$H$3005,'Nhật ký tiến độ'!$C$6:$C$3005,$A24,'Nhật ký tiến độ'!$H$6:$H$3005,"&gt;0"),"")))</f>
      </c>
      <c r="AW24" s="233">
        <f>IF($A24="",0,IF($B24="Đột xuất",$AY24,IF($AX24=0,0,$AX24+1-1/1440)))</f>
      </c>
      <c r="AX24" s="234">
        <f>IF(OR($A24="",$B24&lt;&gt;"Định kỳ",N($I24)=0),0,IF($AL24="",$I24,IF($AJ24&gt;0,$I24+($AL24+1)*$AJ24,IF($AK24&gt;0,EDATE($I24,($AL24+1)*$AK24),$I24))))</f>
      </c>
      <c r="AY24" s="233">
        <f>IF(OR($A24="",$B24&lt;&gt;"Đột xuất"),0,IF(N($K24)&gt;0,IF(MOD($K24,1)=0,$K24+1-1/1440,$K24),IF(N($J24)=0,0,$J24+IF(N($AU24)&gt;0,$AU24,IFERROR(INDEX(DM_SLA_Gio,MATCH($L24,DM_SLA_Cap,0)),168))/24)))</f>
      </c>
      <c r="AZ24" s="225">
        <f>IF(OR($A24="",TRIM($N24)="",COUNTIF('Phản ánh'!$K$6:$K$505,$N24)&gt;0,COUNTIF($N$6:$N24,$N24)&gt;1),0,1)</f>
      </c>
      <c r="BA24" s="225">
        <f>IF($AZ24=1,SUM($AZ$6:$AZ24),"")</f>
      </c>
      <c r="BB24" s="225">
        <f>IF(OR($AO24=0,N($AW24)=0),0,IF(TDBC&lt;=$AW24,0,MAX(1,MIN(4,IF((TDBC-$AW24)*24&lt;24,1,IF((TDBC-$AW24)*24&lt;72,2,IF((TDBC-$AW24)*24&lt;168,3,4)))+IF($B24="Đột xuất",IFERROR(INDEX({2,1,0,-1},MATCH($L24,{"Khẩn cấp","Cao","Trung bình","Thấp"},0)),0),IF($D24="PCCC và an ninh",1,0))))))</f>
      </c>
    </row>
    <row r="25">
      <c r="A25" s="216"/>
      <c r="B25" s="216"/>
      <c r="C25" s="218"/>
      <c r="D25" s="218"/>
      <c r="E25" s="218"/>
      <c r="F25" s="216"/>
      <c r="G25" s="218"/>
      <c r="H25" s="218"/>
      <c r="I25" s="231"/>
      <c r="J25" s="217"/>
      <c r="K25" s="217"/>
      <c r="L25" s="216"/>
      <c r="M25" s="216"/>
      <c r="N25" s="218"/>
      <c r="O25" s="218"/>
      <c r="P25" s="218"/>
      <c r="Q25" s="218"/>
      <c r="R25" s="219"/>
      <c r="S25" s="216"/>
      <c r="T25" s="232"/>
      <c r="U25" s="232"/>
      <c r="V25" s="218"/>
      <c r="W25" s="218"/>
      <c r="X25" s="220">
        <f>IF($A25="","",IF(OR($B25="Định kỳ",$AA25="Hoàn thành"),MAX(_xlfn.MAXIFS('Nhật ký tiến độ'!$B$6:$B$3005,'Nhật ký tiến độ'!$C$6:$C$3005,$A25,'Nhật ký tiến độ'!$E$6:$E$3005,"Hoàn thành kỳ"),_xlfn.MAXIFS('Nhật ký tiến độ'!$B$6:$B$3005,'Nhật ký tiến độ'!$C$6:$C$3005,$A25,'Nhật ký tiến độ'!$E$6:$E$3005,"Hoàn thành")),0))</f>
      </c>
      <c r="Y25" s="220">
        <f>IF($A25="","",IF($B25="Đột xuất",IF($AY25=0,"",$AY25),IF($AX25=0,"",$AX25)))</f>
      </c>
      <c r="Z25" s="223">
        <f>IF(OR($AO25=0,$AW25=0),"",IF(TDBC&gt;$AW25,"Quá "&amp;IF($B25="Định kỳ",(NgayBC-$AP25)&amp;" ngày",IF(((TDBC-$AW25)*24)&lt;1,MAX(1,ROUND(((TDBC-$AW25)*24)*60,0))&amp;" phút",IF(ROUND(((TDBC-$AW25)*24),0)&lt;24,ROUND(((TDBC-$AW25)*24),0)&amp;" giờ",INT(ROUND(((TDBC-$AW25)*24),0)/24)&amp;" ngày"&amp;IF(MOD(ROUND(((TDBC-$AW25)*24),0),24)&gt;0," "&amp;MOD(ROUND(((TDBC-$AW25)*24),0),24)&amp;" giờ","")))),IF($B25="Định kỳ",IF($AP25=NgayBC,"Hôm nay","Còn "&amp;($AP25-NgayBC)&amp;" ngày"),"Còn "&amp;IF((($AW25-TDBC)*24)&lt;1,MAX(1,ROUND((($AW25-TDBC)*24)*60,0))&amp;" phút",IF(ROUND((($AW25-TDBC)*24),0)&lt;24,ROUND((($AW25-TDBC)*24),0)&amp;" giờ",INT(ROUND((($AW25-TDBC)*24),0)/24)&amp;" ngày"&amp;IF(MOD(ROUND((($AW25-TDBC)*24),0),24)&gt;0," "&amp;MOD(ROUND((($AW25-TDBC)*24),0),24)&amp;" giờ",""))))))</f>
      </c>
      <c r="AA25" s="221">
        <f>IF($A25="","",IF(N($AM25)=0,"Chưa bắt đầu",IF(OR($AN25="Hoàn thành kỳ",$AN25="Hoàn thành"),IF($B25="Định kỳ","Chưa bắt đầu","Hoàn thành"),$AN25)))</f>
      </c>
      <c r="AB25" s="222">
        <f>IF($A25="","",IF($AA25="Hoàn thành",1,IF(OR(N($AM25)=0,$AN25="Hoàn thành kỳ",$AN25="Hoàn thành"),0,N(INDEX('Nhật ký tiến độ'!$D:$D,$AM25)))))</f>
      </c>
      <c r="AC25" s="222">
        <f>IF(OR($A25="",$B25&lt;&gt;"Đột xuất",$AA25="Hoàn thành",N($J25)=0,$AW25=0),"",IF(TDBC&lt;=$J25,0,IF(TDBC&gt;=$AW25,1,(TDBC-$J25)/($AW25-$J25))))</f>
      </c>
      <c r="AD25" s="223">
        <f>IF($A25="","",IF($AA25="Hoàn thành","Hoàn thành",IF($AW25=0,"Chưa đặt hạn",IF(TDBC&gt;$AW25,"Quá hạn",IF(AND($B25="Đột xuất",ROUND((N($AC25)-$AB25)*100,0)&gt;=20),"Chậm tiến độ",IF($AP25=NgayBC,"Đến hạn hôm nay",IF($B25="Đột xuất",IF($AW25-TDBC&lt;=1,"Sắp đến hạn","Đúng tiến độ"),IF($AP25-NgayBC&lt;=3,"Sắp đến hạn","Theo lịch"))))))))</f>
      </c>
      <c r="AE25" s="223">
        <f>IF($AV25="","",IF($B25="Định kỳ","Bình quân "&amp;IF($AV25&lt;1,MAX(1,ROUND($AV25*60,0))&amp;" phút",IF(ROUND($AV25,0)&lt;24,ROUND($AV25,0)&amp;" giờ",INT(ROUND($AV25,0)/24)&amp;" ngày"&amp;IF(MOD(ROUND($AV25,0),24)&gt;0," "&amp;MOD(ROUND($AV25,0),24)&amp;" giờ","")))&amp;" mỗi kỳ",IF($AV25&lt;1,MAX(1,ROUND($AV25*60,0))&amp;" phút",IF(ROUND($AV25,0)&lt;24,ROUND($AV25,0)&amp;" giờ",INT(ROUND($AV25,0)/24)&amp;" ngày"&amp;IF(MOD(ROUND($AV25,0),24)&gt;0," "&amp;MOD(ROUND($AV25,0),24)&amp;" giờ","")))))</f>
      </c>
      <c r="AF25" s="223">
        <f>IF(OR($A25="",N($AU25)=0),"",IF($AV25&lt;&gt;"",IF($AV25&lt;=$AU25,"Trong ước tính","Vượt "&amp;IF(($AV25-$AU25)&lt;1,MAX(1,ROUND(($AV25-$AU25)*60,0))&amp;" phút",IF(ROUND(($AV25-$AU25),0)&lt;24,ROUND(($AV25-$AU25),0)&amp;" giờ",INT(ROUND(($AV25-$AU25),0)/24)&amp;" ngày"&amp;IF(MOD(ROUND(($AV25-$AU25),0),24)&gt;0," "&amp;MOD(ROUND(($AV25-$AU25),0),24)&amp;" giờ","")))),IF(OR($B25&lt;&gt;"Đột xuất",$AA25="Hoàn thành",N($J25)=0),"",IF((TDBC-$J25)*24&gt;$AU25,"Đã vượt ước tính","Đã dùng "&amp;TEXT((TDBC-$J25)*24/$AU25,"0%")))))</f>
      </c>
      <c r="AG25" s="223">
        <f>IF(N($BB25)=0,"",CHOOSE($BB25,"Nhắc nhở","Cảnh báo","Báo động","Báo động đỏ"))</f>
      </c>
      <c r="AH25" s="223">
        <f>IF(OR($B25&lt;&gt;"Đột xuất",$AA25&lt;&gt;"Hoàn thành",N($X25)=0,$AW25=0),"",IF($X25&lt;=$AW25,"Đúng hạn","Trễ hạn"))</f>
      </c>
      <c r="AI25" s="220">
        <f>IF($A25="","",_xlfn.MAXIFS('Nhật ký tiến độ'!$B$6:$B$3005,'Nhật ký tiến độ'!$C$6:$C$3005,$A25))</f>
      </c>
      <c r="AJ25" s="225">
        <f>IF(OR($A25="",$B25&lt;&gt;"Định kỳ"),0,IFERROR(INDEX(DM_TanSuatNgay,MATCH($H25,DM_TanSuat,0)),0))</f>
      </c>
      <c r="AK25" s="225">
        <f>IF(OR($A25="",$B25&lt;&gt;"Định kỳ"),0,IFERROR(INDEX(DM_TanSuatThang,MATCH($H25,DM_TanSuat,0)),0))</f>
      </c>
      <c r="AL25" s="225">
        <f>IF(OR($A25="",$B25&lt;&gt;"Định kỳ",N($X25)=0,N($I25)=0),"",IF(INT($X25)&lt;$I25,0,IF($AJ25&gt;0,ROUND((INT($X25)-$I25)/$AJ25,0),IF($AK25&gt;0,ROUND((DATEDIF($I25,INT($X25),"m")+(INT($X25)-EDATE($I25,DATEDIF($I25,INT($X25),"m")))/(EDATE($I25,DATEDIF($I25,INT($X25),"m")+1)-EDATE($I25,DATEDIF($I25,INT($X25),"m"))))/$AK25,0),0))))</f>
      </c>
      <c r="AM25" s="225">
        <f>IF($A25="","",IF(COUNTIF('Nhật ký tiến độ'!$C$6:$C$3005,$A25)=0,0,_xlfn.MAXIFS('Nhật ký tiến độ'!$N$6:$N$3005,'Nhật ký tiến độ'!$C$6:$C$3005,$A25,'Nhật ký tiến độ'!$B$6:$B$3005,_xlfn.MAXIFS('Nhật ký tiến độ'!$B$6:$B$3005,'Nhật ký tiến độ'!$C$6:$C$3005,$A25))))</f>
      </c>
      <c r="AN25" s="225">
        <f>IF($A25="","",IF(N($AM25)=0,"",INDEX('Nhật ký tiến độ'!$E:$E,$AM25)))</f>
      </c>
      <c r="AO25" s="225">
        <f>IF($A25="",0,IF($AA25="Hoàn thành",0,1))</f>
      </c>
      <c r="AP25" s="225">
        <f>IF($AO25=0,0,INT(N($AW25)))</f>
      </c>
      <c r="AQ25" s="225">
        <f>IF(AND($AO25=1,$AJ25&gt;1),$AJ25,0)</f>
      </c>
      <c r="AR25" s="225">
        <f>IF(AND($AO25=1,$AJ25=1),1,0)</f>
      </c>
      <c r="AS25" s="225">
        <f>IF(OR($AO25=0,AND($AR25=1,N($BB25)=0)),"",IF(N($BB25)&gt;0,5-$BB25,IF($AD25="Chậm tiến độ",6,IF($AD25="Đến hạn hôm nay",7,IF(AND($AP25&gt;0,$AP25-NgayBC&lt;=7),8,"")))))</f>
      </c>
      <c r="AT25" s="225">
        <f>IF($AS25="","",$AS25*100000+$AP25+ROW()/100000)</f>
      </c>
      <c r="AU25" s="224">
        <f>IF(OR($A25="",N($R25)&lt;=0),"",IF($S25="Ngày",$R25*24,$R25))</f>
      </c>
      <c r="AV25" s="224">
        <f>IF($A25="","",IF($B25="Đột xuất",IF(OR($AA25&lt;&gt;"Hoàn thành",N($X25)=0,N($J25)=0),"",IF($X25&lt;$J25,"",($X25-$J25)*24)),IFERROR(AVERAGEIFS('Nhật ký tiến độ'!$H$6:$H$3005,'Nhật ký tiến độ'!$C$6:$C$3005,$A25,'Nhật ký tiến độ'!$H$6:$H$3005,"&gt;0"),"")))</f>
      </c>
      <c r="AW25" s="233">
        <f>IF($A25="",0,IF($B25="Đột xuất",$AY25,IF($AX25=0,0,$AX25+1-1/1440)))</f>
      </c>
      <c r="AX25" s="234">
        <f>IF(OR($A25="",$B25&lt;&gt;"Định kỳ",N($I25)=0),0,IF($AL25="",$I25,IF($AJ25&gt;0,$I25+($AL25+1)*$AJ25,IF($AK25&gt;0,EDATE($I25,($AL25+1)*$AK25),$I25))))</f>
      </c>
      <c r="AY25" s="233">
        <f>IF(OR($A25="",$B25&lt;&gt;"Đột xuất"),0,IF(N($K25)&gt;0,IF(MOD($K25,1)=0,$K25+1-1/1440,$K25),IF(N($J25)=0,0,$J25+IF(N($AU25)&gt;0,$AU25,IFERROR(INDEX(DM_SLA_Gio,MATCH($L25,DM_SLA_Cap,0)),168))/24)))</f>
      </c>
      <c r="AZ25" s="225">
        <f>IF(OR($A25="",TRIM($N25)="",COUNTIF('Phản ánh'!$K$6:$K$505,$N25)&gt;0,COUNTIF($N$6:$N25,$N25)&gt;1),0,1)</f>
      </c>
      <c r="BA25" s="225">
        <f>IF($AZ25=1,SUM($AZ$6:$AZ25),"")</f>
      </c>
      <c r="BB25" s="225">
        <f>IF(OR($AO25=0,N($AW25)=0),0,IF(TDBC&lt;=$AW25,0,MAX(1,MIN(4,IF((TDBC-$AW25)*24&lt;24,1,IF((TDBC-$AW25)*24&lt;72,2,IF((TDBC-$AW25)*24&lt;168,3,4)))+IF($B25="Đột xuất",IFERROR(INDEX({2,1,0,-1},MATCH($L25,{"Khẩn cấp","Cao","Trung bình","Thấp"},0)),0),IF($D25="PCCC và an ninh",1,0))))))</f>
      </c>
    </row>
    <row r="26">
      <c r="A26" s="216"/>
      <c r="B26" s="216"/>
      <c r="C26" s="218"/>
      <c r="D26" s="218"/>
      <c r="E26" s="218"/>
      <c r="F26" s="216"/>
      <c r="G26" s="218"/>
      <c r="H26" s="218"/>
      <c r="I26" s="231"/>
      <c r="J26" s="217"/>
      <c r="K26" s="217"/>
      <c r="L26" s="216"/>
      <c r="M26" s="216"/>
      <c r="N26" s="218"/>
      <c r="O26" s="218"/>
      <c r="P26" s="218"/>
      <c r="Q26" s="218"/>
      <c r="R26" s="219"/>
      <c r="S26" s="216"/>
      <c r="T26" s="232"/>
      <c r="U26" s="232"/>
      <c r="V26" s="218"/>
      <c r="W26" s="218"/>
      <c r="X26" s="220">
        <f>IF($A26="","",IF(OR($B26="Định kỳ",$AA26="Hoàn thành"),MAX(_xlfn.MAXIFS('Nhật ký tiến độ'!$B$6:$B$3005,'Nhật ký tiến độ'!$C$6:$C$3005,$A26,'Nhật ký tiến độ'!$E$6:$E$3005,"Hoàn thành kỳ"),_xlfn.MAXIFS('Nhật ký tiến độ'!$B$6:$B$3005,'Nhật ký tiến độ'!$C$6:$C$3005,$A26,'Nhật ký tiến độ'!$E$6:$E$3005,"Hoàn thành")),0))</f>
      </c>
      <c r="Y26" s="220">
        <f>IF($A26="","",IF($B26="Đột xuất",IF($AY26=0,"",$AY26),IF($AX26=0,"",$AX26)))</f>
      </c>
      <c r="Z26" s="223">
        <f>IF(OR($AO26=0,$AW26=0),"",IF(TDBC&gt;$AW26,"Quá "&amp;IF($B26="Định kỳ",(NgayBC-$AP26)&amp;" ngày",IF(((TDBC-$AW26)*24)&lt;1,MAX(1,ROUND(((TDBC-$AW26)*24)*60,0))&amp;" phút",IF(ROUND(((TDBC-$AW26)*24),0)&lt;24,ROUND(((TDBC-$AW26)*24),0)&amp;" giờ",INT(ROUND(((TDBC-$AW26)*24),0)/24)&amp;" ngày"&amp;IF(MOD(ROUND(((TDBC-$AW26)*24),0),24)&gt;0," "&amp;MOD(ROUND(((TDBC-$AW26)*24),0),24)&amp;" giờ","")))),IF($B26="Định kỳ",IF($AP26=NgayBC,"Hôm nay","Còn "&amp;($AP26-NgayBC)&amp;" ngày"),"Còn "&amp;IF((($AW26-TDBC)*24)&lt;1,MAX(1,ROUND((($AW26-TDBC)*24)*60,0))&amp;" phút",IF(ROUND((($AW26-TDBC)*24),0)&lt;24,ROUND((($AW26-TDBC)*24),0)&amp;" giờ",INT(ROUND((($AW26-TDBC)*24),0)/24)&amp;" ngày"&amp;IF(MOD(ROUND((($AW26-TDBC)*24),0),24)&gt;0," "&amp;MOD(ROUND((($AW26-TDBC)*24),0),24)&amp;" giờ",""))))))</f>
      </c>
      <c r="AA26" s="221">
        <f>IF($A26="","",IF(N($AM26)=0,"Chưa bắt đầu",IF(OR($AN26="Hoàn thành kỳ",$AN26="Hoàn thành"),IF($B26="Định kỳ","Chưa bắt đầu","Hoàn thành"),$AN26)))</f>
      </c>
      <c r="AB26" s="222">
        <f>IF($A26="","",IF($AA26="Hoàn thành",1,IF(OR(N($AM26)=0,$AN26="Hoàn thành kỳ",$AN26="Hoàn thành"),0,N(INDEX('Nhật ký tiến độ'!$D:$D,$AM26)))))</f>
      </c>
      <c r="AC26" s="222">
        <f>IF(OR($A26="",$B26&lt;&gt;"Đột xuất",$AA26="Hoàn thành",N($J26)=0,$AW26=0),"",IF(TDBC&lt;=$J26,0,IF(TDBC&gt;=$AW26,1,(TDBC-$J26)/($AW26-$J26))))</f>
      </c>
      <c r="AD26" s="223">
        <f>IF($A26="","",IF($AA26="Hoàn thành","Hoàn thành",IF($AW26=0,"Chưa đặt hạn",IF(TDBC&gt;$AW26,"Quá hạn",IF(AND($B26="Đột xuất",ROUND((N($AC26)-$AB26)*100,0)&gt;=20),"Chậm tiến độ",IF($AP26=NgayBC,"Đến hạn hôm nay",IF($B26="Đột xuất",IF($AW26-TDBC&lt;=1,"Sắp đến hạn","Đúng tiến độ"),IF($AP26-NgayBC&lt;=3,"Sắp đến hạn","Theo lịch"))))))))</f>
      </c>
      <c r="AE26" s="223">
        <f>IF($AV26="","",IF($B26="Định kỳ","Bình quân "&amp;IF($AV26&lt;1,MAX(1,ROUND($AV26*60,0))&amp;" phút",IF(ROUND($AV26,0)&lt;24,ROUND($AV26,0)&amp;" giờ",INT(ROUND($AV26,0)/24)&amp;" ngày"&amp;IF(MOD(ROUND($AV26,0),24)&gt;0," "&amp;MOD(ROUND($AV26,0),24)&amp;" giờ","")))&amp;" mỗi kỳ",IF($AV26&lt;1,MAX(1,ROUND($AV26*60,0))&amp;" phút",IF(ROUND($AV26,0)&lt;24,ROUND($AV26,0)&amp;" giờ",INT(ROUND($AV26,0)/24)&amp;" ngày"&amp;IF(MOD(ROUND($AV26,0),24)&gt;0," "&amp;MOD(ROUND($AV26,0),24)&amp;" giờ","")))))</f>
      </c>
      <c r="AF26" s="223">
        <f>IF(OR($A26="",N($AU26)=0),"",IF($AV26&lt;&gt;"",IF($AV26&lt;=$AU26,"Trong ước tính","Vượt "&amp;IF(($AV26-$AU26)&lt;1,MAX(1,ROUND(($AV26-$AU26)*60,0))&amp;" phút",IF(ROUND(($AV26-$AU26),0)&lt;24,ROUND(($AV26-$AU26),0)&amp;" giờ",INT(ROUND(($AV26-$AU26),0)/24)&amp;" ngày"&amp;IF(MOD(ROUND(($AV26-$AU26),0),24)&gt;0," "&amp;MOD(ROUND(($AV26-$AU26),0),24)&amp;" giờ","")))),IF(OR($B26&lt;&gt;"Đột xuất",$AA26="Hoàn thành",N($J26)=0),"",IF((TDBC-$J26)*24&gt;$AU26,"Đã vượt ước tính","Đã dùng "&amp;TEXT((TDBC-$J26)*24/$AU26,"0%")))))</f>
      </c>
      <c r="AG26" s="223">
        <f>IF(N($BB26)=0,"",CHOOSE($BB26,"Nhắc nhở","Cảnh báo","Báo động","Báo động đỏ"))</f>
      </c>
      <c r="AH26" s="223">
        <f>IF(OR($B26&lt;&gt;"Đột xuất",$AA26&lt;&gt;"Hoàn thành",N($X26)=0,$AW26=0),"",IF($X26&lt;=$AW26,"Đúng hạn","Trễ hạn"))</f>
      </c>
      <c r="AI26" s="220">
        <f>IF($A26="","",_xlfn.MAXIFS('Nhật ký tiến độ'!$B$6:$B$3005,'Nhật ký tiến độ'!$C$6:$C$3005,$A26))</f>
      </c>
      <c r="AJ26" s="225">
        <f>IF(OR($A26="",$B26&lt;&gt;"Định kỳ"),0,IFERROR(INDEX(DM_TanSuatNgay,MATCH($H26,DM_TanSuat,0)),0))</f>
      </c>
      <c r="AK26" s="225">
        <f>IF(OR($A26="",$B26&lt;&gt;"Định kỳ"),0,IFERROR(INDEX(DM_TanSuatThang,MATCH($H26,DM_TanSuat,0)),0))</f>
      </c>
      <c r="AL26" s="225">
        <f>IF(OR($A26="",$B26&lt;&gt;"Định kỳ",N($X26)=0,N($I26)=0),"",IF(INT($X26)&lt;$I26,0,IF($AJ26&gt;0,ROUND((INT($X26)-$I26)/$AJ26,0),IF($AK26&gt;0,ROUND((DATEDIF($I26,INT($X26),"m")+(INT($X26)-EDATE($I26,DATEDIF($I26,INT($X26),"m")))/(EDATE($I26,DATEDIF($I26,INT($X26),"m")+1)-EDATE($I26,DATEDIF($I26,INT($X26),"m"))))/$AK26,0),0))))</f>
      </c>
      <c r="AM26" s="225">
        <f>IF($A26="","",IF(COUNTIF('Nhật ký tiến độ'!$C$6:$C$3005,$A26)=0,0,_xlfn.MAXIFS('Nhật ký tiến độ'!$N$6:$N$3005,'Nhật ký tiến độ'!$C$6:$C$3005,$A26,'Nhật ký tiến độ'!$B$6:$B$3005,_xlfn.MAXIFS('Nhật ký tiến độ'!$B$6:$B$3005,'Nhật ký tiến độ'!$C$6:$C$3005,$A26))))</f>
      </c>
      <c r="AN26" s="225">
        <f>IF($A26="","",IF(N($AM26)=0,"",INDEX('Nhật ký tiến độ'!$E:$E,$AM26)))</f>
      </c>
      <c r="AO26" s="225">
        <f>IF($A26="",0,IF($AA26="Hoàn thành",0,1))</f>
      </c>
      <c r="AP26" s="225">
        <f>IF($AO26=0,0,INT(N($AW26)))</f>
      </c>
      <c r="AQ26" s="225">
        <f>IF(AND($AO26=1,$AJ26&gt;1),$AJ26,0)</f>
      </c>
      <c r="AR26" s="225">
        <f>IF(AND($AO26=1,$AJ26=1),1,0)</f>
      </c>
      <c r="AS26" s="225">
        <f>IF(OR($AO26=0,AND($AR26=1,N($BB26)=0)),"",IF(N($BB26)&gt;0,5-$BB26,IF($AD26="Chậm tiến độ",6,IF($AD26="Đến hạn hôm nay",7,IF(AND($AP26&gt;0,$AP26-NgayBC&lt;=7),8,"")))))</f>
      </c>
      <c r="AT26" s="225">
        <f>IF($AS26="","",$AS26*100000+$AP26+ROW()/100000)</f>
      </c>
      <c r="AU26" s="224">
        <f>IF(OR($A26="",N($R26)&lt;=0),"",IF($S26="Ngày",$R26*24,$R26))</f>
      </c>
      <c r="AV26" s="224">
        <f>IF($A26="","",IF($B26="Đột xuất",IF(OR($AA26&lt;&gt;"Hoàn thành",N($X26)=0,N($J26)=0),"",IF($X26&lt;$J26,"",($X26-$J26)*24)),IFERROR(AVERAGEIFS('Nhật ký tiến độ'!$H$6:$H$3005,'Nhật ký tiến độ'!$C$6:$C$3005,$A26,'Nhật ký tiến độ'!$H$6:$H$3005,"&gt;0"),"")))</f>
      </c>
      <c r="AW26" s="233">
        <f>IF($A26="",0,IF($B26="Đột xuất",$AY26,IF($AX26=0,0,$AX26+1-1/1440)))</f>
      </c>
      <c r="AX26" s="234">
        <f>IF(OR($A26="",$B26&lt;&gt;"Định kỳ",N($I26)=0),0,IF($AL26="",$I26,IF($AJ26&gt;0,$I26+($AL26+1)*$AJ26,IF($AK26&gt;0,EDATE($I26,($AL26+1)*$AK26),$I26))))</f>
      </c>
      <c r="AY26" s="233">
        <f>IF(OR($A26="",$B26&lt;&gt;"Đột xuất"),0,IF(N($K26)&gt;0,IF(MOD($K26,1)=0,$K26+1-1/1440,$K26),IF(N($J26)=0,0,$J26+IF(N($AU26)&gt;0,$AU26,IFERROR(INDEX(DM_SLA_Gio,MATCH($L26,DM_SLA_Cap,0)),168))/24)))</f>
      </c>
      <c r="AZ26" s="225">
        <f>IF(OR($A26="",TRIM($N26)="",COUNTIF('Phản ánh'!$K$6:$K$505,$N26)&gt;0,COUNTIF($N$6:$N26,$N26)&gt;1),0,1)</f>
      </c>
      <c r="BA26" s="225">
        <f>IF($AZ26=1,SUM($AZ$6:$AZ26),"")</f>
      </c>
      <c r="BB26" s="225">
        <f>IF(OR($AO26=0,N($AW26)=0),0,IF(TDBC&lt;=$AW26,0,MAX(1,MIN(4,IF((TDBC-$AW26)*24&lt;24,1,IF((TDBC-$AW26)*24&lt;72,2,IF((TDBC-$AW26)*24&lt;168,3,4)))+IF($B26="Đột xuất",IFERROR(INDEX({2,1,0,-1},MATCH($L26,{"Khẩn cấp","Cao","Trung bình","Thấp"},0)),0),IF($D26="PCCC và an ninh",1,0))))))</f>
      </c>
    </row>
    <row r="27">
      <c r="A27" s="216"/>
      <c r="B27" s="216"/>
      <c r="C27" s="218"/>
      <c r="D27" s="218"/>
      <c r="E27" s="218"/>
      <c r="F27" s="216"/>
      <c r="G27" s="218"/>
      <c r="H27" s="218"/>
      <c r="I27" s="231"/>
      <c r="J27" s="217"/>
      <c r="K27" s="217"/>
      <c r="L27" s="216"/>
      <c r="M27" s="216"/>
      <c r="N27" s="218"/>
      <c r="O27" s="218"/>
      <c r="P27" s="218"/>
      <c r="Q27" s="218"/>
      <c r="R27" s="219"/>
      <c r="S27" s="216"/>
      <c r="T27" s="232"/>
      <c r="U27" s="232"/>
      <c r="V27" s="218"/>
      <c r="W27" s="218"/>
      <c r="X27" s="220">
        <f>IF($A27="","",IF(OR($B27="Định kỳ",$AA27="Hoàn thành"),MAX(_xlfn.MAXIFS('Nhật ký tiến độ'!$B$6:$B$3005,'Nhật ký tiến độ'!$C$6:$C$3005,$A27,'Nhật ký tiến độ'!$E$6:$E$3005,"Hoàn thành kỳ"),_xlfn.MAXIFS('Nhật ký tiến độ'!$B$6:$B$3005,'Nhật ký tiến độ'!$C$6:$C$3005,$A27,'Nhật ký tiến độ'!$E$6:$E$3005,"Hoàn thành")),0))</f>
      </c>
      <c r="Y27" s="220">
        <f>IF($A27="","",IF($B27="Đột xuất",IF($AY27=0,"",$AY27),IF($AX27=0,"",$AX27)))</f>
      </c>
      <c r="Z27" s="223">
        <f>IF(OR($AO27=0,$AW27=0),"",IF(TDBC&gt;$AW27,"Quá "&amp;IF($B27="Định kỳ",(NgayBC-$AP27)&amp;" ngày",IF(((TDBC-$AW27)*24)&lt;1,MAX(1,ROUND(((TDBC-$AW27)*24)*60,0))&amp;" phút",IF(ROUND(((TDBC-$AW27)*24),0)&lt;24,ROUND(((TDBC-$AW27)*24),0)&amp;" giờ",INT(ROUND(((TDBC-$AW27)*24),0)/24)&amp;" ngày"&amp;IF(MOD(ROUND(((TDBC-$AW27)*24),0),24)&gt;0," "&amp;MOD(ROUND(((TDBC-$AW27)*24),0),24)&amp;" giờ","")))),IF($B27="Định kỳ",IF($AP27=NgayBC,"Hôm nay","Còn "&amp;($AP27-NgayBC)&amp;" ngày"),"Còn "&amp;IF((($AW27-TDBC)*24)&lt;1,MAX(1,ROUND((($AW27-TDBC)*24)*60,0))&amp;" phút",IF(ROUND((($AW27-TDBC)*24),0)&lt;24,ROUND((($AW27-TDBC)*24),0)&amp;" giờ",INT(ROUND((($AW27-TDBC)*24),0)/24)&amp;" ngày"&amp;IF(MOD(ROUND((($AW27-TDBC)*24),0),24)&gt;0," "&amp;MOD(ROUND((($AW27-TDBC)*24),0),24)&amp;" giờ",""))))))</f>
      </c>
      <c r="AA27" s="221">
        <f>IF($A27="","",IF(N($AM27)=0,"Chưa bắt đầu",IF(OR($AN27="Hoàn thành kỳ",$AN27="Hoàn thành"),IF($B27="Định kỳ","Chưa bắt đầu","Hoàn thành"),$AN27)))</f>
      </c>
      <c r="AB27" s="222">
        <f>IF($A27="","",IF($AA27="Hoàn thành",1,IF(OR(N($AM27)=0,$AN27="Hoàn thành kỳ",$AN27="Hoàn thành"),0,N(INDEX('Nhật ký tiến độ'!$D:$D,$AM27)))))</f>
      </c>
      <c r="AC27" s="222">
        <f>IF(OR($A27="",$B27&lt;&gt;"Đột xuất",$AA27="Hoàn thành",N($J27)=0,$AW27=0),"",IF(TDBC&lt;=$J27,0,IF(TDBC&gt;=$AW27,1,(TDBC-$J27)/($AW27-$J27))))</f>
      </c>
      <c r="AD27" s="223">
        <f>IF($A27="","",IF($AA27="Hoàn thành","Hoàn thành",IF($AW27=0,"Chưa đặt hạn",IF(TDBC&gt;$AW27,"Quá hạn",IF(AND($B27="Đột xuất",ROUND((N($AC27)-$AB27)*100,0)&gt;=20),"Chậm tiến độ",IF($AP27=NgayBC,"Đến hạn hôm nay",IF($B27="Đột xuất",IF($AW27-TDBC&lt;=1,"Sắp đến hạn","Đúng tiến độ"),IF($AP27-NgayBC&lt;=3,"Sắp đến hạn","Theo lịch"))))))))</f>
      </c>
      <c r="AE27" s="223">
        <f>IF($AV27="","",IF($B27="Định kỳ","Bình quân "&amp;IF($AV27&lt;1,MAX(1,ROUND($AV27*60,0))&amp;" phút",IF(ROUND($AV27,0)&lt;24,ROUND($AV27,0)&amp;" giờ",INT(ROUND($AV27,0)/24)&amp;" ngày"&amp;IF(MOD(ROUND($AV27,0),24)&gt;0," "&amp;MOD(ROUND($AV27,0),24)&amp;" giờ","")))&amp;" mỗi kỳ",IF($AV27&lt;1,MAX(1,ROUND($AV27*60,0))&amp;" phút",IF(ROUND($AV27,0)&lt;24,ROUND($AV27,0)&amp;" giờ",INT(ROUND($AV27,0)/24)&amp;" ngày"&amp;IF(MOD(ROUND($AV27,0),24)&gt;0," "&amp;MOD(ROUND($AV27,0),24)&amp;" giờ","")))))</f>
      </c>
      <c r="AF27" s="223">
        <f>IF(OR($A27="",N($AU27)=0),"",IF($AV27&lt;&gt;"",IF($AV27&lt;=$AU27,"Trong ước tính","Vượt "&amp;IF(($AV27-$AU27)&lt;1,MAX(1,ROUND(($AV27-$AU27)*60,0))&amp;" phút",IF(ROUND(($AV27-$AU27),0)&lt;24,ROUND(($AV27-$AU27),0)&amp;" giờ",INT(ROUND(($AV27-$AU27),0)/24)&amp;" ngày"&amp;IF(MOD(ROUND(($AV27-$AU27),0),24)&gt;0," "&amp;MOD(ROUND(($AV27-$AU27),0),24)&amp;" giờ","")))),IF(OR($B27&lt;&gt;"Đột xuất",$AA27="Hoàn thành",N($J27)=0),"",IF((TDBC-$J27)*24&gt;$AU27,"Đã vượt ước tính","Đã dùng "&amp;TEXT((TDBC-$J27)*24/$AU27,"0%")))))</f>
      </c>
      <c r="AG27" s="223">
        <f>IF(N($BB27)=0,"",CHOOSE($BB27,"Nhắc nhở","Cảnh báo","Báo động","Báo động đỏ"))</f>
      </c>
      <c r="AH27" s="223">
        <f>IF(OR($B27&lt;&gt;"Đột xuất",$AA27&lt;&gt;"Hoàn thành",N($X27)=0,$AW27=0),"",IF($X27&lt;=$AW27,"Đúng hạn","Trễ hạn"))</f>
      </c>
      <c r="AI27" s="220">
        <f>IF($A27="","",_xlfn.MAXIFS('Nhật ký tiến độ'!$B$6:$B$3005,'Nhật ký tiến độ'!$C$6:$C$3005,$A27))</f>
      </c>
      <c r="AJ27" s="225">
        <f>IF(OR($A27="",$B27&lt;&gt;"Định kỳ"),0,IFERROR(INDEX(DM_TanSuatNgay,MATCH($H27,DM_TanSuat,0)),0))</f>
      </c>
      <c r="AK27" s="225">
        <f>IF(OR($A27="",$B27&lt;&gt;"Định kỳ"),0,IFERROR(INDEX(DM_TanSuatThang,MATCH($H27,DM_TanSuat,0)),0))</f>
      </c>
      <c r="AL27" s="225">
        <f>IF(OR($A27="",$B27&lt;&gt;"Định kỳ",N($X27)=0,N($I27)=0),"",IF(INT($X27)&lt;$I27,0,IF($AJ27&gt;0,ROUND((INT($X27)-$I27)/$AJ27,0),IF($AK27&gt;0,ROUND((DATEDIF($I27,INT($X27),"m")+(INT($X27)-EDATE($I27,DATEDIF($I27,INT($X27),"m")))/(EDATE($I27,DATEDIF($I27,INT($X27),"m")+1)-EDATE($I27,DATEDIF($I27,INT($X27),"m"))))/$AK27,0),0))))</f>
      </c>
      <c r="AM27" s="225">
        <f>IF($A27="","",IF(COUNTIF('Nhật ký tiến độ'!$C$6:$C$3005,$A27)=0,0,_xlfn.MAXIFS('Nhật ký tiến độ'!$N$6:$N$3005,'Nhật ký tiến độ'!$C$6:$C$3005,$A27,'Nhật ký tiến độ'!$B$6:$B$3005,_xlfn.MAXIFS('Nhật ký tiến độ'!$B$6:$B$3005,'Nhật ký tiến độ'!$C$6:$C$3005,$A27))))</f>
      </c>
      <c r="AN27" s="225">
        <f>IF($A27="","",IF(N($AM27)=0,"",INDEX('Nhật ký tiến độ'!$E:$E,$AM27)))</f>
      </c>
      <c r="AO27" s="225">
        <f>IF($A27="",0,IF($AA27="Hoàn thành",0,1))</f>
      </c>
      <c r="AP27" s="225">
        <f>IF($AO27=0,0,INT(N($AW27)))</f>
      </c>
      <c r="AQ27" s="225">
        <f>IF(AND($AO27=1,$AJ27&gt;1),$AJ27,0)</f>
      </c>
      <c r="AR27" s="225">
        <f>IF(AND($AO27=1,$AJ27=1),1,0)</f>
      </c>
      <c r="AS27" s="225">
        <f>IF(OR($AO27=0,AND($AR27=1,N($BB27)=0)),"",IF(N($BB27)&gt;0,5-$BB27,IF($AD27="Chậm tiến độ",6,IF($AD27="Đến hạn hôm nay",7,IF(AND($AP27&gt;0,$AP27-NgayBC&lt;=7),8,"")))))</f>
      </c>
      <c r="AT27" s="225">
        <f>IF($AS27="","",$AS27*100000+$AP27+ROW()/100000)</f>
      </c>
      <c r="AU27" s="224">
        <f>IF(OR($A27="",N($R27)&lt;=0),"",IF($S27="Ngày",$R27*24,$R27))</f>
      </c>
      <c r="AV27" s="224">
        <f>IF($A27="","",IF($B27="Đột xuất",IF(OR($AA27&lt;&gt;"Hoàn thành",N($X27)=0,N($J27)=0),"",IF($X27&lt;$J27,"",($X27-$J27)*24)),IFERROR(AVERAGEIFS('Nhật ký tiến độ'!$H$6:$H$3005,'Nhật ký tiến độ'!$C$6:$C$3005,$A27,'Nhật ký tiến độ'!$H$6:$H$3005,"&gt;0"),"")))</f>
      </c>
      <c r="AW27" s="233">
        <f>IF($A27="",0,IF($B27="Đột xuất",$AY27,IF($AX27=0,0,$AX27+1-1/1440)))</f>
      </c>
      <c r="AX27" s="234">
        <f>IF(OR($A27="",$B27&lt;&gt;"Định kỳ",N($I27)=0),0,IF($AL27="",$I27,IF($AJ27&gt;0,$I27+($AL27+1)*$AJ27,IF($AK27&gt;0,EDATE($I27,($AL27+1)*$AK27),$I27))))</f>
      </c>
      <c r="AY27" s="233">
        <f>IF(OR($A27="",$B27&lt;&gt;"Đột xuất"),0,IF(N($K27)&gt;0,IF(MOD($K27,1)=0,$K27+1-1/1440,$K27),IF(N($J27)=0,0,$J27+IF(N($AU27)&gt;0,$AU27,IFERROR(INDEX(DM_SLA_Gio,MATCH($L27,DM_SLA_Cap,0)),168))/24)))</f>
      </c>
      <c r="AZ27" s="225">
        <f>IF(OR($A27="",TRIM($N27)="",COUNTIF('Phản ánh'!$K$6:$K$505,$N27)&gt;0,COUNTIF($N$6:$N27,$N27)&gt;1),0,1)</f>
      </c>
      <c r="BA27" s="225">
        <f>IF($AZ27=1,SUM($AZ$6:$AZ27),"")</f>
      </c>
      <c r="BB27" s="225">
        <f>IF(OR($AO27=0,N($AW27)=0),0,IF(TDBC&lt;=$AW27,0,MAX(1,MIN(4,IF((TDBC-$AW27)*24&lt;24,1,IF((TDBC-$AW27)*24&lt;72,2,IF((TDBC-$AW27)*24&lt;168,3,4)))+IF($B27="Đột xuất",IFERROR(INDEX({2,1,0,-1},MATCH($L27,{"Khẩn cấp","Cao","Trung bình","Thấp"},0)),0),IF($D27="PCCC và an ninh",1,0))))))</f>
      </c>
    </row>
    <row r="28">
      <c r="A28" s="216"/>
      <c r="B28" s="216"/>
      <c r="C28" s="218"/>
      <c r="D28" s="218"/>
      <c r="E28" s="218"/>
      <c r="F28" s="216"/>
      <c r="G28" s="218"/>
      <c r="H28" s="218"/>
      <c r="I28" s="231"/>
      <c r="J28" s="217"/>
      <c r="K28" s="217"/>
      <c r="L28" s="216"/>
      <c r="M28" s="216"/>
      <c r="N28" s="218"/>
      <c r="O28" s="218"/>
      <c r="P28" s="218"/>
      <c r="Q28" s="218"/>
      <c r="R28" s="219"/>
      <c r="S28" s="216"/>
      <c r="T28" s="232"/>
      <c r="U28" s="232"/>
      <c r="V28" s="218"/>
      <c r="W28" s="218"/>
      <c r="X28" s="220">
        <f>IF($A28="","",IF(OR($B28="Định kỳ",$AA28="Hoàn thành"),MAX(_xlfn.MAXIFS('Nhật ký tiến độ'!$B$6:$B$3005,'Nhật ký tiến độ'!$C$6:$C$3005,$A28,'Nhật ký tiến độ'!$E$6:$E$3005,"Hoàn thành kỳ"),_xlfn.MAXIFS('Nhật ký tiến độ'!$B$6:$B$3005,'Nhật ký tiến độ'!$C$6:$C$3005,$A28,'Nhật ký tiến độ'!$E$6:$E$3005,"Hoàn thành")),0))</f>
      </c>
      <c r="Y28" s="220">
        <f>IF($A28="","",IF($B28="Đột xuất",IF($AY28=0,"",$AY28),IF($AX28=0,"",$AX28)))</f>
      </c>
      <c r="Z28" s="223">
        <f>IF(OR($AO28=0,$AW28=0),"",IF(TDBC&gt;$AW28,"Quá "&amp;IF($B28="Định kỳ",(NgayBC-$AP28)&amp;" ngày",IF(((TDBC-$AW28)*24)&lt;1,MAX(1,ROUND(((TDBC-$AW28)*24)*60,0))&amp;" phút",IF(ROUND(((TDBC-$AW28)*24),0)&lt;24,ROUND(((TDBC-$AW28)*24),0)&amp;" giờ",INT(ROUND(((TDBC-$AW28)*24),0)/24)&amp;" ngày"&amp;IF(MOD(ROUND(((TDBC-$AW28)*24),0),24)&gt;0," "&amp;MOD(ROUND(((TDBC-$AW28)*24),0),24)&amp;" giờ","")))),IF($B28="Định kỳ",IF($AP28=NgayBC,"Hôm nay","Còn "&amp;($AP28-NgayBC)&amp;" ngày"),"Còn "&amp;IF((($AW28-TDBC)*24)&lt;1,MAX(1,ROUND((($AW28-TDBC)*24)*60,0))&amp;" phút",IF(ROUND((($AW28-TDBC)*24),0)&lt;24,ROUND((($AW28-TDBC)*24),0)&amp;" giờ",INT(ROUND((($AW28-TDBC)*24),0)/24)&amp;" ngày"&amp;IF(MOD(ROUND((($AW28-TDBC)*24),0),24)&gt;0," "&amp;MOD(ROUND((($AW28-TDBC)*24),0),24)&amp;" giờ",""))))))</f>
      </c>
      <c r="AA28" s="221">
        <f>IF($A28="","",IF(N($AM28)=0,"Chưa bắt đầu",IF(OR($AN28="Hoàn thành kỳ",$AN28="Hoàn thành"),IF($B28="Định kỳ","Chưa bắt đầu","Hoàn thành"),$AN28)))</f>
      </c>
      <c r="AB28" s="222">
        <f>IF($A28="","",IF($AA28="Hoàn thành",1,IF(OR(N($AM28)=0,$AN28="Hoàn thành kỳ",$AN28="Hoàn thành"),0,N(INDEX('Nhật ký tiến độ'!$D:$D,$AM28)))))</f>
      </c>
      <c r="AC28" s="222">
        <f>IF(OR($A28="",$B28&lt;&gt;"Đột xuất",$AA28="Hoàn thành",N($J28)=0,$AW28=0),"",IF(TDBC&lt;=$J28,0,IF(TDBC&gt;=$AW28,1,(TDBC-$J28)/($AW28-$J28))))</f>
      </c>
      <c r="AD28" s="223">
        <f>IF($A28="","",IF($AA28="Hoàn thành","Hoàn thành",IF($AW28=0,"Chưa đặt hạn",IF(TDBC&gt;$AW28,"Quá hạn",IF(AND($B28="Đột xuất",ROUND((N($AC28)-$AB28)*100,0)&gt;=20),"Chậm tiến độ",IF($AP28=NgayBC,"Đến hạn hôm nay",IF($B28="Đột xuất",IF($AW28-TDBC&lt;=1,"Sắp đến hạn","Đúng tiến độ"),IF($AP28-NgayBC&lt;=3,"Sắp đến hạn","Theo lịch"))))))))</f>
      </c>
      <c r="AE28" s="223">
        <f>IF($AV28="","",IF($B28="Định kỳ","Bình quân "&amp;IF($AV28&lt;1,MAX(1,ROUND($AV28*60,0))&amp;" phút",IF(ROUND($AV28,0)&lt;24,ROUND($AV28,0)&amp;" giờ",INT(ROUND($AV28,0)/24)&amp;" ngày"&amp;IF(MOD(ROUND($AV28,0),24)&gt;0," "&amp;MOD(ROUND($AV28,0),24)&amp;" giờ","")))&amp;" mỗi kỳ",IF($AV28&lt;1,MAX(1,ROUND($AV28*60,0))&amp;" phút",IF(ROUND($AV28,0)&lt;24,ROUND($AV28,0)&amp;" giờ",INT(ROUND($AV28,0)/24)&amp;" ngày"&amp;IF(MOD(ROUND($AV28,0),24)&gt;0," "&amp;MOD(ROUND($AV28,0),24)&amp;" giờ","")))))</f>
      </c>
      <c r="AF28" s="223">
        <f>IF(OR($A28="",N($AU28)=0),"",IF($AV28&lt;&gt;"",IF($AV28&lt;=$AU28,"Trong ước tính","Vượt "&amp;IF(($AV28-$AU28)&lt;1,MAX(1,ROUND(($AV28-$AU28)*60,0))&amp;" phút",IF(ROUND(($AV28-$AU28),0)&lt;24,ROUND(($AV28-$AU28),0)&amp;" giờ",INT(ROUND(($AV28-$AU28),0)/24)&amp;" ngày"&amp;IF(MOD(ROUND(($AV28-$AU28),0),24)&gt;0," "&amp;MOD(ROUND(($AV28-$AU28),0),24)&amp;" giờ","")))),IF(OR($B28&lt;&gt;"Đột xuất",$AA28="Hoàn thành",N($J28)=0),"",IF((TDBC-$J28)*24&gt;$AU28,"Đã vượt ước tính","Đã dùng "&amp;TEXT((TDBC-$J28)*24/$AU28,"0%")))))</f>
      </c>
      <c r="AG28" s="223">
        <f>IF(N($BB28)=0,"",CHOOSE($BB28,"Nhắc nhở","Cảnh báo","Báo động","Báo động đỏ"))</f>
      </c>
      <c r="AH28" s="223">
        <f>IF(OR($B28&lt;&gt;"Đột xuất",$AA28&lt;&gt;"Hoàn thành",N($X28)=0,$AW28=0),"",IF($X28&lt;=$AW28,"Đúng hạn","Trễ hạn"))</f>
      </c>
      <c r="AI28" s="220">
        <f>IF($A28="","",_xlfn.MAXIFS('Nhật ký tiến độ'!$B$6:$B$3005,'Nhật ký tiến độ'!$C$6:$C$3005,$A28))</f>
      </c>
      <c r="AJ28" s="225">
        <f>IF(OR($A28="",$B28&lt;&gt;"Định kỳ"),0,IFERROR(INDEX(DM_TanSuatNgay,MATCH($H28,DM_TanSuat,0)),0))</f>
      </c>
      <c r="AK28" s="225">
        <f>IF(OR($A28="",$B28&lt;&gt;"Định kỳ"),0,IFERROR(INDEX(DM_TanSuatThang,MATCH($H28,DM_TanSuat,0)),0))</f>
      </c>
      <c r="AL28" s="225">
        <f>IF(OR($A28="",$B28&lt;&gt;"Định kỳ",N($X28)=0,N($I28)=0),"",IF(INT($X28)&lt;$I28,0,IF($AJ28&gt;0,ROUND((INT($X28)-$I28)/$AJ28,0),IF($AK28&gt;0,ROUND((DATEDIF($I28,INT($X28),"m")+(INT($X28)-EDATE($I28,DATEDIF($I28,INT($X28),"m")))/(EDATE($I28,DATEDIF($I28,INT($X28),"m")+1)-EDATE($I28,DATEDIF($I28,INT($X28),"m"))))/$AK28,0),0))))</f>
      </c>
      <c r="AM28" s="225">
        <f>IF($A28="","",IF(COUNTIF('Nhật ký tiến độ'!$C$6:$C$3005,$A28)=0,0,_xlfn.MAXIFS('Nhật ký tiến độ'!$N$6:$N$3005,'Nhật ký tiến độ'!$C$6:$C$3005,$A28,'Nhật ký tiến độ'!$B$6:$B$3005,_xlfn.MAXIFS('Nhật ký tiến độ'!$B$6:$B$3005,'Nhật ký tiến độ'!$C$6:$C$3005,$A28))))</f>
      </c>
      <c r="AN28" s="225">
        <f>IF($A28="","",IF(N($AM28)=0,"",INDEX('Nhật ký tiến độ'!$E:$E,$AM28)))</f>
      </c>
      <c r="AO28" s="225">
        <f>IF($A28="",0,IF($AA28="Hoàn thành",0,1))</f>
      </c>
      <c r="AP28" s="225">
        <f>IF($AO28=0,0,INT(N($AW28)))</f>
      </c>
      <c r="AQ28" s="225">
        <f>IF(AND($AO28=1,$AJ28&gt;1),$AJ28,0)</f>
      </c>
      <c r="AR28" s="225">
        <f>IF(AND($AO28=1,$AJ28=1),1,0)</f>
      </c>
      <c r="AS28" s="225">
        <f>IF(OR($AO28=0,AND($AR28=1,N($BB28)=0)),"",IF(N($BB28)&gt;0,5-$BB28,IF($AD28="Chậm tiến độ",6,IF($AD28="Đến hạn hôm nay",7,IF(AND($AP28&gt;0,$AP28-NgayBC&lt;=7),8,"")))))</f>
      </c>
      <c r="AT28" s="225">
        <f>IF($AS28="","",$AS28*100000+$AP28+ROW()/100000)</f>
      </c>
      <c r="AU28" s="224">
        <f>IF(OR($A28="",N($R28)&lt;=0),"",IF($S28="Ngày",$R28*24,$R28))</f>
      </c>
      <c r="AV28" s="224">
        <f>IF($A28="","",IF($B28="Đột xuất",IF(OR($AA28&lt;&gt;"Hoàn thành",N($X28)=0,N($J28)=0),"",IF($X28&lt;$J28,"",($X28-$J28)*24)),IFERROR(AVERAGEIFS('Nhật ký tiến độ'!$H$6:$H$3005,'Nhật ký tiến độ'!$C$6:$C$3005,$A28,'Nhật ký tiến độ'!$H$6:$H$3005,"&gt;0"),"")))</f>
      </c>
      <c r="AW28" s="233">
        <f>IF($A28="",0,IF($B28="Đột xuất",$AY28,IF($AX28=0,0,$AX28+1-1/1440)))</f>
      </c>
      <c r="AX28" s="234">
        <f>IF(OR($A28="",$B28&lt;&gt;"Định kỳ",N($I28)=0),0,IF($AL28="",$I28,IF($AJ28&gt;0,$I28+($AL28+1)*$AJ28,IF($AK28&gt;0,EDATE($I28,($AL28+1)*$AK28),$I28))))</f>
      </c>
      <c r="AY28" s="233">
        <f>IF(OR($A28="",$B28&lt;&gt;"Đột xuất"),0,IF(N($K28)&gt;0,IF(MOD($K28,1)=0,$K28+1-1/1440,$K28),IF(N($J28)=0,0,$J28+IF(N($AU28)&gt;0,$AU28,IFERROR(INDEX(DM_SLA_Gio,MATCH($L28,DM_SLA_Cap,0)),168))/24)))</f>
      </c>
      <c r="AZ28" s="225">
        <f>IF(OR($A28="",TRIM($N28)="",COUNTIF('Phản ánh'!$K$6:$K$505,$N28)&gt;0,COUNTIF($N$6:$N28,$N28)&gt;1),0,1)</f>
      </c>
      <c r="BA28" s="225">
        <f>IF($AZ28=1,SUM($AZ$6:$AZ28),"")</f>
      </c>
      <c r="BB28" s="225">
        <f>IF(OR($AO28=0,N($AW28)=0),0,IF(TDBC&lt;=$AW28,0,MAX(1,MIN(4,IF((TDBC-$AW28)*24&lt;24,1,IF((TDBC-$AW28)*24&lt;72,2,IF((TDBC-$AW28)*24&lt;168,3,4)))+IF($B28="Đột xuất",IFERROR(INDEX({2,1,0,-1},MATCH($L28,{"Khẩn cấp","Cao","Trung bình","Thấp"},0)),0),IF($D28="PCCC và an ninh",1,0))))))</f>
      </c>
    </row>
    <row r="29">
      <c r="A29" s="216"/>
      <c r="B29" s="216"/>
      <c r="C29" s="218"/>
      <c r="D29" s="218"/>
      <c r="E29" s="218"/>
      <c r="F29" s="216"/>
      <c r="G29" s="218"/>
      <c r="H29" s="218"/>
      <c r="I29" s="231"/>
      <c r="J29" s="217"/>
      <c r="K29" s="217"/>
      <c r="L29" s="216"/>
      <c r="M29" s="216"/>
      <c r="N29" s="218"/>
      <c r="O29" s="218"/>
      <c r="P29" s="218"/>
      <c r="Q29" s="218"/>
      <c r="R29" s="219"/>
      <c r="S29" s="216"/>
      <c r="T29" s="232"/>
      <c r="U29" s="232"/>
      <c r="V29" s="218"/>
      <c r="W29" s="218"/>
      <c r="X29" s="220">
        <f>IF($A29="","",IF(OR($B29="Định kỳ",$AA29="Hoàn thành"),MAX(_xlfn.MAXIFS('Nhật ký tiến độ'!$B$6:$B$3005,'Nhật ký tiến độ'!$C$6:$C$3005,$A29,'Nhật ký tiến độ'!$E$6:$E$3005,"Hoàn thành kỳ"),_xlfn.MAXIFS('Nhật ký tiến độ'!$B$6:$B$3005,'Nhật ký tiến độ'!$C$6:$C$3005,$A29,'Nhật ký tiến độ'!$E$6:$E$3005,"Hoàn thành")),0))</f>
      </c>
      <c r="Y29" s="220">
        <f>IF($A29="","",IF($B29="Đột xuất",IF($AY29=0,"",$AY29),IF($AX29=0,"",$AX29)))</f>
      </c>
      <c r="Z29" s="223">
        <f>IF(OR($AO29=0,$AW29=0),"",IF(TDBC&gt;$AW29,"Quá "&amp;IF($B29="Định kỳ",(NgayBC-$AP29)&amp;" ngày",IF(((TDBC-$AW29)*24)&lt;1,MAX(1,ROUND(((TDBC-$AW29)*24)*60,0))&amp;" phút",IF(ROUND(((TDBC-$AW29)*24),0)&lt;24,ROUND(((TDBC-$AW29)*24),0)&amp;" giờ",INT(ROUND(((TDBC-$AW29)*24),0)/24)&amp;" ngày"&amp;IF(MOD(ROUND(((TDBC-$AW29)*24),0),24)&gt;0," "&amp;MOD(ROUND(((TDBC-$AW29)*24),0),24)&amp;" giờ","")))),IF($B29="Định kỳ",IF($AP29=NgayBC,"Hôm nay","Còn "&amp;($AP29-NgayBC)&amp;" ngày"),"Còn "&amp;IF((($AW29-TDBC)*24)&lt;1,MAX(1,ROUND((($AW29-TDBC)*24)*60,0))&amp;" phút",IF(ROUND((($AW29-TDBC)*24),0)&lt;24,ROUND((($AW29-TDBC)*24),0)&amp;" giờ",INT(ROUND((($AW29-TDBC)*24),0)/24)&amp;" ngày"&amp;IF(MOD(ROUND((($AW29-TDBC)*24),0),24)&gt;0," "&amp;MOD(ROUND((($AW29-TDBC)*24),0),24)&amp;" giờ",""))))))</f>
      </c>
      <c r="AA29" s="221">
        <f>IF($A29="","",IF(N($AM29)=0,"Chưa bắt đầu",IF(OR($AN29="Hoàn thành kỳ",$AN29="Hoàn thành"),IF($B29="Định kỳ","Chưa bắt đầu","Hoàn thành"),$AN29)))</f>
      </c>
      <c r="AB29" s="222">
        <f>IF($A29="","",IF($AA29="Hoàn thành",1,IF(OR(N($AM29)=0,$AN29="Hoàn thành kỳ",$AN29="Hoàn thành"),0,N(INDEX('Nhật ký tiến độ'!$D:$D,$AM29)))))</f>
      </c>
      <c r="AC29" s="222">
        <f>IF(OR($A29="",$B29&lt;&gt;"Đột xuất",$AA29="Hoàn thành",N($J29)=0,$AW29=0),"",IF(TDBC&lt;=$J29,0,IF(TDBC&gt;=$AW29,1,(TDBC-$J29)/($AW29-$J29))))</f>
      </c>
      <c r="AD29" s="223">
        <f>IF($A29="","",IF($AA29="Hoàn thành","Hoàn thành",IF($AW29=0,"Chưa đặt hạn",IF(TDBC&gt;$AW29,"Quá hạn",IF(AND($B29="Đột xuất",ROUND((N($AC29)-$AB29)*100,0)&gt;=20),"Chậm tiến độ",IF($AP29=NgayBC,"Đến hạn hôm nay",IF($B29="Đột xuất",IF($AW29-TDBC&lt;=1,"Sắp đến hạn","Đúng tiến độ"),IF($AP29-NgayBC&lt;=3,"Sắp đến hạn","Theo lịch"))))))))</f>
      </c>
      <c r="AE29" s="223">
        <f>IF($AV29="","",IF($B29="Định kỳ","Bình quân "&amp;IF($AV29&lt;1,MAX(1,ROUND($AV29*60,0))&amp;" phút",IF(ROUND($AV29,0)&lt;24,ROUND($AV29,0)&amp;" giờ",INT(ROUND($AV29,0)/24)&amp;" ngày"&amp;IF(MOD(ROUND($AV29,0),24)&gt;0," "&amp;MOD(ROUND($AV29,0),24)&amp;" giờ","")))&amp;" mỗi kỳ",IF($AV29&lt;1,MAX(1,ROUND($AV29*60,0))&amp;" phút",IF(ROUND($AV29,0)&lt;24,ROUND($AV29,0)&amp;" giờ",INT(ROUND($AV29,0)/24)&amp;" ngày"&amp;IF(MOD(ROUND($AV29,0),24)&gt;0," "&amp;MOD(ROUND($AV29,0),24)&amp;" giờ","")))))</f>
      </c>
      <c r="AF29" s="223">
        <f>IF(OR($A29="",N($AU29)=0),"",IF($AV29&lt;&gt;"",IF($AV29&lt;=$AU29,"Trong ước tính","Vượt "&amp;IF(($AV29-$AU29)&lt;1,MAX(1,ROUND(($AV29-$AU29)*60,0))&amp;" phút",IF(ROUND(($AV29-$AU29),0)&lt;24,ROUND(($AV29-$AU29),0)&amp;" giờ",INT(ROUND(($AV29-$AU29),0)/24)&amp;" ngày"&amp;IF(MOD(ROUND(($AV29-$AU29),0),24)&gt;0," "&amp;MOD(ROUND(($AV29-$AU29),0),24)&amp;" giờ","")))),IF(OR($B29&lt;&gt;"Đột xuất",$AA29="Hoàn thành",N($J29)=0),"",IF((TDBC-$J29)*24&gt;$AU29,"Đã vượt ước tính","Đã dùng "&amp;TEXT((TDBC-$J29)*24/$AU29,"0%")))))</f>
      </c>
      <c r="AG29" s="223">
        <f>IF(N($BB29)=0,"",CHOOSE($BB29,"Nhắc nhở","Cảnh báo","Báo động","Báo động đỏ"))</f>
      </c>
      <c r="AH29" s="223">
        <f>IF(OR($B29&lt;&gt;"Đột xuất",$AA29&lt;&gt;"Hoàn thành",N($X29)=0,$AW29=0),"",IF($X29&lt;=$AW29,"Đúng hạn","Trễ hạn"))</f>
      </c>
      <c r="AI29" s="220">
        <f>IF($A29="","",_xlfn.MAXIFS('Nhật ký tiến độ'!$B$6:$B$3005,'Nhật ký tiến độ'!$C$6:$C$3005,$A29))</f>
      </c>
      <c r="AJ29" s="225">
        <f>IF(OR($A29="",$B29&lt;&gt;"Định kỳ"),0,IFERROR(INDEX(DM_TanSuatNgay,MATCH($H29,DM_TanSuat,0)),0))</f>
      </c>
      <c r="AK29" s="225">
        <f>IF(OR($A29="",$B29&lt;&gt;"Định kỳ"),0,IFERROR(INDEX(DM_TanSuatThang,MATCH($H29,DM_TanSuat,0)),0))</f>
      </c>
      <c r="AL29" s="225">
        <f>IF(OR($A29="",$B29&lt;&gt;"Định kỳ",N($X29)=0,N($I29)=0),"",IF(INT($X29)&lt;$I29,0,IF($AJ29&gt;0,ROUND((INT($X29)-$I29)/$AJ29,0),IF($AK29&gt;0,ROUND((DATEDIF($I29,INT($X29),"m")+(INT($X29)-EDATE($I29,DATEDIF($I29,INT($X29),"m")))/(EDATE($I29,DATEDIF($I29,INT($X29),"m")+1)-EDATE($I29,DATEDIF($I29,INT($X29),"m"))))/$AK29,0),0))))</f>
      </c>
      <c r="AM29" s="225">
        <f>IF($A29="","",IF(COUNTIF('Nhật ký tiến độ'!$C$6:$C$3005,$A29)=0,0,_xlfn.MAXIFS('Nhật ký tiến độ'!$N$6:$N$3005,'Nhật ký tiến độ'!$C$6:$C$3005,$A29,'Nhật ký tiến độ'!$B$6:$B$3005,_xlfn.MAXIFS('Nhật ký tiến độ'!$B$6:$B$3005,'Nhật ký tiến độ'!$C$6:$C$3005,$A29))))</f>
      </c>
      <c r="AN29" s="225">
        <f>IF($A29="","",IF(N($AM29)=0,"",INDEX('Nhật ký tiến độ'!$E:$E,$AM29)))</f>
      </c>
      <c r="AO29" s="225">
        <f>IF($A29="",0,IF($AA29="Hoàn thành",0,1))</f>
      </c>
      <c r="AP29" s="225">
        <f>IF($AO29=0,0,INT(N($AW29)))</f>
      </c>
      <c r="AQ29" s="225">
        <f>IF(AND($AO29=1,$AJ29&gt;1),$AJ29,0)</f>
      </c>
      <c r="AR29" s="225">
        <f>IF(AND($AO29=1,$AJ29=1),1,0)</f>
      </c>
      <c r="AS29" s="225">
        <f>IF(OR($AO29=0,AND($AR29=1,N($BB29)=0)),"",IF(N($BB29)&gt;0,5-$BB29,IF($AD29="Chậm tiến độ",6,IF($AD29="Đến hạn hôm nay",7,IF(AND($AP29&gt;0,$AP29-NgayBC&lt;=7),8,"")))))</f>
      </c>
      <c r="AT29" s="225">
        <f>IF($AS29="","",$AS29*100000+$AP29+ROW()/100000)</f>
      </c>
      <c r="AU29" s="224">
        <f>IF(OR($A29="",N($R29)&lt;=0),"",IF($S29="Ngày",$R29*24,$R29))</f>
      </c>
      <c r="AV29" s="224">
        <f>IF($A29="","",IF($B29="Đột xuất",IF(OR($AA29&lt;&gt;"Hoàn thành",N($X29)=0,N($J29)=0),"",IF($X29&lt;$J29,"",($X29-$J29)*24)),IFERROR(AVERAGEIFS('Nhật ký tiến độ'!$H$6:$H$3005,'Nhật ký tiến độ'!$C$6:$C$3005,$A29,'Nhật ký tiến độ'!$H$6:$H$3005,"&gt;0"),"")))</f>
      </c>
      <c r="AW29" s="233">
        <f>IF($A29="",0,IF($B29="Đột xuất",$AY29,IF($AX29=0,0,$AX29+1-1/1440)))</f>
      </c>
      <c r="AX29" s="234">
        <f>IF(OR($A29="",$B29&lt;&gt;"Định kỳ",N($I29)=0),0,IF($AL29="",$I29,IF($AJ29&gt;0,$I29+($AL29+1)*$AJ29,IF($AK29&gt;0,EDATE($I29,($AL29+1)*$AK29),$I29))))</f>
      </c>
      <c r="AY29" s="233">
        <f>IF(OR($A29="",$B29&lt;&gt;"Đột xuất"),0,IF(N($K29)&gt;0,IF(MOD($K29,1)=0,$K29+1-1/1440,$K29),IF(N($J29)=0,0,$J29+IF(N($AU29)&gt;0,$AU29,IFERROR(INDEX(DM_SLA_Gio,MATCH($L29,DM_SLA_Cap,0)),168))/24)))</f>
      </c>
      <c r="AZ29" s="225">
        <f>IF(OR($A29="",TRIM($N29)="",COUNTIF('Phản ánh'!$K$6:$K$505,$N29)&gt;0,COUNTIF($N$6:$N29,$N29)&gt;1),0,1)</f>
      </c>
      <c r="BA29" s="225">
        <f>IF($AZ29=1,SUM($AZ$6:$AZ29),"")</f>
      </c>
      <c r="BB29" s="225">
        <f>IF(OR($AO29=0,N($AW29)=0),0,IF(TDBC&lt;=$AW29,0,MAX(1,MIN(4,IF((TDBC-$AW29)*24&lt;24,1,IF((TDBC-$AW29)*24&lt;72,2,IF((TDBC-$AW29)*24&lt;168,3,4)))+IF($B29="Đột xuất",IFERROR(INDEX({2,1,0,-1},MATCH($L29,{"Khẩn cấp","Cao","Trung bình","Thấp"},0)),0),IF($D29="PCCC và an ninh",1,0))))))</f>
      </c>
    </row>
    <row r="30">
      <c r="A30" s="216"/>
      <c r="B30" s="216"/>
      <c r="C30" s="218"/>
      <c r="D30" s="218"/>
      <c r="E30" s="218"/>
      <c r="F30" s="216"/>
      <c r="G30" s="218"/>
      <c r="H30" s="218"/>
      <c r="I30" s="231"/>
      <c r="J30" s="217"/>
      <c r="K30" s="217"/>
      <c r="L30" s="216"/>
      <c r="M30" s="216"/>
      <c r="N30" s="218"/>
      <c r="O30" s="218"/>
      <c r="P30" s="218"/>
      <c r="Q30" s="218"/>
      <c r="R30" s="219"/>
      <c r="S30" s="216"/>
      <c r="T30" s="232"/>
      <c r="U30" s="232"/>
      <c r="V30" s="218"/>
      <c r="W30" s="218"/>
      <c r="X30" s="220">
        <f>IF($A30="","",IF(OR($B30="Định kỳ",$AA30="Hoàn thành"),MAX(_xlfn.MAXIFS('Nhật ký tiến độ'!$B$6:$B$3005,'Nhật ký tiến độ'!$C$6:$C$3005,$A30,'Nhật ký tiến độ'!$E$6:$E$3005,"Hoàn thành kỳ"),_xlfn.MAXIFS('Nhật ký tiến độ'!$B$6:$B$3005,'Nhật ký tiến độ'!$C$6:$C$3005,$A30,'Nhật ký tiến độ'!$E$6:$E$3005,"Hoàn thành")),0))</f>
      </c>
      <c r="Y30" s="220">
        <f>IF($A30="","",IF($B30="Đột xuất",IF($AY30=0,"",$AY30),IF($AX30=0,"",$AX30)))</f>
      </c>
      <c r="Z30" s="223">
        <f>IF(OR($AO30=0,$AW30=0),"",IF(TDBC&gt;$AW30,"Quá "&amp;IF($B30="Định kỳ",(NgayBC-$AP30)&amp;" ngày",IF(((TDBC-$AW30)*24)&lt;1,MAX(1,ROUND(((TDBC-$AW30)*24)*60,0))&amp;" phút",IF(ROUND(((TDBC-$AW30)*24),0)&lt;24,ROUND(((TDBC-$AW30)*24),0)&amp;" giờ",INT(ROUND(((TDBC-$AW30)*24),0)/24)&amp;" ngày"&amp;IF(MOD(ROUND(((TDBC-$AW30)*24),0),24)&gt;0," "&amp;MOD(ROUND(((TDBC-$AW30)*24),0),24)&amp;" giờ","")))),IF($B30="Định kỳ",IF($AP30=NgayBC,"Hôm nay","Còn "&amp;($AP30-NgayBC)&amp;" ngày"),"Còn "&amp;IF((($AW30-TDBC)*24)&lt;1,MAX(1,ROUND((($AW30-TDBC)*24)*60,0))&amp;" phút",IF(ROUND((($AW30-TDBC)*24),0)&lt;24,ROUND((($AW30-TDBC)*24),0)&amp;" giờ",INT(ROUND((($AW30-TDBC)*24),0)/24)&amp;" ngày"&amp;IF(MOD(ROUND((($AW30-TDBC)*24),0),24)&gt;0," "&amp;MOD(ROUND((($AW30-TDBC)*24),0),24)&amp;" giờ",""))))))</f>
      </c>
      <c r="AA30" s="221">
        <f>IF($A30="","",IF(N($AM30)=0,"Chưa bắt đầu",IF(OR($AN30="Hoàn thành kỳ",$AN30="Hoàn thành"),IF($B30="Định kỳ","Chưa bắt đầu","Hoàn thành"),$AN30)))</f>
      </c>
      <c r="AB30" s="222">
        <f>IF($A30="","",IF($AA30="Hoàn thành",1,IF(OR(N($AM30)=0,$AN30="Hoàn thành kỳ",$AN30="Hoàn thành"),0,N(INDEX('Nhật ký tiến độ'!$D:$D,$AM30)))))</f>
      </c>
      <c r="AC30" s="222">
        <f>IF(OR($A30="",$B30&lt;&gt;"Đột xuất",$AA30="Hoàn thành",N($J30)=0,$AW30=0),"",IF(TDBC&lt;=$J30,0,IF(TDBC&gt;=$AW30,1,(TDBC-$J30)/($AW30-$J30))))</f>
      </c>
      <c r="AD30" s="223">
        <f>IF($A30="","",IF($AA30="Hoàn thành","Hoàn thành",IF($AW30=0,"Chưa đặt hạn",IF(TDBC&gt;$AW30,"Quá hạn",IF(AND($B30="Đột xuất",ROUND((N($AC30)-$AB30)*100,0)&gt;=20),"Chậm tiến độ",IF($AP30=NgayBC,"Đến hạn hôm nay",IF($B30="Đột xuất",IF($AW30-TDBC&lt;=1,"Sắp đến hạn","Đúng tiến độ"),IF($AP30-NgayBC&lt;=3,"Sắp đến hạn","Theo lịch"))))))))</f>
      </c>
      <c r="AE30" s="223">
        <f>IF($AV30="","",IF($B30="Định kỳ","Bình quân "&amp;IF($AV30&lt;1,MAX(1,ROUND($AV30*60,0))&amp;" phút",IF(ROUND($AV30,0)&lt;24,ROUND($AV30,0)&amp;" giờ",INT(ROUND($AV30,0)/24)&amp;" ngày"&amp;IF(MOD(ROUND($AV30,0),24)&gt;0," "&amp;MOD(ROUND($AV30,0),24)&amp;" giờ","")))&amp;" mỗi kỳ",IF($AV30&lt;1,MAX(1,ROUND($AV30*60,0))&amp;" phút",IF(ROUND($AV30,0)&lt;24,ROUND($AV30,0)&amp;" giờ",INT(ROUND($AV30,0)/24)&amp;" ngày"&amp;IF(MOD(ROUND($AV30,0),24)&gt;0," "&amp;MOD(ROUND($AV30,0),24)&amp;" giờ","")))))</f>
      </c>
      <c r="AF30" s="223">
        <f>IF(OR($A30="",N($AU30)=0),"",IF($AV30&lt;&gt;"",IF($AV30&lt;=$AU30,"Trong ước tính","Vượt "&amp;IF(($AV30-$AU30)&lt;1,MAX(1,ROUND(($AV30-$AU30)*60,0))&amp;" phút",IF(ROUND(($AV30-$AU30),0)&lt;24,ROUND(($AV30-$AU30),0)&amp;" giờ",INT(ROUND(($AV30-$AU30),0)/24)&amp;" ngày"&amp;IF(MOD(ROUND(($AV30-$AU30),0),24)&gt;0," "&amp;MOD(ROUND(($AV30-$AU30),0),24)&amp;" giờ","")))),IF(OR($B30&lt;&gt;"Đột xuất",$AA30="Hoàn thành",N($J30)=0),"",IF((TDBC-$J30)*24&gt;$AU30,"Đã vượt ước tính","Đã dùng "&amp;TEXT((TDBC-$J30)*24/$AU30,"0%")))))</f>
      </c>
      <c r="AG30" s="223">
        <f>IF(N($BB30)=0,"",CHOOSE($BB30,"Nhắc nhở","Cảnh báo","Báo động","Báo động đỏ"))</f>
      </c>
      <c r="AH30" s="223">
        <f>IF(OR($B30&lt;&gt;"Đột xuất",$AA30&lt;&gt;"Hoàn thành",N($X30)=0,$AW30=0),"",IF($X30&lt;=$AW30,"Đúng hạn","Trễ hạn"))</f>
      </c>
      <c r="AI30" s="220">
        <f>IF($A30="","",_xlfn.MAXIFS('Nhật ký tiến độ'!$B$6:$B$3005,'Nhật ký tiến độ'!$C$6:$C$3005,$A30))</f>
      </c>
      <c r="AJ30" s="225">
        <f>IF(OR($A30="",$B30&lt;&gt;"Định kỳ"),0,IFERROR(INDEX(DM_TanSuatNgay,MATCH($H30,DM_TanSuat,0)),0))</f>
      </c>
      <c r="AK30" s="225">
        <f>IF(OR($A30="",$B30&lt;&gt;"Định kỳ"),0,IFERROR(INDEX(DM_TanSuatThang,MATCH($H30,DM_TanSuat,0)),0))</f>
      </c>
      <c r="AL30" s="225">
        <f>IF(OR($A30="",$B30&lt;&gt;"Định kỳ",N($X30)=0,N($I30)=0),"",IF(INT($X30)&lt;$I30,0,IF($AJ30&gt;0,ROUND((INT($X30)-$I30)/$AJ30,0),IF($AK30&gt;0,ROUND((DATEDIF($I30,INT($X30),"m")+(INT($X30)-EDATE($I30,DATEDIF($I30,INT($X30),"m")))/(EDATE($I30,DATEDIF($I30,INT($X30),"m")+1)-EDATE($I30,DATEDIF($I30,INT($X30),"m"))))/$AK30,0),0))))</f>
      </c>
      <c r="AM30" s="225">
        <f>IF($A30="","",IF(COUNTIF('Nhật ký tiến độ'!$C$6:$C$3005,$A30)=0,0,_xlfn.MAXIFS('Nhật ký tiến độ'!$N$6:$N$3005,'Nhật ký tiến độ'!$C$6:$C$3005,$A30,'Nhật ký tiến độ'!$B$6:$B$3005,_xlfn.MAXIFS('Nhật ký tiến độ'!$B$6:$B$3005,'Nhật ký tiến độ'!$C$6:$C$3005,$A30))))</f>
      </c>
      <c r="AN30" s="225">
        <f>IF($A30="","",IF(N($AM30)=0,"",INDEX('Nhật ký tiến độ'!$E:$E,$AM30)))</f>
      </c>
      <c r="AO30" s="225">
        <f>IF($A30="",0,IF($AA30="Hoàn thành",0,1))</f>
      </c>
      <c r="AP30" s="225">
        <f>IF($AO30=0,0,INT(N($AW30)))</f>
      </c>
      <c r="AQ30" s="225">
        <f>IF(AND($AO30=1,$AJ30&gt;1),$AJ30,0)</f>
      </c>
      <c r="AR30" s="225">
        <f>IF(AND($AO30=1,$AJ30=1),1,0)</f>
      </c>
      <c r="AS30" s="225">
        <f>IF(OR($AO30=0,AND($AR30=1,N($BB30)=0)),"",IF(N($BB30)&gt;0,5-$BB30,IF($AD30="Chậm tiến độ",6,IF($AD30="Đến hạn hôm nay",7,IF(AND($AP30&gt;0,$AP30-NgayBC&lt;=7),8,"")))))</f>
      </c>
      <c r="AT30" s="225">
        <f>IF($AS30="","",$AS30*100000+$AP30+ROW()/100000)</f>
      </c>
      <c r="AU30" s="224">
        <f>IF(OR($A30="",N($R30)&lt;=0),"",IF($S30="Ngày",$R30*24,$R30))</f>
      </c>
      <c r="AV30" s="224">
        <f>IF($A30="","",IF($B30="Đột xuất",IF(OR($AA30&lt;&gt;"Hoàn thành",N($X30)=0,N($J30)=0),"",IF($X30&lt;$J30,"",($X30-$J30)*24)),IFERROR(AVERAGEIFS('Nhật ký tiến độ'!$H$6:$H$3005,'Nhật ký tiến độ'!$C$6:$C$3005,$A30,'Nhật ký tiến độ'!$H$6:$H$3005,"&gt;0"),"")))</f>
      </c>
      <c r="AW30" s="233">
        <f>IF($A30="",0,IF($B30="Đột xuất",$AY30,IF($AX30=0,0,$AX30+1-1/1440)))</f>
      </c>
      <c r="AX30" s="234">
        <f>IF(OR($A30="",$B30&lt;&gt;"Định kỳ",N($I30)=0),0,IF($AL30="",$I30,IF($AJ30&gt;0,$I30+($AL30+1)*$AJ30,IF($AK30&gt;0,EDATE($I30,($AL30+1)*$AK30),$I30))))</f>
      </c>
      <c r="AY30" s="233">
        <f>IF(OR($A30="",$B30&lt;&gt;"Đột xuất"),0,IF(N($K30)&gt;0,IF(MOD($K30,1)=0,$K30+1-1/1440,$K30),IF(N($J30)=0,0,$J30+IF(N($AU30)&gt;0,$AU30,IFERROR(INDEX(DM_SLA_Gio,MATCH($L30,DM_SLA_Cap,0)),168))/24)))</f>
      </c>
      <c r="AZ30" s="225">
        <f>IF(OR($A30="",TRIM($N30)="",COUNTIF('Phản ánh'!$K$6:$K$505,$N30)&gt;0,COUNTIF($N$6:$N30,$N30)&gt;1),0,1)</f>
      </c>
      <c r="BA30" s="225">
        <f>IF($AZ30=1,SUM($AZ$6:$AZ30),"")</f>
      </c>
      <c r="BB30" s="225">
        <f>IF(OR($AO30=0,N($AW30)=0),0,IF(TDBC&lt;=$AW30,0,MAX(1,MIN(4,IF((TDBC-$AW30)*24&lt;24,1,IF((TDBC-$AW30)*24&lt;72,2,IF((TDBC-$AW30)*24&lt;168,3,4)))+IF($B30="Đột xuất",IFERROR(INDEX({2,1,0,-1},MATCH($L30,{"Khẩn cấp","Cao","Trung bình","Thấp"},0)),0),IF($D30="PCCC và an ninh",1,0))))))</f>
      </c>
    </row>
    <row r="31">
      <c r="A31" s="216"/>
      <c r="B31" s="216"/>
      <c r="C31" s="218"/>
      <c r="D31" s="218"/>
      <c r="E31" s="218"/>
      <c r="F31" s="216"/>
      <c r="G31" s="218"/>
      <c r="H31" s="218"/>
      <c r="I31" s="231"/>
      <c r="J31" s="217"/>
      <c r="K31" s="217"/>
      <c r="L31" s="216"/>
      <c r="M31" s="216"/>
      <c r="N31" s="218"/>
      <c r="O31" s="218"/>
      <c r="P31" s="218"/>
      <c r="Q31" s="218"/>
      <c r="R31" s="219"/>
      <c r="S31" s="216"/>
      <c r="T31" s="232"/>
      <c r="U31" s="232"/>
      <c r="V31" s="218"/>
      <c r="W31" s="218"/>
      <c r="X31" s="220">
        <f>IF($A31="","",IF(OR($B31="Định kỳ",$AA31="Hoàn thành"),MAX(_xlfn.MAXIFS('Nhật ký tiến độ'!$B$6:$B$3005,'Nhật ký tiến độ'!$C$6:$C$3005,$A31,'Nhật ký tiến độ'!$E$6:$E$3005,"Hoàn thành kỳ"),_xlfn.MAXIFS('Nhật ký tiến độ'!$B$6:$B$3005,'Nhật ký tiến độ'!$C$6:$C$3005,$A31,'Nhật ký tiến độ'!$E$6:$E$3005,"Hoàn thành")),0))</f>
      </c>
      <c r="Y31" s="220">
        <f>IF($A31="","",IF($B31="Đột xuất",IF($AY31=0,"",$AY31),IF($AX31=0,"",$AX31)))</f>
      </c>
      <c r="Z31" s="223">
        <f>IF(OR($AO31=0,$AW31=0),"",IF(TDBC&gt;$AW31,"Quá "&amp;IF($B31="Định kỳ",(NgayBC-$AP31)&amp;" ngày",IF(((TDBC-$AW31)*24)&lt;1,MAX(1,ROUND(((TDBC-$AW31)*24)*60,0))&amp;" phút",IF(ROUND(((TDBC-$AW31)*24),0)&lt;24,ROUND(((TDBC-$AW31)*24),0)&amp;" giờ",INT(ROUND(((TDBC-$AW31)*24),0)/24)&amp;" ngày"&amp;IF(MOD(ROUND(((TDBC-$AW31)*24),0),24)&gt;0," "&amp;MOD(ROUND(((TDBC-$AW31)*24),0),24)&amp;" giờ","")))),IF($B31="Định kỳ",IF($AP31=NgayBC,"Hôm nay","Còn "&amp;($AP31-NgayBC)&amp;" ngày"),"Còn "&amp;IF((($AW31-TDBC)*24)&lt;1,MAX(1,ROUND((($AW31-TDBC)*24)*60,0))&amp;" phút",IF(ROUND((($AW31-TDBC)*24),0)&lt;24,ROUND((($AW31-TDBC)*24),0)&amp;" giờ",INT(ROUND((($AW31-TDBC)*24),0)/24)&amp;" ngày"&amp;IF(MOD(ROUND((($AW31-TDBC)*24),0),24)&gt;0," "&amp;MOD(ROUND((($AW31-TDBC)*24),0),24)&amp;" giờ",""))))))</f>
      </c>
      <c r="AA31" s="221">
        <f>IF($A31="","",IF(N($AM31)=0,"Chưa bắt đầu",IF(OR($AN31="Hoàn thành kỳ",$AN31="Hoàn thành"),IF($B31="Định kỳ","Chưa bắt đầu","Hoàn thành"),$AN31)))</f>
      </c>
      <c r="AB31" s="222">
        <f>IF($A31="","",IF($AA31="Hoàn thành",1,IF(OR(N($AM31)=0,$AN31="Hoàn thành kỳ",$AN31="Hoàn thành"),0,N(INDEX('Nhật ký tiến độ'!$D:$D,$AM31)))))</f>
      </c>
      <c r="AC31" s="222">
        <f>IF(OR($A31="",$B31&lt;&gt;"Đột xuất",$AA31="Hoàn thành",N($J31)=0,$AW31=0),"",IF(TDBC&lt;=$J31,0,IF(TDBC&gt;=$AW31,1,(TDBC-$J31)/($AW31-$J31))))</f>
      </c>
      <c r="AD31" s="223">
        <f>IF($A31="","",IF($AA31="Hoàn thành","Hoàn thành",IF($AW31=0,"Chưa đặt hạn",IF(TDBC&gt;$AW31,"Quá hạn",IF(AND($B31="Đột xuất",ROUND((N($AC31)-$AB31)*100,0)&gt;=20),"Chậm tiến độ",IF($AP31=NgayBC,"Đến hạn hôm nay",IF($B31="Đột xuất",IF($AW31-TDBC&lt;=1,"Sắp đến hạn","Đúng tiến độ"),IF($AP31-NgayBC&lt;=3,"Sắp đến hạn","Theo lịch"))))))))</f>
      </c>
      <c r="AE31" s="223">
        <f>IF($AV31="","",IF($B31="Định kỳ","Bình quân "&amp;IF($AV31&lt;1,MAX(1,ROUND($AV31*60,0))&amp;" phút",IF(ROUND($AV31,0)&lt;24,ROUND($AV31,0)&amp;" giờ",INT(ROUND($AV31,0)/24)&amp;" ngày"&amp;IF(MOD(ROUND($AV31,0),24)&gt;0," "&amp;MOD(ROUND($AV31,0),24)&amp;" giờ","")))&amp;" mỗi kỳ",IF($AV31&lt;1,MAX(1,ROUND($AV31*60,0))&amp;" phút",IF(ROUND($AV31,0)&lt;24,ROUND($AV31,0)&amp;" giờ",INT(ROUND($AV31,0)/24)&amp;" ngày"&amp;IF(MOD(ROUND($AV31,0),24)&gt;0," "&amp;MOD(ROUND($AV31,0),24)&amp;" giờ","")))))</f>
      </c>
      <c r="AF31" s="223">
        <f>IF(OR($A31="",N($AU31)=0),"",IF($AV31&lt;&gt;"",IF($AV31&lt;=$AU31,"Trong ước tính","Vượt "&amp;IF(($AV31-$AU31)&lt;1,MAX(1,ROUND(($AV31-$AU31)*60,0))&amp;" phút",IF(ROUND(($AV31-$AU31),0)&lt;24,ROUND(($AV31-$AU31),0)&amp;" giờ",INT(ROUND(($AV31-$AU31),0)/24)&amp;" ngày"&amp;IF(MOD(ROUND(($AV31-$AU31),0),24)&gt;0," "&amp;MOD(ROUND(($AV31-$AU31),0),24)&amp;" giờ","")))),IF(OR($B31&lt;&gt;"Đột xuất",$AA31="Hoàn thành",N($J31)=0),"",IF((TDBC-$J31)*24&gt;$AU31,"Đã vượt ước tính","Đã dùng "&amp;TEXT((TDBC-$J31)*24/$AU31,"0%")))))</f>
      </c>
      <c r="AG31" s="223">
        <f>IF(N($BB31)=0,"",CHOOSE($BB31,"Nhắc nhở","Cảnh báo","Báo động","Báo động đỏ"))</f>
      </c>
      <c r="AH31" s="223">
        <f>IF(OR($B31&lt;&gt;"Đột xuất",$AA31&lt;&gt;"Hoàn thành",N($X31)=0,$AW31=0),"",IF($X31&lt;=$AW31,"Đúng hạn","Trễ hạn"))</f>
      </c>
      <c r="AI31" s="220">
        <f>IF($A31="","",_xlfn.MAXIFS('Nhật ký tiến độ'!$B$6:$B$3005,'Nhật ký tiến độ'!$C$6:$C$3005,$A31))</f>
      </c>
      <c r="AJ31" s="225">
        <f>IF(OR($A31="",$B31&lt;&gt;"Định kỳ"),0,IFERROR(INDEX(DM_TanSuatNgay,MATCH($H31,DM_TanSuat,0)),0))</f>
      </c>
      <c r="AK31" s="225">
        <f>IF(OR($A31="",$B31&lt;&gt;"Định kỳ"),0,IFERROR(INDEX(DM_TanSuatThang,MATCH($H31,DM_TanSuat,0)),0))</f>
      </c>
      <c r="AL31" s="225">
        <f>IF(OR($A31="",$B31&lt;&gt;"Định kỳ",N($X31)=0,N($I31)=0),"",IF(INT($X31)&lt;$I31,0,IF($AJ31&gt;0,ROUND((INT($X31)-$I31)/$AJ31,0),IF($AK31&gt;0,ROUND((DATEDIF($I31,INT($X31),"m")+(INT($X31)-EDATE($I31,DATEDIF($I31,INT($X31),"m")))/(EDATE($I31,DATEDIF($I31,INT($X31),"m")+1)-EDATE($I31,DATEDIF($I31,INT($X31),"m"))))/$AK31,0),0))))</f>
      </c>
      <c r="AM31" s="225">
        <f>IF($A31="","",IF(COUNTIF('Nhật ký tiến độ'!$C$6:$C$3005,$A31)=0,0,_xlfn.MAXIFS('Nhật ký tiến độ'!$N$6:$N$3005,'Nhật ký tiến độ'!$C$6:$C$3005,$A31,'Nhật ký tiến độ'!$B$6:$B$3005,_xlfn.MAXIFS('Nhật ký tiến độ'!$B$6:$B$3005,'Nhật ký tiến độ'!$C$6:$C$3005,$A31))))</f>
      </c>
      <c r="AN31" s="225">
        <f>IF($A31="","",IF(N($AM31)=0,"",INDEX('Nhật ký tiến độ'!$E:$E,$AM31)))</f>
      </c>
      <c r="AO31" s="225">
        <f>IF($A31="",0,IF($AA31="Hoàn thành",0,1))</f>
      </c>
      <c r="AP31" s="225">
        <f>IF($AO31=0,0,INT(N($AW31)))</f>
      </c>
      <c r="AQ31" s="225">
        <f>IF(AND($AO31=1,$AJ31&gt;1),$AJ31,0)</f>
      </c>
      <c r="AR31" s="225">
        <f>IF(AND($AO31=1,$AJ31=1),1,0)</f>
      </c>
      <c r="AS31" s="225">
        <f>IF(OR($AO31=0,AND($AR31=1,N($BB31)=0)),"",IF(N($BB31)&gt;0,5-$BB31,IF($AD31="Chậm tiến độ",6,IF($AD31="Đến hạn hôm nay",7,IF(AND($AP31&gt;0,$AP31-NgayBC&lt;=7),8,"")))))</f>
      </c>
      <c r="AT31" s="225">
        <f>IF($AS31="","",$AS31*100000+$AP31+ROW()/100000)</f>
      </c>
      <c r="AU31" s="224">
        <f>IF(OR($A31="",N($R31)&lt;=0),"",IF($S31="Ngày",$R31*24,$R31))</f>
      </c>
      <c r="AV31" s="224">
        <f>IF($A31="","",IF($B31="Đột xuất",IF(OR($AA31&lt;&gt;"Hoàn thành",N($X31)=0,N($J31)=0),"",IF($X31&lt;$J31,"",($X31-$J31)*24)),IFERROR(AVERAGEIFS('Nhật ký tiến độ'!$H$6:$H$3005,'Nhật ký tiến độ'!$C$6:$C$3005,$A31,'Nhật ký tiến độ'!$H$6:$H$3005,"&gt;0"),"")))</f>
      </c>
      <c r="AW31" s="233">
        <f>IF($A31="",0,IF($B31="Đột xuất",$AY31,IF($AX31=0,0,$AX31+1-1/1440)))</f>
      </c>
      <c r="AX31" s="234">
        <f>IF(OR($A31="",$B31&lt;&gt;"Định kỳ",N($I31)=0),0,IF($AL31="",$I31,IF($AJ31&gt;0,$I31+($AL31+1)*$AJ31,IF($AK31&gt;0,EDATE($I31,($AL31+1)*$AK31),$I31))))</f>
      </c>
      <c r="AY31" s="233">
        <f>IF(OR($A31="",$B31&lt;&gt;"Đột xuất"),0,IF(N($K31)&gt;0,IF(MOD($K31,1)=0,$K31+1-1/1440,$K31),IF(N($J31)=0,0,$J31+IF(N($AU31)&gt;0,$AU31,IFERROR(INDEX(DM_SLA_Gio,MATCH($L31,DM_SLA_Cap,0)),168))/24)))</f>
      </c>
      <c r="AZ31" s="225">
        <f>IF(OR($A31="",TRIM($N31)="",COUNTIF('Phản ánh'!$K$6:$K$505,$N31)&gt;0,COUNTIF($N$6:$N31,$N31)&gt;1),0,1)</f>
      </c>
      <c r="BA31" s="225">
        <f>IF($AZ31=1,SUM($AZ$6:$AZ31),"")</f>
      </c>
      <c r="BB31" s="225">
        <f>IF(OR($AO31=0,N($AW31)=0),0,IF(TDBC&lt;=$AW31,0,MAX(1,MIN(4,IF((TDBC-$AW31)*24&lt;24,1,IF((TDBC-$AW31)*24&lt;72,2,IF((TDBC-$AW31)*24&lt;168,3,4)))+IF($B31="Đột xuất",IFERROR(INDEX({2,1,0,-1},MATCH($L31,{"Khẩn cấp","Cao","Trung bình","Thấp"},0)),0),IF($D31="PCCC và an ninh",1,0))))))</f>
      </c>
    </row>
    <row r="32">
      <c r="A32" s="216"/>
      <c r="B32" s="216"/>
      <c r="C32" s="218"/>
      <c r="D32" s="218"/>
      <c r="E32" s="218"/>
      <c r="F32" s="216"/>
      <c r="G32" s="218"/>
      <c r="H32" s="218"/>
      <c r="I32" s="231"/>
      <c r="J32" s="217"/>
      <c r="K32" s="217"/>
      <c r="L32" s="216"/>
      <c r="M32" s="216"/>
      <c r="N32" s="218"/>
      <c r="O32" s="218"/>
      <c r="P32" s="218"/>
      <c r="Q32" s="218"/>
      <c r="R32" s="219"/>
      <c r="S32" s="216"/>
      <c r="T32" s="232"/>
      <c r="U32" s="232"/>
      <c r="V32" s="218"/>
      <c r="W32" s="218"/>
      <c r="X32" s="220">
        <f>IF($A32="","",IF(OR($B32="Định kỳ",$AA32="Hoàn thành"),MAX(_xlfn.MAXIFS('Nhật ký tiến độ'!$B$6:$B$3005,'Nhật ký tiến độ'!$C$6:$C$3005,$A32,'Nhật ký tiến độ'!$E$6:$E$3005,"Hoàn thành kỳ"),_xlfn.MAXIFS('Nhật ký tiến độ'!$B$6:$B$3005,'Nhật ký tiến độ'!$C$6:$C$3005,$A32,'Nhật ký tiến độ'!$E$6:$E$3005,"Hoàn thành")),0))</f>
      </c>
      <c r="Y32" s="220">
        <f>IF($A32="","",IF($B32="Đột xuất",IF($AY32=0,"",$AY32),IF($AX32=0,"",$AX32)))</f>
      </c>
      <c r="Z32" s="223">
        <f>IF(OR($AO32=0,$AW32=0),"",IF(TDBC&gt;$AW32,"Quá "&amp;IF($B32="Định kỳ",(NgayBC-$AP32)&amp;" ngày",IF(((TDBC-$AW32)*24)&lt;1,MAX(1,ROUND(((TDBC-$AW32)*24)*60,0))&amp;" phút",IF(ROUND(((TDBC-$AW32)*24),0)&lt;24,ROUND(((TDBC-$AW32)*24),0)&amp;" giờ",INT(ROUND(((TDBC-$AW32)*24),0)/24)&amp;" ngày"&amp;IF(MOD(ROUND(((TDBC-$AW32)*24),0),24)&gt;0," "&amp;MOD(ROUND(((TDBC-$AW32)*24),0),24)&amp;" giờ","")))),IF($B32="Định kỳ",IF($AP32=NgayBC,"Hôm nay","Còn "&amp;($AP32-NgayBC)&amp;" ngày"),"Còn "&amp;IF((($AW32-TDBC)*24)&lt;1,MAX(1,ROUND((($AW32-TDBC)*24)*60,0))&amp;" phút",IF(ROUND((($AW32-TDBC)*24),0)&lt;24,ROUND((($AW32-TDBC)*24),0)&amp;" giờ",INT(ROUND((($AW32-TDBC)*24),0)/24)&amp;" ngày"&amp;IF(MOD(ROUND((($AW32-TDBC)*24),0),24)&gt;0," "&amp;MOD(ROUND((($AW32-TDBC)*24),0),24)&amp;" giờ",""))))))</f>
      </c>
      <c r="AA32" s="221">
        <f>IF($A32="","",IF(N($AM32)=0,"Chưa bắt đầu",IF(OR($AN32="Hoàn thành kỳ",$AN32="Hoàn thành"),IF($B32="Định kỳ","Chưa bắt đầu","Hoàn thành"),$AN32)))</f>
      </c>
      <c r="AB32" s="222">
        <f>IF($A32="","",IF($AA32="Hoàn thành",1,IF(OR(N($AM32)=0,$AN32="Hoàn thành kỳ",$AN32="Hoàn thành"),0,N(INDEX('Nhật ký tiến độ'!$D:$D,$AM32)))))</f>
      </c>
      <c r="AC32" s="222">
        <f>IF(OR($A32="",$B32&lt;&gt;"Đột xuất",$AA32="Hoàn thành",N($J32)=0,$AW32=0),"",IF(TDBC&lt;=$J32,0,IF(TDBC&gt;=$AW32,1,(TDBC-$J32)/($AW32-$J32))))</f>
      </c>
      <c r="AD32" s="223">
        <f>IF($A32="","",IF($AA32="Hoàn thành","Hoàn thành",IF($AW32=0,"Chưa đặt hạn",IF(TDBC&gt;$AW32,"Quá hạn",IF(AND($B32="Đột xuất",ROUND((N($AC32)-$AB32)*100,0)&gt;=20),"Chậm tiến độ",IF($AP32=NgayBC,"Đến hạn hôm nay",IF($B32="Đột xuất",IF($AW32-TDBC&lt;=1,"Sắp đến hạn","Đúng tiến độ"),IF($AP32-NgayBC&lt;=3,"Sắp đến hạn","Theo lịch"))))))))</f>
      </c>
      <c r="AE32" s="223">
        <f>IF($AV32="","",IF($B32="Định kỳ","Bình quân "&amp;IF($AV32&lt;1,MAX(1,ROUND($AV32*60,0))&amp;" phút",IF(ROUND($AV32,0)&lt;24,ROUND($AV32,0)&amp;" giờ",INT(ROUND($AV32,0)/24)&amp;" ngày"&amp;IF(MOD(ROUND($AV32,0),24)&gt;0," "&amp;MOD(ROUND($AV32,0),24)&amp;" giờ","")))&amp;" mỗi kỳ",IF($AV32&lt;1,MAX(1,ROUND($AV32*60,0))&amp;" phút",IF(ROUND($AV32,0)&lt;24,ROUND($AV32,0)&amp;" giờ",INT(ROUND($AV32,0)/24)&amp;" ngày"&amp;IF(MOD(ROUND($AV32,0),24)&gt;0," "&amp;MOD(ROUND($AV32,0),24)&amp;" giờ","")))))</f>
      </c>
      <c r="AF32" s="223">
        <f>IF(OR($A32="",N($AU32)=0),"",IF($AV32&lt;&gt;"",IF($AV32&lt;=$AU32,"Trong ước tính","Vượt "&amp;IF(($AV32-$AU32)&lt;1,MAX(1,ROUND(($AV32-$AU32)*60,0))&amp;" phút",IF(ROUND(($AV32-$AU32),0)&lt;24,ROUND(($AV32-$AU32),0)&amp;" giờ",INT(ROUND(($AV32-$AU32),0)/24)&amp;" ngày"&amp;IF(MOD(ROUND(($AV32-$AU32),0),24)&gt;0," "&amp;MOD(ROUND(($AV32-$AU32),0),24)&amp;" giờ","")))),IF(OR($B32&lt;&gt;"Đột xuất",$AA32="Hoàn thành",N($J32)=0),"",IF((TDBC-$J32)*24&gt;$AU32,"Đã vượt ước tính","Đã dùng "&amp;TEXT((TDBC-$J32)*24/$AU32,"0%")))))</f>
      </c>
      <c r="AG32" s="223">
        <f>IF(N($BB32)=0,"",CHOOSE($BB32,"Nhắc nhở","Cảnh báo","Báo động","Báo động đỏ"))</f>
      </c>
      <c r="AH32" s="223">
        <f>IF(OR($B32&lt;&gt;"Đột xuất",$AA32&lt;&gt;"Hoàn thành",N($X32)=0,$AW32=0),"",IF($X32&lt;=$AW32,"Đúng hạn","Trễ hạn"))</f>
      </c>
      <c r="AI32" s="220">
        <f>IF($A32="","",_xlfn.MAXIFS('Nhật ký tiến độ'!$B$6:$B$3005,'Nhật ký tiến độ'!$C$6:$C$3005,$A32))</f>
      </c>
      <c r="AJ32" s="225">
        <f>IF(OR($A32="",$B32&lt;&gt;"Định kỳ"),0,IFERROR(INDEX(DM_TanSuatNgay,MATCH($H32,DM_TanSuat,0)),0))</f>
      </c>
      <c r="AK32" s="225">
        <f>IF(OR($A32="",$B32&lt;&gt;"Định kỳ"),0,IFERROR(INDEX(DM_TanSuatThang,MATCH($H32,DM_TanSuat,0)),0))</f>
      </c>
      <c r="AL32" s="225">
        <f>IF(OR($A32="",$B32&lt;&gt;"Định kỳ",N($X32)=0,N($I32)=0),"",IF(INT($X32)&lt;$I32,0,IF($AJ32&gt;0,ROUND((INT($X32)-$I32)/$AJ32,0),IF($AK32&gt;0,ROUND((DATEDIF($I32,INT($X32),"m")+(INT($X32)-EDATE($I32,DATEDIF($I32,INT($X32),"m")))/(EDATE($I32,DATEDIF($I32,INT($X32),"m")+1)-EDATE($I32,DATEDIF($I32,INT($X32),"m"))))/$AK32,0),0))))</f>
      </c>
      <c r="AM32" s="225">
        <f>IF($A32="","",IF(COUNTIF('Nhật ký tiến độ'!$C$6:$C$3005,$A32)=0,0,_xlfn.MAXIFS('Nhật ký tiến độ'!$N$6:$N$3005,'Nhật ký tiến độ'!$C$6:$C$3005,$A32,'Nhật ký tiến độ'!$B$6:$B$3005,_xlfn.MAXIFS('Nhật ký tiến độ'!$B$6:$B$3005,'Nhật ký tiến độ'!$C$6:$C$3005,$A32))))</f>
      </c>
      <c r="AN32" s="225">
        <f>IF($A32="","",IF(N($AM32)=0,"",INDEX('Nhật ký tiến độ'!$E:$E,$AM32)))</f>
      </c>
      <c r="AO32" s="225">
        <f>IF($A32="",0,IF($AA32="Hoàn thành",0,1))</f>
      </c>
      <c r="AP32" s="225">
        <f>IF($AO32=0,0,INT(N($AW32)))</f>
      </c>
      <c r="AQ32" s="225">
        <f>IF(AND($AO32=1,$AJ32&gt;1),$AJ32,0)</f>
      </c>
      <c r="AR32" s="225">
        <f>IF(AND($AO32=1,$AJ32=1),1,0)</f>
      </c>
      <c r="AS32" s="225">
        <f>IF(OR($AO32=0,AND($AR32=1,N($BB32)=0)),"",IF(N($BB32)&gt;0,5-$BB32,IF($AD32="Chậm tiến độ",6,IF($AD32="Đến hạn hôm nay",7,IF(AND($AP32&gt;0,$AP32-NgayBC&lt;=7),8,"")))))</f>
      </c>
      <c r="AT32" s="225">
        <f>IF($AS32="","",$AS32*100000+$AP32+ROW()/100000)</f>
      </c>
      <c r="AU32" s="224">
        <f>IF(OR($A32="",N($R32)&lt;=0),"",IF($S32="Ngày",$R32*24,$R32))</f>
      </c>
      <c r="AV32" s="224">
        <f>IF($A32="","",IF($B32="Đột xuất",IF(OR($AA32&lt;&gt;"Hoàn thành",N($X32)=0,N($J32)=0),"",IF($X32&lt;$J32,"",($X32-$J32)*24)),IFERROR(AVERAGEIFS('Nhật ký tiến độ'!$H$6:$H$3005,'Nhật ký tiến độ'!$C$6:$C$3005,$A32,'Nhật ký tiến độ'!$H$6:$H$3005,"&gt;0"),"")))</f>
      </c>
      <c r="AW32" s="233">
        <f>IF($A32="",0,IF($B32="Đột xuất",$AY32,IF($AX32=0,0,$AX32+1-1/1440)))</f>
      </c>
      <c r="AX32" s="234">
        <f>IF(OR($A32="",$B32&lt;&gt;"Định kỳ",N($I32)=0),0,IF($AL32="",$I32,IF($AJ32&gt;0,$I32+($AL32+1)*$AJ32,IF($AK32&gt;0,EDATE($I32,($AL32+1)*$AK32),$I32))))</f>
      </c>
      <c r="AY32" s="233">
        <f>IF(OR($A32="",$B32&lt;&gt;"Đột xuất"),0,IF(N($K32)&gt;0,IF(MOD($K32,1)=0,$K32+1-1/1440,$K32),IF(N($J32)=0,0,$J32+IF(N($AU32)&gt;0,$AU32,IFERROR(INDEX(DM_SLA_Gio,MATCH($L32,DM_SLA_Cap,0)),168))/24)))</f>
      </c>
      <c r="AZ32" s="225">
        <f>IF(OR($A32="",TRIM($N32)="",COUNTIF('Phản ánh'!$K$6:$K$505,$N32)&gt;0,COUNTIF($N$6:$N32,$N32)&gt;1),0,1)</f>
      </c>
      <c r="BA32" s="225">
        <f>IF($AZ32=1,SUM($AZ$6:$AZ32),"")</f>
      </c>
      <c r="BB32" s="225">
        <f>IF(OR($AO32=0,N($AW32)=0),0,IF(TDBC&lt;=$AW32,0,MAX(1,MIN(4,IF((TDBC-$AW32)*24&lt;24,1,IF((TDBC-$AW32)*24&lt;72,2,IF((TDBC-$AW32)*24&lt;168,3,4)))+IF($B32="Đột xuất",IFERROR(INDEX({2,1,0,-1},MATCH($L32,{"Khẩn cấp","Cao","Trung bình","Thấp"},0)),0),IF($D32="PCCC và an ninh",1,0))))))</f>
      </c>
    </row>
    <row r="33">
      <c r="A33" s="216"/>
      <c r="B33" s="216"/>
      <c r="C33" s="218"/>
      <c r="D33" s="218"/>
      <c r="E33" s="218"/>
      <c r="F33" s="216"/>
      <c r="G33" s="218"/>
      <c r="H33" s="218"/>
      <c r="I33" s="231"/>
      <c r="J33" s="217"/>
      <c r="K33" s="217"/>
      <c r="L33" s="216"/>
      <c r="M33" s="216"/>
      <c r="N33" s="218"/>
      <c r="O33" s="218"/>
      <c r="P33" s="218"/>
      <c r="Q33" s="218"/>
      <c r="R33" s="219"/>
      <c r="S33" s="216"/>
      <c r="T33" s="232"/>
      <c r="U33" s="232"/>
      <c r="V33" s="218"/>
      <c r="W33" s="218"/>
      <c r="X33" s="220">
        <f>IF($A33="","",IF(OR($B33="Định kỳ",$AA33="Hoàn thành"),MAX(_xlfn.MAXIFS('Nhật ký tiến độ'!$B$6:$B$3005,'Nhật ký tiến độ'!$C$6:$C$3005,$A33,'Nhật ký tiến độ'!$E$6:$E$3005,"Hoàn thành kỳ"),_xlfn.MAXIFS('Nhật ký tiến độ'!$B$6:$B$3005,'Nhật ký tiến độ'!$C$6:$C$3005,$A33,'Nhật ký tiến độ'!$E$6:$E$3005,"Hoàn thành")),0))</f>
      </c>
      <c r="Y33" s="220">
        <f>IF($A33="","",IF($B33="Đột xuất",IF($AY33=0,"",$AY33),IF($AX33=0,"",$AX33)))</f>
      </c>
      <c r="Z33" s="223">
        <f>IF(OR($AO33=0,$AW33=0),"",IF(TDBC&gt;$AW33,"Quá "&amp;IF($B33="Định kỳ",(NgayBC-$AP33)&amp;" ngày",IF(((TDBC-$AW33)*24)&lt;1,MAX(1,ROUND(((TDBC-$AW33)*24)*60,0))&amp;" phút",IF(ROUND(((TDBC-$AW33)*24),0)&lt;24,ROUND(((TDBC-$AW33)*24),0)&amp;" giờ",INT(ROUND(((TDBC-$AW33)*24),0)/24)&amp;" ngày"&amp;IF(MOD(ROUND(((TDBC-$AW33)*24),0),24)&gt;0," "&amp;MOD(ROUND(((TDBC-$AW33)*24),0),24)&amp;" giờ","")))),IF($B33="Định kỳ",IF($AP33=NgayBC,"Hôm nay","Còn "&amp;($AP33-NgayBC)&amp;" ngày"),"Còn "&amp;IF((($AW33-TDBC)*24)&lt;1,MAX(1,ROUND((($AW33-TDBC)*24)*60,0))&amp;" phút",IF(ROUND((($AW33-TDBC)*24),0)&lt;24,ROUND((($AW33-TDBC)*24),0)&amp;" giờ",INT(ROUND((($AW33-TDBC)*24),0)/24)&amp;" ngày"&amp;IF(MOD(ROUND((($AW33-TDBC)*24),0),24)&gt;0," "&amp;MOD(ROUND((($AW33-TDBC)*24),0),24)&amp;" giờ",""))))))</f>
      </c>
      <c r="AA33" s="221">
        <f>IF($A33="","",IF(N($AM33)=0,"Chưa bắt đầu",IF(OR($AN33="Hoàn thành kỳ",$AN33="Hoàn thành"),IF($B33="Định kỳ","Chưa bắt đầu","Hoàn thành"),$AN33)))</f>
      </c>
      <c r="AB33" s="222">
        <f>IF($A33="","",IF($AA33="Hoàn thành",1,IF(OR(N($AM33)=0,$AN33="Hoàn thành kỳ",$AN33="Hoàn thành"),0,N(INDEX('Nhật ký tiến độ'!$D:$D,$AM33)))))</f>
      </c>
      <c r="AC33" s="222">
        <f>IF(OR($A33="",$B33&lt;&gt;"Đột xuất",$AA33="Hoàn thành",N($J33)=0,$AW33=0),"",IF(TDBC&lt;=$J33,0,IF(TDBC&gt;=$AW33,1,(TDBC-$J33)/($AW33-$J33))))</f>
      </c>
      <c r="AD33" s="223">
        <f>IF($A33="","",IF($AA33="Hoàn thành","Hoàn thành",IF($AW33=0,"Chưa đặt hạn",IF(TDBC&gt;$AW33,"Quá hạn",IF(AND($B33="Đột xuất",ROUND((N($AC33)-$AB33)*100,0)&gt;=20),"Chậm tiến độ",IF($AP33=NgayBC,"Đến hạn hôm nay",IF($B33="Đột xuất",IF($AW33-TDBC&lt;=1,"Sắp đến hạn","Đúng tiến độ"),IF($AP33-NgayBC&lt;=3,"Sắp đến hạn","Theo lịch"))))))))</f>
      </c>
      <c r="AE33" s="223">
        <f>IF($AV33="","",IF($B33="Định kỳ","Bình quân "&amp;IF($AV33&lt;1,MAX(1,ROUND($AV33*60,0))&amp;" phút",IF(ROUND($AV33,0)&lt;24,ROUND($AV33,0)&amp;" giờ",INT(ROUND($AV33,0)/24)&amp;" ngày"&amp;IF(MOD(ROUND($AV33,0),24)&gt;0," "&amp;MOD(ROUND($AV33,0),24)&amp;" giờ","")))&amp;" mỗi kỳ",IF($AV33&lt;1,MAX(1,ROUND($AV33*60,0))&amp;" phút",IF(ROUND($AV33,0)&lt;24,ROUND($AV33,0)&amp;" giờ",INT(ROUND($AV33,0)/24)&amp;" ngày"&amp;IF(MOD(ROUND($AV33,0),24)&gt;0," "&amp;MOD(ROUND($AV33,0),24)&amp;" giờ","")))))</f>
      </c>
      <c r="AF33" s="223">
        <f>IF(OR($A33="",N($AU33)=0),"",IF($AV33&lt;&gt;"",IF($AV33&lt;=$AU33,"Trong ước tính","Vượt "&amp;IF(($AV33-$AU33)&lt;1,MAX(1,ROUND(($AV33-$AU33)*60,0))&amp;" phút",IF(ROUND(($AV33-$AU33),0)&lt;24,ROUND(($AV33-$AU33),0)&amp;" giờ",INT(ROUND(($AV33-$AU33),0)/24)&amp;" ngày"&amp;IF(MOD(ROUND(($AV33-$AU33),0),24)&gt;0," "&amp;MOD(ROUND(($AV33-$AU33),0),24)&amp;" giờ","")))),IF(OR($B33&lt;&gt;"Đột xuất",$AA33="Hoàn thành",N($J33)=0),"",IF((TDBC-$J33)*24&gt;$AU33,"Đã vượt ước tính","Đã dùng "&amp;TEXT((TDBC-$J33)*24/$AU33,"0%")))))</f>
      </c>
      <c r="AG33" s="223">
        <f>IF(N($BB33)=0,"",CHOOSE($BB33,"Nhắc nhở","Cảnh báo","Báo động","Báo động đỏ"))</f>
      </c>
      <c r="AH33" s="223">
        <f>IF(OR($B33&lt;&gt;"Đột xuất",$AA33&lt;&gt;"Hoàn thành",N($X33)=0,$AW33=0),"",IF($X33&lt;=$AW33,"Đúng hạn","Trễ hạn"))</f>
      </c>
      <c r="AI33" s="220">
        <f>IF($A33="","",_xlfn.MAXIFS('Nhật ký tiến độ'!$B$6:$B$3005,'Nhật ký tiến độ'!$C$6:$C$3005,$A33))</f>
      </c>
      <c r="AJ33" s="225">
        <f>IF(OR($A33="",$B33&lt;&gt;"Định kỳ"),0,IFERROR(INDEX(DM_TanSuatNgay,MATCH($H33,DM_TanSuat,0)),0))</f>
      </c>
      <c r="AK33" s="225">
        <f>IF(OR($A33="",$B33&lt;&gt;"Định kỳ"),0,IFERROR(INDEX(DM_TanSuatThang,MATCH($H33,DM_TanSuat,0)),0))</f>
      </c>
      <c r="AL33" s="225">
        <f>IF(OR($A33="",$B33&lt;&gt;"Định kỳ",N($X33)=0,N($I33)=0),"",IF(INT($X33)&lt;$I33,0,IF($AJ33&gt;0,ROUND((INT($X33)-$I33)/$AJ33,0),IF($AK33&gt;0,ROUND((DATEDIF($I33,INT($X33),"m")+(INT($X33)-EDATE($I33,DATEDIF($I33,INT($X33),"m")))/(EDATE($I33,DATEDIF($I33,INT($X33),"m")+1)-EDATE($I33,DATEDIF($I33,INT($X33),"m"))))/$AK33,0),0))))</f>
      </c>
      <c r="AM33" s="225">
        <f>IF($A33="","",IF(COUNTIF('Nhật ký tiến độ'!$C$6:$C$3005,$A33)=0,0,_xlfn.MAXIFS('Nhật ký tiến độ'!$N$6:$N$3005,'Nhật ký tiến độ'!$C$6:$C$3005,$A33,'Nhật ký tiến độ'!$B$6:$B$3005,_xlfn.MAXIFS('Nhật ký tiến độ'!$B$6:$B$3005,'Nhật ký tiến độ'!$C$6:$C$3005,$A33))))</f>
      </c>
      <c r="AN33" s="225">
        <f>IF($A33="","",IF(N($AM33)=0,"",INDEX('Nhật ký tiến độ'!$E:$E,$AM33)))</f>
      </c>
      <c r="AO33" s="225">
        <f>IF($A33="",0,IF($AA33="Hoàn thành",0,1))</f>
      </c>
      <c r="AP33" s="225">
        <f>IF($AO33=0,0,INT(N($AW33)))</f>
      </c>
      <c r="AQ33" s="225">
        <f>IF(AND($AO33=1,$AJ33&gt;1),$AJ33,0)</f>
      </c>
      <c r="AR33" s="225">
        <f>IF(AND($AO33=1,$AJ33=1),1,0)</f>
      </c>
      <c r="AS33" s="225">
        <f>IF(OR($AO33=0,AND($AR33=1,N($BB33)=0)),"",IF(N($BB33)&gt;0,5-$BB33,IF($AD33="Chậm tiến độ",6,IF($AD33="Đến hạn hôm nay",7,IF(AND($AP33&gt;0,$AP33-NgayBC&lt;=7),8,"")))))</f>
      </c>
      <c r="AT33" s="225">
        <f>IF($AS33="","",$AS33*100000+$AP33+ROW()/100000)</f>
      </c>
      <c r="AU33" s="224">
        <f>IF(OR($A33="",N($R33)&lt;=0),"",IF($S33="Ngày",$R33*24,$R33))</f>
      </c>
      <c r="AV33" s="224">
        <f>IF($A33="","",IF($B33="Đột xuất",IF(OR($AA33&lt;&gt;"Hoàn thành",N($X33)=0,N($J33)=0),"",IF($X33&lt;$J33,"",($X33-$J33)*24)),IFERROR(AVERAGEIFS('Nhật ký tiến độ'!$H$6:$H$3005,'Nhật ký tiến độ'!$C$6:$C$3005,$A33,'Nhật ký tiến độ'!$H$6:$H$3005,"&gt;0"),"")))</f>
      </c>
      <c r="AW33" s="233">
        <f>IF($A33="",0,IF($B33="Đột xuất",$AY33,IF($AX33=0,0,$AX33+1-1/1440)))</f>
      </c>
      <c r="AX33" s="234">
        <f>IF(OR($A33="",$B33&lt;&gt;"Định kỳ",N($I33)=0),0,IF($AL33="",$I33,IF($AJ33&gt;0,$I33+($AL33+1)*$AJ33,IF($AK33&gt;0,EDATE($I33,($AL33+1)*$AK33),$I33))))</f>
      </c>
      <c r="AY33" s="233">
        <f>IF(OR($A33="",$B33&lt;&gt;"Đột xuất"),0,IF(N($K33)&gt;0,IF(MOD($K33,1)=0,$K33+1-1/1440,$K33),IF(N($J33)=0,0,$J33+IF(N($AU33)&gt;0,$AU33,IFERROR(INDEX(DM_SLA_Gio,MATCH($L33,DM_SLA_Cap,0)),168))/24)))</f>
      </c>
      <c r="AZ33" s="225">
        <f>IF(OR($A33="",TRIM($N33)="",COUNTIF('Phản ánh'!$K$6:$K$505,$N33)&gt;0,COUNTIF($N$6:$N33,$N33)&gt;1),0,1)</f>
      </c>
      <c r="BA33" s="225">
        <f>IF($AZ33=1,SUM($AZ$6:$AZ33),"")</f>
      </c>
      <c r="BB33" s="225">
        <f>IF(OR($AO33=0,N($AW33)=0),0,IF(TDBC&lt;=$AW33,0,MAX(1,MIN(4,IF((TDBC-$AW33)*24&lt;24,1,IF((TDBC-$AW33)*24&lt;72,2,IF((TDBC-$AW33)*24&lt;168,3,4)))+IF($B33="Đột xuất",IFERROR(INDEX({2,1,0,-1},MATCH($L33,{"Khẩn cấp","Cao","Trung bình","Thấp"},0)),0),IF($D33="PCCC và an ninh",1,0))))))</f>
      </c>
    </row>
    <row r="34">
      <c r="A34" s="216"/>
      <c r="B34" s="216"/>
      <c r="C34" s="218"/>
      <c r="D34" s="218"/>
      <c r="E34" s="218"/>
      <c r="F34" s="216"/>
      <c r="G34" s="218"/>
      <c r="H34" s="218"/>
      <c r="I34" s="231"/>
      <c r="J34" s="217"/>
      <c r="K34" s="217"/>
      <c r="L34" s="216"/>
      <c r="M34" s="216"/>
      <c r="N34" s="218"/>
      <c r="O34" s="218"/>
      <c r="P34" s="218"/>
      <c r="Q34" s="218"/>
      <c r="R34" s="219"/>
      <c r="S34" s="216"/>
      <c r="T34" s="232"/>
      <c r="U34" s="232"/>
      <c r="V34" s="218"/>
      <c r="W34" s="218"/>
      <c r="X34" s="220">
        <f>IF($A34="","",IF(OR($B34="Định kỳ",$AA34="Hoàn thành"),MAX(_xlfn.MAXIFS('Nhật ký tiến độ'!$B$6:$B$3005,'Nhật ký tiến độ'!$C$6:$C$3005,$A34,'Nhật ký tiến độ'!$E$6:$E$3005,"Hoàn thành kỳ"),_xlfn.MAXIFS('Nhật ký tiến độ'!$B$6:$B$3005,'Nhật ký tiến độ'!$C$6:$C$3005,$A34,'Nhật ký tiến độ'!$E$6:$E$3005,"Hoàn thành")),0))</f>
      </c>
      <c r="Y34" s="220">
        <f>IF($A34="","",IF($B34="Đột xuất",IF($AY34=0,"",$AY34),IF($AX34=0,"",$AX34)))</f>
      </c>
      <c r="Z34" s="223">
        <f>IF(OR($AO34=0,$AW34=0),"",IF(TDBC&gt;$AW34,"Quá "&amp;IF($B34="Định kỳ",(NgayBC-$AP34)&amp;" ngày",IF(((TDBC-$AW34)*24)&lt;1,MAX(1,ROUND(((TDBC-$AW34)*24)*60,0))&amp;" phút",IF(ROUND(((TDBC-$AW34)*24),0)&lt;24,ROUND(((TDBC-$AW34)*24),0)&amp;" giờ",INT(ROUND(((TDBC-$AW34)*24),0)/24)&amp;" ngày"&amp;IF(MOD(ROUND(((TDBC-$AW34)*24),0),24)&gt;0," "&amp;MOD(ROUND(((TDBC-$AW34)*24),0),24)&amp;" giờ","")))),IF($B34="Định kỳ",IF($AP34=NgayBC,"Hôm nay","Còn "&amp;($AP34-NgayBC)&amp;" ngày"),"Còn "&amp;IF((($AW34-TDBC)*24)&lt;1,MAX(1,ROUND((($AW34-TDBC)*24)*60,0))&amp;" phút",IF(ROUND((($AW34-TDBC)*24),0)&lt;24,ROUND((($AW34-TDBC)*24),0)&amp;" giờ",INT(ROUND((($AW34-TDBC)*24),0)/24)&amp;" ngày"&amp;IF(MOD(ROUND((($AW34-TDBC)*24),0),24)&gt;0," "&amp;MOD(ROUND((($AW34-TDBC)*24),0),24)&amp;" giờ",""))))))</f>
      </c>
      <c r="AA34" s="221">
        <f>IF($A34="","",IF(N($AM34)=0,"Chưa bắt đầu",IF(OR($AN34="Hoàn thành kỳ",$AN34="Hoàn thành"),IF($B34="Định kỳ","Chưa bắt đầu","Hoàn thành"),$AN34)))</f>
      </c>
      <c r="AB34" s="222">
        <f>IF($A34="","",IF($AA34="Hoàn thành",1,IF(OR(N($AM34)=0,$AN34="Hoàn thành kỳ",$AN34="Hoàn thành"),0,N(INDEX('Nhật ký tiến độ'!$D:$D,$AM34)))))</f>
      </c>
      <c r="AC34" s="222">
        <f>IF(OR($A34="",$B34&lt;&gt;"Đột xuất",$AA34="Hoàn thành",N($J34)=0,$AW34=0),"",IF(TDBC&lt;=$J34,0,IF(TDBC&gt;=$AW34,1,(TDBC-$J34)/($AW34-$J34))))</f>
      </c>
      <c r="AD34" s="223">
        <f>IF($A34="","",IF($AA34="Hoàn thành","Hoàn thành",IF($AW34=0,"Chưa đặt hạn",IF(TDBC&gt;$AW34,"Quá hạn",IF(AND($B34="Đột xuất",ROUND((N($AC34)-$AB34)*100,0)&gt;=20),"Chậm tiến độ",IF($AP34=NgayBC,"Đến hạn hôm nay",IF($B34="Đột xuất",IF($AW34-TDBC&lt;=1,"Sắp đến hạn","Đúng tiến độ"),IF($AP34-NgayBC&lt;=3,"Sắp đến hạn","Theo lịch"))))))))</f>
      </c>
      <c r="AE34" s="223">
        <f>IF($AV34="","",IF($B34="Định kỳ","Bình quân "&amp;IF($AV34&lt;1,MAX(1,ROUND($AV34*60,0))&amp;" phút",IF(ROUND($AV34,0)&lt;24,ROUND($AV34,0)&amp;" giờ",INT(ROUND($AV34,0)/24)&amp;" ngày"&amp;IF(MOD(ROUND($AV34,0),24)&gt;0," "&amp;MOD(ROUND($AV34,0),24)&amp;" giờ","")))&amp;" mỗi kỳ",IF($AV34&lt;1,MAX(1,ROUND($AV34*60,0))&amp;" phút",IF(ROUND($AV34,0)&lt;24,ROUND($AV34,0)&amp;" giờ",INT(ROUND($AV34,0)/24)&amp;" ngày"&amp;IF(MOD(ROUND($AV34,0),24)&gt;0," "&amp;MOD(ROUND($AV34,0),24)&amp;" giờ","")))))</f>
      </c>
      <c r="AF34" s="223">
        <f>IF(OR($A34="",N($AU34)=0),"",IF($AV34&lt;&gt;"",IF($AV34&lt;=$AU34,"Trong ước tính","Vượt "&amp;IF(($AV34-$AU34)&lt;1,MAX(1,ROUND(($AV34-$AU34)*60,0))&amp;" phút",IF(ROUND(($AV34-$AU34),0)&lt;24,ROUND(($AV34-$AU34),0)&amp;" giờ",INT(ROUND(($AV34-$AU34),0)/24)&amp;" ngày"&amp;IF(MOD(ROUND(($AV34-$AU34),0),24)&gt;0," "&amp;MOD(ROUND(($AV34-$AU34),0),24)&amp;" giờ","")))),IF(OR($B34&lt;&gt;"Đột xuất",$AA34="Hoàn thành",N($J34)=0),"",IF((TDBC-$J34)*24&gt;$AU34,"Đã vượt ước tính","Đã dùng "&amp;TEXT((TDBC-$J34)*24/$AU34,"0%")))))</f>
      </c>
      <c r="AG34" s="223">
        <f>IF(N($BB34)=0,"",CHOOSE($BB34,"Nhắc nhở","Cảnh báo","Báo động","Báo động đỏ"))</f>
      </c>
      <c r="AH34" s="223">
        <f>IF(OR($B34&lt;&gt;"Đột xuất",$AA34&lt;&gt;"Hoàn thành",N($X34)=0,$AW34=0),"",IF($X34&lt;=$AW34,"Đúng hạn","Trễ hạn"))</f>
      </c>
      <c r="AI34" s="220">
        <f>IF($A34="","",_xlfn.MAXIFS('Nhật ký tiến độ'!$B$6:$B$3005,'Nhật ký tiến độ'!$C$6:$C$3005,$A34))</f>
      </c>
      <c r="AJ34" s="225">
        <f>IF(OR($A34="",$B34&lt;&gt;"Định kỳ"),0,IFERROR(INDEX(DM_TanSuatNgay,MATCH($H34,DM_TanSuat,0)),0))</f>
      </c>
      <c r="AK34" s="225">
        <f>IF(OR($A34="",$B34&lt;&gt;"Định kỳ"),0,IFERROR(INDEX(DM_TanSuatThang,MATCH($H34,DM_TanSuat,0)),0))</f>
      </c>
      <c r="AL34" s="225">
        <f>IF(OR($A34="",$B34&lt;&gt;"Định kỳ",N($X34)=0,N($I34)=0),"",IF(INT($X34)&lt;$I34,0,IF($AJ34&gt;0,ROUND((INT($X34)-$I34)/$AJ34,0),IF($AK34&gt;0,ROUND((DATEDIF($I34,INT($X34),"m")+(INT($X34)-EDATE($I34,DATEDIF($I34,INT($X34),"m")))/(EDATE($I34,DATEDIF($I34,INT($X34),"m")+1)-EDATE($I34,DATEDIF($I34,INT($X34),"m"))))/$AK34,0),0))))</f>
      </c>
      <c r="AM34" s="225">
        <f>IF($A34="","",IF(COUNTIF('Nhật ký tiến độ'!$C$6:$C$3005,$A34)=0,0,_xlfn.MAXIFS('Nhật ký tiến độ'!$N$6:$N$3005,'Nhật ký tiến độ'!$C$6:$C$3005,$A34,'Nhật ký tiến độ'!$B$6:$B$3005,_xlfn.MAXIFS('Nhật ký tiến độ'!$B$6:$B$3005,'Nhật ký tiến độ'!$C$6:$C$3005,$A34))))</f>
      </c>
      <c r="AN34" s="225">
        <f>IF($A34="","",IF(N($AM34)=0,"",INDEX('Nhật ký tiến độ'!$E:$E,$AM34)))</f>
      </c>
      <c r="AO34" s="225">
        <f>IF($A34="",0,IF($AA34="Hoàn thành",0,1))</f>
      </c>
      <c r="AP34" s="225">
        <f>IF($AO34=0,0,INT(N($AW34)))</f>
      </c>
      <c r="AQ34" s="225">
        <f>IF(AND($AO34=1,$AJ34&gt;1),$AJ34,0)</f>
      </c>
      <c r="AR34" s="225">
        <f>IF(AND($AO34=1,$AJ34=1),1,0)</f>
      </c>
      <c r="AS34" s="225">
        <f>IF(OR($AO34=0,AND($AR34=1,N($BB34)=0)),"",IF(N($BB34)&gt;0,5-$BB34,IF($AD34="Chậm tiến độ",6,IF($AD34="Đến hạn hôm nay",7,IF(AND($AP34&gt;0,$AP34-NgayBC&lt;=7),8,"")))))</f>
      </c>
      <c r="AT34" s="225">
        <f>IF($AS34="","",$AS34*100000+$AP34+ROW()/100000)</f>
      </c>
      <c r="AU34" s="224">
        <f>IF(OR($A34="",N($R34)&lt;=0),"",IF($S34="Ngày",$R34*24,$R34))</f>
      </c>
      <c r="AV34" s="224">
        <f>IF($A34="","",IF($B34="Đột xuất",IF(OR($AA34&lt;&gt;"Hoàn thành",N($X34)=0,N($J34)=0),"",IF($X34&lt;$J34,"",($X34-$J34)*24)),IFERROR(AVERAGEIFS('Nhật ký tiến độ'!$H$6:$H$3005,'Nhật ký tiến độ'!$C$6:$C$3005,$A34,'Nhật ký tiến độ'!$H$6:$H$3005,"&gt;0"),"")))</f>
      </c>
      <c r="AW34" s="233">
        <f>IF($A34="",0,IF($B34="Đột xuất",$AY34,IF($AX34=0,0,$AX34+1-1/1440)))</f>
      </c>
      <c r="AX34" s="234">
        <f>IF(OR($A34="",$B34&lt;&gt;"Định kỳ",N($I34)=0),0,IF($AL34="",$I34,IF($AJ34&gt;0,$I34+($AL34+1)*$AJ34,IF($AK34&gt;0,EDATE($I34,($AL34+1)*$AK34),$I34))))</f>
      </c>
      <c r="AY34" s="233">
        <f>IF(OR($A34="",$B34&lt;&gt;"Đột xuất"),0,IF(N($K34)&gt;0,IF(MOD($K34,1)=0,$K34+1-1/1440,$K34),IF(N($J34)=0,0,$J34+IF(N($AU34)&gt;0,$AU34,IFERROR(INDEX(DM_SLA_Gio,MATCH($L34,DM_SLA_Cap,0)),168))/24)))</f>
      </c>
      <c r="AZ34" s="225">
        <f>IF(OR($A34="",TRIM($N34)="",COUNTIF('Phản ánh'!$K$6:$K$505,$N34)&gt;0,COUNTIF($N$6:$N34,$N34)&gt;1),0,1)</f>
      </c>
      <c r="BA34" s="225">
        <f>IF($AZ34=1,SUM($AZ$6:$AZ34),"")</f>
      </c>
      <c r="BB34" s="225">
        <f>IF(OR($AO34=0,N($AW34)=0),0,IF(TDBC&lt;=$AW34,0,MAX(1,MIN(4,IF((TDBC-$AW34)*24&lt;24,1,IF((TDBC-$AW34)*24&lt;72,2,IF((TDBC-$AW34)*24&lt;168,3,4)))+IF($B34="Đột xuất",IFERROR(INDEX({2,1,0,-1},MATCH($L34,{"Khẩn cấp","Cao","Trung bình","Thấp"},0)),0),IF($D34="PCCC và an ninh",1,0))))))</f>
      </c>
    </row>
    <row r="35">
      <c r="A35" s="216"/>
      <c r="B35" s="216"/>
      <c r="C35" s="218"/>
      <c r="D35" s="218"/>
      <c r="E35" s="218"/>
      <c r="F35" s="216"/>
      <c r="G35" s="218"/>
      <c r="H35" s="218"/>
      <c r="I35" s="231"/>
      <c r="J35" s="217"/>
      <c r="K35" s="217"/>
      <c r="L35" s="216"/>
      <c r="M35" s="216"/>
      <c r="N35" s="218"/>
      <c r="O35" s="218"/>
      <c r="P35" s="218"/>
      <c r="Q35" s="218"/>
      <c r="R35" s="219"/>
      <c r="S35" s="216"/>
      <c r="T35" s="232"/>
      <c r="U35" s="232"/>
      <c r="V35" s="218"/>
      <c r="W35" s="218"/>
      <c r="X35" s="220">
        <f>IF($A35="","",IF(OR($B35="Định kỳ",$AA35="Hoàn thành"),MAX(_xlfn.MAXIFS('Nhật ký tiến độ'!$B$6:$B$3005,'Nhật ký tiến độ'!$C$6:$C$3005,$A35,'Nhật ký tiến độ'!$E$6:$E$3005,"Hoàn thành kỳ"),_xlfn.MAXIFS('Nhật ký tiến độ'!$B$6:$B$3005,'Nhật ký tiến độ'!$C$6:$C$3005,$A35,'Nhật ký tiến độ'!$E$6:$E$3005,"Hoàn thành")),0))</f>
      </c>
      <c r="Y35" s="220">
        <f>IF($A35="","",IF($B35="Đột xuất",IF($AY35=0,"",$AY35),IF($AX35=0,"",$AX35)))</f>
      </c>
      <c r="Z35" s="223">
        <f>IF(OR($AO35=0,$AW35=0),"",IF(TDBC&gt;$AW35,"Quá "&amp;IF($B35="Định kỳ",(NgayBC-$AP35)&amp;" ngày",IF(((TDBC-$AW35)*24)&lt;1,MAX(1,ROUND(((TDBC-$AW35)*24)*60,0))&amp;" phút",IF(ROUND(((TDBC-$AW35)*24),0)&lt;24,ROUND(((TDBC-$AW35)*24),0)&amp;" giờ",INT(ROUND(((TDBC-$AW35)*24),0)/24)&amp;" ngày"&amp;IF(MOD(ROUND(((TDBC-$AW35)*24),0),24)&gt;0," "&amp;MOD(ROUND(((TDBC-$AW35)*24),0),24)&amp;" giờ","")))),IF($B35="Định kỳ",IF($AP35=NgayBC,"Hôm nay","Còn "&amp;($AP35-NgayBC)&amp;" ngày"),"Còn "&amp;IF((($AW35-TDBC)*24)&lt;1,MAX(1,ROUND((($AW35-TDBC)*24)*60,0))&amp;" phút",IF(ROUND((($AW35-TDBC)*24),0)&lt;24,ROUND((($AW35-TDBC)*24),0)&amp;" giờ",INT(ROUND((($AW35-TDBC)*24),0)/24)&amp;" ngày"&amp;IF(MOD(ROUND((($AW35-TDBC)*24),0),24)&gt;0," "&amp;MOD(ROUND((($AW35-TDBC)*24),0),24)&amp;" giờ",""))))))</f>
      </c>
      <c r="AA35" s="221">
        <f>IF($A35="","",IF(N($AM35)=0,"Chưa bắt đầu",IF(OR($AN35="Hoàn thành kỳ",$AN35="Hoàn thành"),IF($B35="Định kỳ","Chưa bắt đầu","Hoàn thành"),$AN35)))</f>
      </c>
      <c r="AB35" s="222">
        <f>IF($A35="","",IF($AA35="Hoàn thành",1,IF(OR(N($AM35)=0,$AN35="Hoàn thành kỳ",$AN35="Hoàn thành"),0,N(INDEX('Nhật ký tiến độ'!$D:$D,$AM35)))))</f>
      </c>
      <c r="AC35" s="222">
        <f>IF(OR($A35="",$B35&lt;&gt;"Đột xuất",$AA35="Hoàn thành",N($J35)=0,$AW35=0),"",IF(TDBC&lt;=$J35,0,IF(TDBC&gt;=$AW35,1,(TDBC-$J35)/($AW35-$J35))))</f>
      </c>
      <c r="AD35" s="223">
        <f>IF($A35="","",IF($AA35="Hoàn thành","Hoàn thành",IF($AW35=0,"Chưa đặt hạn",IF(TDBC&gt;$AW35,"Quá hạn",IF(AND($B35="Đột xuất",ROUND((N($AC35)-$AB35)*100,0)&gt;=20),"Chậm tiến độ",IF($AP35=NgayBC,"Đến hạn hôm nay",IF($B35="Đột xuất",IF($AW35-TDBC&lt;=1,"Sắp đến hạn","Đúng tiến độ"),IF($AP35-NgayBC&lt;=3,"Sắp đến hạn","Theo lịch"))))))))</f>
      </c>
      <c r="AE35" s="223">
        <f>IF($AV35="","",IF($B35="Định kỳ","Bình quân "&amp;IF($AV35&lt;1,MAX(1,ROUND($AV35*60,0))&amp;" phút",IF(ROUND($AV35,0)&lt;24,ROUND($AV35,0)&amp;" giờ",INT(ROUND($AV35,0)/24)&amp;" ngày"&amp;IF(MOD(ROUND($AV35,0),24)&gt;0," "&amp;MOD(ROUND($AV35,0),24)&amp;" giờ","")))&amp;" mỗi kỳ",IF($AV35&lt;1,MAX(1,ROUND($AV35*60,0))&amp;" phút",IF(ROUND($AV35,0)&lt;24,ROUND($AV35,0)&amp;" giờ",INT(ROUND($AV35,0)/24)&amp;" ngày"&amp;IF(MOD(ROUND($AV35,0),24)&gt;0," "&amp;MOD(ROUND($AV35,0),24)&amp;" giờ","")))))</f>
      </c>
      <c r="AF35" s="223">
        <f>IF(OR($A35="",N($AU35)=0),"",IF($AV35&lt;&gt;"",IF($AV35&lt;=$AU35,"Trong ước tính","Vượt "&amp;IF(($AV35-$AU35)&lt;1,MAX(1,ROUND(($AV35-$AU35)*60,0))&amp;" phút",IF(ROUND(($AV35-$AU35),0)&lt;24,ROUND(($AV35-$AU35),0)&amp;" giờ",INT(ROUND(($AV35-$AU35),0)/24)&amp;" ngày"&amp;IF(MOD(ROUND(($AV35-$AU35),0),24)&gt;0," "&amp;MOD(ROUND(($AV35-$AU35),0),24)&amp;" giờ","")))),IF(OR($B35&lt;&gt;"Đột xuất",$AA35="Hoàn thành",N($J35)=0),"",IF((TDBC-$J35)*24&gt;$AU35,"Đã vượt ước tính","Đã dùng "&amp;TEXT((TDBC-$J35)*24/$AU35,"0%")))))</f>
      </c>
      <c r="AG35" s="223">
        <f>IF(N($BB35)=0,"",CHOOSE($BB35,"Nhắc nhở","Cảnh báo","Báo động","Báo động đỏ"))</f>
      </c>
      <c r="AH35" s="223">
        <f>IF(OR($B35&lt;&gt;"Đột xuất",$AA35&lt;&gt;"Hoàn thành",N($X35)=0,$AW35=0),"",IF($X35&lt;=$AW35,"Đúng hạn","Trễ hạn"))</f>
      </c>
      <c r="AI35" s="220">
        <f>IF($A35="","",_xlfn.MAXIFS('Nhật ký tiến độ'!$B$6:$B$3005,'Nhật ký tiến độ'!$C$6:$C$3005,$A35))</f>
      </c>
      <c r="AJ35" s="225">
        <f>IF(OR($A35="",$B35&lt;&gt;"Định kỳ"),0,IFERROR(INDEX(DM_TanSuatNgay,MATCH($H35,DM_TanSuat,0)),0))</f>
      </c>
      <c r="AK35" s="225">
        <f>IF(OR($A35="",$B35&lt;&gt;"Định kỳ"),0,IFERROR(INDEX(DM_TanSuatThang,MATCH($H35,DM_TanSuat,0)),0))</f>
      </c>
      <c r="AL35" s="225">
        <f>IF(OR($A35="",$B35&lt;&gt;"Định kỳ",N($X35)=0,N($I35)=0),"",IF(INT($X35)&lt;$I35,0,IF($AJ35&gt;0,ROUND((INT($X35)-$I35)/$AJ35,0),IF($AK35&gt;0,ROUND((DATEDIF($I35,INT($X35),"m")+(INT($X35)-EDATE($I35,DATEDIF($I35,INT($X35),"m")))/(EDATE($I35,DATEDIF($I35,INT($X35),"m")+1)-EDATE($I35,DATEDIF($I35,INT($X35),"m"))))/$AK35,0),0))))</f>
      </c>
      <c r="AM35" s="225">
        <f>IF($A35="","",IF(COUNTIF('Nhật ký tiến độ'!$C$6:$C$3005,$A35)=0,0,_xlfn.MAXIFS('Nhật ký tiến độ'!$N$6:$N$3005,'Nhật ký tiến độ'!$C$6:$C$3005,$A35,'Nhật ký tiến độ'!$B$6:$B$3005,_xlfn.MAXIFS('Nhật ký tiến độ'!$B$6:$B$3005,'Nhật ký tiến độ'!$C$6:$C$3005,$A35))))</f>
      </c>
      <c r="AN35" s="225">
        <f>IF($A35="","",IF(N($AM35)=0,"",INDEX('Nhật ký tiến độ'!$E:$E,$AM35)))</f>
      </c>
      <c r="AO35" s="225">
        <f>IF($A35="",0,IF($AA35="Hoàn thành",0,1))</f>
      </c>
      <c r="AP35" s="225">
        <f>IF($AO35=0,0,INT(N($AW35)))</f>
      </c>
      <c r="AQ35" s="225">
        <f>IF(AND($AO35=1,$AJ35&gt;1),$AJ35,0)</f>
      </c>
      <c r="AR35" s="225">
        <f>IF(AND($AO35=1,$AJ35=1),1,0)</f>
      </c>
      <c r="AS35" s="225">
        <f>IF(OR($AO35=0,AND($AR35=1,N($BB35)=0)),"",IF(N($BB35)&gt;0,5-$BB35,IF($AD35="Chậm tiến độ",6,IF($AD35="Đến hạn hôm nay",7,IF(AND($AP35&gt;0,$AP35-NgayBC&lt;=7),8,"")))))</f>
      </c>
      <c r="AT35" s="225">
        <f>IF($AS35="","",$AS35*100000+$AP35+ROW()/100000)</f>
      </c>
      <c r="AU35" s="224">
        <f>IF(OR($A35="",N($R35)&lt;=0),"",IF($S35="Ngày",$R35*24,$R35))</f>
      </c>
      <c r="AV35" s="224">
        <f>IF($A35="","",IF($B35="Đột xuất",IF(OR($AA35&lt;&gt;"Hoàn thành",N($X35)=0,N($J35)=0),"",IF($X35&lt;$J35,"",($X35-$J35)*24)),IFERROR(AVERAGEIFS('Nhật ký tiến độ'!$H$6:$H$3005,'Nhật ký tiến độ'!$C$6:$C$3005,$A35,'Nhật ký tiến độ'!$H$6:$H$3005,"&gt;0"),"")))</f>
      </c>
      <c r="AW35" s="233">
        <f>IF($A35="",0,IF($B35="Đột xuất",$AY35,IF($AX35=0,0,$AX35+1-1/1440)))</f>
      </c>
      <c r="AX35" s="234">
        <f>IF(OR($A35="",$B35&lt;&gt;"Định kỳ",N($I35)=0),0,IF($AL35="",$I35,IF($AJ35&gt;0,$I35+($AL35+1)*$AJ35,IF($AK35&gt;0,EDATE($I35,($AL35+1)*$AK35),$I35))))</f>
      </c>
      <c r="AY35" s="233">
        <f>IF(OR($A35="",$B35&lt;&gt;"Đột xuất"),0,IF(N($K35)&gt;0,IF(MOD($K35,1)=0,$K35+1-1/1440,$K35),IF(N($J35)=0,0,$J35+IF(N($AU35)&gt;0,$AU35,IFERROR(INDEX(DM_SLA_Gio,MATCH($L35,DM_SLA_Cap,0)),168))/24)))</f>
      </c>
      <c r="AZ35" s="225">
        <f>IF(OR($A35="",TRIM($N35)="",COUNTIF('Phản ánh'!$K$6:$K$505,$N35)&gt;0,COUNTIF($N$6:$N35,$N35)&gt;1),0,1)</f>
      </c>
      <c r="BA35" s="225">
        <f>IF($AZ35=1,SUM($AZ$6:$AZ35),"")</f>
      </c>
      <c r="BB35" s="225">
        <f>IF(OR($AO35=0,N($AW35)=0),0,IF(TDBC&lt;=$AW35,0,MAX(1,MIN(4,IF((TDBC-$AW35)*24&lt;24,1,IF((TDBC-$AW35)*24&lt;72,2,IF((TDBC-$AW35)*24&lt;168,3,4)))+IF($B35="Đột xuất",IFERROR(INDEX({2,1,0,-1},MATCH($L35,{"Khẩn cấp","Cao","Trung bình","Thấp"},0)),0),IF($D35="PCCC và an ninh",1,0))))))</f>
      </c>
    </row>
    <row r="36">
      <c r="A36" s="216"/>
      <c r="B36" s="216"/>
      <c r="C36" s="218"/>
      <c r="D36" s="218"/>
      <c r="E36" s="218"/>
      <c r="F36" s="216"/>
      <c r="G36" s="218"/>
      <c r="H36" s="218"/>
      <c r="I36" s="231"/>
      <c r="J36" s="217"/>
      <c r="K36" s="217"/>
      <c r="L36" s="216"/>
      <c r="M36" s="216"/>
      <c r="N36" s="218"/>
      <c r="O36" s="218"/>
      <c r="P36" s="218"/>
      <c r="Q36" s="218"/>
      <c r="R36" s="219"/>
      <c r="S36" s="216"/>
      <c r="T36" s="232"/>
      <c r="U36" s="232"/>
      <c r="V36" s="218"/>
      <c r="W36" s="218"/>
      <c r="X36" s="220">
        <f>IF($A36="","",IF(OR($B36="Định kỳ",$AA36="Hoàn thành"),MAX(_xlfn.MAXIFS('Nhật ký tiến độ'!$B$6:$B$3005,'Nhật ký tiến độ'!$C$6:$C$3005,$A36,'Nhật ký tiến độ'!$E$6:$E$3005,"Hoàn thành kỳ"),_xlfn.MAXIFS('Nhật ký tiến độ'!$B$6:$B$3005,'Nhật ký tiến độ'!$C$6:$C$3005,$A36,'Nhật ký tiến độ'!$E$6:$E$3005,"Hoàn thành")),0))</f>
      </c>
      <c r="Y36" s="220">
        <f>IF($A36="","",IF($B36="Đột xuất",IF($AY36=0,"",$AY36),IF($AX36=0,"",$AX36)))</f>
      </c>
      <c r="Z36" s="223">
        <f>IF(OR($AO36=0,$AW36=0),"",IF(TDBC&gt;$AW36,"Quá "&amp;IF($B36="Định kỳ",(NgayBC-$AP36)&amp;" ngày",IF(((TDBC-$AW36)*24)&lt;1,MAX(1,ROUND(((TDBC-$AW36)*24)*60,0))&amp;" phút",IF(ROUND(((TDBC-$AW36)*24),0)&lt;24,ROUND(((TDBC-$AW36)*24),0)&amp;" giờ",INT(ROUND(((TDBC-$AW36)*24),0)/24)&amp;" ngày"&amp;IF(MOD(ROUND(((TDBC-$AW36)*24),0),24)&gt;0," "&amp;MOD(ROUND(((TDBC-$AW36)*24),0),24)&amp;" giờ","")))),IF($B36="Định kỳ",IF($AP36=NgayBC,"Hôm nay","Còn "&amp;($AP36-NgayBC)&amp;" ngày"),"Còn "&amp;IF((($AW36-TDBC)*24)&lt;1,MAX(1,ROUND((($AW36-TDBC)*24)*60,0))&amp;" phút",IF(ROUND((($AW36-TDBC)*24),0)&lt;24,ROUND((($AW36-TDBC)*24),0)&amp;" giờ",INT(ROUND((($AW36-TDBC)*24),0)/24)&amp;" ngày"&amp;IF(MOD(ROUND((($AW36-TDBC)*24),0),24)&gt;0," "&amp;MOD(ROUND((($AW36-TDBC)*24),0),24)&amp;" giờ",""))))))</f>
      </c>
      <c r="AA36" s="221">
        <f>IF($A36="","",IF(N($AM36)=0,"Chưa bắt đầu",IF(OR($AN36="Hoàn thành kỳ",$AN36="Hoàn thành"),IF($B36="Định kỳ","Chưa bắt đầu","Hoàn thành"),$AN36)))</f>
      </c>
      <c r="AB36" s="222">
        <f>IF($A36="","",IF($AA36="Hoàn thành",1,IF(OR(N($AM36)=0,$AN36="Hoàn thành kỳ",$AN36="Hoàn thành"),0,N(INDEX('Nhật ký tiến độ'!$D:$D,$AM36)))))</f>
      </c>
      <c r="AC36" s="222">
        <f>IF(OR($A36="",$B36&lt;&gt;"Đột xuất",$AA36="Hoàn thành",N($J36)=0,$AW36=0),"",IF(TDBC&lt;=$J36,0,IF(TDBC&gt;=$AW36,1,(TDBC-$J36)/($AW36-$J36))))</f>
      </c>
      <c r="AD36" s="223">
        <f>IF($A36="","",IF($AA36="Hoàn thành","Hoàn thành",IF($AW36=0,"Chưa đặt hạn",IF(TDBC&gt;$AW36,"Quá hạn",IF(AND($B36="Đột xuất",ROUND((N($AC36)-$AB36)*100,0)&gt;=20),"Chậm tiến độ",IF($AP36=NgayBC,"Đến hạn hôm nay",IF($B36="Đột xuất",IF($AW36-TDBC&lt;=1,"Sắp đến hạn","Đúng tiến độ"),IF($AP36-NgayBC&lt;=3,"Sắp đến hạn","Theo lịch"))))))))</f>
      </c>
      <c r="AE36" s="223">
        <f>IF($AV36="","",IF($B36="Định kỳ","Bình quân "&amp;IF($AV36&lt;1,MAX(1,ROUND($AV36*60,0))&amp;" phút",IF(ROUND($AV36,0)&lt;24,ROUND($AV36,0)&amp;" giờ",INT(ROUND($AV36,0)/24)&amp;" ngày"&amp;IF(MOD(ROUND($AV36,0),24)&gt;0," "&amp;MOD(ROUND($AV36,0),24)&amp;" giờ","")))&amp;" mỗi kỳ",IF($AV36&lt;1,MAX(1,ROUND($AV36*60,0))&amp;" phút",IF(ROUND($AV36,0)&lt;24,ROUND($AV36,0)&amp;" giờ",INT(ROUND($AV36,0)/24)&amp;" ngày"&amp;IF(MOD(ROUND($AV36,0),24)&gt;0," "&amp;MOD(ROUND($AV36,0),24)&amp;" giờ","")))))</f>
      </c>
      <c r="AF36" s="223">
        <f>IF(OR($A36="",N($AU36)=0),"",IF($AV36&lt;&gt;"",IF($AV36&lt;=$AU36,"Trong ước tính","Vượt "&amp;IF(($AV36-$AU36)&lt;1,MAX(1,ROUND(($AV36-$AU36)*60,0))&amp;" phút",IF(ROUND(($AV36-$AU36),0)&lt;24,ROUND(($AV36-$AU36),0)&amp;" giờ",INT(ROUND(($AV36-$AU36),0)/24)&amp;" ngày"&amp;IF(MOD(ROUND(($AV36-$AU36),0),24)&gt;0," "&amp;MOD(ROUND(($AV36-$AU36),0),24)&amp;" giờ","")))),IF(OR($B36&lt;&gt;"Đột xuất",$AA36="Hoàn thành",N($J36)=0),"",IF((TDBC-$J36)*24&gt;$AU36,"Đã vượt ước tính","Đã dùng "&amp;TEXT((TDBC-$J36)*24/$AU36,"0%")))))</f>
      </c>
      <c r="AG36" s="223">
        <f>IF(N($BB36)=0,"",CHOOSE($BB36,"Nhắc nhở","Cảnh báo","Báo động","Báo động đỏ"))</f>
      </c>
      <c r="AH36" s="223">
        <f>IF(OR($B36&lt;&gt;"Đột xuất",$AA36&lt;&gt;"Hoàn thành",N($X36)=0,$AW36=0),"",IF($X36&lt;=$AW36,"Đúng hạn","Trễ hạn"))</f>
      </c>
      <c r="AI36" s="220">
        <f>IF($A36="","",_xlfn.MAXIFS('Nhật ký tiến độ'!$B$6:$B$3005,'Nhật ký tiến độ'!$C$6:$C$3005,$A36))</f>
      </c>
      <c r="AJ36" s="225">
        <f>IF(OR($A36="",$B36&lt;&gt;"Định kỳ"),0,IFERROR(INDEX(DM_TanSuatNgay,MATCH($H36,DM_TanSuat,0)),0))</f>
      </c>
      <c r="AK36" s="225">
        <f>IF(OR($A36="",$B36&lt;&gt;"Định kỳ"),0,IFERROR(INDEX(DM_TanSuatThang,MATCH($H36,DM_TanSuat,0)),0))</f>
      </c>
      <c r="AL36" s="225">
        <f>IF(OR($A36="",$B36&lt;&gt;"Định kỳ",N($X36)=0,N($I36)=0),"",IF(INT($X36)&lt;$I36,0,IF($AJ36&gt;0,ROUND((INT($X36)-$I36)/$AJ36,0),IF($AK36&gt;0,ROUND((DATEDIF($I36,INT($X36),"m")+(INT($X36)-EDATE($I36,DATEDIF($I36,INT($X36),"m")))/(EDATE($I36,DATEDIF($I36,INT($X36),"m")+1)-EDATE($I36,DATEDIF($I36,INT($X36),"m"))))/$AK36,0),0))))</f>
      </c>
      <c r="AM36" s="225">
        <f>IF($A36="","",IF(COUNTIF('Nhật ký tiến độ'!$C$6:$C$3005,$A36)=0,0,_xlfn.MAXIFS('Nhật ký tiến độ'!$N$6:$N$3005,'Nhật ký tiến độ'!$C$6:$C$3005,$A36,'Nhật ký tiến độ'!$B$6:$B$3005,_xlfn.MAXIFS('Nhật ký tiến độ'!$B$6:$B$3005,'Nhật ký tiến độ'!$C$6:$C$3005,$A36))))</f>
      </c>
      <c r="AN36" s="225">
        <f>IF($A36="","",IF(N($AM36)=0,"",INDEX('Nhật ký tiến độ'!$E:$E,$AM36)))</f>
      </c>
      <c r="AO36" s="225">
        <f>IF($A36="",0,IF($AA36="Hoàn thành",0,1))</f>
      </c>
      <c r="AP36" s="225">
        <f>IF($AO36=0,0,INT(N($AW36)))</f>
      </c>
      <c r="AQ36" s="225">
        <f>IF(AND($AO36=1,$AJ36&gt;1),$AJ36,0)</f>
      </c>
      <c r="AR36" s="225">
        <f>IF(AND($AO36=1,$AJ36=1),1,0)</f>
      </c>
      <c r="AS36" s="225">
        <f>IF(OR($AO36=0,AND($AR36=1,N($BB36)=0)),"",IF(N($BB36)&gt;0,5-$BB36,IF($AD36="Chậm tiến độ",6,IF($AD36="Đến hạn hôm nay",7,IF(AND($AP36&gt;0,$AP36-NgayBC&lt;=7),8,"")))))</f>
      </c>
      <c r="AT36" s="225">
        <f>IF($AS36="","",$AS36*100000+$AP36+ROW()/100000)</f>
      </c>
      <c r="AU36" s="224">
        <f>IF(OR($A36="",N($R36)&lt;=0),"",IF($S36="Ngày",$R36*24,$R36))</f>
      </c>
      <c r="AV36" s="224">
        <f>IF($A36="","",IF($B36="Đột xuất",IF(OR($AA36&lt;&gt;"Hoàn thành",N($X36)=0,N($J36)=0),"",IF($X36&lt;$J36,"",($X36-$J36)*24)),IFERROR(AVERAGEIFS('Nhật ký tiến độ'!$H$6:$H$3005,'Nhật ký tiến độ'!$C$6:$C$3005,$A36,'Nhật ký tiến độ'!$H$6:$H$3005,"&gt;0"),"")))</f>
      </c>
      <c r="AW36" s="233">
        <f>IF($A36="",0,IF($B36="Đột xuất",$AY36,IF($AX36=0,0,$AX36+1-1/1440)))</f>
      </c>
      <c r="AX36" s="234">
        <f>IF(OR($A36="",$B36&lt;&gt;"Định kỳ",N($I36)=0),0,IF($AL36="",$I36,IF($AJ36&gt;0,$I36+($AL36+1)*$AJ36,IF($AK36&gt;0,EDATE($I36,($AL36+1)*$AK36),$I36))))</f>
      </c>
      <c r="AY36" s="233">
        <f>IF(OR($A36="",$B36&lt;&gt;"Đột xuất"),0,IF(N($K36)&gt;0,IF(MOD($K36,1)=0,$K36+1-1/1440,$K36),IF(N($J36)=0,0,$J36+IF(N($AU36)&gt;0,$AU36,IFERROR(INDEX(DM_SLA_Gio,MATCH($L36,DM_SLA_Cap,0)),168))/24)))</f>
      </c>
      <c r="AZ36" s="225">
        <f>IF(OR($A36="",TRIM($N36)="",COUNTIF('Phản ánh'!$K$6:$K$505,$N36)&gt;0,COUNTIF($N$6:$N36,$N36)&gt;1),0,1)</f>
      </c>
      <c r="BA36" s="225">
        <f>IF($AZ36=1,SUM($AZ$6:$AZ36),"")</f>
      </c>
      <c r="BB36" s="225">
        <f>IF(OR($AO36=0,N($AW36)=0),0,IF(TDBC&lt;=$AW36,0,MAX(1,MIN(4,IF((TDBC-$AW36)*24&lt;24,1,IF((TDBC-$AW36)*24&lt;72,2,IF((TDBC-$AW36)*24&lt;168,3,4)))+IF($B36="Đột xuất",IFERROR(INDEX({2,1,0,-1},MATCH($L36,{"Khẩn cấp","Cao","Trung bình","Thấp"},0)),0),IF($D36="PCCC và an ninh",1,0))))))</f>
      </c>
    </row>
    <row r="37">
      <c r="A37" s="216"/>
      <c r="B37" s="216"/>
      <c r="C37" s="218"/>
      <c r="D37" s="218"/>
      <c r="E37" s="218"/>
      <c r="F37" s="216"/>
      <c r="G37" s="218"/>
      <c r="H37" s="218"/>
      <c r="I37" s="231"/>
      <c r="J37" s="217"/>
      <c r="K37" s="217"/>
      <c r="L37" s="216"/>
      <c r="M37" s="216"/>
      <c r="N37" s="218"/>
      <c r="O37" s="218"/>
      <c r="P37" s="218"/>
      <c r="Q37" s="218"/>
      <c r="R37" s="219"/>
      <c r="S37" s="216"/>
      <c r="T37" s="232"/>
      <c r="U37" s="232"/>
      <c r="V37" s="218"/>
      <c r="W37" s="218"/>
      <c r="X37" s="220">
        <f>IF($A37="","",IF(OR($B37="Định kỳ",$AA37="Hoàn thành"),MAX(_xlfn.MAXIFS('Nhật ký tiến độ'!$B$6:$B$3005,'Nhật ký tiến độ'!$C$6:$C$3005,$A37,'Nhật ký tiến độ'!$E$6:$E$3005,"Hoàn thành kỳ"),_xlfn.MAXIFS('Nhật ký tiến độ'!$B$6:$B$3005,'Nhật ký tiến độ'!$C$6:$C$3005,$A37,'Nhật ký tiến độ'!$E$6:$E$3005,"Hoàn thành")),0))</f>
      </c>
      <c r="Y37" s="220">
        <f>IF($A37="","",IF($B37="Đột xuất",IF($AY37=0,"",$AY37),IF($AX37=0,"",$AX37)))</f>
      </c>
      <c r="Z37" s="223">
        <f>IF(OR($AO37=0,$AW37=0),"",IF(TDBC&gt;$AW37,"Quá "&amp;IF($B37="Định kỳ",(NgayBC-$AP37)&amp;" ngày",IF(((TDBC-$AW37)*24)&lt;1,MAX(1,ROUND(((TDBC-$AW37)*24)*60,0))&amp;" phút",IF(ROUND(((TDBC-$AW37)*24),0)&lt;24,ROUND(((TDBC-$AW37)*24),0)&amp;" giờ",INT(ROUND(((TDBC-$AW37)*24),0)/24)&amp;" ngày"&amp;IF(MOD(ROUND(((TDBC-$AW37)*24),0),24)&gt;0," "&amp;MOD(ROUND(((TDBC-$AW37)*24),0),24)&amp;" giờ","")))),IF($B37="Định kỳ",IF($AP37=NgayBC,"Hôm nay","Còn "&amp;($AP37-NgayBC)&amp;" ngày"),"Còn "&amp;IF((($AW37-TDBC)*24)&lt;1,MAX(1,ROUND((($AW37-TDBC)*24)*60,0))&amp;" phút",IF(ROUND((($AW37-TDBC)*24),0)&lt;24,ROUND((($AW37-TDBC)*24),0)&amp;" giờ",INT(ROUND((($AW37-TDBC)*24),0)/24)&amp;" ngày"&amp;IF(MOD(ROUND((($AW37-TDBC)*24),0),24)&gt;0," "&amp;MOD(ROUND((($AW37-TDBC)*24),0),24)&amp;" giờ",""))))))</f>
      </c>
      <c r="AA37" s="221">
        <f>IF($A37="","",IF(N($AM37)=0,"Chưa bắt đầu",IF(OR($AN37="Hoàn thành kỳ",$AN37="Hoàn thành"),IF($B37="Định kỳ","Chưa bắt đầu","Hoàn thành"),$AN37)))</f>
      </c>
      <c r="AB37" s="222">
        <f>IF($A37="","",IF($AA37="Hoàn thành",1,IF(OR(N($AM37)=0,$AN37="Hoàn thành kỳ",$AN37="Hoàn thành"),0,N(INDEX('Nhật ký tiến độ'!$D:$D,$AM37)))))</f>
      </c>
      <c r="AC37" s="222">
        <f>IF(OR($A37="",$B37&lt;&gt;"Đột xuất",$AA37="Hoàn thành",N($J37)=0,$AW37=0),"",IF(TDBC&lt;=$J37,0,IF(TDBC&gt;=$AW37,1,(TDBC-$J37)/($AW37-$J37))))</f>
      </c>
      <c r="AD37" s="223">
        <f>IF($A37="","",IF($AA37="Hoàn thành","Hoàn thành",IF($AW37=0,"Chưa đặt hạn",IF(TDBC&gt;$AW37,"Quá hạn",IF(AND($B37="Đột xuất",ROUND((N($AC37)-$AB37)*100,0)&gt;=20),"Chậm tiến độ",IF($AP37=NgayBC,"Đến hạn hôm nay",IF($B37="Đột xuất",IF($AW37-TDBC&lt;=1,"Sắp đến hạn","Đúng tiến độ"),IF($AP37-NgayBC&lt;=3,"Sắp đến hạn","Theo lịch"))))))))</f>
      </c>
      <c r="AE37" s="223">
        <f>IF($AV37="","",IF($B37="Định kỳ","Bình quân "&amp;IF($AV37&lt;1,MAX(1,ROUND($AV37*60,0))&amp;" phút",IF(ROUND($AV37,0)&lt;24,ROUND($AV37,0)&amp;" giờ",INT(ROUND($AV37,0)/24)&amp;" ngày"&amp;IF(MOD(ROUND($AV37,0),24)&gt;0," "&amp;MOD(ROUND($AV37,0),24)&amp;" giờ","")))&amp;" mỗi kỳ",IF($AV37&lt;1,MAX(1,ROUND($AV37*60,0))&amp;" phút",IF(ROUND($AV37,0)&lt;24,ROUND($AV37,0)&amp;" giờ",INT(ROUND($AV37,0)/24)&amp;" ngày"&amp;IF(MOD(ROUND($AV37,0),24)&gt;0," "&amp;MOD(ROUND($AV37,0),24)&amp;" giờ","")))))</f>
      </c>
      <c r="AF37" s="223">
        <f>IF(OR($A37="",N($AU37)=0),"",IF($AV37&lt;&gt;"",IF($AV37&lt;=$AU37,"Trong ước tính","Vượt "&amp;IF(($AV37-$AU37)&lt;1,MAX(1,ROUND(($AV37-$AU37)*60,0))&amp;" phút",IF(ROUND(($AV37-$AU37),0)&lt;24,ROUND(($AV37-$AU37),0)&amp;" giờ",INT(ROUND(($AV37-$AU37),0)/24)&amp;" ngày"&amp;IF(MOD(ROUND(($AV37-$AU37),0),24)&gt;0," "&amp;MOD(ROUND(($AV37-$AU37),0),24)&amp;" giờ","")))),IF(OR($B37&lt;&gt;"Đột xuất",$AA37="Hoàn thành",N($J37)=0),"",IF((TDBC-$J37)*24&gt;$AU37,"Đã vượt ước tính","Đã dùng "&amp;TEXT((TDBC-$J37)*24/$AU37,"0%")))))</f>
      </c>
      <c r="AG37" s="223">
        <f>IF(N($BB37)=0,"",CHOOSE($BB37,"Nhắc nhở","Cảnh báo","Báo động","Báo động đỏ"))</f>
      </c>
      <c r="AH37" s="223">
        <f>IF(OR($B37&lt;&gt;"Đột xuất",$AA37&lt;&gt;"Hoàn thành",N($X37)=0,$AW37=0),"",IF($X37&lt;=$AW37,"Đúng hạn","Trễ hạn"))</f>
      </c>
      <c r="AI37" s="220">
        <f>IF($A37="","",_xlfn.MAXIFS('Nhật ký tiến độ'!$B$6:$B$3005,'Nhật ký tiến độ'!$C$6:$C$3005,$A37))</f>
      </c>
      <c r="AJ37" s="225">
        <f>IF(OR($A37="",$B37&lt;&gt;"Định kỳ"),0,IFERROR(INDEX(DM_TanSuatNgay,MATCH($H37,DM_TanSuat,0)),0))</f>
      </c>
      <c r="AK37" s="225">
        <f>IF(OR($A37="",$B37&lt;&gt;"Định kỳ"),0,IFERROR(INDEX(DM_TanSuatThang,MATCH($H37,DM_TanSuat,0)),0))</f>
      </c>
      <c r="AL37" s="225">
        <f>IF(OR($A37="",$B37&lt;&gt;"Định kỳ",N($X37)=0,N($I37)=0),"",IF(INT($X37)&lt;$I37,0,IF($AJ37&gt;0,ROUND((INT($X37)-$I37)/$AJ37,0),IF($AK37&gt;0,ROUND((DATEDIF($I37,INT($X37),"m")+(INT($X37)-EDATE($I37,DATEDIF($I37,INT($X37),"m")))/(EDATE($I37,DATEDIF($I37,INT($X37),"m")+1)-EDATE($I37,DATEDIF($I37,INT($X37),"m"))))/$AK37,0),0))))</f>
      </c>
      <c r="AM37" s="225">
        <f>IF($A37="","",IF(COUNTIF('Nhật ký tiến độ'!$C$6:$C$3005,$A37)=0,0,_xlfn.MAXIFS('Nhật ký tiến độ'!$N$6:$N$3005,'Nhật ký tiến độ'!$C$6:$C$3005,$A37,'Nhật ký tiến độ'!$B$6:$B$3005,_xlfn.MAXIFS('Nhật ký tiến độ'!$B$6:$B$3005,'Nhật ký tiến độ'!$C$6:$C$3005,$A37))))</f>
      </c>
      <c r="AN37" s="225">
        <f>IF($A37="","",IF(N($AM37)=0,"",INDEX('Nhật ký tiến độ'!$E:$E,$AM37)))</f>
      </c>
      <c r="AO37" s="225">
        <f>IF($A37="",0,IF($AA37="Hoàn thành",0,1))</f>
      </c>
      <c r="AP37" s="225">
        <f>IF($AO37=0,0,INT(N($AW37)))</f>
      </c>
      <c r="AQ37" s="225">
        <f>IF(AND($AO37=1,$AJ37&gt;1),$AJ37,0)</f>
      </c>
      <c r="AR37" s="225">
        <f>IF(AND($AO37=1,$AJ37=1),1,0)</f>
      </c>
      <c r="AS37" s="225">
        <f>IF(OR($AO37=0,AND($AR37=1,N($BB37)=0)),"",IF(N($BB37)&gt;0,5-$BB37,IF($AD37="Chậm tiến độ",6,IF($AD37="Đến hạn hôm nay",7,IF(AND($AP37&gt;0,$AP37-NgayBC&lt;=7),8,"")))))</f>
      </c>
      <c r="AT37" s="225">
        <f>IF($AS37="","",$AS37*100000+$AP37+ROW()/100000)</f>
      </c>
      <c r="AU37" s="224">
        <f>IF(OR($A37="",N($R37)&lt;=0),"",IF($S37="Ngày",$R37*24,$R37))</f>
      </c>
      <c r="AV37" s="224">
        <f>IF($A37="","",IF($B37="Đột xuất",IF(OR($AA37&lt;&gt;"Hoàn thành",N($X37)=0,N($J37)=0),"",IF($X37&lt;$J37,"",($X37-$J37)*24)),IFERROR(AVERAGEIFS('Nhật ký tiến độ'!$H$6:$H$3005,'Nhật ký tiến độ'!$C$6:$C$3005,$A37,'Nhật ký tiến độ'!$H$6:$H$3005,"&gt;0"),"")))</f>
      </c>
      <c r="AW37" s="233">
        <f>IF($A37="",0,IF($B37="Đột xuất",$AY37,IF($AX37=0,0,$AX37+1-1/1440)))</f>
      </c>
      <c r="AX37" s="234">
        <f>IF(OR($A37="",$B37&lt;&gt;"Định kỳ",N($I37)=0),0,IF($AL37="",$I37,IF($AJ37&gt;0,$I37+($AL37+1)*$AJ37,IF($AK37&gt;0,EDATE($I37,($AL37+1)*$AK37),$I37))))</f>
      </c>
      <c r="AY37" s="233">
        <f>IF(OR($A37="",$B37&lt;&gt;"Đột xuất"),0,IF(N($K37)&gt;0,IF(MOD($K37,1)=0,$K37+1-1/1440,$K37),IF(N($J37)=0,0,$J37+IF(N($AU37)&gt;0,$AU37,IFERROR(INDEX(DM_SLA_Gio,MATCH($L37,DM_SLA_Cap,0)),168))/24)))</f>
      </c>
      <c r="AZ37" s="225">
        <f>IF(OR($A37="",TRIM($N37)="",COUNTIF('Phản ánh'!$K$6:$K$505,$N37)&gt;0,COUNTIF($N$6:$N37,$N37)&gt;1),0,1)</f>
      </c>
      <c r="BA37" s="225">
        <f>IF($AZ37=1,SUM($AZ$6:$AZ37),"")</f>
      </c>
      <c r="BB37" s="225">
        <f>IF(OR($AO37=0,N($AW37)=0),0,IF(TDBC&lt;=$AW37,0,MAX(1,MIN(4,IF((TDBC-$AW37)*24&lt;24,1,IF((TDBC-$AW37)*24&lt;72,2,IF((TDBC-$AW37)*24&lt;168,3,4)))+IF($B37="Đột xuất",IFERROR(INDEX({2,1,0,-1},MATCH($L37,{"Khẩn cấp","Cao","Trung bình","Thấp"},0)),0),IF($D37="PCCC và an ninh",1,0))))))</f>
      </c>
    </row>
    <row r="38">
      <c r="A38" s="216"/>
      <c r="B38" s="216"/>
      <c r="C38" s="218"/>
      <c r="D38" s="218"/>
      <c r="E38" s="218"/>
      <c r="F38" s="216"/>
      <c r="G38" s="218"/>
      <c r="H38" s="218"/>
      <c r="I38" s="231"/>
      <c r="J38" s="217"/>
      <c r="K38" s="217"/>
      <c r="L38" s="216"/>
      <c r="M38" s="216"/>
      <c r="N38" s="218"/>
      <c r="O38" s="218"/>
      <c r="P38" s="218"/>
      <c r="Q38" s="218"/>
      <c r="R38" s="219"/>
      <c r="S38" s="216"/>
      <c r="T38" s="232"/>
      <c r="U38" s="232"/>
      <c r="V38" s="218"/>
      <c r="W38" s="218"/>
      <c r="X38" s="220">
        <f>IF($A38="","",IF(OR($B38="Định kỳ",$AA38="Hoàn thành"),MAX(_xlfn.MAXIFS('Nhật ký tiến độ'!$B$6:$B$3005,'Nhật ký tiến độ'!$C$6:$C$3005,$A38,'Nhật ký tiến độ'!$E$6:$E$3005,"Hoàn thành kỳ"),_xlfn.MAXIFS('Nhật ký tiến độ'!$B$6:$B$3005,'Nhật ký tiến độ'!$C$6:$C$3005,$A38,'Nhật ký tiến độ'!$E$6:$E$3005,"Hoàn thành")),0))</f>
      </c>
      <c r="Y38" s="220">
        <f>IF($A38="","",IF($B38="Đột xuất",IF($AY38=0,"",$AY38),IF($AX38=0,"",$AX38)))</f>
      </c>
      <c r="Z38" s="223">
        <f>IF(OR($AO38=0,$AW38=0),"",IF(TDBC&gt;$AW38,"Quá "&amp;IF($B38="Định kỳ",(NgayBC-$AP38)&amp;" ngày",IF(((TDBC-$AW38)*24)&lt;1,MAX(1,ROUND(((TDBC-$AW38)*24)*60,0))&amp;" phút",IF(ROUND(((TDBC-$AW38)*24),0)&lt;24,ROUND(((TDBC-$AW38)*24),0)&amp;" giờ",INT(ROUND(((TDBC-$AW38)*24),0)/24)&amp;" ngày"&amp;IF(MOD(ROUND(((TDBC-$AW38)*24),0),24)&gt;0," "&amp;MOD(ROUND(((TDBC-$AW38)*24),0),24)&amp;" giờ","")))),IF($B38="Định kỳ",IF($AP38=NgayBC,"Hôm nay","Còn "&amp;($AP38-NgayBC)&amp;" ngày"),"Còn "&amp;IF((($AW38-TDBC)*24)&lt;1,MAX(1,ROUND((($AW38-TDBC)*24)*60,0))&amp;" phút",IF(ROUND((($AW38-TDBC)*24),0)&lt;24,ROUND((($AW38-TDBC)*24),0)&amp;" giờ",INT(ROUND((($AW38-TDBC)*24),0)/24)&amp;" ngày"&amp;IF(MOD(ROUND((($AW38-TDBC)*24),0),24)&gt;0," "&amp;MOD(ROUND((($AW38-TDBC)*24),0),24)&amp;" giờ",""))))))</f>
      </c>
      <c r="AA38" s="221">
        <f>IF($A38="","",IF(N($AM38)=0,"Chưa bắt đầu",IF(OR($AN38="Hoàn thành kỳ",$AN38="Hoàn thành"),IF($B38="Định kỳ","Chưa bắt đầu","Hoàn thành"),$AN38)))</f>
      </c>
      <c r="AB38" s="222">
        <f>IF($A38="","",IF($AA38="Hoàn thành",1,IF(OR(N($AM38)=0,$AN38="Hoàn thành kỳ",$AN38="Hoàn thành"),0,N(INDEX('Nhật ký tiến độ'!$D:$D,$AM38)))))</f>
      </c>
      <c r="AC38" s="222">
        <f>IF(OR($A38="",$B38&lt;&gt;"Đột xuất",$AA38="Hoàn thành",N($J38)=0,$AW38=0),"",IF(TDBC&lt;=$J38,0,IF(TDBC&gt;=$AW38,1,(TDBC-$J38)/($AW38-$J38))))</f>
      </c>
      <c r="AD38" s="223">
        <f>IF($A38="","",IF($AA38="Hoàn thành","Hoàn thành",IF($AW38=0,"Chưa đặt hạn",IF(TDBC&gt;$AW38,"Quá hạn",IF(AND($B38="Đột xuất",ROUND((N($AC38)-$AB38)*100,0)&gt;=20),"Chậm tiến độ",IF($AP38=NgayBC,"Đến hạn hôm nay",IF($B38="Đột xuất",IF($AW38-TDBC&lt;=1,"Sắp đến hạn","Đúng tiến độ"),IF($AP38-NgayBC&lt;=3,"Sắp đến hạn","Theo lịch"))))))))</f>
      </c>
      <c r="AE38" s="223">
        <f>IF($AV38="","",IF($B38="Định kỳ","Bình quân "&amp;IF($AV38&lt;1,MAX(1,ROUND($AV38*60,0))&amp;" phút",IF(ROUND($AV38,0)&lt;24,ROUND($AV38,0)&amp;" giờ",INT(ROUND($AV38,0)/24)&amp;" ngày"&amp;IF(MOD(ROUND($AV38,0),24)&gt;0," "&amp;MOD(ROUND($AV38,0),24)&amp;" giờ","")))&amp;" mỗi kỳ",IF($AV38&lt;1,MAX(1,ROUND($AV38*60,0))&amp;" phút",IF(ROUND($AV38,0)&lt;24,ROUND($AV38,0)&amp;" giờ",INT(ROUND($AV38,0)/24)&amp;" ngày"&amp;IF(MOD(ROUND($AV38,0),24)&gt;0," "&amp;MOD(ROUND($AV38,0),24)&amp;" giờ","")))))</f>
      </c>
      <c r="AF38" s="223">
        <f>IF(OR($A38="",N($AU38)=0),"",IF($AV38&lt;&gt;"",IF($AV38&lt;=$AU38,"Trong ước tính","Vượt "&amp;IF(($AV38-$AU38)&lt;1,MAX(1,ROUND(($AV38-$AU38)*60,0))&amp;" phút",IF(ROUND(($AV38-$AU38),0)&lt;24,ROUND(($AV38-$AU38),0)&amp;" giờ",INT(ROUND(($AV38-$AU38),0)/24)&amp;" ngày"&amp;IF(MOD(ROUND(($AV38-$AU38),0),24)&gt;0," "&amp;MOD(ROUND(($AV38-$AU38),0),24)&amp;" giờ","")))),IF(OR($B38&lt;&gt;"Đột xuất",$AA38="Hoàn thành",N($J38)=0),"",IF((TDBC-$J38)*24&gt;$AU38,"Đã vượt ước tính","Đã dùng "&amp;TEXT((TDBC-$J38)*24/$AU38,"0%")))))</f>
      </c>
      <c r="AG38" s="223">
        <f>IF(N($BB38)=0,"",CHOOSE($BB38,"Nhắc nhở","Cảnh báo","Báo động","Báo động đỏ"))</f>
      </c>
      <c r="AH38" s="223">
        <f>IF(OR($B38&lt;&gt;"Đột xuất",$AA38&lt;&gt;"Hoàn thành",N($X38)=0,$AW38=0),"",IF($X38&lt;=$AW38,"Đúng hạn","Trễ hạn"))</f>
      </c>
      <c r="AI38" s="220">
        <f>IF($A38="","",_xlfn.MAXIFS('Nhật ký tiến độ'!$B$6:$B$3005,'Nhật ký tiến độ'!$C$6:$C$3005,$A38))</f>
      </c>
      <c r="AJ38" s="225">
        <f>IF(OR($A38="",$B38&lt;&gt;"Định kỳ"),0,IFERROR(INDEX(DM_TanSuatNgay,MATCH($H38,DM_TanSuat,0)),0))</f>
      </c>
      <c r="AK38" s="225">
        <f>IF(OR($A38="",$B38&lt;&gt;"Định kỳ"),0,IFERROR(INDEX(DM_TanSuatThang,MATCH($H38,DM_TanSuat,0)),0))</f>
      </c>
      <c r="AL38" s="225">
        <f>IF(OR($A38="",$B38&lt;&gt;"Định kỳ",N($X38)=0,N($I38)=0),"",IF(INT($X38)&lt;$I38,0,IF($AJ38&gt;0,ROUND((INT($X38)-$I38)/$AJ38,0),IF($AK38&gt;0,ROUND((DATEDIF($I38,INT($X38),"m")+(INT($X38)-EDATE($I38,DATEDIF($I38,INT($X38),"m")))/(EDATE($I38,DATEDIF($I38,INT($X38),"m")+1)-EDATE($I38,DATEDIF($I38,INT($X38),"m"))))/$AK38,0),0))))</f>
      </c>
      <c r="AM38" s="225">
        <f>IF($A38="","",IF(COUNTIF('Nhật ký tiến độ'!$C$6:$C$3005,$A38)=0,0,_xlfn.MAXIFS('Nhật ký tiến độ'!$N$6:$N$3005,'Nhật ký tiến độ'!$C$6:$C$3005,$A38,'Nhật ký tiến độ'!$B$6:$B$3005,_xlfn.MAXIFS('Nhật ký tiến độ'!$B$6:$B$3005,'Nhật ký tiến độ'!$C$6:$C$3005,$A38))))</f>
      </c>
      <c r="AN38" s="225">
        <f>IF($A38="","",IF(N($AM38)=0,"",INDEX('Nhật ký tiến độ'!$E:$E,$AM38)))</f>
      </c>
      <c r="AO38" s="225">
        <f>IF($A38="",0,IF($AA38="Hoàn thành",0,1))</f>
      </c>
      <c r="AP38" s="225">
        <f>IF($AO38=0,0,INT(N($AW38)))</f>
      </c>
      <c r="AQ38" s="225">
        <f>IF(AND($AO38=1,$AJ38&gt;1),$AJ38,0)</f>
      </c>
      <c r="AR38" s="225">
        <f>IF(AND($AO38=1,$AJ38=1),1,0)</f>
      </c>
      <c r="AS38" s="225">
        <f>IF(OR($AO38=0,AND($AR38=1,N($BB38)=0)),"",IF(N($BB38)&gt;0,5-$BB38,IF($AD38="Chậm tiến độ",6,IF($AD38="Đến hạn hôm nay",7,IF(AND($AP38&gt;0,$AP38-NgayBC&lt;=7),8,"")))))</f>
      </c>
      <c r="AT38" s="225">
        <f>IF($AS38="","",$AS38*100000+$AP38+ROW()/100000)</f>
      </c>
      <c r="AU38" s="224">
        <f>IF(OR($A38="",N($R38)&lt;=0),"",IF($S38="Ngày",$R38*24,$R38))</f>
      </c>
      <c r="AV38" s="224">
        <f>IF($A38="","",IF($B38="Đột xuất",IF(OR($AA38&lt;&gt;"Hoàn thành",N($X38)=0,N($J38)=0),"",IF($X38&lt;$J38,"",($X38-$J38)*24)),IFERROR(AVERAGEIFS('Nhật ký tiến độ'!$H$6:$H$3005,'Nhật ký tiến độ'!$C$6:$C$3005,$A38,'Nhật ký tiến độ'!$H$6:$H$3005,"&gt;0"),"")))</f>
      </c>
      <c r="AW38" s="233">
        <f>IF($A38="",0,IF($B38="Đột xuất",$AY38,IF($AX38=0,0,$AX38+1-1/1440)))</f>
      </c>
      <c r="AX38" s="234">
        <f>IF(OR($A38="",$B38&lt;&gt;"Định kỳ",N($I38)=0),0,IF($AL38="",$I38,IF($AJ38&gt;0,$I38+($AL38+1)*$AJ38,IF($AK38&gt;0,EDATE($I38,($AL38+1)*$AK38),$I38))))</f>
      </c>
      <c r="AY38" s="233">
        <f>IF(OR($A38="",$B38&lt;&gt;"Đột xuất"),0,IF(N($K38)&gt;0,IF(MOD($K38,1)=0,$K38+1-1/1440,$K38),IF(N($J38)=0,0,$J38+IF(N($AU38)&gt;0,$AU38,IFERROR(INDEX(DM_SLA_Gio,MATCH($L38,DM_SLA_Cap,0)),168))/24)))</f>
      </c>
      <c r="AZ38" s="225">
        <f>IF(OR($A38="",TRIM($N38)="",COUNTIF('Phản ánh'!$K$6:$K$505,$N38)&gt;0,COUNTIF($N$6:$N38,$N38)&gt;1),0,1)</f>
      </c>
      <c r="BA38" s="225">
        <f>IF($AZ38=1,SUM($AZ$6:$AZ38),"")</f>
      </c>
      <c r="BB38" s="225">
        <f>IF(OR($AO38=0,N($AW38)=0),0,IF(TDBC&lt;=$AW38,0,MAX(1,MIN(4,IF((TDBC-$AW38)*24&lt;24,1,IF((TDBC-$AW38)*24&lt;72,2,IF((TDBC-$AW38)*24&lt;168,3,4)))+IF($B38="Đột xuất",IFERROR(INDEX({2,1,0,-1},MATCH($L38,{"Khẩn cấp","Cao","Trung bình","Thấp"},0)),0),IF($D38="PCCC và an ninh",1,0))))))</f>
      </c>
    </row>
    <row r="39">
      <c r="A39" s="216"/>
      <c r="B39" s="216"/>
      <c r="C39" s="218"/>
      <c r="D39" s="218"/>
      <c r="E39" s="218"/>
      <c r="F39" s="216"/>
      <c r="G39" s="218"/>
      <c r="H39" s="218"/>
      <c r="I39" s="231"/>
      <c r="J39" s="217"/>
      <c r="K39" s="217"/>
      <c r="L39" s="216"/>
      <c r="M39" s="216"/>
      <c r="N39" s="218"/>
      <c r="O39" s="218"/>
      <c r="P39" s="218"/>
      <c r="Q39" s="218"/>
      <c r="R39" s="219"/>
      <c r="S39" s="216"/>
      <c r="T39" s="232"/>
      <c r="U39" s="232"/>
      <c r="V39" s="218"/>
      <c r="W39" s="218"/>
      <c r="X39" s="220">
        <f>IF($A39="","",IF(OR($B39="Định kỳ",$AA39="Hoàn thành"),MAX(_xlfn.MAXIFS('Nhật ký tiến độ'!$B$6:$B$3005,'Nhật ký tiến độ'!$C$6:$C$3005,$A39,'Nhật ký tiến độ'!$E$6:$E$3005,"Hoàn thành kỳ"),_xlfn.MAXIFS('Nhật ký tiến độ'!$B$6:$B$3005,'Nhật ký tiến độ'!$C$6:$C$3005,$A39,'Nhật ký tiến độ'!$E$6:$E$3005,"Hoàn thành")),0))</f>
      </c>
      <c r="Y39" s="220">
        <f>IF($A39="","",IF($B39="Đột xuất",IF($AY39=0,"",$AY39),IF($AX39=0,"",$AX39)))</f>
      </c>
      <c r="Z39" s="223">
        <f>IF(OR($AO39=0,$AW39=0),"",IF(TDBC&gt;$AW39,"Quá "&amp;IF($B39="Định kỳ",(NgayBC-$AP39)&amp;" ngày",IF(((TDBC-$AW39)*24)&lt;1,MAX(1,ROUND(((TDBC-$AW39)*24)*60,0))&amp;" phút",IF(ROUND(((TDBC-$AW39)*24),0)&lt;24,ROUND(((TDBC-$AW39)*24),0)&amp;" giờ",INT(ROUND(((TDBC-$AW39)*24),0)/24)&amp;" ngày"&amp;IF(MOD(ROUND(((TDBC-$AW39)*24),0),24)&gt;0," "&amp;MOD(ROUND(((TDBC-$AW39)*24),0),24)&amp;" giờ","")))),IF($B39="Định kỳ",IF($AP39=NgayBC,"Hôm nay","Còn "&amp;($AP39-NgayBC)&amp;" ngày"),"Còn "&amp;IF((($AW39-TDBC)*24)&lt;1,MAX(1,ROUND((($AW39-TDBC)*24)*60,0))&amp;" phút",IF(ROUND((($AW39-TDBC)*24),0)&lt;24,ROUND((($AW39-TDBC)*24),0)&amp;" giờ",INT(ROUND((($AW39-TDBC)*24),0)/24)&amp;" ngày"&amp;IF(MOD(ROUND((($AW39-TDBC)*24),0),24)&gt;0," "&amp;MOD(ROUND((($AW39-TDBC)*24),0),24)&amp;" giờ",""))))))</f>
      </c>
      <c r="AA39" s="221">
        <f>IF($A39="","",IF(N($AM39)=0,"Chưa bắt đầu",IF(OR($AN39="Hoàn thành kỳ",$AN39="Hoàn thành"),IF($B39="Định kỳ","Chưa bắt đầu","Hoàn thành"),$AN39)))</f>
      </c>
      <c r="AB39" s="222">
        <f>IF($A39="","",IF($AA39="Hoàn thành",1,IF(OR(N($AM39)=0,$AN39="Hoàn thành kỳ",$AN39="Hoàn thành"),0,N(INDEX('Nhật ký tiến độ'!$D:$D,$AM39)))))</f>
      </c>
      <c r="AC39" s="222">
        <f>IF(OR($A39="",$B39&lt;&gt;"Đột xuất",$AA39="Hoàn thành",N($J39)=0,$AW39=0),"",IF(TDBC&lt;=$J39,0,IF(TDBC&gt;=$AW39,1,(TDBC-$J39)/($AW39-$J39))))</f>
      </c>
      <c r="AD39" s="223">
        <f>IF($A39="","",IF($AA39="Hoàn thành","Hoàn thành",IF($AW39=0,"Chưa đặt hạn",IF(TDBC&gt;$AW39,"Quá hạn",IF(AND($B39="Đột xuất",ROUND((N($AC39)-$AB39)*100,0)&gt;=20),"Chậm tiến độ",IF($AP39=NgayBC,"Đến hạn hôm nay",IF($B39="Đột xuất",IF($AW39-TDBC&lt;=1,"Sắp đến hạn","Đúng tiến độ"),IF($AP39-NgayBC&lt;=3,"Sắp đến hạn","Theo lịch"))))))))</f>
      </c>
      <c r="AE39" s="223">
        <f>IF($AV39="","",IF($B39="Định kỳ","Bình quân "&amp;IF($AV39&lt;1,MAX(1,ROUND($AV39*60,0))&amp;" phút",IF(ROUND($AV39,0)&lt;24,ROUND($AV39,0)&amp;" giờ",INT(ROUND($AV39,0)/24)&amp;" ngày"&amp;IF(MOD(ROUND($AV39,0),24)&gt;0," "&amp;MOD(ROUND($AV39,0),24)&amp;" giờ","")))&amp;" mỗi kỳ",IF($AV39&lt;1,MAX(1,ROUND($AV39*60,0))&amp;" phút",IF(ROUND($AV39,0)&lt;24,ROUND($AV39,0)&amp;" giờ",INT(ROUND($AV39,0)/24)&amp;" ngày"&amp;IF(MOD(ROUND($AV39,0),24)&gt;0," "&amp;MOD(ROUND($AV39,0),24)&amp;" giờ","")))))</f>
      </c>
      <c r="AF39" s="223">
        <f>IF(OR($A39="",N($AU39)=0),"",IF($AV39&lt;&gt;"",IF($AV39&lt;=$AU39,"Trong ước tính","Vượt "&amp;IF(($AV39-$AU39)&lt;1,MAX(1,ROUND(($AV39-$AU39)*60,0))&amp;" phút",IF(ROUND(($AV39-$AU39),0)&lt;24,ROUND(($AV39-$AU39),0)&amp;" giờ",INT(ROUND(($AV39-$AU39),0)/24)&amp;" ngày"&amp;IF(MOD(ROUND(($AV39-$AU39),0),24)&gt;0," "&amp;MOD(ROUND(($AV39-$AU39),0),24)&amp;" giờ","")))),IF(OR($B39&lt;&gt;"Đột xuất",$AA39="Hoàn thành",N($J39)=0),"",IF((TDBC-$J39)*24&gt;$AU39,"Đã vượt ước tính","Đã dùng "&amp;TEXT((TDBC-$J39)*24/$AU39,"0%")))))</f>
      </c>
      <c r="AG39" s="223">
        <f>IF(N($BB39)=0,"",CHOOSE($BB39,"Nhắc nhở","Cảnh báo","Báo động","Báo động đỏ"))</f>
      </c>
      <c r="AH39" s="223">
        <f>IF(OR($B39&lt;&gt;"Đột xuất",$AA39&lt;&gt;"Hoàn thành",N($X39)=0,$AW39=0),"",IF($X39&lt;=$AW39,"Đúng hạn","Trễ hạn"))</f>
      </c>
      <c r="AI39" s="220">
        <f>IF($A39="","",_xlfn.MAXIFS('Nhật ký tiến độ'!$B$6:$B$3005,'Nhật ký tiến độ'!$C$6:$C$3005,$A39))</f>
      </c>
      <c r="AJ39" s="225">
        <f>IF(OR($A39="",$B39&lt;&gt;"Định kỳ"),0,IFERROR(INDEX(DM_TanSuatNgay,MATCH($H39,DM_TanSuat,0)),0))</f>
      </c>
      <c r="AK39" s="225">
        <f>IF(OR($A39="",$B39&lt;&gt;"Định kỳ"),0,IFERROR(INDEX(DM_TanSuatThang,MATCH($H39,DM_TanSuat,0)),0))</f>
      </c>
      <c r="AL39" s="225">
        <f>IF(OR($A39="",$B39&lt;&gt;"Định kỳ",N($X39)=0,N($I39)=0),"",IF(INT($X39)&lt;$I39,0,IF($AJ39&gt;0,ROUND((INT($X39)-$I39)/$AJ39,0),IF($AK39&gt;0,ROUND((DATEDIF($I39,INT($X39),"m")+(INT($X39)-EDATE($I39,DATEDIF($I39,INT($X39),"m")))/(EDATE($I39,DATEDIF($I39,INT($X39),"m")+1)-EDATE($I39,DATEDIF($I39,INT($X39),"m"))))/$AK39,0),0))))</f>
      </c>
      <c r="AM39" s="225">
        <f>IF($A39="","",IF(COUNTIF('Nhật ký tiến độ'!$C$6:$C$3005,$A39)=0,0,_xlfn.MAXIFS('Nhật ký tiến độ'!$N$6:$N$3005,'Nhật ký tiến độ'!$C$6:$C$3005,$A39,'Nhật ký tiến độ'!$B$6:$B$3005,_xlfn.MAXIFS('Nhật ký tiến độ'!$B$6:$B$3005,'Nhật ký tiến độ'!$C$6:$C$3005,$A39))))</f>
      </c>
      <c r="AN39" s="225">
        <f>IF($A39="","",IF(N($AM39)=0,"",INDEX('Nhật ký tiến độ'!$E:$E,$AM39)))</f>
      </c>
      <c r="AO39" s="225">
        <f>IF($A39="",0,IF($AA39="Hoàn thành",0,1))</f>
      </c>
      <c r="AP39" s="225">
        <f>IF($AO39=0,0,INT(N($AW39)))</f>
      </c>
      <c r="AQ39" s="225">
        <f>IF(AND($AO39=1,$AJ39&gt;1),$AJ39,0)</f>
      </c>
      <c r="AR39" s="225">
        <f>IF(AND($AO39=1,$AJ39=1),1,0)</f>
      </c>
      <c r="AS39" s="225">
        <f>IF(OR($AO39=0,AND($AR39=1,N($BB39)=0)),"",IF(N($BB39)&gt;0,5-$BB39,IF($AD39="Chậm tiến độ",6,IF($AD39="Đến hạn hôm nay",7,IF(AND($AP39&gt;0,$AP39-NgayBC&lt;=7),8,"")))))</f>
      </c>
      <c r="AT39" s="225">
        <f>IF($AS39="","",$AS39*100000+$AP39+ROW()/100000)</f>
      </c>
      <c r="AU39" s="224">
        <f>IF(OR($A39="",N($R39)&lt;=0),"",IF($S39="Ngày",$R39*24,$R39))</f>
      </c>
      <c r="AV39" s="224">
        <f>IF($A39="","",IF($B39="Đột xuất",IF(OR($AA39&lt;&gt;"Hoàn thành",N($X39)=0,N($J39)=0),"",IF($X39&lt;$J39,"",($X39-$J39)*24)),IFERROR(AVERAGEIFS('Nhật ký tiến độ'!$H$6:$H$3005,'Nhật ký tiến độ'!$C$6:$C$3005,$A39,'Nhật ký tiến độ'!$H$6:$H$3005,"&gt;0"),"")))</f>
      </c>
      <c r="AW39" s="233">
        <f>IF($A39="",0,IF($B39="Đột xuất",$AY39,IF($AX39=0,0,$AX39+1-1/1440)))</f>
      </c>
      <c r="AX39" s="234">
        <f>IF(OR($A39="",$B39&lt;&gt;"Định kỳ",N($I39)=0),0,IF($AL39="",$I39,IF($AJ39&gt;0,$I39+($AL39+1)*$AJ39,IF($AK39&gt;0,EDATE($I39,($AL39+1)*$AK39),$I39))))</f>
      </c>
      <c r="AY39" s="233">
        <f>IF(OR($A39="",$B39&lt;&gt;"Đột xuất"),0,IF(N($K39)&gt;0,IF(MOD($K39,1)=0,$K39+1-1/1440,$K39),IF(N($J39)=0,0,$J39+IF(N($AU39)&gt;0,$AU39,IFERROR(INDEX(DM_SLA_Gio,MATCH($L39,DM_SLA_Cap,0)),168))/24)))</f>
      </c>
      <c r="AZ39" s="225">
        <f>IF(OR($A39="",TRIM($N39)="",COUNTIF('Phản ánh'!$K$6:$K$505,$N39)&gt;0,COUNTIF($N$6:$N39,$N39)&gt;1),0,1)</f>
      </c>
      <c r="BA39" s="225">
        <f>IF($AZ39=1,SUM($AZ$6:$AZ39),"")</f>
      </c>
      <c r="BB39" s="225">
        <f>IF(OR($AO39=0,N($AW39)=0),0,IF(TDBC&lt;=$AW39,0,MAX(1,MIN(4,IF((TDBC-$AW39)*24&lt;24,1,IF((TDBC-$AW39)*24&lt;72,2,IF((TDBC-$AW39)*24&lt;168,3,4)))+IF($B39="Đột xuất",IFERROR(INDEX({2,1,0,-1},MATCH($L39,{"Khẩn cấp","Cao","Trung bình","Thấp"},0)),0),IF($D39="PCCC và an ninh",1,0))))))</f>
      </c>
    </row>
    <row r="40">
      <c r="A40" s="216"/>
      <c r="B40" s="216"/>
      <c r="C40" s="218"/>
      <c r="D40" s="218"/>
      <c r="E40" s="218"/>
      <c r="F40" s="216"/>
      <c r="G40" s="218"/>
      <c r="H40" s="218"/>
      <c r="I40" s="231"/>
      <c r="J40" s="217"/>
      <c r="K40" s="217"/>
      <c r="L40" s="216"/>
      <c r="M40" s="216"/>
      <c r="N40" s="218"/>
      <c r="O40" s="218"/>
      <c r="P40" s="218"/>
      <c r="Q40" s="218"/>
      <c r="R40" s="219"/>
      <c r="S40" s="216"/>
      <c r="T40" s="232"/>
      <c r="U40" s="232"/>
      <c r="V40" s="218"/>
      <c r="W40" s="218"/>
      <c r="X40" s="220">
        <f>IF($A40="","",IF(OR($B40="Định kỳ",$AA40="Hoàn thành"),MAX(_xlfn.MAXIFS('Nhật ký tiến độ'!$B$6:$B$3005,'Nhật ký tiến độ'!$C$6:$C$3005,$A40,'Nhật ký tiến độ'!$E$6:$E$3005,"Hoàn thành kỳ"),_xlfn.MAXIFS('Nhật ký tiến độ'!$B$6:$B$3005,'Nhật ký tiến độ'!$C$6:$C$3005,$A40,'Nhật ký tiến độ'!$E$6:$E$3005,"Hoàn thành")),0))</f>
      </c>
      <c r="Y40" s="220">
        <f>IF($A40="","",IF($B40="Đột xuất",IF($AY40=0,"",$AY40),IF($AX40=0,"",$AX40)))</f>
      </c>
      <c r="Z40" s="223">
        <f>IF(OR($AO40=0,$AW40=0),"",IF(TDBC&gt;$AW40,"Quá "&amp;IF($B40="Định kỳ",(NgayBC-$AP40)&amp;" ngày",IF(((TDBC-$AW40)*24)&lt;1,MAX(1,ROUND(((TDBC-$AW40)*24)*60,0))&amp;" phút",IF(ROUND(((TDBC-$AW40)*24),0)&lt;24,ROUND(((TDBC-$AW40)*24),0)&amp;" giờ",INT(ROUND(((TDBC-$AW40)*24),0)/24)&amp;" ngày"&amp;IF(MOD(ROUND(((TDBC-$AW40)*24),0),24)&gt;0," "&amp;MOD(ROUND(((TDBC-$AW40)*24),0),24)&amp;" giờ","")))),IF($B40="Định kỳ",IF($AP40=NgayBC,"Hôm nay","Còn "&amp;($AP40-NgayBC)&amp;" ngày"),"Còn "&amp;IF((($AW40-TDBC)*24)&lt;1,MAX(1,ROUND((($AW40-TDBC)*24)*60,0))&amp;" phút",IF(ROUND((($AW40-TDBC)*24),0)&lt;24,ROUND((($AW40-TDBC)*24),0)&amp;" giờ",INT(ROUND((($AW40-TDBC)*24),0)/24)&amp;" ngày"&amp;IF(MOD(ROUND((($AW40-TDBC)*24),0),24)&gt;0," "&amp;MOD(ROUND((($AW40-TDBC)*24),0),24)&amp;" giờ",""))))))</f>
      </c>
      <c r="AA40" s="221">
        <f>IF($A40="","",IF(N($AM40)=0,"Chưa bắt đầu",IF(OR($AN40="Hoàn thành kỳ",$AN40="Hoàn thành"),IF($B40="Định kỳ","Chưa bắt đầu","Hoàn thành"),$AN40)))</f>
      </c>
      <c r="AB40" s="222">
        <f>IF($A40="","",IF($AA40="Hoàn thành",1,IF(OR(N($AM40)=0,$AN40="Hoàn thành kỳ",$AN40="Hoàn thành"),0,N(INDEX('Nhật ký tiến độ'!$D:$D,$AM40)))))</f>
      </c>
      <c r="AC40" s="222">
        <f>IF(OR($A40="",$B40&lt;&gt;"Đột xuất",$AA40="Hoàn thành",N($J40)=0,$AW40=0),"",IF(TDBC&lt;=$J40,0,IF(TDBC&gt;=$AW40,1,(TDBC-$J40)/($AW40-$J40))))</f>
      </c>
      <c r="AD40" s="223">
        <f>IF($A40="","",IF($AA40="Hoàn thành","Hoàn thành",IF($AW40=0,"Chưa đặt hạn",IF(TDBC&gt;$AW40,"Quá hạn",IF(AND($B40="Đột xuất",ROUND((N($AC40)-$AB40)*100,0)&gt;=20),"Chậm tiến độ",IF($AP40=NgayBC,"Đến hạn hôm nay",IF($B40="Đột xuất",IF($AW40-TDBC&lt;=1,"Sắp đến hạn","Đúng tiến độ"),IF($AP40-NgayBC&lt;=3,"Sắp đến hạn","Theo lịch"))))))))</f>
      </c>
      <c r="AE40" s="223">
        <f>IF($AV40="","",IF($B40="Định kỳ","Bình quân "&amp;IF($AV40&lt;1,MAX(1,ROUND($AV40*60,0))&amp;" phút",IF(ROUND($AV40,0)&lt;24,ROUND($AV40,0)&amp;" giờ",INT(ROUND($AV40,0)/24)&amp;" ngày"&amp;IF(MOD(ROUND($AV40,0),24)&gt;0," "&amp;MOD(ROUND($AV40,0),24)&amp;" giờ","")))&amp;" mỗi kỳ",IF($AV40&lt;1,MAX(1,ROUND($AV40*60,0))&amp;" phút",IF(ROUND($AV40,0)&lt;24,ROUND($AV40,0)&amp;" giờ",INT(ROUND($AV40,0)/24)&amp;" ngày"&amp;IF(MOD(ROUND($AV40,0),24)&gt;0," "&amp;MOD(ROUND($AV40,0),24)&amp;" giờ","")))))</f>
      </c>
      <c r="AF40" s="223">
        <f>IF(OR($A40="",N($AU40)=0),"",IF($AV40&lt;&gt;"",IF($AV40&lt;=$AU40,"Trong ước tính","Vượt "&amp;IF(($AV40-$AU40)&lt;1,MAX(1,ROUND(($AV40-$AU40)*60,0))&amp;" phút",IF(ROUND(($AV40-$AU40),0)&lt;24,ROUND(($AV40-$AU40),0)&amp;" giờ",INT(ROUND(($AV40-$AU40),0)/24)&amp;" ngày"&amp;IF(MOD(ROUND(($AV40-$AU40),0),24)&gt;0," "&amp;MOD(ROUND(($AV40-$AU40),0),24)&amp;" giờ","")))),IF(OR($B40&lt;&gt;"Đột xuất",$AA40="Hoàn thành",N($J40)=0),"",IF((TDBC-$J40)*24&gt;$AU40,"Đã vượt ước tính","Đã dùng "&amp;TEXT((TDBC-$J40)*24/$AU40,"0%")))))</f>
      </c>
      <c r="AG40" s="223">
        <f>IF(N($BB40)=0,"",CHOOSE($BB40,"Nhắc nhở","Cảnh báo","Báo động","Báo động đỏ"))</f>
      </c>
      <c r="AH40" s="223">
        <f>IF(OR($B40&lt;&gt;"Đột xuất",$AA40&lt;&gt;"Hoàn thành",N($X40)=0,$AW40=0),"",IF($X40&lt;=$AW40,"Đúng hạn","Trễ hạn"))</f>
      </c>
      <c r="AI40" s="220">
        <f>IF($A40="","",_xlfn.MAXIFS('Nhật ký tiến độ'!$B$6:$B$3005,'Nhật ký tiến độ'!$C$6:$C$3005,$A40))</f>
      </c>
      <c r="AJ40" s="225">
        <f>IF(OR($A40="",$B40&lt;&gt;"Định kỳ"),0,IFERROR(INDEX(DM_TanSuatNgay,MATCH($H40,DM_TanSuat,0)),0))</f>
      </c>
      <c r="AK40" s="225">
        <f>IF(OR($A40="",$B40&lt;&gt;"Định kỳ"),0,IFERROR(INDEX(DM_TanSuatThang,MATCH($H40,DM_TanSuat,0)),0))</f>
      </c>
      <c r="AL40" s="225">
        <f>IF(OR($A40="",$B40&lt;&gt;"Định kỳ",N($X40)=0,N($I40)=0),"",IF(INT($X40)&lt;$I40,0,IF($AJ40&gt;0,ROUND((INT($X40)-$I40)/$AJ40,0),IF($AK40&gt;0,ROUND((DATEDIF($I40,INT($X40),"m")+(INT($X40)-EDATE($I40,DATEDIF($I40,INT($X40),"m")))/(EDATE($I40,DATEDIF($I40,INT($X40),"m")+1)-EDATE($I40,DATEDIF($I40,INT($X40),"m"))))/$AK40,0),0))))</f>
      </c>
      <c r="AM40" s="225">
        <f>IF($A40="","",IF(COUNTIF('Nhật ký tiến độ'!$C$6:$C$3005,$A40)=0,0,_xlfn.MAXIFS('Nhật ký tiến độ'!$N$6:$N$3005,'Nhật ký tiến độ'!$C$6:$C$3005,$A40,'Nhật ký tiến độ'!$B$6:$B$3005,_xlfn.MAXIFS('Nhật ký tiến độ'!$B$6:$B$3005,'Nhật ký tiến độ'!$C$6:$C$3005,$A40))))</f>
      </c>
      <c r="AN40" s="225">
        <f>IF($A40="","",IF(N($AM40)=0,"",INDEX('Nhật ký tiến độ'!$E:$E,$AM40)))</f>
      </c>
      <c r="AO40" s="225">
        <f>IF($A40="",0,IF($AA40="Hoàn thành",0,1))</f>
      </c>
      <c r="AP40" s="225">
        <f>IF($AO40=0,0,INT(N($AW40)))</f>
      </c>
      <c r="AQ40" s="225">
        <f>IF(AND($AO40=1,$AJ40&gt;1),$AJ40,0)</f>
      </c>
      <c r="AR40" s="225">
        <f>IF(AND($AO40=1,$AJ40=1),1,0)</f>
      </c>
      <c r="AS40" s="225">
        <f>IF(OR($AO40=0,AND($AR40=1,N($BB40)=0)),"",IF(N($BB40)&gt;0,5-$BB40,IF($AD40="Chậm tiến độ",6,IF($AD40="Đến hạn hôm nay",7,IF(AND($AP40&gt;0,$AP40-NgayBC&lt;=7),8,"")))))</f>
      </c>
      <c r="AT40" s="225">
        <f>IF($AS40="","",$AS40*100000+$AP40+ROW()/100000)</f>
      </c>
      <c r="AU40" s="224">
        <f>IF(OR($A40="",N($R40)&lt;=0),"",IF($S40="Ngày",$R40*24,$R40))</f>
      </c>
      <c r="AV40" s="224">
        <f>IF($A40="","",IF($B40="Đột xuất",IF(OR($AA40&lt;&gt;"Hoàn thành",N($X40)=0,N($J40)=0),"",IF($X40&lt;$J40,"",($X40-$J40)*24)),IFERROR(AVERAGEIFS('Nhật ký tiến độ'!$H$6:$H$3005,'Nhật ký tiến độ'!$C$6:$C$3005,$A40,'Nhật ký tiến độ'!$H$6:$H$3005,"&gt;0"),"")))</f>
      </c>
      <c r="AW40" s="233">
        <f>IF($A40="",0,IF($B40="Đột xuất",$AY40,IF($AX40=0,0,$AX40+1-1/1440)))</f>
      </c>
      <c r="AX40" s="234">
        <f>IF(OR($A40="",$B40&lt;&gt;"Định kỳ",N($I40)=0),0,IF($AL40="",$I40,IF($AJ40&gt;0,$I40+($AL40+1)*$AJ40,IF($AK40&gt;0,EDATE($I40,($AL40+1)*$AK40),$I40))))</f>
      </c>
      <c r="AY40" s="233">
        <f>IF(OR($A40="",$B40&lt;&gt;"Đột xuất"),0,IF(N($K40)&gt;0,IF(MOD($K40,1)=0,$K40+1-1/1440,$K40),IF(N($J40)=0,0,$J40+IF(N($AU40)&gt;0,$AU40,IFERROR(INDEX(DM_SLA_Gio,MATCH($L40,DM_SLA_Cap,0)),168))/24)))</f>
      </c>
      <c r="AZ40" s="225">
        <f>IF(OR($A40="",TRIM($N40)="",COUNTIF('Phản ánh'!$K$6:$K$505,$N40)&gt;0,COUNTIF($N$6:$N40,$N40)&gt;1),0,1)</f>
      </c>
      <c r="BA40" s="225">
        <f>IF($AZ40=1,SUM($AZ$6:$AZ40),"")</f>
      </c>
      <c r="BB40" s="225">
        <f>IF(OR($AO40=0,N($AW40)=0),0,IF(TDBC&lt;=$AW40,0,MAX(1,MIN(4,IF((TDBC-$AW40)*24&lt;24,1,IF((TDBC-$AW40)*24&lt;72,2,IF((TDBC-$AW40)*24&lt;168,3,4)))+IF($B40="Đột xuất",IFERROR(INDEX({2,1,0,-1},MATCH($L40,{"Khẩn cấp","Cao","Trung bình","Thấp"},0)),0),IF($D40="PCCC và an ninh",1,0))))))</f>
      </c>
    </row>
    <row r="41">
      <c r="A41" s="216"/>
      <c r="B41" s="216"/>
      <c r="C41" s="218"/>
      <c r="D41" s="218"/>
      <c r="E41" s="218"/>
      <c r="F41" s="216"/>
      <c r="G41" s="218"/>
      <c r="H41" s="218"/>
      <c r="I41" s="231"/>
      <c r="J41" s="217"/>
      <c r="K41" s="217"/>
      <c r="L41" s="216"/>
      <c r="M41" s="216"/>
      <c r="N41" s="218"/>
      <c r="O41" s="218"/>
      <c r="P41" s="218"/>
      <c r="Q41" s="218"/>
      <c r="R41" s="219"/>
      <c r="S41" s="216"/>
      <c r="T41" s="232"/>
      <c r="U41" s="232"/>
      <c r="V41" s="218"/>
      <c r="W41" s="218"/>
      <c r="X41" s="220">
        <f>IF($A41="","",IF(OR($B41="Định kỳ",$AA41="Hoàn thành"),MAX(_xlfn.MAXIFS('Nhật ký tiến độ'!$B$6:$B$3005,'Nhật ký tiến độ'!$C$6:$C$3005,$A41,'Nhật ký tiến độ'!$E$6:$E$3005,"Hoàn thành kỳ"),_xlfn.MAXIFS('Nhật ký tiến độ'!$B$6:$B$3005,'Nhật ký tiến độ'!$C$6:$C$3005,$A41,'Nhật ký tiến độ'!$E$6:$E$3005,"Hoàn thành")),0))</f>
      </c>
      <c r="Y41" s="220">
        <f>IF($A41="","",IF($B41="Đột xuất",IF($AY41=0,"",$AY41),IF($AX41=0,"",$AX41)))</f>
      </c>
      <c r="Z41" s="223">
        <f>IF(OR($AO41=0,$AW41=0),"",IF(TDBC&gt;$AW41,"Quá "&amp;IF($B41="Định kỳ",(NgayBC-$AP41)&amp;" ngày",IF(((TDBC-$AW41)*24)&lt;1,MAX(1,ROUND(((TDBC-$AW41)*24)*60,0))&amp;" phút",IF(ROUND(((TDBC-$AW41)*24),0)&lt;24,ROUND(((TDBC-$AW41)*24),0)&amp;" giờ",INT(ROUND(((TDBC-$AW41)*24),0)/24)&amp;" ngày"&amp;IF(MOD(ROUND(((TDBC-$AW41)*24),0),24)&gt;0," "&amp;MOD(ROUND(((TDBC-$AW41)*24),0),24)&amp;" giờ","")))),IF($B41="Định kỳ",IF($AP41=NgayBC,"Hôm nay","Còn "&amp;($AP41-NgayBC)&amp;" ngày"),"Còn "&amp;IF((($AW41-TDBC)*24)&lt;1,MAX(1,ROUND((($AW41-TDBC)*24)*60,0))&amp;" phút",IF(ROUND((($AW41-TDBC)*24),0)&lt;24,ROUND((($AW41-TDBC)*24),0)&amp;" giờ",INT(ROUND((($AW41-TDBC)*24),0)/24)&amp;" ngày"&amp;IF(MOD(ROUND((($AW41-TDBC)*24),0),24)&gt;0," "&amp;MOD(ROUND((($AW41-TDBC)*24),0),24)&amp;" giờ",""))))))</f>
      </c>
      <c r="AA41" s="221">
        <f>IF($A41="","",IF(N($AM41)=0,"Chưa bắt đầu",IF(OR($AN41="Hoàn thành kỳ",$AN41="Hoàn thành"),IF($B41="Định kỳ","Chưa bắt đầu","Hoàn thành"),$AN41)))</f>
      </c>
      <c r="AB41" s="222">
        <f>IF($A41="","",IF($AA41="Hoàn thành",1,IF(OR(N($AM41)=0,$AN41="Hoàn thành kỳ",$AN41="Hoàn thành"),0,N(INDEX('Nhật ký tiến độ'!$D:$D,$AM41)))))</f>
      </c>
      <c r="AC41" s="222">
        <f>IF(OR($A41="",$B41&lt;&gt;"Đột xuất",$AA41="Hoàn thành",N($J41)=0,$AW41=0),"",IF(TDBC&lt;=$J41,0,IF(TDBC&gt;=$AW41,1,(TDBC-$J41)/($AW41-$J41))))</f>
      </c>
      <c r="AD41" s="223">
        <f>IF($A41="","",IF($AA41="Hoàn thành","Hoàn thành",IF($AW41=0,"Chưa đặt hạn",IF(TDBC&gt;$AW41,"Quá hạn",IF(AND($B41="Đột xuất",ROUND((N($AC41)-$AB41)*100,0)&gt;=20),"Chậm tiến độ",IF($AP41=NgayBC,"Đến hạn hôm nay",IF($B41="Đột xuất",IF($AW41-TDBC&lt;=1,"Sắp đến hạn","Đúng tiến độ"),IF($AP41-NgayBC&lt;=3,"Sắp đến hạn","Theo lịch"))))))))</f>
      </c>
      <c r="AE41" s="223">
        <f>IF($AV41="","",IF($B41="Định kỳ","Bình quân "&amp;IF($AV41&lt;1,MAX(1,ROUND($AV41*60,0))&amp;" phút",IF(ROUND($AV41,0)&lt;24,ROUND($AV41,0)&amp;" giờ",INT(ROUND($AV41,0)/24)&amp;" ngày"&amp;IF(MOD(ROUND($AV41,0),24)&gt;0," "&amp;MOD(ROUND($AV41,0),24)&amp;" giờ","")))&amp;" mỗi kỳ",IF($AV41&lt;1,MAX(1,ROUND($AV41*60,0))&amp;" phút",IF(ROUND($AV41,0)&lt;24,ROUND($AV41,0)&amp;" giờ",INT(ROUND($AV41,0)/24)&amp;" ngày"&amp;IF(MOD(ROUND($AV41,0),24)&gt;0," "&amp;MOD(ROUND($AV41,0),24)&amp;" giờ","")))))</f>
      </c>
      <c r="AF41" s="223">
        <f>IF(OR($A41="",N($AU41)=0),"",IF($AV41&lt;&gt;"",IF($AV41&lt;=$AU41,"Trong ước tính","Vượt "&amp;IF(($AV41-$AU41)&lt;1,MAX(1,ROUND(($AV41-$AU41)*60,0))&amp;" phút",IF(ROUND(($AV41-$AU41),0)&lt;24,ROUND(($AV41-$AU41),0)&amp;" giờ",INT(ROUND(($AV41-$AU41),0)/24)&amp;" ngày"&amp;IF(MOD(ROUND(($AV41-$AU41),0),24)&gt;0," "&amp;MOD(ROUND(($AV41-$AU41),0),24)&amp;" giờ","")))),IF(OR($B41&lt;&gt;"Đột xuất",$AA41="Hoàn thành",N($J41)=0),"",IF((TDBC-$J41)*24&gt;$AU41,"Đã vượt ước tính","Đã dùng "&amp;TEXT((TDBC-$J41)*24/$AU41,"0%")))))</f>
      </c>
      <c r="AG41" s="223">
        <f>IF(N($BB41)=0,"",CHOOSE($BB41,"Nhắc nhở","Cảnh báo","Báo động","Báo động đỏ"))</f>
      </c>
      <c r="AH41" s="223">
        <f>IF(OR($B41&lt;&gt;"Đột xuất",$AA41&lt;&gt;"Hoàn thành",N($X41)=0,$AW41=0),"",IF($X41&lt;=$AW41,"Đúng hạn","Trễ hạn"))</f>
      </c>
      <c r="AI41" s="220">
        <f>IF($A41="","",_xlfn.MAXIFS('Nhật ký tiến độ'!$B$6:$B$3005,'Nhật ký tiến độ'!$C$6:$C$3005,$A41))</f>
      </c>
      <c r="AJ41" s="225">
        <f>IF(OR($A41="",$B41&lt;&gt;"Định kỳ"),0,IFERROR(INDEX(DM_TanSuatNgay,MATCH($H41,DM_TanSuat,0)),0))</f>
      </c>
      <c r="AK41" s="225">
        <f>IF(OR($A41="",$B41&lt;&gt;"Định kỳ"),0,IFERROR(INDEX(DM_TanSuatThang,MATCH($H41,DM_TanSuat,0)),0))</f>
      </c>
      <c r="AL41" s="225">
        <f>IF(OR($A41="",$B41&lt;&gt;"Định kỳ",N($X41)=0,N($I41)=0),"",IF(INT($X41)&lt;$I41,0,IF($AJ41&gt;0,ROUND((INT($X41)-$I41)/$AJ41,0),IF($AK41&gt;0,ROUND((DATEDIF($I41,INT($X41),"m")+(INT($X41)-EDATE($I41,DATEDIF($I41,INT($X41),"m")))/(EDATE($I41,DATEDIF($I41,INT($X41),"m")+1)-EDATE($I41,DATEDIF($I41,INT($X41),"m"))))/$AK41,0),0))))</f>
      </c>
      <c r="AM41" s="225">
        <f>IF($A41="","",IF(COUNTIF('Nhật ký tiến độ'!$C$6:$C$3005,$A41)=0,0,_xlfn.MAXIFS('Nhật ký tiến độ'!$N$6:$N$3005,'Nhật ký tiến độ'!$C$6:$C$3005,$A41,'Nhật ký tiến độ'!$B$6:$B$3005,_xlfn.MAXIFS('Nhật ký tiến độ'!$B$6:$B$3005,'Nhật ký tiến độ'!$C$6:$C$3005,$A41))))</f>
      </c>
      <c r="AN41" s="225">
        <f>IF($A41="","",IF(N($AM41)=0,"",INDEX('Nhật ký tiến độ'!$E:$E,$AM41)))</f>
      </c>
      <c r="AO41" s="225">
        <f>IF($A41="",0,IF($AA41="Hoàn thành",0,1))</f>
      </c>
      <c r="AP41" s="225">
        <f>IF($AO41=0,0,INT(N($AW41)))</f>
      </c>
      <c r="AQ41" s="225">
        <f>IF(AND($AO41=1,$AJ41&gt;1),$AJ41,0)</f>
      </c>
      <c r="AR41" s="225">
        <f>IF(AND($AO41=1,$AJ41=1),1,0)</f>
      </c>
      <c r="AS41" s="225">
        <f>IF(OR($AO41=0,AND($AR41=1,N($BB41)=0)),"",IF(N($BB41)&gt;0,5-$BB41,IF($AD41="Chậm tiến độ",6,IF($AD41="Đến hạn hôm nay",7,IF(AND($AP41&gt;0,$AP41-NgayBC&lt;=7),8,"")))))</f>
      </c>
      <c r="AT41" s="225">
        <f>IF($AS41="","",$AS41*100000+$AP41+ROW()/100000)</f>
      </c>
      <c r="AU41" s="224">
        <f>IF(OR($A41="",N($R41)&lt;=0),"",IF($S41="Ngày",$R41*24,$R41))</f>
      </c>
      <c r="AV41" s="224">
        <f>IF($A41="","",IF($B41="Đột xuất",IF(OR($AA41&lt;&gt;"Hoàn thành",N($X41)=0,N($J41)=0),"",IF($X41&lt;$J41,"",($X41-$J41)*24)),IFERROR(AVERAGEIFS('Nhật ký tiến độ'!$H$6:$H$3005,'Nhật ký tiến độ'!$C$6:$C$3005,$A41,'Nhật ký tiến độ'!$H$6:$H$3005,"&gt;0"),"")))</f>
      </c>
      <c r="AW41" s="233">
        <f>IF($A41="",0,IF($B41="Đột xuất",$AY41,IF($AX41=0,0,$AX41+1-1/1440)))</f>
      </c>
      <c r="AX41" s="234">
        <f>IF(OR($A41="",$B41&lt;&gt;"Định kỳ",N($I41)=0),0,IF($AL41="",$I41,IF($AJ41&gt;0,$I41+($AL41+1)*$AJ41,IF($AK41&gt;0,EDATE($I41,($AL41+1)*$AK41),$I41))))</f>
      </c>
      <c r="AY41" s="233">
        <f>IF(OR($A41="",$B41&lt;&gt;"Đột xuất"),0,IF(N($K41)&gt;0,IF(MOD($K41,1)=0,$K41+1-1/1440,$K41),IF(N($J41)=0,0,$J41+IF(N($AU41)&gt;0,$AU41,IFERROR(INDEX(DM_SLA_Gio,MATCH($L41,DM_SLA_Cap,0)),168))/24)))</f>
      </c>
      <c r="AZ41" s="225">
        <f>IF(OR($A41="",TRIM($N41)="",COUNTIF('Phản ánh'!$K$6:$K$505,$N41)&gt;0,COUNTIF($N$6:$N41,$N41)&gt;1),0,1)</f>
      </c>
      <c r="BA41" s="225">
        <f>IF($AZ41=1,SUM($AZ$6:$AZ41),"")</f>
      </c>
      <c r="BB41" s="225">
        <f>IF(OR($AO41=0,N($AW41)=0),0,IF(TDBC&lt;=$AW41,0,MAX(1,MIN(4,IF((TDBC-$AW41)*24&lt;24,1,IF((TDBC-$AW41)*24&lt;72,2,IF((TDBC-$AW41)*24&lt;168,3,4)))+IF($B41="Đột xuất",IFERROR(INDEX({2,1,0,-1},MATCH($L41,{"Khẩn cấp","Cao","Trung bình","Thấp"},0)),0),IF($D41="PCCC và an ninh",1,0))))))</f>
      </c>
    </row>
    <row r="42">
      <c r="A42" s="216"/>
      <c r="B42" s="216"/>
      <c r="C42" s="218"/>
      <c r="D42" s="218"/>
      <c r="E42" s="218"/>
      <c r="F42" s="216"/>
      <c r="G42" s="218"/>
      <c r="H42" s="218"/>
      <c r="I42" s="231"/>
      <c r="J42" s="217"/>
      <c r="K42" s="217"/>
      <c r="L42" s="216"/>
      <c r="M42" s="216"/>
      <c r="N42" s="218"/>
      <c r="O42" s="218"/>
      <c r="P42" s="218"/>
      <c r="Q42" s="218"/>
      <c r="R42" s="219"/>
      <c r="S42" s="216"/>
      <c r="T42" s="232"/>
      <c r="U42" s="232"/>
      <c r="V42" s="218"/>
      <c r="W42" s="218"/>
      <c r="X42" s="220">
        <f>IF($A42="","",IF(OR($B42="Định kỳ",$AA42="Hoàn thành"),MAX(_xlfn.MAXIFS('Nhật ký tiến độ'!$B$6:$B$3005,'Nhật ký tiến độ'!$C$6:$C$3005,$A42,'Nhật ký tiến độ'!$E$6:$E$3005,"Hoàn thành kỳ"),_xlfn.MAXIFS('Nhật ký tiến độ'!$B$6:$B$3005,'Nhật ký tiến độ'!$C$6:$C$3005,$A42,'Nhật ký tiến độ'!$E$6:$E$3005,"Hoàn thành")),0))</f>
      </c>
      <c r="Y42" s="220">
        <f>IF($A42="","",IF($B42="Đột xuất",IF($AY42=0,"",$AY42),IF($AX42=0,"",$AX42)))</f>
      </c>
      <c r="Z42" s="223">
        <f>IF(OR($AO42=0,$AW42=0),"",IF(TDBC&gt;$AW42,"Quá "&amp;IF($B42="Định kỳ",(NgayBC-$AP42)&amp;" ngày",IF(((TDBC-$AW42)*24)&lt;1,MAX(1,ROUND(((TDBC-$AW42)*24)*60,0))&amp;" phút",IF(ROUND(((TDBC-$AW42)*24),0)&lt;24,ROUND(((TDBC-$AW42)*24),0)&amp;" giờ",INT(ROUND(((TDBC-$AW42)*24),0)/24)&amp;" ngày"&amp;IF(MOD(ROUND(((TDBC-$AW42)*24),0),24)&gt;0," "&amp;MOD(ROUND(((TDBC-$AW42)*24),0),24)&amp;" giờ","")))),IF($B42="Định kỳ",IF($AP42=NgayBC,"Hôm nay","Còn "&amp;($AP42-NgayBC)&amp;" ngày"),"Còn "&amp;IF((($AW42-TDBC)*24)&lt;1,MAX(1,ROUND((($AW42-TDBC)*24)*60,0))&amp;" phút",IF(ROUND((($AW42-TDBC)*24),0)&lt;24,ROUND((($AW42-TDBC)*24),0)&amp;" giờ",INT(ROUND((($AW42-TDBC)*24),0)/24)&amp;" ngày"&amp;IF(MOD(ROUND((($AW42-TDBC)*24),0),24)&gt;0," "&amp;MOD(ROUND((($AW42-TDBC)*24),0),24)&amp;" giờ",""))))))</f>
      </c>
      <c r="AA42" s="221">
        <f>IF($A42="","",IF(N($AM42)=0,"Chưa bắt đầu",IF(OR($AN42="Hoàn thành kỳ",$AN42="Hoàn thành"),IF($B42="Định kỳ","Chưa bắt đầu","Hoàn thành"),$AN42)))</f>
      </c>
      <c r="AB42" s="222">
        <f>IF($A42="","",IF($AA42="Hoàn thành",1,IF(OR(N($AM42)=0,$AN42="Hoàn thành kỳ",$AN42="Hoàn thành"),0,N(INDEX('Nhật ký tiến độ'!$D:$D,$AM42)))))</f>
      </c>
      <c r="AC42" s="222">
        <f>IF(OR($A42="",$B42&lt;&gt;"Đột xuất",$AA42="Hoàn thành",N($J42)=0,$AW42=0),"",IF(TDBC&lt;=$J42,0,IF(TDBC&gt;=$AW42,1,(TDBC-$J42)/($AW42-$J42))))</f>
      </c>
      <c r="AD42" s="223">
        <f>IF($A42="","",IF($AA42="Hoàn thành","Hoàn thành",IF($AW42=0,"Chưa đặt hạn",IF(TDBC&gt;$AW42,"Quá hạn",IF(AND($B42="Đột xuất",ROUND((N($AC42)-$AB42)*100,0)&gt;=20),"Chậm tiến độ",IF($AP42=NgayBC,"Đến hạn hôm nay",IF($B42="Đột xuất",IF($AW42-TDBC&lt;=1,"Sắp đến hạn","Đúng tiến độ"),IF($AP42-NgayBC&lt;=3,"Sắp đến hạn","Theo lịch"))))))))</f>
      </c>
      <c r="AE42" s="223">
        <f>IF($AV42="","",IF($B42="Định kỳ","Bình quân "&amp;IF($AV42&lt;1,MAX(1,ROUND($AV42*60,0))&amp;" phút",IF(ROUND($AV42,0)&lt;24,ROUND($AV42,0)&amp;" giờ",INT(ROUND($AV42,0)/24)&amp;" ngày"&amp;IF(MOD(ROUND($AV42,0),24)&gt;0," "&amp;MOD(ROUND($AV42,0),24)&amp;" giờ","")))&amp;" mỗi kỳ",IF($AV42&lt;1,MAX(1,ROUND($AV42*60,0))&amp;" phút",IF(ROUND($AV42,0)&lt;24,ROUND($AV42,0)&amp;" giờ",INT(ROUND($AV42,0)/24)&amp;" ngày"&amp;IF(MOD(ROUND($AV42,0),24)&gt;0," "&amp;MOD(ROUND($AV42,0),24)&amp;" giờ","")))))</f>
      </c>
      <c r="AF42" s="223">
        <f>IF(OR($A42="",N($AU42)=0),"",IF($AV42&lt;&gt;"",IF($AV42&lt;=$AU42,"Trong ước tính","Vượt "&amp;IF(($AV42-$AU42)&lt;1,MAX(1,ROUND(($AV42-$AU42)*60,0))&amp;" phút",IF(ROUND(($AV42-$AU42),0)&lt;24,ROUND(($AV42-$AU42),0)&amp;" giờ",INT(ROUND(($AV42-$AU42),0)/24)&amp;" ngày"&amp;IF(MOD(ROUND(($AV42-$AU42),0),24)&gt;0," "&amp;MOD(ROUND(($AV42-$AU42),0),24)&amp;" giờ","")))),IF(OR($B42&lt;&gt;"Đột xuất",$AA42="Hoàn thành",N($J42)=0),"",IF((TDBC-$J42)*24&gt;$AU42,"Đã vượt ước tính","Đã dùng "&amp;TEXT((TDBC-$J42)*24/$AU42,"0%")))))</f>
      </c>
      <c r="AG42" s="223">
        <f>IF(N($BB42)=0,"",CHOOSE($BB42,"Nhắc nhở","Cảnh báo","Báo động","Báo động đỏ"))</f>
      </c>
      <c r="AH42" s="223">
        <f>IF(OR($B42&lt;&gt;"Đột xuất",$AA42&lt;&gt;"Hoàn thành",N($X42)=0,$AW42=0),"",IF($X42&lt;=$AW42,"Đúng hạn","Trễ hạn"))</f>
      </c>
      <c r="AI42" s="220">
        <f>IF($A42="","",_xlfn.MAXIFS('Nhật ký tiến độ'!$B$6:$B$3005,'Nhật ký tiến độ'!$C$6:$C$3005,$A42))</f>
      </c>
      <c r="AJ42" s="225">
        <f>IF(OR($A42="",$B42&lt;&gt;"Định kỳ"),0,IFERROR(INDEX(DM_TanSuatNgay,MATCH($H42,DM_TanSuat,0)),0))</f>
      </c>
      <c r="AK42" s="225">
        <f>IF(OR($A42="",$B42&lt;&gt;"Định kỳ"),0,IFERROR(INDEX(DM_TanSuatThang,MATCH($H42,DM_TanSuat,0)),0))</f>
      </c>
      <c r="AL42" s="225">
        <f>IF(OR($A42="",$B42&lt;&gt;"Định kỳ",N($X42)=0,N($I42)=0),"",IF(INT($X42)&lt;$I42,0,IF($AJ42&gt;0,ROUND((INT($X42)-$I42)/$AJ42,0),IF($AK42&gt;0,ROUND((DATEDIF($I42,INT($X42),"m")+(INT($X42)-EDATE($I42,DATEDIF($I42,INT($X42),"m")))/(EDATE($I42,DATEDIF($I42,INT($X42),"m")+1)-EDATE($I42,DATEDIF($I42,INT($X42),"m"))))/$AK42,0),0))))</f>
      </c>
      <c r="AM42" s="225">
        <f>IF($A42="","",IF(COUNTIF('Nhật ký tiến độ'!$C$6:$C$3005,$A42)=0,0,_xlfn.MAXIFS('Nhật ký tiến độ'!$N$6:$N$3005,'Nhật ký tiến độ'!$C$6:$C$3005,$A42,'Nhật ký tiến độ'!$B$6:$B$3005,_xlfn.MAXIFS('Nhật ký tiến độ'!$B$6:$B$3005,'Nhật ký tiến độ'!$C$6:$C$3005,$A42))))</f>
      </c>
      <c r="AN42" s="225">
        <f>IF($A42="","",IF(N($AM42)=0,"",INDEX('Nhật ký tiến độ'!$E:$E,$AM42)))</f>
      </c>
      <c r="AO42" s="225">
        <f>IF($A42="",0,IF($AA42="Hoàn thành",0,1))</f>
      </c>
      <c r="AP42" s="225">
        <f>IF($AO42=0,0,INT(N($AW42)))</f>
      </c>
      <c r="AQ42" s="225">
        <f>IF(AND($AO42=1,$AJ42&gt;1),$AJ42,0)</f>
      </c>
      <c r="AR42" s="225">
        <f>IF(AND($AO42=1,$AJ42=1),1,0)</f>
      </c>
      <c r="AS42" s="225">
        <f>IF(OR($AO42=0,AND($AR42=1,N($BB42)=0)),"",IF(N($BB42)&gt;0,5-$BB42,IF($AD42="Chậm tiến độ",6,IF($AD42="Đến hạn hôm nay",7,IF(AND($AP42&gt;0,$AP42-NgayBC&lt;=7),8,"")))))</f>
      </c>
      <c r="AT42" s="225">
        <f>IF($AS42="","",$AS42*100000+$AP42+ROW()/100000)</f>
      </c>
      <c r="AU42" s="224">
        <f>IF(OR($A42="",N($R42)&lt;=0),"",IF($S42="Ngày",$R42*24,$R42))</f>
      </c>
      <c r="AV42" s="224">
        <f>IF($A42="","",IF($B42="Đột xuất",IF(OR($AA42&lt;&gt;"Hoàn thành",N($X42)=0,N($J42)=0),"",IF($X42&lt;$J42,"",($X42-$J42)*24)),IFERROR(AVERAGEIFS('Nhật ký tiến độ'!$H$6:$H$3005,'Nhật ký tiến độ'!$C$6:$C$3005,$A42,'Nhật ký tiến độ'!$H$6:$H$3005,"&gt;0"),"")))</f>
      </c>
      <c r="AW42" s="233">
        <f>IF($A42="",0,IF($B42="Đột xuất",$AY42,IF($AX42=0,0,$AX42+1-1/1440)))</f>
      </c>
      <c r="AX42" s="234">
        <f>IF(OR($A42="",$B42&lt;&gt;"Định kỳ",N($I42)=0),0,IF($AL42="",$I42,IF($AJ42&gt;0,$I42+($AL42+1)*$AJ42,IF($AK42&gt;0,EDATE($I42,($AL42+1)*$AK42),$I42))))</f>
      </c>
      <c r="AY42" s="233">
        <f>IF(OR($A42="",$B42&lt;&gt;"Đột xuất"),0,IF(N($K42)&gt;0,IF(MOD($K42,1)=0,$K42+1-1/1440,$K42),IF(N($J42)=0,0,$J42+IF(N($AU42)&gt;0,$AU42,IFERROR(INDEX(DM_SLA_Gio,MATCH($L42,DM_SLA_Cap,0)),168))/24)))</f>
      </c>
      <c r="AZ42" s="225">
        <f>IF(OR($A42="",TRIM($N42)="",COUNTIF('Phản ánh'!$K$6:$K$505,$N42)&gt;0,COUNTIF($N$6:$N42,$N42)&gt;1),0,1)</f>
      </c>
      <c r="BA42" s="225">
        <f>IF($AZ42=1,SUM($AZ$6:$AZ42),"")</f>
      </c>
      <c r="BB42" s="225">
        <f>IF(OR($AO42=0,N($AW42)=0),0,IF(TDBC&lt;=$AW42,0,MAX(1,MIN(4,IF((TDBC-$AW42)*24&lt;24,1,IF((TDBC-$AW42)*24&lt;72,2,IF((TDBC-$AW42)*24&lt;168,3,4)))+IF($B42="Đột xuất",IFERROR(INDEX({2,1,0,-1},MATCH($L42,{"Khẩn cấp","Cao","Trung bình","Thấp"},0)),0),IF($D42="PCCC và an ninh",1,0))))))</f>
      </c>
    </row>
    <row r="43">
      <c r="A43" s="216"/>
      <c r="B43" s="216"/>
      <c r="C43" s="218"/>
      <c r="D43" s="218"/>
      <c r="E43" s="218"/>
      <c r="F43" s="216"/>
      <c r="G43" s="218"/>
      <c r="H43" s="218"/>
      <c r="I43" s="231"/>
      <c r="J43" s="217"/>
      <c r="K43" s="217"/>
      <c r="L43" s="216"/>
      <c r="M43" s="216"/>
      <c r="N43" s="218"/>
      <c r="O43" s="218"/>
      <c r="P43" s="218"/>
      <c r="Q43" s="218"/>
      <c r="R43" s="219"/>
      <c r="S43" s="216"/>
      <c r="T43" s="232"/>
      <c r="U43" s="232"/>
      <c r="V43" s="218"/>
      <c r="W43" s="218"/>
      <c r="X43" s="220">
        <f>IF($A43="","",IF(OR($B43="Định kỳ",$AA43="Hoàn thành"),MAX(_xlfn.MAXIFS('Nhật ký tiến độ'!$B$6:$B$3005,'Nhật ký tiến độ'!$C$6:$C$3005,$A43,'Nhật ký tiến độ'!$E$6:$E$3005,"Hoàn thành kỳ"),_xlfn.MAXIFS('Nhật ký tiến độ'!$B$6:$B$3005,'Nhật ký tiến độ'!$C$6:$C$3005,$A43,'Nhật ký tiến độ'!$E$6:$E$3005,"Hoàn thành")),0))</f>
      </c>
      <c r="Y43" s="220">
        <f>IF($A43="","",IF($B43="Đột xuất",IF($AY43=0,"",$AY43),IF($AX43=0,"",$AX43)))</f>
      </c>
      <c r="Z43" s="223">
        <f>IF(OR($AO43=0,$AW43=0),"",IF(TDBC&gt;$AW43,"Quá "&amp;IF($B43="Định kỳ",(NgayBC-$AP43)&amp;" ngày",IF(((TDBC-$AW43)*24)&lt;1,MAX(1,ROUND(((TDBC-$AW43)*24)*60,0))&amp;" phút",IF(ROUND(((TDBC-$AW43)*24),0)&lt;24,ROUND(((TDBC-$AW43)*24),0)&amp;" giờ",INT(ROUND(((TDBC-$AW43)*24),0)/24)&amp;" ngày"&amp;IF(MOD(ROUND(((TDBC-$AW43)*24),0),24)&gt;0," "&amp;MOD(ROUND(((TDBC-$AW43)*24),0),24)&amp;" giờ","")))),IF($B43="Định kỳ",IF($AP43=NgayBC,"Hôm nay","Còn "&amp;($AP43-NgayBC)&amp;" ngày"),"Còn "&amp;IF((($AW43-TDBC)*24)&lt;1,MAX(1,ROUND((($AW43-TDBC)*24)*60,0))&amp;" phút",IF(ROUND((($AW43-TDBC)*24),0)&lt;24,ROUND((($AW43-TDBC)*24),0)&amp;" giờ",INT(ROUND((($AW43-TDBC)*24),0)/24)&amp;" ngày"&amp;IF(MOD(ROUND((($AW43-TDBC)*24),0),24)&gt;0," "&amp;MOD(ROUND((($AW43-TDBC)*24),0),24)&amp;" giờ",""))))))</f>
      </c>
      <c r="AA43" s="221">
        <f>IF($A43="","",IF(N($AM43)=0,"Chưa bắt đầu",IF(OR($AN43="Hoàn thành kỳ",$AN43="Hoàn thành"),IF($B43="Định kỳ","Chưa bắt đầu","Hoàn thành"),$AN43)))</f>
      </c>
      <c r="AB43" s="222">
        <f>IF($A43="","",IF($AA43="Hoàn thành",1,IF(OR(N($AM43)=0,$AN43="Hoàn thành kỳ",$AN43="Hoàn thành"),0,N(INDEX('Nhật ký tiến độ'!$D:$D,$AM43)))))</f>
      </c>
      <c r="AC43" s="222">
        <f>IF(OR($A43="",$B43&lt;&gt;"Đột xuất",$AA43="Hoàn thành",N($J43)=0,$AW43=0),"",IF(TDBC&lt;=$J43,0,IF(TDBC&gt;=$AW43,1,(TDBC-$J43)/($AW43-$J43))))</f>
      </c>
      <c r="AD43" s="223">
        <f>IF($A43="","",IF($AA43="Hoàn thành","Hoàn thành",IF($AW43=0,"Chưa đặt hạn",IF(TDBC&gt;$AW43,"Quá hạn",IF(AND($B43="Đột xuất",ROUND((N($AC43)-$AB43)*100,0)&gt;=20),"Chậm tiến độ",IF($AP43=NgayBC,"Đến hạn hôm nay",IF($B43="Đột xuất",IF($AW43-TDBC&lt;=1,"Sắp đến hạn","Đúng tiến độ"),IF($AP43-NgayBC&lt;=3,"Sắp đến hạn","Theo lịch"))))))))</f>
      </c>
      <c r="AE43" s="223">
        <f>IF($AV43="","",IF($B43="Định kỳ","Bình quân "&amp;IF($AV43&lt;1,MAX(1,ROUND($AV43*60,0))&amp;" phút",IF(ROUND($AV43,0)&lt;24,ROUND($AV43,0)&amp;" giờ",INT(ROUND($AV43,0)/24)&amp;" ngày"&amp;IF(MOD(ROUND($AV43,0),24)&gt;0," "&amp;MOD(ROUND($AV43,0),24)&amp;" giờ","")))&amp;" mỗi kỳ",IF($AV43&lt;1,MAX(1,ROUND($AV43*60,0))&amp;" phút",IF(ROUND($AV43,0)&lt;24,ROUND($AV43,0)&amp;" giờ",INT(ROUND($AV43,0)/24)&amp;" ngày"&amp;IF(MOD(ROUND($AV43,0),24)&gt;0," "&amp;MOD(ROUND($AV43,0),24)&amp;" giờ","")))))</f>
      </c>
      <c r="AF43" s="223">
        <f>IF(OR($A43="",N($AU43)=0),"",IF($AV43&lt;&gt;"",IF($AV43&lt;=$AU43,"Trong ước tính","Vượt "&amp;IF(($AV43-$AU43)&lt;1,MAX(1,ROUND(($AV43-$AU43)*60,0))&amp;" phút",IF(ROUND(($AV43-$AU43),0)&lt;24,ROUND(($AV43-$AU43),0)&amp;" giờ",INT(ROUND(($AV43-$AU43),0)/24)&amp;" ngày"&amp;IF(MOD(ROUND(($AV43-$AU43),0),24)&gt;0," "&amp;MOD(ROUND(($AV43-$AU43),0),24)&amp;" giờ","")))),IF(OR($B43&lt;&gt;"Đột xuất",$AA43="Hoàn thành",N($J43)=0),"",IF((TDBC-$J43)*24&gt;$AU43,"Đã vượt ước tính","Đã dùng "&amp;TEXT((TDBC-$J43)*24/$AU43,"0%")))))</f>
      </c>
      <c r="AG43" s="223">
        <f>IF(N($BB43)=0,"",CHOOSE($BB43,"Nhắc nhở","Cảnh báo","Báo động","Báo động đỏ"))</f>
      </c>
      <c r="AH43" s="223">
        <f>IF(OR($B43&lt;&gt;"Đột xuất",$AA43&lt;&gt;"Hoàn thành",N($X43)=0,$AW43=0),"",IF($X43&lt;=$AW43,"Đúng hạn","Trễ hạn"))</f>
      </c>
      <c r="AI43" s="220">
        <f>IF($A43="","",_xlfn.MAXIFS('Nhật ký tiến độ'!$B$6:$B$3005,'Nhật ký tiến độ'!$C$6:$C$3005,$A43))</f>
      </c>
      <c r="AJ43" s="225">
        <f>IF(OR($A43="",$B43&lt;&gt;"Định kỳ"),0,IFERROR(INDEX(DM_TanSuatNgay,MATCH($H43,DM_TanSuat,0)),0))</f>
      </c>
      <c r="AK43" s="225">
        <f>IF(OR($A43="",$B43&lt;&gt;"Định kỳ"),0,IFERROR(INDEX(DM_TanSuatThang,MATCH($H43,DM_TanSuat,0)),0))</f>
      </c>
      <c r="AL43" s="225">
        <f>IF(OR($A43="",$B43&lt;&gt;"Định kỳ",N($X43)=0,N($I43)=0),"",IF(INT($X43)&lt;$I43,0,IF($AJ43&gt;0,ROUND((INT($X43)-$I43)/$AJ43,0),IF($AK43&gt;0,ROUND((DATEDIF($I43,INT($X43),"m")+(INT($X43)-EDATE($I43,DATEDIF($I43,INT($X43),"m")))/(EDATE($I43,DATEDIF($I43,INT($X43),"m")+1)-EDATE($I43,DATEDIF($I43,INT($X43),"m"))))/$AK43,0),0))))</f>
      </c>
      <c r="AM43" s="225">
        <f>IF($A43="","",IF(COUNTIF('Nhật ký tiến độ'!$C$6:$C$3005,$A43)=0,0,_xlfn.MAXIFS('Nhật ký tiến độ'!$N$6:$N$3005,'Nhật ký tiến độ'!$C$6:$C$3005,$A43,'Nhật ký tiến độ'!$B$6:$B$3005,_xlfn.MAXIFS('Nhật ký tiến độ'!$B$6:$B$3005,'Nhật ký tiến độ'!$C$6:$C$3005,$A43))))</f>
      </c>
      <c r="AN43" s="225">
        <f>IF($A43="","",IF(N($AM43)=0,"",INDEX('Nhật ký tiến độ'!$E:$E,$AM43)))</f>
      </c>
      <c r="AO43" s="225">
        <f>IF($A43="",0,IF($AA43="Hoàn thành",0,1))</f>
      </c>
      <c r="AP43" s="225">
        <f>IF($AO43=0,0,INT(N($AW43)))</f>
      </c>
      <c r="AQ43" s="225">
        <f>IF(AND($AO43=1,$AJ43&gt;1),$AJ43,0)</f>
      </c>
      <c r="AR43" s="225">
        <f>IF(AND($AO43=1,$AJ43=1),1,0)</f>
      </c>
      <c r="AS43" s="225">
        <f>IF(OR($AO43=0,AND($AR43=1,N($BB43)=0)),"",IF(N($BB43)&gt;0,5-$BB43,IF($AD43="Chậm tiến độ",6,IF($AD43="Đến hạn hôm nay",7,IF(AND($AP43&gt;0,$AP43-NgayBC&lt;=7),8,"")))))</f>
      </c>
      <c r="AT43" s="225">
        <f>IF($AS43="","",$AS43*100000+$AP43+ROW()/100000)</f>
      </c>
      <c r="AU43" s="224">
        <f>IF(OR($A43="",N($R43)&lt;=0),"",IF($S43="Ngày",$R43*24,$R43))</f>
      </c>
      <c r="AV43" s="224">
        <f>IF($A43="","",IF($B43="Đột xuất",IF(OR($AA43&lt;&gt;"Hoàn thành",N($X43)=0,N($J43)=0),"",IF($X43&lt;$J43,"",($X43-$J43)*24)),IFERROR(AVERAGEIFS('Nhật ký tiến độ'!$H$6:$H$3005,'Nhật ký tiến độ'!$C$6:$C$3005,$A43,'Nhật ký tiến độ'!$H$6:$H$3005,"&gt;0"),"")))</f>
      </c>
      <c r="AW43" s="233">
        <f>IF($A43="",0,IF($B43="Đột xuất",$AY43,IF($AX43=0,0,$AX43+1-1/1440)))</f>
      </c>
      <c r="AX43" s="234">
        <f>IF(OR($A43="",$B43&lt;&gt;"Định kỳ",N($I43)=0),0,IF($AL43="",$I43,IF($AJ43&gt;0,$I43+($AL43+1)*$AJ43,IF($AK43&gt;0,EDATE($I43,($AL43+1)*$AK43),$I43))))</f>
      </c>
      <c r="AY43" s="233">
        <f>IF(OR($A43="",$B43&lt;&gt;"Đột xuất"),0,IF(N($K43)&gt;0,IF(MOD($K43,1)=0,$K43+1-1/1440,$K43),IF(N($J43)=0,0,$J43+IF(N($AU43)&gt;0,$AU43,IFERROR(INDEX(DM_SLA_Gio,MATCH($L43,DM_SLA_Cap,0)),168))/24)))</f>
      </c>
      <c r="AZ43" s="225">
        <f>IF(OR($A43="",TRIM($N43)="",COUNTIF('Phản ánh'!$K$6:$K$505,$N43)&gt;0,COUNTIF($N$6:$N43,$N43)&gt;1),0,1)</f>
      </c>
      <c r="BA43" s="225">
        <f>IF($AZ43=1,SUM($AZ$6:$AZ43),"")</f>
      </c>
      <c r="BB43" s="225">
        <f>IF(OR($AO43=0,N($AW43)=0),0,IF(TDBC&lt;=$AW43,0,MAX(1,MIN(4,IF((TDBC-$AW43)*24&lt;24,1,IF((TDBC-$AW43)*24&lt;72,2,IF((TDBC-$AW43)*24&lt;168,3,4)))+IF($B43="Đột xuất",IFERROR(INDEX({2,1,0,-1},MATCH($L43,{"Khẩn cấp","Cao","Trung bình","Thấp"},0)),0),IF($D43="PCCC và an ninh",1,0))))))</f>
      </c>
    </row>
    <row r="44">
      <c r="A44" s="216"/>
      <c r="B44" s="216"/>
      <c r="C44" s="218"/>
      <c r="D44" s="218"/>
      <c r="E44" s="218"/>
      <c r="F44" s="216"/>
      <c r="G44" s="218"/>
      <c r="H44" s="218"/>
      <c r="I44" s="231"/>
      <c r="J44" s="217"/>
      <c r="K44" s="217"/>
      <c r="L44" s="216"/>
      <c r="M44" s="216"/>
      <c r="N44" s="218"/>
      <c r="O44" s="218"/>
      <c r="P44" s="218"/>
      <c r="Q44" s="218"/>
      <c r="R44" s="219"/>
      <c r="S44" s="216"/>
      <c r="T44" s="232"/>
      <c r="U44" s="232"/>
      <c r="V44" s="218"/>
      <c r="W44" s="218"/>
      <c r="X44" s="220">
        <f>IF($A44="","",IF(OR($B44="Định kỳ",$AA44="Hoàn thành"),MAX(_xlfn.MAXIFS('Nhật ký tiến độ'!$B$6:$B$3005,'Nhật ký tiến độ'!$C$6:$C$3005,$A44,'Nhật ký tiến độ'!$E$6:$E$3005,"Hoàn thành kỳ"),_xlfn.MAXIFS('Nhật ký tiến độ'!$B$6:$B$3005,'Nhật ký tiến độ'!$C$6:$C$3005,$A44,'Nhật ký tiến độ'!$E$6:$E$3005,"Hoàn thành")),0))</f>
      </c>
      <c r="Y44" s="220">
        <f>IF($A44="","",IF($B44="Đột xuất",IF($AY44=0,"",$AY44),IF($AX44=0,"",$AX44)))</f>
      </c>
      <c r="Z44" s="223">
        <f>IF(OR($AO44=0,$AW44=0),"",IF(TDBC&gt;$AW44,"Quá "&amp;IF($B44="Định kỳ",(NgayBC-$AP44)&amp;" ngày",IF(((TDBC-$AW44)*24)&lt;1,MAX(1,ROUND(((TDBC-$AW44)*24)*60,0))&amp;" phút",IF(ROUND(((TDBC-$AW44)*24),0)&lt;24,ROUND(((TDBC-$AW44)*24),0)&amp;" giờ",INT(ROUND(((TDBC-$AW44)*24),0)/24)&amp;" ngày"&amp;IF(MOD(ROUND(((TDBC-$AW44)*24),0),24)&gt;0," "&amp;MOD(ROUND(((TDBC-$AW44)*24),0),24)&amp;" giờ","")))),IF($B44="Định kỳ",IF($AP44=NgayBC,"Hôm nay","Còn "&amp;($AP44-NgayBC)&amp;" ngày"),"Còn "&amp;IF((($AW44-TDBC)*24)&lt;1,MAX(1,ROUND((($AW44-TDBC)*24)*60,0))&amp;" phút",IF(ROUND((($AW44-TDBC)*24),0)&lt;24,ROUND((($AW44-TDBC)*24),0)&amp;" giờ",INT(ROUND((($AW44-TDBC)*24),0)/24)&amp;" ngày"&amp;IF(MOD(ROUND((($AW44-TDBC)*24),0),24)&gt;0," "&amp;MOD(ROUND((($AW44-TDBC)*24),0),24)&amp;" giờ",""))))))</f>
      </c>
      <c r="AA44" s="221">
        <f>IF($A44="","",IF(N($AM44)=0,"Chưa bắt đầu",IF(OR($AN44="Hoàn thành kỳ",$AN44="Hoàn thành"),IF($B44="Định kỳ","Chưa bắt đầu","Hoàn thành"),$AN44)))</f>
      </c>
      <c r="AB44" s="222">
        <f>IF($A44="","",IF($AA44="Hoàn thành",1,IF(OR(N($AM44)=0,$AN44="Hoàn thành kỳ",$AN44="Hoàn thành"),0,N(INDEX('Nhật ký tiến độ'!$D:$D,$AM44)))))</f>
      </c>
      <c r="AC44" s="222">
        <f>IF(OR($A44="",$B44&lt;&gt;"Đột xuất",$AA44="Hoàn thành",N($J44)=0,$AW44=0),"",IF(TDBC&lt;=$J44,0,IF(TDBC&gt;=$AW44,1,(TDBC-$J44)/($AW44-$J44))))</f>
      </c>
      <c r="AD44" s="223">
        <f>IF($A44="","",IF($AA44="Hoàn thành","Hoàn thành",IF($AW44=0,"Chưa đặt hạn",IF(TDBC&gt;$AW44,"Quá hạn",IF(AND($B44="Đột xuất",ROUND((N($AC44)-$AB44)*100,0)&gt;=20),"Chậm tiến độ",IF($AP44=NgayBC,"Đến hạn hôm nay",IF($B44="Đột xuất",IF($AW44-TDBC&lt;=1,"Sắp đến hạn","Đúng tiến độ"),IF($AP44-NgayBC&lt;=3,"Sắp đến hạn","Theo lịch"))))))))</f>
      </c>
      <c r="AE44" s="223">
        <f>IF($AV44="","",IF($B44="Định kỳ","Bình quân "&amp;IF($AV44&lt;1,MAX(1,ROUND($AV44*60,0))&amp;" phút",IF(ROUND($AV44,0)&lt;24,ROUND($AV44,0)&amp;" giờ",INT(ROUND($AV44,0)/24)&amp;" ngày"&amp;IF(MOD(ROUND($AV44,0),24)&gt;0," "&amp;MOD(ROUND($AV44,0),24)&amp;" giờ","")))&amp;" mỗi kỳ",IF($AV44&lt;1,MAX(1,ROUND($AV44*60,0))&amp;" phút",IF(ROUND($AV44,0)&lt;24,ROUND($AV44,0)&amp;" giờ",INT(ROUND($AV44,0)/24)&amp;" ngày"&amp;IF(MOD(ROUND($AV44,0),24)&gt;0," "&amp;MOD(ROUND($AV44,0),24)&amp;" giờ","")))))</f>
      </c>
      <c r="AF44" s="223">
        <f>IF(OR($A44="",N($AU44)=0),"",IF($AV44&lt;&gt;"",IF($AV44&lt;=$AU44,"Trong ước tính","Vượt "&amp;IF(($AV44-$AU44)&lt;1,MAX(1,ROUND(($AV44-$AU44)*60,0))&amp;" phút",IF(ROUND(($AV44-$AU44),0)&lt;24,ROUND(($AV44-$AU44),0)&amp;" giờ",INT(ROUND(($AV44-$AU44),0)/24)&amp;" ngày"&amp;IF(MOD(ROUND(($AV44-$AU44),0),24)&gt;0," "&amp;MOD(ROUND(($AV44-$AU44),0),24)&amp;" giờ","")))),IF(OR($B44&lt;&gt;"Đột xuất",$AA44="Hoàn thành",N($J44)=0),"",IF((TDBC-$J44)*24&gt;$AU44,"Đã vượt ước tính","Đã dùng "&amp;TEXT((TDBC-$J44)*24/$AU44,"0%")))))</f>
      </c>
      <c r="AG44" s="223">
        <f>IF(N($BB44)=0,"",CHOOSE($BB44,"Nhắc nhở","Cảnh báo","Báo động","Báo động đỏ"))</f>
      </c>
      <c r="AH44" s="223">
        <f>IF(OR($B44&lt;&gt;"Đột xuất",$AA44&lt;&gt;"Hoàn thành",N($X44)=0,$AW44=0),"",IF($X44&lt;=$AW44,"Đúng hạn","Trễ hạn"))</f>
      </c>
      <c r="AI44" s="220">
        <f>IF($A44="","",_xlfn.MAXIFS('Nhật ký tiến độ'!$B$6:$B$3005,'Nhật ký tiến độ'!$C$6:$C$3005,$A44))</f>
      </c>
      <c r="AJ44" s="225">
        <f>IF(OR($A44="",$B44&lt;&gt;"Định kỳ"),0,IFERROR(INDEX(DM_TanSuatNgay,MATCH($H44,DM_TanSuat,0)),0))</f>
      </c>
      <c r="AK44" s="225">
        <f>IF(OR($A44="",$B44&lt;&gt;"Định kỳ"),0,IFERROR(INDEX(DM_TanSuatThang,MATCH($H44,DM_TanSuat,0)),0))</f>
      </c>
      <c r="AL44" s="225">
        <f>IF(OR($A44="",$B44&lt;&gt;"Định kỳ",N($X44)=0,N($I44)=0),"",IF(INT($X44)&lt;$I44,0,IF($AJ44&gt;0,ROUND((INT($X44)-$I44)/$AJ44,0),IF($AK44&gt;0,ROUND((DATEDIF($I44,INT($X44),"m")+(INT($X44)-EDATE($I44,DATEDIF($I44,INT($X44),"m")))/(EDATE($I44,DATEDIF($I44,INT($X44),"m")+1)-EDATE($I44,DATEDIF($I44,INT($X44),"m"))))/$AK44,0),0))))</f>
      </c>
      <c r="AM44" s="225">
        <f>IF($A44="","",IF(COUNTIF('Nhật ký tiến độ'!$C$6:$C$3005,$A44)=0,0,_xlfn.MAXIFS('Nhật ký tiến độ'!$N$6:$N$3005,'Nhật ký tiến độ'!$C$6:$C$3005,$A44,'Nhật ký tiến độ'!$B$6:$B$3005,_xlfn.MAXIFS('Nhật ký tiến độ'!$B$6:$B$3005,'Nhật ký tiến độ'!$C$6:$C$3005,$A44))))</f>
      </c>
      <c r="AN44" s="225">
        <f>IF($A44="","",IF(N($AM44)=0,"",INDEX('Nhật ký tiến độ'!$E:$E,$AM44)))</f>
      </c>
      <c r="AO44" s="225">
        <f>IF($A44="",0,IF($AA44="Hoàn thành",0,1))</f>
      </c>
      <c r="AP44" s="225">
        <f>IF($AO44=0,0,INT(N($AW44)))</f>
      </c>
      <c r="AQ44" s="225">
        <f>IF(AND($AO44=1,$AJ44&gt;1),$AJ44,0)</f>
      </c>
      <c r="AR44" s="225">
        <f>IF(AND($AO44=1,$AJ44=1),1,0)</f>
      </c>
      <c r="AS44" s="225">
        <f>IF(OR($AO44=0,AND($AR44=1,N($BB44)=0)),"",IF(N($BB44)&gt;0,5-$BB44,IF($AD44="Chậm tiến độ",6,IF($AD44="Đến hạn hôm nay",7,IF(AND($AP44&gt;0,$AP44-NgayBC&lt;=7),8,"")))))</f>
      </c>
      <c r="AT44" s="225">
        <f>IF($AS44="","",$AS44*100000+$AP44+ROW()/100000)</f>
      </c>
      <c r="AU44" s="224">
        <f>IF(OR($A44="",N($R44)&lt;=0),"",IF($S44="Ngày",$R44*24,$R44))</f>
      </c>
      <c r="AV44" s="224">
        <f>IF($A44="","",IF($B44="Đột xuất",IF(OR($AA44&lt;&gt;"Hoàn thành",N($X44)=0,N($J44)=0),"",IF($X44&lt;$J44,"",($X44-$J44)*24)),IFERROR(AVERAGEIFS('Nhật ký tiến độ'!$H$6:$H$3005,'Nhật ký tiến độ'!$C$6:$C$3005,$A44,'Nhật ký tiến độ'!$H$6:$H$3005,"&gt;0"),"")))</f>
      </c>
      <c r="AW44" s="233">
        <f>IF($A44="",0,IF($B44="Đột xuất",$AY44,IF($AX44=0,0,$AX44+1-1/1440)))</f>
      </c>
      <c r="AX44" s="234">
        <f>IF(OR($A44="",$B44&lt;&gt;"Định kỳ",N($I44)=0),0,IF($AL44="",$I44,IF($AJ44&gt;0,$I44+($AL44+1)*$AJ44,IF($AK44&gt;0,EDATE($I44,($AL44+1)*$AK44),$I44))))</f>
      </c>
      <c r="AY44" s="233">
        <f>IF(OR($A44="",$B44&lt;&gt;"Đột xuất"),0,IF(N($K44)&gt;0,IF(MOD($K44,1)=0,$K44+1-1/1440,$K44),IF(N($J44)=0,0,$J44+IF(N($AU44)&gt;0,$AU44,IFERROR(INDEX(DM_SLA_Gio,MATCH($L44,DM_SLA_Cap,0)),168))/24)))</f>
      </c>
      <c r="AZ44" s="225">
        <f>IF(OR($A44="",TRIM($N44)="",COUNTIF('Phản ánh'!$K$6:$K$505,$N44)&gt;0,COUNTIF($N$6:$N44,$N44)&gt;1),0,1)</f>
      </c>
      <c r="BA44" s="225">
        <f>IF($AZ44=1,SUM($AZ$6:$AZ44),"")</f>
      </c>
      <c r="BB44" s="225">
        <f>IF(OR($AO44=0,N($AW44)=0),0,IF(TDBC&lt;=$AW44,0,MAX(1,MIN(4,IF((TDBC-$AW44)*24&lt;24,1,IF((TDBC-$AW44)*24&lt;72,2,IF((TDBC-$AW44)*24&lt;168,3,4)))+IF($B44="Đột xuất",IFERROR(INDEX({2,1,0,-1},MATCH($L44,{"Khẩn cấp","Cao","Trung bình","Thấp"},0)),0),IF($D44="PCCC và an ninh",1,0))))))</f>
      </c>
    </row>
    <row r="45">
      <c r="A45" s="216"/>
      <c r="B45" s="216"/>
      <c r="C45" s="218"/>
      <c r="D45" s="218"/>
      <c r="E45" s="218"/>
      <c r="F45" s="216"/>
      <c r="G45" s="218"/>
      <c r="H45" s="218"/>
      <c r="I45" s="231"/>
      <c r="J45" s="217"/>
      <c r="K45" s="217"/>
      <c r="L45" s="216"/>
      <c r="M45" s="216"/>
      <c r="N45" s="218"/>
      <c r="O45" s="218"/>
      <c r="P45" s="218"/>
      <c r="Q45" s="218"/>
      <c r="R45" s="219"/>
      <c r="S45" s="216"/>
      <c r="T45" s="232"/>
      <c r="U45" s="232"/>
      <c r="V45" s="218"/>
      <c r="W45" s="218"/>
      <c r="X45" s="220">
        <f>IF($A45="","",IF(OR($B45="Định kỳ",$AA45="Hoàn thành"),MAX(_xlfn.MAXIFS('Nhật ký tiến độ'!$B$6:$B$3005,'Nhật ký tiến độ'!$C$6:$C$3005,$A45,'Nhật ký tiến độ'!$E$6:$E$3005,"Hoàn thành kỳ"),_xlfn.MAXIFS('Nhật ký tiến độ'!$B$6:$B$3005,'Nhật ký tiến độ'!$C$6:$C$3005,$A45,'Nhật ký tiến độ'!$E$6:$E$3005,"Hoàn thành")),0))</f>
      </c>
      <c r="Y45" s="220">
        <f>IF($A45="","",IF($B45="Đột xuất",IF($AY45=0,"",$AY45),IF($AX45=0,"",$AX45)))</f>
      </c>
      <c r="Z45" s="223">
        <f>IF(OR($AO45=0,$AW45=0),"",IF(TDBC&gt;$AW45,"Quá "&amp;IF($B45="Định kỳ",(NgayBC-$AP45)&amp;" ngày",IF(((TDBC-$AW45)*24)&lt;1,MAX(1,ROUND(((TDBC-$AW45)*24)*60,0))&amp;" phút",IF(ROUND(((TDBC-$AW45)*24),0)&lt;24,ROUND(((TDBC-$AW45)*24),0)&amp;" giờ",INT(ROUND(((TDBC-$AW45)*24),0)/24)&amp;" ngày"&amp;IF(MOD(ROUND(((TDBC-$AW45)*24),0),24)&gt;0," "&amp;MOD(ROUND(((TDBC-$AW45)*24),0),24)&amp;" giờ","")))),IF($B45="Định kỳ",IF($AP45=NgayBC,"Hôm nay","Còn "&amp;($AP45-NgayBC)&amp;" ngày"),"Còn "&amp;IF((($AW45-TDBC)*24)&lt;1,MAX(1,ROUND((($AW45-TDBC)*24)*60,0))&amp;" phút",IF(ROUND((($AW45-TDBC)*24),0)&lt;24,ROUND((($AW45-TDBC)*24),0)&amp;" giờ",INT(ROUND((($AW45-TDBC)*24),0)/24)&amp;" ngày"&amp;IF(MOD(ROUND((($AW45-TDBC)*24),0),24)&gt;0," "&amp;MOD(ROUND((($AW45-TDBC)*24),0),24)&amp;" giờ",""))))))</f>
      </c>
      <c r="AA45" s="221">
        <f>IF($A45="","",IF(N($AM45)=0,"Chưa bắt đầu",IF(OR($AN45="Hoàn thành kỳ",$AN45="Hoàn thành"),IF($B45="Định kỳ","Chưa bắt đầu","Hoàn thành"),$AN45)))</f>
      </c>
      <c r="AB45" s="222">
        <f>IF($A45="","",IF($AA45="Hoàn thành",1,IF(OR(N($AM45)=0,$AN45="Hoàn thành kỳ",$AN45="Hoàn thành"),0,N(INDEX('Nhật ký tiến độ'!$D:$D,$AM45)))))</f>
      </c>
      <c r="AC45" s="222">
        <f>IF(OR($A45="",$B45&lt;&gt;"Đột xuất",$AA45="Hoàn thành",N($J45)=0,$AW45=0),"",IF(TDBC&lt;=$J45,0,IF(TDBC&gt;=$AW45,1,(TDBC-$J45)/($AW45-$J45))))</f>
      </c>
      <c r="AD45" s="223">
        <f>IF($A45="","",IF($AA45="Hoàn thành","Hoàn thành",IF($AW45=0,"Chưa đặt hạn",IF(TDBC&gt;$AW45,"Quá hạn",IF(AND($B45="Đột xuất",ROUND((N($AC45)-$AB45)*100,0)&gt;=20),"Chậm tiến độ",IF($AP45=NgayBC,"Đến hạn hôm nay",IF($B45="Đột xuất",IF($AW45-TDBC&lt;=1,"Sắp đến hạn","Đúng tiến độ"),IF($AP45-NgayBC&lt;=3,"Sắp đến hạn","Theo lịch"))))))))</f>
      </c>
      <c r="AE45" s="223">
        <f>IF($AV45="","",IF($B45="Định kỳ","Bình quân "&amp;IF($AV45&lt;1,MAX(1,ROUND($AV45*60,0))&amp;" phút",IF(ROUND($AV45,0)&lt;24,ROUND($AV45,0)&amp;" giờ",INT(ROUND($AV45,0)/24)&amp;" ngày"&amp;IF(MOD(ROUND($AV45,0),24)&gt;0," "&amp;MOD(ROUND($AV45,0),24)&amp;" giờ","")))&amp;" mỗi kỳ",IF($AV45&lt;1,MAX(1,ROUND($AV45*60,0))&amp;" phút",IF(ROUND($AV45,0)&lt;24,ROUND($AV45,0)&amp;" giờ",INT(ROUND($AV45,0)/24)&amp;" ngày"&amp;IF(MOD(ROUND($AV45,0),24)&gt;0," "&amp;MOD(ROUND($AV45,0),24)&amp;" giờ","")))))</f>
      </c>
      <c r="AF45" s="223">
        <f>IF(OR($A45="",N($AU45)=0),"",IF($AV45&lt;&gt;"",IF($AV45&lt;=$AU45,"Trong ước tính","Vượt "&amp;IF(($AV45-$AU45)&lt;1,MAX(1,ROUND(($AV45-$AU45)*60,0))&amp;" phút",IF(ROUND(($AV45-$AU45),0)&lt;24,ROUND(($AV45-$AU45),0)&amp;" giờ",INT(ROUND(($AV45-$AU45),0)/24)&amp;" ngày"&amp;IF(MOD(ROUND(($AV45-$AU45),0),24)&gt;0," "&amp;MOD(ROUND(($AV45-$AU45),0),24)&amp;" giờ","")))),IF(OR($B45&lt;&gt;"Đột xuất",$AA45="Hoàn thành",N($J45)=0),"",IF((TDBC-$J45)*24&gt;$AU45,"Đã vượt ước tính","Đã dùng "&amp;TEXT((TDBC-$J45)*24/$AU45,"0%")))))</f>
      </c>
      <c r="AG45" s="223">
        <f>IF(N($BB45)=0,"",CHOOSE($BB45,"Nhắc nhở","Cảnh báo","Báo động","Báo động đỏ"))</f>
      </c>
      <c r="AH45" s="223">
        <f>IF(OR($B45&lt;&gt;"Đột xuất",$AA45&lt;&gt;"Hoàn thành",N($X45)=0,$AW45=0),"",IF($X45&lt;=$AW45,"Đúng hạn","Trễ hạn"))</f>
      </c>
      <c r="AI45" s="220">
        <f>IF($A45="","",_xlfn.MAXIFS('Nhật ký tiến độ'!$B$6:$B$3005,'Nhật ký tiến độ'!$C$6:$C$3005,$A45))</f>
      </c>
      <c r="AJ45" s="225">
        <f>IF(OR($A45="",$B45&lt;&gt;"Định kỳ"),0,IFERROR(INDEX(DM_TanSuatNgay,MATCH($H45,DM_TanSuat,0)),0))</f>
      </c>
      <c r="AK45" s="225">
        <f>IF(OR($A45="",$B45&lt;&gt;"Định kỳ"),0,IFERROR(INDEX(DM_TanSuatThang,MATCH($H45,DM_TanSuat,0)),0))</f>
      </c>
      <c r="AL45" s="225">
        <f>IF(OR($A45="",$B45&lt;&gt;"Định kỳ",N($X45)=0,N($I45)=0),"",IF(INT($X45)&lt;$I45,0,IF($AJ45&gt;0,ROUND((INT($X45)-$I45)/$AJ45,0),IF($AK45&gt;0,ROUND((DATEDIF($I45,INT($X45),"m")+(INT($X45)-EDATE($I45,DATEDIF($I45,INT($X45),"m")))/(EDATE($I45,DATEDIF($I45,INT($X45),"m")+1)-EDATE($I45,DATEDIF($I45,INT($X45),"m"))))/$AK45,0),0))))</f>
      </c>
      <c r="AM45" s="225">
        <f>IF($A45="","",IF(COUNTIF('Nhật ký tiến độ'!$C$6:$C$3005,$A45)=0,0,_xlfn.MAXIFS('Nhật ký tiến độ'!$N$6:$N$3005,'Nhật ký tiến độ'!$C$6:$C$3005,$A45,'Nhật ký tiến độ'!$B$6:$B$3005,_xlfn.MAXIFS('Nhật ký tiến độ'!$B$6:$B$3005,'Nhật ký tiến độ'!$C$6:$C$3005,$A45))))</f>
      </c>
      <c r="AN45" s="225">
        <f>IF($A45="","",IF(N($AM45)=0,"",INDEX('Nhật ký tiến độ'!$E:$E,$AM45)))</f>
      </c>
      <c r="AO45" s="225">
        <f>IF($A45="",0,IF($AA45="Hoàn thành",0,1))</f>
      </c>
      <c r="AP45" s="225">
        <f>IF($AO45=0,0,INT(N($AW45)))</f>
      </c>
      <c r="AQ45" s="225">
        <f>IF(AND($AO45=1,$AJ45&gt;1),$AJ45,0)</f>
      </c>
      <c r="AR45" s="225">
        <f>IF(AND($AO45=1,$AJ45=1),1,0)</f>
      </c>
      <c r="AS45" s="225">
        <f>IF(OR($AO45=0,AND($AR45=1,N($BB45)=0)),"",IF(N($BB45)&gt;0,5-$BB45,IF($AD45="Chậm tiến độ",6,IF($AD45="Đến hạn hôm nay",7,IF(AND($AP45&gt;0,$AP45-NgayBC&lt;=7),8,"")))))</f>
      </c>
      <c r="AT45" s="225">
        <f>IF($AS45="","",$AS45*100000+$AP45+ROW()/100000)</f>
      </c>
      <c r="AU45" s="224">
        <f>IF(OR($A45="",N($R45)&lt;=0),"",IF($S45="Ngày",$R45*24,$R45))</f>
      </c>
      <c r="AV45" s="224">
        <f>IF($A45="","",IF($B45="Đột xuất",IF(OR($AA45&lt;&gt;"Hoàn thành",N($X45)=0,N($J45)=0),"",IF($X45&lt;$J45,"",($X45-$J45)*24)),IFERROR(AVERAGEIFS('Nhật ký tiến độ'!$H$6:$H$3005,'Nhật ký tiến độ'!$C$6:$C$3005,$A45,'Nhật ký tiến độ'!$H$6:$H$3005,"&gt;0"),"")))</f>
      </c>
      <c r="AW45" s="233">
        <f>IF($A45="",0,IF($B45="Đột xuất",$AY45,IF($AX45=0,0,$AX45+1-1/1440)))</f>
      </c>
      <c r="AX45" s="234">
        <f>IF(OR($A45="",$B45&lt;&gt;"Định kỳ",N($I45)=0),0,IF($AL45="",$I45,IF($AJ45&gt;0,$I45+($AL45+1)*$AJ45,IF($AK45&gt;0,EDATE($I45,($AL45+1)*$AK45),$I45))))</f>
      </c>
      <c r="AY45" s="233">
        <f>IF(OR($A45="",$B45&lt;&gt;"Đột xuất"),0,IF(N($K45)&gt;0,IF(MOD($K45,1)=0,$K45+1-1/1440,$K45),IF(N($J45)=0,0,$J45+IF(N($AU45)&gt;0,$AU45,IFERROR(INDEX(DM_SLA_Gio,MATCH($L45,DM_SLA_Cap,0)),168))/24)))</f>
      </c>
      <c r="AZ45" s="225">
        <f>IF(OR($A45="",TRIM($N45)="",COUNTIF('Phản ánh'!$K$6:$K$505,$N45)&gt;0,COUNTIF($N$6:$N45,$N45)&gt;1),0,1)</f>
      </c>
      <c r="BA45" s="225">
        <f>IF($AZ45=1,SUM($AZ$6:$AZ45),"")</f>
      </c>
      <c r="BB45" s="225">
        <f>IF(OR($AO45=0,N($AW45)=0),0,IF(TDBC&lt;=$AW45,0,MAX(1,MIN(4,IF((TDBC-$AW45)*24&lt;24,1,IF((TDBC-$AW45)*24&lt;72,2,IF((TDBC-$AW45)*24&lt;168,3,4)))+IF($B45="Đột xuất",IFERROR(INDEX({2,1,0,-1},MATCH($L45,{"Khẩn cấp","Cao","Trung bình","Thấp"},0)),0),IF($D45="PCCC và an ninh",1,0))))))</f>
      </c>
    </row>
    <row r="46">
      <c r="A46" s="216"/>
      <c r="B46" s="216"/>
      <c r="C46" s="218"/>
      <c r="D46" s="218"/>
      <c r="E46" s="218"/>
      <c r="F46" s="216"/>
      <c r="G46" s="218"/>
      <c r="H46" s="218"/>
      <c r="I46" s="231"/>
      <c r="J46" s="217"/>
      <c r="K46" s="217"/>
      <c r="L46" s="216"/>
      <c r="M46" s="216"/>
      <c r="N46" s="218"/>
      <c r="O46" s="218"/>
      <c r="P46" s="218"/>
      <c r="Q46" s="218"/>
      <c r="R46" s="219"/>
      <c r="S46" s="216"/>
      <c r="T46" s="232"/>
      <c r="U46" s="232"/>
      <c r="V46" s="218"/>
      <c r="W46" s="218"/>
      <c r="X46" s="220">
        <f>IF($A46="","",IF(OR($B46="Định kỳ",$AA46="Hoàn thành"),MAX(_xlfn.MAXIFS('Nhật ký tiến độ'!$B$6:$B$3005,'Nhật ký tiến độ'!$C$6:$C$3005,$A46,'Nhật ký tiến độ'!$E$6:$E$3005,"Hoàn thành kỳ"),_xlfn.MAXIFS('Nhật ký tiến độ'!$B$6:$B$3005,'Nhật ký tiến độ'!$C$6:$C$3005,$A46,'Nhật ký tiến độ'!$E$6:$E$3005,"Hoàn thành")),0))</f>
      </c>
      <c r="Y46" s="220">
        <f>IF($A46="","",IF($B46="Đột xuất",IF($AY46=0,"",$AY46),IF($AX46=0,"",$AX46)))</f>
      </c>
      <c r="Z46" s="223">
        <f>IF(OR($AO46=0,$AW46=0),"",IF(TDBC&gt;$AW46,"Quá "&amp;IF($B46="Định kỳ",(NgayBC-$AP46)&amp;" ngày",IF(((TDBC-$AW46)*24)&lt;1,MAX(1,ROUND(((TDBC-$AW46)*24)*60,0))&amp;" phút",IF(ROUND(((TDBC-$AW46)*24),0)&lt;24,ROUND(((TDBC-$AW46)*24),0)&amp;" giờ",INT(ROUND(((TDBC-$AW46)*24),0)/24)&amp;" ngày"&amp;IF(MOD(ROUND(((TDBC-$AW46)*24),0),24)&gt;0," "&amp;MOD(ROUND(((TDBC-$AW46)*24),0),24)&amp;" giờ","")))),IF($B46="Định kỳ",IF($AP46=NgayBC,"Hôm nay","Còn "&amp;($AP46-NgayBC)&amp;" ngày"),"Còn "&amp;IF((($AW46-TDBC)*24)&lt;1,MAX(1,ROUND((($AW46-TDBC)*24)*60,0))&amp;" phút",IF(ROUND((($AW46-TDBC)*24),0)&lt;24,ROUND((($AW46-TDBC)*24),0)&amp;" giờ",INT(ROUND((($AW46-TDBC)*24),0)/24)&amp;" ngày"&amp;IF(MOD(ROUND((($AW46-TDBC)*24),0),24)&gt;0," "&amp;MOD(ROUND((($AW46-TDBC)*24),0),24)&amp;" giờ",""))))))</f>
      </c>
      <c r="AA46" s="221">
        <f>IF($A46="","",IF(N($AM46)=0,"Chưa bắt đầu",IF(OR($AN46="Hoàn thành kỳ",$AN46="Hoàn thành"),IF($B46="Định kỳ","Chưa bắt đầu","Hoàn thành"),$AN46)))</f>
      </c>
      <c r="AB46" s="222">
        <f>IF($A46="","",IF($AA46="Hoàn thành",1,IF(OR(N($AM46)=0,$AN46="Hoàn thành kỳ",$AN46="Hoàn thành"),0,N(INDEX('Nhật ký tiến độ'!$D:$D,$AM46)))))</f>
      </c>
      <c r="AC46" s="222">
        <f>IF(OR($A46="",$B46&lt;&gt;"Đột xuất",$AA46="Hoàn thành",N($J46)=0,$AW46=0),"",IF(TDBC&lt;=$J46,0,IF(TDBC&gt;=$AW46,1,(TDBC-$J46)/($AW46-$J46))))</f>
      </c>
      <c r="AD46" s="223">
        <f>IF($A46="","",IF($AA46="Hoàn thành","Hoàn thành",IF($AW46=0,"Chưa đặt hạn",IF(TDBC&gt;$AW46,"Quá hạn",IF(AND($B46="Đột xuất",ROUND((N($AC46)-$AB46)*100,0)&gt;=20),"Chậm tiến độ",IF($AP46=NgayBC,"Đến hạn hôm nay",IF($B46="Đột xuất",IF($AW46-TDBC&lt;=1,"Sắp đến hạn","Đúng tiến độ"),IF($AP46-NgayBC&lt;=3,"Sắp đến hạn","Theo lịch"))))))))</f>
      </c>
      <c r="AE46" s="223">
        <f>IF($AV46="","",IF($B46="Định kỳ","Bình quân "&amp;IF($AV46&lt;1,MAX(1,ROUND($AV46*60,0))&amp;" phút",IF(ROUND($AV46,0)&lt;24,ROUND($AV46,0)&amp;" giờ",INT(ROUND($AV46,0)/24)&amp;" ngày"&amp;IF(MOD(ROUND($AV46,0),24)&gt;0," "&amp;MOD(ROUND($AV46,0),24)&amp;" giờ","")))&amp;" mỗi kỳ",IF($AV46&lt;1,MAX(1,ROUND($AV46*60,0))&amp;" phút",IF(ROUND($AV46,0)&lt;24,ROUND($AV46,0)&amp;" giờ",INT(ROUND($AV46,0)/24)&amp;" ngày"&amp;IF(MOD(ROUND($AV46,0),24)&gt;0," "&amp;MOD(ROUND($AV46,0),24)&amp;" giờ","")))))</f>
      </c>
      <c r="AF46" s="223">
        <f>IF(OR($A46="",N($AU46)=0),"",IF($AV46&lt;&gt;"",IF($AV46&lt;=$AU46,"Trong ước tính","Vượt "&amp;IF(($AV46-$AU46)&lt;1,MAX(1,ROUND(($AV46-$AU46)*60,0))&amp;" phút",IF(ROUND(($AV46-$AU46),0)&lt;24,ROUND(($AV46-$AU46),0)&amp;" giờ",INT(ROUND(($AV46-$AU46),0)/24)&amp;" ngày"&amp;IF(MOD(ROUND(($AV46-$AU46),0),24)&gt;0," "&amp;MOD(ROUND(($AV46-$AU46),0),24)&amp;" giờ","")))),IF(OR($B46&lt;&gt;"Đột xuất",$AA46="Hoàn thành",N($J46)=0),"",IF((TDBC-$J46)*24&gt;$AU46,"Đã vượt ước tính","Đã dùng "&amp;TEXT((TDBC-$J46)*24/$AU46,"0%")))))</f>
      </c>
      <c r="AG46" s="223">
        <f>IF(N($BB46)=0,"",CHOOSE($BB46,"Nhắc nhở","Cảnh báo","Báo động","Báo động đỏ"))</f>
      </c>
      <c r="AH46" s="223">
        <f>IF(OR($B46&lt;&gt;"Đột xuất",$AA46&lt;&gt;"Hoàn thành",N($X46)=0,$AW46=0),"",IF($X46&lt;=$AW46,"Đúng hạn","Trễ hạn"))</f>
      </c>
      <c r="AI46" s="220">
        <f>IF($A46="","",_xlfn.MAXIFS('Nhật ký tiến độ'!$B$6:$B$3005,'Nhật ký tiến độ'!$C$6:$C$3005,$A46))</f>
      </c>
      <c r="AJ46" s="225">
        <f>IF(OR($A46="",$B46&lt;&gt;"Định kỳ"),0,IFERROR(INDEX(DM_TanSuatNgay,MATCH($H46,DM_TanSuat,0)),0))</f>
      </c>
      <c r="AK46" s="225">
        <f>IF(OR($A46="",$B46&lt;&gt;"Định kỳ"),0,IFERROR(INDEX(DM_TanSuatThang,MATCH($H46,DM_TanSuat,0)),0))</f>
      </c>
      <c r="AL46" s="225">
        <f>IF(OR($A46="",$B46&lt;&gt;"Định kỳ",N($X46)=0,N($I46)=0),"",IF(INT($X46)&lt;$I46,0,IF($AJ46&gt;0,ROUND((INT($X46)-$I46)/$AJ46,0),IF($AK46&gt;0,ROUND((DATEDIF($I46,INT($X46),"m")+(INT($X46)-EDATE($I46,DATEDIF($I46,INT($X46),"m")))/(EDATE($I46,DATEDIF($I46,INT($X46),"m")+1)-EDATE($I46,DATEDIF($I46,INT($X46),"m"))))/$AK46,0),0))))</f>
      </c>
      <c r="AM46" s="225">
        <f>IF($A46="","",IF(COUNTIF('Nhật ký tiến độ'!$C$6:$C$3005,$A46)=0,0,_xlfn.MAXIFS('Nhật ký tiến độ'!$N$6:$N$3005,'Nhật ký tiến độ'!$C$6:$C$3005,$A46,'Nhật ký tiến độ'!$B$6:$B$3005,_xlfn.MAXIFS('Nhật ký tiến độ'!$B$6:$B$3005,'Nhật ký tiến độ'!$C$6:$C$3005,$A46))))</f>
      </c>
      <c r="AN46" s="225">
        <f>IF($A46="","",IF(N($AM46)=0,"",INDEX('Nhật ký tiến độ'!$E:$E,$AM46)))</f>
      </c>
      <c r="AO46" s="225">
        <f>IF($A46="",0,IF($AA46="Hoàn thành",0,1))</f>
      </c>
      <c r="AP46" s="225">
        <f>IF($AO46=0,0,INT(N($AW46)))</f>
      </c>
      <c r="AQ46" s="225">
        <f>IF(AND($AO46=1,$AJ46&gt;1),$AJ46,0)</f>
      </c>
      <c r="AR46" s="225">
        <f>IF(AND($AO46=1,$AJ46=1),1,0)</f>
      </c>
      <c r="AS46" s="225">
        <f>IF(OR($AO46=0,AND($AR46=1,N($BB46)=0)),"",IF(N($BB46)&gt;0,5-$BB46,IF($AD46="Chậm tiến độ",6,IF($AD46="Đến hạn hôm nay",7,IF(AND($AP46&gt;0,$AP46-NgayBC&lt;=7),8,"")))))</f>
      </c>
      <c r="AT46" s="225">
        <f>IF($AS46="","",$AS46*100000+$AP46+ROW()/100000)</f>
      </c>
      <c r="AU46" s="224">
        <f>IF(OR($A46="",N($R46)&lt;=0),"",IF($S46="Ngày",$R46*24,$R46))</f>
      </c>
      <c r="AV46" s="224">
        <f>IF($A46="","",IF($B46="Đột xuất",IF(OR($AA46&lt;&gt;"Hoàn thành",N($X46)=0,N($J46)=0),"",IF($X46&lt;$J46,"",($X46-$J46)*24)),IFERROR(AVERAGEIFS('Nhật ký tiến độ'!$H$6:$H$3005,'Nhật ký tiến độ'!$C$6:$C$3005,$A46,'Nhật ký tiến độ'!$H$6:$H$3005,"&gt;0"),"")))</f>
      </c>
      <c r="AW46" s="233">
        <f>IF($A46="",0,IF($B46="Đột xuất",$AY46,IF($AX46=0,0,$AX46+1-1/1440)))</f>
      </c>
      <c r="AX46" s="234">
        <f>IF(OR($A46="",$B46&lt;&gt;"Định kỳ",N($I46)=0),0,IF($AL46="",$I46,IF($AJ46&gt;0,$I46+($AL46+1)*$AJ46,IF($AK46&gt;0,EDATE($I46,($AL46+1)*$AK46),$I46))))</f>
      </c>
      <c r="AY46" s="233">
        <f>IF(OR($A46="",$B46&lt;&gt;"Đột xuất"),0,IF(N($K46)&gt;0,IF(MOD($K46,1)=0,$K46+1-1/1440,$K46),IF(N($J46)=0,0,$J46+IF(N($AU46)&gt;0,$AU46,IFERROR(INDEX(DM_SLA_Gio,MATCH($L46,DM_SLA_Cap,0)),168))/24)))</f>
      </c>
      <c r="AZ46" s="225">
        <f>IF(OR($A46="",TRIM($N46)="",COUNTIF('Phản ánh'!$K$6:$K$505,$N46)&gt;0,COUNTIF($N$6:$N46,$N46)&gt;1),0,1)</f>
      </c>
      <c r="BA46" s="225">
        <f>IF($AZ46=1,SUM($AZ$6:$AZ46),"")</f>
      </c>
      <c r="BB46" s="225">
        <f>IF(OR($AO46=0,N($AW46)=0),0,IF(TDBC&lt;=$AW46,0,MAX(1,MIN(4,IF((TDBC-$AW46)*24&lt;24,1,IF((TDBC-$AW46)*24&lt;72,2,IF((TDBC-$AW46)*24&lt;168,3,4)))+IF($B46="Đột xuất",IFERROR(INDEX({2,1,0,-1},MATCH($L46,{"Khẩn cấp","Cao","Trung bình","Thấp"},0)),0),IF($D46="PCCC và an ninh",1,0))))))</f>
      </c>
    </row>
    <row r="47">
      <c r="A47" s="216"/>
      <c r="B47" s="216"/>
      <c r="C47" s="218"/>
      <c r="D47" s="218"/>
      <c r="E47" s="218"/>
      <c r="F47" s="216"/>
      <c r="G47" s="218"/>
      <c r="H47" s="218"/>
      <c r="I47" s="231"/>
      <c r="J47" s="217"/>
      <c r="K47" s="217"/>
      <c r="L47" s="216"/>
      <c r="M47" s="216"/>
      <c r="N47" s="218"/>
      <c r="O47" s="218"/>
      <c r="P47" s="218"/>
      <c r="Q47" s="218"/>
      <c r="R47" s="219"/>
      <c r="S47" s="216"/>
      <c r="T47" s="232"/>
      <c r="U47" s="232"/>
      <c r="V47" s="218"/>
      <c r="W47" s="218"/>
      <c r="X47" s="220">
        <f>IF($A47="","",IF(OR($B47="Định kỳ",$AA47="Hoàn thành"),MAX(_xlfn.MAXIFS('Nhật ký tiến độ'!$B$6:$B$3005,'Nhật ký tiến độ'!$C$6:$C$3005,$A47,'Nhật ký tiến độ'!$E$6:$E$3005,"Hoàn thành kỳ"),_xlfn.MAXIFS('Nhật ký tiến độ'!$B$6:$B$3005,'Nhật ký tiến độ'!$C$6:$C$3005,$A47,'Nhật ký tiến độ'!$E$6:$E$3005,"Hoàn thành")),0))</f>
      </c>
      <c r="Y47" s="220">
        <f>IF($A47="","",IF($B47="Đột xuất",IF($AY47=0,"",$AY47),IF($AX47=0,"",$AX47)))</f>
      </c>
      <c r="Z47" s="223">
        <f>IF(OR($AO47=0,$AW47=0),"",IF(TDBC&gt;$AW47,"Quá "&amp;IF($B47="Định kỳ",(NgayBC-$AP47)&amp;" ngày",IF(((TDBC-$AW47)*24)&lt;1,MAX(1,ROUND(((TDBC-$AW47)*24)*60,0))&amp;" phút",IF(ROUND(((TDBC-$AW47)*24),0)&lt;24,ROUND(((TDBC-$AW47)*24),0)&amp;" giờ",INT(ROUND(((TDBC-$AW47)*24),0)/24)&amp;" ngày"&amp;IF(MOD(ROUND(((TDBC-$AW47)*24),0),24)&gt;0," "&amp;MOD(ROUND(((TDBC-$AW47)*24),0),24)&amp;" giờ","")))),IF($B47="Định kỳ",IF($AP47=NgayBC,"Hôm nay","Còn "&amp;($AP47-NgayBC)&amp;" ngày"),"Còn "&amp;IF((($AW47-TDBC)*24)&lt;1,MAX(1,ROUND((($AW47-TDBC)*24)*60,0))&amp;" phút",IF(ROUND((($AW47-TDBC)*24),0)&lt;24,ROUND((($AW47-TDBC)*24),0)&amp;" giờ",INT(ROUND((($AW47-TDBC)*24),0)/24)&amp;" ngày"&amp;IF(MOD(ROUND((($AW47-TDBC)*24),0),24)&gt;0," "&amp;MOD(ROUND((($AW47-TDBC)*24),0),24)&amp;" giờ",""))))))</f>
      </c>
      <c r="AA47" s="221">
        <f>IF($A47="","",IF(N($AM47)=0,"Chưa bắt đầu",IF(OR($AN47="Hoàn thành kỳ",$AN47="Hoàn thành"),IF($B47="Định kỳ","Chưa bắt đầu","Hoàn thành"),$AN47)))</f>
      </c>
      <c r="AB47" s="222">
        <f>IF($A47="","",IF($AA47="Hoàn thành",1,IF(OR(N($AM47)=0,$AN47="Hoàn thành kỳ",$AN47="Hoàn thành"),0,N(INDEX('Nhật ký tiến độ'!$D:$D,$AM47)))))</f>
      </c>
      <c r="AC47" s="222">
        <f>IF(OR($A47="",$B47&lt;&gt;"Đột xuất",$AA47="Hoàn thành",N($J47)=0,$AW47=0),"",IF(TDBC&lt;=$J47,0,IF(TDBC&gt;=$AW47,1,(TDBC-$J47)/($AW47-$J47))))</f>
      </c>
      <c r="AD47" s="223">
        <f>IF($A47="","",IF($AA47="Hoàn thành","Hoàn thành",IF($AW47=0,"Chưa đặt hạn",IF(TDBC&gt;$AW47,"Quá hạn",IF(AND($B47="Đột xuất",ROUND((N($AC47)-$AB47)*100,0)&gt;=20),"Chậm tiến độ",IF($AP47=NgayBC,"Đến hạn hôm nay",IF($B47="Đột xuất",IF($AW47-TDBC&lt;=1,"Sắp đến hạn","Đúng tiến độ"),IF($AP47-NgayBC&lt;=3,"Sắp đến hạn","Theo lịch"))))))))</f>
      </c>
      <c r="AE47" s="223">
        <f>IF($AV47="","",IF($B47="Định kỳ","Bình quân "&amp;IF($AV47&lt;1,MAX(1,ROUND($AV47*60,0))&amp;" phút",IF(ROUND($AV47,0)&lt;24,ROUND($AV47,0)&amp;" giờ",INT(ROUND($AV47,0)/24)&amp;" ngày"&amp;IF(MOD(ROUND($AV47,0),24)&gt;0," "&amp;MOD(ROUND($AV47,0),24)&amp;" giờ","")))&amp;" mỗi kỳ",IF($AV47&lt;1,MAX(1,ROUND($AV47*60,0))&amp;" phút",IF(ROUND($AV47,0)&lt;24,ROUND($AV47,0)&amp;" giờ",INT(ROUND($AV47,0)/24)&amp;" ngày"&amp;IF(MOD(ROUND($AV47,0),24)&gt;0," "&amp;MOD(ROUND($AV47,0),24)&amp;" giờ","")))))</f>
      </c>
      <c r="AF47" s="223">
        <f>IF(OR($A47="",N($AU47)=0),"",IF($AV47&lt;&gt;"",IF($AV47&lt;=$AU47,"Trong ước tính","Vượt "&amp;IF(($AV47-$AU47)&lt;1,MAX(1,ROUND(($AV47-$AU47)*60,0))&amp;" phút",IF(ROUND(($AV47-$AU47),0)&lt;24,ROUND(($AV47-$AU47),0)&amp;" giờ",INT(ROUND(($AV47-$AU47),0)/24)&amp;" ngày"&amp;IF(MOD(ROUND(($AV47-$AU47),0),24)&gt;0," "&amp;MOD(ROUND(($AV47-$AU47),0),24)&amp;" giờ","")))),IF(OR($B47&lt;&gt;"Đột xuất",$AA47="Hoàn thành",N($J47)=0),"",IF((TDBC-$J47)*24&gt;$AU47,"Đã vượt ước tính","Đã dùng "&amp;TEXT((TDBC-$J47)*24/$AU47,"0%")))))</f>
      </c>
      <c r="AG47" s="223">
        <f>IF(N($BB47)=0,"",CHOOSE($BB47,"Nhắc nhở","Cảnh báo","Báo động","Báo động đỏ"))</f>
      </c>
      <c r="AH47" s="223">
        <f>IF(OR($B47&lt;&gt;"Đột xuất",$AA47&lt;&gt;"Hoàn thành",N($X47)=0,$AW47=0),"",IF($X47&lt;=$AW47,"Đúng hạn","Trễ hạn"))</f>
      </c>
      <c r="AI47" s="220">
        <f>IF($A47="","",_xlfn.MAXIFS('Nhật ký tiến độ'!$B$6:$B$3005,'Nhật ký tiến độ'!$C$6:$C$3005,$A47))</f>
      </c>
      <c r="AJ47" s="225">
        <f>IF(OR($A47="",$B47&lt;&gt;"Định kỳ"),0,IFERROR(INDEX(DM_TanSuatNgay,MATCH($H47,DM_TanSuat,0)),0))</f>
      </c>
      <c r="AK47" s="225">
        <f>IF(OR($A47="",$B47&lt;&gt;"Định kỳ"),0,IFERROR(INDEX(DM_TanSuatThang,MATCH($H47,DM_TanSuat,0)),0))</f>
      </c>
      <c r="AL47" s="225">
        <f>IF(OR($A47="",$B47&lt;&gt;"Định kỳ",N($X47)=0,N($I47)=0),"",IF(INT($X47)&lt;$I47,0,IF($AJ47&gt;0,ROUND((INT($X47)-$I47)/$AJ47,0),IF($AK47&gt;0,ROUND((DATEDIF($I47,INT($X47),"m")+(INT($X47)-EDATE($I47,DATEDIF($I47,INT($X47),"m")))/(EDATE($I47,DATEDIF($I47,INT($X47),"m")+1)-EDATE($I47,DATEDIF($I47,INT($X47),"m"))))/$AK47,0),0))))</f>
      </c>
      <c r="AM47" s="225">
        <f>IF($A47="","",IF(COUNTIF('Nhật ký tiến độ'!$C$6:$C$3005,$A47)=0,0,_xlfn.MAXIFS('Nhật ký tiến độ'!$N$6:$N$3005,'Nhật ký tiến độ'!$C$6:$C$3005,$A47,'Nhật ký tiến độ'!$B$6:$B$3005,_xlfn.MAXIFS('Nhật ký tiến độ'!$B$6:$B$3005,'Nhật ký tiến độ'!$C$6:$C$3005,$A47))))</f>
      </c>
      <c r="AN47" s="225">
        <f>IF($A47="","",IF(N($AM47)=0,"",INDEX('Nhật ký tiến độ'!$E:$E,$AM47)))</f>
      </c>
      <c r="AO47" s="225">
        <f>IF($A47="",0,IF($AA47="Hoàn thành",0,1))</f>
      </c>
      <c r="AP47" s="225">
        <f>IF($AO47=0,0,INT(N($AW47)))</f>
      </c>
      <c r="AQ47" s="225">
        <f>IF(AND($AO47=1,$AJ47&gt;1),$AJ47,0)</f>
      </c>
      <c r="AR47" s="225">
        <f>IF(AND($AO47=1,$AJ47=1),1,0)</f>
      </c>
      <c r="AS47" s="225">
        <f>IF(OR($AO47=0,AND($AR47=1,N($BB47)=0)),"",IF(N($BB47)&gt;0,5-$BB47,IF($AD47="Chậm tiến độ",6,IF($AD47="Đến hạn hôm nay",7,IF(AND($AP47&gt;0,$AP47-NgayBC&lt;=7),8,"")))))</f>
      </c>
      <c r="AT47" s="225">
        <f>IF($AS47="","",$AS47*100000+$AP47+ROW()/100000)</f>
      </c>
      <c r="AU47" s="224">
        <f>IF(OR($A47="",N($R47)&lt;=0),"",IF($S47="Ngày",$R47*24,$R47))</f>
      </c>
      <c r="AV47" s="224">
        <f>IF($A47="","",IF($B47="Đột xuất",IF(OR($AA47&lt;&gt;"Hoàn thành",N($X47)=0,N($J47)=0),"",IF($X47&lt;$J47,"",($X47-$J47)*24)),IFERROR(AVERAGEIFS('Nhật ký tiến độ'!$H$6:$H$3005,'Nhật ký tiến độ'!$C$6:$C$3005,$A47,'Nhật ký tiến độ'!$H$6:$H$3005,"&gt;0"),"")))</f>
      </c>
      <c r="AW47" s="233">
        <f>IF($A47="",0,IF($B47="Đột xuất",$AY47,IF($AX47=0,0,$AX47+1-1/1440)))</f>
      </c>
      <c r="AX47" s="234">
        <f>IF(OR($A47="",$B47&lt;&gt;"Định kỳ",N($I47)=0),0,IF($AL47="",$I47,IF($AJ47&gt;0,$I47+($AL47+1)*$AJ47,IF($AK47&gt;0,EDATE($I47,($AL47+1)*$AK47),$I47))))</f>
      </c>
      <c r="AY47" s="233">
        <f>IF(OR($A47="",$B47&lt;&gt;"Đột xuất"),0,IF(N($K47)&gt;0,IF(MOD($K47,1)=0,$K47+1-1/1440,$K47),IF(N($J47)=0,0,$J47+IF(N($AU47)&gt;0,$AU47,IFERROR(INDEX(DM_SLA_Gio,MATCH($L47,DM_SLA_Cap,0)),168))/24)))</f>
      </c>
      <c r="AZ47" s="225">
        <f>IF(OR($A47="",TRIM($N47)="",COUNTIF('Phản ánh'!$K$6:$K$505,$N47)&gt;0,COUNTIF($N$6:$N47,$N47)&gt;1),0,1)</f>
      </c>
      <c r="BA47" s="225">
        <f>IF($AZ47=1,SUM($AZ$6:$AZ47),"")</f>
      </c>
      <c r="BB47" s="225">
        <f>IF(OR($AO47=0,N($AW47)=0),0,IF(TDBC&lt;=$AW47,0,MAX(1,MIN(4,IF((TDBC-$AW47)*24&lt;24,1,IF((TDBC-$AW47)*24&lt;72,2,IF((TDBC-$AW47)*24&lt;168,3,4)))+IF($B47="Đột xuất",IFERROR(INDEX({2,1,0,-1},MATCH($L47,{"Khẩn cấp","Cao","Trung bình","Thấp"},0)),0),IF($D47="PCCC và an ninh",1,0))))))</f>
      </c>
    </row>
    <row r="48">
      <c r="A48" s="216"/>
      <c r="B48" s="216"/>
      <c r="C48" s="218"/>
      <c r="D48" s="218"/>
      <c r="E48" s="218"/>
      <c r="F48" s="216"/>
      <c r="G48" s="218"/>
      <c r="H48" s="218"/>
      <c r="I48" s="231"/>
      <c r="J48" s="217"/>
      <c r="K48" s="217"/>
      <c r="L48" s="216"/>
      <c r="M48" s="216"/>
      <c r="N48" s="218"/>
      <c r="O48" s="218"/>
      <c r="P48" s="218"/>
      <c r="Q48" s="218"/>
      <c r="R48" s="219"/>
      <c r="S48" s="216"/>
      <c r="T48" s="232"/>
      <c r="U48" s="232"/>
      <c r="V48" s="218"/>
      <c r="W48" s="218"/>
      <c r="X48" s="220">
        <f>IF($A48="","",IF(OR($B48="Định kỳ",$AA48="Hoàn thành"),MAX(_xlfn.MAXIFS('Nhật ký tiến độ'!$B$6:$B$3005,'Nhật ký tiến độ'!$C$6:$C$3005,$A48,'Nhật ký tiến độ'!$E$6:$E$3005,"Hoàn thành kỳ"),_xlfn.MAXIFS('Nhật ký tiến độ'!$B$6:$B$3005,'Nhật ký tiến độ'!$C$6:$C$3005,$A48,'Nhật ký tiến độ'!$E$6:$E$3005,"Hoàn thành")),0))</f>
      </c>
      <c r="Y48" s="220">
        <f>IF($A48="","",IF($B48="Đột xuất",IF($AY48=0,"",$AY48),IF($AX48=0,"",$AX48)))</f>
      </c>
      <c r="Z48" s="223">
        <f>IF(OR($AO48=0,$AW48=0),"",IF(TDBC&gt;$AW48,"Quá "&amp;IF($B48="Định kỳ",(NgayBC-$AP48)&amp;" ngày",IF(((TDBC-$AW48)*24)&lt;1,MAX(1,ROUND(((TDBC-$AW48)*24)*60,0))&amp;" phút",IF(ROUND(((TDBC-$AW48)*24),0)&lt;24,ROUND(((TDBC-$AW48)*24),0)&amp;" giờ",INT(ROUND(((TDBC-$AW48)*24),0)/24)&amp;" ngày"&amp;IF(MOD(ROUND(((TDBC-$AW48)*24),0),24)&gt;0," "&amp;MOD(ROUND(((TDBC-$AW48)*24),0),24)&amp;" giờ","")))),IF($B48="Định kỳ",IF($AP48=NgayBC,"Hôm nay","Còn "&amp;($AP48-NgayBC)&amp;" ngày"),"Còn "&amp;IF((($AW48-TDBC)*24)&lt;1,MAX(1,ROUND((($AW48-TDBC)*24)*60,0))&amp;" phút",IF(ROUND((($AW48-TDBC)*24),0)&lt;24,ROUND((($AW48-TDBC)*24),0)&amp;" giờ",INT(ROUND((($AW48-TDBC)*24),0)/24)&amp;" ngày"&amp;IF(MOD(ROUND((($AW48-TDBC)*24),0),24)&gt;0," "&amp;MOD(ROUND((($AW48-TDBC)*24),0),24)&amp;" giờ",""))))))</f>
      </c>
      <c r="AA48" s="221">
        <f>IF($A48="","",IF(N($AM48)=0,"Chưa bắt đầu",IF(OR($AN48="Hoàn thành kỳ",$AN48="Hoàn thành"),IF($B48="Định kỳ","Chưa bắt đầu","Hoàn thành"),$AN48)))</f>
      </c>
      <c r="AB48" s="222">
        <f>IF($A48="","",IF($AA48="Hoàn thành",1,IF(OR(N($AM48)=0,$AN48="Hoàn thành kỳ",$AN48="Hoàn thành"),0,N(INDEX('Nhật ký tiến độ'!$D:$D,$AM48)))))</f>
      </c>
      <c r="AC48" s="222">
        <f>IF(OR($A48="",$B48&lt;&gt;"Đột xuất",$AA48="Hoàn thành",N($J48)=0,$AW48=0),"",IF(TDBC&lt;=$J48,0,IF(TDBC&gt;=$AW48,1,(TDBC-$J48)/($AW48-$J48))))</f>
      </c>
      <c r="AD48" s="223">
        <f>IF($A48="","",IF($AA48="Hoàn thành","Hoàn thành",IF($AW48=0,"Chưa đặt hạn",IF(TDBC&gt;$AW48,"Quá hạn",IF(AND($B48="Đột xuất",ROUND((N($AC48)-$AB48)*100,0)&gt;=20),"Chậm tiến độ",IF($AP48=NgayBC,"Đến hạn hôm nay",IF($B48="Đột xuất",IF($AW48-TDBC&lt;=1,"Sắp đến hạn","Đúng tiến độ"),IF($AP48-NgayBC&lt;=3,"Sắp đến hạn","Theo lịch"))))))))</f>
      </c>
      <c r="AE48" s="223">
        <f>IF($AV48="","",IF($B48="Định kỳ","Bình quân "&amp;IF($AV48&lt;1,MAX(1,ROUND($AV48*60,0))&amp;" phút",IF(ROUND($AV48,0)&lt;24,ROUND($AV48,0)&amp;" giờ",INT(ROUND($AV48,0)/24)&amp;" ngày"&amp;IF(MOD(ROUND($AV48,0),24)&gt;0," "&amp;MOD(ROUND($AV48,0),24)&amp;" giờ","")))&amp;" mỗi kỳ",IF($AV48&lt;1,MAX(1,ROUND($AV48*60,0))&amp;" phút",IF(ROUND($AV48,0)&lt;24,ROUND($AV48,0)&amp;" giờ",INT(ROUND($AV48,0)/24)&amp;" ngày"&amp;IF(MOD(ROUND($AV48,0),24)&gt;0," "&amp;MOD(ROUND($AV48,0),24)&amp;" giờ","")))))</f>
      </c>
      <c r="AF48" s="223">
        <f>IF(OR($A48="",N($AU48)=0),"",IF($AV48&lt;&gt;"",IF($AV48&lt;=$AU48,"Trong ước tính","Vượt "&amp;IF(($AV48-$AU48)&lt;1,MAX(1,ROUND(($AV48-$AU48)*60,0))&amp;" phút",IF(ROUND(($AV48-$AU48),0)&lt;24,ROUND(($AV48-$AU48),0)&amp;" giờ",INT(ROUND(($AV48-$AU48),0)/24)&amp;" ngày"&amp;IF(MOD(ROUND(($AV48-$AU48),0),24)&gt;0," "&amp;MOD(ROUND(($AV48-$AU48),0),24)&amp;" giờ","")))),IF(OR($B48&lt;&gt;"Đột xuất",$AA48="Hoàn thành",N($J48)=0),"",IF((TDBC-$J48)*24&gt;$AU48,"Đã vượt ước tính","Đã dùng "&amp;TEXT((TDBC-$J48)*24/$AU48,"0%")))))</f>
      </c>
      <c r="AG48" s="223">
        <f>IF(N($BB48)=0,"",CHOOSE($BB48,"Nhắc nhở","Cảnh báo","Báo động","Báo động đỏ"))</f>
      </c>
      <c r="AH48" s="223">
        <f>IF(OR($B48&lt;&gt;"Đột xuất",$AA48&lt;&gt;"Hoàn thành",N($X48)=0,$AW48=0),"",IF($X48&lt;=$AW48,"Đúng hạn","Trễ hạn"))</f>
      </c>
      <c r="AI48" s="220">
        <f>IF($A48="","",_xlfn.MAXIFS('Nhật ký tiến độ'!$B$6:$B$3005,'Nhật ký tiến độ'!$C$6:$C$3005,$A48))</f>
      </c>
      <c r="AJ48" s="225">
        <f>IF(OR($A48="",$B48&lt;&gt;"Định kỳ"),0,IFERROR(INDEX(DM_TanSuatNgay,MATCH($H48,DM_TanSuat,0)),0))</f>
      </c>
      <c r="AK48" s="225">
        <f>IF(OR($A48="",$B48&lt;&gt;"Định kỳ"),0,IFERROR(INDEX(DM_TanSuatThang,MATCH($H48,DM_TanSuat,0)),0))</f>
      </c>
      <c r="AL48" s="225">
        <f>IF(OR($A48="",$B48&lt;&gt;"Định kỳ",N($X48)=0,N($I48)=0),"",IF(INT($X48)&lt;$I48,0,IF($AJ48&gt;0,ROUND((INT($X48)-$I48)/$AJ48,0),IF($AK48&gt;0,ROUND((DATEDIF($I48,INT($X48),"m")+(INT($X48)-EDATE($I48,DATEDIF($I48,INT($X48),"m")))/(EDATE($I48,DATEDIF($I48,INT($X48),"m")+1)-EDATE($I48,DATEDIF($I48,INT($X48),"m"))))/$AK48,0),0))))</f>
      </c>
      <c r="AM48" s="225">
        <f>IF($A48="","",IF(COUNTIF('Nhật ký tiến độ'!$C$6:$C$3005,$A48)=0,0,_xlfn.MAXIFS('Nhật ký tiến độ'!$N$6:$N$3005,'Nhật ký tiến độ'!$C$6:$C$3005,$A48,'Nhật ký tiến độ'!$B$6:$B$3005,_xlfn.MAXIFS('Nhật ký tiến độ'!$B$6:$B$3005,'Nhật ký tiến độ'!$C$6:$C$3005,$A48))))</f>
      </c>
      <c r="AN48" s="225">
        <f>IF($A48="","",IF(N($AM48)=0,"",INDEX('Nhật ký tiến độ'!$E:$E,$AM48)))</f>
      </c>
      <c r="AO48" s="225">
        <f>IF($A48="",0,IF($AA48="Hoàn thành",0,1))</f>
      </c>
      <c r="AP48" s="225">
        <f>IF($AO48=0,0,INT(N($AW48)))</f>
      </c>
      <c r="AQ48" s="225">
        <f>IF(AND($AO48=1,$AJ48&gt;1),$AJ48,0)</f>
      </c>
      <c r="AR48" s="225">
        <f>IF(AND($AO48=1,$AJ48=1),1,0)</f>
      </c>
      <c r="AS48" s="225">
        <f>IF(OR($AO48=0,AND($AR48=1,N($BB48)=0)),"",IF(N($BB48)&gt;0,5-$BB48,IF($AD48="Chậm tiến độ",6,IF($AD48="Đến hạn hôm nay",7,IF(AND($AP48&gt;0,$AP48-NgayBC&lt;=7),8,"")))))</f>
      </c>
      <c r="AT48" s="225">
        <f>IF($AS48="","",$AS48*100000+$AP48+ROW()/100000)</f>
      </c>
      <c r="AU48" s="224">
        <f>IF(OR($A48="",N($R48)&lt;=0),"",IF($S48="Ngày",$R48*24,$R48))</f>
      </c>
      <c r="AV48" s="224">
        <f>IF($A48="","",IF($B48="Đột xuất",IF(OR($AA48&lt;&gt;"Hoàn thành",N($X48)=0,N($J48)=0),"",IF($X48&lt;$J48,"",($X48-$J48)*24)),IFERROR(AVERAGEIFS('Nhật ký tiến độ'!$H$6:$H$3005,'Nhật ký tiến độ'!$C$6:$C$3005,$A48,'Nhật ký tiến độ'!$H$6:$H$3005,"&gt;0"),"")))</f>
      </c>
      <c r="AW48" s="233">
        <f>IF($A48="",0,IF($B48="Đột xuất",$AY48,IF($AX48=0,0,$AX48+1-1/1440)))</f>
      </c>
      <c r="AX48" s="234">
        <f>IF(OR($A48="",$B48&lt;&gt;"Định kỳ",N($I48)=0),0,IF($AL48="",$I48,IF($AJ48&gt;0,$I48+($AL48+1)*$AJ48,IF($AK48&gt;0,EDATE($I48,($AL48+1)*$AK48),$I48))))</f>
      </c>
      <c r="AY48" s="233">
        <f>IF(OR($A48="",$B48&lt;&gt;"Đột xuất"),0,IF(N($K48)&gt;0,IF(MOD($K48,1)=0,$K48+1-1/1440,$K48),IF(N($J48)=0,0,$J48+IF(N($AU48)&gt;0,$AU48,IFERROR(INDEX(DM_SLA_Gio,MATCH($L48,DM_SLA_Cap,0)),168))/24)))</f>
      </c>
      <c r="AZ48" s="225">
        <f>IF(OR($A48="",TRIM($N48)="",COUNTIF('Phản ánh'!$K$6:$K$505,$N48)&gt;0,COUNTIF($N$6:$N48,$N48)&gt;1),0,1)</f>
      </c>
      <c r="BA48" s="225">
        <f>IF($AZ48=1,SUM($AZ$6:$AZ48),"")</f>
      </c>
      <c r="BB48" s="225">
        <f>IF(OR($AO48=0,N($AW48)=0),0,IF(TDBC&lt;=$AW48,0,MAX(1,MIN(4,IF((TDBC-$AW48)*24&lt;24,1,IF((TDBC-$AW48)*24&lt;72,2,IF((TDBC-$AW48)*24&lt;168,3,4)))+IF($B48="Đột xuất",IFERROR(INDEX({2,1,0,-1},MATCH($L48,{"Khẩn cấp","Cao","Trung bình","Thấp"},0)),0),IF($D48="PCCC và an ninh",1,0))))))</f>
      </c>
    </row>
    <row r="49">
      <c r="A49" s="216"/>
      <c r="B49" s="216"/>
      <c r="C49" s="218"/>
      <c r="D49" s="218"/>
      <c r="E49" s="218"/>
      <c r="F49" s="216"/>
      <c r="G49" s="218"/>
      <c r="H49" s="218"/>
      <c r="I49" s="231"/>
      <c r="J49" s="217"/>
      <c r="K49" s="217"/>
      <c r="L49" s="216"/>
      <c r="M49" s="216"/>
      <c r="N49" s="218"/>
      <c r="O49" s="218"/>
      <c r="P49" s="218"/>
      <c r="Q49" s="218"/>
      <c r="R49" s="219"/>
      <c r="S49" s="216"/>
      <c r="T49" s="232"/>
      <c r="U49" s="232"/>
      <c r="V49" s="218"/>
      <c r="W49" s="218"/>
      <c r="X49" s="220">
        <f>IF($A49="","",IF(OR($B49="Định kỳ",$AA49="Hoàn thành"),MAX(_xlfn.MAXIFS('Nhật ký tiến độ'!$B$6:$B$3005,'Nhật ký tiến độ'!$C$6:$C$3005,$A49,'Nhật ký tiến độ'!$E$6:$E$3005,"Hoàn thành kỳ"),_xlfn.MAXIFS('Nhật ký tiến độ'!$B$6:$B$3005,'Nhật ký tiến độ'!$C$6:$C$3005,$A49,'Nhật ký tiến độ'!$E$6:$E$3005,"Hoàn thành")),0))</f>
      </c>
      <c r="Y49" s="220">
        <f>IF($A49="","",IF($B49="Đột xuất",IF($AY49=0,"",$AY49),IF($AX49=0,"",$AX49)))</f>
      </c>
      <c r="Z49" s="223">
        <f>IF(OR($AO49=0,$AW49=0),"",IF(TDBC&gt;$AW49,"Quá "&amp;IF($B49="Định kỳ",(NgayBC-$AP49)&amp;" ngày",IF(((TDBC-$AW49)*24)&lt;1,MAX(1,ROUND(((TDBC-$AW49)*24)*60,0))&amp;" phút",IF(ROUND(((TDBC-$AW49)*24),0)&lt;24,ROUND(((TDBC-$AW49)*24),0)&amp;" giờ",INT(ROUND(((TDBC-$AW49)*24),0)/24)&amp;" ngày"&amp;IF(MOD(ROUND(((TDBC-$AW49)*24),0),24)&gt;0," "&amp;MOD(ROUND(((TDBC-$AW49)*24),0),24)&amp;" giờ","")))),IF($B49="Định kỳ",IF($AP49=NgayBC,"Hôm nay","Còn "&amp;($AP49-NgayBC)&amp;" ngày"),"Còn "&amp;IF((($AW49-TDBC)*24)&lt;1,MAX(1,ROUND((($AW49-TDBC)*24)*60,0))&amp;" phút",IF(ROUND((($AW49-TDBC)*24),0)&lt;24,ROUND((($AW49-TDBC)*24),0)&amp;" giờ",INT(ROUND((($AW49-TDBC)*24),0)/24)&amp;" ngày"&amp;IF(MOD(ROUND((($AW49-TDBC)*24),0),24)&gt;0," "&amp;MOD(ROUND((($AW49-TDBC)*24),0),24)&amp;" giờ",""))))))</f>
      </c>
      <c r="AA49" s="221">
        <f>IF($A49="","",IF(N($AM49)=0,"Chưa bắt đầu",IF(OR($AN49="Hoàn thành kỳ",$AN49="Hoàn thành"),IF($B49="Định kỳ","Chưa bắt đầu","Hoàn thành"),$AN49)))</f>
      </c>
      <c r="AB49" s="222">
        <f>IF($A49="","",IF($AA49="Hoàn thành",1,IF(OR(N($AM49)=0,$AN49="Hoàn thành kỳ",$AN49="Hoàn thành"),0,N(INDEX('Nhật ký tiến độ'!$D:$D,$AM49)))))</f>
      </c>
      <c r="AC49" s="222">
        <f>IF(OR($A49="",$B49&lt;&gt;"Đột xuất",$AA49="Hoàn thành",N($J49)=0,$AW49=0),"",IF(TDBC&lt;=$J49,0,IF(TDBC&gt;=$AW49,1,(TDBC-$J49)/($AW49-$J49))))</f>
      </c>
      <c r="AD49" s="223">
        <f>IF($A49="","",IF($AA49="Hoàn thành","Hoàn thành",IF($AW49=0,"Chưa đặt hạn",IF(TDBC&gt;$AW49,"Quá hạn",IF(AND($B49="Đột xuất",ROUND((N($AC49)-$AB49)*100,0)&gt;=20),"Chậm tiến độ",IF($AP49=NgayBC,"Đến hạn hôm nay",IF($B49="Đột xuất",IF($AW49-TDBC&lt;=1,"Sắp đến hạn","Đúng tiến độ"),IF($AP49-NgayBC&lt;=3,"Sắp đến hạn","Theo lịch"))))))))</f>
      </c>
      <c r="AE49" s="223">
        <f>IF($AV49="","",IF($B49="Định kỳ","Bình quân "&amp;IF($AV49&lt;1,MAX(1,ROUND($AV49*60,0))&amp;" phút",IF(ROUND($AV49,0)&lt;24,ROUND($AV49,0)&amp;" giờ",INT(ROUND($AV49,0)/24)&amp;" ngày"&amp;IF(MOD(ROUND($AV49,0),24)&gt;0," "&amp;MOD(ROUND($AV49,0),24)&amp;" giờ","")))&amp;" mỗi kỳ",IF($AV49&lt;1,MAX(1,ROUND($AV49*60,0))&amp;" phút",IF(ROUND($AV49,0)&lt;24,ROUND($AV49,0)&amp;" giờ",INT(ROUND($AV49,0)/24)&amp;" ngày"&amp;IF(MOD(ROUND($AV49,0),24)&gt;0," "&amp;MOD(ROUND($AV49,0),24)&amp;" giờ","")))))</f>
      </c>
      <c r="AF49" s="223">
        <f>IF(OR($A49="",N($AU49)=0),"",IF($AV49&lt;&gt;"",IF($AV49&lt;=$AU49,"Trong ước tính","Vượt "&amp;IF(($AV49-$AU49)&lt;1,MAX(1,ROUND(($AV49-$AU49)*60,0))&amp;" phút",IF(ROUND(($AV49-$AU49),0)&lt;24,ROUND(($AV49-$AU49),0)&amp;" giờ",INT(ROUND(($AV49-$AU49),0)/24)&amp;" ngày"&amp;IF(MOD(ROUND(($AV49-$AU49),0),24)&gt;0," "&amp;MOD(ROUND(($AV49-$AU49),0),24)&amp;" giờ","")))),IF(OR($B49&lt;&gt;"Đột xuất",$AA49="Hoàn thành",N($J49)=0),"",IF((TDBC-$J49)*24&gt;$AU49,"Đã vượt ước tính","Đã dùng "&amp;TEXT((TDBC-$J49)*24/$AU49,"0%")))))</f>
      </c>
      <c r="AG49" s="223">
        <f>IF(N($BB49)=0,"",CHOOSE($BB49,"Nhắc nhở","Cảnh báo","Báo động","Báo động đỏ"))</f>
      </c>
      <c r="AH49" s="223">
        <f>IF(OR($B49&lt;&gt;"Đột xuất",$AA49&lt;&gt;"Hoàn thành",N($X49)=0,$AW49=0),"",IF($X49&lt;=$AW49,"Đúng hạn","Trễ hạn"))</f>
      </c>
      <c r="AI49" s="220">
        <f>IF($A49="","",_xlfn.MAXIFS('Nhật ký tiến độ'!$B$6:$B$3005,'Nhật ký tiến độ'!$C$6:$C$3005,$A49))</f>
      </c>
      <c r="AJ49" s="225">
        <f>IF(OR($A49="",$B49&lt;&gt;"Định kỳ"),0,IFERROR(INDEX(DM_TanSuatNgay,MATCH($H49,DM_TanSuat,0)),0))</f>
      </c>
      <c r="AK49" s="225">
        <f>IF(OR($A49="",$B49&lt;&gt;"Định kỳ"),0,IFERROR(INDEX(DM_TanSuatThang,MATCH($H49,DM_TanSuat,0)),0))</f>
      </c>
      <c r="AL49" s="225">
        <f>IF(OR($A49="",$B49&lt;&gt;"Định kỳ",N($X49)=0,N($I49)=0),"",IF(INT($X49)&lt;$I49,0,IF($AJ49&gt;0,ROUND((INT($X49)-$I49)/$AJ49,0),IF($AK49&gt;0,ROUND((DATEDIF($I49,INT($X49),"m")+(INT($X49)-EDATE($I49,DATEDIF($I49,INT($X49),"m")))/(EDATE($I49,DATEDIF($I49,INT($X49),"m")+1)-EDATE($I49,DATEDIF($I49,INT($X49),"m"))))/$AK49,0),0))))</f>
      </c>
      <c r="AM49" s="225">
        <f>IF($A49="","",IF(COUNTIF('Nhật ký tiến độ'!$C$6:$C$3005,$A49)=0,0,_xlfn.MAXIFS('Nhật ký tiến độ'!$N$6:$N$3005,'Nhật ký tiến độ'!$C$6:$C$3005,$A49,'Nhật ký tiến độ'!$B$6:$B$3005,_xlfn.MAXIFS('Nhật ký tiến độ'!$B$6:$B$3005,'Nhật ký tiến độ'!$C$6:$C$3005,$A49))))</f>
      </c>
      <c r="AN49" s="225">
        <f>IF($A49="","",IF(N($AM49)=0,"",INDEX('Nhật ký tiến độ'!$E:$E,$AM49)))</f>
      </c>
      <c r="AO49" s="225">
        <f>IF($A49="",0,IF($AA49="Hoàn thành",0,1))</f>
      </c>
      <c r="AP49" s="225">
        <f>IF($AO49=0,0,INT(N($AW49)))</f>
      </c>
      <c r="AQ49" s="225">
        <f>IF(AND($AO49=1,$AJ49&gt;1),$AJ49,0)</f>
      </c>
      <c r="AR49" s="225">
        <f>IF(AND($AO49=1,$AJ49=1),1,0)</f>
      </c>
      <c r="AS49" s="225">
        <f>IF(OR($AO49=0,AND($AR49=1,N($BB49)=0)),"",IF(N($BB49)&gt;0,5-$BB49,IF($AD49="Chậm tiến độ",6,IF($AD49="Đến hạn hôm nay",7,IF(AND($AP49&gt;0,$AP49-NgayBC&lt;=7),8,"")))))</f>
      </c>
      <c r="AT49" s="225">
        <f>IF($AS49="","",$AS49*100000+$AP49+ROW()/100000)</f>
      </c>
      <c r="AU49" s="224">
        <f>IF(OR($A49="",N($R49)&lt;=0),"",IF($S49="Ngày",$R49*24,$R49))</f>
      </c>
      <c r="AV49" s="224">
        <f>IF($A49="","",IF($B49="Đột xuất",IF(OR($AA49&lt;&gt;"Hoàn thành",N($X49)=0,N($J49)=0),"",IF($X49&lt;$J49,"",($X49-$J49)*24)),IFERROR(AVERAGEIFS('Nhật ký tiến độ'!$H$6:$H$3005,'Nhật ký tiến độ'!$C$6:$C$3005,$A49,'Nhật ký tiến độ'!$H$6:$H$3005,"&gt;0"),"")))</f>
      </c>
      <c r="AW49" s="233">
        <f>IF($A49="",0,IF($B49="Đột xuất",$AY49,IF($AX49=0,0,$AX49+1-1/1440)))</f>
      </c>
      <c r="AX49" s="234">
        <f>IF(OR($A49="",$B49&lt;&gt;"Định kỳ",N($I49)=0),0,IF($AL49="",$I49,IF($AJ49&gt;0,$I49+($AL49+1)*$AJ49,IF($AK49&gt;0,EDATE($I49,($AL49+1)*$AK49),$I49))))</f>
      </c>
      <c r="AY49" s="233">
        <f>IF(OR($A49="",$B49&lt;&gt;"Đột xuất"),0,IF(N($K49)&gt;0,IF(MOD($K49,1)=0,$K49+1-1/1440,$K49),IF(N($J49)=0,0,$J49+IF(N($AU49)&gt;0,$AU49,IFERROR(INDEX(DM_SLA_Gio,MATCH($L49,DM_SLA_Cap,0)),168))/24)))</f>
      </c>
      <c r="AZ49" s="225">
        <f>IF(OR($A49="",TRIM($N49)="",COUNTIF('Phản ánh'!$K$6:$K$505,$N49)&gt;0,COUNTIF($N$6:$N49,$N49)&gt;1),0,1)</f>
      </c>
      <c r="BA49" s="225">
        <f>IF($AZ49=1,SUM($AZ$6:$AZ49),"")</f>
      </c>
      <c r="BB49" s="225">
        <f>IF(OR($AO49=0,N($AW49)=0),0,IF(TDBC&lt;=$AW49,0,MAX(1,MIN(4,IF((TDBC-$AW49)*24&lt;24,1,IF((TDBC-$AW49)*24&lt;72,2,IF((TDBC-$AW49)*24&lt;168,3,4)))+IF($B49="Đột xuất",IFERROR(INDEX({2,1,0,-1},MATCH($L49,{"Khẩn cấp","Cao","Trung bình","Thấp"},0)),0),IF($D49="PCCC và an ninh",1,0))))))</f>
      </c>
    </row>
    <row r="50">
      <c r="A50" s="216"/>
      <c r="B50" s="216"/>
      <c r="C50" s="218"/>
      <c r="D50" s="218"/>
      <c r="E50" s="218"/>
      <c r="F50" s="216"/>
      <c r="G50" s="218"/>
      <c r="H50" s="218"/>
      <c r="I50" s="231"/>
      <c r="J50" s="217"/>
      <c r="K50" s="217"/>
      <c r="L50" s="216"/>
      <c r="M50" s="216"/>
      <c r="N50" s="218"/>
      <c r="O50" s="218"/>
      <c r="P50" s="218"/>
      <c r="Q50" s="218"/>
      <c r="R50" s="219"/>
      <c r="S50" s="216"/>
      <c r="T50" s="232"/>
      <c r="U50" s="232"/>
      <c r="V50" s="218"/>
      <c r="W50" s="218"/>
      <c r="X50" s="220">
        <f>IF($A50="","",IF(OR($B50="Định kỳ",$AA50="Hoàn thành"),MAX(_xlfn.MAXIFS('Nhật ký tiến độ'!$B$6:$B$3005,'Nhật ký tiến độ'!$C$6:$C$3005,$A50,'Nhật ký tiến độ'!$E$6:$E$3005,"Hoàn thành kỳ"),_xlfn.MAXIFS('Nhật ký tiến độ'!$B$6:$B$3005,'Nhật ký tiến độ'!$C$6:$C$3005,$A50,'Nhật ký tiến độ'!$E$6:$E$3005,"Hoàn thành")),0))</f>
      </c>
      <c r="Y50" s="220">
        <f>IF($A50="","",IF($B50="Đột xuất",IF($AY50=0,"",$AY50),IF($AX50=0,"",$AX50)))</f>
      </c>
      <c r="Z50" s="223">
        <f>IF(OR($AO50=0,$AW50=0),"",IF(TDBC&gt;$AW50,"Quá "&amp;IF($B50="Định kỳ",(NgayBC-$AP50)&amp;" ngày",IF(((TDBC-$AW50)*24)&lt;1,MAX(1,ROUND(((TDBC-$AW50)*24)*60,0))&amp;" phút",IF(ROUND(((TDBC-$AW50)*24),0)&lt;24,ROUND(((TDBC-$AW50)*24),0)&amp;" giờ",INT(ROUND(((TDBC-$AW50)*24),0)/24)&amp;" ngày"&amp;IF(MOD(ROUND(((TDBC-$AW50)*24),0),24)&gt;0," "&amp;MOD(ROUND(((TDBC-$AW50)*24),0),24)&amp;" giờ","")))),IF($B50="Định kỳ",IF($AP50=NgayBC,"Hôm nay","Còn "&amp;($AP50-NgayBC)&amp;" ngày"),"Còn "&amp;IF((($AW50-TDBC)*24)&lt;1,MAX(1,ROUND((($AW50-TDBC)*24)*60,0))&amp;" phút",IF(ROUND((($AW50-TDBC)*24),0)&lt;24,ROUND((($AW50-TDBC)*24),0)&amp;" giờ",INT(ROUND((($AW50-TDBC)*24),0)/24)&amp;" ngày"&amp;IF(MOD(ROUND((($AW50-TDBC)*24),0),24)&gt;0," "&amp;MOD(ROUND((($AW50-TDBC)*24),0),24)&amp;" giờ",""))))))</f>
      </c>
      <c r="AA50" s="221">
        <f>IF($A50="","",IF(N($AM50)=0,"Chưa bắt đầu",IF(OR($AN50="Hoàn thành kỳ",$AN50="Hoàn thành"),IF($B50="Định kỳ","Chưa bắt đầu","Hoàn thành"),$AN50)))</f>
      </c>
      <c r="AB50" s="222">
        <f>IF($A50="","",IF($AA50="Hoàn thành",1,IF(OR(N($AM50)=0,$AN50="Hoàn thành kỳ",$AN50="Hoàn thành"),0,N(INDEX('Nhật ký tiến độ'!$D:$D,$AM50)))))</f>
      </c>
      <c r="AC50" s="222">
        <f>IF(OR($A50="",$B50&lt;&gt;"Đột xuất",$AA50="Hoàn thành",N($J50)=0,$AW50=0),"",IF(TDBC&lt;=$J50,0,IF(TDBC&gt;=$AW50,1,(TDBC-$J50)/($AW50-$J50))))</f>
      </c>
      <c r="AD50" s="223">
        <f>IF($A50="","",IF($AA50="Hoàn thành","Hoàn thành",IF($AW50=0,"Chưa đặt hạn",IF(TDBC&gt;$AW50,"Quá hạn",IF(AND($B50="Đột xuất",ROUND((N($AC50)-$AB50)*100,0)&gt;=20),"Chậm tiến độ",IF($AP50=NgayBC,"Đến hạn hôm nay",IF($B50="Đột xuất",IF($AW50-TDBC&lt;=1,"Sắp đến hạn","Đúng tiến độ"),IF($AP50-NgayBC&lt;=3,"Sắp đến hạn","Theo lịch"))))))))</f>
      </c>
      <c r="AE50" s="223">
        <f>IF($AV50="","",IF($B50="Định kỳ","Bình quân "&amp;IF($AV50&lt;1,MAX(1,ROUND($AV50*60,0))&amp;" phút",IF(ROUND($AV50,0)&lt;24,ROUND($AV50,0)&amp;" giờ",INT(ROUND($AV50,0)/24)&amp;" ngày"&amp;IF(MOD(ROUND($AV50,0),24)&gt;0," "&amp;MOD(ROUND($AV50,0),24)&amp;" giờ","")))&amp;" mỗi kỳ",IF($AV50&lt;1,MAX(1,ROUND($AV50*60,0))&amp;" phút",IF(ROUND($AV50,0)&lt;24,ROUND($AV50,0)&amp;" giờ",INT(ROUND($AV50,0)/24)&amp;" ngày"&amp;IF(MOD(ROUND($AV50,0),24)&gt;0," "&amp;MOD(ROUND($AV50,0),24)&amp;" giờ","")))))</f>
      </c>
      <c r="AF50" s="223">
        <f>IF(OR($A50="",N($AU50)=0),"",IF($AV50&lt;&gt;"",IF($AV50&lt;=$AU50,"Trong ước tính","Vượt "&amp;IF(($AV50-$AU50)&lt;1,MAX(1,ROUND(($AV50-$AU50)*60,0))&amp;" phút",IF(ROUND(($AV50-$AU50),0)&lt;24,ROUND(($AV50-$AU50),0)&amp;" giờ",INT(ROUND(($AV50-$AU50),0)/24)&amp;" ngày"&amp;IF(MOD(ROUND(($AV50-$AU50),0),24)&gt;0," "&amp;MOD(ROUND(($AV50-$AU50),0),24)&amp;" giờ","")))),IF(OR($B50&lt;&gt;"Đột xuất",$AA50="Hoàn thành",N($J50)=0),"",IF((TDBC-$J50)*24&gt;$AU50,"Đã vượt ước tính","Đã dùng "&amp;TEXT((TDBC-$J50)*24/$AU50,"0%")))))</f>
      </c>
      <c r="AG50" s="223">
        <f>IF(N($BB50)=0,"",CHOOSE($BB50,"Nhắc nhở","Cảnh báo","Báo động","Báo động đỏ"))</f>
      </c>
      <c r="AH50" s="223">
        <f>IF(OR($B50&lt;&gt;"Đột xuất",$AA50&lt;&gt;"Hoàn thành",N($X50)=0,$AW50=0),"",IF($X50&lt;=$AW50,"Đúng hạn","Trễ hạn"))</f>
      </c>
      <c r="AI50" s="220">
        <f>IF($A50="","",_xlfn.MAXIFS('Nhật ký tiến độ'!$B$6:$B$3005,'Nhật ký tiến độ'!$C$6:$C$3005,$A50))</f>
      </c>
      <c r="AJ50" s="225">
        <f>IF(OR($A50="",$B50&lt;&gt;"Định kỳ"),0,IFERROR(INDEX(DM_TanSuatNgay,MATCH($H50,DM_TanSuat,0)),0))</f>
      </c>
      <c r="AK50" s="225">
        <f>IF(OR($A50="",$B50&lt;&gt;"Định kỳ"),0,IFERROR(INDEX(DM_TanSuatThang,MATCH($H50,DM_TanSuat,0)),0))</f>
      </c>
      <c r="AL50" s="225">
        <f>IF(OR($A50="",$B50&lt;&gt;"Định kỳ",N($X50)=0,N($I50)=0),"",IF(INT($X50)&lt;$I50,0,IF($AJ50&gt;0,ROUND((INT($X50)-$I50)/$AJ50,0),IF($AK50&gt;0,ROUND((DATEDIF($I50,INT($X50),"m")+(INT($X50)-EDATE($I50,DATEDIF($I50,INT($X50),"m")))/(EDATE($I50,DATEDIF($I50,INT($X50),"m")+1)-EDATE($I50,DATEDIF($I50,INT($X50),"m"))))/$AK50,0),0))))</f>
      </c>
      <c r="AM50" s="225">
        <f>IF($A50="","",IF(COUNTIF('Nhật ký tiến độ'!$C$6:$C$3005,$A50)=0,0,_xlfn.MAXIFS('Nhật ký tiến độ'!$N$6:$N$3005,'Nhật ký tiến độ'!$C$6:$C$3005,$A50,'Nhật ký tiến độ'!$B$6:$B$3005,_xlfn.MAXIFS('Nhật ký tiến độ'!$B$6:$B$3005,'Nhật ký tiến độ'!$C$6:$C$3005,$A50))))</f>
      </c>
      <c r="AN50" s="225">
        <f>IF($A50="","",IF(N($AM50)=0,"",INDEX('Nhật ký tiến độ'!$E:$E,$AM50)))</f>
      </c>
      <c r="AO50" s="225">
        <f>IF($A50="",0,IF($AA50="Hoàn thành",0,1))</f>
      </c>
      <c r="AP50" s="225">
        <f>IF($AO50=0,0,INT(N($AW50)))</f>
      </c>
      <c r="AQ50" s="225">
        <f>IF(AND($AO50=1,$AJ50&gt;1),$AJ50,0)</f>
      </c>
      <c r="AR50" s="225">
        <f>IF(AND($AO50=1,$AJ50=1),1,0)</f>
      </c>
      <c r="AS50" s="225">
        <f>IF(OR($AO50=0,AND($AR50=1,N($BB50)=0)),"",IF(N($BB50)&gt;0,5-$BB50,IF($AD50="Chậm tiến độ",6,IF($AD50="Đến hạn hôm nay",7,IF(AND($AP50&gt;0,$AP50-NgayBC&lt;=7),8,"")))))</f>
      </c>
      <c r="AT50" s="225">
        <f>IF($AS50="","",$AS50*100000+$AP50+ROW()/100000)</f>
      </c>
      <c r="AU50" s="224">
        <f>IF(OR($A50="",N($R50)&lt;=0),"",IF($S50="Ngày",$R50*24,$R50))</f>
      </c>
      <c r="AV50" s="224">
        <f>IF($A50="","",IF($B50="Đột xuất",IF(OR($AA50&lt;&gt;"Hoàn thành",N($X50)=0,N($J50)=0),"",IF($X50&lt;$J50,"",($X50-$J50)*24)),IFERROR(AVERAGEIFS('Nhật ký tiến độ'!$H$6:$H$3005,'Nhật ký tiến độ'!$C$6:$C$3005,$A50,'Nhật ký tiến độ'!$H$6:$H$3005,"&gt;0"),"")))</f>
      </c>
      <c r="AW50" s="233">
        <f>IF($A50="",0,IF($B50="Đột xuất",$AY50,IF($AX50=0,0,$AX50+1-1/1440)))</f>
      </c>
      <c r="AX50" s="234">
        <f>IF(OR($A50="",$B50&lt;&gt;"Định kỳ",N($I50)=0),0,IF($AL50="",$I50,IF($AJ50&gt;0,$I50+($AL50+1)*$AJ50,IF($AK50&gt;0,EDATE($I50,($AL50+1)*$AK50),$I50))))</f>
      </c>
      <c r="AY50" s="233">
        <f>IF(OR($A50="",$B50&lt;&gt;"Đột xuất"),0,IF(N($K50)&gt;0,IF(MOD($K50,1)=0,$K50+1-1/1440,$K50),IF(N($J50)=0,0,$J50+IF(N($AU50)&gt;0,$AU50,IFERROR(INDEX(DM_SLA_Gio,MATCH($L50,DM_SLA_Cap,0)),168))/24)))</f>
      </c>
      <c r="AZ50" s="225">
        <f>IF(OR($A50="",TRIM($N50)="",COUNTIF('Phản ánh'!$K$6:$K$505,$N50)&gt;0,COUNTIF($N$6:$N50,$N50)&gt;1),0,1)</f>
      </c>
      <c r="BA50" s="225">
        <f>IF($AZ50=1,SUM($AZ$6:$AZ50),"")</f>
      </c>
      <c r="BB50" s="225">
        <f>IF(OR($AO50=0,N($AW50)=0),0,IF(TDBC&lt;=$AW50,0,MAX(1,MIN(4,IF((TDBC-$AW50)*24&lt;24,1,IF((TDBC-$AW50)*24&lt;72,2,IF((TDBC-$AW50)*24&lt;168,3,4)))+IF($B50="Đột xuất",IFERROR(INDEX({2,1,0,-1},MATCH($L50,{"Khẩn cấp","Cao","Trung bình","Thấp"},0)),0),IF($D50="PCCC và an ninh",1,0))))))</f>
      </c>
    </row>
    <row r="51">
      <c r="A51" s="216"/>
      <c r="B51" s="216"/>
      <c r="C51" s="218"/>
      <c r="D51" s="218"/>
      <c r="E51" s="218"/>
      <c r="F51" s="216"/>
      <c r="G51" s="218"/>
      <c r="H51" s="218"/>
      <c r="I51" s="231"/>
      <c r="J51" s="217"/>
      <c r="K51" s="217"/>
      <c r="L51" s="216"/>
      <c r="M51" s="216"/>
      <c r="N51" s="218"/>
      <c r="O51" s="218"/>
      <c r="P51" s="218"/>
      <c r="Q51" s="218"/>
      <c r="R51" s="219"/>
      <c r="S51" s="216"/>
      <c r="T51" s="232"/>
      <c r="U51" s="232"/>
      <c r="V51" s="218"/>
      <c r="W51" s="218"/>
      <c r="X51" s="220">
        <f>IF($A51="","",IF(OR($B51="Định kỳ",$AA51="Hoàn thành"),MAX(_xlfn.MAXIFS('Nhật ký tiến độ'!$B$6:$B$3005,'Nhật ký tiến độ'!$C$6:$C$3005,$A51,'Nhật ký tiến độ'!$E$6:$E$3005,"Hoàn thành kỳ"),_xlfn.MAXIFS('Nhật ký tiến độ'!$B$6:$B$3005,'Nhật ký tiến độ'!$C$6:$C$3005,$A51,'Nhật ký tiến độ'!$E$6:$E$3005,"Hoàn thành")),0))</f>
      </c>
      <c r="Y51" s="220">
        <f>IF($A51="","",IF($B51="Đột xuất",IF($AY51=0,"",$AY51),IF($AX51=0,"",$AX51)))</f>
      </c>
      <c r="Z51" s="223">
        <f>IF(OR($AO51=0,$AW51=0),"",IF(TDBC&gt;$AW51,"Quá "&amp;IF($B51="Định kỳ",(NgayBC-$AP51)&amp;" ngày",IF(((TDBC-$AW51)*24)&lt;1,MAX(1,ROUND(((TDBC-$AW51)*24)*60,0))&amp;" phút",IF(ROUND(((TDBC-$AW51)*24),0)&lt;24,ROUND(((TDBC-$AW51)*24),0)&amp;" giờ",INT(ROUND(((TDBC-$AW51)*24),0)/24)&amp;" ngày"&amp;IF(MOD(ROUND(((TDBC-$AW51)*24),0),24)&gt;0," "&amp;MOD(ROUND(((TDBC-$AW51)*24),0),24)&amp;" giờ","")))),IF($B51="Định kỳ",IF($AP51=NgayBC,"Hôm nay","Còn "&amp;($AP51-NgayBC)&amp;" ngày"),"Còn "&amp;IF((($AW51-TDBC)*24)&lt;1,MAX(1,ROUND((($AW51-TDBC)*24)*60,0))&amp;" phút",IF(ROUND((($AW51-TDBC)*24),0)&lt;24,ROUND((($AW51-TDBC)*24),0)&amp;" giờ",INT(ROUND((($AW51-TDBC)*24),0)/24)&amp;" ngày"&amp;IF(MOD(ROUND((($AW51-TDBC)*24),0),24)&gt;0," "&amp;MOD(ROUND((($AW51-TDBC)*24),0),24)&amp;" giờ",""))))))</f>
      </c>
      <c r="AA51" s="221">
        <f>IF($A51="","",IF(N($AM51)=0,"Chưa bắt đầu",IF(OR($AN51="Hoàn thành kỳ",$AN51="Hoàn thành"),IF($B51="Định kỳ","Chưa bắt đầu","Hoàn thành"),$AN51)))</f>
      </c>
      <c r="AB51" s="222">
        <f>IF($A51="","",IF($AA51="Hoàn thành",1,IF(OR(N($AM51)=0,$AN51="Hoàn thành kỳ",$AN51="Hoàn thành"),0,N(INDEX('Nhật ký tiến độ'!$D:$D,$AM51)))))</f>
      </c>
      <c r="AC51" s="222">
        <f>IF(OR($A51="",$B51&lt;&gt;"Đột xuất",$AA51="Hoàn thành",N($J51)=0,$AW51=0),"",IF(TDBC&lt;=$J51,0,IF(TDBC&gt;=$AW51,1,(TDBC-$J51)/($AW51-$J51))))</f>
      </c>
      <c r="AD51" s="223">
        <f>IF($A51="","",IF($AA51="Hoàn thành","Hoàn thành",IF($AW51=0,"Chưa đặt hạn",IF(TDBC&gt;$AW51,"Quá hạn",IF(AND($B51="Đột xuất",ROUND((N($AC51)-$AB51)*100,0)&gt;=20),"Chậm tiến độ",IF($AP51=NgayBC,"Đến hạn hôm nay",IF($B51="Đột xuất",IF($AW51-TDBC&lt;=1,"Sắp đến hạn","Đúng tiến độ"),IF($AP51-NgayBC&lt;=3,"Sắp đến hạn","Theo lịch"))))))))</f>
      </c>
      <c r="AE51" s="223">
        <f>IF($AV51="","",IF($B51="Định kỳ","Bình quân "&amp;IF($AV51&lt;1,MAX(1,ROUND($AV51*60,0))&amp;" phút",IF(ROUND($AV51,0)&lt;24,ROUND($AV51,0)&amp;" giờ",INT(ROUND($AV51,0)/24)&amp;" ngày"&amp;IF(MOD(ROUND($AV51,0),24)&gt;0," "&amp;MOD(ROUND($AV51,0),24)&amp;" giờ","")))&amp;" mỗi kỳ",IF($AV51&lt;1,MAX(1,ROUND($AV51*60,0))&amp;" phút",IF(ROUND($AV51,0)&lt;24,ROUND($AV51,0)&amp;" giờ",INT(ROUND($AV51,0)/24)&amp;" ngày"&amp;IF(MOD(ROUND($AV51,0),24)&gt;0," "&amp;MOD(ROUND($AV51,0),24)&amp;" giờ","")))))</f>
      </c>
      <c r="AF51" s="223">
        <f>IF(OR($A51="",N($AU51)=0),"",IF($AV51&lt;&gt;"",IF($AV51&lt;=$AU51,"Trong ước tính","Vượt "&amp;IF(($AV51-$AU51)&lt;1,MAX(1,ROUND(($AV51-$AU51)*60,0))&amp;" phút",IF(ROUND(($AV51-$AU51),0)&lt;24,ROUND(($AV51-$AU51),0)&amp;" giờ",INT(ROUND(($AV51-$AU51),0)/24)&amp;" ngày"&amp;IF(MOD(ROUND(($AV51-$AU51),0),24)&gt;0," "&amp;MOD(ROUND(($AV51-$AU51),0),24)&amp;" giờ","")))),IF(OR($B51&lt;&gt;"Đột xuất",$AA51="Hoàn thành",N($J51)=0),"",IF((TDBC-$J51)*24&gt;$AU51,"Đã vượt ước tính","Đã dùng "&amp;TEXT((TDBC-$J51)*24/$AU51,"0%")))))</f>
      </c>
      <c r="AG51" s="223">
        <f>IF(N($BB51)=0,"",CHOOSE($BB51,"Nhắc nhở","Cảnh báo","Báo động","Báo động đỏ"))</f>
      </c>
      <c r="AH51" s="223">
        <f>IF(OR($B51&lt;&gt;"Đột xuất",$AA51&lt;&gt;"Hoàn thành",N($X51)=0,$AW51=0),"",IF($X51&lt;=$AW51,"Đúng hạn","Trễ hạn"))</f>
      </c>
      <c r="AI51" s="220">
        <f>IF($A51="","",_xlfn.MAXIFS('Nhật ký tiến độ'!$B$6:$B$3005,'Nhật ký tiến độ'!$C$6:$C$3005,$A51))</f>
      </c>
      <c r="AJ51" s="225">
        <f>IF(OR($A51="",$B51&lt;&gt;"Định kỳ"),0,IFERROR(INDEX(DM_TanSuatNgay,MATCH($H51,DM_TanSuat,0)),0))</f>
      </c>
      <c r="AK51" s="225">
        <f>IF(OR($A51="",$B51&lt;&gt;"Định kỳ"),0,IFERROR(INDEX(DM_TanSuatThang,MATCH($H51,DM_TanSuat,0)),0))</f>
      </c>
      <c r="AL51" s="225">
        <f>IF(OR($A51="",$B51&lt;&gt;"Định kỳ",N($X51)=0,N($I51)=0),"",IF(INT($X51)&lt;$I51,0,IF($AJ51&gt;0,ROUND((INT($X51)-$I51)/$AJ51,0),IF($AK51&gt;0,ROUND((DATEDIF($I51,INT($X51),"m")+(INT($X51)-EDATE($I51,DATEDIF($I51,INT($X51),"m")))/(EDATE($I51,DATEDIF($I51,INT($X51),"m")+1)-EDATE($I51,DATEDIF($I51,INT($X51),"m"))))/$AK51,0),0))))</f>
      </c>
      <c r="AM51" s="225">
        <f>IF($A51="","",IF(COUNTIF('Nhật ký tiến độ'!$C$6:$C$3005,$A51)=0,0,_xlfn.MAXIFS('Nhật ký tiến độ'!$N$6:$N$3005,'Nhật ký tiến độ'!$C$6:$C$3005,$A51,'Nhật ký tiến độ'!$B$6:$B$3005,_xlfn.MAXIFS('Nhật ký tiến độ'!$B$6:$B$3005,'Nhật ký tiến độ'!$C$6:$C$3005,$A51))))</f>
      </c>
      <c r="AN51" s="225">
        <f>IF($A51="","",IF(N($AM51)=0,"",INDEX('Nhật ký tiến độ'!$E:$E,$AM51)))</f>
      </c>
      <c r="AO51" s="225">
        <f>IF($A51="",0,IF($AA51="Hoàn thành",0,1))</f>
      </c>
      <c r="AP51" s="225">
        <f>IF($AO51=0,0,INT(N($AW51)))</f>
      </c>
      <c r="AQ51" s="225">
        <f>IF(AND($AO51=1,$AJ51&gt;1),$AJ51,0)</f>
      </c>
      <c r="AR51" s="225">
        <f>IF(AND($AO51=1,$AJ51=1),1,0)</f>
      </c>
      <c r="AS51" s="225">
        <f>IF(OR($AO51=0,AND($AR51=1,N($BB51)=0)),"",IF(N($BB51)&gt;0,5-$BB51,IF($AD51="Chậm tiến độ",6,IF($AD51="Đến hạn hôm nay",7,IF(AND($AP51&gt;0,$AP51-NgayBC&lt;=7),8,"")))))</f>
      </c>
      <c r="AT51" s="225">
        <f>IF($AS51="","",$AS51*100000+$AP51+ROW()/100000)</f>
      </c>
      <c r="AU51" s="224">
        <f>IF(OR($A51="",N($R51)&lt;=0),"",IF($S51="Ngày",$R51*24,$R51))</f>
      </c>
      <c r="AV51" s="224">
        <f>IF($A51="","",IF($B51="Đột xuất",IF(OR($AA51&lt;&gt;"Hoàn thành",N($X51)=0,N($J51)=0),"",IF($X51&lt;$J51,"",($X51-$J51)*24)),IFERROR(AVERAGEIFS('Nhật ký tiến độ'!$H$6:$H$3005,'Nhật ký tiến độ'!$C$6:$C$3005,$A51,'Nhật ký tiến độ'!$H$6:$H$3005,"&gt;0"),"")))</f>
      </c>
      <c r="AW51" s="233">
        <f>IF($A51="",0,IF($B51="Đột xuất",$AY51,IF($AX51=0,0,$AX51+1-1/1440)))</f>
      </c>
      <c r="AX51" s="234">
        <f>IF(OR($A51="",$B51&lt;&gt;"Định kỳ",N($I51)=0),0,IF($AL51="",$I51,IF($AJ51&gt;0,$I51+($AL51+1)*$AJ51,IF($AK51&gt;0,EDATE($I51,($AL51+1)*$AK51),$I51))))</f>
      </c>
      <c r="AY51" s="233">
        <f>IF(OR($A51="",$B51&lt;&gt;"Đột xuất"),0,IF(N($K51)&gt;0,IF(MOD($K51,1)=0,$K51+1-1/1440,$K51),IF(N($J51)=0,0,$J51+IF(N($AU51)&gt;0,$AU51,IFERROR(INDEX(DM_SLA_Gio,MATCH($L51,DM_SLA_Cap,0)),168))/24)))</f>
      </c>
      <c r="AZ51" s="225">
        <f>IF(OR($A51="",TRIM($N51)="",COUNTIF('Phản ánh'!$K$6:$K$505,$N51)&gt;0,COUNTIF($N$6:$N51,$N51)&gt;1),0,1)</f>
      </c>
      <c r="BA51" s="225">
        <f>IF($AZ51=1,SUM($AZ$6:$AZ51),"")</f>
      </c>
      <c r="BB51" s="225">
        <f>IF(OR($AO51=0,N($AW51)=0),0,IF(TDBC&lt;=$AW51,0,MAX(1,MIN(4,IF((TDBC-$AW51)*24&lt;24,1,IF((TDBC-$AW51)*24&lt;72,2,IF((TDBC-$AW51)*24&lt;168,3,4)))+IF($B51="Đột xuất",IFERROR(INDEX({2,1,0,-1},MATCH($L51,{"Khẩn cấp","Cao","Trung bình","Thấp"},0)),0),IF($D51="PCCC và an ninh",1,0))))))</f>
      </c>
    </row>
    <row r="52">
      <c r="A52" s="216"/>
      <c r="B52" s="216"/>
      <c r="C52" s="218"/>
      <c r="D52" s="218"/>
      <c r="E52" s="218"/>
      <c r="F52" s="216"/>
      <c r="G52" s="218"/>
      <c r="H52" s="218"/>
      <c r="I52" s="231"/>
      <c r="J52" s="217"/>
      <c r="K52" s="217"/>
      <c r="L52" s="216"/>
      <c r="M52" s="216"/>
      <c r="N52" s="218"/>
      <c r="O52" s="218"/>
      <c r="P52" s="218"/>
      <c r="Q52" s="218"/>
      <c r="R52" s="219"/>
      <c r="S52" s="216"/>
      <c r="T52" s="232"/>
      <c r="U52" s="232"/>
      <c r="V52" s="218"/>
      <c r="W52" s="218"/>
      <c r="X52" s="220">
        <f>IF($A52="","",IF(OR($B52="Định kỳ",$AA52="Hoàn thành"),MAX(_xlfn.MAXIFS('Nhật ký tiến độ'!$B$6:$B$3005,'Nhật ký tiến độ'!$C$6:$C$3005,$A52,'Nhật ký tiến độ'!$E$6:$E$3005,"Hoàn thành kỳ"),_xlfn.MAXIFS('Nhật ký tiến độ'!$B$6:$B$3005,'Nhật ký tiến độ'!$C$6:$C$3005,$A52,'Nhật ký tiến độ'!$E$6:$E$3005,"Hoàn thành")),0))</f>
      </c>
      <c r="Y52" s="220">
        <f>IF($A52="","",IF($B52="Đột xuất",IF($AY52=0,"",$AY52),IF($AX52=0,"",$AX52)))</f>
      </c>
      <c r="Z52" s="223">
        <f>IF(OR($AO52=0,$AW52=0),"",IF(TDBC&gt;$AW52,"Quá "&amp;IF($B52="Định kỳ",(NgayBC-$AP52)&amp;" ngày",IF(((TDBC-$AW52)*24)&lt;1,MAX(1,ROUND(((TDBC-$AW52)*24)*60,0))&amp;" phút",IF(ROUND(((TDBC-$AW52)*24),0)&lt;24,ROUND(((TDBC-$AW52)*24),0)&amp;" giờ",INT(ROUND(((TDBC-$AW52)*24),0)/24)&amp;" ngày"&amp;IF(MOD(ROUND(((TDBC-$AW52)*24),0),24)&gt;0," "&amp;MOD(ROUND(((TDBC-$AW52)*24),0),24)&amp;" giờ","")))),IF($B52="Định kỳ",IF($AP52=NgayBC,"Hôm nay","Còn "&amp;($AP52-NgayBC)&amp;" ngày"),"Còn "&amp;IF((($AW52-TDBC)*24)&lt;1,MAX(1,ROUND((($AW52-TDBC)*24)*60,0))&amp;" phút",IF(ROUND((($AW52-TDBC)*24),0)&lt;24,ROUND((($AW52-TDBC)*24),0)&amp;" giờ",INT(ROUND((($AW52-TDBC)*24),0)/24)&amp;" ngày"&amp;IF(MOD(ROUND((($AW52-TDBC)*24),0),24)&gt;0," "&amp;MOD(ROUND((($AW52-TDBC)*24),0),24)&amp;" giờ",""))))))</f>
      </c>
      <c r="AA52" s="221">
        <f>IF($A52="","",IF(N($AM52)=0,"Chưa bắt đầu",IF(OR($AN52="Hoàn thành kỳ",$AN52="Hoàn thành"),IF($B52="Định kỳ","Chưa bắt đầu","Hoàn thành"),$AN52)))</f>
      </c>
      <c r="AB52" s="222">
        <f>IF($A52="","",IF($AA52="Hoàn thành",1,IF(OR(N($AM52)=0,$AN52="Hoàn thành kỳ",$AN52="Hoàn thành"),0,N(INDEX('Nhật ký tiến độ'!$D:$D,$AM52)))))</f>
      </c>
      <c r="AC52" s="222">
        <f>IF(OR($A52="",$B52&lt;&gt;"Đột xuất",$AA52="Hoàn thành",N($J52)=0,$AW52=0),"",IF(TDBC&lt;=$J52,0,IF(TDBC&gt;=$AW52,1,(TDBC-$J52)/($AW52-$J52))))</f>
      </c>
      <c r="AD52" s="223">
        <f>IF($A52="","",IF($AA52="Hoàn thành","Hoàn thành",IF($AW52=0,"Chưa đặt hạn",IF(TDBC&gt;$AW52,"Quá hạn",IF(AND($B52="Đột xuất",ROUND((N($AC52)-$AB52)*100,0)&gt;=20),"Chậm tiến độ",IF($AP52=NgayBC,"Đến hạn hôm nay",IF($B52="Đột xuất",IF($AW52-TDBC&lt;=1,"Sắp đến hạn","Đúng tiến độ"),IF($AP52-NgayBC&lt;=3,"Sắp đến hạn","Theo lịch"))))))))</f>
      </c>
      <c r="AE52" s="223">
        <f>IF($AV52="","",IF($B52="Định kỳ","Bình quân "&amp;IF($AV52&lt;1,MAX(1,ROUND($AV52*60,0))&amp;" phút",IF(ROUND($AV52,0)&lt;24,ROUND($AV52,0)&amp;" giờ",INT(ROUND($AV52,0)/24)&amp;" ngày"&amp;IF(MOD(ROUND($AV52,0),24)&gt;0," "&amp;MOD(ROUND($AV52,0),24)&amp;" giờ","")))&amp;" mỗi kỳ",IF($AV52&lt;1,MAX(1,ROUND($AV52*60,0))&amp;" phút",IF(ROUND($AV52,0)&lt;24,ROUND($AV52,0)&amp;" giờ",INT(ROUND($AV52,0)/24)&amp;" ngày"&amp;IF(MOD(ROUND($AV52,0),24)&gt;0," "&amp;MOD(ROUND($AV52,0),24)&amp;" giờ","")))))</f>
      </c>
      <c r="AF52" s="223">
        <f>IF(OR($A52="",N($AU52)=0),"",IF($AV52&lt;&gt;"",IF($AV52&lt;=$AU52,"Trong ước tính","Vượt "&amp;IF(($AV52-$AU52)&lt;1,MAX(1,ROUND(($AV52-$AU52)*60,0))&amp;" phút",IF(ROUND(($AV52-$AU52),0)&lt;24,ROUND(($AV52-$AU52),0)&amp;" giờ",INT(ROUND(($AV52-$AU52),0)/24)&amp;" ngày"&amp;IF(MOD(ROUND(($AV52-$AU52),0),24)&gt;0," "&amp;MOD(ROUND(($AV52-$AU52),0),24)&amp;" giờ","")))),IF(OR($B52&lt;&gt;"Đột xuất",$AA52="Hoàn thành",N($J52)=0),"",IF((TDBC-$J52)*24&gt;$AU52,"Đã vượt ước tính","Đã dùng "&amp;TEXT((TDBC-$J52)*24/$AU52,"0%")))))</f>
      </c>
      <c r="AG52" s="223">
        <f>IF(N($BB52)=0,"",CHOOSE($BB52,"Nhắc nhở","Cảnh báo","Báo động","Báo động đỏ"))</f>
      </c>
      <c r="AH52" s="223">
        <f>IF(OR($B52&lt;&gt;"Đột xuất",$AA52&lt;&gt;"Hoàn thành",N($X52)=0,$AW52=0),"",IF($X52&lt;=$AW52,"Đúng hạn","Trễ hạn"))</f>
      </c>
      <c r="AI52" s="220">
        <f>IF($A52="","",_xlfn.MAXIFS('Nhật ký tiến độ'!$B$6:$B$3005,'Nhật ký tiến độ'!$C$6:$C$3005,$A52))</f>
      </c>
      <c r="AJ52" s="225">
        <f>IF(OR($A52="",$B52&lt;&gt;"Định kỳ"),0,IFERROR(INDEX(DM_TanSuatNgay,MATCH($H52,DM_TanSuat,0)),0))</f>
      </c>
      <c r="AK52" s="225">
        <f>IF(OR($A52="",$B52&lt;&gt;"Định kỳ"),0,IFERROR(INDEX(DM_TanSuatThang,MATCH($H52,DM_TanSuat,0)),0))</f>
      </c>
      <c r="AL52" s="225">
        <f>IF(OR($A52="",$B52&lt;&gt;"Định kỳ",N($X52)=0,N($I52)=0),"",IF(INT($X52)&lt;$I52,0,IF($AJ52&gt;0,ROUND((INT($X52)-$I52)/$AJ52,0),IF($AK52&gt;0,ROUND((DATEDIF($I52,INT($X52),"m")+(INT($X52)-EDATE($I52,DATEDIF($I52,INT($X52),"m")))/(EDATE($I52,DATEDIF($I52,INT($X52),"m")+1)-EDATE($I52,DATEDIF($I52,INT($X52),"m"))))/$AK52,0),0))))</f>
      </c>
      <c r="AM52" s="225">
        <f>IF($A52="","",IF(COUNTIF('Nhật ký tiến độ'!$C$6:$C$3005,$A52)=0,0,_xlfn.MAXIFS('Nhật ký tiến độ'!$N$6:$N$3005,'Nhật ký tiến độ'!$C$6:$C$3005,$A52,'Nhật ký tiến độ'!$B$6:$B$3005,_xlfn.MAXIFS('Nhật ký tiến độ'!$B$6:$B$3005,'Nhật ký tiến độ'!$C$6:$C$3005,$A52))))</f>
      </c>
      <c r="AN52" s="225">
        <f>IF($A52="","",IF(N($AM52)=0,"",INDEX('Nhật ký tiến độ'!$E:$E,$AM52)))</f>
      </c>
      <c r="AO52" s="225">
        <f>IF($A52="",0,IF($AA52="Hoàn thành",0,1))</f>
      </c>
      <c r="AP52" s="225">
        <f>IF($AO52=0,0,INT(N($AW52)))</f>
      </c>
      <c r="AQ52" s="225">
        <f>IF(AND($AO52=1,$AJ52&gt;1),$AJ52,0)</f>
      </c>
      <c r="AR52" s="225">
        <f>IF(AND($AO52=1,$AJ52=1),1,0)</f>
      </c>
      <c r="AS52" s="225">
        <f>IF(OR($AO52=0,AND($AR52=1,N($BB52)=0)),"",IF(N($BB52)&gt;0,5-$BB52,IF($AD52="Chậm tiến độ",6,IF($AD52="Đến hạn hôm nay",7,IF(AND($AP52&gt;0,$AP52-NgayBC&lt;=7),8,"")))))</f>
      </c>
      <c r="AT52" s="225">
        <f>IF($AS52="","",$AS52*100000+$AP52+ROW()/100000)</f>
      </c>
      <c r="AU52" s="224">
        <f>IF(OR($A52="",N($R52)&lt;=0),"",IF($S52="Ngày",$R52*24,$R52))</f>
      </c>
      <c r="AV52" s="224">
        <f>IF($A52="","",IF($B52="Đột xuất",IF(OR($AA52&lt;&gt;"Hoàn thành",N($X52)=0,N($J52)=0),"",IF($X52&lt;$J52,"",($X52-$J52)*24)),IFERROR(AVERAGEIFS('Nhật ký tiến độ'!$H$6:$H$3005,'Nhật ký tiến độ'!$C$6:$C$3005,$A52,'Nhật ký tiến độ'!$H$6:$H$3005,"&gt;0"),"")))</f>
      </c>
      <c r="AW52" s="233">
        <f>IF($A52="",0,IF($B52="Đột xuất",$AY52,IF($AX52=0,0,$AX52+1-1/1440)))</f>
      </c>
      <c r="AX52" s="234">
        <f>IF(OR($A52="",$B52&lt;&gt;"Định kỳ",N($I52)=0),0,IF($AL52="",$I52,IF($AJ52&gt;0,$I52+($AL52+1)*$AJ52,IF($AK52&gt;0,EDATE($I52,($AL52+1)*$AK52),$I52))))</f>
      </c>
      <c r="AY52" s="233">
        <f>IF(OR($A52="",$B52&lt;&gt;"Đột xuất"),0,IF(N($K52)&gt;0,IF(MOD($K52,1)=0,$K52+1-1/1440,$K52),IF(N($J52)=0,0,$J52+IF(N($AU52)&gt;0,$AU52,IFERROR(INDEX(DM_SLA_Gio,MATCH($L52,DM_SLA_Cap,0)),168))/24)))</f>
      </c>
      <c r="AZ52" s="225">
        <f>IF(OR($A52="",TRIM($N52)="",COUNTIF('Phản ánh'!$K$6:$K$505,$N52)&gt;0,COUNTIF($N$6:$N52,$N52)&gt;1),0,1)</f>
      </c>
      <c r="BA52" s="225">
        <f>IF($AZ52=1,SUM($AZ$6:$AZ52),"")</f>
      </c>
      <c r="BB52" s="225">
        <f>IF(OR($AO52=0,N($AW52)=0),0,IF(TDBC&lt;=$AW52,0,MAX(1,MIN(4,IF((TDBC-$AW52)*24&lt;24,1,IF((TDBC-$AW52)*24&lt;72,2,IF((TDBC-$AW52)*24&lt;168,3,4)))+IF($B52="Đột xuất",IFERROR(INDEX({2,1,0,-1},MATCH($L52,{"Khẩn cấp","Cao","Trung bình","Thấp"},0)),0),IF($D52="PCCC và an ninh",1,0))))))</f>
      </c>
    </row>
    <row r="53">
      <c r="A53" s="216"/>
      <c r="B53" s="216"/>
      <c r="C53" s="218"/>
      <c r="D53" s="218"/>
      <c r="E53" s="218"/>
      <c r="F53" s="216"/>
      <c r="G53" s="218"/>
      <c r="H53" s="218"/>
      <c r="I53" s="231"/>
      <c r="J53" s="217"/>
      <c r="K53" s="217"/>
      <c r="L53" s="216"/>
      <c r="M53" s="216"/>
      <c r="N53" s="218"/>
      <c r="O53" s="218"/>
      <c r="P53" s="218"/>
      <c r="Q53" s="218"/>
      <c r="R53" s="219"/>
      <c r="S53" s="216"/>
      <c r="T53" s="232"/>
      <c r="U53" s="232"/>
      <c r="V53" s="218"/>
      <c r="W53" s="218"/>
      <c r="X53" s="220">
        <f>IF($A53="","",IF(OR($B53="Định kỳ",$AA53="Hoàn thành"),MAX(_xlfn.MAXIFS('Nhật ký tiến độ'!$B$6:$B$3005,'Nhật ký tiến độ'!$C$6:$C$3005,$A53,'Nhật ký tiến độ'!$E$6:$E$3005,"Hoàn thành kỳ"),_xlfn.MAXIFS('Nhật ký tiến độ'!$B$6:$B$3005,'Nhật ký tiến độ'!$C$6:$C$3005,$A53,'Nhật ký tiến độ'!$E$6:$E$3005,"Hoàn thành")),0))</f>
      </c>
      <c r="Y53" s="220">
        <f>IF($A53="","",IF($B53="Đột xuất",IF($AY53=0,"",$AY53),IF($AX53=0,"",$AX53)))</f>
      </c>
      <c r="Z53" s="223">
        <f>IF(OR($AO53=0,$AW53=0),"",IF(TDBC&gt;$AW53,"Quá "&amp;IF($B53="Định kỳ",(NgayBC-$AP53)&amp;" ngày",IF(((TDBC-$AW53)*24)&lt;1,MAX(1,ROUND(((TDBC-$AW53)*24)*60,0))&amp;" phút",IF(ROUND(((TDBC-$AW53)*24),0)&lt;24,ROUND(((TDBC-$AW53)*24),0)&amp;" giờ",INT(ROUND(((TDBC-$AW53)*24),0)/24)&amp;" ngày"&amp;IF(MOD(ROUND(((TDBC-$AW53)*24),0),24)&gt;0," "&amp;MOD(ROUND(((TDBC-$AW53)*24),0),24)&amp;" giờ","")))),IF($B53="Định kỳ",IF($AP53=NgayBC,"Hôm nay","Còn "&amp;($AP53-NgayBC)&amp;" ngày"),"Còn "&amp;IF((($AW53-TDBC)*24)&lt;1,MAX(1,ROUND((($AW53-TDBC)*24)*60,0))&amp;" phút",IF(ROUND((($AW53-TDBC)*24),0)&lt;24,ROUND((($AW53-TDBC)*24),0)&amp;" giờ",INT(ROUND((($AW53-TDBC)*24),0)/24)&amp;" ngày"&amp;IF(MOD(ROUND((($AW53-TDBC)*24),0),24)&gt;0," "&amp;MOD(ROUND((($AW53-TDBC)*24),0),24)&amp;" giờ",""))))))</f>
      </c>
      <c r="AA53" s="221">
        <f>IF($A53="","",IF(N($AM53)=0,"Chưa bắt đầu",IF(OR($AN53="Hoàn thành kỳ",$AN53="Hoàn thành"),IF($B53="Định kỳ","Chưa bắt đầu","Hoàn thành"),$AN53)))</f>
      </c>
      <c r="AB53" s="222">
        <f>IF($A53="","",IF($AA53="Hoàn thành",1,IF(OR(N($AM53)=0,$AN53="Hoàn thành kỳ",$AN53="Hoàn thành"),0,N(INDEX('Nhật ký tiến độ'!$D:$D,$AM53)))))</f>
      </c>
      <c r="AC53" s="222">
        <f>IF(OR($A53="",$B53&lt;&gt;"Đột xuất",$AA53="Hoàn thành",N($J53)=0,$AW53=0),"",IF(TDBC&lt;=$J53,0,IF(TDBC&gt;=$AW53,1,(TDBC-$J53)/($AW53-$J53))))</f>
      </c>
      <c r="AD53" s="223">
        <f>IF($A53="","",IF($AA53="Hoàn thành","Hoàn thành",IF($AW53=0,"Chưa đặt hạn",IF(TDBC&gt;$AW53,"Quá hạn",IF(AND($B53="Đột xuất",ROUND((N($AC53)-$AB53)*100,0)&gt;=20),"Chậm tiến độ",IF($AP53=NgayBC,"Đến hạn hôm nay",IF($B53="Đột xuất",IF($AW53-TDBC&lt;=1,"Sắp đến hạn","Đúng tiến độ"),IF($AP53-NgayBC&lt;=3,"Sắp đến hạn","Theo lịch"))))))))</f>
      </c>
      <c r="AE53" s="223">
        <f>IF($AV53="","",IF($B53="Định kỳ","Bình quân "&amp;IF($AV53&lt;1,MAX(1,ROUND($AV53*60,0))&amp;" phút",IF(ROUND($AV53,0)&lt;24,ROUND($AV53,0)&amp;" giờ",INT(ROUND($AV53,0)/24)&amp;" ngày"&amp;IF(MOD(ROUND($AV53,0),24)&gt;0," "&amp;MOD(ROUND($AV53,0),24)&amp;" giờ","")))&amp;" mỗi kỳ",IF($AV53&lt;1,MAX(1,ROUND($AV53*60,0))&amp;" phút",IF(ROUND($AV53,0)&lt;24,ROUND($AV53,0)&amp;" giờ",INT(ROUND($AV53,0)/24)&amp;" ngày"&amp;IF(MOD(ROUND($AV53,0),24)&gt;0," "&amp;MOD(ROUND($AV53,0),24)&amp;" giờ","")))))</f>
      </c>
      <c r="AF53" s="223">
        <f>IF(OR($A53="",N($AU53)=0),"",IF($AV53&lt;&gt;"",IF($AV53&lt;=$AU53,"Trong ước tính","Vượt "&amp;IF(($AV53-$AU53)&lt;1,MAX(1,ROUND(($AV53-$AU53)*60,0))&amp;" phút",IF(ROUND(($AV53-$AU53),0)&lt;24,ROUND(($AV53-$AU53),0)&amp;" giờ",INT(ROUND(($AV53-$AU53),0)/24)&amp;" ngày"&amp;IF(MOD(ROUND(($AV53-$AU53),0),24)&gt;0," "&amp;MOD(ROUND(($AV53-$AU53),0),24)&amp;" giờ","")))),IF(OR($B53&lt;&gt;"Đột xuất",$AA53="Hoàn thành",N($J53)=0),"",IF((TDBC-$J53)*24&gt;$AU53,"Đã vượt ước tính","Đã dùng "&amp;TEXT((TDBC-$J53)*24/$AU53,"0%")))))</f>
      </c>
      <c r="AG53" s="223">
        <f>IF(N($BB53)=0,"",CHOOSE($BB53,"Nhắc nhở","Cảnh báo","Báo động","Báo động đỏ"))</f>
      </c>
      <c r="AH53" s="223">
        <f>IF(OR($B53&lt;&gt;"Đột xuất",$AA53&lt;&gt;"Hoàn thành",N($X53)=0,$AW53=0),"",IF($X53&lt;=$AW53,"Đúng hạn","Trễ hạn"))</f>
      </c>
      <c r="AI53" s="220">
        <f>IF($A53="","",_xlfn.MAXIFS('Nhật ký tiến độ'!$B$6:$B$3005,'Nhật ký tiến độ'!$C$6:$C$3005,$A53))</f>
      </c>
      <c r="AJ53" s="225">
        <f>IF(OR($A53="",$B53&lt;&gt;"Định kỳ"),0,IFERROR(INDEX(DM_TanSuatNgay,MATCH($H53,DM_TanSuat,0)),0))</f>
      </c>
      <c r="AK53" s="225">
        <f>IF(OR($A53="",$B53&lt;&gt;"Định kỳ"),0,IFERROR(INDEX(DM_TanSuatThang,MATCH($H53,DM_TanSuat,0)),0))</f>
      </c>
      <c r="AL53" s="225">
        <f>IF(OR($A53="",$B53&lt;&gt;"Định kỳ",N($X53)=0,N($I53)=0),"",IF(INT($X53)&lt;$I53,0,IF($AJ53&gt;0,ROUND((INT($X53)-$I53)/$AJ53,0),IF($AK53&gt;0,ROUND((DATEDIF($I53,INT($X53),"m")+(INT($X53)-EDATE($I53,DATEDIF($I53,INT($X53),"m")))/(EDATE($I53,DATEDIF($I53,INT($X53),"m")+1)-EDATE($I53,DATEDIF($I53,INT($X53),"m"))))/$AK53,0),0))))</f>
      </c>
      <c r="AM53" s="225">
        <f>IF($A53="","",IF(COUNTIF('Nhật ký tiến độ'!$C$6:$C$3005,$A53)=0,0,_xlfn.MAXIFS('Nhật ký tiến độ'!$N$6:$N$3005,'Nhật ký tiến độ'!$C$6:$C$3005,$A53,'Nhật ký tiến độ'!$B$6:$B$3005,_xlfn.MAXIFS('Nhật ký tiến độ'!$B$6:$B$3005,'Nhật ký tiến độ'!$C$6:$C$3005,$A53))))</f>
      </c>
      <c r="AN53" s="225">
        <f>IF($A53="","",IF(N($AM53)=0,"",INDEX('Nhật ký tiến độ'!$E:$E,$AM53)))</f>
      </c>
      <c r="AO53" s="225">
        <f>IF($A53="",0,IF($AA53="Hoàn thành",0,1))</f>
      </c>
      <c r="AP53" s="225">
        <f>IF($AO53=0,0,INT(N($AW53)))</f>
      </c>
      <c r="AQ53" s="225">
        <f>IF(AND($AO53=1,$AJ53&gt;1),$AJ53,0)</f>
      </c>
      <c r="AR53" s="225">
        <f>IF(AND($AO53=1,$AJ53=1),1,0)</f>
      </c>
      <c r="AS53" s="225">
        <f>IF(OR($AO53=0,AND($AR53=1,N($BB53)=0)),"",IF(N($BB53)&gt;0,5-$BB53,IF($AD53="Chậm tiến độ",6,IF($AD53="Đến hạn hôm nay",7,IF(AND($AP53&gt;0,$AP53-NgayBC&lt;=7),8,"")))))</f>
      </c>
      <c r="AT53" s="225">
        <f>IF($AS53="","",$AS53*100000+$AP53+ROW()/100000)</f>
      </c>
      <c r="AU53" s="224">
        <f>IF(OR($A53="",N($R53)&lt;=0),"",IF($S53="Ngày",$R53*24,$R53))</f>
      </c>
      <c r="AV53" s="224">
        <f>IF($A53="","",IF($B53="Đột xuất",IF(OR($AA53&lt;&gt;"Hoàn thành",N($X53)=0,N($J53)=0),"",IF($X53&lt;$J53,"",($X53-$J53)*24)),IFERROR(AVERAGEIFS('Nhật ký tiến độ'!$H$6:$H$3005,'Nhật ký tiến độ'!$C$6:$C$3005,$A53,'Nhật ký tiến độ'!$H$6:$H$3005,"&gt;0"),"")))</f>
      </c>
      <c r="AW53" s="233">
        <f>IF($A53="",0,IF($B53="Đột xuất",$AY53,IF($AX53=0,0,$AX53+1-1/1440)))</f>
      </c>
      <c r="AX53" s="234">
        <f>IF(OR($A53="",$B53&lt;&gt;"Định kỳ",N($I53)=0),0,IF($AL53="",$I53,IF($AJ53&gt;0,$I53+($AL53+1)*$AJ53,IF($AK53&gt;0,EDATE($I53,($AL53+1)*$AK53),$I53))))</f>
      </c>
      <c r="AY53" s="233">
        <f>IF(OR($A53="",$B53&lt;&gt;"Đột xuất"),0,IF(N($K53)&gt;0,IF(MOD($K53,1)=0,$K53+1-1/1440,$K53),IF(N($J53)=0,0,$J53+IF(N($AU53)&gt;0,$AU53,IFERROR(INDEX(DM_SLA_Gio,MATCH($L53,DM_SLA_Cap,0)),168))/24)))</f>
      </c>
      <c r="AZ53" s="225">
        <f>IF(OR($A53="",TRIM($N53)="",COUNTIF('Phản ánh'!$K$6:$K$505,$N53)&gt;0,COUNTIF($N$6:$N53,$N53)&gt;1),0,1)</f>
      </c>
      <c r="BA53" s="225">
        <f>IF($AZ53=1,SUM($AZ$6:$AZ53),"")</f>
      </c>
      <c r="BB53" s="225">
        <f>IF(OR($AO53=0,N($AW53)=0),0,IF(TDBC&lt;=$AW53,0,MAX(1,MIN(4,IF((TDBC-$AW53)*24&lt;24,1,IF((TDBC-$AW53)*24&lt;72,2,IF((TDBC-$AW53)*24&lt;168,3,4)))+IF($B53="Đột xuất",IFERROR(INDEX({2,1,0,-1},MATCH($L53,{"Khẩn cấp","Cao","Trung bình","Thấp"},0)),0),IF($D53="PCCC và an ninh",1,0))))))</f>
      </c>
    </row>
    <row r="54">
      <c r="A54" s="216"/>
      <c r="B54" s="216"/>
      <c r="C54" s="218"/>
      <c r="D54" s="218"/>
      <c r="E54" s="218"/>
      <c r="F54" s="216"/>
      <c r="G54" s="218"/>
      <c r="H54" s="218"/>
      <c r="I54" s="231"/>
      <c r="J54" s="217"/>
      <c r="K54" s="217"/>
      <c r="L54" s="216"/>
      <c r="M54" s="216"/>
      <c r="N54" s="218"/>
      <c r="O54" s="218"/>
      <c r="P54" s="218"/>
      <c r="Q54" s="218"/>
      <c r="R54" s="219"/>
      <c r="S54" s="216"/>
      <c r="T54" s="232"/>
      <c r="U54" s="232"/>
      <c r="V54" s="218"/>
      <c r="W54" s="218"/>
      <c r="X54" s="220">
        <f>IF($A54="","",IF(OR($B54="Định kỳ",$AA54="Hoàn thành"),MAX(_xlfn.MAXIFS('Nhật ký tiến độ'!$B$6:$B$3005,'Nhật ký tiến độ'!$C$6:$C$3005,$A54,'Nhật ký tiến độ'!$E$6:$E$3005,"Hoàn thành kỳ"),_xlfn.MAXIFS('Nhật ký tiến độ'!$B$6:$B$3005,'Nhật ký tiến độ'!$C$6:$C$3005,$A54,'Nhật ký tiến độ'!$E$6:$E$3005,"Hoàn thành")),0))</f>
      </c>
      <c r="Y54" s="220">
        <f>IF($A54="","",IF($B54="Đột xuất",IF($AY54=0,"",$AY54),IF($AX54=0,"",$AX54)))</f>
      </c>
      <c r="Z54" s="223">
        <f>IF(OR($AO54=0,$AW54=0),"",IF(TDBC&gt;$AW54,"Quá "&amp;IF($B54="Định kỳ",(NgayBC-$AP54)&amp;" ngày",IF(((TDBC-$AW54)*24)&lt;1,MAX(1,ROUND(((TDBC-$AW54)*24)*60,0))&amp;" phút",IF(ROUND(((TDBC-$AW54)*24),0)&lt;24,ROUND(((TDBC-$AW54)*24),0)&amp;" giờ",INT(ROUND(((TDBC-$AW54)*24),0)/24)&amp;" ngày"&amp;IF(MOD(ROUND(((TDBC-$AW54)*24),0),24)&gt;0," "&amp;MOD(ROUND(((TDBC-$AW54)*24),0),24)&amp;" giờ","")))),IF($B54="Định kỳ",IF($AP54=NgayBC,"Hôm nay","Còn "&amp;($AP54-NgayBC)&amp;" ngày"),"Còn "&amp;IF((($AW54-TDBC)*24)&lt;1,MAX(1,ROUND((($AW54-TDBC)*24)*60,0))&amp;" phút",IF(ROUND((($AW54-TDBC)*24),0)&lt;24,ROUND((($AW54-TDBC)*24),0)&amp;" giờ",INT(ROUND((($AW54-TDBC)*24),0)/24)&amp;" ngày"&amp;IF(MOD(ROUND((($AW54-TDBC)*24),0),24)&gt;0," "&amp;MOD(ROUND((($AW54-TDBC)*24),0),24)&amp;" giờ",""))))))</f>
      </c>
      <c r="AA54" s="221">
        <f>IF($A54="","",IF(N($AM54)=0,"Chưa bắt đầu",IF(OR($AN54="Hoàn thành kỳ",$AN54="Hoàn thành"),IF($B54="Định kỳ","Chưa bắt đầu","Hoàn thành"),$AN54)))</f>
      </c>
      <c r="AB54" s="222">
        <f>IF($A54="","",IF($AA54="Hoàn thành",1,IF(OR(N($AM54)=0,$AN54="Hoàn thành kỳ",$AN54="Hoàn thành"),0,N(INDEX('Nhật ký tiến độ'!$D:$D,$AM54)))))</f>
      </c>
      <c r="AC54" s="222">
        <f>IF(OR($A54="",$B54&lt;&gt;"Đột xuất",$AA54="Hoàn thành",N($J54)=0,$AW54=0),"",IF(TDBC&lt;=$J54,0,IF(TDBC&gt;=$AW54,1,(TDBC-$J54)/($AW54-$J54))))</f>
      </c>
      <c r="AD54" s="223">
        <f>IF($A54="","",IF($AA54="Hoàn thành","Hoàn thành",IF($AW54=0,"Chưa đặt hạn",IF(TDBC&gt;$AW54,"Quá hạn",IF(AND($B54="Đột xuất",ROUND((N($AC54)-$AB54)*100,0)&gt;=20),"Chậm tiến độ",IF($AP54=NgayBC,"Đến hạn hôm nay",IF($B54="Đột xuất",IF($AW54-TDBC&lt;=1,"Sắp đến hạn","Đúng tiến độ"),IF($AP54-NgayBC&lt;=3,"Sắp đến hạn","Theo lịch"))))))))</f>
      </c>
      <c r="AE54" s="223">
        <f>IF($AV54="","",IF($B54="Định kỳ","Bình quân "&amp;IF($AV54&lt;1,MAX(1,ROUND($AV54*60,0))&amp;" phút",IF(ROUND($AV54,0)&lt;24,ROUND($AV54,0)&amp;" giờ",INT(ROUND($AV54,0)/24)&amp;" ngày"&amp;IF(MOD(ROUND($AV54,0),24)&gt;0," "&amp;MOD(ROUND($AV54,0),24)&amp;" giờ","")))&amp;" mỗi kỳ",IF($AV54&lt;1,MAX(1,ROUND($AV54*60,0))&amp;" phút",IF(ROUND($AV54,0)&lt;24,ROUND($AV54,0)&amp;" giờ",INT(ROUND($AV54,0)/24)&amp;" ngày"&amp;IF(MOD(ROUND($AV54,0),24)&gt;0," "&amp;MOD(ROUND($AV54,0),24)&amp;" giờ","")))))</f>
      </c>
      <c r="AF54" s="223">
        <f>IF(OR($A54="",N($AU54)=0),"",IF($AV54&lt;&gt;"",IF($AV54&lt;=$AU54,"Trong ước tính","Vượt "&amp;IF(($AV54-$AU54)&lt;1,MAX(1,ROUND(($AV54-$AU54)*60,0))&amp;" phút",IF(ROUND(($AV54-$AU54),0)&lt;24,ROUND(($AV54-$AU54),0)&amp;" giờ",INT(ROUND(($AV54-$AU54),0)/24)&amp;" ngày"&amp;IF(MOD(ROUND(($AV54-$AU54),0),24)&gt;0," "&amp;MOD(ROUND(($AV54-$AU54),0),24)&amp;" giờ","")))),IF(OR($B54&lt;&gt;"Đột xuất",$AA54="Hoàn thành",N($J54)=0),"",IF((TDBC-$J54)*24&gt;$AU54,"Đã vượt ước tính","Đã dùng "&amp;TEXT((TDBC-$J54)*24/$AU54,"0%")))))</f>
      </c>
      <c r="AG54" s="223">
        <f>IF(N($BB54)=0,"",CHOOSE($BB54,"Nhắc nhở","Cảnh báo","Báo động","Báo động đỏ"))</f>
      </c>
      <c r="AH54" s="223">
        <f>IF(OR($B54&lt;&gt;"Đột xuất",$AA54&lt;&gt;"Hoàn thành",N($X54)=0,$AW54=0),"",IF($X54&lt;=$AW54,"Đúng hạn","Trễ hạn"))</f>
      </c>
      <c r="AI54" s="220">
        <f>IF($A54="","",_xlfn.MAXIFS('Nhật ký tiến độ'!$B$6:$B$3005,'Nhật ký tiến độ'!$C$6:$C$3005,$A54))</f>
      </c>
      <c r="AJ54" s="225">
        <f>IF(OR($A54="",$B54&lt;&gt;"Định kỳ"),0,IFERROR(INDEX(DM_TanSuatNgay,MATCH($H54,DM_TanSuat,0)),0))</f>
      </c>
      <c r="AK54" s="225">
        <f>IF(OR($A54="",$B54&lt;&gt;"Định kỳ"),0,IFERROR(INDEX(DM_TanSuatThang,MATCH($H54,DM_TanSuat,0)),0))</f>
      </c>
      <c r="AL54" s="225">
        <f>IF(OR($A54="",$B54&lt;&gt;"Định kỳ",N($X54)=0,N($I54)=0),"",IF(INT($X54)&lt;$I54,0,IF($AJ54&gt;0,ROUND((INT($X54)-$I54)/$AJ54,0),IF($AK54&gt;0,ROUND((DATEDIF($I54,INT($X54),"m")+(INT($X54)-EDATE($I54,DATEDIF($I54,INT($X54),"m")))/(EDATE($I54,DATEDIF($I54,INT($X54),"m")+1)-EDATE($I54,DATEDIF($I54,INT($X54),"m"))))/$AK54,0),0))))</f>
      </c>
      <c r="AM54" s="225">
        <f>IF($A54="","",IF(COUNTIF('Nhật ký tiến độ'!$C$6:$C$3005,$A54)=0,0,_xlfn.MAXIFS('Nhật ký tiến độ'!$N$6:$N$3005,'Nhật ký tiến độ'!$C$6:$C$3005,$A54,'Nhật ký tiến độ'!$B$6:$B$3005,_xlfn.MAXIFS('Nhật ký tiến độ'!$B$6:$B$3005,'Nhật ký tiến độ'!$C$6:$C$3005,$A54))))</f>
      </c>
      <c r="AN54" s="225">
        <f>IF($A54="","",IF(N($AM54)=0,"",INDEX('Nhật ký tiến độ'!$E:$E,$AM54)))</f>
      </c>
      <c r="AO54" s="225">
        <f>IF($A54="",0,IF($AA54="Hoàn thành",0,1))</f>
      </c>
      <c r="AP54" s="225">
        <f>IF($AO54=0,0,INT(N($AW54)))</f>
      </c>
      <c r="AQ54" s="225">
        <f>IF(AND($AO54=1,$AJ54&gt;1),$AJ54,0)</f>
      </c>
      <c r="AR54" s="225">
        <f>IF(AND($AO54=1,$AJ54=1),1,0)</f>
      </c>
      <c r="AS54" s="225">
        <f>IF(OR($AO54=0,AND($AR54=1,N($BB54)=0)),"",IF(N($BB54)&gt;0,5-$BB54,IF($AD54="Chậm tiến độ",6,IF($AD54="Đến hạn hôm nay",7,IF(AND($AP54&gt;0,$AP54-NgayBC&lt;=7),8,"")))))</f>
      </c>
      <c r="AT54" s="225">
        <f>IF($AS54="","",$AS54*100000+$AP54+ROW()/100000)</f>
      </c>
      <c r="AU54" s="224">
        <f>IF(OR($A54="",N($R54)&lt;=0),"",IF($S54="Ngày",$R54*24,$R54))</f>
      </c>
      <c r="AV54" s="224">
        <f>IF($A54="","",IF($B54="Đột xuất",IF(OR($AA54&lt;&gt;"Hoàn thành",N($X54)=0,N($J54)=0),"",IF($X54&lt;$J54,"",($X54-$J54)*24)),IFERROR(AVERAGEIFS('Nhật ký tiến độ'!$H$6:$H$3005,'Nhật ký tiến độ'!$C$6:$C$3005,$A54,'Nhật ký tiến độ'!$H$6:$H$3005,"&gt;0"),"")))</f>
      </c>
      <c r="AW54" s="233">
        <f>IF($A54="",0,IF($B54="Đột xuất",$AY54,IF($AX54=0,0,$AX54+1-1/1440)))</f>
      </c>
      <c r="AX54" s="234">
        <f>IF(OR($A54="",$B54&lt;&gt;"Định kỳ",N($I54)=0),0,IF($AL54="",$I54,IF($AJ54&gt;0,$I54+($AL54+1)*$AJ54,IF($AK54&gt;0,EDATE($I54,($AL54+1)*$AK54),$I54))))</f>
      </c>
      <c r="AY54" s="233">
        <f>IF(OR($A54="",$B54&lt;&gt;"Đột xuất"),0,IF(N($K54)&gt;0,IF(MOD($K54,1)=0,$K54+1-1/1440,$K54),IF(N($J54)=0,0,$J54+IF(N($AU54)&gt;0,$AU54,IFERROR(INDEX(DM_SLA_Gio,MATCH($L54,DM_SLA_Cap,0)),168))/24)))</f>
      </c>
      <c r="AZ54" s="225">
        <f>IF(OR($A54="",TRIM($N54)="",COUNTIF('Phản ánh'!$K$6:$K$505,$N54)&gt;0,COUNTIF($N$6:$N54,$N54)&gt;1),0,1)</f>
      </c>
      <c r="BA54" s="225">
        <f>IF($AZ54=1,SUM($AZ$6:$AZ54),"")</f>
      </c>
      <c r="BB54" s="225">
        <f>IF(OR($AO54=0,N($AW54)=0),0,IF(TDBC&lt;=$AW54,0,MAX(1,MIN(4,IF((TDBC-$AW54)*24&lt;24,1,IF((TDBC-$AW54)*24&lt;72,2,IF((TDBC-$AW54)*24&lt;168,3,4)))+IF($B54="Đột xuất",IFERROR(INDEX({2,1,0,-1},MATCH($L54,{"Khẩn cấp","Cao","Trung bình","Thấp"},0)),0),IF($D54="PCCC và an ninh",1,0))))))</f>
      </c>
    </row>
    <row r="55">
      <c r="A55" s="216"/>
      <c r="B55" s="216"/>
      <c r="C55" s="218"/>
      <c r="D55" s="218"/>
      <c r="E55" s="218"/>
      <c r="F55" s="216"/>
      <c r="G55" s="218"/>
      <c r="H55" s="218"/>
      <c r="I55" s="231"/>
      <c r="J55" s="217"/>
      <c r="K55" s="217"/>
      <c r="L55" s="216"/>
      <c r="M55" s="216"/>
      <c r="N55" s="218"/>
      <c r="O55" s="218"/>
      <c r="P55" s="218"/>
      <c r="Q55" s="218"/>
      <c r="R55" s="219"/>
      <c r="S55" s="216"/>
      <c r="T55" s="232"/>
      <c r="U55" s="232"/>
      <c r="V55" s="218"/>
      <c r="W55" s="218"/>
      <c r="X55" s="220">
        <f>IF($A55="","",IF(OR($B55="Định kỳ",$AA55="Hoàn thành"),MAX(_xlfn.MAXIFS('Nhật ký tiến độ'!$B$6:$B$3005,'Nhật ký tiến độ'!$C$6:$C$3005,$A55,'Nhật ký tiến độ'!$E$6:$E$3005,"Hoàn thành kỳ"),_xlfn.MAXIFS('Nhật ký tiến độ'!$B$6:$B$3005,'Nhật ký tiến độ'!$C$6:$C$3005,$A55,'Nhật ký tiến độ'!$E$6:$E$3005,"Hoàn thành")),0))</f>
      </c>
      <c r="Y55" s="220">
        <f>IF($A55="","",IF($B55="Đột xuất",IF($AY55=0,"",$AY55),IF($AX55=0,"",$AX55)))</f>
      </c>
      <c r="Z55" s="223">
        <f>IF(OR($AO55=0,$AW55=0),"",IF(TDBC&gt;$AW55,"Quá "&amp;IF($B55="Định kỳ",(NgayBC-$AP55)&amp;" ngày",IF(((TDBC-$AW55)*24)&lt;1,MAX(1,ROUND(((TDBC-$AW55)*24)*60,0))&amp;" phút",IF(ROUND(((TDBC-$AW55)*24),0)&lt;24,ROUND(((TDBC-$AW55)*24),0)&amp;" giờ",INT(ROUND(((TDBC-$AW55)*24),0)/24)&amp;" ngày"&amp;IF(MOD(ROUND(((TDBC-$AW55)*24),0),24)&gt;0," "&amp;MOD(ROUND(((TDBC-$AW55)*24),0),24)&amp;" giờ","")))),IF($B55="Định kỳ",IF($AP55=NgayBC,"Hôm nay","Còn "&amp;($AP55-NgayBC)&amp;" ngày"),"Còn "&amp;IF((($AW55-TDBC)*24)&lt;1,MAX(1,ROUND((($AW55-TDBC)*24)*60,0))&amp;" phút",IF(ROUND((($AW55-TDBC)*24),0)&lt;24,ROUND((($AW55-TDBC)*24),0)&amp;" giờ",INT(ROUND((($AW55-TDBC)*24),0)/24)&amp;" ngày"&amp;IF(MOD(ROUND((($AW55-TDBC)*24),0),24)&gt;0," "&amp;MOD(ROUND((($AW55-TDBC)*24),0),24)&amp;" giờ",""))))))</f>
      </c>
      <c r="AA55" s="221">
        <f>IF($A55="","",IF(N($AM55)=0,"Chưa bắt đầu",IF(OR($AN55="Hoàn thành kỳ",$AN55="Hoàn thành"),IF($B55="Định kỳ","Chưa bắt đầu","Hoàn thành"),$AN55)))</f>
      </c>
      <c r="AB55" s="222">
        <f>IF($A55="","",IF($AA55="Hoàn thành",1,IF(OR(N($AM55)=0,$AN55="Hoàn thành kỳ",$AN55="Hoàn thành"),0,N(INDEX('Nhật ký tiến độ'!$D:$D,$AM55)))))</f>
      </c>
      <c r="AC55" s="222">
        <f>IF(OR($A55="",$B55&lt;&gt;"Đột xuất",$AA55="Hoàn thành",N($J55)=0,$AW55=0),"",IF(TDBC&lt;=$J55,0,IF(TDBC&gt;=$AW55,1,(TDBC-$J55)/($AW55-$J55))))</f>
      </c>
      <c r="AD55" s="223">
        <f>IF($A55="","",IF($AA55="Hoàn thành","Hoàn thành",IF($AW55=0,"Chưa đặt hạn",IF(TDBC&gt;$AW55,"Quá hạn",IF(AND($B55="Đột xuất",ROUND((N($AC55)-$AB55)*100,0)&gt;=20),"Chậm tiến độ",IF($AP55=NgayBC,"Đến hạn hôm nay",IF($B55="Đột xuất",IF($AW55-TDBC&lt;=1,"Sắp đến hạn","Đúng tiến độ"),IF($AP55-NgayBC&lt;=3,"Sắp đến hạn","Theo lịch"))))))))</f>
      </c>
      <c r="AE55" s="223">
        <f>IF($AV55="","",IF($B55="Định kỳ","Bình quân "&amp;IF($AV55&lt;1,MAX(1,ROUND($AV55*60,0))&amp;" phút",IF(ROUND($AV55,0)&lt;24,ROUND($AV55,0)&amp;" giờ",INT(ROUND($AV55,0)/24)&amp;" ngày"&amp;IF(MOD(ROUND($AV55,0),24)&gt;0," "&amp;MOD(ROUND($AV55,0),24)&amp;" giờ","")))&amp;" mỗi kỳ",IF($AV55&lt;1,MAX(1,ROUND($AV55*60,0))&amp;" phút",IF(ROUND($AV55,0)&lt;24,ROUND($AV55,0)&amp;" giờ",INT(ROUND($AV55,0)/24)&amp;" ngày"&amp;IF(MOD(ROUND($AV55,0),24)&gt;0," "&amp;MOD(ROUND($AV55,0),24)&amp;" giờ","")))))</f>
      </c>
      <c r="AF55" s="223">
        <f>IF(OR($A55="",N($AU55)=0),"",IF($AV55&lt;&gt;"",IF($AV55&lt;=$AU55,"Trong ước tính","Vượt "&amp;IF(($AV55-$AU55)&lt;1,MAX(1,ROUND(($AV55-$AU55)*60,0))&amp;" phút",IF(ROUND(($AV55-$AU55),0)&lt;24,ROUND(($AV55-$AU55),0)&amp;" giờ",INT(ROUND(($AV55-$AU55),0)/24)&amp;" ngày"&amp;IF(MOD(ROUND(($AV55-$AU55),0),24)&gt;0," "&amp;MOD(ROUND(($AV55-$AU55),0),24)&amp;" giờ","")))),IF(OR($B55&lt;&gt;"Đột xuất",$AA55="Hoàn thành",N($J55)=0),"",IF((TDBC-$J55)*24&gt;$AU55,"Đã vượt ước tính","Đã dùng "&amp;TEXT((TDBC-$J55)*24/$AU55,"0%")))))</f>
      </c>
      <c r="AG55" s="223">
        <f>IF(N($BB55)=0,"",CHOOSE($BB55,"Nhắc nhở","Cảnh báo","Báo động","Báo động đỏ"))</f>
      </c>
      <c r="AH55" s="223">
        <f>IF(OR($B55&lt;&gt;"Đột xuất",$AA55&lt;&gt;"Hoàn thành",N($X55)=0,$AW55=0),"",IF($X55&lt;=$AW55,"Đúng hạn","Trễ hạn"))</f>
      </c>
      <c r="AI55" s="220">
        <f>IF($A55="","",_xlfn.MAXIFS('Nhật ký tiến độ'!$B$6:$B$3005,'Nhật ký tiến độ'!$C$6:$C$3005,$A55))</f>
      </c>
      <c r="AJ55" s="225">
        <f>IF(OR($A55="",$B55&lt;&gt;"Định kỳ"),0,IFERROR(INDEX(DM_TanSuatNgay,MATCH($H55,DM_TanSuat,0)),0))</f>
      </c>
      <c r="AK55" s="225">
        <f>IF(OR($A55="",$B55&lt;&gt;"Định kỳ"),0,IFERROR(INDEX(DM_TanSuatThang,MATCH($H55,DM_TanSuat,0)),0))</f>
      </c>
      <c r="AL55" s="225">
        <f>IF(OR($A55="",$B55&lt;&gt;"Định kỳ",N($X55)=0,N($I55)=0),"",IF(INT($X55)&lt;$I55,0,IF($AJ55&gt;0,ROUND((INT($X55)-$I55)/$AJ55,0),IF($AK55&gt;0,ROUND((DATEDIF($I55,INT($X55),"m")+(INT($X55)-EDATE($I55,DATEDIF($I55,INT($X55),"m")))/(EDATE($I55,DATEDIF($I55,INT($X55),"m")+1)-EDATE($I55,DATEDIF($I55,INT($X55),"m"))))/$AK55,0),0))))</f>
      </c>
      <c r="AM55" s="225">
        <f>IF($A55="","",IF(COUNTIF('Nhật ký tiến độ'!$C$6:$C$3005,$A55)=0,0,_xlfn.MAXIFS('Nhật ký tiến độ'!$N$6:$N$3005,'Nhật ký tiến độ'!$C$6:$C$3005,$A55,'Nhật ký tiến độ'!$B$6:$B$3005,_xlfn.MAXIFS('Nhật ký tiến độ'!$B$6:$B$3005,'Nhật ký tiến độ'!$C$6:$C$3005,$A55))))</f>
      </c>
      <c r="AN55" s="225">
        <f>IF($A55="","",IF(N($AM55)=0,"",INDEX('Nhật ký tiến độ'!$E:$E,$AM55)))</f>
      </c>
      <c r="AO55" s="225">
        <f>IF($A55="",0,IF($AA55="Hoàn thành",0,1))</f>
      </c>
      <c r="AP55" s="225">
        <f>IF($AO55=0,0,INT(N($AW55)))</f>
      </c>
      <c r="AQ55" s="225">
        <f>IF(AND($AO55=1,$AJ55&gt;1),$AJ55,0)</f>
      </c>
      <c r="AR55" s="225">
        <f>IF(AND($AO55=1,$AJ55=1),1,0)</f>
      </c>
      <c r="AS55" s="225">
        <f>IF(OR($AO55=0,AND($AR55=1,N($BB55)=0)),"",IF(N($BB55)&gt;0,5-$BB55,IF($AD55="Chậm tiến độ",6,IF($AD55="Đến hạn hôm nay",7,IF(AND($AP55&gt;0,$AP55-NgayBC&lt;=7),8,"")))))</f>
      </c>
      <c r="AT55" s="225">
        <f>IF($AS55="","",$AS55*100000+$AP55+ROW()/100000)</f>
      </c>
      <c r="AU55" s="224">
        <f>IF(OR($A55="",N($R55)&lt;=0),"",IF($S55="Ngày",$R55*24,$R55))</f>
      </c>
      <c r="AV55" s="224">
        <f>IF($A55="","",IF($B55="Đột xuất",IF(OR($AA55&lt;&gt;"Hoàn thành",N($X55)=0,N($J55)=0),"",IF($X55&lt;$J55,"",($X55-$J55)*24)),IFERROR(AVERAGEIFS('Nhật ký tiến độ'!$H$6:$H$3005,'Nhật ký tiến độ'!$C$6:$C$3005,$A55,'Nhật ký tiến độ'!$H$6:$H$3005,"&gt;0"),"")))</f>
      </c>
      <c r="AW55" s="233">
        <f>IF($A55="",0,IF($B55="Đột xuất",$AY55,IF($AX55=0,0,$AX55+1-1/1440)))</f>
      </c>
      <c r="AX55" s="234">
        <f>IF(OR($A55="",$B55&lt;&gt;"Định kỳ",N($I55)=0),0,IF($AL55="",$I55,IF($AJ55&gt;0,$I55+($AL55+1)*$AJ55,IF($AK55&gt;0,EDATE($I55,($AL55+1)*$AK55),$I55))))</f>
      </c>
      <c r="AY55" s="233">
        <f>IF(OR($A55="",$B55&lt;&gt;"Đột xuất"),0,IF(N($K55)&gt;0,IF(MOD($K55,1)=0,$K55+1-1/1440,$K55),IF(N($J55)=0,0,$J55+IF(N($AU55)&gt;0,$AU55,IFERROR(INDEX(DM_SLA_Gio,MATCH($L55,DM_SLA_Cap,0)),168))/24)))</f>
      </c>
      <c r="AZ55" s="225">
        <f>IF(OR($A55="",TRIM($N55)="",COUNTIF('Phản ánh'!$K$6:$K$505,$N55)&gt;0,COUNTIF($N$6:$N55,$N55)&gt;1),0,1)</f>
      </c>
      <c r="BA55" s="225">
        <f>IF($AZ55=1,SUM($AZ$6:$AZ55),"")</f>
      </c>
      <c r="BB55" s="225">
        <f>IF(OR($AO55=0,N($AW55)=0),0,IF(TDBC&lt;=$AW55,0,MAX(1,MIN(4,IF((TDBC-$AW55)*24&lt;24,1,IF((TDBC-$AW55)*24&lt;72,2,IF((TDBC-$AW55)*24&lt;168,3,4)))+IF($B55="Đột xuất",IFERROR(INDEX({2,1,0,-1},MATCH($L55,{"Khẩn cấp","Cao","Trung bình","Thấp"},0)),0),IF($D55="PCCC và an ninh",1,0))))))</f>
      </c>
    </row>
    <row r="56">
      <c r="A56" s="216"/>
      <c r="B56" s="216"/>
      <c r="C56" s="218"/>
      <c r="D56" s="218"/>
      <c r="E56" s="218"/>
      <c r="F56" s="216"/>
      <c r="G56" s="218"/>
      <c r="H56" s="218"/>
      <c r="I56" s="231"/>
      <c r="J56" s="217"/>
      <c r="K56" s="217"/>
      <c r="L56" s="216"/>
      <c r="M56" s="216"/>
      <c r="N56" s="218"/>
      <c r="O56" s="218"/>
      <c r="P56" s="218"/>
      <c r="Q56" s="218"/>
      <c r="R56" s="219"/>
      <c r="S56" s="216"/>
      <c r="T56" s="232"/>
      <c r="U56" s="232"/>
      <c r="V56" s="218"/>
      <c r="W56" s="218"/>
      <c r="X56" s="220">
        <f>IF($A56="","",IF(OR($B56="Định kỳ",$AA56="Hoàn thành"),MAX(_xlfn.MAXIFS('Nhật ký tiến độ'!$B$6:$B$3005,'Nhật ký tiến độ'!$C$6:$C$3005,$A56,'Nhật ký tiến độ'!$E$6:$E$3005,"Hoàn thành kỳ"),_xlfn.MAXIFS('Nhật ký tiến độ'!$B$6:$B$3005,'Nhật ký tiến độ'!$C$6:$C$3005,$A56,'Nhật ký tiến độ'!$E$6:$E$3005,"Hoàn thành")),0))</f>
      </c>
      <c r="Y56" s="220">
        <f>IF($A56="","",IF($B56="Đột xuất",IF($AY56=0,"",$AY56),IF($AX56=0,"",$AX56)))</f>
      </c>
      <c r="Z56" s="223">
        <f>IF(OR($AO56=0,$AW56=0),"",IF(TDBC&gt;$AW56,"Quá "&amp;IF($B56="Định kỳ",(NgayBC-$AP56)&amp;" ngày",IF(((TDBC-$AW56)*24)&lt;1,MAX(1,ROUND(((TDBC-$AW56)*24)*60,0))&amp;" phút",IF(ROUND(((TDBC-$AW56)*24),0)&lt;24,ROUND(((TDBC-$AW56)*24),0)&amp;" giờ",INT(ROUND(((TDBC-$AW56)*24),0)/24)&amp;" ngày"&amp;IF(MOD(ROUND(((TDBC-$AW56)*24),0),24)&gt;0," "&amp;MOD(ROUND(((TDBC-$AW56)*24),0),24)&amp;" giờ","")))),IF($B56="Định kỳ",IF($AP56=NgayBC,"Hôm nay","Còn "&amp;($AP56-NgayBC)&amp;" ngày"),"Còn "&amp;IF((($AW56-TDBC)*24)&lt;1,MAX(1,ROUND((($AW56-TDBC)*24)*60,0))&amp;" phút",IF(ROUND((($AW56-TDBC)*24),0)&lt;24,ROUND((($AW56-TDBC)*24),0)&amp;" giờ",INT(ROUND((($AW56-TDBC)*24),0)/24)&amp;" ngày"&amp;IF(MOD(ROUND((($AW56-TDBC)*24),0),24)&gt;0," "&amp;MOD(ROUND((($AW56-TDBC)*24),0),24)&amp;" giờ",""))))))</f>
      </c>
      <c r="AA56" s="221">
        <f>IF($A56="","",IF(N($AM56)=0,"Chưa bắt đầu",IF(OR($AN56="Hoàn thành kỳ",$AN56="Hoàn thành"),IF($B56="Định kỳ","Chưa bắt đầu","Hoàn thành"),$AN56)))</f>
      </c>
      <c r="AB56" s="222">
        <f>IF($A56="","",IF($AA56="Hoàn thành",1,IF(OR(N($AM56)=0,$AN56="Hoàn thành kỳ",$AN56="Hoàn thành"),0,N(INDEX('Nhật ký tiến độ'!$D:$D,$AM56)))))</f>
      </c>
      <c r="AC56" s="222">
        <f>IF(OR($A56="",$B56&lt;&gt;"Đột xuất",$AA56="Hoàn thành",N($J56)=0,$AW56=0),"",IF(TDBC&lt;=$J56,0,IF(TDBC&gt;=$AW56,1,(TDBC-$J56)/($AW56-$J56))))</f>
      </c>
      <c r="AD56" s="223">
        <f>IF($A56="","",IF($AA56="Hoàn thành","Hoàn thành",IF($AW56=0,"Chưa đặt hạn",IF(TDBC&gt;$AW56,"Quá hạn",IF(AND($B56="Đột xuất",ROUND((N($AC56)-$AB56)*100,0)&gt;=20),"Chậm tiến độ",IF($AP56=NgayBC,"Đến hạn hôm nay",IF($B56="Đột xuất",IF($AW56-TDBC&lt;=1,"Sắp đến hạn","Đúng tiến độ"),IF($AP56-NgayBC&lt;=3,"Sắp đến hạn","Theo lịch"))))))))</f>
      </c>
      <c r="AE56" s="223">
        <f>IF($AV56="","",IF($B56="Định kỳ","Bình quân "&amp;IF($AV56&lt;1,MAX(1,ROUND($AV56*60,0))&amp;" phút",IF(ROUND($AV56,0)&lt;24,ROUND($AV56,0)&amp;" giờ",INT(ROUND($AV56,0)/24)&amp;" ngày"&amp;IF(MOD(ROUND($AV56,0),24)&gt;0," "&amp;MOD(ROUND($AV56,0),24)&amp;" giờ","")))&amp;" mỗi kỳ",IF($AV56&lt;1,MAX(1,ROUND($AV56*60,0))&amp;" phút",IF(ROUND($AV56,0)&lt;24,ROUND($AV56,0)&amp;" giờ",INT(ROUND($AV56,0)/24)&amp;" ngày"&amp;IF(MOD(ROUND($AV56,0),24)&gt;0," "&amp;MOD(ROUND($AV56,0),24)&amp;" giờ","")))))</f>
      </c>
      <c r="AF56" s="223">
        <f>IF(OR($A56="",N($AU56)=0),"",IF($AV56&lt;&gt;"",IF($AV56&lt;=$AU56,"Trong ước tính","Vượt "&amp;IF(($AV56-$AU56)&lt;1,MAX(1,ROUND(($AV56-$AU56)*60,0))&amp;" phút",IF(ROUND(($AV56-$AU56),0)&lt;24,ROUND(($AV56-$AU56),0)&amp;" giờ",INT(ROUND(($AV56-$AU56),0)/24)&amp;" ngày"&amp;IF(MOD(ROUND(($AV56-$AU56),0),24)&gt;0," "&amp;MOD(ROUND(($AV56-$AU56),0),24)&amp;" giờ","")))),IF(OR($B56&lt;&gt;"Đột xuất",$AA56="Hoàn thành",N($J56)=0),"",IF((TDBC-$J56)*24&gt;$AU56,"Đã vượt ước tính","Đã dùng "&amp;TEXT((TDBC-$J56)*24/$AU56,"0%")))))</f>
      </c>
      <c r="AG56" s="223">
        <f>IF(N($BB56)=0,"",CHOOSE($BB56,"Nhắc nhở","Cảnh báo","Báo động","Báo động đỏ"))</f>
      </c>
      <c r="AH56" s="223">
        <f>IF(OR($B56&lt;&gt;"Đột xuất",$AA56&lt;&gt;"Hoàn thành",N($X56)=0,$AW56=0),"",IF($X56&lt;=$AW56,"Đúng hạn","Trễ hạn"))</f>
      </c>
      <c r="AI56" s="220">
        <f>IF($A56="","",_xlfn.MAXIFS('Nhật ký tiến độ'!$B$6:$B$3005,'Nhật ký tiến độ'!$C$6:$C$3005,$A56))</f>
      </c>
      <c r="AJ56" s="225">
        <f>IF(OR($A56="",$B56&lt;&gt;"Định kỳ"),0,IFERROR(INDEX(DM_TanSuatNgay,MATCH($H56,DM_TanSuat,0)),0))</f>
      </c>
      <c r="AK56" s="225">
        <f>IF(OR($A56="",$B56&lt;&gt;"Định kỳ"),0,IFERROR(INDEX(DM_TanSuatThang,MATCH($H56,DM_TanSuat,0)),0))</f>
      </c>
      <c r="AL56" s="225">
        <f>IF(OR($A56="",$B56&lt;&gt;"Định kỳ",N($X56)=0,N($I56)=0),"",IF(INT($X56)&lt;$I56,0,IF($AJ56&gt;0,ROUND((INT($X56)-$I56)/$AJ56,0),IF($AK56&gt;0,ROUND((DATEDIF($I56,INT($X56),"m")+(INT($X56)-EDATE($I56,DATEDIF($I56,INT($X56),"m")))/(EDATE($I56,DATEDIF($I56,INT($X56),"m")+1)-EDATE($I56,DATEDIF($I56,INT($X56),"m"))))/$AK56,0),0))))</f>
      </c>
      <c r="AM56" s="225">
        <f>IF($A56="","",IF(COUNTIF('Nhật ký tiến độ'!$C$6:$C$3005,$A56)=0,0,_xlfn.MAXIFS('Nhật ký tiến độ'!$N$6:$N$3005,'Nhật ký tiến độ'!$C$6:$C$3005,$A56,'Nhật ký tiến độ'!$B$6:$B$3005,_xlfn.MAXIFS('Nhật ký tiến độ'!$B$6:$B$3005,'Nhật ký tiến độ'!$C$6:$C$3005,$A56))))</f>
      </c>
      <c r="AN56" s="225">
        <f>IF($A56="","",IF(N($AM56)=0,"",INDEX('Nhật ký tiến độ'!$E:$E,$AM56)))</f>
      </c>
      <c r="AO56" s="225">
        <f>IF($A56="",0,IF($AA56="Hoàn thành",0,1))</f>
      </c>
      <c r="AP56" s="225">
        <f>IF($AO56=0,0,INT(N($AW56)))</f>
      </c>
      <c r="AQ56" s="225">
        <f>IF(AND($AO56=1,$AJ56&gt;1),$AJ56,0)</f>
      </c>
      <c r="AR56" s="225">
        <f>IF(AND($AO56=1,$AJ56=1),1,0)</f>
      </c>
      <c r="AS56" s="225">
        <f>IF(OR($AO56=0,AND($AR56=1,N($BB56)=0)),"",IF(N($BB56)&gt;0,5-$BB56,IF($AD56="Chậm tiến độ",6,IF($AD56="Đến hạn hôm nay",7,IF(AND($AP56&gt;0,$AP56-NgayBC&lt;=7),8,"")))))</f>
      </c>
      <c r="AT56" s="225">
        <f>IF($AS56="","",$AS56*100000+$AP56+ROW()/100000)</f>
      </c>
      <c r="AU56" s="224">
        <f>IF(OR($A56="",N($R56)&lt;=0),"",IF($S56="Ngày",$R56*24,$R56))</f>
      </c>
      <c r="AV56" s="224">
        <f>IF($A56="","",IF($B56="Đột xuất",IF(OR($AA56&lt;&gt;"Hoàn thành",N($X56)=0,N($J56)=0),"",IF($X56&lt;$J56,"",($X56-$J56)*24)),IFERROR(AVERAGEIFS('Nhật ký tiến độ'!$H$6:$H$3005,'Nhật ký tiến độ'!$C$6:$C$3005,$A56,'Nhật ký tiến độ'!$H$6:$H$3005,"&gt;0"),"")))</f>
      </c>
      <c r="AW56" s="233">
        <f>IF($A56="",0,IF($B56="Đột xuất",$AY56,IF($AX56=0,0,$AX56+1-1/1440)))</f>
      </c>
      <c r="AX56" s="234">
        <f>IF(OR($A56="",$B56&lt;&gt;"Định kỳ",N($I56)=0),0,IF($AL56="",$I56,IF($AJ56&gt;0,$I56+($AL56+1)*$AJ56,IF($AK56&gt;0,EDATE($I56,($AL56+1)*$AK56),$I56))))</f>
      </c>
      <c r="AY56" s="233">
        <f>IF(OR($A56="",$B56&lt;&gt;"Đột xuất"),0,IF(N($K56)&gt;0,IF(MOD($K56,1)=0,$K56+1-1/1440,$K56),IF(N($J56)=0,0,$J56+IF(N($AU56)&gt;0,$AU56,IFERROR(INDEX(DM_SLA_Gio,MATCH($L56,DM_SLA_Cap,0)),168))/24)))</f>
      </c>
      <c r="AZ56" s="225">
        <f>IF(OR($A56="",TRIM($N56)="",COUNTIF('Phản ánh'!$K$6:$K$505,$N56)&gt;0,COUNTIF($N$6:$N56,$N56)&gt;1),0,1)</f>
      </c>
      <c r="BA56" s="225">
        <f>IF($AZ56=1,SUM($AZ$6:$AZ56),"")</f>
      </c>
      <c r="BB56" s="225">
        <f>IF(OR($AO56=0,N($AW56)=0),0,IF(TDBC&lt;=$AW56,0,MAX(1,MIN(4,IF((TDBC-$AW56)*24&lt;24,1,IF((TDBC-$AW56)*24&lt;72,2,IF((TDBC-$AW56)*24&lt;168,3,4)))+IF($B56="Đột xuất",IFERROR(INDEX({2,1,0,-1},MATCH($L56,{"Khẩn cấp","Cao","Trung bình","Thấp"},0)),0),IF($D56="PCCC và an ninh",1,0))))))</f>
      </c>
    </row>
    <row r="57">
      <c r="A57" s="216"/>
      <c r="B57" s="216"/>
      <c r="C57" s="218"/>
      <c r="D57" s="218"/>
      <c r="E57" s="218"/>
      <c r="F57" s="216"/>
      <c r="G57" s="218"/>
      <c r="H57" s="218"/>
      <c r="I57" s="231"/>
      <c r="J57" s="217"/>
      <c r="K57" s="217"/>
      <c r="L57" s="216"/>
      <c r="M57" s="216"/>
      <c r="N57" s="218"/>
      <c r="O57" s="218"/>
      <c r="P57" s="218"/>
      <c r="Q57" s="218"/>
      <c r="R57" s="219"/>
      <c r="S57" s="216"/>
      <c r="T57" s="232"/>
      <c r="U57" s="232"/>
      <c r="V57" s="218"/>
      <c r="W57" s="218"/>
      <c r="X57" s="220">
        <f>IF($A57="","",IF(OR($B57="Định kỳ",$AA57="Hoàn thành"),MAX(_xlfn.MAXIFS('Nhật ký tiến độ'!$B$6:$B$3005,'Nhật ký tiến độ'!$C$6:$C$3005,$A57,'Nhật ký tiến độ'!$E$6:$E$3005,"Hoàn thành kỳ"),_xlfn.MAXIFS('Nhật ký tiến độ'!$B$6:$B$3005,'Nhật ký tiến độ'!$C$6:$C$3005,$A57,'Nhật ký tiến độ'!$E$6:$E$3005,"Hoàn thành")),0))</f>
      </c>
      <c r="Y57" s="220">
        <f>IF($A57="","",IF($B57="Đột xuất",IF($AY57=0,"",$AY57),IF($AX57=0,"",$AX57)))</f>
      </c>
      <c r="Z57" s="223">
        <f>IF(OR($AO57=0,$AW57=0),"",IF(TDBC&gt;$AW57,"Quá "&amp;IF($B57="Định kỳ",(NgayBC-$AP57)&amp;" ngày",IF(((TDBC-$AW57)*24)&lt;1,MAX(1,ROUND(((TDBC-$AW57)*24)*60,0))&amp;" phút",IF(ROUND(((TDBC-$AW57)*24),0)&lt;24,ROUND(((TDBC-$AW57)*24),0)&amp;" giờ",INT(ROUND(((TDBC-$AW57)*24),0)/24)&amp;" ngày"&amp;IF(MOD(ROUND(((TDBC-$AW57)*24),0),24)&gt;0," "&amp;MOD(ROUND(((TDBC-$AW57)*24),0),24)&amp;" giờ","")))),IF($B57="Định kỳ",IF($AP57=NgayBC,"Hôm nay","Còn "&amp;($AP57-NgayBC)&amp;" ngày"),"Còn "&amp;IF((($AW57-TDBC)*24)&lt;1,MAX(1,ROUND((($AW57-TDBC)*24)*60,0))&amp;" phút",IF(ROUND((($AW57-TDBC)*24),0)&lt;24,ROUND((($AW57-TDBC)*24),0)&amp;" giờ",INT(ROUND((($AW57-TDBC)*24),0)/24)&amp;" ngày"&amp;IF(MOD(ROUND((($AW57-TDBC)*24),0),24)&gt;0," "&amp;MOD(ROUND((($AW57-TDBC)*24),0),24)&amp;" giờ",""))))))</f>
      </c>
      <c r="AA57" s="221">
        <f>IF($A57="","",IF(N($AM57)=0,"Chưa bắt đầu",IF(OR($AN57="Hoàn thành kỳ",$AN57="Hoàn thành"),IF($B57="Định kỳ","Chưa bắt đầu","Hoàn thành"),$AN57)))</f>
      </c>
      <c r="AB57" s="222">
        <f>IF($A57="","",IF($AA57="Hoàn thành",1,IF(OR(N($AM57)=0,$AN57="Hoàn thành kỳ",$AN57="Hoàn thành"),0,N(INDEX('Nhật ký tiến độ'!$D:$D,$AM57)))))</f>
      </c>
      <c r="AC57" s="222">
        <f>IF(OR($A57="",$B57&lt;&gt;"Đột xuất",$AA57="Hoàn thành",N($J57)=0,$AW57=0),"",IF(TDBC&lt;=$J57,0,IF(TDBC&gt;=$AW57,1,(TDBC-$J57)/($AW57-$J57))))</f>
      </c>
      <c r="AD57" s="223">
        <f>IF($A57="","",IF($AA57="Hoàn thành","Hoàn thành",IF($AW57=0,"Chưa đặt hạn",IF(TDBC&gt;$AW57,"Quá hạn",IF(AND($B57="Đột xuất",ROUND((N($AC57)-$AB57)*100,0)&gt;=20),"Chậm tiến độ",IF($AP57=NgayBC,"Đến hạn hôm nay",IF($B57="Đột xuất",IF($AW57-TDBC&lt;=1,"Sắp đến hạn","Đúng tiến độ"),IF($AP57-NgayBC&lt;=3,"Sắp đến hạn","Theo lịch"))))))))</f>
      </c>
      <c r="AE57" s="223">
        <f>IF($AV57="","",IF($B57="Định kỳ","Bình quân "&amp;IF($AV57&lt;1,MAX(1,ROUND($AV57*60,0))&amp;" phút",IF(ROUND($AV57,0)&lt;24,ROUND($AV57,0)&amp;" giờ",INT(ROUND($AV57,0)/24)&amp;" ngày"&amp;IF(MOD(ROUND($AV57,0),24)&gt;0," "&amp;MOD(ROUND($AV57,0),24)&amp;" giờ","")))&amp;" mỗi kỳ",IF($AV57&lt;1,MAX(1,ROUND($AV57*60,0))&amp;" phút",IF(ROUND($AV57,0)&lt;24,ROUND($AV57,0)&amp;" giờ",INT(ROUND($AV57,0)/24)&amp;" ngày"&amp;IF(MOD(ROUND($AV57,0),24)&gt;0," "&amp;MOD(ROUND($AV57,0),24)&amp;" giờ","")))))</f>
      </c>
      <c r="AF57" s="223">
        <f>IF(OR($A57="",N($AU57)=0),"",IF($AV57&lt;&gt;"",IF($AV57&lt;=$AU57,"Trong ước tính","Vượt "&amp;IF(($AV57-$AU57)&lt;1,MAX(1,ROUND(($AV57-$AU57)*60,0))&amp;" phút",IF(ROUND(($AV57-$AU57),0)&lt;24,ROUND(($AV57-$AU57),0)&amp;" giờ",INT(ROUND(($AV57-$AU57),0)/24)&amp;" ngày"&amp;IF(MOD(ROUND(($AV57-$AU57),0),24)&gt;0," "&amp;MOD(ROUND(($AV57-$AU57),0),24)&amp;" giờ","")))),IF(OR($B57&lt;&gt;"Đột xuất",$AA57="Hoàn thành",N($J57)=0),"",IF((TDBC-$J57)*24&gt;$AU57,"Đã vượt ước tính","Đã dùng "&amp;TEXT((TDBC-$J57)*24/$AU57,"0%")))))</f>
      </c>
      <c r="AG57" s="223">
        <f>IF(N($BB57)=0,"",CHOOSE($BB57,"Nhắc nhở","Cảnh báo","Báo động","Báo động đỏ"))</f>
      </c>
      <c r="AH57" s="223">
        <f>IF(OR($B57&lt;&gt;"Đột xuất",$AA57&lt;&gt;"Hoàn thành",N($X57)=0,$AW57=0),"",IF($X57&lt;=$AW57,"Đúng hạn","Trễ hạn"))</f>
      </c>
      <c r="AI57" s="220">
        <f>IF($A57="","",_xlfn.MAXIFS('Nhật ký tiến độ'!$B$6:$B$3005,'Nhật ký tiến độ'!$C$6:$C$3005,$A57))</f>
      </c>
      <c r="AJ57" s="225">
        <f>IF(OR($A57="",$B57&lt;&gt;"Định kỳ"),0,IFERROR(INDEX(DM_TanSuatNgay,MATCH($H57,DM_TanSuat,0)),0))</f>
      </c>
      <c r="AK57" s="225">
        <f>IF(OR($A57="",$B57&lt;&gt;"Định kỳ"),0,IFERROR(INDEX(DM_TanSuatThang,MATCH($H57,DM_TanSuat,0)),0))</f>
      </c>
      <c r="AL57" s="225">
        <f>IF(OR($A57="",$B57&lt;&gt;"Định kỳ",N($X57)=0,N($I57)=0),"",IF(INT($X57)&lt;$I57,0,IF($AJ57&gt;0,ROUND((INT($X57)-$I57)/$AJ57,0),IF($AK57&gt;0,ROUND((DATEDIF($I57,INT($X57),"m")+(INT($X57)-EDATE($I57,DATEDIF($I57,INT($X57),"m")))/(EDATE($I57,DATEDIF($I57,INT($X57),"m")+1)-EDATE($I57,DATEDIF($I57,INT($X57),"m"))))/$AK57,0),0))))</f>
      </c>
      <c r="AM57" s="225">
        <f>IF($A57="","",IF(COUNTIF('Nhật ký tiến độ'!$C$6:$C$3005,$A57)=0,0,_xlfn.MAXIFS('Nhật ký tiến độ'!$N$6:$N$3005,'Nhật ký tiến độ'!$C$6:$C$3005,$A57,'Nhật ký tiến độ'!$B$6:$B$3005,_xlfn.MAXIFS('Nhật ký tiến độ'!$B$6:$B$3005,'Nhật ký tiến độ'!$C$6:$C$3005,$A57))))</f>
      </c>
      <c r="AN57" s="225">
        <f>IF($A57="","",IF(N($AM57)=0,"",INDEX('Nhật ký tiến độ'!$E:$E,$AM57)))</f>
      </c>
      <c r="AO57" s="225">
        <f>IF($A57="",0,IF($AA57="Hoàn thành",0,1))</f>
      </c>
      <c r="AP57" s="225">
        <f>IF($AO57=0,0,INT(N($AW57)))</f>
      </c>
      <c r="AQ57" s="225">
        <f>IF(AND($AO57=1,$AJ57&gt;1),$AJ57,0)</f>
      </c>
      <c r="AR57" s="225">
        <f>IF(AND($AO57=1,$AJ57=1),1,0)</f>
      </c>
      <c r="AS57" s="225">
        <f>IF(OR($AO57=0,AND($AR57=1,N($BB57)=0)),"",IF(N($BB57)&gt;0,5-$BB57,IF($AD57="Chậm tiến độ",6,IF($AD57="Đến hạn hôm nay",7,IF(AND($AP57&gt;0,$AP57-NgayBC&lt;=7),8,"")))))</f>
      </c>
      <c r="AT57" s="225">
        <f>IF($AS57="","",$AS57*100000+$AP57+ROW()/100000)</f>
      </c>
      <c r="AU57" s="224">
        <f>IF(OR($A57="",N($R57)&lt;=0),"",IF($S57="Ngày",$R57*24,$R57))</f>
      </c>
      <c r="AV57" s="224">
        <f>IF($A57="","",IF($B57="Đột xuất",IF(OR($AA57&lt;&gt;"Hoàn thành",N($X57)=0,N($J57)=0),"",IF($X57&lt;$J57,"",($X57-$J57)*24)),IFERROR(AVERAGEIFS('Nhật ký tiến độ'!$H$6:$H$3005,'Nhật ký tiến độ'!$C$6:$C$3005,$A57,'Nhật ký tiến độ'!$H$6:$H$3005,"&gt;0"),"")))</f>
      </c>
      <c r="AW57" s="233">
        <f>IF($A57="",0,IF($B57="Đột xuất",$AY57,IF($AX57=0,0,$AX57+1-1/1440)))</f>
      </c>
      <c r="AX57" s="234">
        <f>IF(OR($A57="",$B57&lt;&gt;"Định kỳ",N($I57)=0),0,IF($AL57="",$I57,IF($AJ57&gt;0,$I57+($AL57+1)*$AJ57,IF($AK57&gt;0,EDATE($I57,($AL57+1)*$AK57),$I57))))</f>
      </c>
      <c r="AY57" s="233">
        <f>IF(OR($A57="",$B57&lt;&gt;"Đột xuất"),0,IF(N($K57)&gt;0,IF(MOD($K57,1)=0,$K57+1-1/1440,$K57),IF(N($J57)=0,0,$J57+IF(N($AU57)&gt;0,$AU57,IFERROR(INDEX(DM_SLA_Gio,MATCH($L57,DM_SLA_Cap,0)),168))/24)))</f>
      </c>
      <c r="AZ57" s="225">
        <f>IF(OR($A57="",TRIM($N57)="",COUNTIF('Phản ánh'!$K$6:$K$505,$N57)&gt;0,COUNTIF($N$6:$N57,$N57)&gt;1),0,1)</f>
      </c>
      <c r="BA57" s="225">
        <f>IF($AZ57=1,SUM($AZ$6:$AZ57),"")</f>
      </c>
      <c r="BB57" s="225">
        <f>IF(OR($AO57=0,N($AW57)=0),0,IF(TDBC&lt;=$AW57,0,MAX(1,MIN(4,IF((TDBC-$AW57)*24&lt;24,1,IF((TDBC-$AW57)*24&lt;72,2,IF((TDBC-$AW57)*24&lt;168,3,4)))+IF($B57="Đột xuất",IFERROR(INDEX({2,1,0,-1},MATCH($L57,{"Khẩn cấp","Cao","Trung bình","Thấp"},0)),0),IF($D57="PCCC và an ninh",1,0))))))</f>
      </c>
    </row>
    <row r="58">
      <c r="A58" s="216"/>
      <c r="B58" s="216"/>
      <c r="C58" s="218"/>
      <c r="D58" s="218"/>
      <c r="E58" s="218"/>
      <c r="F58" s="216"/>
      <c r="G58" s="218"/>
      <c r="H58" s="218"/>
      <c r="I58" s="231"/>
      <c r="J58" s="217"/>
      <c r="K58" s="217"/>
      <c r="L58" s="216"/>
      <c r="M58" s="216"/>
      <c r="N58" s="218"/>
      <c r="O58" s="218"/>
      <c r="P58" s="218"/>
      <c r="Q58" s="218"/>
      <c r="R58" s="219"/>
      <c r="S58" s="216"/>
      <c r="T58" s="232"/>
      <c r="U58" s="232"/>
      <c r="V58" s="218"/>
      <c r="W58" s="218"/>
      <c r="X58" s="220">
        <f>IF($A58="","",IF(OR($B58="Định kỳ",$AA58="Hoàn thành"),MAX(_xlfn.MAXIFS('Nhật ký tiến độ'!$B$6:$B$3005,'Nhật ký tiến độ'!$C$6:$C$3005,$A58,'Nhật ký tiến độ'!$E$6:$E$3005,"Hoàn thành kỳ"),_xlfn.MAXIFS('Nhật ký tiến độ'!$B$6:$B$3005,'Nhật ký tiến độ'!$C$6:$C$3005,$A58,'Nhật ký tiến độ'!$E$6:$E$3005,"Hoàn thành")),0))</f>
      </c>
      <c r="Y58" s="220">
        <f>IF($A58="","",IF($B58="Đột xuất",IF($AY58=0,"",$AY58),IF($AX58=0,"",$AX58)))</f>
      </c>
      <c r="Z58" s="223">
        <f>IF(OR($AO58=0,$AW58=0),"",IF(TDBC&gt;$AW58,"Quá "&amp;IF($B58="Định kỳ",(NgayBC-$AP58)&amp;" ngày",IF(((TDBC-$AW58)*24)&lt;1,MAX(1,ROUND(((TDBC-$AW58)*24)*60,0))&amp;" phút",IF(ROUND(((TDBC-$AW58)*24),0)&lt;24,ROUND(((TDBC-$AW58)*24),0)&amp;" giờ",INT(ROUND(((TDBC-$AW58)*24),0)/24)&amp;" ngày"&amp;IF(MOD(ROUND(((TDBC-$AW58)*24),0),24)&gt;0," "&amp;MOD(ROUND(((TDBC-$AW58)*24),0),24)&amp;" giờ","")))),IF($B58="Định kỳ",IF($AP58=NgayBC,"Hôm nay","Còn "&amp;($AP58-NgayBC)&amp;" ngày"),"Còn "&amp;IF((($AW58-TDBC)*24)&lt;1,MAX(1,ROUND((($AW58-TDBC)*24)*60,0))&amp;" phút",IF(ROUND((($AW58-TDBC)*24),0)&lt;24,ROUND((($AW58-TDBC)*24),0)&amp;" giờ",INT(ROUND((($AW58-TDBC)*24),0)/24)&amp;" ngày"&amp;IF(MOD(ROUND((($AW58-TDBC)*24),0),24)&gt;0," "&amp;MOD(ROUND((($AW58-TDBC)*24),0),24)&amp;" giờ",""))))))</f>
      </c>
      <c r="AA58" s="221">
        <f>IF($A58="","",IF(N($AM58)=0,"Chưa bắt đầu",IF(OR($AN58="Hoàn thành kỳ",$AN58="Hoàn thành"),IF($B58="Định kỳ","Chưa bắt đầu","Hoàn thành"),$AN58)))</f>
      </c>
      <c r="AB58" s="222">
        <f>IF($A58="","",IF($AA58="Hoàn thành",1,IF(OR(N($AM58)=0,$AN58="Hoàn thành kỳ",$AN58="Hoàn thành"),0,N(INDEX('Nhật ký tiến độ'!$D:$D,$AM58)))))</f>
      </c>
      <c r="AC58" s="222">
        <f>IF(OR($A58="",$B58&lt;&gt;"Đột xuất",$AA58="Hoàn thành",N($J58)=0,$AW58=0),"",IF(TDBC&lt;=$J58,0,IF(TDBC&gt;=$AW58,1,(TDBC-$J58)/($AW58-$J58))))</f>
      </c>
      <c r="AD58" s="223">
        <f>IF($A58="","",IF($AA58="Hoàn thành","Hoàn thành",IF($AW58=0,"Chưa đặt hạn",IF(TDBC&gt;$AW58,"Quá hạn",IF(AND($B58="Đột xuất",ROUND((N($AC58)-$AB58)*100,0)&gt;=20),"Chậm tiến độ",IF($AP58=NgayBC,"Đến hạn hôm nay",IF($B58="Đột xuất",IF($AW58-TDBC&lt;=1,"Sắp đến hạn","Đúng tiến độ"),IF($AP58-NgayBC&lt;=3,"Sắp đến hạn","Theo lịch"))))))))</f>
      </c>
      <c r="AE58" s="223">
        <f>IF($AV58="","",IF($B58="Định kỳ","Bình quân "&amp;IF($AV58&lt;1,MAX(1,ROUND($AV58*60,0))&amp;" phút",IF(ROUND($AV58,0)&lt;24,ROUND($AV58,0)&amp;" giờ",INT(ROUND($AV58,0)/24)&amp;" ngày"&amp;IF(MOD(ROUND($AV58,0),24)&gt;0," "&amp;MOD(ROUND($AV58,0),24)&amp;" giờ","")))&amp;" mỗi kỳ",IF($AV58&lt;1,MAX(1,ROUND($AV58*60,0))&amp;" phút",IF(ROUND($AV58,0)&lt;24,ROUND($AV58,0)&amp;" giờ",INT(ROUND($AV58,0)/24)&amp;" ngày"&amp;IF(MOD(ROUND($AV58,0),24)&gt;0," "&amp;MOD(ROUND($AV58,0),24)&amp;" giờ","")))))</f>
      </c>
      <c r="AF58" s="223">
        <f>IF(OR($A58="",N($AU58)=0),"",IF($AV58&lt;&gt;"",IF($AV58&lt;=$AU58,"Trong ước tính","Vượt "&amp;IF(($AV58-$AU58)&lt;1,MAX(1,ROUND(($AV58-$AU58)*60,0))&amp;" phút",IF(ROUND(($AV58-$AU58),0)&lt;24,ROUND(($AV58-$AU58),0)&amp;" giờ",INT(ROUND(($AV58-$AU58),0)/24)&amp;" ngày"&amp;IF(MOD(ROUND(($AV58-$AU58),0),24)&gt;0," "&amp;MOD(ROUND(($AV58-$AU58),0),24)&amp;" giờ","")))),IF(OR($B58&lt;&gt;"Đột xuất",$AA58="Hoàn thành",N($J58)=0),"",IF((TDBC-$J58)*24&gt;$AU58,"Đã vượt ước tính","Đã dùng "&amp;TEXT((TDBC-$J58)*24/$AU58,"0%")))))</f>
      </c>
      <c r="AG58" s="223">
        <f>IF(N($BB58)=0,"",CHOOSE($BB58,"Nhắc nhở","Cảnh báo","Báo động","Báo động đỏ"))</f>
      </c>
      <c r="AH58" s="223">
        <f>IF(OR($B58&lt;&gt;"Đột xuất",$AA58&lt;&gt;"Hoàn thành",N($X58)=0,$AW58=0),"",IF($X58&lt;=$AW58,"Đúng hạn","Trễ hạn"))</f>
      </c>
      <c r="AI58" s="220">
        <f>IF($A58="","",_xlfn.MAXIFS('Nhật ký tiến độ'!$B$6:$B$3005,'Nhật ký tiến độ'!$C$6:$C$3005,$A58))</f>
      </c>
      <c r="AJ58" s="225">
        <f>IF(OR($A58="",$B58&lt;&gt;"Định kỳ"),0,IFERROR(INDEX(DM_TanSuatNgay,MATCH($H58,DM_TanSuat,0)),0))</f>
      </c>
      <c r="AK58" s="225">
        <f>IF(OR($A58="",$B58&lt;&gt;"Định kỳ"),0,IFERROR(INDEX(DM_TanSuatThang,MATCH($H58,DM_TanSuat,0)),0))</f>
      </c>
      <c r="AL58" s="225">
        <f>IF(OR($A58="",$B58&lt;&gt;"Định kỳ",N($X58)=0,N($I58)=0),"",IF(INT($X58)&lt;$I58,0,IF($AJ58&gt;0,ROUND((INT($X58)-$I58)/$AJ58,0),IF($AK58&gt;0,ROUND((DATEDIF($I58,INT($X58),"m")+(INT($X58)-EDATE($I58,DATEDIF($I58,INT($X58),"m")))/(EDATE($I58,DATEDIF($I58,INT($X58),"m")+1)-EDATE($I58,DATEDIF($I58,INT($X58),"m"))))/$AK58,0),0))))</f>
      </c>
      <c r="AM58" s="225">
        <f>IF($A58="","",IF(COUNTIF('Nhật ký tiến độ'!$C$6:$C$3005,$A58)=0,0,_xlfn.MAXIFS('Nhật ký tiến độ'!$N$6:$N$3005,'Nhật ký tiến độ'!$C$6:$C$3005,$A58,'Nhật ký tiến độ'!$B$6:$B$3005,_xlfn.MAXIFS('Nhật ký tiến độ'!$B$6:$B$3005,'Nhật ký tiến độ'!$C$6:$C$3005,$A58))))</f>
      </c>
      <c r="AN58" s="225">
        <f>IF($A58="","",IF(N($AM58)=0,"",INDEX('Nhật ký tiến độ'!$E:$E,$AM58)))</f>
      </c>
      <c r="AO58" s="225">
        <f>IF($A58="",0,IF($AA58="Hoàn thành",0,1))</f>
      </c>
      <c r="AP58" s="225">
        <f>IF($AO58=0,0,INT(N($AW58)))</f>
      </c>
      <c r="AQ58" s="225">
        <f>IF(AND($AO58=1,$AJ58&gt;1),$AJ58,0)</f>
      </c>
      <c r="AR58" s="225">
        <f>IF(AND($AO58=1,$AJ58=1),1,0)</f>
      </c>
      <c r="AS58" s="225">
        <f>IF(OR($AO58=0,AND($AR58=1,N($BB58)=0)),"",IF(N($BB58)&gt;0,5-$BB58,IF($AD58="Chậm tiến độ",6,IF($AD58="Đến hạn hôm nay",7,IF(AND($AP58&gt;0,$AP58-NgayBC&lt;=7),8,"")))))</f>
      </c>
      <c r="AT58" s="225">
        <f>IF($AS58="","",$AS58*100000+$AP58+ROW()/100000)</f>
      </c>
      <c r="AU58" s="224">
        <f>IF(OR($A58="",N($R58)&lt;=0),"",IF($S58="Ngày",$R58*24,$R58))</f>
      </c>
      <c r="AV58" s="224">
        <f>IF($A58="","",IF($B58="Đột xuất",IF(OR($AA58&lt;&gt;"Hoàn thành",N($X58)=0,N($J58)=0),"",IF($X58&lt;$J58,"",($X58-$J58)*24)),IFERROR(AVERAGEIFS('Nhật ký tiến độ'!$H$6:$H$3005,'Nhật ký tiến độ'!$C$6:$C$3005,$A58,'Nhật ký tiến độ'!$H$6:$H$3005,"&gt;0"),"")))</f>
      </c>
      <c r="AW58" s="233">
        <f>IF($A58="",0,IF($B58="Đột xuất",$AY58,IF($AX58=0,0,$AX58+1-1/1440)))</f>
      </c>
      <c r="AX58" s="234">
        <f>IF(OR($A58="",$B58&lt;&gt;"Định kỳ",N($I58)=0),0,IF($AL58="",$I58,IF($AJ58&gt;0,$I58+($AL58+1)*$AJ58,IF($AK58&gt;0,EDATE($I58,($AL58+1)*$AK58),$I58))))</f>
      </c>
      <c r="AY58" s="233">
        <f>IF(OR($A58="",$B58&lt;&gt;"Đột xuất"),0,IF(N($K58)&gt;0,IF(MOD($K58,1)=0,$K58+1-1/1440,$K58),IF(N($J58)=0,0,$J58+IF(N($AU58)&gt;0,$AU58,IFERROR(INDEX(DM_SLA_Gio,MATCH($L58,DM_SLA_Cap,0)),168))/24)))</f>
      </c>
      <c r="AZ58" s="225">
        <f>IF(OR($A58="",TRIM($N58)="",COUNTIF('Phản ánh'!$K$6:$K$505,$N58)&gt;0,COUNTIF($N$6:$N58,$N58)&gt;1),0,1)</f>
      </c>
      <c r="BA58" s="225">
        <f>IF($AZ58=1,SUM($AZ$6:$AZ58),"")</f>
      </c>
      <c r="BB58" s="225">
        <f>IF(OR($AO58=0,N($AW58)=0),0,IF(TDBC&lt;=$AW58,0,MAX(1,MIN(4,IF((TDBC-$AW58)*24&lt;24,1,IF((TDBC-$AW58)*24&lt;72,2,IF((TDBC-$AW58)*24&lt;168,3,4)))+IF($B58="Đột xuất",IFERROR(INDEX({2,1,0,-1},MATCH($L58,{"Khẩn cấp","Cao","Trung bình","Thấp"},0)),0),IF($D58="PCCC và an ninh",1,0))))))</f>
      </c>
    </row>
    <row r="59">
      <c r="A59" s="216"/>
      <c r="B59" s="216"/>
      <c r="C59" s="218"/>
      <c r="D59" s="218"/>
      <c r="E59" s="218"/>
      <c r="F59" s="216"/>
      <c r="G59" s="218"/>
      <c r="H59" s="218"/>
      <c r="I59" s="231"/>
      <c r="J59" s="217"/>
      <c r="K59" s="217"/>
      <c r="L59" s="216"/>
      <c r="M59" s="216"/>
      <c r="N59" s="218"/>
      <c r="O59" s="218"/>
      <c r="P59" s="218"/>
      <c r="Q59" s="218"/>
      <c r="R59" s="219"/>
      <c r="S59" s="216"/>
      <c r="T59" s="232"/>
      <c r="U59" s="232"/>
      <c r="V59" s="218"/>
      <c r="W59" s="218"/>
      <c r="X59" s="220">
        <f>IF($A59="","",IF(OR($B59="Định kỳ",$AA59="Hoàn thành"),MAX(_xlfn.MAXIFS('Nhật ký tiến độ'!$B$6:$B$3005,'Nhật ký tiến độ'!$C$6:$C$3005,$A59,'Nhật ký tiến độ'!$E$6:$E$3005,"Hoàn thành kỳ"),_xlfn.MAXIFS('Nhật ký tiến độ'!$B$6:$B$3005,'Nhật ký tiến độ'!$C$6:$C$3005,$A59,'Nhật ký tiến độ'!$E$6:$E$3005,"Hoàn thành")),0))</f>
      </c>
      <c r="Y59" s="220">
        <f>IF($A59="","",IF($B59="Đột xuất",IF($AY59=0,"",$AY59),IF($AX59=0,"",$AX59)))</f>
      </c>
      <c r="Z59" s="223">
        <f>IF(OR($AO59=0,$AW59=0),"",IF(TDBC&gt;$AW59,"Quá "&amp;IF($B59="Định kỳ",(NgayBC-$AP59)&amp;" ngày",IF(((TDBC-$AW59)*24)&lt;1,MAX(1,ROUND(((TDBC-$AW59)*24)*60,0))&amp;" phút",IF(ROUND(((TDBC-$AW59)*24),0)&lt;24,ROUND(((TDBC-$AW59)*24),0)&amp;" giờ",INT(ROUND(((TDBC-$AW59)*24),0)/24)&amp;" ngày"&amp;IF(MOD(ROUND(((TDBC-$AW59)*24),0),24)&gt;0," "&amp;MOD(ROUND(((TDBC-$AW59)*24),0),24)&amp;" giờ","")))),IF($B59="Định kỳ",IF($AP59=NgayBC,"Hôm nay","Còn "&amp;($AP59-NgayBC)&amp;" ngày"),"Còn "&amp;IF((($AW59-TDBC)*24)&lt;1,MAX(1,ROUND((($AW59-TDBC)*24)*60,0))&amp;" phút",IF(ROUND((($AW59-TDBC)*24),0)&lt;24,ROUND((($AW59-TDBC)*24),0)&amp;" giờ",INT(ROUND((($AW59-TDBC)*24),0)/24)&amp;" ngày"&amp;IF(MOD(ROUND((($AW59-TDBC)*24),0),24)&gt;0," "&amp;MOD(ROUND((($AW59-TDBC)*24),0),24)&amp;" giờ",""))))))</f>
      </c>
      <c r="AA59" s="221">
        <f>IF($A59="","",IF(N($AM59)=0,"Chưa bắt đầu",IF(OR($AN59="Hoàn thành kỳ",$AN59="Hoàn thành"),IF($B59="Định kỳ","Chưa bắt đầu","Hoàn thành"),$AN59)))</f>
      </c>
      <c r="AB59" s="222">
        <f>IF($A59="","",IF($AA59="Hoàn thành",1,IF(OR(N($AM59)=0,$AN59="Hoàn thành kỳ",$AN59="Hoàn thành"),0,N(INDEX('Nhật ký tiến độ'!$D:$D,$AM59)))))</f>
      </c>
      <c r="AC59" s="222">
        <f>IF(OR($A59="",$B59&lt;&gt;"Đột xuất",$AA59="Hoàn thành",N($J59)=0,$AW59=0),"",IF(TDBC&lt;=$J59,0,IF(TDBC&gt;=$AW59,1,(TDBC-$J59)/($AW59-$J59))))</f>
      </c>
      <c r="AD59" s="223">
        <f>IF($A59="","",IF($AA59="Hoàn thành","Hoàn thành",IF($AW59=0,"Chưa đặt hạn",IF(TDBC&gt;$AW59,"Quá hạn",IF(AND($B59="Đột xuất",ROUND((N($AC59)-$AB59)*100,0)&gt;=20),"Chậm tiến độ",IF($AP59=NgayBC,"Đến hạn hôm nay",IF($B59="Đột xuất",IF($AW59-TDBC&lt;=1,"Sắp đến hạn","Đúng tiến độ"),IF($AP59-NgayBC&lt;=3,"Sắp đến hạn","Theo lịch"))))))))</f>
      </c>
      <c r="AE59" s="223">
        <f>IF($AV59="","",IF($B59="Định kỳ","Bình quân "&amp;IF($AV59&lt;1,MAX(1,ROUND($AV59*60,0))&amp;" phút",IF(ROUND($AV59,0)&lt;24,ROUND($AV59,0)&amp;" giờ",INT(ROUND($AV59,0)/24)&amp;" ngày"&amp;IF(MOD(ROUND($AV59,0),24)&gt;0," "&amp;MOD(ROUND($AV59,0),24)&amp;" giờ","")))&amp;" mỗi kỳ",IF($AV59&lt;1,MAX(1,ROUND($AV59*60,0))&amp;" phút",IF(ROUND($AV59,0)&lt;24,ROUND($AV59,0)&amp;" giờ",INT(ROUND($AV59,0)/24)&amp;" ngày"&amp;IF(MOD(ROUND($AV59,0),24)&gt;0," "&amp;MOD(ROUND($AV59,0),24)&amp;" giờ","")))))</f>
      </c>
      <c r="AF59" s="223">
        <f>IF(OR($A59="",N($AU59)=0),"",IF($AV59&lt;&gt;"",IF($AV59&lt;=$AU59,"Trong ước tính","Vượt "&amp;IF(($AV59-$AU59)&lt;1,MAX(1,ROUND(($AV59-$AU59)*60,0))&amp;" phút",IF(ROUND(($AV59-$AU59),0)&lt;24,ROUND(($AV59-$AU59),0)&amp;" giờ",INT(ROUND(($AV59-$AU59),0)/24)&amp;" ngày"&amp;IF(MOD(ROUND(($AV59-$AU59),0),24)&gt;0," "&amp;MOD(ROUND(($AV59-$AU59),0),24)&amp;" giờ","")))),IF(OR($B59&lt;&gt;"Đột xuất",$AA59="Hoàn thành",N($J59)=0),"",IF((TDBC-$J59)*24&gt;$AU59,"Đã vượt ước tính","Đã dùng "&amp;TEXT((TDBC-$J59)*24/$AU59,"0%")))))</f>
      </c>
      <c r="AG59" s="223">
        <f>IF(N($BB59)=0,"",CHOOSE($BB59,"Nhắc nhở","Cảnh báo","Báo động","Báo động đỏ"))</f>
      </c>
      <c r="AH59" s="223">
        <f>IF(OR($B59&lt;&gt;"Đột xuất",$AA59&lt;&gt;"Hoàn thành",N($X59)=0,$AW59=0),"",IF($X59&lt;=$AW59,"Đúng hạn","Trễ hạn"))</f>
      </c>
      <c r="AI59" s="220">
        <f>IF($A59="","",_xlfn.MAXIFS('Nhật ký tiến độ'!$B$6:$B$3005,'Nhật ký tiến độ'!$C$6:$C$3005,$A59))</f>
      </c>
      <c r="AJ59" s="225">
        <f>IF(OR($A59="",$B59&lt;&gt;"Định kỳ"),0,IFERROR(INDEX(DM_TanSuatNgay,MATCH($H59,DM_TanSuat,0)),0))</f>
      </c>
      <c r="AK59" s="225">
        <f>IF(OR($A59="",$B59&lt;&gt;"Định kỳ"),0,IFERROR(INDEX(DM_TanSuatThang,MATCH($H59,DM_TanSuat,0)),0))</f>
      </c>
      <c r="AL59" s="225">
        <f>IF(OR($A59="",$B59&lt;&gt;"Định kỳ",N($X59)=0,N($I59)=0),"",IF(INT($X59)&lt;$I59,0,IF($AJ59&gt;0,ROUND((INT($X59)-$I59)/$AJ59,0),IF($AK59&gt;0,ROUND((DATEDIF($I59,INT($X59),"m")+(INT($X59)-EDATE($I59,DATEDIF($I59,INT($X59),"m")))/(EDATE($I59,DATEDIF($I59,INT($X59),"m")+1)-EDATE($I59,DATEDIF($I59,INT($X59),"m"))))/$AK59,0),0))))</f>
      </c>
      <c r="AM59" s="225">
        <f>IF($A59="","",IF(COUNTIF('Nhật ký tiến độ'!$C$6:$C$3005,$A59)=0,0,_xlfn.MAXIFS('Nhật ký tiến độ'!$N$6:$N$3005,'Nhật ký tiến độ'!$C$6:$C$3005,$A59,'Nhật ký tiến độ'!$B$6:$B$3005,_xlfn.MAXIFS('Nhật ký tiến độ'!$B$6:$B$3005,'Nhật ký tiến độ'!$C$6:$C$3005,$A59))))</f>
      </c>
      <c r="AN59" s="225">
        <f>IF($A59="","",IF(N($AM59)=0,"",INDEX('Nhật ký tiến độ'!$E:$E,$AM59)))</f>
      </c>
      <c r="AO59" s="225">
        <f>IF($A59="",0,IF($AA59="Hoàn thành",0,1))</f>
      </c>
      <c r="AP59" s="225">
        <f>IF($AO59=0,0,INT(N($AW59)))</f>
      </c>
      <c r="AQ59" s="225">
        <f>IF(AND($AO59=1,$AJ59&gt;1),$AJ59,0)</f>
      </c>
      <c r="AR59" s="225">
        <f>IF(AND($AO59=1,$AJ59=1),1,0)</f>
      </c>
      <c r="AS59" s="225">
        <f>IF(OR($AO59=0,AND($AR59=1,N($BB59)=0)),"",IF(N($BB59)&gt;0,5-$BB59,IF($AD59="Chậm tiến độ",6,IF($AD59="Đến hạn hôm nay",7,IF(AND($AP59&gt;0,$AP59-NgayBC&lt;=7),8,"")))))</f>
      </c>
      <c r="AT59" s="225">
        <f>IF($AS59="","",$AS59*100000+$AP59+ROW()/100000)</f>
      </c>
      <c r="AU59" s="224">
        <f>IF(OR($A59="",N($R59)&lt;=0),"",IF($S59="Ngày",$R59*24,$R59))</f>
      </c>
      <c r="AV59" s="224">
        <f>IF($A59="","",IF($B59="Đột xuất",IF(OR($AA59&lt;&gt;"Hoàn thành",N($X59)=0,N($J59)=0),"",IF($X59&lt;$J59,"",($X59-$J59)*24)),IFERROR(AVERAGEIFS('Nhật ký tiến độ'!$H$6:$H$3005,'Nhật ký tiến độ'!$C$6:$C$3005,$A59,'Nhật ký tiến độ'!$H$6:$H$3005,"&gt;0"),"")))</f>
      </c>
      <c r="AW59" s="233">
        <f>IF($A59="",0,IF($B59="Đột xuất",$AY59,IF($AX59=0,0,$AX59+1-1/1440)))</f>
      </c>
      <c r="AX59" s="234">
        <f>IF(OR($A59="",$B59&lt;&gt;"Định kỳ",N($I59)=0),0,IF($AL59="",$I59,IF($AJ59&gt;0,$I59+($AL59+1)*$AJ59,IF($AK59&gt;0,EDATE($I59,($AL59+1)*$AK59),$I59))))</f>
      </c>
      <c r="AY59" s="233">
        <f>IF(OR($A59="",$B59&lt;&gt;"Đột xuất"),0,IF(N($K59)&gt;0,IF(MOD($K59,1)=0,$K59+1-1/1440,$K59),IF(N($J59)=0,0,$J59+IF(N($AU59)&gt;0,$AU59,IFERROR(INDEX(DM_SLA_Gio,MATCH($L59,DM_SLA_Cap,0)),168))/24)))</f>
      </c>
      <c r="AZ59" s="225">
        <f>IF(OR($A59="",TRIM($N59)="",COUNTIF('Phản ánh'!$K$6:$K$505,$N59)&gt;0,COUNTIF($N$6:$N59,$N59)&gt;1),0,1)</f>
      </c>
      <c r="BA59" s="225">
        <f>IF($AZ59=1,SUM($AZ$6:$AZ59),"")</f>
      </c>
      <c r="BB59" s="225">
        <f>IF(OR($AO59=0,N($AW59)=0),0,IF(TDBC&lt;=$AW59,0,MAX(1,MIN(4,IF((TDBC-$AW59)*24&lt;24,1,IF((TDBC-$AW59)*24&lt;72,2,IF((TDBC-$AW59)*24&lt;168,3,4)))+IF($B59="Đột xuất",IFERROR(INDEX({2,1,0,-1},MATCH($L59,{"Khẩn cấp","Cao","Trung bình","Thấp"},0)),0),IF($D59="PCCC và an ninh",1,0))))))</f>
      </c>
    </row>
    <row r="60">
      <c r="A60" s="216"/>
      <c r="B60" s="216"/>
      <c r="C60" s="218"/>
      <c r="D60" s="218"/>
      <c r="E60" s="218"/>
      <c r="F60" s="216"/>
      <c r="G60" s="218"/>
      <c r="H60" s="218"/>
      <c r="I60" s="231"/>
      <c r="J60" s="217"/>
      <c r="K60" s="217"/>
      <c r="L60" s="216"/>
      <c r="M60" s="216"/>
      <c r="N60" s="218"/>
      <c r="O60" s="218"/>
      <c r="P60" s="218"/>
      <c r="Q60" s="218"/>
      <c r="R60" s="219"/>
      <c r="S60" s="216"/>
      <c r="T60" s="232"/>
      <c r="U60" s="232"/>
      <c r="V60" s="218"/>
      <c r="W60" s="218"/>
      <c r="X60" s="220">
        <f>IF($A60="","",IF(OR($B60="Định kỳ",$AA60="Hoàn thành"),MAX(_xlfn.MAXIFS('Nhật ký tiến độ'!$B$6:$B$3005,'Nhật ký tiến độ'!$C$6:$C$3005,$A60,'Nhật ký tiến độ'!$E$6:$E$3005,"Hoàn thành kỳ"),_xlfn.MAXIFS('Nhật ký tiến độ'!$B$6:$B$3005,'Nhật ký tiến độ'!$C$6:$C$3005,$A60,'Nhật ký tiến độ'!$E$6:$E$3005,"Hoàn thành")),0))</f>
      </c>
      <c r="Y60" s="220">
        <f>IF($A60="","",IF($B60="Đột xuất",IF($AY60=0,"",$AY60),IF($AX60=0,"",$AX60)))</f>
      </c>
      <c r="Z60" s="223">
        <f>IF(OR($AO60=0,$AW60=0),"",IF(TDBC&gt;$AW60,"Quá "&amp;IF($B60="Định kỳ",(NgayBC-$AP60)&amp;" ngày",IF(((TDBC-$AW60)*24)&lt;1,MAX(1,ROUND(((TDBC-$AW60)*24)*60,0))&amp;" phút",IF(ROUND(((TDBC-$AW60)*24),0)&lt;24,ROUND(((TDBC-$AW60)*24),0)&amp;" giờ",INT(ROUND(((TDBC-$AW60)*24),0)/24)&amp;" ngày"&amp;IF(MOD(ROUND(((TDBC-$AW60)*24),0),24)&gt;0," "&amp;MOD(ROUND(((TDBC-$AW60)*24),0),24)&amp;" giờ","")))),IF($B60="Định kỳ",IF($AP60=NgayBC,"Hôm nay","Còn "&amp;($AP60-NgayBC)&amp;" ngày"),"Còn "&amp;IF((($AW60-TDBC)*24)&lt;1,MAX(1,ROUND((($AW60-TDBC)*24)*60,0))&amp;" phút",IF(ROUND((($AW60-TDBC)*24),0)&lt;24,ROUND((($AW60-TDBC)*24),0)&amp;" giờ",INT(ROUND((($AW60-TDBC)*24),0)/24)&amp;" ngày"&amp;IF(MOD(ROUND((($AW60-TDBC)*24),0),24)&gt;0," "&amp;MOD(ROUND((($AW60-TDBC)*24),0),24)&amp;" giờ",""))))))</f>
      </c>
      <c r="AA60" s="221">
        <f>IF($A60="","",IF(N($AM60)=0,"Chưa bắt đầu",IF(OR($AN60="Hoàn thành kỳ",$AN60="Hoàn thành"),IF($B60="Định kỳ","Chưa bắt đầu","Hoàn thành"),$AN60)))</f>
      </c>
      <c r="AB60" s="222">
        <f>IF($A60="","",IF($AA60="Hoàn thành",1,IF(OR(N($AM60)=0,$AN60="Hoàn thành kỳ",$AN60="Hoàn thành"),0,N(INDEX('Nhật ký tiến độ'!$D:$D,$AM60)))))</f>
      </c>
      <c r="AC60" s="222">
        <f>IF(OR($A60="",$B60&lt;&gt;"Đột xuất",$AA60="Hoàn thành",N($J60)=0,$AW60=0),"",IF(TDBC&lt;=$J60,0,IF(TDBC&gt;=$AW60,1,(TDBC-$J60)/($AW60-$J60))))</f>
      </c>
      <c r="AD60" s="223">
        <f>IF($A60="","",IF($AA60="Hoàn thành","Hoàn thành",IF($AW60=0,"Chưa đặt hạn",IF(TDBC&gt;$AW60,"Quá hạn",IF(AND($B60="Đột xuất",ROUND((N($AC60)-$AB60)*100,0)&gt;=20),"Chậm tiến độ",IF($AP60=NgayBC,"Đến hạn hôm nay",IF($B60="Đột xuất",IF($AW60-TDBC&lt;=1,"Sắp đến hạn","Đúng tiến độ"),IF($AP60-NgayBC&lt;=3,"Sắp đến hạn","Theo lịch"))))))))</f>
      </c>
      <c r="AE60" s="223">
        <f>IF($AV60="","",IF($B60="Định kỳ","Bình quân "&amp;IF($AV60&lt;1,MAX(1,ROUND($AV60*60,0))&amp;" phút",IF(ROUND($AV60,0)&lt;24,ROUND($AV60,0)&amp;" giờ",INT(ROUND($AV60,0)/24)&amp;" ngày"&amp;IF(MOD(ROUND($AV60,0),24)&gt;0," "&amp;MOD(ROUND($AV60,0),24)&amp;" giờ","")))&amp;" mỗi kỳ",IF($AV60&lt;1,MAX(1,ROUND($AV60*60,0))&amp;" phút",IF(ROUND($AV60,0)&lt;24,ROUND($AV60,0)&amp;" giờ",INT(ROUND($AV60,0)/24)&amp;" ngày"&amp;IF(MOD(ROUND($AV60,0),24)&gt;0," "&amp;MOD(ROUND($AV60,0),24)&amp;" giờ","")))))</f>
      </c>
      <c r="AF60" s="223">
        <f>IF(OR($A60="",N($AU60)=0),"",IF($AV60&lt;&gt;"",IF($AV60&lt;=$AU60,"Trong ước tính","Vượt "&amp;IF(($AV60-$AU60)&lt;1,MAX(1,ROUND(($AV60-$AU60)*60,0))&amp;" phút",IF(ROUND(($AV60-$AU60),0)&lt;24,ROUND(($AV60-$AU60),0)&amp;" giờ",INT(ROUND(($AV60-$AU60),0)/24)&amp;" ngày"&amp;IF(MOD(ROUND(($AV60-$AU60),0),24)&gt;0," "&amp;MOD(ROUND(($AV60-$AU60),0),24)&amp;" giờ","")))),IF(OR($B60&lt;&gt;"Đột xuất",$AA60="Hoàn thành",N($J60)=0),"",IF((TDBC-$J60)*24&gt;$AU60,"Đã vượt ước tính","Đã dùng "&amp;TEXT((TDBC-$J60)*24/$AU60,"0%")))))</f>
      </c>
      <c r="AG60" s="223">
        <f>IF(N($BB60)=0,"",CHOOSE($BB60,"Nhắc nhở","Cảnh báo","Báo động","Báo động đỏ"))</f>
      </c>
      <c r="AH60" s="223">
        <f>IF(OR($B60&lt;&gt;"Đột xuất",$AA60&lt;&gt;"Hoàn thành",N($X60)=0,$AW60=0),"",IF($X60&lt;=$AW60,"Đúng hạn","Trễ hạn"))</f>
      </c>
      <c r="AI60" s="220">
        <f>IF($A60="","",_xlfn.MAXIFS('Nhật ký tiến độ'!$B$6:$B$3005,'Nhật ký tiến độ'!$C$6:$C$3005,$A60))</f>
      </c>
      <c r="AJ60" s="225">
        <f>IF(OR($A60="",$B60&lt;&gt;"Định kỳ"),0,IFERROR(INDEX(DM_TanSuatNgay,MATCH($H60,DM_TanSuat,0)),0))</f>
      </c>
      <c r="AK60" s="225">
        <f>IF(OR($A60="",$B60&lt;&gt;"Định kỳ"),0,IFERROR(INDEX(DM_TanSuatThang,MATCH($H60,DM_TanSuat,0)),0))</f>
      </c>
      <c r="AL60" s="225">
        <f>IF(OR($A60="",$B60&lt;&gt;"Định kỳ",N($X60)=0,N($I60)=0),"",IF(INT($X60)&lt;$I60,0,IF($AJ60&gt;0,ROUND((INT($X60)-$I60)/$AJ60,0),IF($AK60&gt;0,ROUND((DATEDIF($I60,INT($X60),"m")+(INT($X60)-EDATE($I60,DATEDIF($I60,INT($X60),"m")))/(EDATE($I60,DATEDIF($I60,INT($X60),"m")+1)-EDATE($I60,DATEDIF($I60,INT($X60),"m"))))/$AK60,0),0))))</f>
      </c>
      <c r="AM60" s="225">
        <f>IF($A60="","",IF(COUNTIF('Nhật ký tiến độ'!$C$6:$C$3005,$A60)=0,0,_xlfn.MAXIFS('Nhật ký tiến độ'!$N$6:$N$3005,'Nhật ký tiến độ'!$C$6:$C$3005,$A60,'Nhật ký tiến độ'!$B$6:$B$3005,_xlfn.MAXIFS('Nhật ký tiến độ'!$B$6:$B$3005,'Nhật ký tiến độ'!$C$6:$C$3005,$A60))))</f>
      </c>
      <c r="AN60" s="225">
        <f>IF($A60="","",IF(N($AM60)=0,"",INDEX('Nhật ký tiến độ'!$E:$E,$AM60)))</f>
      </c>
      <c r="AO60" s="225">
        <f>IF($A60="",0,IF($AA60="Hoàn thành",0,1))</f>
      </c>
      <c r="AP60" s="225">
        <f>IF($AO60=0,0,INT(N($AW60)))</f>
      </c>
      <c r="AQ60" s="225">
        <f>IF(AND($AO60=1,$AJ60&gt;1),$AJ60,0)</f>
      </c>
      <c r="AR60" s="225">
        <f>IF(AND($AO60=1,$AJ60=1),1,0)</f>
      </c>
      <c r="AS60" s="225">
        <f>IF(OR($AO60=0,AND($AR60=1,N($BB60)=0)),"",IF(N($BB60)&gt;0,5-$BB60,IF($AD60="Chậm tiến độ",6,IF($AD60="Đến hạn hôm nay",7,IF(AND($AP60&gt;0,$AP60-NgayBC&lt;=7),8,"")))))</f>
      </c>
      <c r="AT60" s="225">
        <f>IF($AS60="","",$AS60*100000+$AP60+ROW()/100000)</f>
      </c>
      <c r="AU60" s="224">
        <f>IF(OR($A60="",N($R60)&lt;=0),"",IF($S60="Ngày",$R60*24,$R60))</f>
      </c>
      <c r="AV60" s="224">
        <f>IF($A60="","",IF($B60="Đột xuất",IF(OR($AA60&lt;&gt;"Hoàn thành",N($X60)=0,N($J60)=0),"",IF($X60&lt;$J60,"",($X60-$J60)*24)),IFERROR(AVERAGEIFS('Nhật ký tiến độ'!$H$6:$H$3005,'Nhật ký tiến độ'!$C$6:$C$3005,$A60,'Nhật ký tiến độ'!$H$6:$H$3005,"&gt;0"),"")))</f>
      </c>
      <c r="AW60" s="233">
        <f>IF($A60="",0,IF($B60="Đột xuất",$AY60,IF($AX60=0,0,$AX60+1-1/1440)))</f>
      </c>
      <c r="AX60" s="234">
        <f>IF(OR($A60="",$B60&lt;&gt;"Định kỳ",N($I60)=0),0,IF($AL60="",$I60,IF($AJ60&gt;0,$I60+($AL60+1)*$AJ60,IF($AK60&gt;0,EDATE($I60,($AL60+1)*$AK60),$I60))))</f>
      </c>
      <c r="AY60" s="233">
        <f>IF(OR($A60="",$B60&lt;&gt;"Đột xuất"),0,IF(N($K60)&gt;0,IF(MOD($K60,1)=0,$K60+1-1/1440,$K60),IF(N($J60)=0,0,$J60+IF(N($AU60)&gt;0,$AU60,IFERROR(INDEX(DM_SLA_Gio,MATCH($L60,DM_SLA_Cap,0)),168))/24)))</f>
      </c>
      <c r="AZ60" s="225">
        <f>IF(OR($A60="",TRIM($N60)="",COUNTIF('Phản ánh'!$K$6:$K$505,$N60)&gt;0,COUNTIF($N$6:$N60,$N60)&gt;1),0,1)</f>
      </c>
      <c r="BA60" s="225">
        <f>IF($AZ60=1,SUM($AZ$6:$AZ60),"")</f>
      </c>
      <c r="BB60" s="225">
        <f>IF(OR($AO60=0,N($AW60)=0),0,IF(TDBC&lt;=$AW60,0,MAX(1,MIN(4,IF((TDBC-$AW60)*24&lt;24,1,IF((TDBC-$AW60)*24&lt;72,2,IF((TDBC-$AW60)*24&lt;168,3,4)))+IF($B60="Đột xuất",IFERROR(INDEX({2,1,0,-1},MATCH($L60,{"Khẩn cấp","Cao","Trung bình","Thấp"},0)),0),IF($D60="PCCC và an ninh",1,0))))))</f>
      </c>
    </row>
    <row r="61">
      <c r="A61" s="216"/>
      <c r="B61" s="216"/>
      <c r="C61" s="218"/>
      <c r="D61" s="218"/>
      <c r="E61" s="218"/>
      <c r="F61" s="216"/>
      <c r="G61" s="218"/>
      <c r="H61" s="218"/>
      <c r="I61" s="231"/>
      <c r="J61" s="217"/>
      <c r="K61" s="217"/>
      <c r="L61" s="216"/>
      <c r="M61" s="216"/>
      <c r="N61" s="218"/>
      <c r="O61" s="218"/>
      <c r="P61" s="218"/>
      <c r="Q61" s="218"/>
      <c r="R61" s="219"/>
      <c r="S61" s="216"/>
      <c r="T61" s="232"/>
      <c r="U61" s="232"/>
      <c r="V61" s="218"/>
      <c r="W61" s="218"/>
      <c r="X61" s="220">
        <f>IF($A61="","",IF(OR($B61="Định kỳ",$AA61="Hoàn thành"),MAX(_xlfn.MAXIFS('Nhật ký tiến độ'!$B$6:$B$3005,'Nhật ký tiến độ'!$C$6:$C$3005,$A61,'Nhật ký tiến độ'!$E$6:$E$3005,"Hoàn thành kỳ"),_xlfn.MAXIFS('Nhật ký tiến độ'!$B$6:$B$3005,'Nhật ký tiến độ'!$C$6:$C$3005,$A61,'Nhật ký tiến độ'!$E$6:$E$3005,"Hoàn thành")),0))</f>
      </c>
      <c r="Y61" s="220">
        <f>IF($A61="","",IF($B61="Đột xuất",IF($AY61=0,"",$AY61),IF($AX61=0,"",$AX61)))</f>
      </c>
      <c r="Z61" s="223">
        <f>IF(OR($AO61=0,$AW61=0),"",IF(TDBC&gt;$AW61,"Quá "&amp;IF($B61="Định kỳ",(NgayBC-$AP61)&amp;" ngày",IF(((TDBC-$AW61)*24)&lt;1,MAX(1,ROUND(((TDBC-$AW61)*24)*60,0))&amp;" phút",IF(ROUND(((TDBC-$AW61)*24),0)&lt;24,ROUND(((TDBC-$AW61)*24),0)&amp;" giờ",INT(ROUND(((TDBC-$AW61)*24),0)/24)&amp;" ngày"&amp;IF(MOD(ROUND(((TDBC-$AW61)*24),0),24)&gt;0," "&amp;MOD(ROUND(((TDBC-$AW61)*24),0),24)&amp;" giờ","")))),IF($B61="Định kỳ",IF($AP61=NgayBC,"Hôm nay","Còn "&amp;($AP61-NgayBC)&amp;" ngày"),"Còn "&amp;IF((($AW61-TDBC)*24)&lt;1,MAX(1,ROUND((($AW61-TDBC)*24)*60,0))&amp;" phút",IF(ROUND((($AW61-TDBC)*24),0)&lt;24,ROUND((($AW61-TDBC)*24),0)&amp;" giờ",INT(ROUND((($AW61-TDBC)*24),0)/24)&amp;" ngày"&amp;IF(MOD(ROUND((($AW61-TDBC)*24),0),24)&gt;0," "&amp;MOD(ROUND((($AW61-TDBC)*24),0),24)&amp;" giờ",""))))))</f>
      </c>
      <c r="AA61" s="221">
        <f>IF($A61="","",IF(N($AM61)=0,"Chưa bắt đầu",IF(OR($AN61="Hoàn thành kỳ",$AN61="Hoàn thành"),IF($B61="Định kỳ","Chưa bắt đầu","Hoàn thành"),$AN61)))</f>
      </c>
      <c r="AB61" s="222">
        <f>IF($A61="","",IF($AA61="Hoàn thành",1,IF(OR(N($AM61)=0,$AN61="Hoàn thành kỳ",$AN61="Hoàn thành"),0,N(INDEX('Nhật ký tiến độ'!$D:$D,$AM61)))))</f>
      </c>
      <c r="AC61" s="222">
        <f>IF(OR($A61="",$B61&lt;&gt;"Đột xuất",$AA61="Hoàn thành",N($J61)=0,$AW61=0),"",IF(TDBC&lt;=$J61,0,IF(TDBC&gt;=$AW61,1,(TDBC-$J61)/($AW61-$J61))))</f>
      </c>
      <c r="AD61" s="223">
        <f>IF($A61="","",IF($AA61="Hoàn thành","Hoàn thành",IF($AW61=0,"Chưa đặt hạn",IF(TDBC&gt;$AW61,"Quá hạn",IF(AND($B61="Đột xuất",ROUND((N($AC61)-$AB61)*100,0)&gt;=20),"Chậm tiến độ",IF($AP61=NgayBC,"Đến hạn hôm nay",IF($B61="Đột xuất",IF($AW61-TDBC&lt;=1,"Sắp đến hạn","Đúng tiến độ"),IF($AP61-NgayBC&lt;=3,"Sắp đến hạn","Theo lịch"))))))))</f>
      </c>
      <c r="AE61" s="223">
        <f>IF($AV61="","",IF($B61="Định kỳ","Bình quân "&amp;IF($AV61&lt;1,MAX(1,ROUND($AV61*60,0))&amp;" phút",IF(ROUND($AV61,0)&lt;24,ROUND($AV61,0)&amp;" giờ",INT(ROUND($AV61,0)/24)&amp;" ngày"&amp;IF(MOD(ROUND($AV61,0),24)&gt;0," "&amp;MOD(ROUND($AV61,0),24)&amp;" giờ","")))&amp;" mỗi kỳ",IF($AV61&lt;1,MAX(1,ROUND($AV61*60,0))&amp;" phút",IF(ROUND($AV61,0)&lt;24,ROUND($AV61,0)&amp;" giờ",INT(ROUND($AV61,0)/24)&amp;" ngày"&amp;IF(MOD(ROUND($AV61,0),24)&gt;0," "&amp;MOD(ROUND($AV61,0),24)&amp;" giờ","")))))</f>
      </c>
      <c r="AF61" s="223">
        <f>IF(OR($A61="",N($AU61)=0),"",IF($AV61&lt;&gt;"",IF($AV61&lt;=$AU61,"Trong ước tính","Vượt "&amp;IF(($AV61-$AU61)&lt;1,MAX(1,ROUND(($AV61-$AU61)*60,0))&amp;" phút",IF(ROUND(($AV61-$AU61),0)&lt;24,ROUND(($AV61-$AU61),0)&amp;" giờ",INT(ROUND(($AV61-$AU61),0)/24)&amp;" ngày"&amp;IF(MOD(ROUND(($AV61-$AU61),0),24)&gt;0," "&amp;MOD(ROUND(($AV61-$AU61),0),24)&amp;" giờ","")))),IF(OR($B61&lt;&gt;"Đột xuất",$AA61="Hoàn thành",N($J61)=0),"",IF((TDBC-$J61)*24&gt;$AU61,"Đã vượt ước tính","Đã dùng "&amp;TEXT((TDBC-$J61)*24/$AU61,"0%")))))</f>
      </c>
      <c r="AG61" s="223">
        <f>IF(N($BB61)=0,"",CHOOSE($BB61,"Nhắc nhở","Cảnh báo","Báo động","Báo động đỏ"))</f>
      </c>
      <c r="AH61" s="223">
        <f>IF(OR($B61&lt;&gt;"Đột xuất",$AA61&lt;&gt;"Hoàn thành",N($X61)=0,$AW61=0),"",IF($X61&lt;=$AW61,"Đúng hạn","Trễ hạn"))</f>
      </c>
      <c r="AI61" s="220">
        <f>IF($A61="","",_xlfn.MAXIFS('Nhật ký tiến độ'!$B$6:$B$3005,'Nhật ký tiến độ'!$C$6:$C$3005,$A61))</f>
      </c>
      <c r="AJ61" s="225">
        <f>IF(OR($A61="",$B61&lt;&gt;"Định kỳ"),0,IFERROR(INDEX(DM_TanSuatNgay,MATCH($H61,DM_TanSuat,0)),0))</f>
      </c>
      <c r="AK61" s="225">
        <f>IF(OR($A61="",$B61&lt;&gt;"Định kỳ"),0,IFERROR(INDEX(DM_TanSuatThang,MATCH($H61,DM_TanSuat,0)),0))</f>
      </c>
      <c r="AL61" s="225">
        <f>IF(OR($A61="",$B61&lt;&gt;"Định kỳ",N($X61)=0,N($I61)=0),"",IF(INT($X61)&lt;$I61,0,IF($AJ61&gt;0,ROUND((INT($X61)-$I61)/$AJ61,0),IF($AK61&gt;0,ROUND((DATEDIF($I61,INT($X61),"m")+(INT($X61)-EDATE($I61,DATEDIF($I61,INT($X61),"m")))/(EDATE($I61,DATEDIF($I61,INT($X61),"m")+1)-EDATE($I61,DATEDIF($I61,INT($X61),"m"))))/$AK61,0),0))))</f>
      </c>
      <c r="AM61" s="225">
        <f>IF($A61="","",IF(COUNTIF('Nhật ký tiến độ'!$C$6:$C$3005,$A61)=0,0,_xlfn.MAXIFS('Nhật ký tiến độ'!$N$6:$N$3005,'Nhật ký tiến độ'!$C$6:$C$3005,$A61,'Nhật ký tiến độ'!$B$6:$B$3005,_xlfn.MAXIFS('Nhật ký tiến độ'!$B$6:$B$3005,'Nhật ký tiến độ'!$C$6:$C$3005,$A61))))</f>
      </c>
      <c r="AN61" s="225">
        <f>IF($A61="","",IF(N($AM61)=0,"",INDEX('Nhật ký tiến độ'!$E:$E,$AM61)))</f>
      </c>
      <c r="AO61" s="225">
        <f>IF($A61="",0,IF($AA61="Hoàn thành",0,1))</f>
      </c>
      <c r="AP61" s="225">
        <f>IF($AO61=0,0,INT(N($AW61)))</f>
      </c>
      <c r="AQ61" s="225">
        <f>IF(AND($AO61=1,$AJ61&gt;1),$AJ61,0)</f>
      </c>
      <c r="AR61" s="225">
        <f>IF(AND($AO61=1,$AJ61=1),1,0)</f>
      </c>
      <c r="AS61" s="225">
        <f>IF(OR($AO61=0,AND($AR61=1,N($BB61)=0)),"",IF(N($BB61)&gt;0,5-$BB61,IF($AD61="Chậm tiến độ",6,IF($AD61="Đến hạn hôm nay",7,IF(AND($AP61&gt;0,$AP61-NgayBC&lt;=7),8,"")))))</f>
      </c>
      <c r="AT61" s="225">
        <f>IF($AS61="","",$AS61*100000+$AP61+ROW()/100000)</f>
      </c>
      <c r="AU61" s="224">
        <f>IF(OR($A61="",N($R61)&lt;=0),"",IF($S61="Ngày",$R61*24,$R61))</f>
      </c>
      <c r="AV61" s="224">
        <f>IF($A61="","",IF($B61="Đột xuất",IF(OR($AA61&lt;&gt;"Hoàn thành",N($X61)=0,N($J61)=0),"",IF($X61&lt;$J61,"",($X61-$J61)*24)),IFERROR(AVERAGEIFS('Nhật ký tiến độ'!$H$6:$H$3005,'Nhật ký tiến độ'!$C$6:$C$3005,$A61,'Nhật ký tiến độ'!$H$6:$H$3005,"&gt;0"),"")))</f>
      </c>
      <c r="AW61" s="233">
        <f>IF($A61="",0,IF($B61="Đột xuất",$AY61,IF($AX61=0,0,$AX61+1-1/1440)))</f>
      </c>
      <c r="AX61" s="234">
        <f>IF(OR($A61="",$B61&lt;&gt;"Định kỳ",N($I61)=0),0,IF($AL61="",$I61,IF($AJ61&gt;0,$I61+($AL61+1)*$AJ61,IF($AK61&gt;0,EDATE($I61,($AL61+1)*$AK61),$I61))))</f>
      </c>
      <c r="AY61" s="233">
        <f>IF(OR($A61="",$B61&lt;&gt;"Đột xuất"),0,IF(N($K61)&gt;0,IF(MOD($K61,1)=0,$K61+1-1/1440,$K61),IF(N($J61)=0,0,$J61+IF(N($AU61)&gt;0,$AU61,IFERROR(INDEX(DM_SLA_Gio,MATCH($L61,DM_SLA_Cap,0)),168))/24)))</f>
      </c>
      <c r="AZ61" s="225">
        <f>IF(OR($A61="",TRIM($N61)="",COUNTIF('Phản ánh'!$K$6:$K$505,$N61)&gt;0,COUNTIF($N$6:$N61,$N61)&gt;1),0,1)</f>
      </c>
      <c r="BA61" s="225">
        <f>IF($AZ61=1,SUM($AZ$6:$AZ61),"")</f>
      </c>
      <c r="BB61" s="225">
        <f>IF(OR($AO61=0,N($AW61)=0),0,IF(TDBC&lt;=$AW61,0,MAX(1,MIN(4,IF((TDBC-$AW61)*24&lt;24,1,IF((TDBC-$AW61)*24&lt;72,2,IF((TDBC-$AW61)*24&lt;168,3,4)))+IF($B61="Đột xuất",IFERROR(INDEX({2,1,0,-1},MATCH($L61,{"Khẩn cấp","Cao","Trung bình","Thấp"},0)),0),IF($D61="PCCC và an ninh",1,0))))))</f>
      </c>
    </row>
    <row r="62">
      <c r="A62" s="216"/>
      <c r="B62" s="216"/>
      <c r="C62" s="218"/>
      <c r="D62" s="218"/>
      <c r="E62" s="218"/>
      <c r="F62" s="216"/>
      <c r="G62" s="218"/>
      <c r="H62" s="218"/>
      <c r="I62" s="231"/>
      <c r="J62" s="217"/>
      <c r="K62" s="217"/>
      <c r="L62" s="216"/>
      <c r="M62" s="216"/>
      <c r="N62" s="218"/>
      <c r="O62" s="218"/>
      <c r="P62" s="218"/>
      <c r="Q62" s="218"/>
      <c r="R62" s="219"/>
      <c r="S62" s="216"/>
      <c r="T62" s="232"/>
      <c r="U62" s="232"/>
      <c r="V62" s="218"/>
      <c r="W62" s="218"/>
      <c r="X62" s="220">
        <f>IF($A62="","",IF(OR($B62="Định kỳ",$AA62="Hoàn thành"),MAX(_xlfn.MAXIFS('Nhật ký tiến độ'!$B$6:$B$3005,'Nhật ký tiến độ'!$C$6:$C$3005,$A62,'Nhật ký tiến độ'!$E$6:$E$3005,"Hoàn thành kỳ"),_xlfn.MAXIFS('Nhật ký tiến độ'!$B$6:$B$3005,'Nhật ký tiến độ'!$C$6:$C$3005,$A62,'Nhật ký tiến độ'!$E$6:$E$3005,"Hoàn thành")),0))</f>
      </c>
      <c r="Y62" s="220">
        <f>IF($A62="","",IF($B62="Đột xuất",IF($AY62=0,"",$AY62),IF($AX62=0,"",$AX62)))</f>
      </c>
      <c r="Z62" s="223">
        <f>IF(OR($AO62=0,$AW62=0),"",IF(TDBC&gt;$AW62,"Quá "&amp;IF($B62="Định kỳ",(NgayBC-$AP62)&amp;" ngày",IF(((TDBC-$AW62)*24)&lt;1,MAX(1,ROUND(((TDBC-$AW62)*24)*60,0))&amp;" phút",IF(ROUND(((TDBC-$AW62)*24),0)&lt;24,ROUND(((TDBC-$AW62)*24),0)&amp;" giờ",INT(ROUND(((TDBC-$AW62)*24),0)/24)&amp;" ngày"&amp;IF(MOD(ROUND(((TDBC-$AW62)*24),0),24)&gt;0," "&amp;MOD(ROUND(((TDBC-$AW62)*24),0),24)&amp;" giờ","")))),IF($B62="Định kỳ",IF($AP62=NgayBC,"Hôm nay","Còn "&amp;($AP62-NgayBC)&amp;" ngày"),"Còn "&amp;IF((($AW62-TDBC)*24)&lt;1,MAX(1,ROUND((($AW62-TDBC)*24)*60,0))&amp;" phút",IF(ROUND((($AW62-TDBC)*24),0)&lt;24,ROUND((($AW62-TDBC)*24),0)&amp;" giờ",INT(ROUND((($AW62-TDBC)*24),0)/24)&amp;" ngày"&amp;IF(MOD(ROUND((($AW62-TDBC)*24),0),24)&gt;0," "&amp;MOD(ROUND((($AW62-TDBC)*24),0),24)&amp;" giờ",""))))))</f>
      </c>
      <c r="AA62" s="221">
        <f>IF($A62="","",IF(N($AM62)=0,"Chưa bắt đầu",IF(OR($AN62="Hoàn thành kỳ",$AN62="Hoàn thành"),IF($B62="Định kỳ","Chưa bắt đầu","Hoàn thành"),$AN62)))</f>
      </c>
      <c r="AB62" s="222">
        <f>IF($A62="","",IF($AA62="Hoàn thành",1,IF(OR(N($AM62)=0,$AN62="Hoàn thành kỳ",$AN62="Hoàn thành"),0,N(INDEX('Nhật ký tiến độ'!$D:$D,$AM62)))))</f>
      </c>
      <c r="AC62" s="222">
        <f>IF(OR($A62="",$B62&lt;&gt;"Đột xuất",$AA62="Hoàn thành",N($J62)=0,$AW62=0),"",IF(TDBC&lt;=$J62,0,IF(TDBC&gt;=$AW62,1,(TDBC-$J62)/($AW62-$J62))))</f>
      </c>
      <c r="AD62" s="223">
        <f>IF($A62="","",IF($AA62="Hoàn thành","Hoàn thành",IF($AW62=0,"Chưa đặt hạn",IF(TDBC&gt;$AW62,"Quá hạn",IF(AND($B62="Đột xuất",ROUND((N($AC62)-$AB62)*100,0)&gt;=20),"Chậm tiến độ",IF($AP62=NgayBC,"Đến hạn hôm nay",IF($B62="Đột xuất",IF($AW62-TDBC&lt;=1,"Sắp đến hạn","Đúng tiến độ"),IF($AP62-NgayBC&lt;=3,"Sắp đến hạn","Theo lịch"))))))))</f>
      </c>
      <c r="AE62" s="223">
        <f>IF($AV62="","",IF($B62="Định kỳ","Bình quân "&amp;IF($AV62&lt;1,MAX(1,ROUND($AV62*60,0))&amp;" phút",IF(ROUND($AV62,0)&lt;24,ROUND($AV62,0)&amp;" giờ",INT(ROUND($AV62,0)/24)&amp;" ngày"&amp;IF(MOD(ROUND($AV62,0),24)&gt;0," "&amp;MOD(ROUND($AV62,0),24)&amp;" giờ","")))&amp;" mỗi kỳ",IF($AV62&lt;1,MAX(1,ROUND($AV62*60,0))&amp;" phút",IF(ROUND($AV62,0)&lt;24,ROUND($AV62,0)&amp;" giờ",INT(ROUND($AV62,0)/24)&amp;" ngày"&amp;IF(MOD(ROUND($AV62,0),24)&gt;0," "&amp;MOD(ROUND($AV62,0),24)&amp;" giờ","")))))</f>
      </c>
      <c r="AF62" s="223">
        <f>IF(OR($A62="",N($AU62)=0),"",IF($AV62&lt;&gt;"",IF($AV62&lt;=$AU62,"Trong ước tính","Vượt "&amp;IF(($AV62-$AU62)&lt;1,MAX(1,ROUND(($AV62-$AU62)*60,0))&amp;" phút",IF(ROUND(($AV62-$AU62),0)&lt;24,ROUND(($AV62-$AU62),0)&amp;" giờ",INT(ROUND(($AV62-$AU62),0)/24)&amp;" ngày"&amp;IF(MOD(ROUND(($AV62-$AU62),0),24)&gt;0," "&amp;MOD(ROUND(($AV62-$AU62),0),24)&amp;" giờ","")))),IF(OR($B62&lt;&gt;"Đột xuất",$AA62="Hoàn thành",N($J62)=0),"",IF((TDBC-$J62)*24&gt;$AU62,"Đã vượt ước tính","Đã dùng "&amp;TEXT((TDBC-$J62)*24/$AU62,"0%")))))</f>
      </c>
      <c r="AG62" s="223">
        <f>IF(N($BB62)=0,"",CHOOSE($BB62,"Nhắc nhở","Cảnh báo","Báo động","Báo động đỏ"))</f>
      </c>
      <c r="AH62" s="223">
        <f>IF(OR($B62&lt;&gt;"Đột xuất",$AA62&lt;&gt;"Hoàn thành",N($X62)=0,$AW62=0),"",IF($X62&lt;=$AW62,"Đúng hạn","Trễ hạn"))</f>
      </c>
      <c r="AI62" s="220">
        <f>IF($A62="","",_xlfn.MAXIFS('Nhật ký tiến độ'!$B$6:$B$3005,'Nhật ký tiến độ'!$C$6:$C$3005,$A62))</f>
      </c>
      <c r="AJ62" s="225">
        <f>IF(OR($A62="",$B62&lt;&gt;"Định kỳ"),0,IFERROR(INDEX(DM_TanSuatNgay,MATCH($H62,DM_TanSuat,0)),0))</f>
      </c>
      <c r="AK62" s="225">
        <f>IF(OR($A62="",$B62&lt;&gt;"Định kỳ"),0,IFERROR(INDEX(DM_TanSuatThang,MATCH($H62,DM_TanSuat,0)),0))</f>
      </c>
      <c r="AL62" s="225">
        <f>IF(OR($A62="",$B62&lt;&gt;"Định kỳ",N($X62)=0,N($I62)=0),"",IF(INT($X62)&lt;$I62,0,IF($AJ62&gt;0,ROUND((INT($X62)-$I62)/$AJ62,0),IF($AK62&gt;0,ROUND((DATEDIF($I62,INT($X62),"m")+(INT($X62)-EDATE($I62,DATEDIF($I62,INT($X62),"m")))/(EDATE($I62,DATEDIF($I62,INT($X62),"m")+1)-EDATE($I62,DATEDIF($I62,INT($X62),"m"))))/$AK62,0),0))))</f>
      </c>
      <c r="AM62" s="225">
        <f>IF($A62="","",IF(COUNTIF('Nhật ký tiến độ'!$C$6:$C$3005,$A62)=0,0,_xlfn.MAXIFS('Nhật ký tiến độ'!$N$6:$N$3005,'Nhật ký tiến độ'!$C$6:$C$3005,$A62,'Nhật ký tiến độ'!$B$6:$B$3005,_xlfn.MAXIFS('Nhật ký tiến độ'!$B$6:$B$3005,'Nhật ký tiến độ'!$C$6:$C$3005,$A62))))</f>
      </c>
      <c r="AN62" s="225">
        <f>IF($A62="","",IF(N($AM62)=0,"",INDEX('Nhật ký tiến độ'!$E:$E,$AM62)))</f>
      </c>
      <c r="AO62" s="225">
        <f>IF($A62="",0,IF($AA62="Hoàn thành",0,1))</f>
      </c>
      <c r="AP62" s="225">
        <f>IF($AO62=0,0,INT(N($AW62)))</f>
      </c>
      <c r="AQ62" s="225">
        <f>IF(AND($AO62=1,$AJ62&gt;1),$AJ62,0)</f>
      </c>
      <c r="AR62" s="225">
        <f>IF(AND($AO62=1,$AJ62=1),1,0)</f>
      </c>
      <c r="AS62" s="225">
        <f>IF(OR($AO62=0,AND($AR62=1,N($BB62)=0)),"",IF(N($BB62)&gt;0,5-$BB62,IF($AD62="Chậm tiến độ",6,IF($AD62="Đến hạn hôm nay",7,IF(AND($AP62&gt;0,$AP62-NgayBC&lt;=7),8,"")))))</f>
      </c>
      <c r="AT62" s="225">
        <f>IF($AS62="","",$AS62*100000+$AP62+ROW()/100000)</f>
      </c>
      <c r="AU62" s="224">
        <f>IF(OR($A62="",N($R62)&lt;=0),"",IF($S62="Ngày",$R62*24,$R62))</f>
      </c>
      <c r="AV62" s="224">
        <f>IF($A62="","",IF($B62="Đột xuất",IF(OR($AA62&lt;&gt;"Hoàn thành",N($X62)=0,N($J62)=0),"",IF($X62&lt;$J62,"",($X62-$J62)*24)),IFERROR(AVERAGEIFS('Nhật ký tiến độ'!$H$6:$H$3005,'Nhật ký tiến độ'!$C$6:$C$3005,$A62,'Nhật ký tiến độ'!$H$6:$H$3005,"&gt;0"),"")))</f>
      </c>
      <c r="AW62" s="233">
        <f>IF($A62="",0,IF($B62="Đột xuất",$AY62,IF($AX62=0,0,$AX62+1-1/1440)))</f>
      </c>
      <c r="AX62" s="234">
        <f>IF(OR($A62="",$B62&lt;&gt;"Định kỳ",N($I62)=0),0,IF($AL62="",$I62,IF($AJ62&gt;0,$I62+($AL62+1)*$AJ62,IF($AK62&gt;0,EDATE($I62,($AL62+1)*$AK62),$I62))))</f>
      </c>
      <c r="AY62" s="233">
        <f>IF(OR($A62="",$B62&lt;&gt;"Đột xuất"),0,IF(N($K62)&gt;0,IF(MOD($K62,1)=0,$K62+1-1/1440,$K62),IF(N($J62)=0,0,$J62+IF(N($AU62)&gt;0,$AU62,IFERROR(INDEX(DM_SLA_Gio,MATCH($L62,DM_SLA_Cap,0)),168))/24)))</f>
      </c>
      <c r="AZ62" s="225">
        <f>IF(OR($A62="",TRIM($N62)="",COUNTIF('Phản ánh'!$K$6:$K$505,$N62)&gt;0,COUNTIF($N$6:$N62,$N62)&gt;1),0,1)</f>
      </c>
      <c r="BA62" s="225">
        <f>IF($AZ62=1,SUM($AZ$6:$AZ62),"")</f>
      </c>
      <c r="BB62" s="225">
        <f>IF(OR($AO62=0,N($AW62)=0),0,IF(TDBC&lt;=$AW62,0,MAX(1,MIN(4,IF((TDBC-$AW62)*24&lt;24,1,IF((TDBC-$AW62)*24&lt;72,2,IF((TDBC-$AW62)*24&lt;168,3,4)))+IF($B62="Đột xuất",IFERROR(INDEX({2,1,0,-1},MATCH($L62,{"Khẩn cấp","Cao","Trung bình","Thấp"},0)),0),IF($D62="PCCC và an ninh",1,0))))))</f>
      </c>
    </row>
    <row r="63">
      <c r="A63" s="216"/>
      <c r="B63" s="216"/>
      <c r="C63" s="218"/>
      <c r="D63" s="218"/>
      <c r="E63" s="218"/>
      <c r="F63" s="216"/>
      <c r="G63" s="218"/>
      <c r="H63" s="218"/>
      <c r="I63" s="231"/>
      <c r="J63" s="217"/>
      <c r="K63" s="217"/>
      <c r="L63" s="216"/>
      <c r="M63" s="216"/>
      <c r="N63" s="218"/>
      <c r="O63" s="218"/>
      <c r="P63" s="218"/>
      <c r="Q63" s="218"/>
      <c r="R63" s="219"/>
      <c r="S63" s="216"/>
      <c r="T63" s="232"/>
      <c r="U63" s="232"/>
      <c r="V63" s="218"/>
      <c r="W63" s="218"/>
      <c r="X63" s="220">
        <f>IF($A63="","",IF(OR($B63="Định kỳ",$AA63="Hoàn thành"),MAX(_xlfn.MAXIFS('Nhật ký tiến độ'!$B$6:$B$3005,'Nhật ký tiến độ'!$C$6:$C$3005,$A63,'Nhật ký tiến độ'!$E$6:$E$3005,"Hoàn thành kỳ"),_xlfn.MAXIFS('Nhật ký tiến độ'!$B$6:$B$3005,'Nhật ký tiến độ'!$C$6:$C$3005,$A63,'Nhật ký tiến độ'!$E$6:$E$3005,"Hoàn thành")),0))</f>
      </c>
      <c r="Y63" s="220">
        <f>IF($A63="","",IF($B63="Đột xuất",IF($AY63=0,"",$AY63),IF($AX63=0,"",$AX63)))</f>
      </c>
      <c r="Z63" s="223">
        <f>IF(OR($AO63=0,$AW63=0),"",IF(TDBC&gt;$AW63,"Quá "&amp;IF($B63="Định kỳ",(NgayBC-$AP63)&amp;" ngày",IF(((TDBC-$AW63)*24)&lt;1,MAX(1,ROUND(((TDBC-$AW63)*24)*60,0))&amp;" phút",IF(ROUND(((TDBC-$AW63)*24),0)&lt;24,ROUND(((TDBC-$AW63)*24),0)&amp;" giờ",INT(ROUND(((TDBC-$AW63)*24),0)/24)&amp;" ngày"&amp;IF(MOD(ROUND(((TDBC-$AW63)*24),0),24)&gt;0," "&amp;MOD(ROUND(((TDBC-$AW63)*24),0),24)&amp;" giờ","")))),IF($B63="Định kỳ",IF($AP63=NgayBC,"Hôm nay","Còn "&amp;($AP63-NgayBC)&amp;" ngày"),"Còn "&amp;IF((($AW63-TDBC)*24)&lt;1,MAX(1,ROUND((($AW63-TDBC)*24)*60,0))&amp;" phút",IF(ROUND((($AW63-TDBC)*24),0)&lt;24,ROUND((($AW63-TDBC)*24),0)&amp;" giờ",INT(ROUND((($AW63-TDBC)*24),0)/24)&amp;" ngày"&amp;IF(MOD(ROUND((($AW63-TDBC)*24),0),24)&gt;0," "&amp;MOD(ROUND((($AW63-TDBC)*24),0),24)&amp;" giờ",""))))))</f>
      </c>
      <c r="AA63" s="221">
        <f>IF($A63="","",IF(N($AM63)=0,"Chưa bắt đầu",IF(OR($AN63="Hoàn thành kỳ",$AN63="Hoàn thành"),IF($B63="Định kỳ","Chưa bắt đầu","Hoàn thành"),$AN63)))</f>
      </c>
      <c r="AB63" s="222">
        <f>IF($A63="","",IF($AA63="Hoàn thành",1,IF(OR(N($AM63)=0,$AN63="Hoàn thành kỳ",$AN63="Hoàn thành"),0,N(INDEX('Nhật ký tiến độ'!$D:$D,$AM63)))))</f>
      </c>
      <c r="AC63" s="222">
        <f>IF(OR($A63="",$B63&lt;&gt;"Đột xuất",$AA63="Hoàn thành",N($J63)=0,$AW63=0),"",IF(TDBC&lt;=$J63,0,IF(TDBC&gt;=$AW63,1,(TDBC-$J63)/($AW63-$J63))))</f>
      </c>
      <c r="AD63" s="223">
        <f>IF($A63="","",IF($AA63="Hoàn thành","Hoàn thành",IF($AW63=0,"Chưa đặt hạn",IF(TDBC&gt;$AW63,"Quá hạn",IF(AND($B63="Đột xuất",ROUND((N($AC63)-$AB63)*100,0)&gt;=20),"Chậm tiến độ",IF($AP63=NgayBC,"Đến hạn hôm nay",IF($B63="Đột xuất",IF($AW63-TDBC&lt;=1,"Sắp đến hạn","Đúng tiến độ"),IF($AP63-NgayBC&lt;=3,"Sắp đến hạn","Theo lịch"))))))))</f>
      </c>
      <c r="AE63" s="223">
        <f>IF($AV63="","",IF($B63="Định kỳ","Bình quân "&amp;IF($AV63&lt;1,MAX(1,ROUND($AV63*60,0))&amp;" phút",IF(ROUND($AV63,0)&lt;24,ROUND($AV63,0)&amp;" giờ",INT(ROUND($AV63,0)/24)&amp;" ngày"&amp;IF(MOD(ROUND($AV63,0),24)&gt;0," "&amp;MOD(ROUND($AV63,0),24)&amp;" giờ","")))&amp;" mỗi kỳ",IF($AV63&lt;1,MAX(1,ROUND($AV63*60,0))&amp;" phút",IF(ROUND($AV63,0)&lt;24,ROUND($AV63,0)&amp;" giờ",INT(ROUND($AV63,0)/24)&amp;" ngày"&amp;IF(MOD(ROUND($AV63,0),24)&gt;0," "&amp;MOD(ROUND($AV63,0),24)&amp;" giờ","")))))</f>
      </c>
      <c r="AF63" s="223">
        <f>IF(OR($A63="",N($AU63)=0),"",IF($AV63&lt;&gt;"",IF($AV63&lt;=$AU63,"Trong ước tính","Vượt "&amp;IF(($AV63-$AU63)&lt;1,MAX(1,ROUND(($AV63-$AU63)*60,0))&amp;" phút",IF(ROUND(($AV63-$AU63),0)&lt;24,ROUND(($AV63-$AU63),0)&amp;" giờ",INT(ROUND(($AV63-$AU63),0)/24)&amp;" ngày"&amp;IF(MOD(ROUND(($AV63-$AU63),0),24)&gt;0," "&amp;MOD(ROUND(($AV63-$AU63),0),24)&amp;" giờ","")))),IF(OR($B63&lt;&gt;"Đột xuất",$AA63="Hoàn thành",N($J63)=0),"",IF((TDBC-$J63)*24&gt;$AU63,"Đã vượt ước tính","Đã dùng "&amp;TEXT((TDBC-$J63)*24/$AU63,"0%")))))</f>
      </c>
      <c r="AG63" s="223">
        <f>IF(N($BB63)=0,"",CHOOSE($BB63,"Nhắc nhở","Cảnh báo","Báo động","Báo động đỏ"))</f>
      </c>
      <c r="AH63" s="223">
        <f>IF(OR($B63&lt;&gt;"Đột xuất",$AA63&lt;&gt;"Hoàn thành",N($X63)=0,$AW63=0),"",IF($X63&lt;=$AW63,"Đúng hạn","Trễ hạn"))</f>
      </c>
      <c r="AI63" s="220">
        <f>IF($A63="","",_xlfn.MAXIFS('Nhật ký tiến độ'!$B$6:$B$3005,'Nhật ký tiến độ'!$C$6:$C$3005,$A63))</f>
      </c>
      <c r="AJ63" s="225">
        <f>IF(OR($A63="",$B63&lt;&gt;"Định kỳ"),0,IFERROR(INDEX(DM_TanSuatNgay,MATCH($H63,DM_TanSuat,0)),0))</f>
      </c>
      <c r="AK63" s="225">
        <f>IF(OR($A63="",$B63&lt;&gt;"Định kỳ"),0,IFERROR(INDEX(DM_TanSuatThang,MATCH($H63,DM_TanSuat,0)),0))</f>
      </c>
      <c r="AL63" s="225">
        <f>IF(OR($A63="",$B63&lt;&gt;"Định kỳ",N($X63)=0,N($I63)=0),"",IF(INT($X63)&lt;$I63,0,IF($AJ63&gt;0,ROUND((INT($X63)-$I63)/$AJ63,0),IF($AK63&gt;0,ROUND((DATEDIF($I63,INT($X63),"m")+(INT($X63)-EDATE($I63,DATEDIF($I63,INT($X63),"m")))/(EDATE($I63,DATEDIF($I63,INT($X63),"m")+1)-EDATE($I63,DATEDIF($I63,INT($X63),"m"))))/$AK63,0),0))))</f>
      </c>
      <c r="AM63" s="225">
        <f>IF($A63="","",IF(COUNTIF('Nhật ký tiến độ'!$C$6:$C$3005,$A63)=0,0,_xlfn.MAXIFS('Nhật ký tiến độ'!$N$6:$N$3005,'Nhật ký tiến độ'!$C$6:$C$3005,$A63,'Nhật ký tiến độ'!$B$6:$B$3005,_xlfn.MAXIFS('Nhật ký tiến độ'!$B$6:$B$3005,'Nhật ký tiến độ'!$C$6:$C$3005,$A63))))</f>
      </c>
      <c r="AN63" s="225">
        <f>IF($A63="","",IF(N($AM63)=0,"",INDEX('Nhật ký tiến độ'!$E:$E,$AM63)))</f>
      </c>
      <c r="AO63" s="225">
        <f>IF($A63="",0,IF($AA63="Hoàn thành",0,1))</f>
      </c>
      <c r="AP63" s="225">
        <f>IF($AO63=0,0,INT(N($AW63)))</f>
      </c>
      <c r="AQ63" s="225">
        <f>IF(AND($AO63=1,$AJ63&gt;1),$AJ63,0)</f>
      </c>
      <c r="AR63" s="225">
        <f>IF(AND($AO63=1,$AJ63=1),1,0)</f>
      </c>
      <c r="AS63" s="225">
        <f>IF(OR($AO63=0,AND($AR63=1,N($BB63)=0)),"",IF(N($BB63)&gt;0,5-$BB63,IF($AD63="Chậm tiến độ",6,IF($AD63="Đến hạn hôm nay",7,IF(AND($AP63&gt;0,$AP63-NgayBC&lt;=7),8,"")))))</f>
      </c>
      <c r="AT63" s="225">
        <f>IF($AS63="","",$AS63*100000+$AP63+ROW()/100000)</f>
      </c>
      <c r="AU63" s="224">
        <f>IF(OR($A63="",N($R63)&lt;=0),"",IF($S63="Ngày",$R63*24,$R63))</f>
      </c>
      <c r="AV63" s="224">
        <f>IF($A63="","",IF($B63="Đột xuất",IF(OR($AA63&lt;&gt;"Hoàn thành",N($X63)=0,N($J63)=0),"",IF($X63&lt;$J63,"",($X63-$J63)*24)),IFERROR(AVERAGEIFS('Nhật ký tiến độ'!$H$6:$H$3005,'Nhật ký tiến độ'!$C$6:$C$3005,$A63,'Nhật ký tiến độ'!$H$6:$H$3005,"&gt;0"),"")))</f>
      </c>
      <c r="AW63" s="233">
        <f>IF($A63="",0,IF($B63="Đột xuất",$AY63,IF($AX63=0,0,$AX63+1-1/1440)))</f>
      </c>
      <c r="AX63" s="234">
        <f>IF(OR($A63="",$B63&lt;&gt;"Định kỳ",N($I63)=0),0,IF($AL63="",$I63,IF($AJ63&gt;0,$I63+($AL63+1)*$AJ63,IF($AK63&gt;0,EDATE($I63,($AL63+1)*$AK63),$I63))))</f>
      </c>
      <c r="AY63" s="233">
        <f>IF(OR($A63="",$B63&lt;&gt;"Đột xuất"),0,IF(N($K63)&gt;0,IF(MOD($K63,1)=0,$K63+1-1/1440,$K63),IF(N($J63)=0,0,$J63+IF(N($AU63)&gt;0,$AU63,IFERROR(INDEX(DM_SLA_Gio,MATCH($L63,DM_SLA_Cap,0)),168))/24)))</f>
      </c>
      <c r="AZ63" s="225">
        <f>IF(OR($A63="",TRIM($N63)="",COUNTIF('Phản ánh'!$K$6:$K$505,$N63)&gt;0,COUNTIF($N$6:$N63,$N63)&gt;1),0,1)</f>
      </c>
      <c r="BA63" s="225">
        <f>IF($AZ63=1,SUM($AZ$6:$AZ63),"")</f>
      </c>
      <c r="BB63" s="225">
        <f>IF(OR($AO63=0,N($AW63)=0),0,IF(TDBC&lt;=$AW63,0,MAX(1,MIN(4,IF((TDBC-$AW63)*24&lt;24,1,IF((TDBC-$AW63)*24&lt;72,2,IF((TDBC-$AW63)*24&lt;168,3,4)))+IF($B63="Đột xuất",IFERROR(INDEX({2,1,0,-1},MATCH($L63,{"Khẩn cấp","Cao","Trung bình","Thấp"},0)),0),IF($D63="PCCC và an ninh",1,0))))))</f>
      </c>
    </row>
    <row r="64">
      <c r="A64" s="216"/>
      <c r="B64" s="216"/>
      <c r="C64" s="218"/>
      <c r="D64" s="218"/>
      <c r="E64" s="218"/>
      <c r="F64" s="216"/>
      <c r="G64" s="218"/>
      <c r="H64" s="218"/>
      <c r="I64" s="231"/>
      <c r="J64" s="217"/>
      <c r="K64" s="217"/>
      <c r="L64" s="216"/>
      <c r="M64" s="216"/>
      <c r="N64" s="218"/>
      <c r="O64" s="218"/>
      <c r="P64" s="218"/>
      <c r="Q64" s="218"/>
      <c r="R64" s="219"/>
      <c r="S64" s="216"/>
      <c r="T64" s="232"/>
      <c r="U64" s="232"/>
      <c r="V64" s="218"/>
      <c r="W64" s="218"/>
      <c r="X64" s="220">
        <f>IF($A64="","",IF(OR($B64="Định kỳ",$AA64="Hoàn thành"),MAX(_xlfn.MAXIFS('Nhật ký tiến độ'!$B$6:$B$3005,'Nhật ký tiến độ'!$C$6:$C$3005,$A64,'Nhật ký tiến độ'!$E$6:$E$3005,"Hoàn thành kỳ"),_xlfn.MAXIFS('Nhật ký tiến độ'!$B$6:$B$3005,'Nhật ký tiến độ'!$C$6:$C$3005,$A64,'Nhật ký tiến độ'!$E$6:$E$3005,"Hoàn thành")),0))</f>
      </c>
      <c r="Y64" s="220">
        <f>IF($A64="","",IF($B64="Đột xuất",IF($AY64=0,"",$AY64),IF($AX64=0,"",$AX64)))</f>
      </c>
      <c r="Z64" s="223">
        <f>IF(OR($AO64=0,$AW64=0),"",IF(TDBC&gt;$AW64,"Quá "&amp;IF($B64="Định kỳ",(NgayBC-$AP64)&amp;" ngày",IF(((TDBC-$AW64)*24)&lt;1,MAX(1,ROUND(((TDBC-$AW64)*24)*60,0))&amp;" phút",IF(ROUND(((TDBC-$AW64)*24),0)&lt;24,ROUND(((TDBC-$AW64)*24),0)&amp;" giờ",INT(ROUND(((TDBC-$AW64)*24),0)/24)&amp;" ngày"&amp;IF(MOD(ROUND(((TDBC-$AW64)*24),0),24)&gt;0," "&amp;MOD(ROUND(((TDBC-$AW64)*24),0),24)&amp;" giờ","")))),IF($B64="Định kỳ",IF($AP64=NgayBC,"Hôm nay","Còn "&amp;($AP64-NgayBC)&amp;" ngày"),"Còn "&amp;IF((($AW64-TDBC)*24)&lt;1,MAX(1,ROUND((($AW64-TDBC)*24)*60,0))&amp;" phút",IF(ROUND((($AW64-TDBC)*24),0)&lt;24,ROUND((($AW64-TDBC)*24),0)&amp;" giờ",INT(ROUND((($AW64-TDBC)*24),0)/24)&amp;" ngày"&amp;IF(MOD(ROUND((($AW64-TDBC)*24),0),24)&gt;0," "&amp;MOD(ROUND((($AW64-TDBC)*24),0),24)&amp;" giờ",""))))))</f>
      </c>
      <c r="AA64" s="221">
        <f>IF($A64="","",IF(N($AM64)=0,"Chưa bắt đầu",IF(OR($AN64="Hoàn thành kỳ",$AN64="Hoàn thành"),IF($B64="Định kỳ","Chưa bắt đầu","Hoàn thành"),$AN64)))</f>
      </c>
      <c r="AB64" s="222">
        <f>IF($A64="","",IF($AA64="Hoàn thành",1,IF(OR(N($AM64)=0,$AN64="Hoàn thành kỳ",$AN64="Hoàn thành"),0,N(INDEX('Nhật ký tiến độ'!$D:$D,$AM64)))))</f>
      </c>
      <c r="AC64" s="222">
        <f>IF(OR($A64="",$B64&lt;&gt;"Đột xuất",$AA64="Hoàn thành",N($J64)=0,$AW64=0),"",IF(TDBC&lt;=$J64,0,IF(TDBC&gt;=$AW64,1,(TDBC-$J64)/($AW64-$J64))))</f>
      </c>
      <c r="AD64" s="223">
        <f>IF($A64="","",IF($AA64="Hoàn thành","Hoàn thành",IF($AW64=0,"Chưa đặt hạn",IF(TDBC&gt;$AW64,"Quá hạn",IF(AND($B64="Đột xuất",ROUND((N($AC64)-$AB64)*100,0)&gt;=20),"Chậm tiến độ",IF($AP64=NgayBC,"Đến hạn hôm nay",IF($B64="Đột xuất",IF($AW64-TDBC&lt;=1,"Sắp đến hạn","Đúng tiến độ"),IF($AP64-NgayBC&lt;=3,"Sắp đến hạn","Theo lịch"))))))))</f>
      </c>
      <c r="AE64" s="223">
        <f>IF($AV64="","",IF($B64="Định kỳ","Bình quân "&amp;IF($AV64&lt;1,MAX(1,ROUND($AV64*60,0))&amp;" phút",IF(ROUND($AV64,0)&lt;24,ROUND($AV64,0)&amp;" giờ",INT(ROUND($AV64,0)/24)&amp;" ngày"&amp;IF(MOD(ROUND($AV64,0),24)&gt;0," "&amp;MOD(ROUND($AV64,0),24)&amp;" giờ","")))&amp;" mỗi kỳ",IF($AV64&lt;1,MAX(1,ROUND($AV64*60,0))&amp;" phút",IF(ROUND($AV64,0)&lt;24,ROUND($AV64,0)&amp;" giờ",INT(ROUND($AV64,0)/24)&amp;" ngày"&amp;IF(MOD(ROUND($AV64,0),24)&gt;0," "&amp;MOD(ROUND($AV64,0),24)&amp;" giờ","")))))</f>
      </c>
      <c r="AF64" s="223">
        <f>IF(OR($A64="",N($AU64)=0),"",IF($AV64&lt;&gt;"",IF($AV64&lt;=$AU64,"Trong ước tính","Vượt "&amp;IF(($AV64-$AU64)&lt;1,MAX(1,ROUND(($AV64-$AU64)*60,0))&amp;" phút",IF(ROUND(($AV64-$AU64),0)&lt;24,ROUND(($AV64-$AU64),0)&amp;" giờ",INT(ROUND(($AV64-$AU64),0)/24)&amp;" ngày"&amp;IF(MOD(ROUND(($AV64-$AU64),0),24)&gt;0," "&amp;MOD(ROUND(($AV64-$AU64),0),24)&amp;" giờ","")))),IF(OR($B64&lt;&gt;"Đột xuất",$AA64="Hoàn thành",N($J64)=0),"",IF((TDBC-$J64)*24&gt;$AU64,"Đã vượt ước tính","Đã dùng "&amp;TEXT((TDBC-$J64)*24/$AU64,"0%")))))</f>
      </c>
      <c r="AG64" s="223">
        <f>IF(N($BB64)=0,"",CHOOSE($BB64,"Nhắc nhở","Cảnh báo","Báo động","Báo động đỏ"))</f>
      </c>
      <c r="AH64" s="223">
        <f>IF(OR($B64&lt;&gt;"Đột xuất",$AA64&lt;&gt;"Hoàn thành",N($X64)=0,$AW64=0),"",IF($X64&lt;=$AW64,"Đúng hạn","Trễ hạn"))</f>
      </c>
      <c r="AI64" s="220">
        <f>IF($A64="","",_xlfn.MAXIFS('Nhật ký tiến độ'!$B$6:$B$3005,'Nhật ký tiến độ'!$C$6:$C$3005,$A64))</f>
      </c>
      <c r="AJ64" s="225">
        <f>IF(OR($A64="",$B64&lt;&gt;"Định kỳ"),0,IFERROR(INDEX(DM_TanSuatNgay,MATCH($H64,DM_TanSuat,0)),0))</f>
      </c>
      <c r="AK64" s="225">
        <f>IF(OR($A64="",$B64&lt;&gt;"Định kỳ"),0,IFERROR(INDEX(DM_TanSuatThang,MATCH($H64,DM_TanSuat,0)),0))</f>
      </c>
      <c r="AL64" s="225">
        <f>IF(OR($A64="",$B64&lt;&gt;"Định kỳ",N($X64)=0,N($I64)=0),"",IF(INT($X64)&lt;$I64,0,IF($AJ64&gt;0,ROUND((INT($X64)-$I64)/$AJ64,0),IF($AK64&gt;0,ROUND((DATEDIF($I64,INT($X64),"m")+(INT($X64)-EDATE($I64,DATEDIF($I64,INT($X64),"m")))/(EDATE($I64,DATEDIF($I64,INT($X64),"m")+1)-EDATE($I64,DATEDIF($I64,INT($X64),"m"))))/$AK64,0),0))))</f>
      </c>
      <c r="AM64" s="225">
        <f>IF($A64="","",IF(COUNTIF('Nhật ký tiến độ'!$C$6:$C$3005,$A64)=0,0,_xlfn.MAXIFS('Nhật ký tiến độ'!$N$6:$N$3005,'Nhật ký tiến độ'!$C$6:$C$3005,$A64,'Nhật ký tiến độ'!$B$6:$B$3005,_xlfn.MAXIFS('Nhật ký tiến độ'!$B$6:$B$3005,'Nhật ký tiến độ'!$C$6:$C$3005,$A64))))</f>
      </c>
      <c r="AN64" s="225">
        <f>IF($A64="","",IF(N($AM64)=0,"",INDEX('Nhật ký tiến độ'!$E:$E,$AM64)))</f>
      </c>
      <c r="AO64" s="225">
        <f>IF($A64="",0,IF($AA64="Hoàn thành",0,1))</f>
      </c>
      <c r="AP64" s="225">
        <f>IF($AO64=0,0,INT(N($AW64)))</f>
      </c>
      <c r="AQ64" s="225">
        <f>IF(AND($AO64=1,$AJ64&gt;1),$AJ64,0)</f>
      </c>
      <c r="AR64" s="225">
        <f>IF(AND($AO64=1,$AJ64=1),1,0)</f>
      </c>
      <c r="AS64" s="225">
        <f>IF(OR($AO64=0,AND($AR64=1,N($BB64)=0)),"",IF(N($BB64)&gt;0,5-$BB64,IF($AD64="Chậm tiến độ",6,IF($AD64="Đến hạn hôm nay",7,IF(AND($AP64&gt;0,$AP64-NgayBC&lt;=7),8,"")))))</f>
      </c>
      <c r="AT64" s="225">
        <f>IF($AS64="","",$AS64*100000+$AP64+ROW()/100000)</f>
      </c>
      <c r="AU64" s="224">
        <f>IF(OR($A64="",N($R64)&lt;=0),"",IF($S64="Ngày",$R64*24,$R64))</f>
      </c>
      <c r="AV64" s="224">
        <f>IF($A64="","",IF($B64="Đột xuất",IF(OR($AA64&lt;&gt;"Hoàn thành",N($X64)=0,N($J64)=0),"",IF($X64&lt;$J64,"",($X64-$J64)*24)),IFERROR(AVERAGEIFS('Nhật ký tiến độ'!$H$6:$H$3005,'Nhật ký tiến độ'!$C$6:$C$3005,$A64,'Nhật ký tiến độ'!$H$6:$H$3005,"&gt;0"),"")))</f>
      </c>
      <c r="AW64" s="233">
        <f>IF($A64="",0,IF($B64="Đột xuất",$AY64,IF($AX64=0,0,$AX64+1-1/1440)))</f>
      </c>
      <c r="AX64" s="234">
        <f>IF(OR($A64="",$B64&lt;&gt;"Định kỳ",N($I64)=0),0,IF($AL64="",$I64,IF($AJ64&gt;0,$I64+($AL64+1)*$AJ64,IF($AK64&gt;0,EDATE($I64,($AL64+1)*$AK64),$I64))))</f>
      </c>
      <c r="AY64" s="233">
        <f>IF(OR($A64="",$B64&lt;&gt;"Đột xuất"),0,IF(N($K64)&gt;0,IF(MOD($K64,1)=0,$K64+1-1/1440,$K64),IF(N($J64)=0,0,$J64+IF(N($AU64)&gt;0,$AU64,IFERROR(INDEX(DM_SLA_Gio,MATCH($L64,DM_SLA_Cap,0)),168))/24)))</f>
      </c>
      <c r="AZ64" s="225">
        <f>IF(OR($A64="",TRIM($N64)="",COUNTIF('Phản ánh'!$K$6:$K$505,$N64)&gt;0,COUNTIF($N$6:$N64,$N64)&gt;1),0,1)</f>
      </c>
      <c r="BA64" s="225">
        <f>IF($AZ64=1,SUM($AZ$6:$AZ64),"")</f>
      </c>
      <c r="BB64" s="225">
        <f>IF(OR($AO64=0,N($AW64)=0),0,IF(TDBC&lt;=$AW64,0,MAX(1,MIN(4,IF((TDBC-$AW64)*24&lt;24,1,IF((TDBC-$AW64)*24&lt;72,2,IF((TDBC-$AW64)*24&lt;168,3,4)))+IF($B64="Đột xuất",IFERROR(INDEX({2,1,0,-1},MATCH($L64,{"Khẩn cấp","Cao","Trung bình","Thấp"},0)),0),IF($D64="PCCC và an ninh",1,0))))))</f>
      </c>
    </row>
    <row r="65">
      <c r="A65" s="216"/>
      <c r="B65" s="216"/>
      <c r="C65" s="218"/>
      <c r="D65" s="218"/>
      <c r="E65" s="218"/>
      <c r="F65" s="216"/>
      <c r="G65" s="218"/>
      <c r="H65" s="218"/>
      <c r="I65" s="231"/>
      <c r="J65" s="217"/>
      <c r="K65" s="217"/>
      <c r="L65" s="216"/>
      <c r="M65" s="216"/>
      <c r="N65" s="218"/>
      <c r="O65" s="218"/>
      <c r="P65" s="218"/>
      <c r="Q65" s="218"/>
      <c r="R65" s="219"/>
      <c r="S65" s="216"/>
      <c r="T65" s="232"/>
      <c r="U65" s="232"/>
      <c r="V65" s="218"/>
      <c r="W65" s="218"/>
      <c r="X65" s="220">
        <f>IF($A65="","",IF(OR($B65="Định kỳ",$AA65="Hoàn thành"),MAX(_xlfn.MAXIFS('Nhật ký tiến độ'!$B$6:$B$3005,'Nhật ký tiến độ'!$C$6:$C$3005,$A65,'Nhật ký tiến độ'!$E$6:$E$3005,"Hoàn thành kỳ"),_xlfn.MAXIFS('Nhật ký tiến độ'!$B$6:$B$3005,'Nhật ký tiến độ'!$C$6:$C$3005,$A65,'Nhật ký tiến độ'!$E$6:$E$3005,"Hoàn thành")),0))</f>
      </c>
      <c r="Y65" s="220">
        <f>IF($A65="","",IF($B65="Đột xuất",IF($AY65=0,"",$AY65),IF($AX65=0,"",$AX65)))</f>
      </c>
      <c r="Z65" s="223">
        <f>IF(OR($AO65=0,$AW65=0),"",IF(TDBC&gt;$AW65,"Quá "&amp;IF($B65="Định kỳ",(NgayBC-$AP65)&amp;" ngày",IF(((TDBC-$AW65)*24)&lt;1,MAX(1,ROUND(((TDBC-$AW65)*24)*60,0))&amp;" phút",IF(ROUND(((TDBC-$AW65)*24),0)&lt;24,ROUND(((TDBC-$AW65)*24),0)&amp;" giờ",INT(ROUND(((TDBC-$AW65)*24),0)/24)&amp;" ngày"&amp;IF(MOD(ROUND(((TDBC-$AW65)*24),0),24)&gt;0," "&amp;MOD(ROUND(((TDBC-$AW65)*24),0),24)&amp;" giờ","")))),IF($B65="Định kỳ",IF($AP65=NgayBC,"Hôm nay","Còn "&amp;($AP65-NgayBC)&amp;" ngày"),"Còn "&amp;IF((($AW65-TDBC)*24)&lt;1,MAX(1,ROUND((($AW65-TDBC)*24)*60,0))&amp;" phút",IF(ROUND((($AW65-TDBC)*24),0)&lt;24,ROUND((($AW65-TDBC)*24),0)&amp;" giờ",INT(ROUND((($AW65-TDBC)*24),0)/24)&amp;" ngày"&amp;IF(MOD(ROUND((($AW65-TDBC)*24),0),24)&gt;0," "&amp;MOD(ROUND((($AW65-TDBC)*24),0),24)&amp;" giờ",""))))))</f>
      </c>
      <c r="AA65" s="221">
        <f>IF($A65="","",IF(N($AM65)=0,"Chưa bắt đầu",IF(OR($AN65="Hoàn thành kỳ",$AN65="Hoàn thành"),IF($B65="Định kỳ","Chưa bắt đầu","Hoàn thành"),$AN65)))</f>
      </c>
      <c r="AB65" s="222">
        <f>IF($A65="","",IF($AA65="Hoàn thành",1,IF(OR(N($AM65)=0,$AN65="Hoàn thành kỳ",$AN65="Hoàn thành"),0,N(INDEX('Nhật ký tiến độ'!$D:$D,$AM65)))))</f>
      </c>
      <c r="AC65" s="222">
        <f>IF(OR($A65="",$B65&lt;&gt;"Đột xuất",$AA65="Hoàn thành",N($J65)=0,$AW65=0),"",IF(TDBC&lt;=$J65,0,IF(TDBC&gt;=$AW65,1,(TDBC-$J65)/($AW65-$J65))))</f>
      </c>
      <c r="AD65" s="223">
        <f>IF($A65="","",IF($AA65="Hoàn thành","Hoàn thành",IF($AW65=0,"Chưa đặt hạn",IF(TDBC&gt;$AW65,"Quá hạn",IF(AND($B65="Đột xuất",ROUND((N($AC65)-$AB65)*100,0)&gt;=20),"Chậm tiến độ",IF($AP65=NgayBC,"Đến hạn hôm nay",IF($B65="Đột xuất",IF($AW65-TDBC&lt;=1,"Sắp đến hạn","Đúng tiến độ"),IF($AP65-NgayBC&lt;=3,"Sắp đến hạn","Theo lịch"))))))))</f>
      </c>
      <c r="AE65" s="223">
        <f>IF($AV65="","",IF($B65="Định kỳ","Bình quân "&amp;IF($AV65&lt;1,MAX(1,ROUND($AV65*60,0))&amp;" phút",IF(ROUND($AV65,0)&lt;24,ROUND($AV65,0)&amp;" giờ",INT(ROUND($AV65,0)/24)&amp;" ngày"&amp;IF(MOD(ROUND($AV65,0),24)&gt;0," "&amp;MOD(ROUND($AV65,0),24)&amp;" giờ","")))&amp;" mỗi kỳ",IF($AV65&lt;1,MAX(1,ROUND($AV65*60,0))&amp;" phút",IF(ROUND($AV65,0)&lt;24,ROUND($AV65,0)&amp;" giờ",INT(ROUND($AV65,0)/24)&amp;" ngày"&amp;IF(MOD(ROUND($AV65,0),24)&gt;0," "&amp;MOD(ROUND($AV65,0),24)&amp;" giờ","")))))</f>
      </c>
      <c r="AF65" s="223">
        <f>IF(OR($A65="",N($AU65)=0),"",IF($AV65&lt;&gt;"",IF($AV65&lt;=$AU65,"Trong ước tính","Vượt "&amp;IF(($AV65-$AU65)&lt;1,MAX(1,ROUND(($AV65-$AU65)*60,0))&amp;" phút",IF(ROUND(($AV65-$AU65),0)&lt;24,ROUND(($AV65-$AU65),0)&amp;" giờ",INT(ROUND(($AV65-$AU65),0)/24)&amp;" ngày"&amp;IF(MOD(ROUND(($AV65-$AU65),0),24)&gt;0," "&amp;MOD(ROUND(($AV65-$AU65),0),24)&amp;" giờ","")))),IF(OR($B65&lt;&gt;"Đột xuất",$AA65="Hoàn thành",N($J65)=0),"",IF((TDBC-$J65)*24&gt;$AU65,"Đã vượt ước tính","Đã dùng "&amp;TEXT((TDBC-$J65)*24/$AU65,"0%")))))</f>
      </c>
      <c r="AG65" s="223">
        <f>IF(N($BB65)=0,"",CHOOSE($BB65,"Nhắc nhở","Cảnh báo","Báo động","Báo động đỏ"))</f>
      </c>
      <c r="AH65" s="223">
        <f>IF(OR($B65&lt;&gt;"Đột xuất",$AA65&lt;&gt;"Hoàn thành",N($X65)=0,$AW65=0),"",IF($X65&lt;=$AW65,"Đúng hạn","Trễ hạn"))</f>
      </c>
      <c r="AI65" s="220">
        <f>IF($A65="","",_xlfn.MAXIFS('Nhật ký tiến độ'!$B$6:$B$3005,'Nhật ký tiến độ'!$C$6:$C$3005,$A65))</f>
      </c>
      <c r="AJ65" s="225">
        <f>IF(OR($A65="",$B65&lt;&gt;"Định kỳ"),0,IFERROR(INDEX(DM_TanSuatNgay,MATCH($H65,DM_TanSuat,0)),0))</f>
      </c>
      <c r="AK65" s="225">
        <f>IF(OR($A65="",$B65&lt;&gt;"Định kỳ"),0,IFERROR(INDEX(DM_TanSuatThang,MATCH($H65,DM_TanSuat,0)),0))</f>
      </c>
      <c r="AL65" s="225">
        <f>IF(OR($A65="",$B65&lt;&gt;"Định kỳ",N($X65)=0,N($I65)=0),"",IF(INT($X65)&lt;$I65,0,IF($AJ65&gt;0,ROUND((INT($X65)-$I65)/$AJ65,0),IF($AK65&gt;0,ROUND((DATEDIF($I65,INT($X65),"m")+(INT($X65)-EDATE($I65,DATEDIF($I65,INT($X65),"m")))/(EDATE($I65,DATEDIF($I65,INT($X65),"m")+1)-EDATE($I65,DATEDIF($I65,INT($X65),"m"))))/$AK65,0),0))))</f>
      </c>
      <c r="AM65" s="225">
        <f>IF($A65="","",IF(COUNTIF('Nhật ký tiến độ'!$C$6:$C$3005,$A65)=0,0,_xlfn.MAXIFS('Nhật ký tiến độ'!$N$6:$N$3005,'Nhật ký tiến độ'!$C$6:$C$3005,$A65,'Nhật ký tiến độ'!$B$6:$B$3005,_xlfn.MAXIFS('Nhật ký tiến độ'!$B$6:$B$3005,'Nhật ký tiến độ'!$C$6:$C$3005,$A65))))</f>
      </c>
      <c r="AN65" s="225">
        <f>IF($A65="","",IF(N($AM65)=0,"",INDEX('Nhật ký tiến độ'!$E:$E,$AM65)))</f>
      </c>
      <c r="AO65" s="225">
        <f>IF($A65="",0,IF($AA65="Hoàn thành",0,1))</f>
      </c>
      <c r="AP65" s="225">
        <f>IF($AO65=0,0,INT(N($AW65)))</f>
      </c>
      <c r="AQ65" s="225">
        <f>IF(AND($AO65=1,$AJ65&gt;1),$AJ65,0)</f>
      </c>
      <c r="AR65" s="225">
        <f>IF(AND($AO65=1,$AJ65=1),1,0)</f>
      </c>
      <c r="AS65" s="225">
        <f>IF(OR($AO65=0,AND($AR65=1,N($BB65)=0)),"",IF(N($BB65)&gt;0,5-$BB65,IF($AD65="Chậm tiến độ",6,IF($AD65="Đến hạn hôm nay",7,IF(AND($AP65&gt;0,$AP65-NgayBC&lt;=7),8,"")))))</f>
      </c>
      <c r="AT65" s="225">
        <f>IF($AS65="","",$AS65*100000+$AP65+ROW()/100000)</f>
      </c>
      <c r="AU65" s="224">
        <f>IF(OR($A65="",N($R65)&lt;=0),"",IF($S65="Ngày",$R65*24,$R65))</f>
      </c>
      <c r="AV65" s="224">
        <f>IF($A65="","",IF($B65="Đột xuất",IF(OR($AA65&lt;&gt;"Hoàn thành",N($X65)=0,N($J65)=0),"",IF($X65&lt;$J65,"",($X65-$J65)*24)),IFERROR(AVERAGEIFS('Nhật ký tiến độ'!$H$6:$H$3005,'Nhật ký tiến độ'!$C$6:$C$3005,$A65,'Nhật ký tiến độ'!$H$6:$H$3005,"&gt;0"),"")))</f>
      </c>
      <c r="AW65" s="233">
        <f>IF($A65="",0,IF($B65="Đột xuất",$AY65,IF($AX65=0,0,$AX65+1-1/1440)))</f>
      </c>
      <c r="AX65" s="234">
        <f>IF(OR($A65="",$B65&lt;&gt;"Định kỳ",N($I65)=0),0,IF($AL65="",$I65,IF($AJ65&gt;0,$I65+($AL65+1)*$AJ65,IF($AK65&gt;0,EDATE($I65,($AL65+1)*$AK65),$I65))))</f>
      </c>
      <c r="AY65" s="233">
        <f>IF(OR($A65="",$B65&lt;&gt;"Đột xuất"),0,IF(N($K65)&gt;0,IF(MOD($K65,1)=0,$K65+1-1/1440,$K65),IF(N($J65)=0,0,$J65+IF(N($AU65)&gt;0,$AU65,IFERROR(INDEX(DM_SLA_Gio,MATCH($L65,DM_SLA_Cap,0)),168))/24)))</f>
      </c>
      <c r="AZ65" s="225">
        <f>IF(OR($A65="",TRIM($N65)="",COUNTIF('Phản ánh'!$K$6:$K$505,$N65)&gt;0,COUNTIF($N$6:$N65,$N65)&gt;1),0,1)</f>
      </c>
      <c r="BA65" s="225">
        <f>IF($AZ65=1,SUM($AZ$6:$AZ65),"")</f>
      </c>
      <c r="BB65" s="225">
        <f>IF(OR($AO65=0,N($AW65)=0),0,IF(TDBC&lt;=$AW65,0,MAX(1,MIN(4,IF((TDBC-$AW65)*24&lt;24,1,IF((TDBC-$AW65)*24&lt;72,2,IF((TDBC-$AW65)*24&lt;168,3,4)))+IF($B65="Đột xuất",IFERROR(INDEX({2,1,0,-1},MATCH($L65,{"Khẩn cấp","Cao","Trung bình","Thấp"},0)),0),IF($D65="PCCC và an ninh",1,0))))))</f>
      </c>
    </row>
    <row r="66">
      <c r="A66" s="216"/>
      <c r="B66" s="216"/>
      <c r="C66" s="218"/>
      <c r="D66" s="218"/>
      <c r="E66" s="218"/>
      <c r="F66" s="216"/>
      <c r="G66" s="218"/>
      <c r="H66" s="218"/>
      <c r="I66" s="231"/>
      <c r="J66" s="217"/>
      <c r="K66" s="217"/>
      <c r="L66" s="216"/>
      <c r="M66" s="216"/>
      <c r="N66" s="218"/>
      <c r="O66" s="218"/>
      <c r="P66" s="218"/>
      <c r="Q66" s="218"/>
      <c r="R66" s="219"/>
      <c r="S66" s="216"/>
      <c r="T66" s="232"/>
      <c r="U66" s="232"/>
      <c r="V66" s="218"/>
      <c r="W66" s="218"/>
      <c r="X66" s="220">
        <f>IF($A66="","",IF(OR($B66="Định kỳ",$AA66="Hoàn thành"),MAX(_xlfn.MAXIFS('Nhật ký tiến độ'!$B$6:$B$3005,'Nhật ký tiến độ'!$C$6:$C$3005,$A66,'Nhật ký tiến độ'!$E$6:$E$3005,"Hoàn thành kỳ"),_xlfn.MAXIFS('Nhật ký tiến độ'!$B$6:$B$3005,'Nhật ký tiến độ'!$C$6:$C$3005,$A66,'Nhật ký tiến độ'!$E$6:$E$3005,"Hoàn thành")),0))</f>
      </c>
      <c r="Y66" s="220">
        <f>IF($A66="","",IF($B66="Đột xuất",IF($AY66=0,"",$AY66),IF($AX66=0,"",$AX66)))</f>
      </c>
      <c r="Z66" s="223">
        <f>IF(OR($AO66=0,$AW66=0),"",IF(TDBC&gt;$AW66,"Quá "&amp;IF($B66="Định kỳ",(NgayBC-$AP66)&amp;" ngày",IF(((TDBC-$AW66)*24)&lt;1,MAX(1,ROUND(((TDBC-$AW66)*24)*60,0))&amp;" phút",IF(ROUND(((TDBC-$AW66)*24),0)&lt;24,ROUND(((TDBC-$AW66)*24),0)&amp;" giờ",INT(ROUND(((TDBC-$AW66)*24),0)/24)&amp;" ngày"&amp;IF(MOD(ROUND(((TDBC-$AW66)*24),0),24)&gt;0," "&amp;MOD(ROUND(((TDBC-$AW66)*24),0),24)&amp;" giờ","")))),IF($B66="Định kỳ",IF($AP66=NgayBC,"Hôm nay","Còn "&amp;($AP66-NgayBC)&amp;" ngày"),"Còn "&amp;IF((($AW66-TDBC)*24)&lt;1,MAX(1,ROUND((($AW66-TDBC)*24)*60,0))&amp;" phút",IF(ROUND((($AW66-TDBC)*24),0)&lt;24,ROUND((($AW66-TDBC)*24),0)&amp;" giờ",INT(ROUND((($AW66-TDBC)*24),0)/24)&amp;" ngày"&amp;IF(MOD(ROUND((($AW66-TDBC)*24),0),24)&gt;0," "&amp;MOD(ROUND((($AW66-TDBC)*24),0),24)&amp;" giờ",""))))))</f>
      </c>
      <c r="AA66" s="221">
        <f>IF($A66="","",IF(N($AM66)=0,"Chưa bắt đầu",IF(OR($AN66="Hoàn thành kỳ",$AN66="Hoàn thành"),IF($B66="Định kỳ","Chưa bắt đầu","Hoàn thành"),$AN66)))</f>
      </c>
      <c r="AB66" s="222">
        <f>IF($A66="","",IF($AA66="Hoàn thành",1,IF(OR(N($AM66)=0,$AN66="Hoàn thành kỳ",$AN66="Hoàn thành"),0,N(INDEX('Nhật ký tiến độ'!$D:$D,$AM66)))))</f>
      </c>
      <c r="AC66" s="222">
        <f>IF(OR($A66="",$B66&lt;&gt;"Đột xuất",$AA66="Hoàn thành",N($J66)=0,$AW66=0),"",IF(TDBC&lt;=$J66,0,IF(TDBC&gt;=$AW66,1,(TDBC-$J66)/($AW66-$J66))))</f>
      </c>
      <c r="AD66" s="223">
        <f>IF($A66="","",IF($AA66="Hoàn thành","Hoàn thành",IF($AW66=0,"Chưa đặt hạn",IF(TDBC&gt;$AW66,"Quá hạn",IF(AND($B66="Đột xuất",ROUND((N($AC66)-$AB66)*100,0)&gt;=20),"Chậm tiến độ",IF($AP66=NgayBC,"Đến hạn hôm nay",IF($B66="Đột xuất",IF($AW66-TDBC&lt;=1,"Sắp đến hạn","Đúng tiến độ"),IF($AP66-NgayBC&lt;=3,"Sắp đến hạn","Theo lịch"))))))))</f>
      </c>
      <c r="AE66" s="223">
        <f>IF($AV66="","",IF($B66="Định kỳ","Bình quân "&amp;IF($AV66&lt;1,MAX(1,ROUND($AV66*60,0))&amp;" phút",IF(ROUND($AV66,0)&lt;24,ROUND($AV66,0)&amp;" giờ",INT(ROUND($AV66,0)/24)&amp;" ngày"&amp;IF(MOD(ROUND($AV66,0),24)&gt;0," "&amp;MOD(ROUND($AV66,0),24)&amp;" giờ","")))&amp;" mỗi kỳ",IF($AV66&lt;1,MAX(1,ROUND($AV66*60,0))&amp;" phút",IF(ROUND($AV66,0)&lt;24,ROUND($AV66,0)&amp;" giờ",INT(ROUND($AV66,0)/24)&amp;" ngày"&amp;IF(MOD(ROUND($AV66,0),24)&gt;0," "&amp;MOD(ROUND($AV66,0),24)&amp;" giờ","")))))</f>
      </c>
      <c r="AF66" s="223">
        <f>IF(OR($A66="",N($AU66)=0),"",IF($AV66&lt;&gt;"",IF($AV66&lt;=$AU66,"Trong ước tính","Vượt "&amp;IF(($AV66-$AU66)&lt;1,MAX(1,ROUND(($AV66-$AU66)*60,0))&amp;" phút",IF(ROUND(($AV66-$AU66),0)&lt;24,ROUND(($AV66-$AU66),0)&amp;" giờ",INT(ROUND(($AV66-$AU66),0)/24)&amp;" ngày"&amp;IF(MOD(ROUND(($AV66-$AU66),0),24)&gt;0," "&amp;MOD(ROUND(($AV66-$AU66),0),24)&amp;" giờ","")))),IF(OR($B66&lt;&gt;"Đột xuất",$AA66="Hoàn thành",N($J66)=0),"",IF((TDBC-$J66)*24&gt;$AU66,"Đã vượt ước tính","Đã dùng "&amp;TEXT((TDBC-$J66)*24/$AU66,"0%")))))</f>
      </c>
      <c r="AG66" s="223">
        <f>IF(N($BB66)=0,"",CHOOSE($BB66,"Nhắc nhở","Cảnh báo","Báo động","Báo động đỏ"))</f>
      </c>
      <c r="AH66" s="223">
        <f>IF(OR($B66&lt;&gt;"Đột xuất",$AA66&lt;&gt;"Hoàn thành",N($X66)=0,$AW66=0),"",IF($X66&lt;=$AW66,"Đúng hạn","Trễ hạn"))</f>
      </c>
      <c r="AI66" s="220">
        <f>IF($A66="","",_xlfn.MAXIFS('Nhật ký tiến độ'!$B$6:$B$3005,'Nhật ký tiến độ'!$C$6:$C$3005,$A66))</f>
      </c>
      <c r="AJ66" s="225">
        <f>IF(OR($A66="",$B66&lt;&gt;"Định kỳ"),0,IFERROR(INDEX(DM_TanSuatNgay,MATCH($H66,DM_TanSuat,0)),0))</f>
      </c>
      <c r="AK66" s="225">
        <f>IF(OR($A66="",$B66&lt;&gt;"Định kỳ"),0,IFERROR(INDEX(DM_TanSuatThang,MATCH($H66,DM_TanSuat,0)),0))</f>
      </c>
      <c r="AL66" s="225">
        <f>IF(OR($A66="",$B66&lt;&gt;"Định kỳ",N($X66)=0,N($I66)=0),"",IF(INT($X66)&lt;$I66,0,IF($AJ66&gt;0,ROUND((INT($X66)-$I66)/$AJ66,0),IF($AK66&gt;0,ROUND((DATEDIF($I66,INT($X66),"m")+(INT($X66)-EDATE($I66,DATEDIF($I66,INT($X66),"m")))/(EDATE($I66,DATEDIF($I66,INT($X66),"m")+1)-EDATE($I66,DATEDIF($I66,INT($X66),"m"))))/$AK66,0),0))))</f>
      </c>
      <c r="AM66" s="225">
        <f>IF($A66="","",IF(COUNTIF('Nhật ký tiến độ'!$C$6:$C$3005,$A66)=0,0,_xlfn.MAXIFS('Nhật ký tiến độ'!$N$6:$N$3005,'Nhật ký tiến độ'!$C$6:$C$3005,$A66,'Nhật ký tiến độ'!$B$6:$B$3005,_xlfn.MAXIFS('Nhật ký tiến độ'!$B$6:$B$3005,'Nhật ký tiến độ'!$C$6:$C$3005,$A66))))</f>
      </c>
      <c r="AN66" s="225">
        <f>IF($A66="","",IF(N($AM66)=0,"",INDEX('Nhật ký tiến độ'!$E:$E,$AM66)))</f>
      </c>
      <c r="AO66" s="225">
        <f>IF($A66="",0,IF($AA66="Hoàn thành",0,1))</f>
      </c>
      <c r="AP66" s="225">
        <f>IF($AO66=0,0,INT(N($AW66)))</f>
      </c>
      <c r="AQ66" s="225">
        <f>IF(AND($AO66=1,$AJ66&gt;1),$AJ66,0)</f>
      </c>
      <c r="AR66" s="225">
        <f>IF(AND($AO66=1,$AJ66=1),1,0)</f>
      </c>
      <c r="AS66" s="225">
        <f>IF(OR($AO66=0,AND($AR66=1,N($BB66)=0)),"",IF(N($BB66)&gt;0,5-$BB66,IF($AD66="Chậm tiến độ",6,IF($AD66="Đến hạn hôm nay",7,IF(AND($AP66&gt;0,$AP66-NgayBC&lt;=7),8,"")))))</f>
      </c>
      <c r="AT66" s="225">
        <f>IF($AS66="","",$AS66*100000+$AP66+ROW()/100000)</f>
      </c>
      <c r="AU66" s="224">
        <f>IF(OR($A66="",N($R66)&lt;=0),"",IF($S66="Ngày",$R66*24,$R66))</f>
      </c>
      <c r="AV66" s="224">
        <f>IF($A66="","",IF($B66="Đột xuất",IF(OR($AA66&lt;&gt;"Hoàn thành",N($X66)=0,N($J66)=0),"",IF($X66&lt;$J66,"",($X66-$J66)*24)),IFERROR(AVERAGEIFS('Nhật ký tiến độ'!$H$6:$H$3005,'Nhật ký tiến độ'!$C$6:$C$3005,$A66,'Nhật ký tiến độ'!$H$6:$H$3005,"&gt;0"),"")))</f>
      </c>
      <c r="AW66" s="233">
        <f>IF($A66="",0,IF($B66="Đột xuất",$AY66,IF($AX66=0,0,$AX66+1-1/1440)))</f>
      </c>
      <c r="AX66" s="234">
        <f>IF(OR($A66="",$B66&lt;&gt;"Định kỳ",N($I66)=0),0,IF($AL66="",$I66,IF($AJ66&gt;0,$I66+($AL66+1)*$AJ66,IF($AK66&gt;0,EDATE($I66,($AL66+1)*$AK66),$I66))))</f>
      </c>
      <c r="AY66" s="233">
        <f>IF(OR($A66="",$B66&lt;&gt;"Đột xuất"),0,IF(N($K66)&gt;0,IF(MOD($K66,1)=0,$K66+1-1/1440,$K66),IF(N($J66)=0,0,$J66+IF(N($AU66)&gt;0,$AU66,IFERROR(INDEX(DM_SLA_Gio,MATCH($L66,DM_SLA_Cap,0)),168))/24)))</f>
      </c>
      <c r="AZ66" s="225">
        <f>IF(OR($A66="",TRIM($N66)="",COUNTIF('Phản ánh'!$K$6:$K$505,$N66)&gt;0,COUNTIF($N$6:$N66,$N66)&gt;1),0,1)</f>
      </c>
      <c r="BA66" s="225">
        <f>IF($AZ66=1,SUM($AZ$6:$AZ66),"")</f>
      </c>
      <c r="BB66" s="225">
        <f>IF(OR($AO66=0,N($AW66)=0),0,IF(TDBC&lt;=$AW66,0,MAX(1,MIN(4,IF((TDBC-$AW66)*24&lt;24,1,IF((TDBC-$AW66)*24&lt;72,2,IF((TDBC-$AW66)*24&lt;168,3,4)))+IF($B66="Đột xuất",IFERROR(INDEX({2,1,0,-1},MATCH($L66,{"Khẩn cấp","Cao","Trung bình","Thấp"},0)),0),IF($D66="PCCC và an ninh",1,0))))))</f>
      </c>
    </row>
    <row r="67">
      <c r="A67" s="216"/>
      <c r="B67" s="216"/>
      <c r="C67" s="218"/>
      <c r="D67" s="218"/>
      <c r="E67" s="218"/>
      <c r="F67" s="216"/>
      <c r="G67" s="218"/>
      <c r="H67" s="218"/>
      <c r="I67" s="231"/>
      <c r="J67" s="217"/>
      <c r="K67" s="217"/>
      <c r="L67" s="216"/>
      <c r="M67" s="216"/>
      <c r="N67" s="218"/>
      <c r="O67" s="218"/>
      <c r="P67" s="218"/>
      <c r="Q67" s="218"/>
      <c r="R67" s="219"/>
      <c r="S67" s="216"/>
      <c r="T67" s="232"/>
      <c r="U67" s="232"/>
      <c r="V67" s="218"/>
      <c r="W67" s="218"/>
      <c r="X67" s="220">
        <f>IF($A67="","",IF(OR($B67="Định kỳ",$AA67="Hoàn thành"),MAX(_xlfn.MAXIFS('Nhật ký tiến độ'!$B$6:$B$3005,'Nhật ký tiến độ'!$C$6:$C$3005,$A67,'Nhật ký tiến độ'!$E$6:$E$3005,"Hoàn thành kỳ"),_xlfn.MAXIFS('Nhật ký tiến độ'!$B$6:$B$3005,'Nhật ký tiến độ'!$C$6:$C$3005,$A67,'Nhật ký tiến độ'!$E$6:$E$3005,"Hoàn thành")),0))</f>
      </c>
      <c r="Y67" s="220">
        <f>IF($A67="","",IF($B67="Đột xuất",IF($AY67=0,"",$AY67),IF($AX67=0,"",$AX67)))</f>
      </c>
      <c r="Z67" s="223">
        <f>IF(OR($AO67=0,$AW67=0),"",IF(TDBC&gt;$AW67,"Quá "&amp;IF($B67="Định kỳ",(NgayBC-$AP67)&amp;" ngày",IF(((TDBC-$AW67)*24)&lt;1,MAX(1,ROUND(((TDBC-$AW67)*24)*60,0))&amp;" phút",IF(ROUND(((TDBC-$AW67)*24),0)&lt;24,ROUND(((TDBC-$AW67)*24),0)&amp;" giờ",INT(ROUND(((TDBC-$AW67)*24),0)/24)&amp;" ngày"&amp;IF(MOD(ROUND(((TDBC-$AW67)*24),0),24)&gt;0," "&amp;MOD(ROUND(((TDBC-$AW67)*24),0),24)&amp;" giờ","")))),IF($B67="Định kỳ",IF($AP67=NgayBC,"Hôm nay","Còn "&amp;($AP67-NgayBC)&amp;" ngày"),"Còn "&amp;IF((($AW67-TDBC)*24)&lt;1,MAX(1,ROUND((($AW67-TDBC)*24)*60,0))&amp;" phút",IF(ROUND((($AW67-TDBC)*24),0)&lt;24,ROUND((($AW67-TDBC)*24),0)&amp;" giờ",INT(ROUND((($AW67-TDBC)*24),0)/24)&amp;" ngày"&amp;IF(MOD(ROUND((($AW67-TDBC)*24),0),24)&gt;0," "&amp;MOD(ROUND((($AW67-TDBC)*24),0),24)&amp;" giờ",""))))))</f>
      </c>
      <c r="AA67" s="221">
        <f>IF($A67="","",IF(N($AM67)=0,"Chưa bắt đầu",IF(OR($AN67="Hoàn thành kỳ",$AN67="Hoàn thành"),IF($B67="Định kỳ","Chưa bắt đầu","Hoàn thành"),$AN67)))</f>
      </c>
      <c r="AB67" s="222">
        <f>IF($A67="","",IF($AA67="Hoàn thành",1,IF(OR(N($AM67)=0,$AN67="Hoàn thành kỳ",$AN67="Hoàn thành"),0,N(INDEX('Nhật ký tiến độ'!$D:$D,$AM67)))))</f>
      </c>
      <c r="AC67" s="222">
        <f>IF(OR($A67="",$B67&lt;&gt;"Đột xuất",$AA67="Hoàn thành",N($J67)=0,$AW67=0),"",IF(TDBC&lt;=$J67,0,IF(TDBC&gt;=$AW67,1,(TDBC-$J67)/($AW67-$J67))))</f>
      </c>
      <c r="AD67" s="223">
        <f>IF($A67="","",IF($AA67="Hoàn thành","Hoàn thành",IF($AW67=0,"Chưa đặt hạn",IF(TDBC&gt;$AW67,"Quá hạn",IF(AND($B67="Đột xuất",ROUND((N($AC67)-$AB67)*100,0)&gt;=20),"Chậm tiến độ",IF($AP67=NgayBC,"Đến hạn hôm nay",IF($B67="Đột xuất",IF($AW67-TDBC&lt;=1,"Sắp đến hạn","Đúng tiến độ"),IF($AP67-NgayBC&lt;=3,"Sắp đến hạn","Theo lịch"))))))))</f>
      </c>
      <c r="AE67" s="223">
        <f>IF($AV67="","",IF($B67="Định kỳ","Bình quân "&amp;IF($AV67&lt;1,MAX(1,ROUND($AV67*60,0))&amp;" phút",IF(ROUND($AV67,0)&lt;24,ROUND($AV67,0)&amp;" giờ",INT(ROUND($AV67,0)/24)&amp;" ngày"&amp;IF(MOD(ROUND($AV67,0),24)&gt;0," "&amp;MOD(ROUND($AV67,0),24)&amp;" giờ","")))&amp;" mỗi kỳ",IF($AV67&lt;1,MAX(1,ROUND($AV67*60,0))&amp;" phút",IF(ROUND($AV67,0)&lt;24,ROUND($AV67,0)&amp;" giờ",INT(ROUND($AV67,0)/24)&amp;" ngày"&amp;IF(MOD(ROUND($AV67,0),24)&gt;0," "&amp;MOD(ROUND($AV67,0),24)&amp;" giờ","")))))</f>
      </c>
      <c r="AF67" s="223">
        <f>IF(OR($A67="",N($AU67)=0),"",IF($AV67&lt;&gt;"",IF($AV67&lt;=$AU67,"Trong ước tính","Vượt "&amp;IF(($AV67-$AU67)&lt;1,MAX(1,ROUND(($AV67-$AU67)*60,0))&amp;" phút",IF(ROUND(($AV67-$AU67),0)&lt;24,ROUND(($AV67-$AU67),0)&amp;" giờ",INT(ROUND(($AV67-$AU67),0)/24)&amp;" ngày"&amp;IF(MOD(ROUND(($AV67-$AU67),0),24)&gt;0," "&amp;MOD(ROUND(($AV67-$AU67),0),24)&amp;" giờ","")))),IF(OR($B67&lt;&gt;"Đột xuất",$AA67="Hoàn thành",N($J67)=0),"",IF((TDBC-$J67)*24&gt;$AU67,"Đã vượt ước tính","Đã dùng "&amp;TEXT((TDBC-$J67)*24/$AU67,"0%")))))</f>
      </c>
      <c r="AG67" s="223">
        <f>IF(N($BB67)=0,"",CHOOSE($BB67,"Nhắc nhở","Cảnh báo","Báo động","Báo động đỏ"))</f>
      </c>
      <c r="AH67" s="223">
        <f>IF(OR($B67&lt;&gt;"Đột xuất",$AA67&lt;&gt;"Hoàn thành",N($X67)=0,$AW67=0),"",IF($X67&lt;=$AW67,"Đúng hạn","Trễ hạn"))</f>
      </c>
      <c r="AI67" s="220">
        <f>IF($A67="","",_xlfn.MAXIFS('Nhật ký tiến độ'!$B$6:$B$3005,'Nhật ký tiến độ'!$C$6:$C$3005,$A67))</f>
      </c>
      <c r="AJ67" s="225">
        <f>IF(OR($A67="",$B67&lt;&gt;"Định kỳ"),0,IFERROR(INDEX(DM_TanSuatNgay,MATCH($H67,DM_TanSuat,0)),0))</f>
      </c>
      <c r="AK67" s="225">
        <f>IF(OR($A67="",$B67&lt;&gt;"Định kỳ"),0,IFERROR(INDEX(DM_TanSuatThang,MATCH($H67,DM_TanSuat,0)),0))</f>
      </c>
      <c r="AL67" s="225">
        <f>IF(OR($A67="",$B67&lt;&gt;"Định kỳ",N($X67)=0,N($I67)=0),"",IF(INT($X67)&lt;$I67,0,IF($AJ67&gt;0,ROUND((INT($X67)-$I67)/$AJ67,0),IF($AK67&gt;0,ROUND((DATEDIF($I67,INT($X67),"m")+(INT($X67)-EDATE($I67,DATEDIF($I67,INT($X67),"m")))/(EDATE($I67,DATEDIF($I67,INT($X67),"m")+1)-EDATE($I67,DATEDIF($I67,INT($X67),"m"))))/$AK67,0),0))))</f>
      </c>
      <c r="AM67" s="225">
        <f>IF($A67="","",IF(COUNTIF('Nhật ký tiến độ'!$C$6:$C$3005,$A67)=0,0,_xlfn.MAXIFS('Nhật ký tiến độ'!$N$6:$N$3005,'Nhật ký tiến độ'!$C$6:$C$3005,$A67,'Nhật ký tiến độ'!$B$6:$B$3005,_xlfn.MAXIFS('Nhật ký tiến độ'!$B$6:$B$3005,'Nhật ký tiến độ'!$C$6:$C$3005,$A67))))</f>
      </c>
      <c r="AN67" s="225">
        <f>IF($A67="","",IF(N($AM67)=0,"",INDEX('Nhật ký tiến độ'!$E:$E,$AM67)))</f>
      </c>
      <c r="AO67" s="225">
        <f>IF($A67="",0,IF($AA67="Hoàn thành",0,1))</f>
      </c>
      <c r="AP67" s="225">
        <f>IF($AO67=0,0,INT(N($AW67)))</f>
      </c>
      <c r="AQ67" s="225">
        <f>IF(AND($AO67=1,$AJ67&gt;1),$AJ67,0)</f>
      </c>
      <c r="AR67" s="225">
        <f>IF(AND($AO67=1,$AJ67=1),1,0)</f>
      </c>
      <c r="AS67" s="225">
        <f>IF(OR($AO67=0,AND($AR67=1,N($BB67)=0)),"",IF(N($BB67)&gt;0,5-$BB67,IF($AD67="Chậm tiến độ",6,IF($AD67="Đến hạn hôm nay",7,IF(AND($AP67&gt;0,$AP67-NgayBC&lt;=7),8,"")))))</f>
      </c>
      <c r="AT67" s="225">
        <f>IF($AS67="","",$AS67*100000+$AP67+ROW()/100000)</f>
      </c>
      <c r="AU67" s="224">
        <f>IF(OR($A67="",N($R67)&lt;=0),"",IF($S67="Ngày",$R67*24,$R67))</f>
      </c>
      <c r="AV67" s="224">
        <f>IF($A67="","",IF($B67="Đột xuất",IF(OR($AA67&lt;&gt;"Hoàn thành",N($X67)=0,N($J67)=0),"",IF($X67&lt;$J67,"",($X67-$J67)*24)),IFERROR(AVERAGEIFS('Nhật ký tiến độ'!$H$6:$H$3005,'Nhật ký tiến độ'!$C$6:$C$3005,$A67,'Nhật ký tiến độ'!$H$6:$H$3005,"&gt;0"),"")))</f>
      </c>
      <c r="AW67" s="233">
        <f>IF($A67="",0,IF($B67="Đột xuất",$AY67,IF($AX67=0,0,$AX67+1-1/1440)))</f>
      </c>
      <c r="AX67" s="234">
        <f>IF(OR($A67="",$B67&lt;&gt;"Định kỳ",N($I67)=0),0,IF($AL67="",$I67,IF($AJ67&gt;0,$I67+($AL67+1)*$AJ67,IF($AK67&gt;0,EDATE($I67,($AL67+1)*$AK67),$I67))))</f>
      </c>
      <c r="AY67" s="233">
        <f>IF(OR($A67="",$B67&lt;&gt;"Đột xuất"),0,IF(N($K67)&gt;0,IF(MOD($K67,1)=0,$K67+1-1/1440,$K67),IF(N($J67)=0,0,$J67+IF(N($AU67)&gt;0,$AU67,IFERROR(INDEX(DM_SLA_Gio,MATCH($L67,DM_SLA_Cap,0)),168))/24)))</f>
      </c>
      <c r="AZ67" s="225">
        <f>IF(OR($A67="",TRIM($N67)="",COUNTIF('Phản ánh'!$K$6:$K$505,$N67)&gt;0,COUNTIF($N$6:$N67,$N67)&gt;1),0,1)</f>
      </c>
      <c r="BA67" s="225">
        <f>IF($AZ67=1,SUM($AZ$6:$AZ67),"")</f>
      </c>
      <c r="BB67" s="225">
        <f>IF(OR($AO67=0,N($AW67)=0),0,IF(TDBC&lt;=$AW67,0,MAX(1,MIN(4,IF((TDBC-$AW67)*24&lt;24,1,IF((TDBC-$AW67)*24&lt;72,2,IF((TDBC-$AW67)*24&lt;168,3,4)))+IF($B67="Đột xuất",IFERROR(INDEX({2,1,0,-1},MATCH($L67,{"Khẩn cấp","Cao","Trung bình","Thấp"},0)),0),IF($D67="PCCC và an ninh",1,0))))))</f>
      </c>
    </row>
    <row r="68">
      <c r="A68" s="216"/>
      <c r="B68" s="216"/>
      <c r="C68" s="218"/>
      <c r="D68" s="218"/>
      <c r="E68" s="218"/>
      <c r="F68" s="216"/>
      <c r="G68" s="218"/>
      <c r="H68" s="218"/>
      <c r="I68" s="231"/>
      <c r="J68" s="217"/>
      <c r="K68" s="217"/>
      <c r="L68" s="216"/>
      <c r="M68" s="216"/>
      <c r="N68" s="218"/>
      <c r="O68" s="218"/>
      <c r="P68" s="218"/>
      <c r="Q68" s="218"/>
      <c r="R68" s="219"/>
      <c r="S68" s="216"/>
      <c r="T68" s="232"/>
      <c r="U68" s="232"/>
      <c r="V68" s="218"/>
      <c r="W68" s="218"/>
      <c r="X68" s="220">
        <f>IF($A68="","",IF(OR($B68="Định kỳ",$AA68="Hoàn thành"),MAX(_xlfn.MAXIFS('Nhật ký tiến độ'!$B$6:$B$3005,'Nhật ký tiến độ'!$C$6:$C$3005,$A68,'Nhật ký tiến độ'!$E$6:$E$3005,"Hoàn thành kỳ"),_xlfn.MAXIFS('Nhật ký tiến độ'!$B$6:$B$3005,'Nhật ký tiến độ'!$C$6:$C$3005,$A68,'Nhật ký tiến độ'!$E$6:$E$3005,"Hoàn thành")),0))</f>
      </c>
      <c r="Y68" s="220">
        <f>IF($A68="","",IF($B68="Đột xuất",IF($AY68=0,"",$AY68),IF($AX68=0,"",$AX68)))</f>
      </c>
      <c r="Z68" s="223">
        <f>IF(OR($AO68=0,$AW68=0),"",IF(TDBC&gt;$AW68,"Quá "&amp;IF($B68="Định kỳ",(NgayBC-$AP68)&amp;" ngày",IF(((TDBC-$AW68)*24)&lt;1,MAX(1,ROUND(((TDBC-$AW68)*24)*60,0))&amp;" phút",IF(ROUND(((TDBC-$AW68)*24),0)&lt;24,ROUND(((TDBC-$AW68)*24),0)&amp;" giờ",INT(ROUND(((TDBC-$AW68)*24),0)/24)&amp;" ngày"&amp;IF(MOD(ROUND(((TDBC-$AW68)*24),0),24)&gt;0," "&amp;MOD(ROUND(((TDBC-$AW68)*24),0),24)&amp;" giờ","")))),IF($B68="Định kỳ",IF($AP68=NgayBC,"Hôm nay","Còn "&amp;($AP68-NgayBC)&amp;" ngày"),"Còn "&amp;IF((($AW68-TDBC)*24)&lt;1,MAX(1,ROUND((($AW68-TDBC)*24)*60,0))&amp;" phút",IF(ROUND((($AW68-TDBC)*24),0)&lt;24,ROUND((($AW68-TDBC)*24),0)&amp;" giờ",INT(ROUND((($AW68-TDBC)*24),0)/24)&amp;" ngày"&amp;IF(MOD(ROUND((($AW68-TDBC)*24),0),24)&gt;0," "&amp;MOD(ROUND((($AW68-TDBC)*24),0),24)&amp;" giờ",""))))))</f>
      </c>
      <c r="AA68" s="221">
        <f>IF($A68="","",IF(N($AM68)=0,"Chưa bắt đầu",IF(OR($AN68="Hoàn thành kỳ",$AN68="Hoàn thành"),IF($B68="Định kỳ","Chưa bắt đầu","Hoàn thành"),$AN68)))</f>
      </c>
      <c r="AB68" s="222">
        <f>IF($A68="","",IF($AA68="Hoàn thành",1,IF(OR(N($AM68)=0,$AN68="Hoàn thành kỳ",$AN68="Hoàn thành"),0,N(INDEX('Nhật ký tiến độ'!$D:$D,$AM68)))))</f>
      </c>
      <c r="AC68" s="222">
        <f>IF(OR($A68="",$B68&lt;&gt;"Đột xuất",$AA68="Hoàn thành",N($J68)=0,$AW68=0),"",IF(TDBC&lt;=$J68,0,IF(TDBC&gt;=$AW68,1,(TDBC-$J68)/($AW68-$J68))))</f>
      </c>
      <c r="AD68" s="223">
        <f>IF($A68="","",IF($AA68="Hoàn thành","Hoàn thành",IF($AW68=0,"Chưa đặt hạn",IF(TDBC&gt;$AW68,"Quá hạn",IF(AND($B68="Đột xuất",ROUND((N($AC68)-$AB68)*100,0)&gt;=20),"Chậm tiến độ",IF($AP68=NgayBC,"Đến hạn hôm nay",IF($B68="Đột xuất",IF($AW68-TDBC&lt;=1,"Sắp đến hạn","Đúng tiến độ"),IF($AP68-NgayBC&lt;=3,"Sắp đến hạn","Theo lịch"))))))))</f>
      </c>
      <c r="AE68" s="223">
        <f>IF($AV68="","",IF($B68="Định kỳ","Bình quân "&amp;IF($AV68&lt;1,MAX(1,ROUND($AV68*60,0))&amp;" phút",IF(ROUND($AV68,0)&lt;24,ROUND($AV68,0)&amp;" giờ",INT(ROUND($AV68,0)/24)&amp;" ngày"&amp;IF(MOD(ROUND($AV68,0),24)&gt;0," "&amp;MOD(ROUND($AV68,0),24)&amp;" giờ","")))&amp;" mỗi kỳ",IF($AV68&lt;1,MAX(1,ROUND($AV68*60,0))&amp;" phút",IF(ROUND($AV68,0)&lt;24,ROUND($AV68,0)&amp;" giờ",INT(ROUND($AV68,0)/24)&amp;" ngày"&amp;IF(MOD(ROUND($AV68,0),24)&gt;0," "&amp;MOD(ROUND($AV68,0),24)&amp;" giờ","")))))</f>
      </c>
      <c r="AF68" s="223">
        <f>IF(OR($A68="",N($AU68)=0),"",IF($AV68&lt;&gt;"",IF($AV68&lt;=$AU68,"Trong ước tính","Vượt "&amp;IF(($AV68-$AU68)&lt;1,MAX(1,ROUND(($AV68-$AU68)*60,0))&amp;" phút",IF(ROUND(($AV68-$AU68),0)&lt;24,ROUND(($AV68-$AU68),0)&amp;" giờ",INT(ROUND(($AV68-$AU68),0)/24)&amp;" ngày"&amp;IF(MOD(ROUND(($AV68-$AU68),0),24)&gt;0," "&amp;MOD(ROUND(($AV68-$AU68),0),24)&amp;" giờ","")))),IF(OR($B68&lt;&gt;"Đột xuất",$AA68="Hoàn thành",N($J68)=0),"",IF((TDBC-$J68)*24&gt;$AU68,"Đã vượt ước tính","Đã dùng "&amp;TEXT((TDBC-$J68)*24/$AU68,"0%")))))</f>
      </c>
      <c r="AG68" s="223">
        <f>IF(N($BB68)=0,"",CHOOSE($BB68,"Nhắc nhở","Cảnh báo","Báo động","Báo động đỏ"))</f>
      </c>
      <c r="AH68" s="223">
        <f>IF(OR($B68&lt;&gt;"Đột xuất",$AA68&lt;&gt;"Hoàn thành",N($X68)=0,$AW68=0),"",IF($X68&lt;=$AW68,"Đúng hạn","Trễ hạn"))</f>
      </c>
      <c r="AI68" s="220">
        <f>IF($A68="","",_xlfn.MAXIFS('Nhật ký tiến độ'!$B$6:$B$3005,'Nhật ký tiến độ'!$C$6:$C$3005,$A68))</f>
      </c>
      <c r="AJ68" s="225">
        <f>IF(OR($A68="",$B68&lt;&gt;"Định kỳ"),0,IFERROR(INDEX(DM_TanSuatNgay,MATCH($H68,DM_TanSuat,0)),0))</f>
      </c>
      <c r="AK68" s="225">
        <f>IF(OR($A68="",$B68&lt;&gt;"Định kỳ"),0,IFERROR(INDEX(DM_TanSuatThang,MATCH($H68,DM_TanSuat,0)),0))</f>
      </c>
      <c r="AL68" s="225">
        <f>IF(OR($A68="",$B68&lt;&gt;"Định kỳ",N($X68)=0,N($I68)=0),"",IF(INT($X68)&lt;$I68,0,IF($AJ68&gt;0,ROUND((INT($X68)-$I68)/$AJ68,0),IF($AK68&gt;0,ROUND((DATEDIF($I68,INT($X68),"m")+(INT($X68)-EDATE($I68,DATEDIF($I68,INT($X68),"m")))/(EDATE($I68,DATEDIF($I68,INT($X68),"m")+1)-EDATE($I68,DATEDIF($I68,INT($X68),"m"))))/$AK68,0),0))))</f>
      </c>
      <c r="AM68" s="225">
        <f>IF($A68="","",IF(COUNTIF('Nhật ký tiến độ'!$C$6:$C$3005,$A68)=0,0,_xlfn.MAXIFS('Nhật ký tiến độ'!$N$6:$N$3005,'Nhật ký tiến độ'!$C$6:$C$3005,$A68,'Nhật ký tiến độ'!$B$6:$B$3005,_xlfn.MAXIFS('Nhật ký tiến độ'!$B$6:$B$3005,'Nhật ký tiến độ'!$C$6:$C$3005,$A68))))</f>
      </c>
      <c r="AN68" s="225">
        <f>IF($A68="","",IF(N($AM68)=0,"",INDEX('Nhật ký tiến độ'!$E:$E,$AM68)))</f>
      </c>
      <c r="AO68" s="225">
        <f>IF($A68="",0,IF($AA68="Hoàn thành",0,1))</f>
      </c>
      <c r="AP68" s="225">
        <f>IF($AO68=0,0,INT(N($AW68)))</f>
      </c>
      <c r="AQ68" s="225">
        <f>IF(AND($AO68=1,$AJ68&gt;1),$AJ68,0)</f>
      </c>
      <c r="AR68" s="225">
        <f>IF(AND($AO68=1,$AJ68=1),1,0)</f>
      </c>
      <c r="AS68" s="225">
        <f>IF(OR($AO68=0,AND($AR68=1,N($BB68)=0)),"",IF(N($BB68)&gt;0,5-$BB68,IF($AD68="Chậm tiến độ",6,IF($AD68="Đến hạn hôm nay",7,IF(AND($AP68&gt;0,$AP68-NgayBC&lt;=7),8,"")))))</f>
      </c>
      <c r="AT68" s="225">
        <f>IF($AS68="","",$AS68*100000+$AP68+ROW()/100000)</f>
      </c>
      <c r="AU68" s="224">
        <f>IF(OR($A68="",N($R68)&lt;=0),"",IF($S68="Ngày",$R68*24,$R68))</f>
      </c>
      <c r="AV68" s="224">
        <f>IF($A68="","",IF($B68="Đột xuất",IF(OR($AA68&lt;&gt;"Hoàn thành",N($X68)=0,N($J68)=0),"",IF($X68&lt;$J68,"",($X68-$J68)*24)),IFERROR(AVERAGEIFS('Nhật ký tiến độ'!$H$6:$H$3005,'Nhật ký tiến độ'!$C$6:$C$3005,$A68,'Nhật ký tiến độ'!$H$6:$H$3005,"&gt;0"),"")))</f>
      </c>
      <c r="AW68" s="233">
        <f>IF($A68="",0,IF($B68="Đột xuất",$AY68,IF($AX68=0,0,$AX68+1-1/1440)))</f>
      </c>
      <c r="AX68" s="234">
        <f>IF(OR($A68="",$B68&lt;&gt;"Định kỳ",N($I68)=0),0,IF($AL68="",$I68,IF($AJ68&gt;0,$I68+($AL68+1)*$AJ68,IF($AK68&gt;0,EDATE($I68,($AL68+1)*$AK68),$I68))))</f>
      </c>
      <c r="AY68" s="233">
        <f>IF(OR($A68="",$B68&lt;&gt;"Đột xuất"),0,IF(N($K68)&gt;0,IF(MOD($K68,1)=0,$K68+1-1/1440,$K68),IF(N($J68)=0,0,$J68+IF(N($AU68)&gt;0,$AU68,IFERROR(INDEX(DM_SLA_Gio,MATCH($L68,DM_SLA_Cap,0)),168))/24)))</f>
      </c>
      <c r="AZ68" s="225">
        <f>IF(OR($A68="",TRIM($N68)="",COUNTIF('Phản ánh'!$K$6:$K$505,$N68)&gt;0,COUNTIF($N$6:$N68,$N68)&gt;1),0,1)</f>
      </c>
      <c r="BA68" s="225">
        <f>IF($AZ68=1,SUM($AZ$6:$AZ68),"")</f>
      </c>
      <c r="BB68" s="225">
        <f>IF(OR($AO68=0,N($AW68)=0),0,IF(TDBC&lt;=$AW68,0,MAX(1,MIN(4,IF((TDBC-$AW68)*24&lt;24,1,IF((TDBC-$AW68)*24&lt;72,2,IF((TDBC-$AW68)*24&lt;168,3,4)))+IF($B68="Đột xuất",IFERROR(INDEX({2,1,0,-1},MATCH($L68,{"Khẩn cấp","Cao","Trung bình","Thấp"},0)),0),IF($D68="PCCC và an ninh",1,0))))))</f>
      </c>
    </row>
    <row r="69">
      <c r="A69" s="216"/>
      <c r="B69" s="216"/>
      <c r="C69" s="218"/>
      <c r="D69" s="218"/>
      <c r="E69" s="218"/>
      <c r="F69" s="216"/>
      <c r="G69" s="218"/>
      <c r="H69" s="218"/>
      <c r="I69" s="231"/>
      <c r="J69" s="217"/>
      <c r="K69" s="217"/>
      <c r="L69" s="216"/>
      <c r="M69" s="216"/>
      <c r="N69" s="218"/>
      <c r="O69" s="218"/>
      <c r="P69" s="218"/>
      <c r="Q69" s="218"/>
      <c r="R69" s="219"/>
      <c r="S69" s="216"/>
      <c r="T69" s="232"/>
      <c r="U69" s="232"/>
      <c r="V69" s="218"/>
      <c r="W69" s="218"/>
      <c r="X69" s="220">
        <f>IF($A69="","",IF(OR($B69="Định kỳ",$AA69="Hoàn thành"),MAX(_xlfn.MAXIFS('Nhật ký tiến độ'!$B$6:$B$3005,'Nhật ký tiến độ'!$C$6:$C$3005,$A69,'Nhật ký tiến độ'!$E$6:$E$3005,"Hoàn thành kỳ"),_xlfn.MAXIFS('Nhật ký tiến độ'!$B$6:$B$3005,'Nhật ký tiến độ'!$C$6:$C$3005,$A69,'Nhật ký tiến độ'!$E$6:$E$3005,"Hoàn thành")),0))</f>
      </c>
      <c r="Y69" s="220">
        <f>IF($A69="","",IF($B69="Đột xuất",IF($AY69=0,"",$AY69),IF($AX69=0,"",$AX69)))</f>
      </c>
      <c r="Z69" s="223">
        <f>IF(OR($AO69=0,$AW69=0),"",IF(TDBC&gt;$AW69,"Quá "&amp;IF($B69="Định kỳ",(NgayBC-$AP69)&amp;" ngày",IF(((TDBC-$AW69)*24)&lt;1,MAX(1,ROUND(((TDBC-$AW69)*24)*60,0))&amp;" phút",IF(ROUND(((TDBC-$AW69)*24),0)&lt;24,ROUND(((TDBC-$AW69)*24),0)&amp;" giờ",INT(ROUND(((TDBC-$AW69)*24),0)/24)&amp;" ngày"&amp;IF(MOD(ROUND(((TDBC-$AW69)*24),0),24)&gt;0," "&amp;MOD(ROUND(((TDBC-$AW69)*24),0),24)&amp;" giờ","")))),IF($B69="Định kỳ",IF($AP69=NgayBC,"Hôm nay","Còn "&amp;($AP69-NgayBC)&amp;" ngày"),"Còn "&amp;IF((($AW69-TDBC)*24)&lt;1,MAX(1,ROUND((($AW69-TDBC)*24)*60,0))&amp;" phút",IF(ROUND((($AW69-TDBC)*24),0)&lt;24,ROUND((($AW69-TDBC)*24),0)&amp;" giờ",INT(ROUND((($AW69-TDBC)*24),0)/24)&amp;" ngày"&amp;IF(MOD(ROUND((($AW69-TDBC)*24),0),24)&gt;0," "&amp;MOD(ROUND((($AW69-TDBC)*24),0),24)&amp;" giờ",""))))))</f>
      </c>
      <c r="AA69" s="221">
        <f>IF($A69="","",IF(N($AM69)=0,"Chưa bắt đầu",IF(OR($AN69="Hoàn thành kỳ",$AN69="Hoàn thành"),IF($B69="Định kỳ","Chưa bắt đầu","Hoàn thành"),$AN69)))</f>
      </c>
      <c r="AB69" s="222">
        <f>IF($A69="","",IF($AA69="Hoàn thành",1,IF(OR(N($AM69)=0,$AN69="Hoàn thành kỳ",$AN69="Hoàn thành"),0,N(INDEX('Nhật ký tiến độ'!$D:$D,$AM69)))))</f>
      </c>
      <c r="AC69" s="222">
        <f>IF(OR($A69="",$B69&lt;&gt;"Đột xuất",$AA69="Hoàn thành",N($J69)=0,$AW69=0),"",IF(TDBC&lt;=$J69,0,IF(TDBC&gt;=$AW69,1,(TDBC-$J69)/($AW69-$J69))))</f>
      </c>
      <c r="AD69" s="223">
        <f>IF($A69="","",IF($AA69="Hoàn thành","Hoàn thành",IF($AW69=0,"Chưa đặt hạn",IF(TDBC&gt;$AW69,"Quá hạn",IF(AND($B69="Đột xuất",ROUND((N($AC69)-$AB69)*100,0)&gt;=20),"Chậm tiến độ",IF($AP69=NgayBC,"Đến hạn hôm nay",IF($B69="Đột xuất",IF($AW69-TDBC&lt;=1,"Sắp đến hạn","Đúng tiến độ"),IF($AP69-NgayBC&lt;=3,"Sắp đến hạn","Theo lịch"))))))))</f>
      </c>
      <c r="AE69" s="223">
        <f>IF($AV69="","",IF($B69="Định kỳ","Bình quân "&amp;IF($AV69&lt;1,MAX(1,ROUND($AV69*60,0))&amp;" phút",IF(ROUND($AV69,0)&lt;24,ROUND($AV69,0)&amp;" giờ",INT(ROUND($AV69,0)/24)&amp;" ngày"&amp;IF(MOD(ROUND($AV69,0),24)&gt;0," "&amp;MOD(ROUND($AV69,0),24)&amp;" giờ","")))&amp;" mỗi kỳ",IF($AV69&lt;1,MAX(1,ROUND($AV69*60,0))&amp;" phút",IF(ROUND($AV69,0)&lt;24,ROUND($AV69,0)&amp;" giờ",INT(ROUND($AV69,0)/24)&amp;" ngày"&amp;IF(MOD(ROUND($AV69,0),24)&gt;0," "&amp;MOD(ROUND($AV69,0),24)&amp;" giờ","")))))</f>
      </c>
      <c r="AF69" s="223">
        <f>IF(OR($A69="",N($AU69)=0),"",IF($AV69&lt;&gt;"",IF($AV69&lt;=$AU69,"Trong ước tính","Vượt "&amp;IF(($AV69-$AU69)&lt;1,MAX(1,ROUND(($AV69-$AU69)*60,0))&amp;" phút",IF(ROUND(($AV69-$AU69),0)&lt;24,ROUND(($AV69-$AU69),0)&amp;" giờ",INT(ROUND(($AV69-$AU69),0)/24)&amp;" ngày"&amp;IF(MOD(ROUND(($AV69-$AU69),0),24)&gt;0," "&amp;MOD(ROUND(($AV69-$AU69),0),24)&amp;" giờ","")))),IF(OR($B69&lt;&gt;"Đột xuất",$AA69="Hoàn thành",N($J69)=0),"",IF((TDBC-$J69)*24&gt;$AU69,"Đã vượt ước tính","Đã dùng "&amp;TEXT((TDBC-$J69)*24/$AU69,"0%")))))</f>
      </c>
      <c r="AG69" s="223">
        <f>IF(N($BB69)=0,"",CHOOSE($BB69,"Nhắc nhở","Cảnh báo","Báo động","Báo động đỏ"))</f>
      </c>
      <c r="AH69" s="223">
        <f>IF(OR($B69&lt;&gt;"Đột xuất",$AA69&lt;&gt;"Hoàn thành",N($X69)=0,$AW69=0),"",IF($X69&lt;=$AW69,"Đúng hạn","Trễ hạn"))</f>
      </c>
      <c r="AI69" s="220">
        <f>IF($A69="","",_xlfn.MAXIFS('Nhật ký tiến độ'!$B$6:$B$3005,'Nhật ký tiến độ'!$C$6:$C$3005,$A69))</f>
      </c>
      <c r="AJ69" s="225">
        <f>IF(OR($A69="",$B69&lt;&gt;"Định kỳ"),0,IFERROR(INDEX(DM_TanSuatNgay,MATCH($H69,DM_TanSuat,0)),0))</f>
      </c>
      <c r="AK69" s="225">
        <f>IF(OR($A69="",$B69&lt;&gt;"Định kỳ"),0,IFERROR(INDEX(DM_TanSuatThang,MATCH($H69,DM_TanSuat,0)),0))</f>
      </c>
      <c r="AL69" s="225">
        <f>IF(OR($A69="",$B69&lt;&gt;"Định kỳ",N($X69)=0,N($I69)=0),"",IF(INT($X69)&lt;$I69,0,IF($AJ69&gt;0,ROUND((INT($X69)-$I69)/$AJ69,0),IF($AK69&gt;0,ROUND((DATEDIF($I69,INT($X69),"m")+(INT($X69)-EDATE($I69,DATEDIF($I69,INT($X69),"m")))/(EDATE($I69,DATEDIF($I69,INT($X69),"m")+1)-EDATE($I69,DATEDIF($I69,INT($X69),"m"))))/$AK69,0),0))))</f>
      </c>
      <c r="AM69" s="225">
        <f>IF($A69="","",IF(COUNTIF('Nhật ký tiến độ'!$C$6:$C$3005,$A69)=0,0,_xlfn.MAXIFS('Nhật ký tiến độ'!$N$6:$N$3005,'Nhật ký tiến độ'!$C$6:$C$3005,$A69,'Nhật ký tiến độ'!$B$6:$B$3005,_xlfn.MAXIFS('Nhật ký tiến độ'!$B$6:$B$3005,'Nhật ký tiến độ'!$C$6:$C$3005,$A69))))</f>
      </c>
      <c r="AN69" s="225">
        <f>IF($A69="","",IF(N($AM69)=0,"",INDEX('Nhật ký tiến độ'!$E:$E,$AM69)))</f>
      </c>
      <c r="AO69" s="225">
        <f>IF($A69="",0,IF($AA69="Hoàn thành",0,1))</f>
      </c>
      <c r="AP69" s="225">
        <f>IF($AO69=0,0,INT(N($AW69)))</f>
      </c>
      <c r="AQ69" s="225">
        <f>IF(AND($AO69=1,$AJ69&gt;1),$AJ69,0)</f>
      </c>
      <c r="AR69" s="225">
        <f>IF(AND($AO69=1,$AJ69=1),1,0)</f>
      </c>
      <c r="AS69" s="225">
        <f>IF(OR($AO69=0,AND($AR69=1,N($BB69)=0)),"",IF(N($BB69)&gt;0,5-$BB69,IF($AD69="Chậm tiến độ",6,IF($AD69="Đến hạn hôm nay",7,IF(AND($AP69&gt;0,$AP69-NgayBC&lt;=7),8,"")))))</f>
      </c>
      <c r="AT69" s="225">
        <f>IF($AS69="","",$AS69*100000+$AP69+ROW()/100000)</f>
      </c>
      <c r="AU69" s="224">
        <f>IF(OR($A69="",N($R69)&lt;=0),"",IF($S69="Ngày",$R69*24,$R69))</f>
      </c>
      <c r="AV69" s="224">
        <f>IF($A69="","",IF($B69="Đột xuất",IF(OR($AA69&lt;&gt;"Hoàn thành",N($X69)=0,N($J69)=0),"",IF($X69&lt;$J69,"",($X69-$J69)*24)),IFERROR(AVERAGEIFS('Nhật ký tiến độ'!$H$6:$H$3005,'Nhật ký tiến độ'!$C$6:$C$3005,$A69,'Nhật ký tiến độ'!$H$6:$H$3005,"&gt;0"),"")))</f>
      </c>
      <c r="AW69" s="233">
        <f>IF($A69="",0,IF($B69="Đột xuất",$AY69,IF($AX69=0,0,$AX69+1-1/1440)))</f>
      </c>
      <c r="AX69" s="234">
        <f>IF(OR($A69="",$B69&lt;&gt;"Định kỳ",N($I69)=0),0,IF($AL69="",$I69,IF($AJ69&gt;0,$I69+($AL69+1)*$AJ69,IF($AK69&gt;0,EDATE($I69,($AL69+1)*$AK69),$I69))))</f>
      </c>
      <c r="AY69" s="233">
        <f>IF(OR($A69="",$B69&lt;&gt;"Đột xuất"),0,IF(N($K69)&gt;0,IF(MOD($K69,1)=0,$K69+1-1/1440,$K69),IF(N($J69)=0,0,$J69+IF(N($AU69)&gt;0,$AU69,IFERROR(INDEX(DM_SLA_Gio,MATCH($L69,DM_SLA_Cap,0)),168))/24)))</f>
      </c>
      <c r="AZ69" s="225">
        <f>IF(OR($A69="",TRIM($N69)="",COUNTIF('Phản ánh'!$K$6:$K$505,$N69)&gt;0,COUNTIF($N$6:$N69,$N69)&gt;1),0,1)</f>
      </c>
      <c r="BA69" s="225">
        <f>IF($AZ69=1,SUM($AZ$6:$AZ69),"")</f>
      </c>
      <c r="BB69" s="225">
        <f>IF(OR($AO69=0,N($AW69)=0),0,IF(TDBC&lt;=$AW69,0,MAX(1,MIN(4,IF((TDBC-$AW69)*24&lt;24,1,IF((TDBC-$AW69)*24&lt;72,2,IF((TDBC-$AW69)*24&lt;168,3,4)))+IF($B69="Đột xuất",IFERROR(INDEX({2,1,0,-1},MATCH($L69,{"Khẩn cấp","Cao","Trung bình","Thấp"},0)),0),IF($D69="PCCC và an ninh",1,0))))))</f>
      </c>
    </row>
    <row r="70">
      <c r="A70" s="216"/>
      <c r="B70" s="216"/>
      <c r="C70" s="218"/>
      <c r="D70" s="218"/>
      <c r="E70" s="218"/>
      <c r="F70" s="216"/>
      <c r="G70" s="218"/>
      <c r="H70" s="218"/>
      <c r="I70" s="231"/>
      <c r="J70" s="217"/>
      <c r="K70" s="217"/>
      <c r="L70" s="216"/>
      <c r="M70" s="216"/>
      <c r="N70" s="218"/>
      <c r="O70" s="218"/>
      <c r="P70" s="218"/>
      <c r="Q70" s="218"/>
      <c r="R70" s="219"/>
      <c r="S70" s="216"/>
      <c r="T70" s="232"/>
      <c r="U70" s="232"/>
      <c r="V70" s="218"/>
      <c r="W70" s="218"/>
      <c r="X70" s="220">
        <f>IF($A70="","",IF(OR($B70="Định kỳ",$AA70="Hoàn thành"),MAX(_xlfn.MAXIFS('Nhật ký tiến độ'!$B$6:$B$3005,'Nhật ký tiến độ'!$C$6:$C$3005,$A70,'Nhật ký tiến độ'!$E$6:$E$3005,"Hoàn thành kỳ"),_xlfn.MAXIFS('Nhật ký tiến độ'!$B$6:$B$3005,'Nhật ký tiến độ'!$C$6:$C$3005,$A70,'Nhật ký tiến độ'!$E$6:$E$3005,"Hoàn thành")),0))</f>
      </c>
      <c r="Y70" s="220">
        <f>IF($A70="","",IF($B70="Đột xuất",IF($AY70=0,"",$AY70),IF($AX70=0,"",$AX70)))</f>
      </c>
      <c r="Z70" s="223">
        <f>IF(OR($AO70=0,$AW70=0),"",IF(TDBC&gt;$AW70,"Quá "&amp;IF($B70="Định kỳ",(NgayBC-$AP70)&amp;" ngày",IF(((TDBC-$AW70)*24)&lt;1,MAX(1,ROUND(((TDBC-$AW70)*24)*60,0))&amp;" phút",IF(ROUND(((TDBC-$AW70)*24),0)&lt;24,ROUND(((TDBC-$AW70)*24),0)&amp;" giờ",INT(ROUND(((TDBC-$AW70)*24),0)/24)&amp;" ngày"&amp;IF(MOD(ROUND(((TDBC-$AW70)*24),0),24)&gt;0," "&amp;MOD(ROUND(((TDBC-$AW70)*24),0),24)&amp;" giờ","")))),IF($B70="Định kỳ",IF($AP70=NgayBC,"Hôm nay","Còn "&amp;($AP70-NgayBC)&amp;" ngày"),"Còn "&amp;IF((($AW70-TDBC)*24)&lt;1,MAX(1,ROUND((($AW70-TDBC)*24)*60,0))&amp;" phút",IF(ROUND((($AW70-TDBC)*24),0)&lt;24,ROUND((($AW70-TDBC)*24),0)&amp;" giờ",INT(ROUND((($AW70-TDBC)*24),0)/24)&amp;" ngày"&amp;IF(MOD(ROUND((($AW70-TDBC)*24),0),24)&gt;0," "&amp;MOD(ROUND((($AW70-TDBC)*24),0),24)&amp;" giờ",""))))))</f>
      </c>
      <c r="AA70" s="221">
        <f>IF($A70="","",IF(N($AM70)=0,"Chưa bắt đầu",IF(OR($AN70="Hoàn thành kỳ",$AN70="Hoàn thành"),IF($B70="Định kỳ","Chưa bắt đầu","Hoàn thành"),$AN70)))</f>
      </c>
      <c r="AB70" s="222">
        <f>IF($A70="","",IF($AA70="Hoàn thành",1,IF(OR(N($AM70)=0,$AN70="Hoàn thành kỳ",$AN70="Hoàn thành"),0,N(INDEX('Nhật ký tiến độ'!$D:$D,$AM70)))))</f>
      </c>
      <c r="AC70" s="222">
        <f>IF(OR($A70="",$B70&lt;&gt;"Đột xuất",$AA70="Hoàn thành",N($J70)=0,$AW70=0),"",IF(TDBC&lt;=$J70,0,IF(TDBC&gt;=$AW70,1,(TDBC-$J70)/($AW70-$J70))))</f>
      </c>
      <c r="AD70" s="223">
        <f>IF($A70="","",IF($AA70="Hoàn thành","Hoàn thành",IF($AW70=0,"Chưa đặt hạn",IF(TDBC&gt;$AW70,"Quá hạn",IF(AND($B70="Đột xuất",ROUND((N($AC70)-$AB70)*100,0)&gt;=20),"Chậm tiến độ",IF($AP70=NgayBC,"Đến hạn hôm nay",IF($B70="Đột xuất",IF($AW70-TDBC&lt;=1,"Sắp đến hạn","Đúng tiến độ"),IF($AP70-NgayBC&lt;=3,"Sắp đến hạn","Theo lịch"))))))))</f>
      </c>
      <c r="AE70" s="223">
        <f>IF($AV70="","",IF($B70="Định kỳ","Bình quân "&amp;IF($AV70&lt;1,MAX(1,ROUND($AV70*60,0))&amp;" phút",IF(ROUND($AV70,0)&lt;24,ROUND($AV70,0)&amp;" giờ",INT(ROUND($AV70,0)/24)&amp;" ngày"&amp;IF(MOD(ROUND($AV70,0),24)&gt;0," "&amp;MOD(ROUND($AV70,0),24)&amp;" giờ","")))&amp;" mỗi kỳ",IF($AV70&lt;1,MAX(1,ROUND($AV70*60,0))&amp;" phút",IF(ROUND($AV70,0)&lt;24,ROUND($AV70,0)&amp;" giờ",INT(ROUND($AV70,0)/24)&amp;" ngày"&amp;IF(MOD(ROUND($AV70,0),24)&gt;0," "&amp;MOD(ROUND($AV70,0),24)&amp;" giờ","")))))</f>
      </c>
      <c r="AF70" s="223">
        <f>IF(OR($A70="",N($AU70)=0),"",IF($AV70&lt;&gt;"",IF($AV70&lt;=$AU70,"Trong ước tính","Vượt "&amp;IF(($AV70-$AU70)&lt;1,MAX(1,ROUND(($AV70-$AU70)*60,0))&amp;" phút",IF(ROUND(($AV70-$AU70),0)&lt;24,ROUND(($AV70-$AU70),0)&amp;" giờ",INT(ROUND(($AV70-$AU70),0)/24)&amp;" ngày"&amp;IF(MOD(ROUND(($AV70-$AU70),0),24)&gt;0," "&amp;MOD(ROUND(($AV70-$AU70),0),24)&amp;" giờ","")))),IF(OR($B70&lt;&gt;"Đột xuất",$AA70="Hoàn thành",N($J70)=0),"",IF((TDBC-$J70)*24&gt;$AU70,"Đã vượt ước tính","Đã dùng "&amp;TEXT((TDBC-$J70)*24/$AU70,"0%")))))</f>
      </c>
      <c r="AG70" s="223">
        <f>IF(N($BB70)=0,"",CHOOSE($BB70,"Nhắc nhở","Cảnh báo","Báo động","Báo động đỏ"))</f>
      </c>
      <c r="AH70" s="223">
        <f>IF(OR($B70&lt;&gt;"Đột xuất",$AA70&lt;&gt;"Hoàn thành",N($X70)=0,$AW70=0),"",IF($X70&lt;=$AW70,"Đúng hạn","Trễ hạn"))</f>
      </c>
      <c r="AI70" s="220">
        <f>IF($A70="","",_xlfn.MAXIFS('Nhật ký tiến độ'!$B$6:$B$3005,'Nhật ký tiến độ'!$C$6:$C$3005,$A70))</f>
      </c>
      <c r="AJ70" s="225">
        <f>IF(OR($A70="",$B70&lt;&gt;"Định kỳ"),0,IFERROR(INDEX(DM_TanSuatNgay,MATCH($H70,DM_TanSuat,0)),0))</f>
      </c>
      <c r="AK70" s="225">
        <f>IF(OR($A70="",$B70&lt;&gt;"Định kỳ"),0,IFERROR(INDEX(DM_TanSuatThang,MATCH($H70,DM_TanSuat,0)),0))</f>
      </c>
      <c r="AL70" s="225">
        <f>IF(OR($A70="",$B70&lt;&gt;"Định kỳ",N($X70)=0,N($I70)=0),"",IF(INT($X70)&lt;$I70,0,IF($AJ70&gt;0,ROUND((INT($X70)-$I70)/$AJ70,0),IF($AK70&gt;0,ROUND((DATEDIF($I70,INT($X70),"m")+(INT($X70)-EDATE($I70,DATEDIF($I70,INT($X70),"m")))/(EDATE($I70,DATEDIF($I70,INT($X70),"m")+1)-EDATE($I70,DATEDIF($I70,INT($X70),"m"))))/$AK70,0),0))))</f>
      </c>
      <c r="AM70" s="225">
        <f>IF($A70="","",IF(COUNTIF('Nhật ký tiến độ'!$C$6:$C$3005,$A70)=0,0,_xlfn.MAXIFS('Nhật ký tiến độ'!$N$6:$N$3005,'Nhật ký tiến độ'!$C$6:$C$3005,$A70,'Nhật ký tiến độ'!$B$6:$B$3005,_xlfn.MAXIFS('Nhật ký tiến độ'!$B$6:$B$3005,'Nhật ký tiến độ'!$C$6:$C$3005,$A70))))</f>
      </c>
      <c r="AN70" s="225">
        <f>IF($A70="","",IF(N($AM70)=0,"",INDEX('Nhật ký tiến độ'!$E:$E,$AM70)))</f>
      </c>
      <c r="AO70" s="225">
        <f>IF($A70="",0,IF($AA70="Hoàn thành",0,1))</f>
      </c>
      <c r="AP70" s="225">
        <f>IF($AO70=0,0,INT(N($AW70)))</f>
      </c>
      <c r="AQ70" s="225">
        <f>IF(AND($AO70=1,$AJ70&gt;1),$AJ70,0)</f>
      </c>
      <c r="AR70" s="225">
        <f>IF(AND($AO70=1,$AJ70=1),1,0)</f>
      </c>
      <c r="AS70" s="225">
        <f>IF(OR($AO70=0,AND($AR70=1,N($BB70)=0)),"",IF(N($BB70)&gt;0,5-$BB70,IF($AD70="Chậm tiến độ",6,IF($AD70="Đến hạn hôm nay",7,IF(AND($AP70&gt;0,$AP70-NgayBC&lt;=7),8,"")))))</f>
      </c>
      <c r="AT70" s="225">
        <f>IF($AS70="","",$AS70*100000+$AP70+ROW()/100000)</f>
      </c>
      <c r="AU70" s="224">
        <f>IF(OR($A70="",N($R70)&lt;=0),"",IF($S70="Ngày",$R70*24,$R70))</f>
      </c>
      <c r="AV70" s="224">
        <f>IF($A70="","",IF($B70="Đột xuất",IF(OR($AA70&lt;&gt;"Hoàn thành",N($X70)=0,N($J70)=0),"",IF($X70&lt;$J70,"",($X70-$J70)*24)),IFERROR(AVERAGEIFS('Nhật ký tiến độ'!$H$6:$H$3005,'Nhật ký tiến độ'!$C$6:$C$3005,$A70,'Nhật ký tiến độ'!$H$6:$H$3005,"&gt;0"),"")))</f>
      </c>
      <c r="AW70" s="233">
        <f>IF($A70="",0,IF($B70="Đột xuất",$AY70,IF($AX70=0,0,$AX70+1-1/1440)))</f>
      </c>
      <c r="AX70" s="234">
        <f>IF(OR($A70="",$B70&lt;&gt;"Định kỳ",N($I70)=0),0,IF($AL70="",$I70,IF($AJ70&gt;0,$I70+($AL70+1)*$AJ70,IF($AK70&gt;0,EDATE($I70,($AL70+1)*$AK70),$I70))))</f>
      </c>
      <c r="AY70" s="233">
        <f>IF(OR($A70="",$B70&lt;&gt;"Đột xuất"),0,IF(N($K70)&gt;0,IF(MOD($K70,1)=0,$K70+1-1/1440,$K70),IF(N($J70)=0,0,$J70+IF(N($AU70)&gt;0,$AU70,IFERROR(INDEX(DM_SLA_Gio,MATCH($L70,DM_SLA_Cap,0)),168))/24)))</f>
      </c>
      <c r="AZ70" s="225">
        <f>IF(OR($A70="",TRIM($N70)="",COUNTIF('Phản ánh'!$K$6:$K$505,$N70)&gt;0,COUNTIF($N$6:$N70,$N70)&gt;1),0,1)</f>
      </c>
      <c r="BA70" s="225">
        <f>IF($AZ70=1,SUM($AZ$6:$AZ70),"")</f>
      </c>
      <c r="BB70" s="225">
        <f>IF(OR($AO70=0,N($AW70)=0),0,IF(TDBC&lt;=$AW70,0,MAX(1,MIN(4,IF((TDBC-$AW70)*24&lt;24,1,IF((TDBC-$AW70)*24&lt;72,2,IF((TDBC-$AW70)*24&lt;168,3,4)))+IF($B70="Đột xuất",IFERROR(INDEX({2,1,0,-1},MATCH($L70,{"Khẩn cấp","Cao","Trung bình","Thấp"},0)),0),IF($D70="PCCC và an ninh",1,0))))))</f>
      </c>
    </row>
    <row r="71">
      <c r="A71" s="216"/>
      <c r="B71" s="216"/>
      <c r="C71" s="218"/>
      <c r="D71" s="218"/>
      <c r="E71" s="218"/>
      <c r="F71" s="216"/>
      <c r="G71" s="218"/>
      <c r="H71" s="218"/>
      <c r="I71" s="231"/>
      <c r="J71" s="217"/>
      <c r="K71" s="217"/>
      <c r="L71" s="216"/>
      <c r="M71" s="216"/>
      <c r="N71" s="218"/>
      <c r="O71" s="218"/>
      <c r="P71" s="218"/>
      <c r="Q71" s="218"/>
      <c r="R71" s="219"/>
      <c r="S71" s="216"/>
      <c r="T71" s="232"/>
      <c r="U71" s="232"/>
      <c r="V71" s="218"/>
      <c r="W71" s="218"/>
      <c r="X71" s="220">
        <f>IF($A71="","",IF(OR($B71="Định kỳ",$AA71="Hoàn thành"),MAX(_xlfn.MAXIFS('Nhật ký tiến độ'!$B$6:$B$3005,'Nhật ký tiến độ'!$C$6:$C$3005,$A71,'Nhật ký tiến độ'!$E$6:$E$3005,"Hoàn thành kỳ"),_xlfn.MAXIFS('Nhật ký tiến độ'!$B$6:$B$3005,'Nhật ký tiến độ'!$C$6:$C$3005,$A71,'Nhật ký tiến độ'!$E$6:$E$3005,"Hoàn thành")),0))</f>
      </c>
      <c r="Y71" s="220">
        <f>IF($A71="","",IF($B71="Đột xuất",IF($AY71=0,"",$AY71),IF($AX71=0,"",$AX71)))</f>
      </c>
      <c r="Z71" s="223">
        <f>IF(OR($AO71=0,$AW71=0),"",IF(TDBC&gt;$AW71,"Quá "&amp;IF($B71="Định kỳ",(NgayBC-$AP71)&amp;" ngày",IF(((TDBC-$AW71)*24)&lt;1,MAX(1,ROUND(((TDBC-$AW71)*24)*60,0))&amp;" phút",IF(ROUND(((TDBC-$AW71)*24),0)&lt;24,ROUND(((TDBC-$AW71)*24),0)&amp;" giờ",INT(ROUND(((TDBC-$AW71)*24),0)/24)&amp;" ngày"&amp;IF(MOD(ROUND(((TDBC-$AW71)*24),0),24)&gt;0," "&amp;MOD(ROUND(((TDBC-$AW71)*24),0),24)&amp;" giờ","")))),IF($B71="Định kỳ",IF($AP71=NgayBC,"Hôm nay","Còn "&amp;($AP71-NgayBC)&amp;" ngày"),"Còn "&amp;IF((($AW71-TDBC)*24)&lt;1,MAX(1,ROUND((($AW71-TDBC)*24)*60,0))&amp;" phút",IF(ROUND((($AW71-TDBC)*24),0)&lt;24,ROUND((($AW71-TDBC)*24),0)&amp;" giờ",INT(ROUND((($AW71-TDBC)*24),0)/24)&amp;" ngày"&amp;IF(MOD(ROUND((($AW71-TDBC)*24),0),24)&gt;0," "&amp;MOD(ROUND((($AW71-TDBC)*24),0),24)&amp;" giờ",""))))))</f>
      </c>
      <c r="AA71" s="221">
        <f>IF($A71="","",IF(N($AM71)=0,"Chưa bắt đầu",IF(OR($AN71="Hoàn thành kỳ",$AN71="Hoàn thành"),IF($B71="Định kỳ","Chưa bắt đầu","Hoàn thành"),$AN71)))</f>
      </c>
      <c r="AB71" s="222">
        <f>IF($A71="","",IF($AA71="Hoàn thành",1,IF(OR(N($AM71)=0,$AN71="Hoàn thành kỳ",$AN71="Hoàn thành"),0,N(INDEX('Nhật ký tiến độ'!$D:$D,$AM71)))))</f>
      </c>
      <c r="AC71" s="222">
        <f>IF(OR($A71="",$B71&lt;&gt;"Đột xuất",$AA71="Hoàn thành",N($J71)=0,$AW71=0),"",IF(TDBC&lt;=$J71,0,IF(TDBC&gt;=$AW71,1,(TDBC-$J71)/($AW71-$J71))))</f>
      </c>
      <c r="AD71" s="223">
        <f>IF($A71="","",IF($AA71="Hoàn thành","Hoàn thành",IF($AW71=0,"Chưa đặt hạn",IF(TDBC&gt;$AW71,"Quá hạn",IF(AND($B71="Đột xuất",ROUND((N($AC71)-$AB71)*100,0)&gt;=20),"Chậm tiến độ",IF($AP71=NgayBC,"Đến hạn hôm nay",IF($B71="Đột xuất",IF($AW71-TDBC&lt;=1,"Sắp đến hạn","Đúng tiến độ"),IF($AP71-NgayBC&lt;=3,"Sắp đến hạn","Theo lịch"))))))))</f>
      </c>
      <c r="AE71" s="223">
        <f>IF($AV71="","",IF($B71="Định kỳ","Bình quân "&amp;IF($AV71&lt;1,MAX(1,ROUND($AV71*60,0))&amp;" phút",IF(ROUND($AV71,0)&lt;24,ROUND($AV71,0)&amp;" giờ",INT(ROUND($AV71,0)/24)&amp;" ngày"&amp;IF(MOD(ROUND($AV71,0),24)&gt;0," "&amp;MOD(ROUND($AV71,0),24)&amp;" giờ","")))&amp;" mỗi kỳ",IF($AV71&lt;1,MAX(1,ROUND($AV71*60,0))&amp;" phút",IF(ROUND($AV71,0)&lt;24,ROUND($AV71,0)&amp;" giờ",INT(ROUND($AV71,0)/24)&amp;" ngày"&amp;IF(MOD(ROUND($AV71,0),24)&gt;0," "&amp;MOD(ROUND($AV71,0),24)&amp;" giờ","")))))</f>
      </c>
      <c r="AF71" s="223">
        <f>IF(OR($A71="",N($AU71)=0),"",IF($AV71&lt;&gt;"",IF($AV71&lt;=$AU71,"Trong ước tính","Vượt "&amp;IF(($AV71-$AU71)&lt;1,MAX(1,ROUND(($AV71-$AU71)*60,0))&amp;" phút",IF(ROUND(($AV71-$AU71),0)&lt;24,ROUND(($AV71-$AU71),0)&amp;" giờ",INT(ROUND(($AV71-$AU71),0)/24)&amp;" ngày"&amp;IF(MOD(ROUND(($AV71-$AU71),0),24)&gt;0," "&amp;MOD(ROUND(($AV71-$AU71),0),24)&amp;" giờ","")))),IF(OR($B71&lt;&gt;"Đột xuất",$AA71="Hoàn thành",N($J71)=0),"",IF((TDBC-$J71)*24&gt;$AU71,"Đã vượt ước tính","Đã dùng "&amp;TEXT((TDBC-$J71)*24/$AU71,"0%")))))</f>
      </c>
      <c r="AG71" s="223">
        <f>IF(N($BB71)=0,"",CHOOSE($BB71,"Nhắc nhở","Cảnh báo","Báo động","Báo động đỏ"))</f>
      </c>
      <c r="AH71" s="223">
        <f>IF(OR($B71&lt;&gt;"Đột xuất",$AA71&lt;&gt;"Hoàn thành",N($X71)=0,$AW71=0),"",IF($X71&lt;=$AW71,"Đúng hạn","Trễ hạn"))</f>
      </c>
      <c r="AI71" s="220">
        <f>IF($A71="","",_xlfn.MAXIFS('Nhật ký tiến độ'!$B$6:$B$3005,'Nhật ký tiến độ'!$C$6:$C$3005,$A71))</f>
      </c>
      <c r="AJ71" s="225">
        <f>IF(OR($A71="",$B71&lt;&gt;"Định kỳ"),0,IFERROR(INDEX(DM_TanSuatNgay,MATCH($H71,DM_TanSuat,0)),0))</f>
      </c>
      <c r="AK71" s="225">
        <f>IF(OR($A71="",$B71&lt;&gt;"Định kỳ"),0,IFERROR(INDEX(DM_TanSuatThang,MATCH($H71,DM_TanSuat,0)),0))</f>
      </c>
      <c r="AL71" s="225">
        <f>IF(OR($A71="",$B71&lt;&gt;"Định kỳ",N($X71)=0,N($I71)=0),"",IF(INT($X71)&lt;$I71,0,IF($AJ71&gt;0,ROUND((INT($X71)-$I71)/$AJ71,0),IF($AK71&gt;0,ROUND((DATEDIF($I71,INT($X71),"m")+(INT($X71)-EDATE($I71,DATEDIF($I71,INT($X71),"m")))/(EDATE($I71,DATEDIF($I71,INT($X71),"m")+1)-EDATE($I71,DATEDIF($I71,INT($X71),"m"))))/$AK71,0),0))))</f>
      </c>
      <c r="AM71" s="225">
        <f>IF($A71="","",IF(COUNTIF('Nhật ký tiến độ'!$C$6:$C$3005,$A71)=0,0,_xlfn.MAXIFS('Nhật ký tiến độ'!$N$6:$N$3005,'Nhật ký tiến độ'!$C$6:$C$3005,$A71,'Nhật ký tiến độ'!$B$6:$B$3005,_xlfn.MAXIFS('Nhật ký tiến độ'!$B$6:$B$3005,'Nhật ký tiến độ'!$C$6:$C$3005,$A71))))</f>
      </c>
      <c r="AN71" s="225">
        <f>IF($A71="","",IF(N($AM71)=0,"",INDEX('Nhật ký tiến độ'!$E:$E,$AM71)))</f>
      </c>
      <c r="AO71" s="225">
        <f>IF($A71="",0,IF($AA71="Hoàn thành",0,1))</f>
      </c>
      <c r="AP71" s="225">
        <f>IF($AO71=0,0,INT(N($AW71)))</f>
      </c>
      <c r="AQ71" s="225">
        <f>IF(AND($AO71=1,$AJ71&gt;1),$AJ71,0)</f>
      </c>
      <c r="AR71" s="225">
        <f>IF(AND($AO71=1,$AJ71=1),1,0)</f>
      </c>
      <c r="AS71" s="225">
        <f>IF(OR($AO71=0,AND($AR71=1,N($BB71)=0)),"",IF(N($BB71)&gt;0,5-$BB71,IF($AD71="Chậm tiến độ",6,IF($AD71="Đến hạn hôm nay",7,IF(AND($AP71&gt;0,$AP71-NgayBC&lt;=7),8,"")))))</f>
      </c>
      <c r="AT71" s="225">
        <f>IF($AS71="","",$AS71*100000+$AP71+ROW()/100000)</f>
      </c>
      <c r="AU71" s="224">
        <f>IF(OR($A71="",N($R71)&lt;=0),"",IF($S71="Ngày",$R71*24,$R71))</f>
      </c>
      <c r="AV71" s="224">
        <f>IF($A71="","",IF($B71="Đột xuất",IF(OR($AA71&lt;&gt;"Hoàn thành",N($X71)=0,N($J71)=0),"",IF($X71&lt;$J71,"",($X71-$J71)*24)),IFERROR(AVERAGEIFS('Nhật ký tiến độ'!$H$6:$H$3005,'Nhật ký tiến độ'!$C$6:$C$3005,$A71,'Nhật ký tiến độ'!$H$6:$H$3005,"&gt;0"),"")))</f>
      </c>
      <c r="AW71" s="233">
        <f>IF($A71="",0,IF($B71="Đột xuất",$AY71,IF($AX71=0,0,$AX71+1-1/1440)))</f>
      </c>
      <c r="AX71" s="234">
        <f>IF(OR($A71="",$B71&lt;&gt;"Định kỳ",N($I71)=0),0,IF($AL71="",$I71,IF($AJ71&gt;0,$I71+($AL71+1)*$AJ71,IF($AK71&gt;0,EDATE($I71,($AL71+1)*$AK71),$I71))))</f>
      </c>
      <c r="AY71" s="233">
        <f>IF(OR($A71="",$B71&lt;&gt;"Đột xuất"),0,IF(N($K71)&gt;0,IF(MOD($K71,1)=0,$K71+1-1/1440,$K71),IF(N($J71)=0,0,$J71+IF(N($AU71)&gt;0,$AU71,IFERROR(INDEX(DM_SLA_Gio,MATCH($L71,DM_SLA_Cap,0)),168))/24)))</f>
      </c>
      <c r="AZ71" s="225">
        <f>IF(OR($A71="",TRIM($N71)="",COUNTIF('Phản ánh'!$K$6:$K$505,$N71)&gt;0,COUNTIF($N$6:$N71,$N71)&gt;1),0,1)</f>
      </c>
      <c r="BA71" s="225">
        <f>IF($AZ71=1,SUM($AZ$6:$AZ71),"")</f>
      </c>
      <c r="BB71" s="225">
        <f>IF(OR($AO71=0,N($AW71)=0),0,IF(TDBC&lt;=$AW71,0,MAX(1,MIN(4,IF((TDBC-$AW71)*24&lt;24,1,IF((TDBC-$AW71)*24&lt;72,2,IF((TDBC-$AW71)*24&lt;168,3,4)))+IF($B71="Đột xuất",IFERROR(INDEX({2,1,0,-1},MATCH($L71,{"Khẩn cấp","Cao","Trung bình","Thấp"},0)),0),IF($D71="PCCC và an ninh",1,0))))))</f>
      </c>
    </row>
    <row r="72">
      <c r="A72" s="216"/>
      <c r="B72" s="216"/>
      <c r="C72" s="218"/>
      <c r="D72" s="218"/>
      <c r="E72" s="218"/>
      <c r="F72" s="216"/>
      <c r="G72" s="218"/>
      <c r="H72" s="218"/>
      <c r="I72" s="231"/>
      <c r="J72" s="217"/>
      <c r="K72" s="217"/>
      <c r="L72" s="216"/>
      <c r="M72" s="216"/>
      <c r="N72" s="218"/>
      <c r="O72" s="218"/>
      <c r="P72" s="218"/>
      <c r="Q72" s="218"/>
      <c r="R72" s="219"/>
      <c r="S72" s="216"/>
      <c r="T72" s="232"/>
      <c r="U72" s="232"/>
      <c r="V72" s="218"/>
      <c r="W72" s="218"/>
      <c r="X72" s="220">
        <f>IF($A72="","",IF(OR($B72="Định kỳ",$AA72="Hoàn thành"),MAX(_xlfn.MAXIFS('Nhật ký tiến độ'!$B$6:$B$3005,'Nhật ký tiến độ'!$C$6:$C$3005,$A72,'Nhật ký tiến độ'!$E$6:$E$3005,"Hoàn thành kỳ"),_xlfn.MAXIFS('Nhật ký tiến độ'!$B$6:$B$3005,'Nhật ký tiến độ'!$C$6:$C$3005,$A72,'Nhật ký tiến độ'!$E$6:$E$3005,"Hoàn thành")),0))</f>
      </c>
      <c r="Y72" s="220">
        <f>IF($A72="","",IF($B72="Đột xuất",IF($AY72=0,"",$AY72),IF($AX72=0,"",$AX72)))</f>
      </c>
      <c r="Z72" s="223">
        <f>IF(OR($AO72=0,$AW72=0),"",IF(TDBC&gt;$AW72,"Quá "&amp;IF($B72="Định kỳ",(NgayBC-$AP72)&amp;" ngày",IF(((TDBC-$AW72)*24)&lt;1,MAX(1,ROUND(((TDBC-$AW72)*24)*60,0))&amp;" phút",IF(ROUND(((TDBC-$AW72)*24),0)&lt;24,ROUND(((TDBC-$AW72)*24),0)&amp;" giờ",INT(ROUND(((TDBC-$AW72)*24),0)/24)&amp;" ngày"&amp;IF(MOD(ROUND(((TDBC-$AW72)*24),0),24)&gt;0," "&amp;MOD(ROUND(((TDBC-$AW72)*24),0),24)&amp;" giờ","")))),IF($B72="Định kỳ",IF($AP72=NgayBC,"Hôm nay","Còn "&amp;($AP72-NgayBC)&amp;" ngày"),"Còn "&amp;IF((($AW72-TDBC)*24)&lt;1,MAX(1,ROUND((($AW72-TDBC)*24)*60,0))&amp;" phút",IF(ROUND((($AW72-TDBC)*24),0)&lt;24,ROUND((($AW72-TDBC)*24),0)&amp;" giờ",INT(ROUND((($AW72-TDBC)*24),0)/24)&amp;" ngày"&amp;IF(MOD(ROUND((($AW72-TDBC)*24),0),24)&gt;0," "&amp;MOD(ROUND((($AW72-TDBC)*24),0),24)&amp;" giờ",""))))))</f>
      </c>
      <c r="AA72" s="221">
        <f>IF($A72="","",IF(N($AM72)=0,"Chưa bắt đầu",IF(OR($AN72="Hoàn thành kỳ",$AN72="Hoàn thành"),IF($B72="Định kỳ","Chưa bắt đầu","Hoàn thành"),$AN72)))</f>
      </c>
      <c r="AB72" s="222">
        <f>IF($A72="","",IF($AA72="Hoàn thành",1,IF(OR(N($AM72)=0,$AN72="Hoàn thành kỳ",$AN72="Hoàn thành"),0,N(INDEX('Nhật ký tiến độ'!$D:$D,$AM72)))))</f>
      </c>
      <c r="AC72" s="222">
        <f>IF(OR($A72="",$B72&lt;&gt;"Đột xuất",$AA72="Hoàn thành",N($J72)=0,$AW72=0),"",IF(TDBC&lt;=$J72,0,IF(TDBC&gt;=$AW72,1,(TDBC-$J72)/($AW72-$J72))))</f>
      </c>
      <c r="AD72" s="223">
        <f>IF($A72="","",IF($AA72="Hoàn thành","Hoàn thành",IF($AW72=0,"Chưa đặt hạn",IF(TDBC&gt;$AW72,"Quá hạn",IF(AND($B72="Đột xuất",ROUND((N($AC72)-$AB72)*100,0)&gt;=20),"Chậm tiến độ",IF($AP72=NgayBC,"Đến hạn hôm nay",IF($B72="Đột xuất",IF($AW72-TDBC&lt;=1,"Sắp đến hạn","Đúng tiến độ"),IF($AP72-NgayBC&lt;=3,"Sắp đến hạn","Theo lịch"))))))))</f>
      </c>
      <c r="AE72" s="223">
        <f>IF($AV72="","",IF($B72="Định kỳ","Bình quân "&amp;IF($AV72&lt;1,MAX(1,ROUND($AV72*60,0))&amp;" phút",IF(ROUND($AV72,0)&lt;24,ROUND($AV72,0)&amp;" giờ",INT(ROUND($AV72,0)/24)&amp;" ngày"&amp;IF(MOD(ROUND($AV72,0),24)&gt;0," "&amp;MOD(ROUND($AV72,0),24)&amp;" giờ","")))&amp;" mỗi kỳ",IF($AV72&lt;1,MAX(1,ROUND($AV72*60,0))&amp;" phút",IF(ROUND($AV72,0)&lt;24,ROUND($AV72,0)&amp;" giờ",INT(ROUND($AV72,0)/24)&amp;" ngày"&amp;IF(MOD(ROUND($AV72,0),24)&gt;0," "&amp;MOD(ROUND($AV72,0),24)&amp;" giờ","")))))</f>
      </c>
      <c r="AF72" s="223">
        <f>IF(OR($A72="",N($AU72)=0),"",IF($AV72&lt;&gt;"",IF($AV72&lt;=$AU72,"Trong ước tính","Vượt "&amp;IF(($AV72-$AU72)&lt;1,MAX(1,ROUND(($AV72-$AU72)*60,0))&amp;" phút",IF(ROUND(($AV72-$AU72),0)&lt;24,ROUND(($AV72-$AU72),0)&amp;" giờ",INT(ROUND(($AV72-$AU72),0)/24)&amp;" ngày"&amp;IF(MOD(ROUND(($AV72-$AU72),0),24)&gt;0," "&amp;MOD(ROUND(($AV72-$AU72),0),24)&amp;" giờ","")))),IF(OR($B72&lt;&gt;"Đột xuất",$AA72="Hoàn thành",N($J72)=0),"",IF((TDBC-$J72)*24&gt;$AU72,"Đã vượt ước tính","Đã dùng "&amp;TEXT((TDBC-$J72)*24/$AU72,"0%")))))</f>
      </c>
      <c r="AG72" s="223">
        <f>IF(N($BB72)=0,"",CHOOSE($BB72,"Nhắc nhở","Cảnh báo","Báo động","Báo động đỏ"))</f>
      </c>
      <c r="AH72" s="223">
        <f>IF(OR($B72&lt;&gt;"Đột xuất",$AA72&lt;&gt;"Hoàn thành",N($X72)=0,$AW72=0),"",IF($X72&lt;=$AW72,"Đúng hạn","Trễ hạn"))</f>
      </c>
      <c r="AI72" s="220">
        <f>IF($A72="","",_xlfn.MAXIFS('Nhật ký tiến độ'!$B$6:$B$3005,'Nhật ký tiến độ'!$C$6:$C$3005,$A72))</f>
      </c>
      <c r="AJ72" s="225">
        <f>IF(OR($A72="",$B72&lt;&gt;"Định kỳ"),0,IFERROR(INDEX(DM_TanSuatNgay,MATCH($H72,DM_TanSuat,0)),0))</f>
      </c>
      <c r="AK72" s="225">
        <f>IF(OR($A72="",$B72&lt;&gt;"Định kỳ"),0,IFERROR(INDEX(DM_TanSuatThang,MATCH($H72,DM_TanSuat,0)),0))</f>
      </c>
      <c r="AL72" s="225">
        <f>IF(OR($A72="",$B72&lt;&gt;"Định kỳ",N($X72)=0,N($I72)=0),"",IF(INT($X72)&lt;$I72,0,IF($AJ72&gt;0,ROUND((INT($X72)-$I72)/$AJ72,0),IF($AK72&gt;0,ROUND((DATEDIF($I72,INT($X72),"m")+(INT($X72)-EDATE($I72,DATEDIF($I72,INT($X72),"m")))/(EDATE($I72,DATEDIF($I72,INT($X72),"m")+1)-EDATE($I72,DATEDIF($I72,INT($X72),"m"))))/$AK72,0),0))))</f>
      </c>
      <c r="AM72" s="225">
        <f>IF($A72="","",IF(COUNTIF('Nhật ký tiến độ'!$C$6:$C$3005,$A72)=0,0,_xlfn.MAXIFS('Nhật ký tiến độ'!$N$6:$N$3005,'Nhật ký tiến độ'!$C$6:$C$3005,$A72,'Nhật ký tiến độ'!$B$6:$B$3005,_xlfn.MAXIFS('Nhật ký tiến độ'!$B$6:$B$3005,'Nhật ký tiến độ'!$C$6:$C$3005,$A72))))</f>
      </c>
      <c r="AN72" s="225">
        <f>IF($A72="","",IF(N($AM72)=0,"",INDEX('Nhật ký tiến độ'!$E:$E,$AM72)))</f>
      </c>
      <c r="AO72" s="225">
        <f>IF($A72="",0,IF($AA72="Hoàn thành",0,1))</f>
      </c>
      <c r="AP72" s="225">
        <f>IF($AO72=0,0,INT(N($AW72)))</f>
      </c>
      <c r="AQ72" s="225">
        <f>IF(AND($AO72=1,$AJ72&gt;1),$AJ72,0)</f>
      </c>
      <c r="AR72" s="225">
        <f>IF(AND($AO72=1,$AJ72=1),1,0)</f>
      </c>
      <c r="AS72" s="225">
        <f>IF(OR($AO72=0,AND($AR72=1,N($BB72)=0)),"",IF(N($BB72)&gt;0,5-$BB72,IF($AD72="Chậm tiến độ",6,IF($AD72="Đến hạn hôm nay",7,IF(AND($AP72&gt;0,$AP72-NgayBC&lt;=7),8,"")))))</f>
      </c>
      <c r="AT72" s="225">
        <f>IF($AS72="","",$AS72*100000+$AP72+ROW()/100000)</f>
      </c>
      <c r="AU72" s="224">
        <f>IF(OR($A72="",N($R72)&lt;=0),"",IF($S72="Ngày",$R72*24,$R72))</f>
      </c>
      <c r="AV72" s="224">
        <f>IF($A72="","",IF($B72="Đột xuất",IF(OR($AA72&lt;&gt;"Hoàn thành",N($X72)=0,N($J72)=0),"",IF($X72&lt;$J72,"",($X72-$J72)*24)),IFERROR(AVERAGEIFS('Nhật ký tiến độ'!$H$6:$H$3005,'Nhật ký tiến độ'!$C$6:$C$3005,$A72,'Nhật ký tiến độ'!$H$6:$H$3005,"&gt;0"),"")))</f>
      </c>
      <c r="AW72" s="233">
        <f>IF($A72="",0,IF($B72="Đột xuất",$AY72,IF($AX72=0,0,$AX72+1-1/1440)))</f>
      </c>
      <c r="AX72" s="234">
        <f>IF(OR($A72="",$B72&lt;&gt;"Định kỳ",N($I72)=0),0,IF($AL72="",$I72,IF($AJ72&gt;0,$I72+($AL72+1)*$AJ72,IF($AK72&gt;0,EDATE($I72,($AL72+1)*$AK72),$I72))))</f>
      </c>
      <c r="AY72" s="233">
        <f>IF(OR($A72="",$B72&lt;&gt;"Đột xuất"),0,IF(N($K72)&gt;0,IF(MOD($K72,1)=0,$K72+1-1/1440,$K72),IF(N($J72)=0,0,$J72+IF(N($AU72)&gt;0,$AU72,IFERROR(INDEX(DM_SLA_Gio,MATCH($L72,DM_SLA_Cap,0)),168))/24)))</f>
      </c>
      <c r="AZ72" s="225">
        <f>IF(OR($A72="",TRIM($N72)="",COUNTIF('Phản ánh'!$K$6:$K$505,$N72)&gt;0,COUNTIF($N$6:$N72,$N72)&gt;1),0,1)</f>
      </c>
      <c r="BA72" s="225">
        <f>IF($AZ72=1,SUM($AZ$6:$AZ72),"")</f>
      </c>
      <c r="BB72" s="225">
        <f>IF(OR($AO72=0,N($AW72)=0),0,IF(TDBC&lt;=$AW72,0,MAX(1,MIN(4,IF((TDBC-$AW72)*24&lt;24,1,IF((TDBC-$AW72)*24&lt;72,2,IF((TDBC-$AW72)*24&lt;168,3,4)))+IF($B72="Đột xuất",IFERROR(INDEX({2,1,0,-1},MATCH($L72,{"Khẩn cấp","Cao","Trung bình","Thấp"},0)),0),IF($D72="PCCC và an ninh",1,0))))))</f>
      </c>
    </row>
    <row r="73">
      <c r="A73" s="216"/>
      <c r="B73" s="216"/>
      <c r="C73" s="218"/>
      <c r="D73" s="218"/>
      <c r="E73" s="218"/>
      <c r="F73" s="216"/>
      <c r="G73" s="218"/>
      <c r="H73" s="218"/>
      <c r="I73" s="231"/>
      <c r="J73" s="217"/>
      <c r="K73" s="217"/>
      <c r="L73" s="216"/>
      <c r="M73" s="216"/>
      <c r="N73" s="218"/>
      <c r="O73" s="218"/>
      <c r="P73" s="218"/>
      <c r="Q73" s="218"/>
      <c r="R73" s="219"/>
      <c r="S73" s="216"/>
      <c r="T73" s="232"/>
      <c r="U73" s="232"/>
      <c r="V73" s="218"/>
      <c r="W73" s="218"/>
      <c r="X73" s="220">
        <f>IF($A73="","",IF(OR($B73="Định kỳ",$AA73="Hoàn thành"),MAX(_xlfn.MAXIFS('Nhật ký tiến độ'!$B$6:$B$3005,'Nhật ký tiến độ'!$C$6:$C$3005,$A73,'Nhật ký tiến độ'!$E$6:$E$3005,"Hoàn thành kỳ"),_xlfn.MAXIFS('Nhật ký tiến độ'!$B$6:$B$3005,'Nhật ký tiến độ'!$C$6:$C$3005,$A73,'Nhật ký tiến độ'!$E$6:$E$3005,"Hoàn thành")),0))</f>
      </c>
      <c r="Y73" s="220">
        <f>IF($A73="","",IF($B73="Đột xuất",IF($AY73=0,"",$AY73),IF($AX73=0,"",$AX73)))</f>
      </c>
      <c r="Z73" s="223">
        <f>IF(OR($AO73=0,$AW73=0),"",IF(TDBC&gt;$AW73,"Quá "&amp;IF($B73="Định kỳ",(NgayBC-$AP73)&amp;" ngày",IF(((TDBC-$AW73)*24)&lt;1,MAX(1,ROUND(((TDBC-$AW73)*24)*60,0))&amp;" phút",IF(ROUND(((TDBC-$AW73)*24),0)&lt;24,ROUND(((TDBC-$AW73)*24),0)&amp;" giờ",INT(ROUND(((TDBC-$AW73)*24),0)/24)&amp;" ngày"&amp;IF(MOD(ROUND(((TDBC-$AW73)*24),0),24)&gt;0," "&amp;MOD(ROUND(((TDBC-$AW73)*24),0),24)&amp;" giờ","")))),IF($B73="Định kỳ",IF($AP73=NgayBC,"Hôm nay","Còn "&amp;($AP73-NgayBC)&amp;" ngày"),"Còn "&amp;IF((($AW73-TDBC)*24)&lt;1,MAX(1,ROUND((($AW73-TDBC)*24)*60,0))&amp;" phút",IF(ROUND((($AW73-TDBC)*24),0)&lt;24,ROUND((($AW73-TDBC)*24),0)&amp;" giờ",INT(ROUND((($AW73-TDBC)*24),0)/24)&amp;" ngày"&amp;IF(MOD(ROUND((($AW73-TDBC)*24),0),24)&gt;0," "&amp;MOD(ROUND((($AW73-TDBC)*24),0),24)&amp;" giờ",""))))))</f>
      </c>
      <c r="AA73" s="221">
        <f>IF($A73="","",IF(N($AM73)=0,"Chưa bắt đầu",IF(OR($AN73="Hoàn thành kỳ",$AN73="Hoàn thành"),IF($B73="Định kỳ","Chưa bắt đầu","Hoàn thành"),$AN73)))</f>
      </c>
      <c r="AB73" s="222">
        <f>IF($A73="","",IF($AA73="Hoàn thành",1,IF(OR(N($AM73)=0,$AN73="Hoàn thành kỳ",$AN73="Hoàn thành"),0,N(INDEX('Nhật ký tiến độ'!$D:$D,$AM73)))))</f>
      </c>
      <c r="AC73" s="222">
        <f>IF(OR($A73="",$B73&lt;&gt;"Đột xuất",$AA73="Hoàn thành",N($J73)=0,$AW73=0),"",IF(TDBC&lt;=$J73,0,IF(TDBC&gt;=$AW73,1,(TDBC-$J73)/($AW73-$J73))))</f>
      </c>
      <c r="AD73" s="223">
        <f>IF($A73="","",IF($AA73="Hoàn thành","Hoàn thành",IF($AW73=0,"Chưa đặt hạn",IF(TDBC&gt;$AW73,"Quá hạn",IF(AND($B73="Đột xuất",ROUND((N($AC73)-$AB73)*100,0)&gt;=20),"Chậm tiến độ",IF($AP73=NgayBC,"Đến hạn hôm nay",IF($B73="Đột xuất",IF($AW73-TDBC&lt;=1,"Sắp đến hạn","Đúng tiến độ"),IF($AP73-NgayBC&lt;=3,"Sắp đến hạn","Theo lịch"))))))))</f>
      </c>
      <c r="AE73" s="223">
        <f>IF($AV73="","",IF($B73="Định kỳ","Bình quân "&amp;IF($AV73&lt;1,MAX(1,ROUND($AV73*60,0))&amp;" phút",IF(ROUND($AV73,0)&lt;24,ROUND($AV73,0)&amp;" giờ",INT(ROUND($AV73,0)/24)&amp;" ngày"&amp;IF(MOD(ROUND($AV73,0),24)&gt;0," "&amp;MOD(ROUND($AV73,0),24)&amp;" giờ","")))&amp;" mỗi kỳ",IF($AV73&lt;1,MAX(1,ROUND($AV73*60,0))&amp;" phút",IF(ROUND($AV73,0)&lt;24,ROUND($AV73,0)&amp;" giờ",INT(ROUND($AV73,0)/24)&amp;" ngày"&amp;IF(MOD(ROUND($AV73,0),24)&gt;0," "&amp;MOD(ROUND($AV73,0),24)&amp;" giờ","")))))</f>
      </c>
      <c r="AF73" s="223">
        <f>IF(OR($A73="",N($AU73)=0),"",IF($AV73&lt;&gt;"",IF($AV73&lt;=$AU73,"Trong ước tính","Vượt "&amp;IF(($AV73-$AU73)&lt;1,MAX(1,ROUND(($AV73-$AU73)*60,0))&amp;" phút",IF(ROUND(($AV73-$AU73),0)&lt;24,ROUND(($AV73-$AU73),0)&amp;" giờ",INT(ROUND(($AV73-$AU73),0)/24)&amp;" ngày"&amp;IF(MOD(ROUND(($AV73-$AU73),0),24)&gt;0," "&amp;MOD(ROUND(($AV73-$AU73),0),24)&amp;" giờ","")))),IF(OR($B73&lt;&gt;"Đột xuất",$AA73="Hoàn thành",N($J73)=0),"",IF((TDBC-$J73)*24&gt;$AU73,"Đã vượt ước tính","Đã dùng "&amp;TEXT((TDBC-$J73)*24/$AU73,"0%")))))</f>
      </c>
      <c r="AG73" s="223">
        <f>IF(N($BB73)=0,"",CHOOSE($BB73,"Nhắc nhở","Cảnh báo","Báo động","Báo động đỏ"))</f>
      </c>
      <c r="AH73" s="223">
        <f>IF(OR($B73&lt;&gt;"Đột xuất",$AA73&lt;&gt;"Hoàn thành",N($X73)=0,$AW73=0),"",IF($X73&lt;=$AW73,"Đúng hạn","Trễ hạn"))</f>
      </c>
      <c r="AI73" s="220">
        <f>IF($A73="","",_xlfn.MAXIFS('Nhật ký tiến độ'!$B$6:$B$3005,'Nhật ký tiến độ'!$C$6:$C$3005,$A73))</f>
      </c>
      <c r="AJ73" s="225">
        <f>IF(OR($A73="",$B73&lt;&gt;"Định kỳ"),0,IFERROR(INDEX(DM_TanSuatNgay,MATCH($H73,DM_TanSuat,0)),0))</f>
      </c>
      <c r="AK73" s="225">
        <f>IF(OR($A73="",$B73&lt;&gt;"Định kỳ"),0,IFERROR(INDEX(DM_TanSuatThang,MATCH($H73,DM_TanSuat,0)),0))</f>
      </c>
      <c r="AL73" s="225">
        <f>IF(OR($A73="",$B73&lt;&gt;"Định kỳ",N($X73)=0,N($I73)=0),"",IF(INT($X73)&lt;$I73,0,IF($AJ73&gt;0,ROUND((INT($X73)-$I73)/$AJ73,0),IF($AK73&gt;0,ROUND((DATEDIF($I73,INT($X73),"m")+(INT($X73)-EDATE($I73,DATEDIF($I73,INT($X73),"m")))/(EDATE($I73,DATEDIF($I73,INT($X73),"m")+1)-EDATE($I73,DATEDIF($I73,INT($X73),"m"))))/$AK73,0),0))))</f>
      </c>
      <c r="AM73" s="225">
        <f>IF($A73="","",IF(COUNTIF('Nhật ký tiến độ'!$C$6:$C$3005,$A73)=0,0,_xlfn.MAXIFS('Nhật ký tiến độ'!$N$6:$N$3005,'Nhật ký tiến độ'!$C$6:$C$3005,$A73,'Nhật ký tiến độ'!$B$6:$B$3005,_xlfn.MAXIFS('Nhật ký tiến độ'!$B$6:$B$3005,'Nhật ký tiến độ'!$C$6:$C$3005,$A73))))</f>
      </c>
      <c r="AN73" s="225">
        <f>IF($A73="","",IF(N($AM73)=0,"",INDEX('Nhật ký tiến độ'!$E:$E,$AM73)))</f>
      </c>
      <c r="AO73" s="225">
        <f>IF($A73="",0,IF($AA73="Hoàn thành",0,1))</f>
      </c>
      <c r="AP73" s="225">
        <f>IF($AO73=0,0,INT(N($AW73)))</f>
      </c>
      <c r="AQ73" s="225">
        <f>IF(AND($AO73=1,$AJ73&gt;1),$AJ73,0)</f>
      </c>
      <c r="AR73" s="225">
        <f>IF(AND($AO73=1,$AJ73=1),1,0)</f>
      </c>
      <c r="AS73" s="225">
        <f>IF(OR($AO73=0,AND($AR73=1,N($BB73)=0)),"",IF(N($BB73)&gt;0,5-$BB73,IF($AD73="Chậm tiến độ",6,IF($AD73="Đến hạn hôm nay",7,IF(AND($AP73&gt;0,$AP73-NgayBC&lt;=7),8,"")))))</f>
      </c>
      <c r="AT73" s="225">
        <f>IF($AS73="","",$AS73*100000+$AP73+ROW()/100000)</f>
      </c>
      <c r="AU73" s="224">
        <f>IF(OR($A73="",N($R73)&lt;=0),"",IF($S73="Ngày",$R73*24,$R73))</f>
      </c>
      <c r="AV73" s="224">
        <f>IF($A73="","",IF($B73="Đột xuất",IF(OR($AA73&lt;&gt;"Hoàn thành",N($X73)=0,N($J73)=0),"",IF($X73&lt;$J73,"",($X73-$J73)*24)),IFERROR(AVERAGEIFS('Nhật ký tiến độ'!$H$6:$H$3005,'Nhật ký tiến độ'!$C$6:$C$3005,$A73,'Nhật ký tiến độ'!$H$6:$H$3005,"&gt;0"),"")))</f>
      </c>
      <c r="AW73" s="233">
        <f>IF($A73="",0,IF($B73="Đột xuất",$AY73,IF($AX73=0,0,$AX73+1-1/1440)))</f>
      </c>
      <c r="AX73" s="234">
        <f>IF(OR($A73="",$B73&lt;&gt;"Định kỳ",N($I73)=0),0,IF($AL73="",$I73,IF($AJ73&gt;0,$I73+($AL73+1)*$AJ73,IF($AK73&gt;0,EDATE($I73,($AL73+1)*$AK73),$I73))))</f>
      </c>
      <c r="AY73" s="233">
        <f>IF(OR($A73="",$B73&lt;&gt;"Đột xuất"),0,IF(N($K73)&gt;0,IF(MOD($K73,1)=0,$K73+1-1/1440,$K73),IF(N($J73)=0,0,$J73+IF(N($AU73)&gt;0,$AU73,IFERROR(INDEX(DM_SLA_Gio,MATCH($L73,DM_SLA_Cap,0)),168))/24)))</f>
      </c>
      <c r="AZ73" s="225">
        <f>IF(OR($A73="",TRIM($N73)="",COUNTIF('Phản ánh'!$K$6:$K$505,$N73)&gt;0,COUNTIF($N$6:$N73,$N73)&gt;1),0,1)</f>
      </c>
      <c r="BA73" s="225">
        <f>IF($AZ73=1,SUM($AZ$6:$AZ73),"")</f>
      </c>
      <c r="BB73" s="225">
        <f>IF(OR($AO73=0,N($AW73)=0),0,IF(TDBC&lt;=$AW73,0,MAX(1,MIN(4,IF((TDBC-$AW73)*24&lt;24,1,IF((TDBC-$AW73)*24&lt;72,2,IF((TDBC-$AW73)*24&lt;168,3,4)))+IF($B73="Đột xuất",IFERROR(INDEX({2,1,0,-1},MATCH($L73,{"Khẩn cấp","Cao","Trung bình","Thấp"},0)),0),IF($D73="PCCC và an ninh",1,0))))))</f>
      </c>
    </row>
    <row r="74">
      <c r="A74" s="216"/>
      <c r="B74" s="216"/>
      <c r="C74" s="218"/>
      <c r="D74" s="218"/>
      <c r="E74" s="218"/>
      <c r="F74" s="216"/>
      <c r="G74" s="218"/>
      <c r="H74" s="218"/>
      <c r="I74" s="231"/>
      <c r="J74" s="217"/>
      <c r="K74" s="217"/>
      <c r="L74" s="216"/>
      <c r="M74" s="216"/>
      <c r="N74" s="218"/>
      <c r="O74" s="218"/>
      <c r="P74" s="218"/>
      <c r="Q74" s="218"/>
      <c r="R74" s="219"/>
      <c r="S74" s="216"/>
      <c r="T74" s="232"/>
      <c r="U74" s="232"/>
      <c r="V74" s="218"/>
      <c r="W74" s="218"/>
      <c r="X74" s="220">
        <f>IF($A74="","",IF(OR($B74="Định kỳ",$AA74="Hoàn thành"),MAX(_xlfn.MAXIFS('Nhật ký tiến độ'!$B$6:$B$3005,'Nhật ký tiến độ'!$C$6:$C$3005,$A74,'Nhật ký tiến độ'!$E$6:$E$3005,"Hoàn thành kỳ"),_xlfn.MAXIFS('Nhật ký tiến độ'!$B$6:$B$3005,'Nhật ký tiến độ'!$C$6:$C$3005,$A74,'Nhật ký tiến độ'!$E$6:$E$3005,"Hoàn thành")),0))</f>
      </c>
      <c r="Y74" s="220">
        <f>IF($A74="","",IF($B74="Đột xuất",IF($AY74=0,"",$AY74),IF($AX74=0,"",$AX74)))</f>
      </c>
      <c r="Z74" s="223">
        <f>IF(OR($AO74=0,$AW74=0),"",IF(TDBC&gt;$AW74,"Quá "&amp;IF($B74="Định kỳ",(NgayBC-$AP74)&amp;" ngày",IF(((TDBC-$AW74)*24)&lt;1,MAX(1,ROUND(((TDBC-$AW74)*24)*60,0))&amp;" phút",IF(ROUND(((TDBC-$AW74)*24),0)&lt;24,ROUND(((TDBC-$AW74)*24),0)&amp;" giờ",INT(ROUND(((TDBC-$AW74)*24),0)/24)&amp;" ngày"&amp;IF(MOD(ROUND(((TDBC-$AW74)*24),0),24)&gt;0," "&amp;MOD(ROUND(((TDBC-$AW74)*24),0),24)&amp;" giờ","")))),IF($B74="Định kỳ",IF($AP74=NgayBC,"Hôm nay","Còn "&amp;($AP74-NgayBC)&amp;" ngày"),"Còn "&amp;IF((($AW74-TDBC)*24)&lt;1,MAX(1,ROUND((($AW74-TDBC)*24)*60,0))&amp;" phút",IF(ROUND((($AW74-TDBC)*24),0)&lt;24,ROUND((($AW74-TDBC)*24),0)&amp;" giờ",INT(ROUND((($AW74-TDBC)*24),0)/24)&amp;" ngày"&amp;IF(MOD(ROUND((($AW74-TDBC)*24),0),24)&gt;0," "&amp;MOD(ROUND((($AW74-TDBC)*24),0),24)&amp;" giờ",""))))))</f>
      </c>
      <c r="AA74" s="221">
        <f>IF($A74="","",IF(N($AM74)=0,"Chưa bắt đầu",IF(OR($AN74="Hoàn thành kỳ",$AN74="Hoàn thành"),IF($B74="Định kỳ","Chưa bắt đầu","Hoàn thành"),$AN74)))</f>
      </c>
      <c r="AB74" s="222">
        <f>IF($A74="","",IF($AA74="Hoàn thành",1,IF(OR(N($AM74)=0,$AN74="Hoàn thành kỳ",$AN74="Hoàn thành"),0,N(INDEX('Nhật ký tiến độ'!$D:$D,$AM74)))))</f>
      </c>
      <c r="AC74" s="222">
        <f>IF(OR($A74="",$B74&lt;&gt;"Đột xuất",$AA74="Hoàn thành",N($J74)=0,$AW74=0),"",IF(TDBC&lt;=$J74,0,IF(TDBC&gt;=$AW74,1,(TDBC-$J74)/($AW74-$J74))))</f>
      </c>
      <c r="AD74" s="223">
        <f>IF($A74="","",IF($AA74="Hoàn thành","Hoàn thành",IF($AW74=0,"Chưa đặt hạn",IF(TDBC&gt;$AW74,"Quá hạn",IF(AND($B74="Đột xuất",ROUND((N($AC74)-$AB74)*100,0)&gt;=20),"Chậm tiến độ",IF($AP74=NgayBC,"Đến hạn hôm nay",IF($B74="Đột xuất",IF($AW74-TDBC&lt;=1,"Sắp đến hạn","Đúng tiến độ"),IF($AP74-NgayBC&lt;=3,"Sắp đến hạn","Theo lịch"))))))))</f>
      </c>
      <c r="AE74" s="223">
        <f>IF($AV74="","",IF($B74="Định kỳ","Bình quân "&amp;IF($AV74&lt;1,MAX(1,ROUND($AV74*60,0))&amp;" phút",IF(ROUND($AV74,0)&lt;24,ROUND($AV74,0)&amp;" giờ",INT(ROUND($AV74,0)/24)&amp;" ngày"&amp;IF(MOD(ROUND($AV74,0),24)&gt;0," "&amp;MOD(ROUND($AV74,0),24)&amp;" giờ","")))&amp;" mỗi kỳ",IF($AV74&lt;1,MAX(1,ROUND($AV74*60,0))&amp;" phút",IF(ROUND($AV74,0)&lt;24,ROUND($AV74,0)&amp;" giờ",INT(ROUND($AV74,0)/24)&amp;" ngày"&amp;IF(MOD(ROUND($AV74,0),24)&gt;0," "&amp;MOD(ROUND($AV74,0),24)&amp;" giờ","")))))</f>
      </c>
      <c r="AF74" s="223">
        <f>IF(OR($A74="",N($AU74)=0),"",IF($AV74&lt;&gt;"",IF($AV74&lt;=$AU74,"Trong ước tính","Vượt "&amp;IF(($AV74-$AU74)&lt;1,MAX(1,ROUND(($AV74-$AU74)*60,0))&amp;" phút",IF(ROUND(($AV74-$AU74),0)&lt;24,ROUND(($AV74-$AU74),0)&amp;" giờ",INT(ROUND(($AV74-$AU74),0)/24)&amp;" ngày"&amp;IF(MOD(ROUND(($AV74-$AU74),0),24)&gt;0," "&amp;MOD(ROUND(($AV74-$AU74),0),24)&amp;" giờ","")))),IF(OR($B74&lt;&gt;"Đột xuất",$AA74="Hoàn thành",N($J74)=0),"",IF((TDBC-$J74)*24&gt;$AU74,"Đã vượt ước tính","Đã dùng "&amp;TEXT((TDBC-$J74)*24/$AU74,"0%")))))</f>
      </c>
      <c r="AG74" s="223">
        <f>IF(N($BB74)=0,"",CHOOSE($BB74,"Nhắc nhở","Cảnh báo","Báo động","Báo động đỏ"))</f>
      </c>
      <c r="AH74" s="223">
        <f>IF(OR($B74&lt;&gt;"Đột xuất",$AA74&lt;&gt;"Hoàn thành",N($X74)=0,$AW74=0),"",IF($X74&lt;=$AW74,"Đúng hạn","Trễ hạn"))</f>
      </c>
      <c r="AI74" s="220">
        <f>IF($A74="","",_xlfn.MAXIFS('Nhật ký tiến độ'!$B$6:$B$3005,'Nhật ký tiến độ'!$C$6:$C$3005,$A74))</f>
      </c>
      <c r="AJ74" s="225">
        <f>IF(OR($A74="",$B74&lt;&gt;"Định kỳ"),0,IFERROR(INDEX(DM_TanSuatNgay,MATCH($H74,DM_TanSuat,0)),0))</f>
      </c>
      <c r="AK74" s="225">
        <f>IF(OR($A74="",$B74&lt;&gt;"Định kỳ"),0,IFERROR(INDEX(DM_TanSuatThang,MATCH($H74,DM_TanSuat,0)),0))</f>
      </c>
      <c r="AL74" s="225">
        <f>IF(OR($A74="",$B74&lt;&gt;"Định kỳ",N($X74)=0,N($I74)=0),"",IF(INT($X74)&lt;$I74,0,IF($AJ74&gt;0,ROUND((INT($X74)-$I74)/$AJ74,0),IF($AK74&gt;0,ROUND((DATEDIF($I74,INT($X74),"m")+(INT($X74)-EDATE($I74,DATEDIF($I74,INT($X74),"m")))/(EDATE($I74,DATEDIF($I74,INT($X74),"m")+1)-EDATE($I74,DATEDIF($I74,INT($X74),"m"))))/$AK74,0),0))))</f>
      </c>
      <c r="AM74" s="225">
        <f>IF($A74="","",IF(COUNTIF('Nhật ký tiến độ'!$C$6:$C$3005,$A74)=0,0,_xlfn.MAXIFS('Nhật ký tiến độ'!$N$6:$N$3005,'Nhật ký tiến độ'!$C$6:$C$3005,$A74,'Nhật ký tiến độ'!$B$6:$B$3005,_xlfn.MAXIFS('Nhật ký tiến độ'!$B$6:$B$3005,'Nhật ký tiến độ'!$C$6:$C$3005,$A74))))</f>
      </c>
      <c r="AN74" s="225">
        <f>IF($A74="","",IF(N($AM74)=0,"",INDEX('Nhật ký tiến độ'!$E:$E,$AM74)))</f>
      </c>
      <c r="AO74" s="225">
        <f>IF($A74="",0,IF($AA74="Hoàn thành",0,1))</f>
      </c>
      <c r="AP74" s="225">
        <f>IF($AO74=0,0,INT(N($AW74)))</f>
      </c>
      <c r="AQ74" s="225">
        <f>IF(AND($AO74=1,$AJ74&gt;1),$AJ74,0)</f>
      </c>
      <c r="AR74" s="225">
        <f>IF(AND($AO74=1,$AJ74=1),1,0)</f>
      </c>
      <c r="AS74" s="225">
        <f>IF(OR($AO74=0,AND($AR74=1,N($BB74)=0)),"",IF(N($BB74)&gt;0,5-$BB74,IF($AD74="Chậm tiến độ",6,IF($AD74="Đến hạn hôm nay",7,IF(AND($AP74&gt;0,$AP74-NgayBC&lt;=7),8,"")))))</f>
      </c>
      <c r="AT74" s="225">
        <f>IF($AS74="","",$AS74*100000+$AP74+ROW()/100000)</f>
      </c>
      <c r="AU74" s="224">
        <f>IF(OR($A74="",N($R74)&lt;=0),"",IF($S74="Ngày",$R74*24,$R74))</f>
      </c>
      <c r="AV74" s="224">
        <f>IF($A74="","",IF($B74="Đột xuất",IF(OR($AA74&lt;&gt;"Hoàn thành",N($X74)=0,N($J74)=0),"",IF($X74&lt;$J74,"",($X74-$J74)*24)),IFERROR(AVERAGEIFS('Nhật ký tiến độ'!$H$6:$H$3005,'Nhật ký tiến độ'!$C$6:$C$3005,$A74,'Nhật ký tiến độ'!$H$6:$H$3005,"&gt;0"),"")))</f>
      </c>
      <c r="AW74" s="233">
        <f>IF($A74="",0,IF($B74="Đột xuất",$AY74,IF($AX74=0,0,$AX74+1-1/1440)))</f>
      </c>
      <c r="AX74" s="234">
        <f>IF(OR($A74="",$B74&lt;&gt;"Định kỳ",N($I74)=0),0,IF($AL74="",$I74,IF($AJ74&gt;0,$I74+($AL74+1)*$AJ74,IF($AK74&gt;0,EDATE($I74,($AL74+1)*$AK74),$I74))))</f>
      </c>
      <c r="AY74" s="233">
        <f>IF(OR($A74="",$B74&lt;&gt;"Đột xuất"),0,IF(N($K74)&gt;0,IF(MOD($K74,1)=0,$K74+1-1/1440,$K74),IF(N($J74)=0,0,$J74+IF(N($AU74)&gt;0,$AU74,IFERROR(INDEX(DM_SLA_Gio,MATCH($L74,DM_SLA_Cap,0)),168))/24)))</f>
      </c>
      <c r="AZ74" s="225">
        <f>IF(OR($A74="",TRIM($N74)="",COUNTIF('Phản ánh'!$K$6:$K$505,$N74)&gt;0,COUNTIF($N$6:$N74,$N74)&gt;1),0,1)</f>
      </c>
      <c r="BA74" s="225">
        <f>IF($AZ74=1,SUM($AZ$6:$AZ74),"")</f>
      </c>
      <c r="BB74" s="225">
        <f>IF(OR($AO74=0,N($AW74)=0),0,IF(TDBC&lt;=$AW74,0,MAX(1,MIN(4,IF((TDBC-$AW74)*24&lt;24,1,IF((TDBC-$AW74)*24&lt;72,2,IF((TDBC-$AW74)*24&lt;168,3,4)))+IF($B74="Đột xuất",IFERROR(INDEX({2,1,0,-1},MATCH($L74,{"Khẩn cấp","Cao","Trung bình","Thấp"},0)),0),IF($D74="PCCC và an ninh",1,0))))))</f>
      </c>
    </row>
    <row r="75">
      <c r="A75" s="216"/>
      <c r="B75" s="216"/>
      <c r="C75" s="218"/>
      <c r="D75" s="218"/>
      <c r="E75" s="218"/>
      <c r="F75" s="216"/>
      <c r="G75" s="218"/>
      <c r="H75" s="218"/>
      <c r="I75" s="231"/>
      <c r="J75" s="217"/>
      <c r="K75" s="217"/>
      <c r="L75" s="216"/>
      <c r="M75" s="216"/>
      <c r="N75" s="218"/>
      <c r="O75" s="218"/>
      <c r="P75" s="218"/>
      <c r="Q75" s="218"/>
      <c r="R75" s="219"/>
      <c r="S75" s="216"/>
      <c r="T75" s="232"/>
      <c r="U75" s="232"/>
      <c r="V75" s="218"/>
      <c r="W75" s="218"/>
      <c r="X75" s="220">
        <f>IF($A75="","",IF(OR($B75="Định kỳ",$AA75="Hoàn thành"),MAX(_xlfn.MAXIFS('Nhật ký tiến độ'!$B$6:$B$3005,'Nhật ký tiến độ'!$C$6:$C$3005,$A75,'Nhật ký tiến độ'!$E$6:$E$3005,"Hoàn thành kỳ"),_xlfn.MAXIFS('Nhật ký tiến độ'!$B$6:$B$3005,'Nhật ký tiến độ'!$C$6:$C$3005,$A75,'Nhật ký tiến độ'!$E$6:$E$3005,"Hoàn thành")),0))</f>
      </c>
      <c r="Y75" s="220">
        <f>IF($A75="","",IF($B75="Đột xuất",IF($AY75=0,"",$AY75),IF($AX75=0,"",$AX75)))</f>
      </c>
      <c r="Z75" s="223">
        <f>IF(OR($AO75=0,$AW75=0),"",IF(TDBC&gt;$AW75,"Quá "&amp;IF($B75="Định kỳ",(NgayBC-$AP75)&amp;" ngày",IF(((TDBC-$AW75)*24)&lt;1,MAX(1,ROUND(((TDBC-$AW75)*24)*60,0))&amp;" phút",IF(ROUND(((TDBC-$AW75)*24),0)&lt;24,ROUND(((TDBC-$AW75)*24),0)&amp;" giờ",INT(ROUND(((TDBC-$AW75)*24),0)/24)&amp;" ngày"&amp;IF(MOD(ROUND(((TDBC-$AW75)*24),0),24)&gt;0," "&amp;MOD(ROUND(((TDBC-$AW75)*24),0),24)&amp;" giờ","")))),IF($B75="Định kỳ",IF($AP75=NgayBC,"Hôm nay","Còn "&amp;($AP75-NgayBC)&amp;" ngày"),"Còn "&amp;IF((($AW75-TDBC)*24)&lt;1,MAX(1,ROUND((($AW75-TDBC)*24)*60,0))&amp;" phút",IF(ROUND((($AW75-TDBC)*24),0)&lt;24,ROUND((($AW75-TDBC)*24),0)&amp;" giờ",INT(ROUND((($AW75-TDBC)*24),0)/24)&amp;" ngày"&amp;IF(MOD(ROUND((($AW75-TDBC)*24),0),24)&gt;0," "&amp;MOD(ROUND((($AW75-TDBC)*24),0),24)&amp;" giờ",""))))))</f>
      </c>
      <c r="AA75" s="221">
        <f>IF($A75="","",IF(N($AM75)=0,"Chưa bắt đầu",IF(OR($AN75="Hoàn thành kỳ",$AN75="Hoàn thành"),IF($B75="Định kỳ","Chưa bắt đầu","Hoàn thành"),$AN75)))</f>
      </c>
      <c r="AB75" s="222">
        <f>IF($A75="","",IF($AA75="Hoàn thành",1,IF(OR(N($AM75)=0,$AN75="Hoàn thành kỳ",$AN75="Hoàn thành"),0,N(INDEX('Nhật ký tiến độ'!$D:$D,$AM75)))))</f>
      </c>
      <c r="AC75" s="222">
        <f>IF(OR($A75="",$B75&lt;&gt;"Đột xuất",$AA75="Hoàn thành",N($J75)=0,$AW75=0),"",IF(TDBC&lt;=$J75,0,IF(TDBC&gt;=$AW75,1,(TDBC-$J75)/($AW75-$J75))))</f>
      </c>
      <c r="AD75" s="223">
        <f>IF($A75="","",IF($AA75="Hoàn thành","Hoàn thành",IF($AW75=0,"Chưa đặt hạn",IF(TDBC&gt;$AW75,"Quá hạn",IF(AND($B75="Đột xuất",ROUND((N($AC75)-$AB75)*100,0)&gt;=20),"Chậm tiến độ",IF($AP75=NgayBC,"Đến hạn hôm nay",IF($B75="Đột xuất",IF($AW75-TDBC&lt;=1,"Sắp đến hạn","Đúng tiến độ"),IF($AP75-NgayBC&lt;=3,"Sắp đến hạn","Theo lịch"))))))))</f>
      </c>
      <c r="AE75" s="223">
        <f>IF($AV75="","",IF($B75="Định kỳ","Bình quân "&amp;IF($AV75&lt;1,MAX(1,ROUND($AV75*60,0))&amp;" phút",IF(ROUND($AV75,0)&lt;24,ROUND($AV75,0)&amp;" giờ",INT(ROUND($AV75,0)/24)&amp;" ngày"&amp;IF(MOD(ROUND($AV75,0),24)&gt;0," "&amp;MOD(ROUND($AV75,0),24)&amp;" giờ","")))&amp;" mỗi kỳ",IF($AV75&lt;1,MAX(1,ROUND($AV75*60,0))&amp;" phút",IF(ROUND($AV75,0)&lt;24,ROUND($AV75,0)&amp;" giờ",INT(ROUND($AV75,0)/24)&amp;" ngày"&amp;IF(MOD(ROUND($AV75,0),24)&gt;0," "&amp;MOD(ROUND($AV75,0),24)&amp;" giờ","")))))</f>
      </c>
      <c r="AF75" s="223">
        <f>IF(OR($A75="",N($AU75)=0),"",IF($AV75&lt;&gt;"",IF($AV75&lt;=$AU75,"Trong ước tính","Vượt "&amp;IF(($AV75-$AU75)&lt;1,MAX(1,ROUND(($AV75-$AU75)*60,0))&amp;" phút",IF(ROUND(($AV75-$AU75),0)&lt;24,ROUND(($AV75-$AU75),0)&amp;" giờ",INT(ROUND(($AV75-$AU75),0)/24)&amp;" ngày"&amp;IF(MOD(ROUND(($AV75-$AU75),0),24)&gt;0," "&amp;MOD(ROUND(($AV75-$AU75),0),24)&amp;" giờ","")))),IF(OR($B75&lt;&gt;"Đột xuất",$AA75="Hoàn thành",N($J75)=0),"",IF((TDBC-$J75)*24&gt;$AU75,"Đã vượt ước tính","Đã dùng "&amp;TEXT((TDBC-$J75)*24/$AU75,"0%")))))</f>
      </c>
      <c r="AG75" s="223">
        <f>IF(N($BB75)=0,"",CHOOSE($BB75,"Nhắc nhở","Cảnh báo","Báo động","Báo động đỏ"))</f>
      </c>
      <c r="AH75" s="223">
        <f>IF(OR($B75&lt;&gt;"Đột xuất",$AA75&lt;&gt;"Hoàn thành",N($X75)=0,$AW75=0),"",IF($X75&lt;=$AW75,"Đúng hạn","Trễ hạn"))</f>
      </c>
      <c r="AI75" s="220">
        <f>IF($A75="","",_xlfn.MAXIFS('Nhật ký tiến độ'!$B$6:$B$3005,'Nhật ký tiến độ'!$C$6:$C$3005,$A75))</f>
      </c>
      <c r="AJ75" s="225">
        <f>IF(OR($A75="",$B75&lt;&gt;"Định kỳ"),0,IFERROR(INDEX(DM_TanSuatNgay,MATCH($H75,DM_TanSuat,0)),0))</f>
      </c>
      <c r="AK75" s="225">
        <f>IF(OR($A75="",$B75&lt;&gt;"Định kỳ"),0,IFERROR(INDEX(DM_TanSuatThang,MATCH($H75,DM_TanSuat,0)),0))</f>
      </c>
      <c r="AL75" s="225">
        <f>IF(OR($A75="",$B75&lt;&gt;"Định kỳ",N($X75)=0,N($I75)=0),"",IF(INT($X75)&lt;$I75,0,IF($AJ75&gt;0,ROUND((INT($X75)-$I75)/$AJ75,0),IF($AK75&gt;0,ROUND((DATEDIF($I75,INT($X75),"m")+(INT($X75)-EDATE($I75,DATEDIF($I75,INT($X75),"m")))/(EDATE($I75,DATEDIF($I75,INT($X75),"m")+1)-EDATE($I75,DATEDIF($I75,INT($X75),"m"))))/$AK75,0),0))))</f>
      </c>
      <c r="AM75" s="225">
        <f>IF($A75="","",IF(COUNTIF('Nhật ký tiến độ'!$C$6:$C$3005,$A75)=0,0,_xlfn.MAXIFS('Nhật ký tiến độ'!$N$6:$N$3005,'Nhật ký tiến độ'!$C$6:$C$3005,$A75,'Nhật ký tiến độ'!$B$6:$B$3005,_xlfn.MAXIFS('Nhật ký tiến độ'!$B$6:$B$3005,'Nhật ký tiến độ'!$C$6:$C$3005,$A75))))</f>
      </c>
      <c r="AN75" s="225">
        <f>IF($A75="","",IF(N($AM75)=0,"",INDEX('Nhật ký tiến độ'!$E:$E,$AM75)))</f>
      </c>
      <c r="AO75" s="225">
        <f>IF($A75="",0,IF($AA75="Hoàn thành",0,1))</f>
      </c>
      <c r="AP75" s="225">
        <f>IF($AO75=0,0,INT(N($AW75)))</f>
      </c>
      <c r="AQ75" s="225">
        <f>IF(AND($AO75=1,$AJ75&gt;1),$AJ75,0)</f>
      </c>
      <c r="AR75" s="225">
        <f>IF(AND($AO75=1,$AJ75=1),1,0)</f>
      </c>
      <c r="AS75" s="225">
        <f>IF(OR($AO75=0,AND($AR75=1,N($BB75)=0)),"",IF(N($BB75)&gt;0,5-$BB75,IF($AD75="Chậm tiến độ",6,IF($AD75="Đến hạn hôm nay",7,IF(AND($AP75&gt;0,$AP75-NgayBC&lt;=7),8,"")))))</f>
      </c>
      <c r="AT75" s="225">
        <f>IF($AS75="","",$AS75*100000+$AP75+ROW()/100000)</f>
      </c>
      <c r="AU75" s="224">
        <f>IF(OR($A75="",N($R75)&lt;=0),"",IF($S75="Ngày",$R75*24,$R75))</f>
      </c>
      <c r="AV75" s="224">
        <f>IF($A75="","",IF($B75="Đột xuất",IF(OR($AA75&lt;&gt;"Hoàn thành",N($X75)=0,N($J75)=0),"",IF($X75&lt;$J75,"",($X75-$J75)*24)),IFERROR(AVERAGEIFS('Nhật ký tiến độ'!$H$6:$H$3005,'Nhật ký tiến độ'!$C$6:$C$3005,$A75,'Nhật ký tiến độ'!$H$6:$H$3005,"&gt;0"),"")))</f>
      </c>
      <c r="AW75" s="233">
        <f>IF($A75="",0,IF($B75="Đột xuất",$AY75,IF($AX75=0,0,$AX75+1-1/1440)))</f>
      </c>
      <c r="AX75" s="234">
        <f>IF(OR($A75="",$B75&lt;&gt;"Định kỳ",N($I75)=0),0,IF($AL75="",$I75,IF($AJ75&gt;0,$I75+($AL75+1)*$AJ75,IF($AK75&gt;0,EDATE($I75,($AL75+1)*$AK75),$I75))))</f>
      </c>
      <c r="AY75" s="233">
        <f>IF(OR($A75="",$B75&lt;&gt;"Đột xuất"),0,IF(N($K75)&gt;0,IF(MOD($K75,1)=0,$K75+1-1/1440,$K75),IF(N($J75)=0,0,$J75+IF(N($AU75)&gt;0,$AU75,IFERROR(INDEX(DM_SLA_Gio,MATCH($L75,DM_SLA_Cap,0)),168))/24)))</f>
      </c>
      <c r="AZ75" s="225">
        <f>IF(OR($A75="",TRIM($N75)="",COUNTIF('Phản ánh'!$K$6:$K$505,$N75)&gt;0,COUNTIF($N$6:$N75,$N75)&gt;1),0,1)</f>
      </c>
      <c r="BA75" s="225">
        <f>IF($AZ75=1,SUM($AZ$6:$AZ75),"")</f>
      </c>
      <c r="BB75" s="225">
        <f>IF(OR($AO75=0,N($AW75)=0),0,IF(TDBC&lt;=$AW75,0,MAX(1,MIN(4,IF((TDBC-$AW75)*24&lt;24,1,IF((TDBC-$AW75)*24&lt;72,2,IF((TDBC-$AW75)*24&lt;168,3,4)))+IF($B75="Đột xuất",IFERROR(INDEX({2,1,0,-1},MATCH($L75,{"Khẩn cấp","Cao","Trung bình","Thấp"},0)),0),IF($D75="PCCC và an ninh",1,0))))))</f>
      </c>
    </row>
    <row r="76">
      <c r="A76" s="216"/>
      <c r="B76" s="216"/>
      <c r="C76" s="218"/>
      <c r="D76" s="218"/>
      <c r="E76" s="218"/>
      <c r="F76" s="216"/>
      <c r="G76" s="218"/>
      <c r="H76" s="218"/>
      <c r="I76" s="231"/>
      <c r="J76" s="217"/>
      <c r="K76" s="217"/>
      <c r="L76" s="216"/>
      <c r="M76" s="216"/>
      <c r="N76" s="218"/>
      <c r="O76" s="218"/>
      <c r="P76" s="218"/>
      <c r="Q76" s="218"/>
      <c r="R76" s="219"/>
      <c r="S76" s="216"/>
      <c r="T76" s="232"/>
      <c r="U76" s="232"/>
      <c r="V76" s="218"/>
      <c r="W76" s="218"/>
      <c r="X76" s="220">
        <f>IF($A76="","",IF(OR($B76="Định kỳ",$AA76="Hoàn thành"),MAX(_xlfn.MAXIFS('Nhật ký tiến độ'!$B$6:$B$3005,'Nhật ký tiến độ'!$C$6:$C$3005,$A76,'Nhật ký tiến độ'!$E$6:$E$3005,"Hoàn thành kỳ"),_xlfn.MAXIFS('Nhật ký tiến độ'!$B$6:$B$3005,'Nhật ký tiến độ'!$C$6:$C$3005,$A76,'Nhật ký tiến độ'!$E$6:$E$3005,"Hoàn thành")),0))</f>
      </c>
      <c r="Y76" s="220">
        <f>IF($A76="","",IF($B76="Đột xuất",IF($AY76=0,"",$AY76),IF($AX76=0,"",$AX76)))</f>
      </c>
      <c r="Z76" s="223">
        <f>IF(OR($AO76=0,$AW76=0),"",IF(TDBC&gt;$AW76,"Quá "&amp;IF($B76="Định kỳ",(NgayBC-$AP76)&amp;" ngày",IF(((TDBC-$AW76)*24)&lt;1,MAX(1,ROUND(((TDBC-$AW76)*24)*60,0))&amp;" phút",IF(ROUND(((TDBC-$AW76)*24),0)&lt;24,ROUND(((TDBC-$AW76)*24),0)&amp;" giờ",INT(ROUND(((TDBC-$AW76)*24),0)/24)&amp;" ngày"&amp;IF(MOD(ROUND(((TDBC-$AW76)*24),0),24)&gt;0," "&amp;MOD(ROUND(((TDBC-$AW76)*24),0),24)&amp;" giờ","")))),IF($B76="Định kỳ",IF($AP76=NgayBC,"Hôm nay","Còn "&amp;($AP76-NgayBC)&amp;" ngày"),"Còn "&amp;IF((($AW76-TDBC)*24)&lt;1,MAX(1,ROUND((($AW76-TDBC)*24)*60,0))&amp;" phút",IF(ROUND((($AW76-TDBC)*24),0)&lt;24,ROUND((($AW76-TDBC)*24),0)&amp;" giờ",INT(ROUND((($AW76-TDBC)*24),0)/24)&amp;" ngày"&amp;IF(MOD(ROUND((($AW76-TDBC)*24),0),24)&gt;0," "&amp;MOD(ROUND((($AW76-TDBC)*24),0),24)&amp;" giờ",""))))))</f>
      </c>
      <c r="AA76" s="221">
        <f>IF($A76="","",IF(N($AM76)=0,"Chưa bắt đầu",IF(OR($AN76="Hoàn thành kỳ",$AN76="Hoàn thành"),IF($B76="Định kỳ","Chưa bắt đầu","Hoàn thành"),$AN76)))</f>
      </c>
      <c r="AB76" s="222">
        <f>IF($A76="","",IF($AA76="Hoàn thành",1,IF(OR(N($AM76)=0,$AN76="Hoàn thành kỳ",$AN76="Hoàn thành"),0,N(INDEX('Nhật ký tiến độ'!$D:$D,$AM76)))))</f>
      </c>
      <c r="AC76" s="222">
        <f>IF(OR($A76="",$B76&lt;&gt;"Đột xuất",$AA76="Hoàn thành",N($J76)=0,$AW76=0),"",IF(TDBC&lt;=$J76,0,IF(TDBC&gt;=$AW76,1,(TDBC-$J76)/($AW76-$J76))))</f>
      </c>
      <c r="AD76" s="223">
        <f>IF($A76="","",IF($AA76="Hoàn thành","Hoàn thành",IF($AW76=0,"Chưa đặt hạn",IF(TDBC&gt;$AW76,"Quá hạn",IF(AND($B76="Đột xuất",ROUND((N($AC76)-$AB76)*100,0)&gt;=20),"Chậm tiến độ",IF($AP76=NgayBC,"Đến hạn hôm nay",IF($B76="Đột xuất",IF($AW76-TDBC&lt;=1,"Sắp đến hạn","Đúng tiến độ"),IF($AP76-NgayBC&lt;=3,"Sắp đến hạn","Theo lịch"))))))))</f>
      </c>
      <c r="AE76" s="223">
        <f>IF($AV76="","",IF($B76="Định kỳ","Bình quân "&amp;IF($AV76&lt;1,MAX(1,ROUND($AV76*60,0))&amp;" phút",IF(ROUND($AV76,0)&lt;24,ROUND($AV76,0)&amp;" giờ",INT(ROUND($AV76,0)/24)&amp;" ngày"&amp;IF(MOD(ROUND($AV76,0),24)&gt;0," "&amp;MOD(ROUND($AV76,0),24)&amp;" giờ","")))&amp;" mỗi kỳ",IF($AV76&lt;1,MAX(1,ROUND($AV76*60,0))&amp;" phút",IF(ROUND($AV76,0)&lt;24,ROUND($AV76,0)&amp;" giờ",INT(ROUND($AV76,0)/24)&amp;" ngày"&amp;IF(MOD(ROUND($AV76,0),24)&gt;0," "&amp;MOD(ROUND($AV76,0),24)&amp;" giờ","")))))</f>
      </c>
      <c r="AF76" s="223">
        <f>IF(OR($A76="",N($AU76)=0),"",IF($AV76&lt;&gt;"",IF($AV76&lt;=$AU76,"Trong ước tính","Vượt "&amp;IF(($AV76-$AU76)&lt;1,MAX(1,ROUND(($AV76-$AU76)*60,0))&amp;" phút",IF(ROUND(($AV76-$AU76),0)&lt;24,ROUND(($AV76-$AU76),0)&amp;" giờ",INT(ROUND(($AV76-$AU76),0)/24)&amp;" ngày"&amp;IF(MOD(ROUND(($AV76-$AU76),0),24)&gt;0," "&amp;MOD(ROUND(($AV76-$AU76),0),24)&amp;" giờ","")))),IF(OR($B76&lt;&gt;"Đột xuất",$AA76="Hoàn thành",N($J76)=0),"",IF((TDBC-$J76)*24&gt;$AU76,"Đã vượt ước tính","Đã dùng "&amp;TEXT((TDBC-$J76)*24/$AU76,"0%")))))</f>
      </c>
      <c r="AG76" s="223">
        <f>IF(N($BB76)=0,"",CHOOSE($BB76,"Nhắc nhở","Cảnh báo","Báo động","Báo động đỏ"))</f>
      </c>
      <c r="AH76" s="223">
        <f>IF(OR($B76&lt;&gt;"Đột xuất",$AA76&lt;&gt;"Hoàn thành",N($X76)=0,$AW76=0),"",IF($X76&lt;=$AW76,"Đúng hạn","Trễ hạn"))</f>
      </c>
      <c r="AI76" s="220">
        <f>IF($A76="","",_xlfn.MAXIFS('Nhật ký tiến độ'!$B$6:$B$3005,'Nhật ký tiến độ'!$C$6:$C$3005,$A76))</f>
      </c>
      <c r="AJ76" s="225">
        <f>IF(OR($A76="",$B76&lt;&gt;"Định kỳ"),0,IFERROR(INDEX(DM_TanSuatNgay,MATCH($H76,DM_TanSuat,0)),0))</f>
      </c>
      <c r="AK76" s="225">
        <f>IF(OR($A76="",$B76&lt;&gt;"Định kỳ"),0,IFERROR(INDEX(DM_TanSuatThang,MATCH($H76,DM_TanSuat,0)),0))</f>
      </c>
      <c r="AL76" s="225">
        <f>IF(OR($A76="",$B76&lt;&gt;"Định kỳ",N($X76)=0,N($I76)=0),"",IF(INT($X76)&lt;$I76,0,IF($AJ76&gt;0,ROUND((INT($X76)-$I76)/$AJ76,0),IF($AK76&gt;0,ROUND((DATEDIF($I76,INT($X76),"m")+(INT($X76)-EDATE($I76,DATEDIF($I76,INT($X76),"m")))/(EDATE($I76,DATEDIF($I76,INT($X76),"m")+1)-EDATE($I76,DATEDIF($I76,INT($X76),"m"))))/$AK76,0),0))))</f>
      </c>
      <c r="AM76" s="225">
        <f>IF($A76="","",IF(COUNTIF('Nhật ký tiến độ'!$C$6:$C$3005,$A76)=0,0,_xlfn.MAXIFS('Nhật ký tiến độ'!$N$6:$N$3005,'Nhật ký tiến độ'!$C$6:$C$3005,$A76,'Nhật ký tiến độ'!$B$6:$B$3005,_xlfn.MAXIFS('Nhật ký tiến độ'!$B$6:$B$3005,'Nhật ký tiến độ'!$C$6:$C$3005,$A76))))</f>
      </c>
      <c r="AN76" s="225">
        <f>IF($A76="","",IF(N($AM76)=0,"",INDEX('Nhật ký tiến độ'!$E:$E,$AM76)))</f>
      </c>
      <c r="AO76" s="225">
        <f>IF($A76="",0,IF($AA76="Hoàn thành",0,1))</f>
      </c>
      <c r="AP76" s="225">
        <f>IF($AO76=0,0,INT(N($AW76)))</f>
      </c>
      <c r="AQ76" s="225">
        <f>IF(AND($AO76=1,$AJ76&gt;1),$AJ76,0)</f>
      </c>
      <c r="AR76" s="225">
        <f>IF(AND($AO76=1,$AJ76=1),1,0)</f>
      </c>
      <c r="AS76" s="225">
        <f>IF(OR($AO76=0,AND($AR76=1,N($BB76)=0)),"",IF(N($BB76)&gt;0,5-$BB76,IF($AD76="Chậm tiến độ",6,IF($AD76="Đến hạn hôm nay",7,IF(AND($AP76&gt;0,$AP76-NgayBC&lt;=7),8,"")))))</f>
      </c>
      <c r="AT76" s="225">
        <f>IF($AS76="","",$AS76*100000+$AP76+ROW()/100000)</f>
      </c>
      <c r="AU76" s="224">
        <f>IF(OR($A76="",N($R76)&lt;=0),"",IF($S76="Ngày",$R76*24,$R76))</f>
      </c>
      <c r="AV76" s="224">
        <f>IF($A76="","",IF($B76="Đột xuất",IF(OR($AA76&lt;&gt;"Hoàn thành",N($X76)=0,N($J76)=0),"",IF($X76&lt;$J76,"",($X76-$J76)*24)),IFERROR(AVERAGEIFS('Nhật ký tiến độ'!$H$6:$H$3005,'Nhật ký tiến độ'!$C$6:$C$3005,$A76,'Nhật ký tiến độ'!$H$6:$H$3005,"&gt;0"),"")))</f>
      </c>
      <c r="AW76" s="233">
        <f>IF($A76="",0,IF($B76="Đột xuất",$AY76,IF($AX76=0,0,$AX76+1-1/1440)))</f>
      </c>
      <c r="AX76" s="234">
        <f>IF(OR($A76="",$B76&lt;&gt;"Định kỳ",N($I76)=0),0,IF($AL76="",$I76,IF($AJ76&gt;0,$I76+($AL76+1)*$AJ76,IF($AK76&gt;0,EDATE($I76,($AL76+1)*$AK76),$I76))))</f>
      </c>
      <c r="AY76" s="233">
        <f>IF(OR($A76="",$B76&lt;&gt;"Đột xuất"),0,IF(N($K76)&gt;0,IF(MOD($K76,1)=0,$K76+1-1/1440,$K76),IF(N($J76)=0,0,$J76+IF(N($AU76)&gt;0,$AU76,IFERROR(INDEX(DM_SLA_Gio,MATCH($L76,DM_SLA_Cap,0)),168))/24)))</f>
      </c>
      <c r="AZ76" s="225">
        <f>IF(OR($A76="",TRIM($N76)="",COUNTIF('Phản ánh'!$K$6:$K$505,$N76)&gt;0,COUNTIF($N$6:$N76,$N76)&gt;1),0,1)</f>
      </c>
      <c r="BA76" s="225">
        <f>IF($AZ76=1,SUM($AZ$6:$AZ76),"")</f>
      </c>
      <c r="BB76" s="225">
        <f>IF(OR($AO76=0,N($AW76)=0),0,IF(TDBC&lt;=$AW76,0,MAX(1,MIN(4,IF((TDBC-$AW76)*24&lt;24,1,IF((TDBC-$AW76)*24&lt;72,2,IF((TDBC-$AW76)*24&lt;168,3,4)))+IF($B76="Đột xuất",IFERROR(INDEX({2,1,0,-1},MATCH($L76,{"Khẩn cấp","Cao","Trung bình","Thấp"},0)),0),IF($D76="PCCC và an ninh",1,0))))))</f>
      </c>
    </row>
    <row r="77">
      <c r="A77" s="216"/>
      <c r="B77" s="216"/>
      <c r="C77" s="218"/>
      <c r="D77" s="218"/>
      <c r="E77" s="218"/>
      <c r="F77" s="216"/>
      <c r="G77" s="218"/>
      <c r="H77" s="218"/>
      <c r="I77" s="231"/>
      <c r="J77" s="217"/>
      <c r="K77" s="217"/>
      <c r="L77" s="216"/>
      <c r="M77" s="216"/>
      <c r="N77" s="218"/>
      <c r="O77" s="218"/>
      <c r="P77" s="218"/>
      <c r="Q77" s="218"/>
      <c r="R77" s="219"/>
      <c r="S77" s="216"/>
      <c r="T77" s="232"/>
      <c r="U77" s="232"/>
      <c r="V77" s="218"/>
      <c r="W77" s="218"/>
      <c r="X77" s="220">
        <f>IF($A77="","",IF(OR($B77="Định kỳ",$AA77="Hoàn thành"),MAX(_xlfn.MAXIFS('Nhật ký tiến độ'!$B$6:$B$3005,'Nhật ký tiến độ'!$C$6:$C$3005,$A77,'Nhật ký tiến độ'!$E$6:$E$3005,"Hoàn thành kỳ"),_xlfn.MAXIFS('Nhật ký tiến độ'!$B$6:$B$3005,'Nhật ký tiến độ'!$C$6:$C$3005,$A77,'Nhật ký tiến độ'!$E$6:$E$3005,"Hoàn thành")),0))</f>
      </c>
      <c r="Y77" s="220">
        <f>IF($A77="","",IF($B77="Đột xuất",IF($AY77=0,"",$AY77),IF($AX77=0,"",$AX77)))</f>
      </c>
      <c r="Z77" s="223">
        <f>IF(OR($AO77=0,$AW77=0),"",IF(TDBC&gt;$AW77,"Quá "&amp;IF($B77="Định kỳ",(NgayBC-$AP77)&amp;" ngày",IF(((TDBC-$AW77)*24)&lt;1,MAX(1,ROUND(((TDBC-$AW77)*24)*60,0))&amp;" phút",IF(ROUND(((TDBC-$AW77)*24),0)&lt;24,ROUND(((TDBC-$AW77)*24),0)&amp;" giờ",INT(ROUND(((TDBC-$AW77)*24),0)/24)&amp;" ngày"&amp;IF(MOD(ROUND(((TDBC-$AW77)*24),0),24)&gt;0," "&amp;MOD(ROUND(((TDBC-$AW77)*24),0),24)&amp;" giờ","")))),IF($B77="Định kỳ",IF($AP77=NgayBC,"Hôm nay","Còn "&amp;($AP77-NgayBC)&amp;" ngày"),"Còn "&amp;IF((($AW77-TDBC)*24)&lt;1,MAX(1,ROUND((($AW77-TDBC)*24)*60,0))&amp;" phút",IF(ROUND((($AW77-TDBC)*24),0)&lt;24,ROUND((($AW77-TDBC)*24),0)&amp;" giờ",INT(ROUND((($AW77-TDBC)*24),0)/24)&amp;" ngày"&amp;IF(MOD(ROUND((($AW77-TDBC)*24),0),24)&gt;0," "&amp;MOD(ROUND((($AW77-TDBC)*24),0),24)&amp;" giờ",""))))))</f>
      </c>
      <c r="AA77" s="221">
        <f>IF($A77="","",IF(N($AM77)=0,"Chưa bắt đầu",IF(OR($AN77="Hoàn thành kỳ",$AN77="Hoàn thành"),IF($B77="Định kỳ","Chưa bắt đầu","Hoàn thành"),$AN77)))</f>
      </c>
      <c r="AB77" s="222">
        <f>IF($A77="","",IF($AA77="Hoàn thành",1,IF(OR(N($AM77)=0,$AN77="Hoàn thành kỳ",$AN77="Hoàn thành"),0,N(INDEX('Nhật ký tiến độ'!$D:$D,$AM77)))))</f>
      </c>
      <c r="AC77" s="222">
        <f>IF(OR($A77="",$B77&lt;&gt;"Đột xuất",$AA77="Hoàn thành",N($J77)=0,$AW77=0),"",IF(TDBC&lt;=$J77,0,IF(TDBC&gt;=$AW77,1,(TDBC-$J77)/($AW77-$J77))))</f>
      </c>
      <c r="AD77" s="223">
        <f>IF($A77="","",IF($AA77="Hoàn thành","Hoàn thành",IF($AW77=0,"Chưa đặt hạn",IF(TDBC&gt;$AW77,"Quá hạn",IF(AND($B77="Đột xuất",ROUND((N($AC77)-$AB77)*100,0)&gt;=20),"Chậm tiến độ",IF($AP77=NgayBC,"Đến hạn hôm nay",IF($B77="Đột xuất",IF($AW77-TDBC&lt;=1,"Sắp đến hạn","Đúng tiến độ"),IF($AP77-NgayBC&lt;=3,"Sắp đến hạn","Theo lịch"))))))))</f>
      </c>
      <c r="AE77" s="223">
        <f>IF($AV77="","",IF($B77="Định kỳ","Bình quân "&amp;IF($AV77&lt;1,MAX(1,ROUND($AV77*60,0))&amp;" phút",IF(ROUND($AV77,0)&lt;24,ROUND($AV77,0)&amp;" giờ",INT(ROUND($AV77,0)/24)&amp;" ngày"&amp;IF(MOD(ROUND($AV77,0),24)&gt;0," "&amp;MOD(ROUND($AV77,0),24)&amp;" giờ","")))&amp;" mỗi kỳ",IF($AV77&lt;1,MAX(1,ROUND($AV77*60,0))&amp;" phút",IF(ROUND($AV77,0)&lt;24,ROUND($AV77,0)&amp;" giờ",INT(ROUND($AV77,0)/24)&amp;" ngày"&amp;IF(MOD(ROUND($AV77,0),24)&gt;0," "&amp;MOD(ROUND($AV77,0),24)&amp;" giờ","")))))</f>
      </c>
      <c r="AF77" s="223">
        <f>IF(OR($A77="",N($AU77)=0),"",IF($AV77&lt;&gt;"",IF($AV77&lt;=$AU77,"Trong ước tính","Vượt "&amp;IF(($AV77-$AU77)&lt;1,MAX(1,ROUND(($AV77-$AU77)*60,0))&amp;" phút",IF(ROUND(($AV77-$AU77),0)&lt;24,ROUND(($AV77-$AU77),0)&amp;" giờ",INT(ROUND(($AV77-$AU77),0)/24)&amp;" ngày"&amp;IF(MOD(ROUND(($AV77-$AU77),0),24)&gt;0," "&amp;MOD(ROUND(($AV77-$AU77),0),24)&amp;" giờ","")))),IF(OR($B77&lt;&gt;"Đột xuất",$AA77="Hoàn thành",N($J77)=0),"",IF((TDBC-$J77)*24&gt;$AU77,"Đã vượt ước tính","Đã dùng "&amp;TEXT((TDBC-$J77)*24/$AU77,"0%")))))</f>
      </c>
      <c r="AG77" s="223">
        <f>IF(N($BB77)=0,"",CHOOSE($BB77,"Nhắc nhở","Cảnh báo","Báo động","Báo động đỏ"))</f>
      </c>
      <c r="AH77" s="223">
        <f>IF(OR($B77&lt;&gt;"Đột xuất",$AA77&lt;&gt;"Hoàn thành",N($X77)=0,$AW77=0),"",IF($X77&lt;=$AW77,"Đúng hạn","Trễ hạn"))</f>
      </c>
      <c r="AI77" s="220">
        <f>IF($A77="","",_xlfn.MAXIFS('Nhật ký tiến độ'!$B$6:$B$3005,'Nhật ký tiến độ'!$C$6:$C$3005,$A77))</f>
      </c>
      <c r="AJ77" s="225">
        <f>IF(OR($A77="",$B77&lt;&gt;"Định kỳ"),0,IFERROR(INDEX(DM_TanSuatNgay,MATCH($H77,DM_TanSuat,0)),0))</f>
      </c>
      <c r="AK77" s="225">
        <f>IF(OR($A77="",$B77&lt;&gt;"Định kỳ"),0,IFERROR(INDEX(DM_TanSuatThang,MATCH($H77,DM_TanSuat,0)),0))</f>
      </c>
      <c r="AL77" s="225">
        <f>IF(OR($A77="",$B77&lt;&gt;"Định kỳ",N($X77)=0,N($I77)=0),"",IF(INT($X77)&lt;$I77,0,IF($AJ77&gt;0,ROUND((INT($X77)-$I77)/$AJ77,0),IF($AK77&gt;0,ROUND((DATEDIF($I77,INT($X77),"m")+(INT($X77)-EDATE($I77,DATEDIF($I77,INT($X77),"m")))/(EDATE($I77,DATEDIF($I77,INT($X77),"m")+1)-EDATE($I77,DATEDIF($I77,INT($X77),"m"))))/$AK77,0),0))))</f>
      </c>
      <c r="AM77" s="225">
        <f>IF($A77="","",IF(COUNTIF('Nhật ký tiến độ'!$C$6:$C$3005,$A77)=0,0,_xlfn.MAXIFS('Nhật ký tiến độ'!$N$6:$N$3005,'Nhật ký tiến độ'!$C$6:$C$3005,$A77,'Nhật ký tiến độ'!$B$6:$B$3005,_xlfn.MAXIFS('Nhật ký tiến độ'!$B$6:$B$3005,'Nhật ký tiến độ'!$C$6:$C$3005,$A77))))</f>
      </c>
      <c r="AN77" s="225">
        <f>IF($A77="","",IF(N($AM77)=0,"",INDEX('Nhật ký tiến độ'!$E:$E,$AM77)))</f>
      </c>
      <c r="AO77" s="225">
        <f>IF($A77="",0,IF($AA77="Hoàn thành",0,1))</f>
      </c>
      <c r="AP77" s="225">
        <f>IF($AO77=0,0,INT(N($AW77)))</f>
      </c>
      <c r="AQ77" s="225">
        <f>IF(AND($AO77=1,$AJ77&gt;1),$AJ77,0)</f>
      </c>
      <c r="AR77" s="225">
        <f>IF(AND($AO77=1,$AJ77=1),1,0)</f>
      </c>
      <c r="AS77" s="225">
        <f>IF(OR($AO77=0,AND($AR77=1,N($BB77)=0)),"",IF(N($BB77)&gt;0,5-$BB77,IF($AD77="Chậm tiến độ",6,IF($AD77="Đến hạn hôm nay",7,IF(AND($AP77&gt;0,$AP77-NgayBC&lt;=7),8,"")))))</f>
      </c>
      <c r="AT77" s="225">
        <f>IF($AS77="","",$AS77*100000+$AP77+ROW()/100000)</f>
      </c>
      <c r="AU77" s="224">
        <f>IF(OR($A77="",N($R77)&lt;=0),"",IF($S77="Ngày",$R77*24,$R77))</f>
      </c>
      <c r="AV77" s="224">
        <f>IF($A77="","",IF($B77="Đột xuất",IF(OR($AA77&lt;&gt;"Hoàn thành",N($X77)=0,N($J77)=0),"",IF($X77&lt;$J77,"",($X77-$J77)*24)),IFERROR(AVERAGEIFS('Nhật ký tiến độ'!$H$6:$H$3005,'Nhật ký tiến độ'!$C$6:$C$3005,$A77,'Nhật ký tiến độ'!$H$6:$H$3005,"&gt;0"),"")))</f>
      </c>
      <c r="AW77" s="233">
        <f>IF($A77="",0,IF($B77="Đột xuất",$AY77,IF($AX77=0,0,$AX77+1-1/1440)))</f>
      </c>
      <c r="AX77" s="234">
        <f>IF(OR($A77="",$B77&lt;&gt;"Định kỳ",N($I77)=0),0,IF($AL77="",$I77,IF($AJ77&gt;0,$I77+($AL77+1)*$AJ77,IF($AK77&gt;0,EDATE($I77,($AL77+1)*$AK77),$I77))))</f>
      </c>
      <c r="AY77" s="233">
        <f>IF(OR($A77="",$B77&lt;&gt;"Đột xuất"),0,IF(N($K77)&gt;0,IF(MOD($K77,1)=0,$K77+1-1/1440,$K77),IF(N($J77)=0,0,$J77+IF(N($AU77)&gt;0,$AU77,IFERROR(INDEX(DM_SLA_Gio,MATCH($L77,DM_SLA_Cap,0)),168))/24)))</f>
      </c>
      <c r="AZ77" s="225">
        <f>IF(OR($A77="",TRIM($N77)="",COUNTIF('Phản ánh'!$K$6:$K$505,$N77)&gt;0,COUNTIF($N$6:$N77,$N77)&gt;1),0,1)</f>
      </c>
      <c r="BA77" s="225">
        <f>IF($AZ77=1,SUM($AZ$6:$AZ77),"")</f>
      </c>
      <c r="BB77" s="225">
        <f>IF(OR($AO77=0,N($AW77)=0),0,IF(TDBC&lt;=$AW77,0,MAX(1,MIN(4,IF((TDBC-$AW77)*24&lt;24,1,IF((TDBC-$AW77)*24&lt;72,2,IF((TDBC-$AW77)*24&lt;168,3,4)))+IF($B77="Đột xuất",IFERROR(INDEX({2,1,0,-1},MATCH($L77,{"Khẩn cấp","Cao","Trung bình","Thấp"},0)),0),IF($D77="PCCC và an ninh",1,0))))))</f>
      </c>
    </row>
    <row r="78">
      <c r="A78" s="216"/>
      <c r="B78" s="216"/>
      <c r="C78" s="218"/>
      <c r="D78" s="218"/>
      <c r="E78" s="218"/>
      <c r="F78" s="216"/>
      <c r="G78" s="218"/>
      <c r="H78" s="218"/>
      <c r="I78" s="231"/>
      <c r="J78" s="217"/>
      <c r="K78" s="217"/>
      <c r="L78" s="216"/>
      <c r="M78" s="216"/>
      <c r="N78" s="218"/>
      <c r="O78" s="218"/>
      <c r="P78" s="218"/>
      <c r="Q78" s="218"/>
      <c r="R78" s="219"/>
      <c r="S78" s="216"/>
      <c r="T78" s="232"/>
      <c r="U78" s="232"/>
      <c r="V78" s="218"/>
      <c r="W78" s="218"/>
      <c r="X78" s="220">
        <f>IF($A78="","",IF(OR($B78="Định kỳ",$AA78="Hoàn thành"),MAX(_xlfn.MAXIFS('Nhật ký tiến độ'!$B$6:$B$3005,'Nhật ký tiến độ'!$C$6:$C$3005,$A78,'Nhật ký tiến độ'!$E$6:$E$3005,"Hoàn thành kỳ"),_xlfn.MAXIFS('Nhật ký tiến độ'!$B$6:$B$3005,'Nhật ký tiến độ'!$C$6:$C$3005,$A78,'Nhật ký tiến độ'!$E$6:$E$3005,"Hoàn thành")),0))</f>
      </c>
      <c r="Y78" s="220">
        <f>IF($A78="","",IF($B78="Đột xuất",IF($AY78=0,"",$AY78),IF($AX78=0,"",$AX78)))</f>
      </c>
      <c r="Z78" s="223">
        <f>IF(OR($AO78=0,$AW78=0),"",IF(TDBC&gt;$AW78,"Quá "&amp;IF($B78="Định kỳ",(NgayBC-$AP78)&amp;" ngày",IF(((TDBC-$AW78)*24)&lt;1,MAX(1,ROUND(((TDBC-$AW78)*24)*60,0))&amp;" phút",IF(ROUND(((TDBC-$AW78)*24),0)&lt;24,ROUND(((TDBC-$AW78)*24),0)&amp;" giờ",INT(ROUND(((TDBC-$AW78)*24),0)/24)&amp;" ngày"&amp;IF(MOD(ROUND(((TDBC-$AW78)*24),0),24)&gt;0," "&amp;MOD(ROUND(((TDBC-$AW78)*24),0),24)&amp;" giờ","")))),IF($B78="Định kỳ",IF($AP78=NgayBC,"Hôm nay","Còn "&amp;($AP78-NgayBC)&amp;" ngày"),"Còn "&amp;IF((($AW78-TDBC)*24)&lt;1,MAX(1,ROUND((($AW78-TDBC)*24)*60,0))&amp;" phút",IF(ROUND((($AW78-TDBC)*24),0)&lt;24,ROUND((($AW78-TDBC)*24),0)&amp;" giờ",INT(ROUND((($AW78-TDBC)*24),0)/24)&amp;" ngày"&amp;IF(MOD(ROUND((($AW78-TDBC)*24),0),24)&gt;0," "&amp;MOD(ROUND((($AW78-TDBC)*24),0),24)&amp;" giờ",""))))))</f>
      </c>
      <c r="AA78" s="221">
        <f>IF($A78="","",IF(N($AM78)=0,"Chưa bắt đầu",IF(OR($AN78="Hoàn thành kỳ",$AN78="Hoàn thành"),IF($B78="Định kỳ","Chưa bắt đầu","Hoàn thành"),$AN78)))</f>
      </c>
      <c r="AB78" s="222">
        <f>IF($A78="","",IF($AA78="Hoàn thành",1,IF(OR(N($AM78)=0,$AN78="Hoàn thành kỳ",$AN78="Hoàn thành"),0,N(INDEX('Nhật ký tiến độ'!$D:$D,$AM78)))))</f>
      </c>
      <c r="AC78" s="222">
        <f>IF(OR($A78="",$B78&lt;&gt;"Đột xuất",$AA78="Hoàn thành",N($J78)=0,$AW78=0),"",IF(TDBC&lt;=$J78,0,IF(TDBC&gt;=$AW78,1,(TDBC-$J78)/($AW78-$J78))))</f>
      </c>
      <c r="AD78" s="223">
        <f>IF($A78="","",IF($AA78="Hoàn thành","Hoàn thành",IF($AW78=0,"Chưa đặt hạn",IF(TDBC&gt;$AW78,"Quá hạn",IF(AND($B78="Đột xuất",ROUND((N($AC78)-$AB78)*100,0)&gt;=20),"Chậm tiến độ",IF($AP78=NgayBC,"Đến hạn hôm nay",IF($B78="Đột xuất",IF($AW78-TDBC&lt;=1,"Sắp đến hạn","Đúng tiến độ"),IF($AP78-NgayBC&lt;=3,"Sắp đến hạn","Theo lịch"))))))))</f>
      </c>
      <c r="AE78" s="223">
        <f>IF($AV78="","",IF($B78="Định kỳ","Bình quân "&amp;IF($AV78&lt;1,MAX(1,ROUND($AV78*60,0))&amp;" phút",IF(ROUND($AV78,0)&lt;24,ROUND($AV78,0)&amp;" giờ",INT(ROUND($AV78,0)/24)&amp;" ngày"&amp;IF(MOD(ROUND($AV78,0),24)&gt;0," "&amp;MOD(ROUND($AV78,0),24)&amp;" giờ","")))&amp;" mỗi kỳ",IF($AV78&lt;1,MAX(1,ROUND($AV78*60,0))&amp;" phút",IF(ROUND($AV78,0)&lt;24,ROUND($AV78,0)&amp;" giờ",INT(ROUND($AV78,0)/24)&amp;" ngày"&amp;IF(MOD(ROUND($AV78,0),24)&gt;0," "&amp;MOD(ROUND($AV78,0),24)&amp;" giờ","")))))</f>
      </c>
      <c r="AF78" s="223">
        <f>IF(OR($A78="",N($AU78)=0),"",IF($AV78&lt;&gt;"",IF($AV78&lt;=$AU78,"Trong ước tính","Vượt "&amp;IF(($AV78-$AU78)&lt;1,MAX(1,ROUND(($AV78-$AU78)*60,0))&amp;" phút",IF(ROUND(($AV78-$AU78),0)&lt;24,ROUND(($AV78-$AU78),0)&amp;" giờ",INT(ROUND(($AV78-$AU78),0)/24)&amp;" ngày"&amp;IF(MOD(ROUND(($AV78-$AU78),0),24)&gt;0," "&amp;MOD(ROUND(($AV78-$AU78),0),24)&amp;" giờ","")))),IF(OR($B78&lt;&gt;"Đột xuất",$AA78="Hoàn thành",N($J78)=0),"",IF((TDBC-$J78)*24&gt;$AU78,"Đã vượt ước tính","Đã dùng "&amp;TEXT((TDBC-$J78)*24/$AU78,"0%")))))</f>
      </c>
      <c r="AG78" s="223">
        <f>IF(N($BB78)=0,"",CHOOSE($BB78,"Nhắc nhở","Cảnh báo","Báo động","Báo động đỏ"))</f>
      </c>
      <c r="AH78" s="223">
        <f>IF(OR($B78&lt;&gt;"Đột xuất",$AA78&lt;&gt;"Hoàn thành",N($X78)=0,$AW78=0),"",IF($X78&lt;=$AW78,"Đúng hạn","Trễ hạn"))</f>
      </c>
      <c r="AI78" s="220">
        <f>IF($A78="","",_xlfn.MAXIFS('Nhật ký tiến độ'!$B$6:$B$3005,'Nhật ký tiến độ'!$C$6:$C$3005,$A78))</f>
      </c>
      <c r="AJ78" s="225">
        <f>IF(OR($A78="",$B78&lt;&gt;"Định kỳ"),0,IFERROR(INDEX(DM_TanSuatNgay,MATCH($H78,DM_TanSuat,0)),0))</f>
      </c>
      <c r="AK78" s="225">
        <f>IF(OR($A78="",$B78&lt;&gt;"Định kỳ"),0,IFERROR(INDEX(DM_TanSuatThang,MATCH($H78,DM_TanSuat,0)),0))</f>
      </c>
      <c r="AL78" s="225">
        <f>IF(OR($A78="",$B78&lt;&gt;"Định kỳ",N($X78)=0,N($I78)=0),"",IF(INT($X78)&lt;$I78,0,IF($AJ78&gt;0,ROUND((INT($X78)-$I78)/$AJ78,0),IF($AK78&gt;0,ROUND((DATEDIF($I78,INT($X78),"m")+(INT($X78)-EDATE($I78,DATEDIF($I78,INT($X78),"m")))/(EDATE($I78,DATEDIF($I78,INT($X78),"m")+1)-EDATE($I78,DATEDIF($I78,INT($X78),"m"))))/$AK78,0),0))))</f>
      </c>
      <c r="AM78" s="225">
        <f>IF($A78="","",IF(COUNTIF('Nhật ký tiến độ'!$C$6:$C$3005,$A78)=0,0,_xlfn.MAXIFS('Nhật ký tiến độ'!$N$6:$N$3005,'Nhật ký tiến độ'!$C$6:$C$3005,$A78,'Nhật ký tiến độ'!$B$6:$B$3005,_xlfn.MAXIFS('Nhật ký tiến độ'!$B$6:$B$3005,'Nhật ký tiến độ'!$C$6:$C$3005,$A78))))</f>
      </c>
      <c r="AN78" s="225">
        <f>IF($A78="","",IF(N($AM78)=0,"",INDEX('Nhật ký tiến độ'!$E:$E,$AM78)))</f>
      </c>
      <c r="AO78" s="225">
        <f>IF($A78="",0,IF($AA78="Hoàn thành",0,1))</f>
      </c>
      <c r="AP78" s="225">
        <f>IF($AO78=0,0,INT(N($AW78)))</f>
      </c>
      <c r="AQ78" s="225">
        <f>IF(AND($AO78=1,$AJ78&gt;1),$AJ78,0)</f>
      </c>
      <c r="AR78" s="225">
        <f>IF(AND($AO78=1,$AJ78=1),1,0)</f>
      </c>
      <c r="AS78" s="225">
        <f>IF(OR($AO78=0,AND($AR78=1,N($BB78)=0)),"",IF(N($BB78)&gt;0,5-$BB78,IF($AD78="Chậm tiến độ",6,IF($AD78="Đến hạn hôm nay",7,IF(AND($AP78&gt;0,$AP78-NgayBC&lt;=7),8,"")))))</f>
      </c>
      <c r="AT78" s="225">
        <f>IF($AS78="","",$AS78*100000+$AP78+ROW()/100000)</f>
      </c>
      <c r="AU78" s="224">
        <f>IF(OR($A78="",N($R78)&lt;=0),"",IF($S78="Ngày",$R78*24,$R78))</f>
      </c>
      <c r="AV78" s="224">
        <f>IF($A78="","",IF($B78="Đột xuất",IF(OR($AA78&lt;&gt;"Hoàn thành",N($X78)=0,N($J78)=0),"",IF($X78&lt;$J78,"",($X78-$J78)*24)),IFERROR(AVERAGEIFS('Nhật ký tiến độ'!$H$6:$H$3005,'Nhật ký tiến độ'!$C$6:$C$3005,$A78,'Nhật ký tiến độ'!$H$6:$H$3005,"&gt;0"),"")))</f>
      </c>
      <c r="AW78" s="233">
        <f>IF($A78="",0,IF($B78="Đột xuất",$AY78,IF($AX78=0,0,$AX78+1-1/1440)))</f>
      </c>
      <c r="AX78" s="234">
        <f>IF(OR($A78="",$B78&lt;&gt;"Định kỳ",N($I78)=0),0,IF($AL78="",$I78,IF($AJ78&gt;0,$I78+($AL78+1)*$AJ78,IF($AK78&gt;0,EDATE($I78,($AL78+1)*$AK78),$I78))))</f>
      </c>
      <c r="AY78" s="233">
        <f>IF(OR($A78="",$B78&lt;&gt;"Đột xuất"),0,IF(N($K78)&gt;0,IF(MOD($K78,1)=0,$K78+1-1/1440,$K78),IF(N($J78)=0,0,$J78+IF(N($AU78)&gt;0,$AU78,IFERROR(INDEX(DM_SLA_Gio,MATCH($L78,DM_SLA_Cap,0)),168))/24)))</f>
      </c>
      <c r="AZ78" s="225">
        <f>IF(OR($A78="",TRIM($N78)="",COUNTIF('Phản ánh'!$K$6:$K$505,$N78)&gt;0,COUNTIF($N$6:$N78,$N78)&gt;1),0,1)</f>
      </c>
      <c r="BA78" s="225">
        <f>IF($AZ78=1,SUM($AZ$6:$AZ78),"")</f>
      </c>
      <c r="BB78" s="225">
        <f>IF(OR($AO78=0,N($AW78)=0),0,IF(TDBC&lt;=$AW78,0,MAX(1,MIN(4,IF((TDBC-$AW78)*24&lt;24,1,IF((TDBC-$AW78)*24&lt;72,2,IF((TDBC-$AW78)*24&lt;168,3,4)))+IF($B78="Đột xuất",IFERROR(INDEX({2,1,0,-1},MATCH($L78,{"Khẩn cấp","Cao","Trung bình","Thấp"},0)),0),IF($D78="PCCC và an ninh",1,0))))))</f>
      </c>
    </row>
    <row r="79">
      <c r="A79" s="216"/>
      <c r="B79" s="216"/>
      <c r="C79" s="218"/>
      <c r="D79" s="218"/>
      <c r="E79" s="218"/>
      <c r="F79" s="216"/>
      <c r="G79" s="218"/>
      <c r="H79" s="218"/>
      <c r="I79" s="231"/>
      <c r="J79" s="217"/>
      <c r="K79" s="217"/>
      <c r="L79" s="216"/>
      <c r="M79" s="216"/>
      <c r="N79" s="218"/>
      <c r="O79" s="218"/>
      <c r="P79" s="218"/>
      <c r="Q79" s="218"/>
      <c r="R79" s="219"/>
      <c r="S79" s="216"/>
      <c r="T79" s="232"/>
      <c r="U79" s="232"/>
      <c r="V79" s="218"/>
      <c r="W79" s="218"/>
      <c r="X79" s="220">
        <f>IF($A79="","",IF(OR($B79="Định kỳ",$AA79="Hoàn thành"),MAX(_xlfn.MAXIFS('Nhật ký tiến độ'!$B$6:$B$3005,'Nhật ký tiến độ'!$C$6:$C$3005,$A79,'Nhật ký tiến độ'!$E$6:$E$3005,"Hoàn thành kỳ"),_xlfn.MAXIFS('Nhật ký tiến độ'!$B$6:$B$3005,'Nhật ký tiến độ'!$C$6:$C$3005,$A79,'Nhật ký tiến độ'!$E$6:$E$3005,"Hoàn thành")),0))</f>
      </c>
      <c r="Y79" s="220">
        <f>IF($A79="","",IF($B79="Đột xuất",IF($AY79=0,"",$AY79),IF($AX79=0,"",$AX79)))</f>
      </c>
      <c r="Z79" s="223">
        <f>IF(OR($AO79=0,$AW79=0),"",IF(TDBC&gt;$AW79,"Quá "&amp;IF($B79="Định kỳ",(NgayBC-$AP79)&amp;" ngày",IF(((TDBC-$AW79)*24)&lt;1,MAX(1,ROUND(((TDBC-$AW79)*24)*60,0))&amp;" phút",IF(ROUND(((TDBC-$AW79)*24),0)&lt;24,ROUND(((TDBC-$AW79)*24),0)&amp;" giờ",INT(ROUND(((TDBC-$AW79)*24),0)/24)&amp;" ngày"&amp;IF(MOD(ROUND(((TDBC-$AW79)*24),0),24)&gt;0," "&amp;MOD(ROUND(((TDBC-$AW79)*24),0),24)&amp;" giờ","")))),IF($B79="Định kỳ",IF($AP79=NgayBC,"Hôm nay","Còn "&amp;($AP79-NgayBC)&amp;" ngày"),"Còn "&amp;IF((($AW79-TDBC)*24)&lt;1,MAX(1,ROUND((($AW79-TDBC)*24)*60,0))&amp;" phút",IF(ROUND((($AW79-TDBC)*24),0)&lt;24,ROUND((($AW79-TDBC)*24),0)&amp;" giờ",INT(ROUND((($AW79-TDBC)*24),0)/24)&amp;" ngày"&amp;IF(MOD(ROUND((($AW79-TDBC)*24),0),24)&gt;0," "&amp;MOD(ROUND((($AW79-TDBC)*24),0),24)&amp;" giờ",""))))))</f>
      </c>
      <c r="AA79" s="221">
        <f>IF($A79="","",IF(N($AM79)=0,"Chưa bắt đầu",IF(OR($AN79="Hoàn thành kỳ",$AN79="Hoàn thành"),IF($B79="Định kỳ","Chưa bắt đầu","Hoàn thành"),$AN79)))</f>
      </c>
      <c r="AB79" s="222">
        <f>IF($A79="","",IF($AA79="Hoàn thành",1,IF(OR(N($AM79)=0,$AN79="Hoàn thành kỳ",$AN79="Hoàn thành"),0,N(INDEX('Nhật ký tiến độ'!$D:$D,$AM79)))))</f>
      </c>
      <c r="AC79" s="222">
        <f>IF(OR($A79="",$B79&lt;&gt;"Đột xuất",$AA79="Hoàn thành",N($J79)=0,$AW79=0),"",IF(TDBC&lt;=$J79,0,IF(TDBC&gt;=$AW79,1,(TDBC-$J79)/($AW79-$J79))))</f>
      </c>
      <c r="AD79" s="223">
        <f>IF($A79="","",IF($AA79="Hoàn thành","Hoàn thành",IF($AW79=0,"Chưa đặt hạn",IF(TDBC&gt;$AW79,"Quá hạn",IF(AND($B79="Đột xuất",ROUND((N($AC79)-$AB79)*100,0)&gt;=20),"Chậm tiến độ",IF($AP79=NgayBC,"Đến hạn hôm nay",IF($B79="Đột xuất",IF($AW79-TDBC&lt;=1,"Sắp đến hạn","Đúng tiến độ"),IF($AP79-NgayBC&lt;=3,"Sắp đến hạn","Theo lịch"))))))))</f>
      </c>
      <c r="AE79" s="223">
        <f>IF($AV79="","",IF($B79="Định kỳ","Bình quân "&amp;IF($AV79&lt;1,MAX(1,ROUND($AV79*60,0))&amp;" phút",IF(ROUND($AV79,0)&lt;24,ROUND($AV79,0)&amp;" giờ",INT(ROUND($AV79,0)/24)&amp;" ngày"&amp;IF(MOD(ROUND($AV79,0),24)&gt;0," "&amp;MOD(ROUND($AV79,0),24)&amp;" giờ","")))&amp;" mỗi kỳ",IF($AV79&lt;1,MAX(1,ROUND($AV79*60,0))&amp;" phút",IF(ROUND($AV79,0)&lt;24,ROUND($AV79,0)&amp;" giờ",INT(ROUND($AV79,0)/24)&amp;" ngày"&amp;IF(MOD(ROUND($AV79,0),24)&gt;0," "&amp;MOD(ROUND($AV79,0),24)&amp;" giờ","")))))</f>
      </c>
      <c r="AF79" s="223">
        <f>IF(OR($A79="",N($AU79)=0),"",IF($AV79&lt;&gt;"",IF($AV79&lt;=$AU79,"Trong ước tính","Vượt "&amp;IF(($AV79-$AU79)&lt;1,MAX(1,ROUND(($AV79-$AU79)*60,0))&amp;" phút",IF(ROUND(($AV79-$AU79),0)&lt;24,ROUND(($AV79-$AU79),0)&amp;" giờ",INT(ROUND(($AV79-$AU79),0)/24)&amp;" ngày"&amp;IF(MOD(ROUND(($AV79-$AU79),0),24)&gt;0," "&amp;MOD(ROUND(($AV79-$AU79),0),24)&amp;" giờ","")))),IF(OR($B79&lt;&gt;"Đột xuất",$AA79="Hoàn thành",N($J79)=0),"",IF((TDBC-$J79)*24&gt;$AU79,"Đã vượt ước tính","Đã dùng "&amp;TEXT((TDBC-$J79)*24/$AU79,"0%")))))</f>
      </c>
      <c r="AG79" s="223">
        <f>IF(N($BB79)=0,"",CHOOSE($BB79,"Nhắc nhở","Cảnh báo","Báo động","Báo động đỏ"))</f>
      </c>
      <c r="AH79" s="223">
        <f>IF(OR($B79&lt;&gt;"Đột xuất",$AA79&lt;&gt;"Hoàn thành",N($X79)=0,$AW79=0),"",IF($X79&lt;=$AW79,"Đúng hạn","Trễ hạn"))</f>
      </c>
      <c r="AI79" s="220">
        <f>IF($A79="","",_xlfn.MAXIFS('Nhật ký tiến độ'!$B$6:$B$3005,'Nhật ký tiến độ'!$C$6:$C$3005,$A79))</f>
      </c>
      <c r="AJ79" s="225">
        <f>IF(OR($A79="",$B79&lt;&gt;"Định kỳ"),0,IFERROR(INDEX(DM_TanSuatNgay,MATCH($H79,DM_TanSuat,0)),0))</f>
      </c>
      <c r="AK79" s="225">
        <f>IF(OR($A79="",$B79&lt;&gt;"Định kỳ"),0,IFERROR(INDEX(DM_TanSuatThang,MATCH($H79,DM_TanSuat,0)),0))</f>
      </c>
      <c r="AL79" s="225">
        <f>IF(OR($A79="",$B79&lt;&gt;"Định kỳ",N($X79)=0,N($I79)=0),"",IF(INT($X79)&lt;$I79,0,IF($AJ79&gt;0,ROUND((INT($X79)-$I79)/$AJ79,0),IF($AK79&gt;0,ROUND((DATEDIF($I79,INT($X79),"m")+(INT($X79)-EDATE($I79,DATEDIF($I79,INT($X79),"m")))/(EDATE($I79,DATEDIF($I79,INT($X79),"m")+1)-EDATE($I79,DATEDIF($I79,INT($X79),"m"))))/$AK79,0),0))))</f>
      </c>
      <c r="AM79" s="225">
        <f>IF($A79="","",IF(COUNTIF('Nhật ký tiến độ'!$C$6:$C$3005,$A79)=0,0,_xlfn.MAXIFS('Nhật ký tiến độ'!$N$6:$N$3005,'Nhật ký tiến độ'!$C$6:$C$3005,$A79,'Nhật ký tiến độ'!$B$6:$B$3005,_xlfn.MAXIFS('Nhật ký tiến độ'!$B$6:$B$3005,'Nhật ký tiến độ'!$C$6:$C$3005,$A79))))</f>
      </c>
      <c r="AN79" s="225">
        <f>IF($A79="","",IF(N($AM79)=0,"",INDEX('Nhật ký tiến độ'!$E:$E,$AM79)))</f>
      </c>
      <c r="AO79" s="225">
        <f>IF($A79="",0,IF($AA79="Hoàn thành",0,1))</f>
      </c>
      <c r="AP79" s="225">
        <f>IF($AO79=0,0,INT(N($AW79)))</f>
      </c>
      <c r="AQ79" s="225">
        <f>IF(AND($AO79=1,$AJ79&gt;1),$AJ79,0)</f>
      </c>
      <c r="AR79" s="225">
        <f>IF(AND($AO79=1,$AJ79=1),1,0)</f>
      </c>
      <c r="AS79" s="225">
        <f>IF(OR($AO79=0,AND($AR79=1,N($BB79)=0)),"",IF(N($BB79)&gt;0,5-$BB79,IF($AD79="Chậm tiến độ",6,IF($AD79="Đến hạn hôm nay",7,IF(AND($AP79&gt;0,$AP79-NgayBC&lt;=7),8,"")))))</f>
      </c>
      <c r="AT79" s="225">
        <f>IF($AS79="","",$AS79*100000+$AP79+ROW()/100000)</f>
      </c>
      <c r="AU79" s="224">
        <f>IF(OR($A79="",N($R79)&lt;=0),"",IF($S79="Ngày",$R79*24,$R79))</f>
      </c>
      <c r="AV79" s="224">
        <f>IF($A79="","",IF($B79="Đột xuất",IF(OR($AA79&lt;&gt;"Hoàn thành",N($X79)=0,N($J79)=0),"",IF($X79&lt;$J79,"",($X79-$J79)*24)),IFERROR(AVERAGEIFS('Nhật ký tiến độ'!$H$6:$H$3005,'Nhật ký tiến độ'!$C$6:$C$3005,$A79,'Nhật ký tiến độ'!$H$6:$H$3005,"&gt;0"),"")))</f>
      </c>
      <c r="AW79" s="233">
        <f>IF($A79="",0,IF($B79="Đột xuất",$AY79,IF($AX79=0,0,$AX79+1-1/1440)))</f>
      </c>
      <c r="AX79" s="234">
        <f>IF(OR($A79="",$B79&lt;&gt;"Định kỳ",N($I79)=0),0,IF($AL79="",$I79,IF($AJ79&gt;0,$I79+($AL79+1)*$AJ79,IF($AK79&gt;0,EDATE($I79,($AL79+1)*$AK79),$I79))))</f>
      </c>
      <c r="AY79" s="233">
        <f>IF(OR($A79="",$B79&lt;&gt;"Đột xuất"),0,IF(N($K79)&gt;0,IF(MOD($K79,1)=0,$K79+1-1/1440,$K79),IF(N($J79)=0,0,$J79+IF(N($AU79)&gt;0,$AU79,IFERROR(INDEX(DM_SLA_Gio,MATCH($L79,DM_SLA_Cap,0)),168))/24)))</f>
      </c>
      <c r="AZ79" s="225">
        <f>IF(OR($A79="",TRIM($N79)="",COUNTIF('Phản ánh'!$K$6:$K$505,$N79)&gt;0,COUNTIF($N$6:$N79,$N79)&gt;1),0,1)</f>
      </c>
      <c r="BA79" s="225">
        <f>IF($AZ79=1,SUM($AZ$6:$AZ79),"")</f>
      </c>
      <c r="BB79" s="225">
        <f>IF(OR($AO79=0,N($AW79)=0),0,IF(TDBC&lt;=$AW79,0,MAX(1,MIN(4,IF((TDBC-$AW79)*24&lt;24,1,IF((TDBC-$AW79)*24&lt;72,2,IF((TDBC-$AW79)*24&lt;168,3,4)))+IF($B79="Đột xuất",IFERROR(INDEX({2,1,0,-1},MATCH($L79,{"Khẩn cấp","Cao","Trung bình","Thấp"},0)),0),IF($D79="PCCC và an ninh",1,0))))))</f>
      </c>
    </row>
    <row r="80">
      <c r="A80" s="216"/>
      <c r="B80" s="216"/>
      <c r="C80" s="218"/>
      <c r="D80" s="218"/>
      <c r="E80" s="218"/>
      <c r="F80" s="216"/>
      <c r="G80" s="218"/>
      <c r="H80" s="218"/>
      <c r="I80" s="231"/>
      <c r="J80" s="217"/>
      <c r="K80" s="217"/>
      <c r="L80" s="216"/>
      <c r="M80" s="216"/>
      <c r="N80" s="218"/>
      <c r="O80" s="218"/>
      <c r="P80" s="218"/>
      <c r="Q80" s="218"/>
      <c r="R80" s="219"/>
      <c r="S80" s="216"/>
      <c r="T80" s="232"/>
      <c r="U80" s="232"/>
      <c r="V80" s="218"/>
      <c r="W80" s="218"/>
      <c r="X80" s="220">
        <f>IF($A80="","",IF(OR($B80="Định kỳ",$AA80="Hoàn thành"),MAX(_xlfn.MAXIFS('Nhật ký tiến độ'!$B$6:$B$3005,'Nhật ký tiến độ'!$C$6:$C$3005,$A80,'Nhật ký tiến độ'!$E$6:$E$3005,"Hoàn thành kỳ"),_xlfn.MAXIFS('Nhật ký tiến độ'!$B$6:$B$3005,'Nhật ký tiến độ'!$C$6:$C$3005,$A80,'Nhật ký tiến độ'!$E$6:$E$3005,"Hoàn thành")),0))</f>
      </c>
      <c r="Y80" s="220">
        <f>IF($A80="","",IF($B80="Đột xuất",IF($AY80=0,"",$AY80),IF($AX80=0,"",$AX80)))</f>
      </c>
      <c r="Z80" s="223">
        <f>IF(OR($AO80=0,$AW80=0),"",IF(TDBC&gt;$AW80,"Quá "&amp;IF($B80="Định kỳ",(NgayBC-$AP80)&amp;" ngày",IF(((TDBC-$AW80)*24)&lt;1,MAX(1,ROUND(((TDBC-$AW80)*24)*60,0))&amp;" phút",IF(ROUND(((TDBC-$AW80)*24),0)&lt;24,ROUND(((TDBC-$AW80)*24),0)&amp;" giờ",INT(ROUND(((TDBC-$AW80)*24),0)/24)&amp;" ngày"&amp;IF(MOD(ROUND(((TDBC-$AW80)*24),0),24)&gt;0," "&amp;MOD(ROUND(((TDBC-$AW80)*24),0),24)&amp;" giờ","")))),IF($B80="Định kỳ",IF($AP80=NgayBC,"Hôm nay","Còn "&amp;($AP80-NgayBC)&amp;" ngày"),"Còn "&amp;IF((($AW80-TDBC)*24)&lt;1,MAX(1,ROUND((($AW80-TDBC)*24)*60,0))&amp;" phút",IF(ROUND((($AW80-TDBC)*24),0)&lt;24,ROUND((($AW80-TDBC)*24),0)&amp;" giờ",INT(ROUND((($AW80-TDBC)*24),0)/24)&amp;" ngày"&amp;IF(MOD(ROUND((($AW80-TDBC)*24),0),24)&gt;0," "&amp;MOD(ROUND((($AW80-TDBC)*24),0),24)&amp;" giờ",""))))))</f>
      </c>
      <c r="AA80" s="221">
        <f>IF($A80="","",IF(N($AM80)=0,"Chưa bắt đầu",IF(OR($AN80="Hoàn thành kỳ",$AN80="Hoàn thành"),IF($B80="Định kỳ","Chưa bắt đầu","Hoàn thành"),$AN80)))</f>
      </c>
      <c r="AB80" s="222">
        <f>IF($A80="","",IF($AA80="Hoàn thành",1,IF(OR(N($AM80)=0,$AN80="Hoàn thành kỳ",$AN80="Hoàn thành"),0,N(INDEX('Nhật ký tiến độ'!$D:$D,$AM80)))))</f>
      </c>
      <c r="AC80" s="222">
        <f>IF(OR($A80="",$B80&lt;&gt;"Đột xuất",$AA80="Hoàn thành",N($J80)=0,$AW80=0),"",IF(TDBC&lt;=$J80,0,IF(TDBC&gt;=$AW80,1,(TDBC-$J80)/($AW80-$J80))))</f>
      </c>
      <c r="AD80" s="223">
        <f>IF($A80="","",IF($AA80="Hoàn thành","Hoàn thành",IF($AW80=0,"Chưa đặt hạn",IF(TDBC&gt;$AW80,"Quá hạn",IF(AND($B80="Đột xuất",ROUND((N($AC80)-$AB80)*100,0)&gt;=20),"Chậm tiến độ",IF($AP80=NgayBC,"Đến hạn hôm nay",IF($B80="Đột xuất",IF($AW80-TDBC&lt;=1,"Sắp đến hạn","Đúng tiến độ"),IF($AP80-NgayBC&lt;=3,"Sắp đến hạn","Theo lịch"))))))))</f>
      </c>
      <c r="AE80" s="223">
        <f>IF($AV80="","",IF($B80="Định kỳ","Bình quân "&amp;IF($AV80&lt;1,MAX(1,ROUND($AV80*60,0))&amp;" phút",IF(ROUND($AV80,0)&lt;24,ROUND($AV80,0)&amp;" giờ",INT(ROUND($AV80,0)/24)&amp;" ngày"&amp;IF(MOD(ROUND($AV80,0),24)&gt;0," "&amp;MOD(ROUND($AV80,0),24)&amp;" giờ","")))&amp;" mỗi kỳ",IF($AV80&lt;1,MAX(1,ROUND($AV80*60,0))&amp;" phút",IF(ROUND($AV80,0)&lt;24,ROUND($AV80,0)&amp;" giờ",INT(ROUND($AV80,0)/24)&amp;" ngày"&amp;IF(MOD(ROUND($AV80,0),24)&gt;0," "&amp;MOD(ROUND($AV80,0),24)&amp;" giờ","")))))</f>
      </c>
      <c r="AF80" s="223">
        <f>IF(OR($A80="",N($AU80)=0),"",IF($AV80&lt;&gt;"",IF($AV80&lt;=$AU80,"Trong ước tính","Vượt "&amp;IF(($AV80-$AU80)&lt;1,MAX(1,ROUND(($AV80-$AU80)*60,0))&amp;" phút",IF(ROUND(($AV80-$AU80),0)&lt;24,ROUND(($AV80-$AU80),0)&amp;" giờ",INT(ROUND(($AV80-$AU80),0)/24)&amp;" ngày"&amp;IF(MOD(ROUND(($AV80-$AU80),0),24)&gt;0," "&amp;MOD(ROUND(($AV80-$AU80),0),24)&amp;" giờ","")))),IF(OR($B80&lt;&gt;"Đột xuất",$AA80="Hoàn thành",N($J80)=0),"",IF((TDBC-$J80)*24&gt;$AU80,"Đã vượt ước tính","Đã dùng "&amp;TEXT((TDBC-$J80)*24/$AU80,"0%")))))</f>
      </c>
      <c r="AG80" s="223">
        <f>IF(N($BB80)=0,"",CHOOSE($BB80,"Nhắc nhở","Cảnh báo","Báo động","Báo động đỏ"))</f>
      </c>
      <c r="AH80" s="223">
        <f>IF(OR($B80&lt;&gt;"Đột xuất",$AA80&lt;&gt;"Hoàn thành",N($X80)=0,$AW80=0),"",IF($X80&lt;=$AW80,"Đúng hạn","Trễ hạn"))</f>
      </c>
      <c r="AI80" s="220">
        <f>IF($A80="","",_xlfn.MAXIFS('Nhật ký tiến độ'!$B$6:$B$3005,'Nhật ký tiến độ'!$C$6:$C$3005,$A80))</f>
      </c>
      <c r="AJ80" s="225">
        <f>IF(OR($A80="",$B80&lt;&gt;"Định kỳ"),0,IFERROR(INDEX(DM_TanSuatNgay,MATCH($H80,DM_TanSuat,0)),0))</f>
      </c>
      <c r="AK80" s="225">
        <f>IF(OR($A80="",$B80&lt;&gt;"Định kỳ"),0,IFERROR(INDEX(DM_TanSuatThang,MATCH($H80,DM_TanSuat,0)),0))</f>
      </c>
      <c r="AL80" s="225">
        <f>IF(OR($A80="",$B80&lt;&gt;"Định kỳ",N($X80)=0,N($I80)=0),"",IF(INT($X80)&lt;$I80,0,IF($AJ80&gt;0,ROUND((INT($X80)-$I80)/$AJ80,0),IF($AK80&gt;0,ROUND((DATEDIF($I80,INT($X80),"m")+(INT($X80)-EDATE($I80,DATEDIF($I80,INT($X80),"m")))/(EDATE($I80,DATEDIF($I80,INT($X80),"m")+1)-EDATE($I80,DATEDIF($I80,INT($X80),"m"))))/$AK80,0),0))))</f>
      </c>
      <c r="AM80" s="225">
        <f>IF($A80="","",IF(COUNTIF('Nhật ký tiến độ'!$C$6:$C$3005,$A80)=0,0,_xlfn.MAXIFS('Nhật ký tiến độ'!$N$6:$N$3005,'Nhật ký tiến độ'!$C$6:$C$3005,$A80,'Nhật ký tiến độ'!$B$6:$B$3005,_xlfn.MAXIFS('Nhật ký tiến độ'!$B$6:$B$3005,'Nhật ký tiến độ'!$C$6:$C$3005,$A80))))</f>
      </c>
      <c r="AN80" s="225">
        <f>IF($A80="","",IF(N($AM80)=0,"",INDEX('Nhật ký tiến độ'!$E:$E,$AM80)))</f>
      </c>
      <c r="AO80" s="225">
        <f>IF($A80="",0,IF($AA80="Hoàn thành",0,1))</f>
      </c>
      <c r="AP80" s="225">
        <f>IF($AO80=0,0,INT(N($AW80)))</f>
      </c>
      <c r="AQ80" s="225">
        <f>IF(AND($AO80=1,$AJ80&gt;1),$AJ80,0)</f>
      </c>
      <c r="AR80" s="225">
        <f>IF(AND($AO80=1,$AJ80=1),1,0)</f>
      </c>
      <c r="AS80" s="225">
        <f>IF(OR($AO80=0,AND($AR80=1,N($BB80)=0)),"",IF(N($BB80)&gt;0,5-$BB80,IF($AD80="Chậm tiến độ",6,IF($AD80="Đến hạn hôm nay",7,IF(AND($AP80&gt;0,$AP80-NgayBC&lt;=7),8,"")))))</f>
      </c>
      <c r="AT80" s="225">
        <f>IF($AS80="","",$AS80*100000+$AP80+ROW()/100000)</f>
      </c>
      <c r="AU80" s="224">
        <f>IF(OR($A80="",N($R80)&lt;=0),"",IF($S80="Ngày",$R80*24,$R80))</f>
      </c>
      <c r="AV80" s="224">
        <f>IF($A80="","",IF($B80="Đột xuất",IF(OR($AA80&lt;&gt;"Hoàn thành",N($X80)=0,N($J80)=0),"",IF($X80&lt;$J80,"",($X80-$J80)*24)),IFERROR(AVERAGEIFS('Nhật ký tiến độ'!$H$6:$H$3005,'Nhật ký tiến độ'!$C$6:$C$3005,$A80,'Nhật ký tiến độ'!$H$6:$H$3005,"&gt;0"),"")))</f>
      </c>
      <c r="AW80" s="233">
        <f>IF($A80="",0,IF($B80="Đột xuất",$AY80,IF($AX80=0,0,$AX80+1-1/1440)))</f>
      </c>
      <c r="AX80" s="234">
        <f>IF(OR($A80="",$B80&lt;&gt;"Định kỳ",N($I80)=0),0,IF($AL80="",$I80,IF($AJ80&gt;0,$I80+($AL80+1)*$AJ80,IF($AK80&gt;0,EDATE($I80,($AL80+1)*$AK80),$I80))))</f>
      </c>
      <c r="AY80" s="233">
        <f>IF(OR($A80="",$B80&lt;&gt;"Đột xuất"),0,IF(N($K80)&gt;0,IF(MOD($K80,1)=0,$K80+1-1/1440,$K80),IF(N($J80)=0,0,$J80+IF(N($AU80)&gt;0,$AU80,IFERROR(INDEX(DM_SLA_Gio,MATCH($L80,DM_SLA_Cap,0)),168))/24)))</f>
      </c>
      <c r="AZ80" s="225">
        <f>IF(OR($A80="",TRIM($N80)="",COUNTIF('Phản ánh'!$K$6:$K$505,$N80)&gt;0,COUNTIF($N$6:$N80,$N80)&gt;1),0,1)</f>
      </c>
      <c r="BA80" s="225">
        <f>IF($AZ80=1,SUM($AZ$6:$AZ80),"")</f>
      </c>
      <c r="BB80" s="225">
        <f>IF(OR($AO80=0,N($AW80)=0),0,IF(TDBC&lt;=$AW80,0,MAX(1,MIN(4,IF((TDBC-$AW80)*24&lt;24,1,IF((TDBC-$AW80)*24&lt;72,2,IF((TDBC-$AW80)*24&lt;168,3,4)))+IF($B80="Đột xuất",IFERROR(INDEX({2,1,0,-1},MATCH($L80,{"Khẩn cấp","Cao","Trung bình","Thấp"},0)),0),IF($D80="PCCC và an ninh",1,0))))))</f>
      </c>
    </row>
    <row r="81">
      <c r="A81" s="216"/>
      <c r="B81" s="216"/>
      <c r="C81" s="218"/>
      <c r="D81" s="218"/>
      <c r="E81" s="218"/>
      <c r="F81" s="216"/>
      <c r="G81" s="218"/>
      <c r="H81" s="218"/>
      <c r="I81" s="231"/>
      <c r="J81" s="217"/>
      <c r="K81" s="217"/>
      <c r="L81" s="216"/>
      <c r="M81" s="216"/>
      <c r="N81" s="218"/>
      <c r="O81" s="218"/>
      <c r="P81" s="218"/>
      <c r="Q81" s="218"/>
      <c r="R81" s="219"/>
      <c r="S81" s="216"/>
      <c r="T81" s="232"/>
      <c r="U81" s="232"/>
      <c r="V81" s="218"/>
      <c r="W81" s="218"/>
      <c r="X81" s="220">
        <f>IF($A81="","",IF(OR($B81="Định kỳ",$AA81="Hoàn thành"),MAX(_xlfn.MAXIFS('Nhật ký tiến độ'!$B$6:$B$3005,'Nhật ký tiến độ'!$C$6:$C$3005,$A81,'Nhật ký tiến độ'!$E$6:$E$3005,"Hoàn thành kỳ"),_xlfn.MAXIFS('Nhật ký tiến độ'!$B$6:$B$3005,'Nhật ký tiến độ'!$C$6:$C$3005,$A81,'Nhật ký tiến độ'!$E$6:$E$3005,"Hoàn thành")),0))</f>
      </c>
      <c r="Y81" s="220">
        <f>IF($A81="","",IF($B81="Đột xuất",IF($AY81=0,"",$AY81),IF($AX81=0,"",$AX81)))</f>
      </c>
      <c r="Z81" s="223">
        <f>IF(OR($AO81=0,$AW81=0),"",IF(TDBC&gt;$AW81,"Quá "&amp;IF($B81="Định kỳ",(NgayBC-$AP81)&amp;" ngày",IF(((TDBC-$AW81)*24)&lt;1,MAX(1,ROUND(((TDBC-$AW81)*24)*60,0))&amp;" phút",IF(ROUND(((TDBC-$AW81)*24),0)&lt;24,ROUND(((TDBC-$AW81)*24),0)&amp;" giờ",INT(ROUND(((TDBC-$AW81)*24),0)/24)&amp;" ngày"&amp;IF(MOD(ROUND(((TDBC-$AW81)*24),0),24)&gt;0," "&amp;MOD(ROUND(((TDBC-$AW81)*24),0),24)&amp;" giờ","")))),IF($B81="Định kỳ",IF($AP81=NgayBC,"Hôm nay","Còn "&amp;($AP81-NgayBC)&amp;" ngày"),"Còn "&amp;IF((($AW81-TDBC)*24)&lt;1,MAX(1,ROUND((($AW81-TDBC)*24)*60,0))&amp;" phút",IF(ROUND((($AW81-TDBC)*24),0)&lt;24,ROUND((($AW81-TDBC)*24),0)&amp;" giờ",INT(ROUND((($AW81-TDBC)*24),0)/24)&amp;" ngày"&amp;IF(MOD(ROUND((($AW81-TDBC)*24),0),24)&gt;0," "&amp;MOD(ROUND((($AW81-TDBC)*24),0),24)&amp;" giờ",""))))))</f>
      </c>
      <c r="AA81" s="221">
        <f>IF($A81="","",IF(N($AM81)=0,"Chưa bắt đầu",IF(OR($AN81="Hoàn thành kỳ",$AN81="Hoàn thành"),IF($B81="Định kỳ","Chưa bắt đầu","Hoàn thành"),$AN81)))</f>
      </c>
      <c r="AB81" s="222">
        <f>IF($A81="","",IF($AA81="Hoàn thành",1,IF(OR(N($AM81)=0,$AN81="Hoàn thành kỳ",$AN81="Hoàn thành"),0,N(INDEX('Nhật ký tiến độ'!$D:$D,$AM81)))))</f>
      </c>
      <c r="AC81" s="222">
        <f>IF(OR($A81="",$B81&lt;&gt;"Đột xuất",$AA81="Hoàn thành",N($J81)=0,$AW81=0),"",IF(TDBC&lt;=$J81,0,IF(TDBC&gt;=$AW81,1,(TDBC-$J81)/($AW81-$J81))))</f>
      </c>
      <c r="AD81" s="223">
        <f>IF($A81="","",IF($AA81="Hoàn thành","Hoàn thành",IF($AW81=0,"Chưa đặt hạn",IF(TDBC&gt;$AW81,"Quá hạn",IF(AND($B81="Đột xuất",ROUND((N($AC81)-$AB81)*100,0)&gt;=20),"Chậm tiến độ",IF($AP81=NgayBC,"Đến hạn hôm nay",IF($B81="Đột xuất",IF($AW81-TDBC&lt;=1,"Sắp đến hạn","Đúng tiến độ"),IF($AP81-NgayBC&lt;=3,"Sắp đến hạn","Theo lịch"))))))))</f>
      </c>
      <c r="AE81" s="223">
        <f>IF($AV81="","",IF($B81="Định kỳ","Bình quân "&amp;IF($AV81&lt;1,MAX(1,ROUND($AV81*60,0))&amp;" phút",IF(ROUND($AV81,0)&lt;24,ROUND($AV81,0)&amp;" giờ",INT(ROUND($AV81,0)/24)&amp;" ngày"&amp;IF(MOD(ROUND($AV81,0),24)&gt;0," "&amp;MOD(ROUND($AV81,0),24)&amp;" giờ","")))&amp;" mỗi kỳ",IF($AV81&lt;1,MAX(1,ROUND($AV81*60,0))&amp;" phút",IF(ROUND($AV81,0)&lt;24,ROUND($AV81,0)&amp;" giờ",INT(ROUND($AV81,0)/24)&amp;" ngày"&amp;IF(MOD(ROUND($AV81,0),24)&gt;0," "&amp;MOD(ROUND($AV81,0),24)&amp;" giờ","")))))</f>
      </c>
      <c r="AF81" s="223">
        <f>IF(OR($A81="",N($AU81)=0),"",IF($AV81&lt;&gt;"",IF($AV81&lt;=$AU81,"Trong ước tính","Vượt "&amp;IF(($AV81-$AU81)&lt;1,MAX(1,ROUND(($AV81-$AU81)*60,0))&amp;" phút",IF(ROUND(($AV81-$AU81),0)&lt;24,ROUND(($AV81-$AU81),0)&amp;" giờ",INT(ROUND(($AV81-$AU81),0)/24)&amp;" ngày"&amp;IF(MOD(ROUND(($AV81-$AU81),0),24)&gt;0," "&amp;MOD(ROUND(($AV81-$AU81),0),24)&amp;" giờ","")))),IF(OR($B81&lt;&gt;"Đột xuất",$AA81="Hoàn thành",N($J81)=0),"",IF((TDBC-$J81)*24&gt;$AU81,"Đã vượt ước tính","Đã dùng "&amp;TEXT((TDBC-$J81)*24/$AU81,"0%")))))</f>
      </c>
      <c r="AG81" s="223">
        <f>IF(N($BB81)=0,"",CHOOSE($BB81,"Nhắc nhở","Cảnh báo","Báo động","Báo động đỏ"))</f>
      </c>
      <c r="AH81" s="223">
        <f>IF(OR($B81&lt;&gt;"Đột xuất",$AA81&lt;&gt;"Hoàn thành",N($X81)=0,$AW81=0),"",IF($X81&lt;=$AW81,"Đúng hạn","Trễ hạn"))</f>
      </c>
      <c r="AI81" s="220">
        <f>IF($A81="","",_xlfn.MAXIFS('Nhật ký tiến độ'!$B$6:$B$3005,'Nhật ký tiến độ'!$C$6:$C$3005,$A81))</f>
      </c>
      <c r="AJ81" s="225">
        <f>IF(OR($A81="",$B81&lt;&gt;"Định kỳ"),0,IFERROR(INDEX(DM_TanSuatNgay,MATCH($H81,DM_TanSuat,0)),0))</f>
      </c>
      <c r="AK81" s="225">
        <f>IF(OR($A81="",$B81&lt;&gt;"Định kỳ"),0,IFERROR(INDEX(DM_TanSuatThang,MATCH($H81,DM_TanSuat,0)),0))</f>
      </c>
      <c r="AL81" s="225">
        <f>IF(OR($A81="",$B81&lt;&gt;"Định kỳ",N($X81)=0,N($I81)=0),"",IF(INT($X81)&lt;$I81,0,IF($AJ81&gt;0,ROUND((INT($X81)-$I81)/$AJ81,0),IF($AK81&gt;0,ROUND((DATEDIF($I81,INT($X81),"m")+(INT($X81)-EDATE($I81,DATEDIF($I81,INT($X81),"m")))/(EDATE($I81,DATEDIF($I81,INT($X81),"m")+1)-EDATE($I81,DATEDIF($I81,INT($X81),"m"))))/$AK81,0),0))))</f>
      </c>
      <c r="AM81" s="225">
        <f>IF($A81="","",IF(COUNTIF('Nhật ký tiến độ'!$C$6:$C$3005,$A81)=0,0,_xlfn.MAXIFS('Nhật ký tiến độ'!$N$6:$N$3005,'Nhật ký tiến độ'!$C$6:$C$3005,$A81,'Nhật ký tiến độ'!$B$6:$B$3005,_xlfn.MAXIFS('Nhật ký tiến độ'!$B$6:$B$3005,'Nhật ký tiến độ'!$C$6:$C$3005,$A81))))</f>
      </c>
      <c r="AN81" s="225">
        <f>IF($A81="","",IF(N($AM81)=0,"",INDEX('Nhật ký tiến độ'!$E:$E,$AM81)))</f>
      </c>
      <c r="AO81" s="225">
        <f>IF($A81="",0,IF($AA81="Hoàn thành",0,1))</f>
      </c>
      <c r="AP81" s="225">
        <f>IF($AO81=0,0,INT(N($AW81)))</f>
      </c>
      <c r="AQ81" s="225">
        <f>IF(AND($AO81=1,$AJ81&gt;1),$AJ81,0)</f>
      </c>
      <c r="AR81" s="225">
        <f>IF(AND($AO81=1,$AJ81=1),1,0)</f>
      </c>
      <c r="AS81" s="225">
        <f>IF(OR($AO81=0,AND($AR81=1,N($BB81)=0)),"",IF(N($BB81)&gt;0,5-$BB81,IF($AD81="Chậm tiến độ",6,IF($AD81="Đến hạn hôm nay",7,IF(AND($AP81&gt;0,$AP81-NgayBC&lt;=7),8,"")))))</f>
      </c>
      <c r="AT81" s="225">
        <f>IF($AS81="","",$AS81*100000+$AP81+ROW()/100000)</f>
      </c>
      <c r="AU81" s="224">
        <f>IF(OR($A81="",N($R81)&lt;=0),"",IF($S81="Ngày",$R81*24,$R81))</f>
      </c>
      <c r="AV81" s="224">
        <f>IF($A81="","",IF($B81="Đột xuất",IF(OR($AA81&lt;&gt;"Hoàn thành",N($X81)=0,N($J81)=0),"",IF($X81&lt;$J81,"",($X81-$J81)*24)),IFERROR(AVERAGEIFS('Nhật ký tiến độ'!$H$6:$H$3005,'Nhật ký tiến độ'!$C$6:$C$3005,$A81,'Nhật ký tiến độ'!$H$6:$H$3005,"&gt;0"),"")))</f>
      </c>
      <c r="AW81" s="233">
        <f>IF($A81="",0,IF($B81="Đột xuất",$AY81,IF($AX81=0,0,$AX81+1-1/1440)))</f>
      </c>
      <c r="AX81" s="234">
        <f>IF(OR($A81="",$B81&lt;&gt;"Định kỳ",N($I81)=0),0,IF($AL81="",$I81,IF($AJ81&gt;0,$I81+($AL81+1)*$AJ81,IF($AK81&gt;0,EDATE($I81,($AL81+1)*$AK81),$I81))))</f>
      </c>
      <c r="AY81" s="233">
        <f>IF(OR($A81="",$B81&lt;&gt;"Đột xuất"),0,IF(N($K81)&gt;0,IF(MOD($K81,1)=0,$K81+1-1/1440,$K81),IF(N($J81)=0,0,$J81+IF(N($AU81)&gt;0,$AU81,IFERROR(INDEX(DM_SLA_Gio,MATCH($L81,DM_SLA_Cap,0)),168))/24)))</f>
      </c>
      <c r="AZ81" s="225">
        <f>IF(OR($A81="",TRIM($N81)="",COUNTIF('Phản ánh'!$K$6:$K$505,$N81)&gt;0,COUNTIF($N$6:$N81,$N81)&gt;1),0,1)</f>
      </c>
      <c r="BA81" s="225">
        <f>IF($AZ81=1,SUM($AZ$6:$AZ81),"")</f>
      </c>
      <c r="BB81" s="225">
        <f>IF(OR($AO81=0,N($AW81)=0),0,IF(TDBC&lt;=$AW81,0,MAX(1,MIN(4,IF((TDBC-$AW81)*24&lt;24,1,IF((TDBC-$AW81)*24&lt;72,2,IF((TDBC-$AW81)*24&lt;168,3,4)))+IF($B81="Đột xuất",IFERROR(INDEX({2,1,0,-1},MATCH($L81,{"Khẩn cấp","Cao","Trung bình","Thấp"},0)),0),IF($D81="PCCC và an ninh",1,0))))))</f>
      </c>
    </row>
    <row r="82">
      <c r="A82" s="216"/>
      <c r="B82" s="216"/>
      <c r="C82" s="218"/>
      <c r="D82" s="218"/>
      <c r="E82" s="218"/>
      <c r="F82" s="216"/>
      <c r="G82" s="218"/>
      <c r="H82" s="218"/>
      <c r="I82" s="231"/>
      <c r="J82" s="217"/>
      <c r="K82" s="217"/>
      <c r="L82" s="216"/>
      <c r="M82" s="216"/>
      <c r="N82" s="218"/>
      <c r="O82" s="218"/>
      <c r="P82" s="218"/>
      <c r="Q82" s="218"/>
      <c r="R82" s="219"/>
      <c r="S82" s="216"/>
      <c r="T82" s="232"/>
      <c r="U82" s="232"/>
      <c r="V82" s="218"/>
      <c r="W82" s="218"/>
      <c r="X82" s="220">
        <f>IF($A82="","",IF(OR($B82="Định kỳ",$AA82="Hoàn thành"),MAX(_xlfn.MAXIFS('Nhật ký tiến độ'!$B$6:$B$3005,'Nhật ký tiến độ'!$C$6:$C$3005,$A82,'Nhật ký tiến độ'!$E$6:$E$3005,"Hoàn thành kỳ"),_xlfn.MAXIFS('Nhật ký tiến độ'!$B$6:$B$3005,'Nhật ký tiến độ'!$C$6:$C$3005,$A82,'Nhật ký tiến độ'!$E$6:$E$3005,"Hoàn thành")),0))</f>
      </c>
      <c r="Y82" s="220">
        <f>IF($A82="","",IF($B82="Đột xuất",IF($AY82=0,"",$AY82),IF($AX82=0,"",$AX82)))</f>
      </c>
      <c r="Z82" s="223">
        <f>IF(OR($AO82=0,$AW82=0),"",IF(TDBC&gt;$AW82,"Quá "&amp;IF($B82="Định kỳ",(NgayBC-$AP82)&amp;" ngày",IF(((TDBC-$AW82)*24)&lt;1,MAX(1,ROUND(((TDBC-$AW82)*24)*60,0))&amp;" phút",IF(ROUND(((TDBC-$AW82)*24),0)&lt;24,ROUND(((TDBC-$AW82)*24),0)&amp;" giờ",INT(ROUND(((TDBC-$AW82)*24),0)/24)&amp;" ngày"&amp;IF(MOD(ROUND(((TDBC-$AW82)*24),0),24)&gt;0," "&amp;MOD(ROUND(((TDBC-$AW82)*24),0),24)&amp;" giờ","")))),IF($B82="Định kỳ",IF($AP82=NgayBC,"Hôm nay","Còn "&amp;($AP82-NgayBC)&amp;" ngày"),"Còn "&amp;IF((($AW82-TDBC)*24)&lt;1,MAX(1,ROUND((($AW82-TDBC)*24)*60,0))&amp;" phút",IF(ROUND((($AW82-TDBC)*24),0)&lt;24,ROUND((($AW82-TDBC)*24),0)&amp;" giờ",INT(ROUND((($AW82-TDBC)*24),0)/24)&amp;" ngày"&amp;IF(MOD(ROUND((($AW82-TDBC)*24),0),24)&gt;0," "&amp;MOD(ROUND((($AW82-TDBC)*24),0),24)&amp;" giờ",""))))))</f>
      </c>
      <c r="AA82" s="221">
        <f>IF($A82="","",IF(N($AM82)=0,"Chưa bắt đầu",IF(OR($AN82="Hoàn thành kỳ",$AN82="Hoàn thành"),IF($B82="Định kỳ","Chưa bắt đầu","Hoàn thành"),$AN82)))</f>
      </c>
      <c r="AB82" s="222">
        <f>IF($A82="","",IF($AA82="Hoàn thành",1,IF(OR(N($AM82)=0,$AN82="Hoàn thành kỳ",$AN82="Hoàn thành"),0,N(INDEX('Nhật ký tiến độ'!$D:$D,$AM82)))))</f>
      </c>
      <c r="AC82" s="222">
        <f>IF(OR($A82="",$B82&lt;&gt;"Đột xuất",$AA82="Hoàn thành",N($J82)=0,$AW82=0),"",IF(TDBC&lt;=$J82,0,IF(TDBC&gt;=$AW82,1,(TDBC-$J82)/($AW82-$J82))))</f>
      </c>
      <c r="AD82" s="223">
        <f>IF($A82="","",IF($AA82="Hoàn thành","Hoàn thành",IF($AW82=0,"Chưa đặt hạn",IF(TDBC&gt;$AW82,"Quá hạn",IF(AND($B82="Đột xuất",ROUND((N($AC82)-$AB82)*100,0)&gt;=20),"Chậm tiến độ",IF($AP82=NgayBC,"Đến hạn hôm nay",IF($B82="Đột xuất",IF($AW82-TDBC&lt;=1,"Sắp đến hạn","Đúng tiến độ"),IF($AP82-NgayBC&lt;=3,"Sắp đến hạn","Theo lịch"))))))))</f>
      </c>
      <c r="AE82" s="223">
        <f>IF($AV82="","",IF($B82="Định kỳ","Bình quân "&amp;IF($AV82&lt;1,MAX(1,ROUND($AV82*60,0))&amp;" phút",IF(ROUND($AV82,0)&lt;24,ROUND($AV82,0)&amp;" giờ",INT(ROUND($AV82,0)/24)&amp;" ngày"&amp;IF(MOD(ROUND($AV82,0),24)&gt;0," "&amp;MOD(ROUND($AV82,0),24)&amp;" giờ","")))&amp;" mỗi kỳ",IF($AV82&lt;1,MAX(1,ROUND($AV82*60,0))&amp;" phút",IF(ROUND($AV82,0)&lt;24,ROUND($AV82,0)&amp;" giờ",INT(ROUND($AV82,0)/24)&amp;" ngày"&amp;IF(MOD(ROUND($AV82,0),24)&gt;0," "&amp;MOD(ROUND($AV82,0),24)&amp;" giờ","")))))</f>
      </c>
      <c r="AF82" s="223">
        <f>IF(OR($A82="",N($AU82)=0),"",IF($AV82&lt;&gt;"",IF($AV82&lt;=$AU82,"Trong ước tính","Vượt "&amp;IF(($AV82-$AU82)&lt;1,MAX(1,ROUND(($AV82-$AU82)*60,0))&amp;" phút",IF(ROUND(($AV82-$AU82),0)&lt;24,ROUND(($AV82-$AU82),0)&amp;" giờ",INT(ROUND(($AV82-$AU82),0)/24)&amp;" ngày"&amp;IF(MOD(ROUND(($AV82-$AU82),0),24)&gt;0," "&amp;MOD(ROUND(($AV82-$AU82),0),24)&amp;" giờ","")))),IF(OR($B82&lt;&gt;"Đột xuất",$AA82="Hoàn thành",N($J82)=0),"",IF((TDBC-$J82)*24&gt;$AU82,"Đã vượt ước tính","Đã dùng "&amp;TEXT((TDBC-$J82)*24/$AU82,"0%")))))</f>
      </c>
      <c r="AG82" s="223">
        <f>IF(N($BB82)=0,"",CHOOSE($BB82,"Nhắc nhở","Cảnh báo","Báo động","Báo động đỏ"))</f>
      </c>
      <c r="AH82" s="223">
        <f>IF(OR($B82&lt;&gt;"Đột xuất",$AA82&lt;&gt;"Hoàn thành",N($X82)=0,$AW82=0),"",IF($X82&lt;=$AW82,"Đúng hạn","Trễ hạn"))</f>
      </c>
      <c r="AI82" s="220">
        <f>IF($A82="","",_xlfn.MAXIFS('Nhật ký tiến độ'!$B$6:$B$3005,'Nhật ký tiến độ'!$C$6:$C$3005,$A82))</f>
      </c>
      <c r="AJ82" s="225">
        <f>IF(OR($A82="",$B82&lt;&gt;"Định kỳ"),0,IFERROR(INDEX(DM_TanSuatNgay,MATCH($H82,DM_TanSuat,0)),0))</f>
      </c>
      <c r="AK82" s="225">
        <f>IF(OR($A82="",$B82&lt;&gt;"Định kỳ"),0,IFERROR(INDEX(DM_TanSuatThang,MATCH($H82,DM_TanSuat,0)),0))</f>
      </c>
      <c r="AL82" s="225">
        <f>IF(OR($A82="",$B82&lt;&gt;"Định kỳ",N($X82)=0,N($I82)=0),"",IF(INT($X82)&lt;$I82,0,IF($AJ82&gt;0,ROUND((INT($X82)-$I82)/$AJ82,0),IF($AK82&gt;0,ROUND((DATEDIF($I82,INT($X82),"m")+(INT($X82)-EDATE($I82,DATEDIF($I82,INT($X82),"m")))/(EDATE($I82,DATEDIF($I82,INT($X82),"m")+1)-EDATE($I82,DATEDIF($I82,INT($X82),"m"))))/$AK82,0),0))))</f>
      </c>
      <c r="AM82" s="225">
        <f>IF($A82="","",IF(COUNTIF('Nhật ký tiến độ'!$C$6:$C$3005,$A82)=0,0,_xlfn.MAXIFS('Nhật ký tiến độ'!$N$6:$N$3005,'Nhật ký tiến độ'!$C$6:$C$3005,$A82,'Nhật ký tiến độ'!$B$6:$B$3005,_xlfn.MAXIFS('Nhật ký tiến độ'!$B$6:$B$3005,'Nhật ký tiến độ'!$C$6:$C$3005,$A82))))</f>
      </c>
      <c r="AN82" s="225">
        <f>IF($A82="","",IF(N($AM82)=0,"",INDEX('Nhật ký tiến độ'!$E:$E,$AM82)))</f>
      </c>
      <c r="AO82" s="225">
        <f>IF($A82="",0,IF($AA82="Hoàn thành",0,1))</f>
      </c>
      <c r="AP82" s="225">
        <f>IF($AO82=0,0,INT(N($AW82)))</f>
      </c>
      <c r="AQ82" s="225">
        <f>IF(AND($AO82=1,$AJ82&gt;1),$AJ82,0)</f>
      </c>
      <c r="AR82" s="225">
        <f>IF(AND($AO82=1,$AJ82=1),1,0)</f>
      </c>
      <c r="AS82" s="225">
        <f>IF(OR($AO82=0,AND($AR82=1,N($BB82)=0)),"",IF(N($BB82)&gt;0,5-$BB82,IF($AD82="Chậm tiến độ",6,IF($AD82="Đến hạn hôm nay",7,IF(AND($AP82&gt;0,$AP82-NgayBC&lt;=7),8,"")))))</f>
      </c>
      <c r="AT82" s="225">
        <f>IF($AS82="","",$AS82*100000+$AP82+ROW()/100000)</f>
      </c>
      <c r="AU82" s="224">
        <f>IF(OR($A82="",N($R82)&lt;=0),"",IF($S82="Ngày",$R82*24,$R82))</f>
      </c>
      <c r="AV82" s="224">
        <f>IF($A82="","",IF($B82="Đột xuất",IF(OR($AA82&lt;&gt;"Hoàn thành",N($X82)=0,N($J82)=0),"",IF($X82&lt;$J82,"",($X82-$J82)*24)),IFERROR(AVERAGEIFS('Nhật ký tiến độ'!$H$6:$H$3005,'Nhật ký tiến độ'!$C$6:$C$3005,$A82,'Nhật ký tiến độ'!$H$6:$H$3005,"&gt;0"),"")))</f>
      </c>
      <c r="AW82" s="233">
        <f>IF($A82="",0,IF($B82="Đột xuất",$AY82,IF($AX82=0,0,$AX82+1-1/1440)))</f>
      </c>
      <c r="AX82" s="234">
        <f>IF(OR($A82="",$B82&lt;&gt;"Định kỳ",N($I82)=0),0,IF($AL82="",$I82,IF($AJ82&gt;0,$I82+($AL82+1)*$AJ82,IF($AK82&gt;0,EDATE($I82,($AL82+1)*$AK82),$I82))))</f>
      </c>
      <c r="AY82" s="233">
        <f>IF(OR($A82="",$B82&lt;&gt;"Đột xuất"),0,IF(N($K82)&gt;0,IF(MOD($K82,1)=0,$K82+1-1/1440,$K82),IF(N($J82)=0,0,$J82+IF(N($AU82)&gt;0,$AU82,IFERROR(INDEX(DM_SLA_Gio,MATCH($L82,DM_SLA_Cap,0)),168))/24)))</f>
      </c>
      <c r="AZ82" s="225">
        <f>IF(OR($A82="",TRIM($N82)="",COUNTIF('Phản ánh'!$K$6:$K$505,$N82)&gt;0,COUNTIF($N$6:$N82,$N82)&gt;1),0,1)</f>
      </c>
      <c r="BA82" s="225">
        <f>IF($AZ82=1,SUM($AZ$6:$AZ82),"")</f>
      </c>
      <c r="BB82" s="225">
        <f>IF(OR($AO82=0,N($AW82)=0),0,IF(TDBC&lt;=$AW82,0,MAX(1,MIN(4,IF((TDBC-$AW82)*24&lt;24,1,IF((TDBC-$AW82)*24&lt;72,2,IF((TDBC-$AW82)*24&lt;168,3,4)))+IF($B82="Đột xuất",IFERROR(INDEX({2,1,0,-1},MATCH($L82,{"Khẩn cấp","Cao","Trung bình","Thấp"},0)),0),IF($D82="PCCC và an ninh",1,0))))))</f>
      </c>
    </row>
    <row r="83">
      <c r="A83" s="216"/>
      <c r="B83" s="216"/>
      <c r="C83" s="218"/>
      <c r="D83" s="218"/>
      <c r="E83" s="218"/>
      <c r="F83" s="216"/>
      <c r="G83" s="218"/>
      <c r="H83" s="218"/>
      <c r="I83" s="231"/>
      <c r="J83" s="217"/>
      <c r="K83" s="217"/>
      <c r="L83" s="216"/>
      <c r="M83" s="216"/>
      <c r="N83" s="218"/>
      <c r="O83" s="218"/>
      <c r="P83" s="218"/>
      <c r="Q83" s="218"/>
      <c r="R83" s="219"/>
      <c r="S83" s="216"/>
      <c r="T83" s="232"/>
      <c r="U83" s="232"/>
      <c r="V83" s="218"/>
      <c r="W83" s="218"/>
      <c r="X83" s="220">
        <f>IF($A83="","",IF(OR($B83="Định kỳ",$AA83="Hoàn thành"),MAX(_xlfn.MAXIFS('Nhật ký tiến độ'!$B$6:$B$3005,'Nhật ký tiến độ'!$C$6:$C$3005,$A83,'Nhật ký tiến độ'!$E$6:$E$3005,"Hoàn thành kỳ"),_xlfn.MAXIFS('Nhật ký tiến độ'!$B$6:$B$3005,'Nhật ký tiến độ'!$C$6:$C$3005,$A83,'Nhật ký tiến độ'!$E$6:$E$3005,"Hoàn thành")),0))</f>
      </c>
      <c r="Y83" s="220">
        <f>IF($A83="","",IF($B83="Đột xuất",IF($AY83=0,"",$AY83),IF($AX83=0,"",$AX83)))</f>
      </c>
      <c r="Z83" s="223">
        <f>IF(OR($AO83=0,$AW83=0),"",IF(TDBC&gt;$AW83,"Quá "&amp;IF($B83="Định kỳ",(NgayBC-$AP83)&amp;" ngày",IF(((TDBC-$AW83)*24)&lt;1,MAX(1,ROUND(((TDBC-$AW83)*24)*60,0))&amp;" phút",IF(ROUND(((TDBC-$AW83)*24),0)&lt;24,ROUND(((TDBC-$AW83)*24),0)&amp;" giờ",INT(ROUND(((TDBC-$AW83)*24),0)/24)&amp;" ngày"&amp;IF(MOD(ROUND(((TDBC-$AW83)*24),0),24)&gt;0," "&amp;MOD(ROUND(((TDBC-$AW83)*24),0),24)&amp;" giờ","")))),IF($B83="Định kỳ",IF($AP83=NgayBC,"Hôm nay","Còn "&amp;($AP83-NgayBC)&amp;" ngày"),"Còn "&amp;IF((($AW83-TDBC)*24)&lt;1,MAX(1,ROUND((($AW83-TDBC)*24)*60,0))&amp;" phút",IF(ROUND((($AW83-TDBC)*24),0)&lt;24,ROUND((($AW83-TDBC)*24),0)&amp;" giờ",INT(ROUND((($AW83-TDBC)*24),0)/24)&amp;" ngày"&amp;IF(MOD(ROUND((($AW83-TDBC)*24),0),24)&gt;0," "&amp;MOD(ROUND((($AW83-TDBC)*24),0),24)&amp;" giờ",""))))))</f>
      </c>
      <c r="AA83" s="221">
        <f>IF($A83="","",IF(N($AM83)=0,"Chưa bắt đầu",IF(OR($AN83="Hoàn thành kỳ",$AN83="Hoàn thành"),IF($B83="Định kỳ","Chưa bắt đầu","Hoàn thành"),$AN83)))</f>
      </c>
      <c r="AB83" s="222">
        <f>IF($A83="","",IF($AA83="Hoàn thành",1,IF(OR(N($AM83)=0,$AN83="Hoàn thành kỳ",$AN83="Hoàn thành"),0,N(INDEX('Nhật ký tiến độ'!$D:$D,$AM83)))))</f>
      </c>
      <c r="AC83" s="222">
        <f>IF(OR($A83="",$B83&lt;&gt;"Đột xuất",$AA83="Hoàn thành",N($J83)=0,$AW83=0),"",IF(TDBC&lt;=$J83,0,IF(TDBC&gt;=$AW83,1,(TDBC-$J83)/($AW83-$J83))))</f>
      </c>
      <c r="AD83" s="223">
        <f>IF($A83="","",IF($AA83="Hoàn thành","Hoàn thành",IF($AW83=0,"Chưa đặt hạn",IF(TDBC&gt;$AW83,"Quá hạn",IF(AND($B83="Đột xuất",ROUND((N($AC83)-$AB83)*100,0)&gt;=20),"Chậm tiến độ",IF($AP83=NgayBC,"Đến hạn hôm nay",IF($B83="Đột xuất",IF($AW83-TDBC&lt;=1,"Sắp đến hạn","Đúng tiến độ"),IF($AP83-NgayBC&lt;=3,"Sắp đến hạn","Theo lịch"))))))))</f>
      </c>
      <c r="AE83" s="223">
        <f>IF($AV83="","",IF($B83="Định kỳ","Bình quân "&amp;IF($AV83&lt;1,MAX(1,ROUND($AV83*60,0))&amp;" phút",IF(ROUND($AV83,0)&lt;24,ROUND($AV83,0)&amp;" giờ",INT(ROUND($AV83,0)/24)&amp;" ngày"&amp;IF(MOD(ROUND($AV83,0),24)&gt;0," "&amp;MOD(ROUND($AV83,0),24)&amp;" giờ","")))&amp;" mỗi kỳ",IF($AV83&lt;1,MAX(1,ROUND($AV83*60,0))&amp;" phút",IF(ROUND($AV83,0)&lt;24,ROUND($AV83,0)&amp;" giờ",INT(ROUND($AV83,0)/24)&amp;" ngày"&amp;IF(MOD(ROUND($AV83,0),24)&gt;0," "&amp;MOD(ROUND($AV83,0),24)&amp;" giờ","")))))</f>
      </c>
      <c r="AF83" s="223">
        <f>IF(OR($A83="",N($AU83)=0),"",IF($AV83&lt;&gt;"",IF($AV83&lt;=$AU83,"Trong ước tính","Vượt "&amp;IF(($AV83-$AU83)&lt;1,MAX(1,ROUND(($AV83-$AU83)*60,0))&amp;" phút",IF(ROUND(($AV83-$AU83),0)&lt;24,ROUND(($AV83-$AU83),0)&amp;" giờ",INT(ROUND(($AV83-$AU83),0)/24)&amp;" ngày"&amp;IF(MOD(ROUND(($AV83-$AU83),0),24)&gt;0," "&amp;MOD(ROUND(($AV83-$AU83),0),24)&amp;" giờ","")))),IF(OR($B83&lt;&gt;"Đột xuất",$AA83="Hoàn thành",N($J83)=0),"",IF((TDBC-$J83)*24&gt;$AU83,"Đã vượt ước tính","Đã dùng "&amp;TEXT((TDBC-$J83)*24/$AU83,"0%")))))</f>
      </c>
      <c r="AG83" s="223">
        <f>IF(N($BB83)=0,"",CHOOSE($BB83,"Nhắc nhở","Cảnh báo","Báo động","Báo động đỏ"))</f>
      </c>
      <c r="AH83" s="223">
        <f>IF(OR($B83&lt;&gt;"Đột xuất",$AA83&lt;&gt;"Hoàn thành",N($X83)=0,$AW83=0),"",IF($X83&lt;=$AW83,"Đúng hạn","Trễ hạn"))</f>
      </c>
      <c r="AI83" s="220">
        <f>IF($A83="","",_xlfn.MAXIFS('Nhật ký tiến độ'!$B$6:$B$3005,'Nhật ký tiến độ'!$C$6:$C$3005,$A83))</f>
      </c>
      <c r="AJ83" s="225">
        <f>IF(OR($A83="",$B83&lt;&gt;"Định kỳ"),0,IFERROR(INDEX(DM_TanSuatNgay,MATCH($H83,DM_TanSuat,0)),0))</f>
      </c>
      <c r="AK83" s="225">
        <f>IF(OR($A83="",$B83&lt;&gt;"Định kỳ"),0,IFERROR(INDEX(DM_TanSuatThang,MATCH($H83,DM_TanSuat,0)),0))</f>
      </c>
      <c r="AL83" s="225">
        <f>IF(OR($A83="",$B83&lt;&gt;"Định kỳ",N($X83)=0,N($I83)=0),"",IF(INT($X83)&lt;$I83,0,IF($AJ83&gt;0,ROUND((INT($X83)-$I83)/$AJ83,0),IF($AK83&gt;0,ROUND((DATEDIF($I83,INT($X83),"m")+(INT($X83)-EDATE($I83,DATEDIF($I83,INT($X83),"m")))/(EDATE($I83,DATEDIF($I83,INT($X83),"m")+1)-EDATE($I83,DATEDIF($I83,INT($X83),"m"))))/$AK83,0),0))))</f>
      </c>
      <c r="AM83" s="225">
        <f>IF($A83="","",IF(COUNTIF('Nhật ký tiến độ'!$C$6:$C$3005,$A83)=0,0,_xlfn.MAXIFS('Nhật ký tiến độ'!$N$6:$N$3005,'Nhật ký tiến độ'!$C$6:$C$3005,$A83,'Nhật ký tiến độ'!$B$6:$B$3005,_xlfn.MAXIFS('Nhật ký tiến độ'!$B$6:$B$3005,'Nhật ký tiến độ'!$C$6:$C$3005,$A83))))</f>
      </c>
      <c r="AN83" s="225">
        <f>IF($A83="","",IF(N($AM83)=0,"",INDEX('Nhật ký tiến độ'!$E:$E,$AM83)))</f>
      </c>
      <c r="AO83" s="225">
        <f>IF($A83="",0,IF($AA83="Hoàn thành",0,1))</f>
      </c>
      <c r="AP83" s="225">
        <f>IF($AO83=0,0,INT(N($AW83)))</f>
      </c>
      <c r="AQ83" s="225">
        <f>IF(AND($AO83=1,$AJ83&gt;1),$AJ83,0)</f>
      </c>
      <c r="AR83" s="225">
        <f>IF(AND($AO83=1,$AJ83=1),1,0)</f>
      </c>
      <c r="AS83" s="225">
        <f>IF(OR($AO83=0,AND($AR83=1,N($BB83)=0)),"",IF(N($BB83)&gt;0,5-$BB83,IF($AD83="Chậm tiến độ",6,IF($AD83="Đến hạn hôm nay",7,IF(AND($AP83&gt;0,$AP83-NgayBC&lt;=7),8,"")))))</f>
      </c>
      <c r="AT83" s="225">
        <f>IF($AS83="","",$AS83*100000+$AP83+ROW()/100000)</f>
      </c>
      <c r="AU83" s="224">
        <f>IF(OR($A83="",N($R83)&lt;=0),"",IF($S83="Ngày",$R83*24,$R83))</f>
      </c>
      <c r="AV83" s="224">
        <f>IF($A83="","",IF($B83="Đột xuất",IF(OR($AA83&lt;&gt;"Hoàn thành",N($X83)=0,N($J83)=0),"",IF($X83&lt;$J83,"",($X83-$J83)*24)),IFERROR(AVERAGEIFS('Nhật ký tiến độ'!$H$6:$H$3005,'Nhật ký tiến độ'!$C$6:$C$3005,$A83,'Nhật ký tiến độ'!$H$6:$H$3005,"&gt;0"),"")))</f>
      </c>
      <c r="AW83" s="233">
        <f>IF($A83="",0,IF($B83="Đột xuất",$AY83,IF($AX83=0,0,$AX83+1-1/1440)))</f>
      </c>
      <c r="AX83" s="234">
        <f>IF(OR($A83="",$B83&lt;&gt;"Định kỳ",N($I83)=0),0,IF($AL83="",$I83,IF($AJ83&gt;0,$I83+($AL83+1)*$AJ83,IF($AK83&gt;0,EDATE($I83,($AL83+1)*$AK83),$I83))))</f>
      </c>
      <c r="AY83" s="233">
        <f>IF(OR($A83="",$B83&lt;&gt;"Đột xuất"),0,IF(N($K83)&gt;0,IF(MOD($K83,1)=0,$K83+1-1/1440,$K83),IF(N($J83)=0,0,$J83+IF(N($AU83)&gt;0,$AU83,IFERROR(INDEX(DM_SLA_Gio,MATCH($L83,DM_SLA_Cap,0)),168))/24)))</f>
      </c>
      <c r="AZ83" s="225">
        <f>IF(OR($A83="",TRIM($N83)="",COUNTIF('Phản ánh'!$K$6:$K$505,$N83)&gt;0,COUNTIF($N$6:$N83,$N83)&gt;1),0,1)</f>
      </c>
      <c r="BA83" s="225">
        <f>IF($AZ83=1,SUM($AZ$6:$AZ83),"")</f>
      </c>
      <c r="BB83" s="225">
        <f>IF(OR($AO83=0,N($AW83)=0),0,IF(TDBC&lt;=$AW83,0,MAX(1,MIN(4,IF((TDBC-$AW83)*24&lt;24,1,IF((TDBC-$AW83)*24&lt;72,2,IF((TDBC-$AW83)*24&lt;168,3,4)))+IF($B83="Đột xuất",IFERROR(INDEX({2,1,0,-1},MATCH($L83,{"Khẩn cấp","Cao","Trung bình","Thấp"},0)),0),IF($D83="PCCC và an ninh",1,0))))))</f>
      </c>
    </row>
    <row r="84">
      <c r="A84" s="216"/>
      <c r="B84" s="216"/>
      <c r="C84" s="218"/>
      <c r="D84" s="218"/>
      <c r="E84" s="218"/>
      <c r="F84" s="216"/>
      <c r="G84" s="218"/>
      <c r="H84" s="218"/>
      <c r="I84" s="231"/>
      <c r="J84" s="217"/>
      <c r="K84" s="217"/>
      <c r="L84" s="216"/>
      <c r="M84" s="216"/>
      <c r="N84" s="218"/>
      <c r="O84" s="218"/>
      <c r="P84" s="218"/>
      <c r="Q84" s="218"/>
      <c r="R84" s="219"/>
      <c r="S84" s="216"/>
      <c r="T84" s="232"/>
      <c r="U84" s="232"/>
      <c r="V84" s="218"/>
      <c r="W84" s="218"/>
      <c r="X84" s="220">
        <f>IF($A84="","",IF(OR($B84="Định kỳ",$AA84="Hoàn thành"),MAX(_xlfn.MAXIFS('Nhật ký tiến độ'!$B$6:$B$3005,'Nhật ký tiến độ'!$C$6:$C$3005,$A84,'Nhật ký tiến độ'!$E$6:$E$3005,"Hoàn thành kỳ"),_xlfn.MAXIFS('Nhật ký tiến độ'!$B$6:$B$3005,'Nhật ký tiến độ'!$C$6:$C$3005,$A84,'Nhật ký tiến độ'!$E$6:$E$3005,"Hoàn thành")),0))</f>
      </c>
      <c r="Y84" s="220">
        <f>IF($A84="","",IF($B84="Đột xuất",IF($AY84=0,"",$AY84),IF($AX84=0,"",$AX84)))</f>
      </c>
      <c r="Z84" s="223">
        <f>IF(OR($AO84=0,$AW84=0),"",IF(TDBC&gt;$AW84,"Quá "&amp;IF($B84="Định kỳ",(NgayBC-$AP84)&amp;" ngày",IF(((TDBC-$AW84)*24)&lt;1,MAX(1,ROUND(((TDBC-$AW84)*24)*60,0))&amp;" phút",IF(ROUND(((TDBC-$AW84)*24),0)&lt;24,ROUND(((TDBC-$AW84)*24),0)&amp;" giờ",INT(ROUND(((TDBC-$AW84)*24),0)/24)&amp;" ngày"&amp;IF(MOD(ROUND(((TDBC-$AW84)*24),0),24)&gt;0," "&amp;MOD(ROUND(((TDBC-$AW84)*24),0),24)&amp;" giờ","")))),IF($B84="Định kỳ",IF($AP84=NgayBC,"Hôm nay","Còn "&amp;($AP84-NgayBC)&amp;" ngày"),"Còn "&amp;IF((($AW84-TDBC)*24)&lt;1,MAX(1,ROUND((($AW84-TDBC)*24)*60,0))&amp;" phút",IF(ROUND((($AW84-TDBC)*24),0)&lt;24,ROUND((($AW84-TDBC)*24),0)&amp;" giờ",INT(ROUND((($AW84-TDBC)*24),0)/24)&amp;" ngày"&amp;IF(MOD(ROUND((($AW84-TDBC)*24),0),24)&gt;0," "&amp;MOD(ROUND((($AW84-TDBC)*24),0),24)&amp;" giờ",""))))))</f>
      </c>
      <c r="AA84" s="221">
        <f>IF($A84="","",IF(N($AM84)=0,"Chưa bắt đầu",IF(OR($AN84="Hoàn thành kỳ",$AN84="Hoàn thành"),IF($B84="Định kỳ","Chưa bắt đầu","Hoàn thành"),$AN84)))</f>
      </c>
      <c r="AB84" s="222">
        <f>IF($A84="","",IF($AA84="Hoàn thành",1,IF(OR(N($AM84)=0,$AN84="Hoàn thành kỳ",$AN84="Hoàn thành"),0,N(INDEX('Nhật ký tiến độ'!$D:$D,$AM84)))))</f>
      </c>
      <c r="AC84" s="222">
        <f>IF(OR($A84="",$B84&lt;&gt;"Đột xuất",$AA84="Hoàn thành",N($J84)=0,$AW84=0),"",IF(TDBC&lt;=$J84,0,IF(TDBC&gt;=$AW84,1,(TDBC-$J84)/($AW84-$J84))))</f>
      </c>
      <c r="AD84" s="223">
        <f>IF($A84="","",IF($AA84="Hoàn thành","Hoàn thành",IF($AW84=0,"Chưa đặt hạn",IF(TDBC&gt;$AW84,"Quá hạn",IF(AND($B84="Đột xuất",ROUND((N($AC84)-$AB84)*100,0)&gt;=20),"Chậm tiến độ",IF($AP84=NgayBC,"Đến hạn hôm nay",IF($B84="Đột xuất",IF($AW84-TDBC&lt;=1,"Sắp đến hạn","Đúng tiến độ"),IF($AP84-NgayBC&lt;=3,"Sắp đến hạn","Theo lịch"))))))))</f>
      </c>
      <c r="AE84" s="223">
        <f>IF($AV84="","",IF($B84="Định kỳ","Bình quân "&amp;IF($AV84&lt;1,MAX(1,ROUND($AV84*60,0))&amp;" phút",IF(ROUND($AV84,0)&lt;24,ROUND($AV84,0)&amp;" giờ",INT(ROUND($AV84,0)/24)&amp;" ngày"&amp;IF(MOD(ROUND($AV84,0),24)&gt;0," "&amp;MOD(ROUND($AV84,0),24)&amp;" giờ","")))&amp;" mỗi kỳ",IF($AV84&lt;1,MAX(1,ROUND($AV84*60,0))&amp;" phút",IF(ROUND($AV84,0)&lt;24,ROUND($AV84,0)&amp;" giờ",INT(ROUND($AV84,0)/24)&amp;" ngày"&amp;IF(MOD(ROUND($AV84,0),24)&gt;0," "&amp;MOD(ROUND($AV84,0),24)&amp;" giờ","")))))</f>
      </c>
      <c r="AF84" s="223">
        <f>IF(OR($A84="",N($AU84)=0),"",IF($AV84&lt;&gt;"",IF($AV84&lt;=$AU84,"Trong ước tính","Vượt "&amp;IF(($AV84-$AU84)&lt;1,MAX(1,ROUND(($AV84-$AU84)*60,0))&amp;" phút",IF(ROUND(($AV84-$AU84),0)&lt;24,ROUND(($AV84-$AU84),0)&amp;" giờ",INT(ROUND(($AV84-$AU84),0)/24)&amp;" ngày"&amp;IF(MOD(ROUND(($AV84-$AU84),0),24)&gt;0," "&amp;MOD(ROUND(($AV84-$AU84),0),24)&amp;" giờ","")))),IF(OR($B84&lt;&gt;"Đột xuất",$AA84="Hoàn thành",N($J84)=0),"",IF((TDBC-$J84)*24&gt;$AU84,"Đã vượt ước tính","Đã dùng "&amp;TEXT((TDBC-$J84)*24/$AU84,"0%")))))</f>
      </c>
      <c r="AG84" s="223">
        <f>IF(N($BB84)=0,"",CHOOSE($BB84,"Nhắc nhở","Cảnh báo","Báo động","Báo động đỏ"))</f>
      </c>
      <c r="AH84" s="223">
        <f>IF(OR($B84&lt;&gt;"Đột xuất",$AA84&lt;&gt;"Hoàn thành",N($X84)=0,$AW84=0),"",IF($X84&lt;=$AW84,"Đúng hạn","Trễ hạn"))</f>
      </c>
      <c r="AI84" s="220">
        <f>IF($A84="","",_xlfn.MAXIFS('Nhật ký tiến độ'!$B$6:$B$3005,'Nhật ký tiến độ'!$C$6:$C$3005,$A84))</f>
      </c>
      <c r="AJ84" s="225">
        <f>IF(OR($A84="",$B84&lt;&gt;"Định kỳ"),0,IFERROR(INDEX(DM_TanSuatNgay,MATCH($H84,DM_TanSuat,0)),0))</f>
      </c>
      <c r="AK84" s="225">
        <f>IF(OR($A84="",$B84&lt;&gt;"Định kỳ"),0,IFERROR(INDEX(DM_TanSuatThang,MATCH($H84,DM_TanSuat,0)),0))</f>
      </c>
      <c r="AL84" s="225">
        <f>IF(OR($A84="",$B84&lt;&gt;"Định kỳ",N($X84)=0,N($I84)=0),"",IF(INT($X84)&lt;$I84,0,IF($AJ84&gt;0,ROUND((INT($X84)-$I84)/$AJ84,0),IF($AK84&gt;0,ROUND((DATEDIF($I84,INT($X84),"m")+(INT($X84)-EDATE($I84,DATEDIF($I84,INT($X84),"m")))/(EDATE($I84,DATEDIF($I84,INT($X84),"m")+1)-EDATE($I84,DATEDIF($I84,INT($X84),"m"))))/$AK84,0),0))))</f>
      </c>
      <c r="AM84" s="225">
        <f>IF($A84="","",IF(COUNTIF('Nhật ký tiến độ'!$C$6:$C$3005,$A84)=0,0,_xlfn.MAXIFS('Nhật ký tiến độ'!$N$6:$N$3005,'Nhật ký tiến độ'!$C$6:$C$3005,$A84,'Nhật ký tiến độ'!$B$6:$B$3005,_xlfn.MAXIFS('Nhật ký tiến độ'!$B$6:$B$3005,'Nhật ký tiến độ'!$C$6:$C$3005,$A84))))</f>
      </c>
      <c r="AN84" s="225">
        <f>IF($A84="","",IF(N($AM84)=0,"",INDEX('Nhật ký tiến độ'!$E:$E,$AM84)))</f>
      </c>
      <c r="AO84" s="225">
        <f>IF($A84="",0,IF($AA84="Hoàn thành",0,1))</f>
      </c>
      <c r="AP84" s="225">
        <f>IF($AO84=0,0,INT(N($AW84)))</f>
      </c>
      <c r="AQ84" s="225">
        <f>IF(AND($AO84=1,$AJ84&gt;1),$AJ84,0)</f>
      </c>
      <c r="AR84" s="225">
        <f>IF(AND($AO84=1,$AJ84=1),1,0)</f>
      </c>
      <c r="AS84" s="225">
        <f>IF(OR($AO84=0,AND($AR84=1,N($BB84)=0)),"",IF(N($BB84)&gt;0,5-$BB84,IF($AD84="Chậm tiến độ",6,IF($AD84="Đến hạn hôm nay",7,IF(AND($AP84&gt;0,$AP84-NgayBC&lt;=7),8,"")))))</f>
      </c>
      <c r="AT84" s="225">
        <f>IF($AS84="","",$AS84*100000+$AP84+ROW()/100000)</f>
      </c>
      <c r="AU84" s="224">
        <f>IF(OR($A84="",N($R84)&lt;=0),"",IF($S84="Ngày",$R84*24,$R84))</f>
      </c>
      <c r="AV84" s="224">
        <f>IF($A84="","",IF($B84="Đột xuất",IF(OR($AA84&lt;&gt;"Hoàn thành",N($X84)=0,N($J84)=0),"",IF($X84&lt;$J84,"",($X84-$J84)*24)),IFERROR(AVERAGEIFS('Nhật ký tiến độ'!$H$6:$H$3005,'Nhật ký tiến độ'!$C$6:$C$3005,$A84,'Nhật ký tiến độ'!$H$6:$H$3005,"&gt;0"),"")))</f>
      </c>
      <c r="AW84" s="233">
        <f>IF($A84="",0,IF($B84="Đột xuất",$AY84,IF($AX84=0,0,$AX84+1-1/1440)))</f>
      </c>
      <c r="AX84" s="234">
        <f>IF(OR($A84="",$B84&lt;&gt;"Định kỳ",N($I84)=0),0,IF($AL84="",$I84,IF($AJ84&gt;0,$I84+($AL84+1)*$AJ84,IF($AK84&gt;0,EDATE($I84,($AL84+1)*$AK84),$I84))))</f>
      </c>
      <c r="AY84" s="233">
        <f>IF(OR($A84="",$B84&lt;&gt;"Đột xuất"),0,IF(N($K84)&gt;0,IF(MOD($K84,1)=0,$K84+1-1/1440,$K84),IF(N($J84)=0,0,$J84+IF(N($AU84)&gt;0,$AU84,IFERROR(INDEX(DM_SLA_Gio,MATCH($L84,DM_SLA_Cap,0)),168))/24)))</f>
      </c>
      <c r="AZ84" s="225">
        <f>IF(OR($A84="",TRIM($N84)="",COUNTIF('Phản ánh'!$K$6:$K$505,$N84)&gt;0,COUNTIF($N$6:$N84,$N84)&gt;1),0,1)</f>
      </c>
      <c r="BA84" s="225">
        <f>IF($AZ84=1,SUM($AZ$6:$AZ84),"")</f>
      </c>
      <c r="BB84" s="225">
        <f>IF(OR($AO84=0,N($AW84)=0),0,IF(TDBC&lt;=$AW84,0,MAX(1,MIN(4,IF((TDBC-$AW84)*24&lt;24,1,IF((TDBC-$AW84)*24&lt;72,2,IF((TDBC-$AW84)*24&lt;168,3,4)))+IF($B84="Đột xuất",IFERROR(INDEX({2,1,0,-1},MATCH($L84,{"Khẩn cấp","Cao","Trung bình","Thấp"},0)),0),IF($D84="PCCC và an ninh",1,0))))))</f>
      </c>
    </row>
    <row r="85">
      <c r="A85" s="216"/>
      <c r="B85" s="216"/>
      <c r="C85" s="218"/>
      <c r="D85" s="218"/>
      <c r="E85" s="218"/>
      <c r="F85" s="216"/>
      <c r="G85" s="218"/>
      <c r="H85" s="218"/>
      <c r="I85" s="231"/>
      <c r="J85" s="217"/>
      <c r="K85" s="217"/>
      <c r="L85" s="216"/>
      <c r="M85" s="216"/>
      <c r="N85" s="218"/>
      <c r="O85" s="218"/>
      <c r="P85" s="218"/>
      <c r="Q85" s="218"/>
      <c r="R85" s="219"/>
      <c r="S85" s="216"/>
      <c r="T85" s="232"/>
      <c r="U85" s="232"/>
      <c r="V85" s="218"/>
      <c r="W85" s="218"/>
      <c r="X85" s="220">
        <f>IF($A85="","",IF(OR($B85="Định kỳ",$AA85="Hoàn thành"),MAX(_xlfn.MAXIFS('Nhật ký tiến độ'!$B$6:$B$3005,'Nhật ký tiến độ'!$C$6:$C$3005,$A85,'Nhật ký tiến độ'!$E$6:$E$3005,"Hoàn thành kỳ"),_xlfn.MAXIFS('Nhật ký tiến độ'!$B$6:$B$3005,'Nhật ký tiến độ'!$C$6:$C$3005,$A85,'Nhật ký tiến độ'!$E$6:$E$3005,"Hoàn thành")),0))</f>
      </c>
      <c r="Y85" s="220">
        <f>IF($A85="","",IF($B85="Đột xuất",IF($AY85=0,"",$AY85),IF($AX85=0,"",$AX85)))</f>
      </c>
      <c r="Z85" s="223">
        <f>IF(OR($AO85=0,$AW85=0),"",IF(TDBC&gt;$AW85,"Quá "&amp;IF($B85="Định kỳ",(NgayBC-$AP85)&amp;" ngày",IF(((TDBC-$AW85)*24)&lt;1,MAX(1,ROUND(((TDBC-$AW85)*24)*60,0))&amp;" phút",IF(ROUND(((TDBC-$AW85)*24),0)&lt;24,ROUND(((TDBC-$AW85)*24),0)&amp;" giờ",INT(ROUND(((TDBC-$AW85)*24),0)/24)&amp;" ngày"&amp;IF(MOD(ROUND(((TDBC-$AW85)*24),0),24)&gt;0," "&amp;MOD(ROUND(((TDBC-$AW85)*24),0),24)&amp;" giờ","")))),IF($B85="Định kỳ",IF($AP85=NgayBC,"Hôm nay","Còn "&amp;($AP85-NgayBC)&amp;" ngày"),"Còn "&amp;IF((($AW85-TDBC)*24)&lt;1,MAX(1,ROUND((($AW85-TDBC)*24)*60,0))&amp;" phút",IF(ROUND((($AW85-TDBC)*24),0)&lt;24,ROUND((($AW85-TDBC)*24),0)&amp;" giờ",INT(ROUND((($AW85-TDBC)*24),0)/24)&amp;" ngày"&amp;IF(MOD(ROUND((($AW85-TDBC)*24),0),24)&gt;0," "&amp;MOD(ROUND((($AW85-TDBC)*24),0),24)&amp;" giờ",""))))))</f>
      </c>
      <c r="AA85" s="221">
        <f>IF($A85="","",IF(N($AM85)=0,"Chưa bắt đầu",IF(OR($AN85="Hoàn thành kỳ",$AN85="Hoàn thành"),IF($B85="Định kỳ","Chưa bắt đầu","Hoàn thành"),$AN85)))</f>
      </c>
      <c r="AB85" s="222">
        <f>IF($A85="","",IF($AA85="Hoàn thành",1,IF(OR(N($AM85)=0,$AN85="Hoàn thành kỳ",$AN85="Hoàn thành"),0,N(INDEX('Nhật ký tiến độ'!$D:$D,$AM85)))))</f>
      </c>
      <c r="AC85" s="222">
        <f>IF(OR($A85="",$B85&lt;&gt;"Đột xuất",$AA85="Hoàn thành",N($J85)=0,$AW85=0),"",IF(TDBC&lt;=$J85,0,IF(TDBC&gt;=$AW85,1,(TDBC-$J85)/($AW85-$J85))))</f>
      </c>
      <c r="AD85" s="223">
        <f>IF($A85="","",IF($AA85="Hoàn thành","Hoàn thành",IF($AW85=0,"Chưa đặt hạn",IF(TDBC&gt;$AW85,"Quá hạn",IF(AND($B85="Đột xuất",ROUND((N($AC85)-$AB85)*100,0)&gt;=20),"Chậm tiến độ",IF($AP85=NgayBC,"Đến hạn hôm nay",IF($B85="Đột xuất",IF($AW85-TDBC&lt;=1,"Sắp đến hạn","Đúng tiến độ"),IF($AP85-NgayBC&lt;=3,"Sắp đến hạn","Theo lịch"))))))))</f>
      </c>
      <c r="AE85" s="223">
        <f>IF($AV85="","",IF($B85="Định kỳ","Bình quân "&amp;IF($AV85&lt;1,MAX(1,ROUND($AV85*60,0))&amp;" phút",IF(ROUND($AV85,0)&lt;24,ROUND($AV85,0)&amp;" giờ",INT(ROUND($AV85,0)/24)&amp;" ngày"&amp;IF(MOD(ROUND($AV85,0),24)&gt;0," "&amp;MOD(ROUND($AV85,0),24)&amp;" giờ","")))&amp;" mỗi kỳ",IF($AV85&lt;1,MAX(1,ROUND($AV85*60,0))&amp;" phút",IF(ROUND($AV85,0)&lt;24,ROUND($AV85,0)&amp;" giờ",INT(ROUND($AV85,0)/24)&amp;" ngày"&amp;IF(MOD(ROUND($AV85,0),24)&gt;0," "&amp;MOD(ROUND($AV85,0),24)&amp;" giờ","")))))</f>
      </c>
      <c r="AF85" s="223">
        <f>IF(OR($A85="",N($AU85)=0),"",IF($AV85&lt;&gt;"",IF($AV85&lt;=$AU85,"Trong ước tính","Vượt "&amp;IF(($AV85-$AU85)&lt;1,MAX(1,ROUND(($AV85-$AU85)*60,0))&amp;" phút",IF(ROUND(($AV85-$AU85),0)&lt;24,ROUND(($AV85-$AU85),0)&amp;" giờ",INT(ROUND(($AV85-$AU85),0)/24)&amp;" ngày"&amp;IF(MOD(ROUND(($AV85-$AU85),0),24)&gt;0," "&amp;MOD(ROUND(($AV85-$AU85),0),24)&amp;" giờ","")))),IF(OR($B85&lt;&gt;"Đột xuất",$AA85="Hoàn thành",N($J85)=0),"",IF((TDBC-$J85)*24&gt;$AU85,"Đã vượt ước tính","Đã dùng "&amp;TEXT((TDBC-$J85)*24/$AU85,"0%")))))</f>
      </c>
      <c r="AG85" s="223">
        <f>IF(N($BB85)=0,"",CHOOSE($BB85,"Nhắc nhở","Cảnh báo","Báo động","Báo động đỏ"))</f>
      </c>
      <c r="AH85" s="223">
        <f>IF(OR($B85&lt;&gt;"Đột xuất",$AA85&lt;&gt;"Hoàn thành",N($X85)=0,$AW85=0),"",IF($X85&lt;=$AW85,"Đúng hạn","Trễ hạn"))</f>
      </c>
      <c r="AI85" s="220">
        <f>IF($A85="","",_xlfn.MAXIFS('Nhật ký tiến độ'!$B$6:$B$3005,'Nhật ký tiến độ'!$C$6:$C$3005,$A85))</f>
      </c>
      <c r="AJ85" s="225">
        <f>IF(OR($A85="",$B85&lt;&gt;"Định kỳ"),0,IFERROR(INDEX(DM_TanSuatNgay,MATCH($H85,DM_TanSuat,0)),0))</f>
      </c>
      <c r="AK85" s="225">
        <f>IF(OR($A85="",$B85&lt;&gt;"Định kỳ"),0,IFERROR(INDEX(DM_TanSuatThang,MATCH($H85,DM_TanSuat,0)),0))</f>
      </c>
      <c r="AL85" s="225">
        <f>IF(OR($A85="",$B85&lt;&gt;"Định kỳ",N($X85)=0,N($I85)=0),"",IF(INT($X85)&lt;$I85,0,IF($AJ85&gt;0,ROUND((INT($X85)-$I85)/$AJ85,0),IF($AK85&gt;0,ROUND((DATEDIF($I85,INT($X85),"m")+(INT($X85)-EDATE($I85,DATEDIF($I85,INT($X85),"m")))/(EDATE($I85,DATEDIF($I85,INT($X85),"m")+1)-EDATE($I85,DATEDIF($I85,INT($X85),"m"))))/$AK85,0),0))))</f>
      </c>
      <c r="AM85" s="225">
        <f>IF($A85="","",IF(COUNTIF('Nhật ký tiến độ'!$C$6:$C$3005,$A85)=0,0,_xlfn.MAXIFS('Nhật ký tiến độ'!$N$6:$N$3005,'Nhật ký tiến độ'!$C$6:$C$3005,$A85,'Nhật ký tiến độ'!$B$6:$B$3005,_xlfn.MAXIFS('Nhật ký tiến độ'!$B$6:$B$3005,'Nhật ký tiến độ'!$C$6:$C$3005,$A85))))</f>
      </c>
      <c r="AN85" s="225">
        <f>IF($A85="","",IF(N($AM85)=0,"",INDEX('Nhật ký tiến độ'!$E:$E,$AM85)))</f>
      </c>
      <c r="AO85" s="225">
        <f>IF($A85="",0,IF($AA85="Hoàn thành",0,1))</f>
      </c>
      <c r="AP85" s="225">
        <f>IF($AO85=0,0,INT(N($AW85)))</f>
      </c>
      <c r="AQ85" s="225">
        <f>IF(AND($AO85=1,$AJ85&gt;1),$AJ85,0)</f>
      </c>
      <c r="AR85" s="225">
        <f>IF(AND($AO85=1,$AJ85=1),1,0)</f>
      </c>
      <c r="AS85" s="225">
        <f>IF(OR($AO85=0,AND($AR85=1,N($BB85)=0)),"",IF(N($BB85)&gt;0,5-$BB85,IF($AD85="Chậm tiến độ",6,IF($AD85="Đến hạn hôm nay",7,IF(AND($AP85&gt;0,$AP85-NgayBC&lt;=7),8,"")))))</f>
      </c>
      <c r="AT85" s="225">
        <f>IF($AS85="","",$AS85*100000+$AP85+ROW()/100000)</f>
      </c>
      <c r="AU85" s="224">
        <f>IF(OR($A85="",N($R85)&lt;=0),"",IF($S85="Ngày",$R85*24,$R85))</f>
      </c>
      <c r="AV85" s="224">
        <f>IF($A85="","",IF($B85="Đột xuất",IF(OR($AA85&lt;&gt;"Hoàn thành",N($X85)=0,N($J85)=0),"",IF($X85&lt;$J85,"",($X85-$J85)*24)),IFERROR(AVERAGEIFS('Nhật ký tiến độ'!$H$6:$H$3005,'Nhật ký tiến độ'!$C$6:$C$3005,$A85,'Nhật ký tiến độ'!$H$6:$H$3005,"&gt;0"),"")))</f>
      </c>
      <c r="AW85" s="233">
        <f>IF($A85="",0,IF($B85="Đột xuất",$AY85,IF($AX85=0,0,$AX85+1-1/1440)))</f>
      </c>
      <c r="AX85" s="234">
        <f>IF(OR($A85="",$B85&lt;&gt;"Định kỳ",N($I85)=0),0,IF($AL85="",$I85,IF($AJ85&gt;0,$I85+($AL85+1)*$AJ85,IF($AK85&gt;0,EDATE($I85,($AL85+1)*$AK85),$I85))))</f>
      </c>
      <c r="AY85" s="233">
        <f>IF(OR($A85="",$B85&lt;&gt;"Đột xuất"),0,IF(N($K85)&gt;0,IF(MOD($K85,1)=0,$K85+1-1/1440,$K85),IF(N($J85)=0,0,$J85+IF(N($AU85)&gt;0,$AU85,IFERROR(INDEX(DM_SLA_Gio,MATCH($L85,DM_SLA_Cap,0)),168))/24)))</f>
      </c>
      <c r="AZ85" s="225">
        <f>IF(OR($A85="",TRIM($N85)="",COUNTIF('Phản ánh'!$K$6:$K$505,$N85)&gt;0,COUNTIF($N$6:$N85,$N85)&gt;1),0,1)</f>
      </c>
      <c r="BA85" s="225">
        <f>IF($AZ85=1,SUM($AZ$6:$AZ85),"")</f>
      </c>
      <c r="BB85" s="225">
        <f>IF(OR($AO85=0,N($AW85)=0),0,IF(TDBC&lt;=$AW85,0,MAX(1,MIN(4,IF((TDBC-$AW85)*24&lt;24,1,IF((TDBC-$AW85)*24&lt;72,2,IF((TDBC-$AW85)*24&lt;168,3,4)))+IF($B85="Đột xuất",IFERROR(INDEX({2,1,0,-1},MATCH($L85,{"Khẩn cấp","Cao","Trung bình","Thấp"},0)),0),IF($D85="PCCC và an ninh",1,0))))))</f>
      </c>
    </row>
    <row r="86">
      <c r="A86" s="216"/>
      <c r="B86" s="216"/>
      <c r="C86" s="218"/>
      <c r="D86" s="218"/>
      <c r="E86" s="218"/>
      <c r="F86" s="216"/>
      <c r="G86" s="218"/>
      <c r="H86" s="218"/>
      <c r="I86" s="231"/>
      <c r="J86" s="217"/>
      <c r="K86" s="217"/>
      <c r="L86" s="216"/>
      <c r="M86" s="216"/>
      <c r="N86" s="218"/>
      <c r="O86" s="218"/>
      <c r="P86" s="218"/>
      <c r="Q86" s="218"/>
      <c r="R86" s="219"/>
      <c r="S86" s="216"/>
      <c r="T86" s="232"/>
      <c r="U86" s="232"/>
      <c r="V86" s="218"/>
      <c r="W86" s="218"/>
      <c r="X86" s="220">
        <f>IF($A86="","",IF(OR($B86="Định kỳ",$AA86="Hoàn thành"),MAX(_xlfn.MAXIFS('Nhật ký tiến độ'!$B$6:$B$3005,'Nhật ký tiến độ'!$C$6:$C$3005,$A86,'Nhật ký tiến độ'!$E$6:$E$3005,"Hoàn thành kỳ"),_xlfn.MAXIFS('Nhật ký tiến độ'!$B$6:$B$3005,'Nhật ký tiến độ'!$C$6:$C$3005,$A86,'Nhật ký tiến độ'!$E$6:$E$3005,"Hoàn thành")),0))</f>
      </c>
      <c r="Y86" s="220">
        <f>IF($A86="","",IF($B86="Đột xuất",IF($AY86=0,"",$AY86),IF($AX86=0,"",$AX86)))</f>
      </c>
      <c r="Z86" s="223">
        <f>IF(OR($AO86=0,$AW86=0),"",IF(TDBC&gt;$AW86,"Quá "&amp;IF($B86="Định kỳ",(NgayBC-$AP86)&amp;" ngày",IF(((TDBC-$AW86)*24)&lt;1,MAX(1,ROUND(((TDBC-$AW86)*24)*60,0))&amp;" phút",IF(ROUND(((TDBC-$AW86)*24),0)&lt;24,ROUND(((TDBC-$AW86)*24),0)&amp;" giờ",INT(ROUND(((TDBC-$AW86)*24),0)/24)&amp;" ngày"&amp;IF(MOD(ROUND(((TDBC-$AW86)*24),0),24)&gt;0," "&amp;MOD(ROUND(((TDBC-$AW86)*24),0),24)&amp;" giờ","")))),IF($B86="Định kỳ",IF($AP86=NgayBC,"Hôm nay","Còn "&amp;($AP86-NgayBC)&amp;" ngày"),"Còn "&amp;IF((($AW86-TDBC)*24)&lt;1,MAX(1,ROUND((($AW86-TDBC)*24)*60,0))&amp;" phút",IF(ROUND((($AW86-TDBC)*24),0)&lt;24,ROUND((($AW86-TDBC)*24),0)&amp;" giờ",INT(ROUND((($AW86-TDBC)*24),0)/24)&amp;" ngày"&amp;IF(MOD(ROUND((($AW86-TDBC)*24),0),24)&gt;0," "&amp;MOD(ROUND((($AW86-TDBC)*24),0),24)&amp;" giờ",""))))))</f>
      </c>
      <c r="AA86" s="221">
        <f>IF($A86="","",IF(N($AM86)=0,"Chưa bắt đầu",IF(OR($AN86="Hoàn thành kỳ",$AN86="Hoàn thành"),IF($B86="Định kỳ","Chưa bắt đầu","Hoàn thành"),$AN86)))</f>
      </c>
      <c r="AB86" s="222">
        <f>IF($A86="","",IF($AA86="Hoàn thành",1,IF(OR(N($AM86)=0,$AN86="Hoàn thành kỳ",$AN86="Hoàn thành"),0,N(INDEX('Nhật ký tiến độ'!$D:$D,$AM86)))))</f>
      </c>
      <c r="AC86" s="222">
        <f>IF(OR($A86="",$B86&lt;&gt;"Đột xuất",$AA86="Hoàn thành",N($J86)=0,$AW86=0),"",IF(TDBC&lt;=$J86,0,IF(TDBC&gt;=$AW86,1,(TDBC-$J86)/($AW86-$J86))))</f>
      </c>
      <c r="AD86" s="223">
        <f>IF($A86="","",IF($AA86="Hoàn thành","Hoàn thành",IF($AW86=0,"Chưa đặt hạn",IF(TDBC&gt;$AW86,"Quá hạn",IF(AND($B86="Đột xuất",ROUND((N($AC86)-$AB86)*100,0)&gt;=20),"Chậm tiến độ",IF($AP86=NgayBC,"Đến hạn hôm nay",IF($B86="Đột xuất",IF($AW86-TDBC&lt;=1,"Sắp đến hạn","Đúng tiến độ"),IF($AP86-NgayBC&lt;=3,"Sắp đến hạn","Theo lịch"))))))))</f>
      </c>
      <c r="AE86" s="223">
        <f>IF($AV86="","",IF($B86="Định kỳ","Bình quân "&amp;IF($AV86&lt;1,MAX(1,ROUND($AV86*60,0))&amp;" phút",IF(ROUND($AV86,0)&lt;24,ROUND($AV86,0)&amp;" giờ",INT(ROUND($AV86,0)/24)&amp;" ngày"&amp;IF(MOD(ROUND($AV86,0),24)&gt;0," "&amp;MOD(ROUND($AV86,0),24)&amp;" giờ","")))&amp;" mỗi kỳ",IF($AV86&lt;1,MAX(1,ROUND($AV86*60,0))&amp;" phút",IF(ROUND($AV86,0)&lt;24,ROUND($AV86,0)&amp;" giờ",INT(ROUND($AV86,0)/24)&amp;" ngày"&amp;IF(MOD(ROUND($AV86,0),24)&gt;0," "&amp;MOD(ROUND($AV86,0),24)&amp;" giờ","")))))</f>
      </c>
      <c r="AF86" s="223">
        <f>IF(OR($A86="",N($AU86)=0),"",IF($AV86&lt;&gt;"",IF($AV86&lt;=$AU86,"Trong ước tính","Vượt "&amp;IF(($AV86-$AU86)&lt;1,MAX(1,ROUND(($AV86-$AU86)*60,0))&amp;" phút",IF(ROUND(($AV86-$AU86),0)&lt;24,ROUND(($AV86-$AU86),0)&amp;" giờ",INT(ROUND(($AV86-$AU86),0)/24)&amp;" ngày"&amp;IF(MOD(ROUND(($AV86-$AU86),0),24)&gt;0," "&amp;MOD(ROUND(($AV86-$AU86),0),24)&amp;" giờ","")))),IF(OR($B86&lt;&gt;"Đột xuất",$AA86="Hoàn thành",N($J86)=0),"",IF((TDBC-$J86)*24&gt;$AU86,"Đã vượt ước tính","Đã dùng "&amp;TEXT((TDBC-$J86)*24/$AU86,"0%")))))</f>
      </c>
      <c r="AG86" s="223">
        <f>IF(N($BB86)=0,"",CHOOSE($BB86,"Nhắc nhở","Cảnh báo","Báo động","Báo động đỏ"))</f>
      </c>
      <c r="AH86" s="223">
        <f>IF(OR($B86&lt;&gt;"Đột xuất",$AA86&lt;&gt;"Hoàn thành",N($X86)=0,$AW86=0),"",IF($X86&lt;=$AW86,"Đúng hạn","Trễ hạn"))</f>
      </c>
      <c r="AI86" s="220">
        <f>IF($A86="","",_xlfn.MAXIFS('Nhật ký tiến độ'!$B$6:$B$3005,'Nhật ký tiến độ'!$C$6:$C$3005,$A86))</f>
      </c>
      <c r="AJ86" s="225">
        <f>IF(OR($A86="",$B86&lt;&gt;"Định kỳ"),0,IFERROR(INDEX(DM_TanSuatNgay,MATCH($H86,DM_TanSuat,0)),0))</f>
      </c>
      <c r="AK86" s="225">
        <f>IF(OR($A86="",$B86&lt;&gt;"Định kỳ"),0,IFERROR(INDEX(DM_TanSuatThang,MATCH($H86,DM_TanSuat,0)),0))</f>
      </c>
      <c r="AL86" s="225">
        <f>IF(OR($A86="",$B86&lt;&gt;"Định kỳ",N($X86)=0,N($I86)=0),"",IF(INT($X86)&lt;$I86,0,IF($AJ86&gt;0,ROUND((INT($X86)-$I86)/$AJ86,0),IF($AK86&gt;0,ROUND((DATEDIF($I86,INT($X86),"m")+(INT($X86)-EDATE($I86,DATEDIF($I86,INT($X86),"m")))/(EDATE($I86,DATEDIF($I86,INT($X86),"m")+1)-EDATE($I86,DATEDIF($I86,INT($X86),"m"))))/$AK86,0),0))))</f>
      </c>
      <c r="AM86" s="225">
        <f>IF($A86="","",IF(COUNTIF('Nhật ký tiến độ'!$C$6:$C$3005,$A86)=0,0,_xlfn.MAXIFS('Nhật ký tiến độ'!$N$6:$N$3005,'Nhật ký tiến độ'!$C$6:$C$3005,$A86,'Nhật ký tiến độ'!$B$6:$B$3005,_xlfn.MAXIFS('Nhật ký tiến độ'!$B$6:$B$3005,'Nhật ký tiến độ'!$C$6:$C$3005,$A86))))</f>
      </c>
      <c r="AN86" s="225">
        <f>IF($A86="","",IF(N($AM86)=0,"",INDEX('Nhật ký tiến độ'!$E:$E,$AM86)))</f>
      </c>
      <c r="AO86" s="225">
        <f>IF($A86="",0,IF($AA86="Hoàn thành",0,1))</f>
      </c>
      <c r="AP86" s="225">
        <f>IF($AO86=0,0,INT(N($AW86)))</f>
      </c>
      <c r="AQ86" s="225">
        <f>IF(AND($AO86=1,$AJ86&gt;1),$AJ86,0)</f>
      </c>
      <c r="AR86" s="225">
        <f>IF(AND($AO86=1,$AJ86=1),1,0)</f>
      </c>
      <c r="AS86" s="225">
        <f>IF(OR($AO86=0,AND($AR86=1,N($BB86)=0)),"",IF(N($BB86)&gt;0,5-$BB86,IF($AD86="Chậm tiến độ",6,IF($AD86="Đến hạn hôm nay",7,IF(AND($AP86&gt;0,$AP86-NgayBC&lt;=7),8,"")))))</f>
      </c>
      <c r="AT86" s="225">
        <f>IF($AS86="","",$AS86*100000+$AP86+ROW()/100000)</f>
      </c>
      <c r="AU86" s="224">
        <f>IF(OR($A86="",N($R86)&lt;=0),"",IF($S86="Ngày",$R86*24,$R86))</f>
      </c>
      <c r="AV86" s="224">
        <f>IF($A86="","",IF($B86="Đột xuất",IF(OR($AA86&lt;&gt;"Hoàn thành",N($X86)=0,N($J86)=0),"",IF($X86&lt;$J86,"",($X86-$J86)*24)),IFERROR(AVERAGEIFS('Nhật ký tiến độ'!$H$6:$H$3005,'Nhật ký tiến độ'!$C$6:$C$3005,$A86,'Nhật ký tiến độ'!$H$6:$H$3005,"&gt;0"),"")))</f>
      </c>
      <c r="AW86" s="233">
        <f>IF($A86="",0,IF($B86="Đột xuất",$AY86,IF($AX86=0,0,$AX86+1-1/1440)))</f>
      </c>
      <c r="AX86" s="234">
        <f>IF(OR($A86="",$B86&lt;&gt;"Định kỳ",N($I86)=0),0,IF($AL86="",$I86,IF($AJ86&gt;0,$I86+($AL86+1)*$AJ86,IF($AK86&gt;0,EDATE($I86,($AL86+1)*$AK86),$I86))))</f>
      </c>
      <c r="AY86" s="233">
        <f>IF(OR($A86="",$B86&lt;&gt;"Đột xuất"),0,IF(N($K86)&gt;0,IF(MOD($K86,1)=0,$K86+1-1/1440,$K86),IF(N($J86)=0,0,$J86+IF(N($AU86)&gt;0,$AU86,IFERROR(INDEX(DM_SLA_Gio,MATCH($L86,DM_SLA_Cap,0)),168))/24)))</f>
      </c>
      <c r="AZ86" s="225">
        <f>IF(OR($A86="",TRIM($N86)="",COUNTIF('Phản ánh'!$K$6:$K$505,$N86)&gt;0,COUNTIF($N$6:$N86,$N86)&gt;1),0,1)</f>
      </c>
      <c r="BA86" s="225">
        <f>IF($AZ86=1,SUM($AZ$6:$AZ86),"")</f>
      </c>
      <c r="BB86" s="225">
        <f>IF(OR($AO86=0,N($AW86)=0),0,IF(TDBC&lt;=$AW86,0,MAX(1,MIN(4,IF((TDBC-$AW86)*24&lt;24,1,IF((TDBC-$AW86)*24&lt;72,2,IF((TDBC-$AW86)*24&lt;168,3,4)))+IF($B86="Đột xuất",IFERROR(INDEX({2,1,0,-1},MATCH($L86,{"Khẩn cấp","Cao","Trung bình","Thấp"},0)),0),IF($D86="PCCC và an ninh",1,0))))))</f>
      </c>
    </row>
    <row r="87">
      <c r="A87" s="216"/>
      <c r="B87" s="216"/>
      <c r="C87" s="218"/>
      <c r="D87" s="218"/>
      <c r="E87" s="218"/>
      <c r="F87" s="216"/>
      <c r="G87" s="218"/>
      <c r="H87" s="218"/>
      <c r="I87" s="231"/>
      <c r="J87" s="217"/>
      <c r="K87" s="217"/>
      <c r="L87" s="216"/>
      <c r="M87" s="216"/>
      <c r="N87" s="218"/>
      <c r="O87" s="218"/>
      <c r="P87" s="218"/>
      <c r="Q87" s="218"/>
      <c r="R87" s="219"/>
      <c r="S87" s="216"/>
      <c r="T87" s="232"/>
      <c r="U87" s="232"/>
      <c r="V87" s="218"/>
      <c r="W87" s="218"/>
      <c r="X87" s="220">
        <f>IF($A87="","",IF(OR($B87="Định kỳ",$AA87="Hoàn thành"),MAX(_xlfn.MAXIFS('Nhật ký tiến độ'!$B$6:$B$3005,'Nhật ký tiến độ'!$C$6:$C$3005,$A87,'Nhật ký tiến độ'!$E$6:$E$3005,"Hoàn thành kỳ"),_xlfn.MAXIFS('Nhật ký tiến độ'!$B$6:$B$3005,'Nhật ký tiến độ'!$C$6:$C$3005,$A87,'Nhật ký tiến độ'!$E$6:$E$3005,"Hoàn thành")),0))</f>
      </c>
      <c r="Y87" s="220">
        <f>IF($A87="","",IF($B87="Đột xuất",IF($AY87=0,"",$AY87),IF($AX87=0,"",$AX87)))</f>
      </c>
      <c r="Z87" s="223">
        <f>IF(OR($AO87=0,$AW87=0),"",IF(TDBC&gt;$AW87,"Quá "&amp;IF($B87="Định kỳ",(NgayBC-$AP87)&amp;" ngày",IF(((TDBC-$AW87)*24)&lt;1,MAX(1,ROUND(((TDBC-$AW87)*24)*60,0))&amp;" phút",IF(ROUND(((TDBC-$AW87)*24),0)&lt;24,ROUND(((TDBC-$AW87)*24),0)&amp;" giờ",INT(ROUND(((TDBC-$AW87)*24),0)/24)&amp;" ngày"&amp;IF(MOD(ROUND(((TDBC-$AW87)*24),0),24)&gt;0," "&amp;MOD(ROUND(((TDBC-$AW87)*24),0),24)&amp;" giờ","")))),IF($B87="Định kỳ",IF($AP87=NgayBC,"Hôm nay","Còn "&amp;($AP87-NgayBC)&amp;" ngày"),"Còn "&amp;IF((($AW87-TDBC)*24)&lt;1,MAX(1,ROUND((($AW87-TDBC)*24)*60,0))&amp;" phút",IF(ROUND((($AW87-TDBC)*24),0)&lt;24,ROUND((($AW87-TDBC)*24),0)&amp;" giờ",INT(ROUND((($AW87-TDBC)*24),0)/24)&amp;" ngày"&amp;IF(MOD(ROUND((($AW87-TDBC)*24),0),24)&gt;0," "&amp;MOD(ROUND((($AW87-TDBC)*24),0),24)&amp;" giờ",""))))))</f>
      </c>
      <c r="AA87" s="221">
        <f>IF($A87="","",IF(N($AM87)=0,"Chưa bắt đầu",IF(OR($AN87="Hoàn thành kỳ",$AN87="Hoàn thành"),IF($B87="Định kỳ","Chưa bắt đầu","Hoàn thành"),$AN87)))</f>
      </c>
      <c r="AB87" s="222">
        <f>IF($A87="","",IF($AA87="Hoàn thành",1,IF(OR(N($AM87)=0,$AN87="Hoàn thành kỳ",$AN87="Hoàn thành"),0,N(INDEX('Nhật ký tiến độ'!$D:$D,$AM87)))))</f>
      </c>
      <c r="AC87" s="222">
        <f>IF(OR($A87="",$B87&lt;&gt;"Đột xuất",$AA87="Hoàn thành",N($J87)=0,$AW87=0),"",IF(TDBC&lt;=$J87,0,IF(TDBC&gt;=$AW87,1,(TDBC-$J87)/($AW87-$J87))))</f>
      </c>
      <c r="AD87" s="223">
        <f>IF($A87="","",IF($AA87="Hoàn thành","Hoàn thành",IF($AW87=0,"Chưa đặt hạn",IF(TDBC&gt;$AW87,"Quá hạn",IF(AND($B87="Đột xuất",ROUND((N($AC87)-$AB87)*100,0)&gt;=20),"Chậm tiến độ",IF($AP87=NgayBC,"Đến hạn hôm nay",IF($B87="Đột xuất",IF($AW87-TDBC&lt;=1,"Sắp đến hạn","Đúng tiến độ"),IF($AP87-NgayBC&lt;=3,"Sắp đến hạn","Theo lịch"))))))))</f>
      </c>
      <c r="AE87" s="223">
        <f>IF($AV87="","",IF($B87="Định kỳ","Bình quân "&amp;IF($AV87&lt;1,MAX(1,ROUND($AV87*60,0))&amp;" phút",IF(ROUND($AV87,0)&lt;24,ROUND($AV87,0)&amp;" giờ",INT(ROUND($AV87,0)/24)&amp;" ngày"&amp;IF(MOD(ROUND($AV87,0),24)&gt;0," "&amp;MOD(ROUND($AV87,0),24)&amp;" giờ","")))&amp;" mỗi kỳ",IF($AV87&lt;1,MAX(1,ROUND($AV87*60,0))&amp;" phút",IF(ROUND($AV87,0)&lt;24,ROUND($AV87,0)&amp;" giờ",INT(ROUND($AV87,0)/24)&amp;" ngày"&amp;IF(MOD(ROUND($AV87,0),24)&gt;0," "&amp;MOD(ROUND($AV87,0),24)&amp;" giờ","")))))</f>
      </c>
      <c r="AF87" s="223">
        <f>IF(OR($A87="",N($AU87)=0),"",IF($AV87&lt;&gt;"",IF($AV87&lt;=$AU87,"Trong ước tính","Vượt "&amp;IF(($AV87-$AU87)&lt;1,MAX(1,ROUND(($AV87-$AU87)*60,0))&amp;" phút",IF(ROUND(($AV87-$AU87),0)&lt;24,ROUND(($AV87-$AU87),0)&amp;" giờ",INT(ROUND(($AV87-$AU87),0)/24)&amp;" ngày"&amp;IF(MOD(ROUND(($AV87-$AU87),0),24)&gt;0," "&amp;MOD(ROUND(($AV87-$AU87),0),24)&amp;" giờ","")))),IF(OR($B87&lt;&gt;"Đột xuất",$AA87="Hoàn thành",N($J87)=0),"",IF((TDBC-$J87)*24&gt;$AU87,"Đã vượt ước tính","Đã dùng "&amp;TEXT((TDBC-$J87)*24/$AU87,"0%")))))</f>
      </c>
      <c r="AG87" s="223">
        <f>IF(N($BB87)=0,"",CHOOSE($BB87,"Nhắc nhở","Cảnh báo","Báo động","Báo động đỏ"))</f>
      </c>
      <c r="AH87" s="223">
        <f>IF(OR($B87&lt;&gt;"Đột xuất",$AA87&lt;&gt;"Hoàn thành",N($X87)=0,$AW87=0),"",IF($X87&lt;=$AW87,"Đúng hạn","Trễ hạn"))</f>
      </c>
      <c r="AI87" s="220">
        <f>IF($A87="","",_xlfn.MAXIFS('Nhật ký tiến độ'!$B$6:$B$3005,'Nhật ký tiến độ'!$C$6:$C$3005,$A87))</f>
      </c>
      <c r="AJ87" s="225">
        <f>IF(OR($A87="",$B87&lt;&gt;"Định kỳ"),0,IFERROR(INDEX(DM_TanSuatNgay,MATCH($H87,DM_TanSuat,0)),0))</f>
      </c>
      <c r="AK87" s="225">
        <f>IF(OR($A87="",$B87&lt;&gt;"Định kỳ"),0,IFERROR(INDEX(DM_TanSuatThang,MATCH($H87,DM_TanSuat,0)),0))</f>
      </c>
      <c r="AL87" s="225">
        <f>IF(OR($A87="",$B87&lt;&gt;"Định kỳ",N($X87)=0,N($I87)=0),"",IF(INT($X87)&lt;$I87,0,IF($AJ87&gt;0,ROUND((INT($X87)-$I87)/$AJ87,0),IF($AK87&gt;0,ROUND((DATEDIF($I87,INT($X87),"m")+(INT($X87)-EDATE($I87,DATEDIF($I87,INT($X87),"m")))/(EDATE($I87,DATEDIF($I87,INT($X87),"m")+1)-EDATE($I87,DATEDIF($I87,INT($X87),"m"))))/$AK87,0),0))))</f>
      </c>
      <c r="AM87" s="225">
        <f>IF($A87="","",IF(COUNTIF('Nhật ký tiến độ'!$C$6:$C$3005,$A87)=0,0,_xlfn.MAXIFS('Nhật ký tiến độ'!$N$6:$N$3005,'Nhật ký tiến độ'!$C$6:$C$3005,$A87,'Nhật ký tiến độ'!$B$6:$B$3005,_xlfn.MAXIFS('Nhật ký tiến độ'!$B$6:$B$3005,'Nhật ký tiến độ'!$C$6:$C$3005,$A87))))</f>
      </c>
      <c r="AN87" s="225">
        <f>IF($A87="","",IF(N($AM87)=0,"",INDEX('Nhật ký tiến độ'!$E:$E,$AM87)))</f>
      </c>
      <c r="AO87" s="225">
        <f>IF($A87="",0,IF($AA87="Hoàn thành",0,1))</f>
      </c>
      <c r="AP87" s="225">
        <f>IF($AO87=0,0,INT(N($AW87)))</f>
      </c>
      <c r="AQ87" s="225">
        <f>IF(AND($AO87=1,$AJ87&gt;1),$AJ87,0)</f>
      </c>
      <c r="AR87" s="225">
        <f>IF(AND($AO87=1,$AJ87=1),1,0)</f>
      </c>
      <c r="AS87" s="225">
        <f>IF(OR($AO87=0,AND($AR87=1,N($BB87)=0)),"",IF(N($BB87)&gt;0,5-$BB87,IF($AD87="Chậm tiến độ",6,IF($AD87="Đến hạn hôm nay",7,IF(AND($AP87&gt;0,$AP87-NgayBC&lt;=7),8,"")))))</f>
      </c>
      <c r="AT87" s="225">
        <f>IF($AS87="","",$AS87*100000+$AP87+ROW()/100000)</f>
      </c>
      <c r="AU87" s="224">
        <f>IF(OR($A87="",N($R87)&lt;=0),"",IF($S87="Ngày",$R87*24,$R87))</f>
      </c>
      <c r="AV87" s="224">
        <f>IF($A87="","",IF($B87="Đột xuất",IF(OR($AA87&lt;&gt;"Hoàn thành",N($X87)=0,N($J87)=0),"",IF($X87&lt;$J87,"",($X87-$J87)*24)),IFERROR(AVERAGEIFS('Nhật ký tiến độ'!$H$6:$H$3005,'Nhật ký tiến độ'!$C$6:$C$3005,$A87,'Nhật ký tiến độ'!$H$6:$H$3005,"&gt;0"),"")))</f>
      </c>
      <c r="AW87" s="233">
        <f>IF($A87="",0,IF($B87="Đột xuất",$AY87,IF($AX87=0,0,$AX87+1-1/1440)))</f>
      </c>
      <c r="AX87" s="234">
        <f>IF(OR($A87="",$B87&lt;&gt;"Định kỳ",N($I87)=0),0,IF($AL87="",$I87,IF($AJ87&gt;0,$I87+($AL87+1)*$AJ87,IF($AK87&gt;0,EDATE($I87,($AL87+1)*$AK87),$I87))))</f>
      </c>
      <c r="AY87" s="233">
        <f>IF(OR($A87="",$B87&lt;&gt;"Đột xuất"),0,IF(N($K87)&gt;0,IF(MOD($K87,1)=0,$K87+1-1/1440,$K87),IF(N($J87)=0,0,$J87+IF(N($AU87)&gt;0,$AU87,IFERROR(INDEX(DM_SLA_Gio,MATCH($L87,DM_SLA_Cap,0)),168))/24)))</f>
      </c>
      <c r="AZ87" s="225">
        <f>IF(OR($A87="",TRIM($N87)="",COUNTIF('Phản ánh'!$K$6:$K$505,$N87)&gt;0,COUNTIF($N$6:$N87,$N87)&gt;1),0,1)</f>
      </c>
      <c r="BA87" s="225">
        <f>IF($AZ87=1,SUM($AZ$6:$AZ87),"")</f>
      </c>
      <c r="BB87" s="225">
        <f>IF(OR($AO87=0,N($AW87)=0),0,IF(TDBC&lt;=$AW87,0,MAX(1,MIN(4,IF((TDBC-$AW87)*24&lt;24,1,IF((TDBC-$AW87)*24&lt;72,2,IF((TDBC-$AW87)*24&lt;168,3,4)))+IF($B87="Đột xuất",IFERROR(INDEX({2,1,0,-1},MATCH($L87,{"Khẩn cấp","Cao","Trung bình","Thấp"},0)),0),IF($D87="PCCC và an ninh",1,0))))))</f>
      </c>
    </row>
    <row r="88">
      <c r="A88" s="216"/>
      <c r="B88" s="216"/>
      <c r="C88" s="218"/>
      <c r="D88" s="218"/>
      <c r="E88" s="218"/>
      <c r="F88" s="216"/>
      <c r="G88" s="218"/>
      <c r="H88" s="218"/>
      <c r="I88" s="231"/>
      <c r="J88" s="217"/>
      <c r="K88" s="217"/>
      <c r="L88" s="216"/>
      <c r="M88" s="216"/>
      <c r="N88" s="218"/>
      <c r="O88" s="218"/>
      <c r="P88" s="218"/>
      <c r="Q88" s="218"/>
      <c r="R88" s="219"/>
      <c r="S88" s="216"/>
      <c r="T88" s="232"/>
      <c r="U88" s="232"/>
      <c r="V88" s="218"/>
      <c r="W88" s="218"/>
      <c r="X88" s="220">
        <f>IF($A88="","",IF(OR($B88="Định kỳ",$AA88="Hoàn thành"),MAX(_xlfn.MAXIFS('Nhật ký tiến độ'!$B$6:$B$3005,'Nhật ký tiến độ'!$C$6:$C$3005,$A88,'Nhật ký tiến độ'!$E$6:$E$3005,"Hoàn thành kỳ"),_xlfn.MAXIFS('Nhật ký tiến độ'!$B$6:$B$3005,'Nhật ký tiến độ'!$C$6:$C$3005,$A88,'Nhật ký tiến độ'!$E$6:$E$3005,"Hoàn thành")),0))</f>
      </c>
      <c r="Y88" s="220">
        <f>IF($A88="","",IF($B88="Đột xuất",IF($AY88=0,"",$AY88),IF($AX88=0,"",$AX88)))</f>
      </c>
      <c r="Z88" s="223">
        <f>IF(OR($AO88=0,$AW88=0),"",IF(TDBC&gt;$AW88,"Quá "&amp;IF($B88="Định kỳ",(NgayBC-$AP88)&amp;" ngày",IF(((TDBC-$AW88)*24)&lt;1,MAX(1,ROUND(((TDBC-$AW88)*24)*60,0))&amp;" phút",IF(ROUND(((TDBC-$AW88)*24),0)&lt;24,ROUND(((TDBC-$AW88)*24),0)&amp;" giờ",INT(ROUND(((TDBC-$AW88)*24),0)/24)&amp;" ngày"&amp;IF(MOD(ROUND(((TDBC-$AW88)*24),0),24)&gt;0," "&amp;MOD(ROUND(((TDBC-$AW88)*24),0),24)&amp;" giờ","")))),IF($B88="Định kỳ",IF($AP88=NgayBC,"Hôm nay","Còn "&amp;($AP88-NgayBC)&amp;" ngày"),"Còn "&amp;IF((($AW88-TDBC)*24)&lt;1,MAX(1,ROUND((($AW88-TDBC)*24)*60,0))&amp;" phút",IF(ROUND((($AW88-TDBC)*24),0)&lt;24,ROUND((($AW88-TDBC)*24),0)&amp;" giờ",INT(ROUND((($AW88-TDBC)*24),0)/24)&amp;" ngày"&amp;IF(MOD(ROUND((($AW88-TDBC)*24),0),24)&gt;0," "&amp;MOD(ROUND((($AW88-TDBC)*24),0),24)&amp;" giờ",""))))))</f>
      </c>
      <c r="AA88" s="221">
        <f>IF($A88="","",IF(N($AM88)=0,"Chưa bắt đầu",IF(OR($AN88="Hoàn thành kỳ",$AN88="Hoàn thành"),IF($B88="Định kỳ","Chưa bắt đầu","Hoàn thành"),$AN88)))</f>
      </c>
      <c r="AB88" s="222">
        <f>IF($A88="","",IF($AA88="Hoàn thành",1,IF(OR(N($AM88)=0,$AN88="Hoàn thành kỳ",$AN88="Hoàn thành"),0,N(INDEX('Nhật ký tiến độ'!$D:$D,$AM88)))))</f>
      </c>
      <c r="AC88" s="222">
        <f>IF(OR($A88="",$B88&lt;&gt;"Đột xuất",$AA88="Hoàn thành",N($J88)=0,$AW88=0),"",IF(TDBC&lt;=$J88,0,IF(TDBC&gt;=$AW88,1,(TDBC-$J88)/($AW88-$J88))))</f>
      </c>
      <c r="AD88" s="223">
        <f>IF($A88="","",IF($AA88="Hoàn thành","Hoàn thành",IF($AW88=0,"Chưa đặt hạn",IF(TDBC&gt;$AW88,"Quá hạn",IF(AND($B88="Đột xuất",ROUND((N($AC88)-$AB88)*100,0)&gt;=20),"Chậm tiến độ",IF($AP88=NgayBC,"Đến hạn hôm nay",IF($B88="Đột xuất",IF($AW88-TDBC&lt;=1,"Sắp đến hạn","Đúng tiến độ"),IF($AP88-NgayBC&lt;=3,"Sắp đến hạn","Theo lịch"))))))))</f>
      </c>
      <c r="AE88" s="223">
        <f>IF($AV88="","",IF($B88="Định kỳ","Bình quân "&amp;IF($AV88&lt;1,MAX(1,ROUND($AV88*60,0))&amp;" phút",IF(ROUND($AV88,0)&lt;24,ROUND($AV88,0)&amp;" giờ",INT(ROUND($AV88,0)/24)&amp;" ngày"&amp;IF(MOD(ROUND($AV88,0),24)&gt;0," "&amp;MOD(ROUND($AV88,0),24)&amp;" giờ","")))&amp;" mỗi kỳ",IF($AV88&lt;1,MAX(1,ROUND($AV88*60,0))&amp;" phút",IF(ROUND($AV88,0)&lt;24,ROUND($AV88,0)&amp;" giờ",INT(ROUND($AV88,0)/24)&amp;" ngày"&amp;IF(MOD(ROUND($AV88,0),24)&gt;0," "&amp;MOD(ROUND($AV88,0),24)&amp;" giờ","")))))</f>
      </c>
      <c r="AF88" s="223">
        <f>IF(OR($A88="",N($AU88)=0),"",IF($AV88&lt;&gt;"",IF($AV88&lt;=$AU88,"Trong ước tính","Vượt "&amp;IF(($AV88-$AU88)&lt;1,MAX(1,ROUND(($AV88-$AU88)*60,0))&amp;" phút",IF(ROUND(($AV88-$AU88),0)&lt;24,ROUND(($AV88-$AU88),0)&amp;" giờ",INT(ROUND(($AV88-$AU88),0)/24)&amp;" ngày"&amp;IF(MOD(ROUND(($AV88-$AU88),0),24)&gt;0," "&amp;MOD(ROUND(($AV88-$AU88),0),24)&amp;" giờ","")))),IF(OR($B88&lt;&gt;"Đột xuất",$AA88="Hoàn thành",N($J88)=0),"",IF((TDBC-$J88)*24&gt;$AU88,"Đã vượt ước tính","Đã dùng "&amp;TEXT((TDBC-$J88)*24/$AU88,"0%")))))</f>
      </c>
      <c r="AG88" s="223">
        <f>IF(N($BB88)=0,"",CHOOSE($BB88,"Nhắc nhở","Cảnh báo","Báo động","Báo động đỏ"))</f>
      </c>
      <c r="AH88" s="223">
        <f>IF(OR($B88&lt;&gt;"Đột xuất",$AA88&lt;&gt;"Hoàn thành",N($X88)=0,$AW88=0),"",IF($X88&lt;=$AW88,"Đúng hạn","Trễ hạn"))</f>
      </c>
      <c r="AI88" s="220">
        <f>IF($A88="","",_xlfn.MAXIFS('Nhật ký tiến độ'!$B$6:$B$3005,'Nhật ký tiến độ'!$C$6:$C$3005,$A88))</f>
      </c>
      <c r="AJ88" s="225">
        <f>IF(OR($A88="",$B88&lt;&gt;"Định kỳ"),0,IFERROR(INDEX(DM_TanSuatNgay,MATCH($H88,DM_TanSuat,0)),0))</f>
      </c>
      <c r="AK88" s="225">
        <f>IF(OR($A88="",$B88&lt;&gt;"Định kỳ"),0,IFERROR(INDEX(DM_TanSuatThang,MATCH($H88,DM_TanSuat,0)),0))</f>
      </c>
      <c r="AL88" s="225">
        <f>IF(OR($A88="",$B88&lt;&gt;"Định kỳ",N($X88)=0,N($I88)=0),"",IF(INT($X88)&lt;$I88,0,IF($AJ88&gt;0,ROUND((INT($X88)-$I88)/$AJ88,0),IF($AK88&gt;0,ROUND((DATEDIF($I88,INT($X88),"m")+(INT($X88)-EDATE($I88,DATEDIF($I88,INT($X88),"m")))/(EDATE($I88,DATEDIF($I88,INT($X88),"m")+1)-EDATE($I88,DATEDIF($I88,INT($X88),"m"))))/$AK88,0),0))))</f>
      </c>
      <c r="AM88" s="225">
        <f>IF($A88="","",IF(COUNTIF('Nhật ký tiến độ'!$C$6:$C$3005,$A88)=0,0,_xlfn.MAXIFS('Nhật ký tiến độ'!$N$6:$N$3005,'Nhật ký tiến độ'!$C$6:$C$3005,$A88,'Nhật ký tiến độ'!$B$6:$B$3005,_xlfn.MAXIFS('Nhật ký tiến độ'!$B$6:$B$3005,'Nhật ký tiến độ'!$C$6:$C$3005,$A88))))</f>
      </c>
      <c r="AN88" s="225">
        <f>IF($A88="","",IF(N($AM88)=0,"",INDEX('Nhật ký tiến độ'!$E:$E,$AM88)))</f>
      </c>
      <c r="AO88" s="225">
        <f>IF($A88="",0,IF($AA88="Hoàn thành",0,1))</f>
      </c>
      <c r="AP88" s="225">
        <f>IF($AO88=0,0,INT(N($AW88)))</f>
      </c>
      <c r="AQ88" s="225">
        <f>IF(AND($AO88=1,$AJ88&gt;1),$AJ88,0)</f>
      </c>
      <c r="AR88" s="225">
        <f>IF(AND($AO88=1,$AJ88=1),1,0)</f>
      </c>
      <c r="AS88" s="225">
        <f>IF(OR($AO88=0,AND($AR88=1,N($BB88)=0)),"",IF(N($BB88)&gt;0,5-$BB88,IF($AD88="Chậm tiến độ",6,IF($AD88="Đến hạn hôm nay",7,IF(AND($AP88&gt;0,$AP88-NgayBC&lt;=7),8,"")))))</f>
      </c>
      <c r="AT88" s="225">
        <f>IF($AS88="","",$AS88*100000+$AP88+ROW()/100000)</f>
      </c>
      <c r="AU88" s="224">
        <f>IF(OR($A88="",N($R88)&lt;=0),"",IF($S88="Ngày",$R88*24,$R88))</f>
      </c>
      <c r="AV88" s="224">
        <f>IF($A88="","",IF($B88="Đột xuất",IF(OR($AA88&lt;&gt;"Hoàn thành",N($X88)=0,N($J88)=0),"",IF($X88&lt;$J88,"",($X88-$J88)*24)),IFERROR(AVERAGEIFS('Nhật ký tiến độ'!$H$6:$H$3005,'Nhật ký tiến độ'!$C$6:$C$3005,$A88,'Nhật ký tiến độ'!$H$6:$H$3005,"&gt;0"),"")))</f>
      </c>
      <c r="AW88" s="233">
        <f>IF($A88="",0,IF($B88="Đột xuất",$AY88,IF($AX88=0,0,$AX88+1-1/1440)))</f>
      </c>
      <c r="AX88" s="234">
        <f>IF(OR($A88="",$B88&lt;&gt;"Định kỳ",N($I88)=0),0,IF($AL88="",$I88,IF($AJ88&gt;0,$I88+($AL88+1)*$AJ88,IF($AK88&gt;0,EDATE($I88,($AL88+1)*$AK88),$I88))))</f>
      </c>
      <c r="AY88" s="233">
        <f>IF(OR($A88="",$B88&lt;&gt;"Đột xuất"),0,IF(N($K88)&gt;0,IF(MOD($K88,1)=0,$K88+1-1/1440,$K88),IF(N($J88)=0,0,$J88+IF(N($AU88)&gt;0,$AU88,IFERROR(INDEX(DM_SLA_Gio,MATCH($L88,DM_SLA_Cap,0)),168))/24)))</f>
      </c>
      <c r="AZ88" s="225">
        <f>IF(OR($A88="",TRIM($N88)="",COUNTIF('Phản ánh'!$K$6:$K$505,$N88)&gt;0,COUNTIF($N$6:$N88,$N88)&gt;1),0,1)</f>
      </c>
      <c r="BA88" s="225">
        <f>IF($AZ88=1,SUM($AZ$6:$AZ88),"")</f>
      </c>
      <c r="BB88" s="225">
        <f>IF(OR($AO88=0,N($AW88)=0),0,IF(TDBC&lt;=$AW88,0,MAX(1,MIN(4,IF((TDBC-$AW88)*24&lt;24,1,IF((TDBC-$AW88)*24&lt;72,2,IF((TDBC-$AW88)*24&lt;168,3,4)))+IF($B88="Đột xuất",IFERROR(INDEX({2,1,0,-1},MATCH($L88,{"Khẩn cấp","Cao","Trung bình","Thấp"},0)),0),IF($D88="PCCC và an ninh",1,0))))))</f>
      </c>
    </row>
    <row r="89">
      <c r="A89" s="216"/>
      <c r="B89" s="216"/>
      <c r="C89" s="218"/>
      <c r="D89" s="218"/>
      <c r="E89" s="218"/>
      <c r="F89" s="216"/>
      <c r="G89" s="218"/>
      <c r="H89" s="218"/>
      <c r="I89" s="231"/>
      <c r="J89" s="217"/>
      <c r="K89" s="217"/>
      <c r="L89" s="216"/>
      <c r="M89" s="216"/>
      <c r="N89" s="218"/>
      <c r="O89" s="218"/>
      <c r="P89" s="218"/>
      <c r="Q89" s="218"/>
      <c r="R89" s="219"/>
      <c r="S89" s="216"/>
      <c r="T89" s="232"/>
      <c r="U89" s="232"/>
      <c r="V89" s="218"/>
      <c r="W89" s="218"/>
      <c r="X89" s="220">
        <f>IF($A89="","",IF(OR($B89="Định kỳ",$AA89="Hoàn thành"),MAX(_xlfn.MAXIFS('Nhật ký tiến độ'!$B$6:$B$3005,'Nhật ký tiến độ'!$C$6:$C$3005,$A89,'Nhật ký tiến độ'!$E$6:$E$3005,"Hoàn thành kỳ"),_xlfn.MAXIFS('Nhật ký tiến độ'!$B$6:$B$3005,'Nhật ký tiến độ'!$C$6:$C$3005,$A89,'Nhật ký tiến độ'!$E$6:$E$3005,"Hoàn thành")),0))</f>
      </c>
      <c r="Y89" s="220">
        <f>IF($A89="","",IF($B89="Đột xuất",IF($AY89=0,"",$AY89),IF($AX89=0,"",$AX89)))</f>
      </c>
      <c r="Z89" s="223">
        <f>IF(OR($AO89=0,$AW89=0),"",IF(TDBC&gt;$AW89,"Quá "&amp;IF($B89="Định kỳ",(NgayBC-$AP89)&amp;" ngày",IF(((TDBC-$AW89)*24)&lt;1,MAX(1,ROUND(((TDBC-$AW89)*24)*60,0))&amp;" phút",IF(ROUND(((TDBC-$AW89)*24),0)&lt;24,ROUND(((TDBC-$AW89)*24),0)&amp;" giờ",INT(ROUND(((TDBC-$AW89)*24),0)/24)&amp;" ngày"&amp;IF(MOD(ROUND(((TDBC-$AW89)*24),0),24)&gt;0," "&amp;MOD(ROUND(((TDBC-$AW89)*24),0),24)&amp;" giờ","")))),IF($B89="Định kỳ",IF($AP89=NgayBC,"Hôm nay","Còn "&amp;($AP89-NgayBC)&amp;" ngày"),"Còn "&amp;IF((($AW89-TDBC)*24)&lt;1,MAX(1,ROUND((($AW89-TDBC)*24)*60,0))&amp;" phút",IF(ROUND((($AW89-TDBC)*24),0)&lt;24,ROUND((($AW89-TDBC)*24),0)&amp;" giờ",INT(ROUND((($AW89-TDBC)*24),0)/24)&amp;" ngày"&amp;IF(MOD(ROUND((($AW89-TDBC)*24),0),24)&gt;0," "&amp;MOD(ROUND((($AW89-TDBC)*24),0),24)&amp;" giờ",""))))))</f>
      </c>
      <c r="AA89" s="221">
        <f>IF($A89="","",IF(N($AM89)=0,"Chưa bắt đầu",IF(OR($AN89="Hoàn thành kỳ",$AN89="Hoàn thành"),IF($B89="Định kỳ","Chưa bắt đầu","Hoàn thành"),$AN89)))</f>
      </c>
      <c r="AB89" s="222">
        <f>IF($A89="","",IF($AA89="Hoàn thành",1,IF(OR(N($AM89)=0,$AN89="Hoàn thành kỳ",$AN89="Hoàn thành"),0,N(INDEX('Nhật ký tiến độ'!$D:$D,$AM89)))))</f>
      </c>
      <c r="AC89" s="222">
        <f>IF(OR($A89="",$B89&lt;&gt;"Đột xuất",$AA89="Hoàn thành",N($J89)=0,$AW89=0),"",IF(TDBC&lt;=$J89,0,IF(TDBC&gt;=$AW89,1,(TDBC-$J89)/($AW89-$J89))))</f>
      </c>
      <c r="AD89" s="223">
        <f>IF($A89="","",IF($AA89="Hoàn thành","Hoàn thành",IF($AW89=0,"Chưa đặt hạn",IF(TDBC&gt;$AW89,"Quá hạn",IF(AND($B89="Đột xuất",ROUND((N($AC89)-$AB89)*100,0)&gt;=20),"Chậm tiến độ",IF($AP89=NgayBC,"Đến hạn hôm nay",IF($B89="Đột xuất",IF($AW89-TDBC&lt;=1,"Sắp đến hạn","Đúng tiến độ"),IF($AP89-NgayBC&lt;=3,"Sắp đến hạn","Theo lịch"))))))))</f>
      </c>
      <c r="AE89" s="223">
        <f>IF($AV89="","",IF($B89="Định kỳ","Bình quân "&amp;IF($AV89&lt;1,MAX(1,ROUND($AV89*60,0))&amp;" phút",IF(ROUND($AV89,0)&lt;24,ROUND($AV89,0)&amp;" giờ",INT(ROUND($AV89,0)/24)&amp;" ngày"&amp;IF(MOD(ROUND($AV89,0),24)&gt;0," "&amp;MOD(ROUND($AV89,0),24)&amp;" giờ","")))&amp;" mỗi kỳ",IF($AV89&lt;1,MAX(1,ROUND($AV89*60,0))&amp;" phút",IF(ROUND($AV89,0)&lt;24,ROUND($AV89,0)&amp;" giờ",INT(ROUND($AV89,0)/24)&amp;" ngày"&amp;IF(MOD(ROUND($AV89,0),24)&gt;0," "&amp;MOD(ROUND($AV89,0),24)&amp;" giờ","")))))</f>
      </c>
      <c r="AF89" s="223">
        <f>IF(OR($A89="",N($AU89)=0),"",IF($AV89&lt;&gt;"",IF($AV89&lt;=$AU89,"Trong ước tính","Vượt "&amp;IF(($AV89-$AU89)&lt;1,MAX(1,ROUND(($AV89-$AU89)*60,0))&amp;" phút",IF(ROUND(($AV89-$AU89),0)&lt;24,ROUND(($AV89-$AU89),0)&amp;" giờ",INT(ROUND(($AV89-$AU89),0)/24)&amp;" ngày"&amp;IF(MOD(ROUND(($AV89-$AU89),0),24)&gt;0," "&amp;MOD(ROUND(($AV89-$AU89),0),24)&amp;" giờ","")))),IF(OR($B89&lt;&gt;"Đột xuất",$AA89="Hoàn thành",N($J89)=0),"",IF((TDBC-$J89)*24&gt;$AU89,"Đã vượt ước tính","Đã dùng "&amp;TEXT((TDBC-$J89)*24/$AU89,"0%")))))</f>
      </c>
      <c r="AG89" s="223">
        <f>IF(N($BB89)=0,"",CHOOSE($BB89,"Nhắc nhở","Cảnh báo","Báo động","Báo động đỏ"))</f>
      </c>
      <c r="AH89" s="223">
        <f>IF(OR($B89&lt;&gt;"Đột xuất",$AA89&lt;&gt;"Hoàn thành",N($X89)=0,$AW89=0),"",IF($X89&lt;=$AW89,"Đúng hạn","Trễ hạn"))</f>
      </c>
      <c r="AI89" s="220">
        <f>IF($A89="","",_xlfn.MAXIFS('Nhật ký tiến độ'!$B$6:$B$3005,'Nhật ký tiến độ'!$C$6:$C$3005,$A89))</f>
      </c>
      <c r="AJ89" s="225">
        <f>IF(OR($A89="",$B89&lt;&gt;"Định kỳ"),0,IFERROR(INDEX(DM_TanSuatNgay,MATCH($H89,DM_TanSuat,0)),0))</f>
      </c>
      <c r="AK89" s="225">
        <f>IF(OR($A89="",$B89&lt;&gt;"Định kỳ"),0,IFERROR(INDEX(DM_TanSuatThang,MATCH($H89,DM_TanSuat,0)),0))</f>
      </c>
      <c r="AL89" s="225">
        <f>IF(OR($A89="",$B89&lt;&gt;"Định kỳ",N($X89)=0,N($I89)=0),"",IF(INT($X89)&lt;$I89,0,IF($AJ89&gt;0,ROUND((INT($X89)-$I89)/$AJ89,0),IF($AK89&gt;0,ROUND((DATEDIF($I89,INT($X89),"m")+(INT($X89)-EDATE($I89,DATEDIF($I89,INT($X89),"m")))/(EDATE($I89,DATEDIF($I89,INT($X89),"m")+1)-EDATE($I89,DATEDIF($I89,INT($X89),"m"))))/$AK89,0),0))))</f>
      </c>
      <c r="AM89" s="225">
        <f>IF($A89="","",IF(COUNTIF('Nhật ký tiến độ'!$C$6:$C$3005,$A89)=0,0,_xlfn.MAXIFS('Nhật ký tiến độ'!$N$6:$N$3005,'Nhật ký tiến độ'!$C$6:$C$3005,$A89,'Nhật ký tiến độ'!$B$6:$B$3005,_xlfn.MAXIFS('Nhật ký tiến độ'!$B$6:$B$3005,'Nhật ký tiến độ'!$C$6:$C$3005,$A89))))</f>
      </c>
      <c r="AN89" s="225">
        <f>IF($A89="","",IF(N($AM89)=0,"",INDEX('Nhật ký tiến độ'!$E:$E,$AM89)))</f>
      </c>
      <c r="AO89" s="225">
        <f>IF($A89="",0,IF($AA89="Hoàn thành",0,1))</f>
      </c>
      <c r="AP89" s="225">
        <f>IF($AO89=0,0,INT(N($AW89)))</f>
      </c>
      <c r="AQ89" s="225">
        <f>IF(AND($AO89=1,$AJ89&gt;1),$AJ89,0)</f>
      </c>
      <c r="AR89" s="225">
        <f>IF(AND($AO89=1,$AJ89=1),1,0)</f>
      </c>
      <c r="AS89" s="225">
        <f>IF(OR($AO89=0,AND($AR89=1,N($BB89)=0)),"",IF(N($BB89)&gt;0,5-$BB89,IF($AD89="Chậm tiến độ",6,IF($AD89="Đến hạn hôm nay",7,IF(AND($AP89&gt;0,$AP89-NgayBC&lt;=7),8,"")))))</f>
      </c>
      <c r="AT89" s="225">
        <f>IF($AS89="","",$AS89*100000+$AP89+ROW()/100000)</f>
      </c>
      <c r="AU89" s="224">
        <f>IF(OR($A89="",N($R89)&lt;=0),"",IF($S89="Ngày",$R89*24,$R89))</f>
      </c>
      <c r="AV89" s="224">
        <f>IF($A89="","",IF($B89="Đột xuất",IF(OR($AA89&lt;&gt;"Hoàn thành",N($X89)=0,N($J89)=0),"",IF($X89&lt;$J89,"",($X89-$J89)*24)),IFERROR(AVERAGEIFS('Nhật ký tiến độ'!$H$6:$H$3005,'Nhật ký tiến độ'!$C$6:$C$3005,$A89,'Nhật ký tiến độ'!$H$6:$H$3005,"&gt;0"),"")))</f>
      </c>
      <c r="AW89" s="233">
        <f>IF($A89="",0,IF($B89="Đột xuất",$AY89,IF($AX89=0,0,$AX89+1-1/1440)))</f>
      </c>
      <c r="AX89" s="234">
        <f>IF(OR($A89="",$B89&lt;&gt;"Định kỳ",N($I89)=0),0,IF($AL89="",$I89,IF($AJ89&gt;0,$I89+($AL89+1)*$AJ89,IF($AK89&gt;0,EDATE($I89,($AL89+1)*$AK89),$I89))))</f>
      </c>
      <c r="AY89" s="233">
        <f>IF(OR($A89="",$B89&lt;&gt;"Đột xuất"),0,IF(N($K89)&gt;0,IF(MOD($K89,1)=0,$K89+1-1/1440,$K89),IF(N($J89)=0,0,$J89+IF(N($AU89)&gt;0,$AU89,IFERROR(INDEX(DM_SLA_Gio,MATCH($L89,DM_SLA_Cap,0)),168))/24)))</f>
      </c>
      <c r="AZ89" s="225">
        <f>IF(OR($A89="",TRIM($N89)="",COUNTIF('Phản ánh'!$K$6:$K$505,$N89)&gt;0,COUNTIF($N$6:$N89,$N89)&gt;1),0,1)</f>
      </c>
      <c r="BA89" s="225">
        <f>IF($AZ89=1,SUM($AZ$6:$AZ89),"")</f>
      </c>
      <c r="BB89" s="225">
        <f>IF(OR($AO89=0,N($AW89)=0),0,IF(TDBC&lt;=$AW89,0,MAX(1,MIN(4,IF((TDBC-$AW89)*24&lt;24,1,IF((TDBC-$AW89)*24&lt;72,2,IF((TDBC-$AW89)*24&lt;168,3,4)))+IF($B89="Đột xuất",IFERROR(INDEX({2,1,0,-1},MATCH($L89,{"Khẩn cấp","Cao","Trung bình","Thấp"},0)),0),IF($D89="PCCC và an ninh",1,0))))))</f>
      </c>
    </row>
    <row r="90">
      <c r="A90" s="216"/>
      <c r="B90" s="216"/>
      <c r="C90" s="218"/>
      <c r="D90" s="218"/>
      <c r="E90" s="218"/>
      <c r="F90" s="216"/>
      <c r="G90" s="218"/>
      <c r="H90" s="218"/>
      <c r="I90" s="231"/>
      <c r="J90" s="217"/>
      <c r="K90" s="217"/>
      <c r="L90" s="216"/>
      <c r="M90" s="216"/>
      <c r="N90" s="218"/>
      <c r="O90" s="218"/>
      <c r="P90" s="218"/>
      <c r="Q90" s="218"/>
      <c r="R90" s="219"/>
      <c r="S90" s="216"/>
      <c r="T90" s="232"/>
      <c r="U90" s="232"/>
      <c r="V90" s="218"/>
      <c r="W90" s="218"/>
      <c r="X90" s="220">
        <f>IF($A90="","",IF(OR($B90="Định kỳ",$AA90="Hoàn thành"),MAX(_xlfn.MAXIFS('Nhật ký tiến độ'!$B$6:$B$3005,'Nhật ký tiến độ'!$C$6:$C$3005,$A90,'Nhật ký tiến độ'!$E$6:$E$3005,"Hoàn thành kỳ"),_xlfn.MAXIFS('Nhật ký tiến độ'!$B$6:$B$3005,'Nhật ký tiến độ'!$C$6:$C$3005,$A90,'Nhật ký tiến độ'!$E$6:$E$3005,"Hoàn thành")),0))</f>
      </c>
      <c r="Y90" s="220">
        <f>IF($A90="","",IF($B90="Đột xuất",IF($AY90=0,"",$AY90),IF($AX90=0,"",$AX90)))</f>
      </c>
      <c r="Z90" s="223">
        <f>IF(OR($AO90=0,$AW90=0),"",IF(TDBC&gt;$AW90,"Quá "&amp;IF($B90="Định kỳ",(NgayBC-$AP90)&amp;" ngày",IF(((TDBC-$AW90)*24)&lt;1,MAX(1,ROUND(((TDBC-$AW90)*24)*60,0))&amp;" phút",IF(ROUND(((TDBC-$AW90)*24),0)&lt;24,ROUND(((TDBC-$AW90)*24),0)&amp;" giờ",INT(ROUND(((TDBC-$AW90)*24),0)/24)&amp;" ngày"&amp;IF(MOD(ROUND(((TDBC-$AW90)*24),0),24)&gt;0," "&amp;MOD(ROUND(((TDBC-$AW90)*24),0),24)&amp;" giờ","")))),IF($B90="Định kỳ",IF($AP90=NgayBC,"Hôm nay","Còn "&amp;($AP90-NgayBC)&amp;" ngày"),"Còn "&amp;IF((($AW90-TDBC)*24)&lt;1,MAX(1,ROUND((($AW90-TDBC)*24)*60,0))&amp;" phút",IF(ROUND((($AW90-TDBC)*24),0)&lt;24,ROUND((($AW90-TDBC)*24),0)&amp;" giờ",INT(ROUND((($AW90-TDBC)*24),0)/24)&amp;" ngày"&amp;IF(MOD(ROUND((($AW90-TDBC)*24),0),24)&gt;0," "&amp;MOD(ROUND((($AW90-TDBC)*24),0),24)&amp;" giờ",""))))))</f>
      </c>
      <c r="AA90" s="221">
        <f>IF($A90="","",IF(N($AM90)=0,"Chưa bắt đầu",IF(OR($AN90="Hoàn thành kỳ",$AN90="Hoàn thành"),IF($B90="Định kỳ","Chưa bắt đầu","Hoàn thành"),$AN90)))</f>
      </c>
      <c r="AB90" s="222">
        <f>IF($A90="","",IF($AA90="Hoàn thành",1,IF(OR(N($AM90)=0,$AN90="Hoàn thành kỳ",$AN90="Hoàn thành"),0,N(INDEX('Nhật ký tiến độ'!$D:$D,$AM90)))))</f>
      </c>
      <c r="AC90" s="222">
        <f>IF(OR($A90="",$B90&lt;&gt;"Đột xuất",$AA90="Hoàn thành",N($J90)=0,$AW90=0),"",IF(TDBC&lt;=$J90,0,IF(TDBC&gt;=$AW90,1,(TDBC-$J90)/($AW90-$J90))))</f>
      </c>
      <c r="AD90" s="223">
        <f>IF($A90="","",IF($AA90="Hoàn thành","Hoàn thành",IF($AW90=0,"Chưa đặt hạn",IF(TDBC&gt;$AW90,"Quá hạn",IF(AND($B90="Đột xuất",ROUND((N($AC90)-$AB90)*100,0)&gt;=20),"Chậm tiến độ",IF($AP90=NgayBC,"Đến hạn hôm nay",IF($B90="Đột xuất",IF($AW90-TDBC&lt;=1,"Sắp đến hạn","Đúng tiến độ"),IF($AP90-NgayBC&lt;=3,"Sắp đến hạn","Theo lịch"))))))))</f>
      </c>
      <c r="AE90" s="223">
        <f>IF($AV90="","",IF($B90="Định kỳ","Bình quân "&amp;IF($AV90&lt;1,MAX(1,ROUND($AV90*60,0))&amp;" phút",IF(ROUND($AV90,0)&lt;24,ROUND($AV90,0)&amp;" giờ",INT(ROUND($AV90,0)/24)&amp;" ngày"&amp;IF(MOD(ROUND($AV90,0),24)&gt;0," "&amp;MOD(ROUND($AV90,0),24)&amp;" giờ","")))&amp;" mỗi kỳ",IF($AV90&lt;1,MAX(1,ROUND($AV90*60,0))&amp;" phút",IF(ROUND($AV90,0)&lt;24,ROUND($AV90,0)&amp;" giờ",INT(ROUND($AV90,0)/24)&amp;" ngày"&amp;IF(MOD(ROUND($AV90,0),24)&gt;0," "&amp;MOD(ROUND($AV90,0),24)&amp;" giờ","")))))</f>
      </c>
      <c r="AF90" s="223">
        <f>IF(OR($A90="",N($AU90)=0),"",IF($AV90&lt;&gt;"",IF($AV90&lt;=$AU90,"Trong ước tính","Vượt "&amp;IF(($AV90-$AU90)&lt;1,MAX(1,ROUND(($AV90-$AU90)*60,0))&amp;" phút",IF(ROUND(($AV90-$AU90),0)&lt;24,ROUND(($AV90-$AU90),0)&amp;" giờ",INT(ROUND(($AV90-$AU90),0)/24)&amp;" ngày"&amp;IF(MOD(ROUND(($AV90-$AU90),0),24)&gt;0," "&amp;MOD(ROUND(($AV90-$AU90),0),24)&amp;" giờ","")))),IF(OR($B90&lt;&gt;"Đột xuất",$AA90="Hoàn thành",N($J90)=0),"",IF((TDBC-$J90)*24&gt;$AU90,"Đã vượt ước tính","Đã dùng "&amp;TEXT((TDBC-$J90)*24/$AU90,"0%")))))</f>
      </c>
      <c r="AG90" s="223">
        <f>IF(N($BB90)=0,"",CHOOSE($BB90,"Nhắc nhở","Cảnh báo","Báo động","Báo động đỏ"))</f>
      </c>
      <c r="AH90" s="223">
        <f>IF(OR($B90&lt;&gt;"Đột xuất",$AA90&lt;&gt;"Hoàn thành",N($X90)=0,$AW90=0),"",IF($X90&lt;=$AW90,"Đúng hạn","Trễ hạn"))</f>
      </c>
      <c r="AI90" s="220">
        <f>IF($A90="","",_xlfn.MAXIFS('Nhật ký tiến độ'!$B$6:$B$3005,'Nhật ký tiến độ'!$C$6:$C$3005,$A90))</f>
      </c>
      <c r="AJ90" s="225">
        <f>IF(OR($A90="",$B90&lt;&gt;"Định kỳ"),0,IFERROR(INDEX(DM_TanSuatNgay,MATCH($H90,DM_TanSuat,0)),0))</f>
      </c>
      <c r="AK90" s="225">
        <f>IF(OR($A90="",$B90&lt;&gt;"Định kỳ"),0,IFERROR(INDEX(DM_TanSuatThang,MATCH($H90,DM_TanSuat,0)),0))</f>
      </c>
      <c r="AL90" s="225">
        <f>IF(OR($A90="",$B90&lt;&gt;"Định kỳ",N($X90)=0,N($I90)=0),"",IF(INT($X90)&lt;$I90,0,IF($AJ90&gt;0,ROUND((INT($X90)-$I90)/$AJ90,0),IF($AK90&gt;0,ROUND((DATEDIF($I90,INT($X90),"m")+(INT($X90)-EDATE($I90,DATEDIF($I90,INT($X90),"m")))/(EDATE($I90,DATEDIF($I90,INT($X90),"m")+1)-EDATE($I90,DATEDIF($I90,INT($X90),"m"))))/$AK90,0),0))))</f>
      </c>
      <c r="AM90" s="225">
        <f>IF($A90="","",IF(COUNTIF('Nhật ký tiến độ'!$C$6:$C$3005,$A90)=0,0,_xlfn.MAXIFS('Nhật ký tiến độ'!$N$6:$N$3005,'Nhật ký tiến độ'!$C$6:$C$3005,$A90,'Nhật ký tiến độ'!$B$6:$B$3005,_xlfn.MAXIFS('Nhật ký tiến độ'!$B$6:$B$3005,'Nhật ký tiến độ'!$C$6:$C$3005,$A90))))</f>
      </c>
      <c r="AN90" s="225">
        <f>IF($A90="","",IF(N($AM90)=0,"",INDEX('Nhật ký tiến độ'!$E:$E,$AM90)))</f>
      </c>
      <c r="AO90" s="225">
        <f>IF($A90="",0,IF($AA90="Hoàn thành",0,1))</f>
      </c>
      <c r="AP90" s="225">
        <f>IF($AO90=0,0,INT(N($AW90)))</f>
      </c>
      <c r="AQ90" s="225">
        <f>IF(AND($AO90=1,$AJ90&gt;1),$AJ90,0)</f>
      </c>
      <c r="AR90" s="225">
        <f>IF(AND($AO90=1,$AJ90=1),1,0)</f>
      </c>
      <c r="AS90" s="225">
        <f>IF(OR($AO90=0,AND($AR90=1,N($BB90)=0)),"",IF(N($BB90)&gt;0,5-$BB90,IF($AD90="Chậm tiến độ",6,IF($AD90="Đến hạn hôm nay",7,IF(AND($AP90&gt;0,$AP90-NgayBC&lt;=7),8,"")))))</f>
      </c>
      <c r="AT90" s="225">
        <f>IF($AS90="","",$AS90*100000+$AP90+ROW()/100000)</f>
      </c>
      <c r="AU90" s="224">
        <f>IF(OR($A90="",N($R90)&lt;=0),"",IF($S90="Ngày",$R90*24,$R90))</f>
      </c>
      <c r="AV90" s="224">
        <f>IF($A90="","",IF($B90="Đột xuất",IF(OR($AA90&lt;&gt;"Hoàn thành",N($X90)=0,N($J90)=0),"",IF($X90&lt;$J90,"",($X90-$J90)*24)),IFERROR(AVERAGEIFS('Nhật ký tiến độ'!$H$6:$H$3005,'Nhật ký tiến độ'!$C$6:$C$3005,$A90,'Nhật ký tiến độ'!$H$6:$H$3005,"&gt;0"),"")))</f>
      </c>
      <c r="AW90" s="233">
        <f>IF($A90="",0,IF($B90="Đột xuất",$AY90,IF($AX90=0,0,$AX90+1-1/1440)))</f>
      </c>
      <c r="AX90" s="234">
        <f>IF(OR($A90="",$B90&lt;&gt;"Định kỳ",N($I90)=0),0,IF($AL90="",$I90,IF($AJ90&gt;0,$I90+($AL90+1)*$AJ90,IF($AK90&gt;0,EDATE($I90,($AL90+1)*$AK90),$I90))))</f>
      </c>
      <c r="AY90" s="233">
        <f>IF(OR($A90="",$B90&lt;&gt;"Đột xuất"),0,IF(N($K90)&gt;0,IF(MOD($K90,1)=0,$K90+1-1/1440,$K90),IF(N($J90)=0,0,$J90+IF(N($AU90)&gt;0,$AU90,IFERROR(INDEX(DM_SLA_Gio,MATCH($L90,DM_SLA_Cap,0)),168))/24)))</f>
      </c>
      <c r="AZ90" s="225">
        <f>IF(OR($A90="",TRIM($N90)="",COUNTIF('Phản ánh'!$K$6:$K$505,$N90)&gt;0,COUNTIF($N$6:$N90,$N90)&gt;1),0,1)</f>
      </c>
      <c r="BA90" s="225">
        <f>IF($AZ90=1,SUM($AZ$6:$AZ90),"")</f>
      </c>
      <c r="BB90" s="225">
        <f>IF(OR($AO90=0,N($AW90)=0),0,IF(TDBC&lt;=$AW90,0,MAX(1,MIN(4,IF((TDBC-$AW90)*24&lt;24,1,IF((TDBC-$AW90)*24&lt;72,2,IF((TDBC-$AW90)*24&lt;168,3,4)))+IF($B90="Đột xuất",IFERROR(INDEX({2,1,0,-1},MATCH($L90,{"Khẩn cấp","Cao","Trung bình","Thấp"},0)),0),IF($D90="PCCC và an ninh",1,0))))))</f>
      </c>
    </row>
    <row r="91">
      <c r="A91" s="216"/>
      <c r="B91" s="216"/>
      <c r="C91" s="218"/>
      <c r="D91" s="218"/>
      <c r="E91" s="218"/>
      <c r="F91" s="216"/>
      <c r="G91" s="218"/>
      <c r="H91" s="218"/>
      <c r="I91" s="231"/>
      <c r="J91" s="217"/>
      <c r="K91" s="217"/>
      <c r="L91" s="216"/>
      <c r="M91" s="216"/>
      <c r="N91" s="218"/>
      <c r="O91" s="218"/>
      <c r="P91" s="218"/>
      <c r="Q91" s="218"/>
      <c r="R91" s="219"/>
      <c r="S91" s="216"/>
      <c r="T91" s="232"/>
      <c r="U91" s="232"/>
      <c r="V91" s="218"/>
      <c r="W91" s="218"/>
      <c r="X91" s="220">
        <f>IF($A91="","",IF(OR($B91="Định kỳ",$AA91="Hoàn thành"),MAX(_xlfn.MAXIFS('Nhật ký tiến độ'!$B$6:$B$3005,'Nhật ký tiến độ'!$C$6:$C$3005,$A91,'Nhật ký tiến độ'!$E$6:$E$3005,"Hoàn thành kỳ"),_xlfn.MAXIFS('Nhật ký tiến độ'!$B$6:$B$3005,'Nhật ký tiến độ'!$C$6:$C$3005,$A91,'Nhật ký tiến độ'!$E$6:$E$3005,"Hoàn thành")),0))</f>
      </c>
      <c r="Y91" s="220">
        <f>IF($A91="","",IF($B91="Đột xuất",IF($AY91=0,"",$AY91),IF($AX91=0,"",$AX91)))</f>
      </c>
      <c r="Z91" s="223">
        <f>IF(OR($AO91=0,$AW91=0),"",IF(TDBC&gt;$AW91,"Quá "&amp;IF($B91="Định kỳ",(NgayBC-$AP91)&amp;" ngày",IF(((TDBC-$AW91)*24)&lt;1,MAX(1,ROUND(((TDBC-$AW91)*24)*60,0))&amp;" phút",IF(ROUND(((TDBC-$AW91)*24),0)&lt;24,ROUND(((TDBC-$AW91)*24),0)&amp;" giờ",INT(ROUND(((TDBC-$AW91)*24),0)/24)&amp;" ngày"&amp;IF(MOD(ROUND(((TDBC-$AW91)*24),0),24)&gt;0," "&amp;MOD(ROUND(((TDBC-$AW91)*24),0),24)&amp;" giờ","")))),IF($B91="Định kỳ",IF($AP91=NgayBC,"Hôm nay","Còn "&amp;($AP91-NgayBC)&amp;" ngày"),"Còn "&amp;IF((($AW91-TDBC)*24)&lt;1,MAX(1,ROUND((($AW91-TDBC)*24)*60,0))&amp;" phút",IF(ROUND((($AW91-TDBC)*24),0)&lt;24,ROUND((($AW91-TDBC)*24),0)&amp;" giờ",INT(ROUND((($AW91-TDBC)*24),0)/24)&amp;" ngày"&amp;IF(MOD(ROUND((($AW91-TDBC)*24),0),24)&gt;0," "&amp;MOD(ROUND((($AW91-TDBC)*24),0),24)&amp;" giờ",""))))))</f>
      </c>
      <c r="AA91" s="221">
        <f>IF($A91="","",IF(N($AM91)=0,"Chưa bắt đầu",IF(OR($AN91="Hoàn thành kỳ",$AN91="Hoàn thành"),IF($B91="Định kỳ","Chưa bắt đầu","Hoàn thành"),$AN91)))</f>
      </c>
      <c r="AB91" s="222">
        <f>IF($A91="","",IF($AA91="Hoàn thành",1,IF(OR(N($AM91)=0,$AN91="Hoàn thành kỳ",$AN91="Hoàn thành"),0,N(INDEX('Nhật ký tiến độ'!$D:$D,$AM91)))))</f>
      </c>
      <c r="AC91" s="222">
        <f>IF(OR($A91="",$B91&lt;&gt;"Đột xuất",$AA91="Hoàn thành",N($J91)=0,$AW91=0),"",IF(TDBC&lt;=$J91,0,IF(TDBC&gt;=$AW91,1,(TDBC-$J91)/($AW91-$J91))))</f>
      </c>
      <c r="AD91" s="223">
        <f>IF($A91="","",IF($AA91="Hoàn thành","Hoàn thành",IF($AW91=0,"Chưa đặt hạn",IF(TDBC&gt;$AW91,"Quá hạn",IF(AND($B91="Đột xuất",ROUND((N($AC91)-$AB91)*100,0)&gt;=20),"Chậm tiến độ",IF($AP91=NgayBC,"Đến hạn hôm nay",IF($B91="Đột xuất",IF($AW91-TDBC&lt;=1,"Sắp đến hạn","Đúng tiến độ"),IF($AP91-NgayBC&lt;=3,"Sắp đến hạn","Theo lịch"))))))))</f>
      </c>
      <c r="AE91" s="223">
        <f>IF($AV91="","",IF($B91="Định kỳ","Bình quân "&amp;IF($AV91&lt;1,MAX(1,ROUND($AV91*60,0))&amp;" phút",IF(ROUND($AV91,0)&lt;24,ROUND($AV91,0)&amp;" giờ",INT(ROUND($AV91,0)/24)&amp;" ngày"&amp;IF(MOD(ROUND($AV91,0),24)&gt;0," "&amp;MOD(ROUND($AV91,0),24)&amp;" giờ","")))&amp;" mỗi kỳ",IF($AV91&lt;1,MAX(1,ROUND($AV91*60,0))&amp;" phút",IF(ROUND($AV91,0)&lt;24,ROUND($AV91,0)&amp;" giờ",INT(ROUND($AV91,0)/24)&amp;" ngày"&amp;IF(MOD(ROUND($AV91,0),24)&gt;0," "&amp;MOD(ROUND($AV91,0),24)&amp;" giờ","")))))</f>
      </c>
      <c r="AF91" s="223">
        <f>IF(OR($A91="",N($AU91)=0),"",IF($AV91&lt;&gt;"",IF($AV91&lt;=$AU91,"Trong ước tính","Vượt "&amp;IF(($AV91-$AU91)&lt;1,MAX(1,ROUND(($AV91-$AU91)*60,0))&amp;" phút",IF(ROUND(($AV91-$AU91),0)&lt;24,ROUND(($AV91-$AU91),0)&amp;" giờ",INT(ROUND(($AV91-$AU91),0)/24)&amp;" ngày"&amp;IF(MOD(ROUND(($AV91-$AU91),0),24)&gt;0," "&amp;MOD(ROUND(($AV91-$AU91),0),24)&amp;" giờ","")))),IF(OR($B91&lt;&gt;"Đột xuất",$AA91="Hoàn thành",N($J91)=0),"",IF((TDBC-$J91)*24&gt;$AU91,"Đã vượt ước tính","Đã dùng "&amp;TEXT((TDBC-$J91)*24/$AU91,"0%")))))</f>
      </c>
      <c r="AG91" s="223">
        <f>IF(N($BB91)=0,"",CHOOSE($BB91,"Nhắc nhở","Cảnh báo","Báo động","Báo động đỏ"))</f>
      </c>
      <c r="AH91" s="223">
        <f>IF(OR($B91&lt;&gt;"Đột xuất",$AA91&lt;&gt;"Hoàn thành",N($X91)=0,$AW91=0),"",IF($X91&lt;=$AW91,"Đúng hạn","Trễ hạn"))</f>
      </c>
      <c r="AI91" s="220">
        <f>IF($A91="","",_xlfn.MAXIFS('Nhật ký tiến độ'!$B$6:$B$3005,'Nhật ký tiến độ'!$C$6:$C$3005,$A91))</f>
      </c>
      <c r="AJ91" s="225">
        <f>IF(OR($A91="",$B91&lt;&gt;"Định kỳ"),0,IFERROR(INDEX(DM_TanSuatNgay,MATCH($H91,DM_TanSuat,0)),0))</f>
      </c>
      <c r="AK91" s="225">
        <f>IF(OR($A91="",$B91&lt;&gt;"Định kỳ"),0,IFERROR(INDEX(DM_TanSuatThang,MATCH($H91,DM_TanSuat,0)),0))</f>
      </c>
      <c r="AL91" s="225">
        <f>IF(OR($A91="",$B91&lt;&gt;"Định kỳ",N($X91)=0,N($I91)=0),"",IF(INT($X91)&lt;$I91,0,IF($AJ91&gt;0,ROUND((INT($X91)-$I91)/$AJ91,0),IF($AK91&gt;0,ROUND((DATEDIF($I91,INT($X91),"m")+(INT($X91)-EDATE($I91,DATEDIF($I91,INT($X91),"m")))/(EDATE($I91,DATEDIF($I91,INT($X91),"m")+1)-EDATE($I91,DATEDIF($I91,INT($X91),"m"))))/$AK91,0),0))))</f>
      </c>
      <c r="AM91" s="225">
        <f>IF($A91="","",IF(COUNTIF('Nhật ký tiến độ'!$C$6:$C$3005,$A91)=0,0,_xlfn.MAXIFS('Nhật ký tiến độ'!$N$6:$N$3005,'Nhật ký tiến độ'!$C$6:$C$3005,$A91,'Nhật ký tiến độ'!$B$6:$B$3005,_xlfn.MAXIFS('Nhật ký tiến độ'!$B$6:$B$3005,'Nhật ký tiến độ'!$C$6:$C$3005,$A91))))</f>
      </c>
      <c r="AN91" s="225">
        <f>IF($A91="","",IF(N($AM91)=0,"",INDEX('Nhật ký tiến độ'!$E:$E,$AM91)))</f>
      </c>
      <c r="AO91" s="225">
        <f>IF($A91="",0,IF($AA91="Hoàn thành",0,1))</f>
      </c>
      <c r="AP91" s="225">
        <f>IF($AO91=0,0,INT(N($AW91)))</f>
      </c>
      <c r="AQ91" s="225">
        <f>IF(AND($AO91=1,$AJ91&gt;1),$AJ91,0)</f>
      </c>
      <c r="AR91" s="225">
        <f>IF(AND($AO91=1,$AJ91=1),1,0)</f>
      </c>
      <c r="AS91" s="225">
        <f>IF(OR($AO91=0,AND($AR91=1,N($BB91)=0)),"",IF(N($BB91)&gt;0,5-$BB91,IF($AD91="Chậm tiến độ",6,IF($AD91="Đến hạn hôm nay",7,IF(AND($AP91&gt;0,$AP91-NgayBC&lt;=7),8,"")))))</f>
      </c>
      <c r="AT91" s="225">
        <f>IF($AS91="","",$AS91*100000+$AP91+ROW()/100000)</f>
      </c>
      <c r="AU91" s="224">
        <f>IF(OR($A91="",N($R91)&lt;=0),"",IF($S91="Ngày",$R91*24,$R91))</f>
      </c>
      <c r="AV91" s="224">
        <f>IF($A91="","",IF($B91="Đột xuất",IF(OR($AA91&lt;&gt;"Hoàn thành",N($X91)=0,N($J91)=0),"",IF($X91&lt;$J91,"",($X91-$J91)*24)),IFERROR(AVERAGEIFS('Nhật ký tiến độ'!$H$6:$H$3005,'Nhật ký tiến độ'!$C$6:$C$3005,$A91,'Nhật ký tiến độ'!$H$6:$H$3005,"&gt;0"),"")))</f>
      </c>
      <c r="AW91" s="233">
        <f>IF($A91="",0,IF($B91="Đột xuất",$AY91,IF($AX91=0,0,$AX91+1-1/1440)))</f>
      </c>
      <c r="AX91" s="234">
        <f>IF(OR($A91="",$B91&lt;&gt;"Định kỳ",N($I91)=0),0,IF($AL91="",$I91,IF($AJ91&gt;0,$I91+($AL91+1)*$AJ91,IF($AK91&gt;0,EDATE($I91,($AL91+1)*$AK91),$I91))))</f>
      </c>
      <c r="AY91" s="233">
        <f>IF(OR($A91="",$B91&lt;&gt;"Đột xuất"),0,IF(N($K91)&gt;0,IF(MOD($K91,1)=0,$K91+1-1/1440,$K91),IF(N($J91)=0,0,$J91+IF(N($AU91)&gt;0,$AU91,IFERROR(INDEX(DM_SLA_Gio,MATCH($L91,DM_SLA_Cap,0)),168))/24)))</f>
      </c>
      <c r="AZ91" s="225">
        <f>IF(OR($A91="",TRIM($N91)="",COUNTIF('Phản ánh'!$K$6:$K$505,$N91)&gt;0,COUNTIF($N$6:$N91,$N91)&gt;1),0,1)</f>
      </c>
      <c r="BA91" s="225">
        <f>IF($AZ91=1,SUM($AZ$6:$AZ91),"")</f>
      </c>
      <c r="BB91" s="225">
        <f>IF(OR($AO91=0,N($AW91)=0),0,IF(TDBC&lt;=$AW91,0,MAX(1,MIN(4,IF((TDBC-$AW91)*24&lt;24,1,IF((TDBC-$AW91)*24&lt;72,2,IF((TDBC-$AW91)*24&lt;168,3,4)))+IF($B91="Đột xuất",IFERROR(INDEX({2,1,0,-1},MATCH($L91,{"Khẩn cấp","Cao","Trung bình","Thấp"},0)),0),IF($D91="PCCC và an ninh",1,0))))))</f>
      </c>
    </row>
    <row r="92">
      <c r="A92" s="216"/>
      <c r="B92" s="216"/>
      <c r="C92" s="218"/>
      <c r="D92" s="218"/>
      <c r="E92" s="218"/>
      <c r="F92" s="216"/>
      <c r="G92" s="218"/>
      <c r="H92" s="218"/>
      <c r="I92" s="231"/>
      <c r="J92" s="217"/>
      <c r="K92" s="217"/>
      <c r="L92" s="216"/>
      <c r="M92" s="216"/>
      <c r="N92" s="218"/>
      <c r="O92" s="218"/>
      <c r="P92" s="218"/>
      <c r="Q92" s="218"/>
      <c r="R92" s="219"/>
      <c r="S92" s="216"/>
      <c r="T92" s="232"/>
      <c r="U92" s="232"/>
      <c r="V92" s="218"/>
      <c r="W92" s="218"/>
      <c r="X92" s="220">
        <f>IF($A92="","",IF(OR($B92="Định kỳ",$AA92="Hoàn thành"),MAX(_xlfn.MAXIFS('Nhật ký tiến độ'!$B$6:$B$3005,'Nhật ký tiến độ'!$C$6:$C$3005,$A92,'Nhật ký tiến độ'!$E$6:$E$3005,"Hoàn thành kỳ"),_xlfn.MAXIFS('Nhật ký tiến độ'!$B$6:$B$3005,'Nhật ký tiến độ'!$C$6:$C$3005,$A92,'Nhật ký tiến độ'!$E$6:$E$3005,"Hoàn thành")),0))</f>
      </c>
      <c r="Y92" s="220">
        <f>IF($A92="","",IF($B92="Đột xuất",IF($AY92=0,"",$AY92),IF($AX92=0,"",$AX92)))</f>
      </c>
      <c r="Z92" s="223">
        <f>IF(OR($AO92=0,$AW92=0),"",IF(TDBC&gt;$AW92,"Quá "&amp;IF($B92="Định kỳ",(NgayBC-$AP92)&amp;" ngày",IF(((TDBC-$AW92)*24)&lt;1,MAX(1,ROUND(((TDBC-$AW92)*24)*60,0))&amp;" phút",IF(ROUND(((TDBC-$AW92)*24),0)&lt;24,ROUND(((TDBC-$AW92)*24),0)&amp;" giờ",INT(ROUND(((TDBC-$AW92)*24),0)/24)&amp;" ngày"&amp;IF(MOD(ROUND(((TDBC-$AW92)*24),0),24)&gt;0," "&amp;MOD(ROUND(((TDBC-$AW92)*24),0),24)&amp;" giờ","")))),IF($B92="Định kỳ",IF($AP92=NgayBC,"Hôm nay","Còn "&amp;($AP92-NgayBC)&amp;" ngày"),"Còn "&amp;IF((($AW92-TDBC)*24)&lt;1,MAX(1,ROUND((($AW92-TDBC)*24)*60,0))&amp;" phút",IF(ROUND((($AW92-TDBC)*24),0)&lt;24,ROUND((($AW92-TDBC)*24),0)&amp;" giờ",INT(ROUND((($AW92-TDBC)*24),0)/24)&amp;" ngày"&amp;IF(MOD(ROUND((($AW92-TDBC)*24),0),24)&gt;0," "&amp;MOD(ROUND((($AW92-TDBC)*24),0),24)&amp;" giờ",""))))))</f>
      </c>
      <c r="AA92" s="221">
        <f>IF($A92="","",IF(N($AM92)=0,"Chưa bắt đầu",IF(OR($AN92="Hoàn thành kỳ",$AN92="Hoàn thành"),IF($B92="Định kỳ","Chưa bắt đầu","Hoàn thành"),$AN92)))</f>
      </c>
      <c r="AB92" s="222">
        <f>IF($A92="","",IF($AA92="Hoàn thành",1,IF(OR(N($AM92)=0,$AN92="Hoàn thành kỳ",$AN92="Hoàn thành"),0,N(INDEX('Nhật ký tiến độ'!$D:$D,$AM92)))))</f>
      </c>
      <c r="AC92" s="222">
        <f>IF(OR($A92="",$B92&lt;&gt;"Đột xuất",$AA92="Hoàn thành",N($J92)=0,$AW92=0),"",IF(TDBC&lt;=$J92,0,IF(TDBC&gt;=$AW92,1,(TDBC-$J92)/($AW92-$J92))))</f>
      </c>
      <c r="AD92" s="223">
        <f>IF($A92="","",IF($AA92="Hoàn thành","Hoàn thành",IF($AW92=0,"Chưa đặt hạn",IF(TDBC&gt;$AW92,"Quá hạn",IF(AND($B92="Đột xuất",ROUND((N($AC92)-$AB92)*100,0)&gt;=20),"Chậm tiến độ",IF($AP92=NgayBC,"Đến hạn hôm nay",IF($B92="Đột xuất",IF($AW92-TDBC&lt;=1,"Sắp đến hạn","Đúng tiến độ"),IF($AP92-NgayBC&lt;=3,"Sắp đến hạn","Theo lịch"))))))))</f>
      </c>
      <c r="AE92" s="223">
        <f>IF($AV92="","",IF($B92="Định kỳ","Bình quân "&amp;IF($AV92&lt;1,MAX(1,ROUND($AV92*60,0))&amp;" phút",IF(ROUND($AV92,0)&lt;24,ROUND($AV92,0)&amp;" giờ",INT(ROUND($AV92,0)/24)&amp;" ngày"&amp;IF(MOD(ROUND($AV92,0),24)&gt;0," "&amp;MOD(ROUND($AV92,0),24)&amp;" giờ","")))&amp;" mỗi kỳ",IF($AV92&lt;1,MAX(1,ROUND($AV92*60,0))&amp;" phút",IF(ROUND($AV92,0)&lt;24,ROUND($AV92,0)&amp;" giờ",INT(ROUND($AV92,0)/24)&amp;" ngày"&amp;IF(MOD(ROUND($AV92,0),24)&gt;0," "&amp;MOD(ROUND($AV92,0),24)&amp;" giờ","")))))</f>
      </c>
      <c r="AF92" s="223">
        <f>IF(OR($A92="",N($AU92)=0),"",IF($AV92&lt;&gt;"",IF($AV92&lt;=$AU92,"Trong ước tính","Vượt "&amp;IF(($AV92-$AU92)&lt;1,MAX(1,ROUND(($AV92-$AU92)*60,0))&amp;" phút",IF(ROUND(($AV92-$AU92),0)&lt;24,ROUND(($AV92-$AU92),0)&amp;" giờ",INT(ROUND(($AV92-$AU92),0)/24)&amp;" ngày"&amp;IF(MOD(ROUND(($AV92-$AU92),0),24)&gt;0," "&amp;MOD(ROUND(($AV92-$AU92),0),24)&amp;" giờ","")))),IF(OR($B92&lt;&gt;"Đột xuất",$AA92="Hoàn thành",N($J92)=0),"",IF((TDBC-$J92)*24&gt;$AU92,"Đã vượt ước tính","Đã dùng "&amp;TEXT((TDBC-$J92)*24/$AU92,"0%")))))</f>
      </c>
      <c r="AG92" s="223">
        <f>IF(N($BB92)=0,"",CHOOSE($BB92,"Nhắc nhở","Cảnh báo","Báo động","Báo động đỏ"))</f>
      </c>
      <c r="AH92" s="223">
        <f>IF(OR($B92&lt;&gt;"Đột xuất",$AA92&lt;&gt;"Hoàn thành",N($X92)=0,$AW92=0),"",IF($X92&lt;=$AW92,"Đúng hạn","Trễ hạn"))</f>
      </c>
      <c r="AI92" s="220">
        <f>IF($A92="","",_xlfn.MAXIFS('Nhật ký tiến độ'!$B$6:$B$3005,'Nhật ký tiến độ'!$C$6:$C$3005,$A92))</f>
      </c>
      <c r="AJ92" s="225">
        <f>IF(OR($A92="",$B92&lt;&gt;"Định kỳ"),0,IFERROR(INDEX(DM_TanSuatNgay,MATCH($H92,DM_TanSuat,0)),0))</f>
      </c>
      <c r="AK92" s="225">
        <f>IF(OR($A92="",$B92&lt;&gt;"Định kỳ"),0,IFERROR(INDEX(DM_TanSuatThang,MATCH($H92,DM_TanSuat,0)),0))</f>
      </c>
      <c r="AL92" s="225">
        <f>IF(OR($A92="",$B92&lt;&gt;"Định kỳ",N($X92)=0,N($I92)=0),"",IF(INT($X92)&lt;$I92,0,IF($AJ92&gt;0,ROUND((INT($X92)-$I92)/$AJ92,0),IF($AK92&gt;0,ROUND((DATEDIF($I92,INT($X92),"m")+(INT($X92)-EDATE($I92,DATEDIF($I92,INT($X92),"m")))/(EDATE($I92,DATEDIF($I92,INT($X92),"m")+1)-EDATE($I92,DATEDIF($I92,INT($X92),"m"))))/$AK92,0),0))))</f>
      </c>
      <c r="AM92" s="225">
        <f>IF($A92="","",IF(COUNTIF('Nhật ký tiến độ'!$C$6:$C$3005,$A92)=0,0,_xlfn.MAXIFS('Nhật ký tiến độ'!$N$6:$N$3005,'Nhật ký tiến độ'!$C$6:$C$3005,$A92,'Nhật ký tiến độ'!$B$6:$B$3005,_xlfn.MAXIFS('Nhật ký tiến độ'!$B$6:$B$3005,'Nhật ký tiến độ'!$C$6:$C$3005,$A92))))</f>
      </c>
      <c r="AN92" s="225">
        <f>IF($A92="","",IF(N($AM92)=0,"",INDEX('Nhật ký tiến độ'!$E:$E,$AM92)))</f>
      </c>
      <c r="AO92" s="225">
        <f>IF($A92="",0,IF($AA92="Hoàn thành",0,1))</f>
      </c>
      <c r="AP92" s="225">
        <f>IF($AO92=0,0,INT(N($AW92)))</f>
      </c>
      <c r="AQ92" s="225">
        <f>IF(AND($AO92=1,$AJ92&gt;1),$AJ92,0)</f>
      </c>
      <c r="AR92" s="225">
        <f>IF(AND($AO92=1,$AJ92=1),1,0)</f>
      </c>
      <c r="AS92" s="225">
        <f>IF(OR($AO92=0,AND($AR92=1,N($BB92)=0)),"",IF(N($BB92)&gt;0,5-$BB92,IF($AD92="Chậm tiến độ",6,IF($AD92="Đến hạn hôm nay",7,IF(AND($AP92&gt;0,$AP92-NgayBC&lt;=7),8,"")))))</f>
      </c>
      <c r="AT92" s="225">
        <f>IF($AS92="","",$AS92*100000+$AP92+ROW()/100000)</f>
      </c>
      <c r="AU92" s="224">
        <f>IF(OR($A92="",N($R92)&lt;=0),"",IF($S92="Ngày",$R92*24,$R92))</f>
      </c>
      <c r="AV92" s="224">
        <f>IF($A92="","",IF($B92="Đột xuất",IF(OR($AA92&lt;&gt;"Hoàn thành",N($X92)=0,N($J92)=0),"",IF($X92&lt;$J92,"",($X92-$J92)*24)),IFERROR(AVERAGEIFS('Nhật ký tiến độ'!$H$6:$H$3005,'Nhật ký tiến độ'!$C$6:$C$3005,$A92,'Nhật ký tiến độ'!$H$6:$H$3005,"&gt;0"),"")))</f>
      </c>
      <c r="AW92" s="233">
        <f>IF($A92="",0,IF($B92="Đột xuất",$AY92,IF($AX92=0,0,$AX92+1-1/1440)))</f>
      </c>
      <c r="AX92" s="234">
        <f>IF(OR($A92="",$B92&lt;&gt;"Định kỳ",N($I92)=0),0,IF($AL92="",$I92,IF($AJ92&gt;0,$I92+($AL92+1)*$AJ92,IF($AK92&gt;0,EDATE($I92,($AL92+1)*$AK92),$I92))))</f>
      </c>
      <c r="AY92" s="233">
        <f>IF(OR($A92="",$B92&lt;&gt;"Đột xuất"),0,IF(N($K92)&gt;0,IF(MOD($K92,1)=0,$K92+1-1/1440,$K92),IF(N($J92)=0,0,$J92+IF(N($AU92)&gt;0,$AU92,IFERROR(INDEX(DM_SLA_Gio,MATCH($L92,DM_SLA_Cap,0)),168))/24)))</f>
      </c>
      <c r="AZ92" s="225">
        <f>IF(OR($A92="",TRIM($N92)="",COUNTIF('Phản ánh'!$K$6:$K$505,$N92)&gt;0,COUNTIF($N$6:$N92,$N92)&gt;1),0,1)</f>
      </c>
      <c r="BA92" s="225">
        <f>IF($AZ92=1,SUM($AZ$6:$AZ92),"")</f>
      </c>
      <c r="BB92" s="225">
        <f>IF(OR($AO92=0,N($AW92)=0),0,IF(TDBC&lt;=$AW92,0,MAX(1,MIN(4,IF((TDBC-$AW92)*24&lt;24,1,IF((TDBC-$AW92)*24&lt;72,2,IF((TDBC-$AW92)*24&lt;168,3,4)))+IF($B92="Đột xuất",IFERROR(INDEX({2,1,0,-1},MATCH($L92,{"Khẩn cấp","Cao","Trung bình","Thấp"},0)),0),IF($D92="PCCC và an ninh",1,0))))))</f>
      </c>
    </row>
    <row r="93">
      <c r="A93" s="216"/>
      <c r="B93" s="216"/>
      <c r="C93" s="218"/>
      <c r="D93" s="218"/>
      <c r="E93" s="218"/>
      <c r="F93" s="216"/>
      <c r="G93" s="218"/>
      <c r="H93" s="218"/>
      <c r="I93" s="231"/>
      <c r="J93" s="217"/>
      <c r="K93" s="217"/>
      <c r="L93" s="216"/>
      <c r="M93" s="216"/>
      <c r="N93" s="218"/>
      <c r="O93" s="218"/>
      <c r="P93" s="218"/>
      <c r="Q93" s="218"/>
      <c r="R93" s="219"/>
      <c r="S93" s="216"/>
      <c r="T93" s="232"/>
      <c r="U93" s="232"/>
      <c r="V93" s="218"/>
      <c r="W93" s="218"/>
      <c r="X93" s="220">
        <f>IF($A93="","",IF(OR($B93="Định kỳ",$AA93="Hoàn thành"),MAX(_xlfn.MAXIFS('Nhật ký tiến độ'!$B$6:$B$3005,'Nhật ký tiến độ'!$C$6:$C$3005,$A93,'Nhật ký tiến độ'!$E$6:$E$3005,"Hoàn thành kỳ"),_xlfn.MAXIFS('Nhật ký tiến độ'!$B$6:$B$3005,'Nhật ký tiến độ'!$C$6:$C$3005,$A93,'Nhật ký tiến độ'!$E$6:$E$3005,"Hoàn thành")),0))</f>
      </c>
      <c r="Y93" s="220">
        <f>IF($A93="","",IF($B93="Đột xuất",IF($AY93=0,"",$AY93),IF($AX93=0,"",$AX93)))</f>
      </c>
      <c r="Z93" s="223">
        <f>IF(OR($AO93=0,$AW93=0),"",IF(TDBC&gt;$AW93,"Quá "&amp;IF($B93="Định kỳ",(NgayBC-$AP93)&amp;" ngày",IF(((TDBC-$AW93)*24)&lt;1,MAX(1,ROUND(((TDBC-$AW93)*24)*60,0))&amp;" phút",IF(ROUND(((TDBC-$AW93)*24),0)&lt;24,ROUND(((TDBC-$AW93)*24),0)&amp;" giờ",INT(ROUND(((TDBC-$AW93)*24),0)/24)&amp;" ngày"&amp;IF(MOD(ROUND(((TDBC-$AW93)*24),0),24)&gt;0," "&amp;MOD(ROUND(((TDBC-$AW93)*24),0),24)&amp;" giờ","")))),IF($B93="Định kỳ",IF($AP93=NgayBC,"Hôm nay","Còn "&amp;($AP93-NgayBC)&amp;" ngày"),"Còn "&amp;IF((($AW93-TDBC)*24)&lt;1,MAX(1,ROUND((($AW93-TDBC)*24)*60,0))&amp;" phút",IF(ROUND((($AW93-TDBC)*24),0)&lt;24,ROUND((($AW93-TDBC)*24),0)&amp;" giờ",INT(ROUND((($AW93-TDBC)*24),0)/24)&amp;" ngày"&amp;IF(MOD(ROUND((($AW93-TDBC)*24),0),24)&gt;0," "&amp;MOD(ROUND((($AW93-TDBC)*24),0),24)&amp;" giờ",""))))))</f>
      </c>
      <c r="AA93" s="221">
        <f>IF($A93="","",IF(N($AM93)=0,"Chưa bắt đầu",IF(OR($AN93="Hoàn thành kỳ",$AN93="Hoàn thành"),IF($B93="Định kỳ","Chưa bắt đầu","Hoàn thành"),$AN93)))</f>
      </c>
      <c r="AB93" s="222">
        <f>IF($A93="","",IF($AA93="Hoàn thành",1,IF(OR(N($AM93)=0,$AN93="Hoàn thành kỳ",$AN93="Hoàn thành"),0,N(INDEX('Nhật ký tiến độ'!$D:$D,$AM93)))))</f>
      </c>
      <c r="AC93" s="222">
        <f>IF(OR($A93="",$B93&lt;&gt;"Đột xuất",$AA93="Hoàn thành",N($J93)=0,$AW93=0),"",IF(TDBC&lt;=$J93,0,IF(TDBC&gt;=$AW93,1,(TDBC-$J93)/($AW93-$J93))))</f>
      </c>
      <c r="AD93" s="223">
        <f>IF($A93="","",IF($AA93="Hoàn thành","Hoàn thành",IF($AW93=0,"Chưa đặt hạn",IF(TDBC&gt;$AW93,"Quá hạn",IF(AND($B93="Đột xuất",ROUND((N($AC93)-$AB93)*100,0)&gt;=20),"Chậm tiến độ",IF($AP93=NgayBC,"Đến hạn hôm nay",IF($B93="Đột xuất",IF($AW93-TDBC&lt;=1,"Sắp đến hạn","Đúng tiến độ"),IF($AP93-NgayBC&lt;=3,"Sắp đến hạn","Theo lịch"))))))))</f>
      </c>
      <c r="AE93" s="223">
        <f>IF($AV93="","",IF($B93="Định kỳ","Bình quân "&amp;IF($AV93&lt;1,MAX(1,ROUND($AV93*60,0))&amp;" phút",IF(ROUND($AV93,0)&lt;24,ROUND($AV93,0)&amp;" giờ",INT(ROUND($AV93,0)/24)&amp;" ngày"&amp;IF(MOD(ROUND($AV93,0),24)&gt;0," "&amp;MOD(ROUND($AV93,0),24)&amp;" giờ","")))&amp;" mỗi kỳ",IF($AV93&lt;1,MAX(1,ROUND($AV93*60,0))&amp;" phút",IF(ROUND($AV93,0)&lt;24,ROUND($AV93,0)&amp;" giờ",INT(ROUND($AV93,0)/24)&amp;" ngày"&amp;IF(MOD(ROUND($AV93,0),24)&gt;0," "&amp;MOD(ROUND($AV93,0),24)&amp;" giờ","")))))</f>
      </c>
      <c r="AF93" s="223">
        <f>IF(OR($A93="",N($AU93)=0),"",IF($AV93&lt;&gt;"",IF($AV93&lt;=$AU93,"Trong ước tính","Vượt "&amp;IF(($AV93-$AU93)&lt;1,MAX(1,ROUND(($AV93-$AU93)*60,0))&amp;" phút",IF(ROUND(($AV93-$AU93),0)&lt;24,ROUND(($AV93-$AU93),0)&amp;" giờ",INT(ROUND(($AV93-$AU93),0)/24)&amp;" ngày"&amp;IF(MOD(ROUND(($AV93-$AU93),0),24)&gt;0," "&amp;MOD(ROUND(($AV93-$AU93),0),24)&amp;" giờ","")))),IF(OR($B93&lt;&gt;"Đột xuất",$AA93="Hoàn thành",N($J93)=0),"",IF((TDBC-$J93)*24&gt;$AU93,"Đã vượt ước tính","Đã dùng "&amp;TEXT((TDBC-$J93)*24/$AU93,"0%")))))</f>
      </c>
      <c r="AG93" s="223">
        <f>IF(N($BB93)=0,"",CHOOSE($BB93,"Nhắc nhở","Cảnh báo","Báo động","Báo động đỏ"))</f>
      </c>
      <c r="AH93" s="223">
        <f>IF(OR($B93&lt;&gt;"Đột xuất",$AA93&lt;&gt;"Hoàn thành",N($X93)=0,$AW93=0),"",IF($X93&lt;=$AW93,"Đúng hạn","Trễ hạn"))</f>
      </c>
      <c r="AI93" s="220">
        <f>IF($A93="","",_xlfn.MAXIFS('Nhật ký tiến độ'!$B$6:$B$3005,'Nhật ký tiến độ'!$C$6:$C$3005,$A93))</f>
      </c>
      <c r="AJ93" s="225">
        <f>IF(OR($A93="",$B93&lt;&gt;"Định kỳ"),0,IFERROR(INDEX(DM_TanSuatNgay,MATCH($H93,DM_TanSuat,0)),0))</f>
      </c>
      <c r="AK93" s="225">
        <f>IF(OR($A93="",$B93&lt;&gt;"Định kỳ"),0,IFERROR(INDEX(DM_TanSuatThang,MATCH($H93,DM_TanSuat,0)),0))</f>
      </c>
      <c r="AL93" s="225">
        <f>IF(OR($A93="",$B93&lt;&gt;"Định kỳ",N($X93)=0,N($I93)=0),"",IF(INT($X93)&lt;$I93,0,IF($AJ93&gt;0,ROUND((INT($X93)-$I93)/$AJ93,0),IF($AK93&gt;0,ROUND((DATEDIF($I93,INT($X93),"m")+(INT($X93)-EDATE($I93,DATEDIF($I93,INT($X93),"m")))/(EDATE($I93,DATEDIF($I93,INT($X93),"m")+1)-EDATE($I93,DATEDIF($I93,INT($X93),"m"))))/$AK93,0),0))))</f>
      </c>
      <c r="AM93" s="225">
        <f>IF($A93="","",IF(COUNTIF('Nhật ký tiến độ'!$C$6:$C$3005,$A93)=0,0,_xlfn.MAXIFS('Nhật ký tiến độ'!$N$6:$N$3005,'Nhật ký tiến độ'!$C$6:$C$3005,$A93,'Nhật ký tiến độ'!$B$6:$B$3005,_xlfn.MAXIFS('Nhật ký tiến độ'!$B$6:$B$3005,'Nhật ký tiến độ'!$C$6:$C$3005,$A93))))</f>
      </c>
      <c r="AN93" s="225">
        <f>IF($A93="","",IF(N($AM93)=0,"",INDEX('Nhật ký tiến độ'!$E:$E,$AM93)))</f>
      </c>
      <c r="AO93" s="225">
        <f>IF($A93="",0,IF($AA93="Hoàn thành",0,1))</f>
      </c>
      <c r="AP93" s="225">
        <f>IF($AO93=0,0,INT(N($AW93)))</f>
      </c>
      <c r="AQ93" s="225">
        <f>IF(AND($AO93=1,$AJ93&gt;1),$AJ93,0)</f>
      </c>
      <c r="AR93" s="225">
        <f>IF(AND($AO93=1,$AJ93=1),1,0)</f>
      </c>
      <c r="AS93" s="225">
        <f>IF(OR($AO93=0,AND($AR93=1,N($BB93)=0)),"",IF(N($BB93)&gt;0,5-$BB93,IF($AD93="Chậm tiến độ",6,IF($AD93="Đến hạn hôm nay",7,IF(AND($AP93&gt;0,$AP93-NgayBC&lt;=7),8,"")))))</f>
      </c>
      <c r="AT93" s="225">
        <f>IF($AS93="","",$AS93*100000+$AP93+ROW()/100000)</f>
      </c>
      <c r="AU93" s="224">
        <f>IF(OR($A93="",N($R93)&lt;=0),"",IF($S93="Ngày",$R93*24,$R93))</f>
      </c>
      <c r="AV93" s="224">
        <f>IF($A93="","",IF($B93="Đột xuất",IF(OR($AA93&lt;&gt;"Hoàn thành",N($X93)=0,N($J93)=0),"",IF($X93&lt;$J93,"",($X93-$J93)*24)),IFERROR(AVERAGEIFS('Nhật ký tiến độ'!$H$6:$H$3005,'Nhật ký tiến độ'!$C$6:$C$3005,$A93,'Nhật ký tiến độ'!$H$6:$H$3005,"&gt;0"),"")))</f>
      </c>
      <c r="AW93" s="233">
        <f>IF($A93="",0,IF($B93="Đột xuất",$AY93,IF($AX93=0,0,$AX93+1-1/1440)))</f>
      </c>
      <c r="AX93" s="234">
        <f>IF(OR($A93="",$B93&lt;&gt;"Định kỳ",N($I93)=0),0,IF($AL93="",$I93,IF($AJ93&gt;0,$I93+($AL93+1)*$AJ93,IF($AK93&gt;0,EDATE($I93,($AL93+1)*$AK93),$I93))))</f>
      </c>
      <c r="AY93" s="233">
        <f>IF(OR($A93="",$B93&lt;&gt;"Đột xuất"),0,IF(N($K93)&gt;0,IF(MOD($K93,1)=0,$K93+1-1/1440,$K93),IF(N($J93)=0,0,$J93+IF(N($AU93)&gt;0,$AU93,IFERROR(INDEX(DM_SLA_Gio,MATCH($L93,DM_SLA_Cap,0)),168))/24)))</f>
      </c>
      <c r="AZ93" s="225">
        <f>IF(OR($A93="",TRIM($N93)="",COUNTIF('Phản ánh'!$K$6:$K$505,$N93)&gt;0,COUNTIF($N$6:$N93,$N93)&gt;1),0,1)</f>
      </c>
      <c r="BA93" s="225">
        <f>IF($AZ93=1,SUM($AZ$6:$AZ93),"")</f>
      </c>
      <c r="BB93" s="225">
        <f>IF(OR($AO93=0,N($AW93)=0),0,IF(TDBC&lt;=$AW93,0,MAX(1,MIN(4,IF((TDBC-$AW93)*24&lt;24,1,IF((TDBC-$AW93)*24&lt;72,2,IF((TDBC-$AW93)*24&lt;168,3,4)))+IF($B93="Đột xuất",IFERROR(INDEX({2,1,0,-1},MATCH($L93,{"Khẩn cấp","Cao","Trung bình","Thấp"},0)),0),IF($D93="PCCC và an ninh",1,0))))))</f>
      </c>
    </row>
    <row r="94">
      <c r="A94" s="216"/>
      <c r="B94" s="216"/>
      <c r="C94" s="218"/>
      <c r="D94" s="218"/>
      <c r="E94" s="218"/>
      <c r="F94" s="216"/>
      <c r="G94" s="218"/>
      <c r="H94" s="218"/>
      <c r="I94" s="231"/>
      <c r="J94" s="217"/>
      <c r="K94" s="217"/>
      <c r="L94" s="216"/>
      <c r="M94" s="216"/>
      <c r="N94" s="218"/>
      <c r="O94" s="218"/>
      <c r="P94" s="218"/>
      <c r="Q94" s="218"/>
      <c r="R94" s="219"/>
      <c r="S94" s="216"/>
      <c r="T94" s="232"/>
      <c r="U94" s="232"/>
      <c r="V94" s="218"/>
      <c r="W94" s="218"/>
      <c r="X94" s="220">
        <f>IF($A94="","",IF(OR($B94="Định kỳ",$AA94="Hoàn thành"),MAX(_xlfn.MAXIFS('Nhật ký tiến độ'!$B$6:$B$3005,'Nhật ký tiến độ'!$C$6:$C$3005,$A94,'Nhật ký tiến độ'!$E$6:$E$3005,"Hoàn thành kỳ"),_xlfn.MAXIFS('Nhật ký tiến độ'!$B$6:$B$3005,'Nhật ký tiến độ'!$C$6:$C$3005,$A94,'Nhật ký tiến độ'!$E$6:$E$3005,"Hoàn thành")),0))</f>
      </c>
      <c r="Y94" s="220">
        <f>IF($A94="","",IF($B94="Đột xuất",IF($AY94=0,"",$AY94),IF($AX94=0,"",$AX94)))</f>
      </c>
      <c r="Z94" s="223">
        <f>IF(OR($AO94=0,$AW94=0),"",IF(TDBC&gt;$AW94,"Quá "&amp;IF($B94="Định kỳ",(NgayBC-$AP94)&amp;" ngày",IF(((TDBC-$AW94)*24)&lt;1,MAX(1,ROUND(((TDBC-$AW94)*24)*60,0))&amp;" phút",IF(ROUND(((TDBC-$AW94)*24),0)&lt;24,ROUND(((TDBC-$AW94)*24),0)&amp;" giờ",INT(ROUND(((TDBC-$AW94)*24),0)/24)&amp;" ngày"&amp;IF(MOD(ROUND(((TDBC-$AW94)*24),0),24)&gt;0," "&amp;MOD(ROUND(((TDBC-$AW94)*24),0),24)&amp;" giờ","")))),IF($B94="Định kỳ",IF($AP94=NgayBC,"Hôm nay","Còn "&amp;($AP94-NgayBC)&amp;" ngày"),"Còn "&amp;IF((($AW94-TDBC)*24)&lt;1,MAX(1,ROUND((($AW94-TDBC)*24)*60,0))&amp;" phút",IF(ROUND((($AW94-TDBC)*24),0)&lt;24,ROUND((($AW94-TDBC)*24),0)&amp;" giờ",INT(ROUND((($AW94-TDBC)*24),0)/24)&amp;" ngày"&amp;IF(MOD(ROUND((($AW94-TDBC)*24),0),24)&gt;0," "&amp;MOD(ROUND((($AW94-TDBC)*24),0),24)&amp;" giờ",""))))))</f>
      </c>
      <c r="AA94" s="221">
        <f>IF($A94="","",IF(N($AM94)=0,"Chưa bắt đầu",IF(OR($AN94="Hoàn thành kỳ",$AN94="Hoàn thành"),IF($B94="Định kỳ","Chưa bắt đầu","Hoàn thành"),$AN94)))</f>
      </c>
      <c r="AB94" s="222">
        <f>IF($A94="","",IF($AA94="Hoàn thành",1,IF(OR(N($AM94)=0,$AN94="Hoàn thành kỳ",$AN94="Hoàn thành"),0,N(INDEX('Nhật ký tiến độ'!$D:$D,$AM94)))))</f>
      </c>
      <c r="AC94" s="222">
        <f>IF(OR($A94="",$B94&lt;&gt;"Đột xuất",$AA94="Hoàn thành",N($J94)=0,$AW94=0),"",IF(TDBC&lt;=$J94,0,IF(TDBC&gt;=$AW94,1,(TDBC-$J94)/($AW94-$J94))))</f>
      </c>
      <c r="AD94" s="223">
        <f>IF($A94="","",IF($AA94="Hoàn thành","Hoàn thành",IF($AW94=0,"Chưa đặt hạn",IF(TDBC&gt;$AW94,"Quá hạn",IF(AND($B94="Đột xuất",ROUND((N($AC94)-$AB94)*100,0)&gt;=20),"Chậm tiến độ",IF($AP94=NgayBC,"Đến hạn hôm nay",IF($B94="Đột xuất",IF($AW94-TDBC&lt;=1,"Sắp đến hạn","Đúng tiến độ"),IF($AP94-NgayBC&lt;=3,"Sắp đến hạn","Theo lịch"))))))))</f>
      </c>
      <c r="AE94" s="223">
        <f>IF($AV94="","",IF($B94="Định kỳ","Bình quân "&amp;IF($AV94&lt;1,MAX(1,ROUND($AV94*60,0))&amp;" phút",IF(ROUND($AV94,0)&lt;24,ROUND($AV94,0)&amp;" giờ",INT(ROUND($AV94,0)/24)&amp;" ngày"&amp;IF(MOD(ROUND($AV94,0),24)&gt;0," "&amp;MOD(ROUND($AV94,0),24)&amp;" giờ","")))&amp;" mỗi kỳ",IF($AV94&lt;1,MAX(1,ROUND($AV94*60,0))&amp;" phút",IF(ROUND($AV94,0)&lt;24,ROUND($AV94,0)&amp;" giờ",INT(ROUND($AV94,0)/24)&amp;" ngày"&amp;IF(MOD(ROUND($AV94,0),24)&gt;0," "&amp;MOD(ROUND($AV94,0),24)&amp;" giờ","")))))</f>
      </c>
      <c r="AF94" s="223">
        <f>IF(OR($A94="",N($AU94)=0),"",IF($AV94&lt;&gt;"",IF($AV94&lt;=$AU94,"Trong ước tính","Vượt "&amp;IF(($AV94-$AU94)&lt;1,MAX(1,ROUND(($AV94-$AU94)*60,0))&amp;" phút",IF(ROUND(($AV94-$AU94),0)&lt;24,ROUND(($AV94-$AU94),0)&amp;" giờ",INT(ROUND(($AV94-$AU94),0)/24)&amp;" ngày"&amp;IF(MOD(ROUND(($AV94-$AU94),0),24)&gt;0," "&amp;MOD(ROUND(($AV94-$AU94),0),24)&amp;" giờ","")))),IF(OR($B94&lt;&gt;"Đột xuất",$AA94="Hoàn thành",N($J94)=0),"",IF((TDBC-$J94)*24&gt;$AU94,"Đã vượt ước tính","Đã dùng "&amp;TEXT((TDBC-$J94)*24/$AU94,"0%")))))</f>
      </c>
      <c r="AG94" s="223">
        <f>IF(N($BB94)=0,"",CHOOSE($BB94,"Nhắc nhở","Cảnh báo","Báo động","Báo động đỏ"))</f>
      </c>
      <c r="AH94" s="223">
        <f>IF(OR($B94&lt;&gt;"Đột xuất",$AA94&lt;&gt;"Hoàn thành",N($X94)=0,$AW94=0),"",IF($X94&lt;=$AW94,"Đúng hạn","Trễ hạn"))</f>
      </c>
      <c r="AI94" s="220">
        <f>IF($A94="","",_xlfn.MAXIFS('Nhật ký tiến độ'!$B$6:$B$3005,'Nhật ký tiến độ'!$C$6:$C$3005,$A94))</f>
      </c>
      <c r="AJ94" s="225">
        <f>IF(OR($A94="",$B94&lt;&gt;"Định kỳ"),0,IFERROR(INDEX(DM_TanSuatNgay,MATCH($H94,DM_TanSuat,0)),0))</f>
      </c>
      <c r="AK94" s="225">
        <f>IF(OR($A94="",$B94&lt;&gt;"Định kỳ"),0,IFERROR(INDEX(DM_TanSuatThang,MATCH($H94,DM_TanSuat,0)),0))</f>
      </c>
      <c r="AL94" s="225">
        <f>IF(OR($A94="",$B94&lt;&gt;"Định kỳ",N($X94)=0,N($I94)=0),"",IF(INT($X94)&lt;$I94,0,IF($AJ94&gt;0,ROUND((INT($X94)-$I94)/$AJ94,0),IF($AK94&gt;0,ROUND((DATEDIF($I94,INT($X94),"m")+(INT($X94)-EDATE($I94,DATEDIF($I94,INT($X94),"m")))/(EDATE($I94,DATEDIF($I94,INT($X94),"m")+1)-EDATE($I94,DATEDIF($I94,INT($X94),"m"))))/$AK94,0),0))))</f>
      </c>
      <c r="AM94" s="225">
        <f>IF($A94="","",IF(COUNTIF('Nhật ký tiến độ'!$C$6:$C$3005,$A94)=0,0,_xlfn.MAXIFS('Nhật ký tiến độ'!$N$6:$N$3005,'Nhật ký tiến độ'!$C$6:$C$3005,$A94,'Nhật ký tiến độ'!$B$6:$B$3005,_xlfn.MAXIFS('Nhật ký tiến độ'!$B$6:$B$3005,'Nhật ký tiến độ'!$C$6:$C$3005,$A94))))</f>
      </c>
      <c r="AN94" s="225">
        <f>IF($A94="","",IF(N($AM94)=0,"",INDEX('Nhật ký tiến độ'!$E:$E,$AM94)))</f>
      </c>
      <c r="AO94" s="225">
        <f>IF($A94="",0,IF($AA94="Hoàn thành",0,1))</f>
      </c>
      <c r="AP94" s="225">
        <f>IF($AO94=0,0,INT(N($AW94)))</f>
      </c>
      <c r="AQ94" s="225">
        <f>IF(AND($AO94=1,$AJ94&gt;1),$AJ94,0)</f>
      </c>
      <c r="AR94" s="225">
        <f>IF(AND($AO94=1,$AJ94=1),1,0)</f>
      </c>
      <c r="AS94" s="225">
        <f>IF(OR($AO94=0,AND($AR94=1,N($BB94)=0)),"",IF(N($BB94)&gt;0,5-$BB94,IF($AD94="Chậm tiến độ",6,IF($AD94="Đến hạn hôm nay",7,IF(AND($AP94&gt;0,$AP94-NgayBC&lt;=7),8,"")))))</f>
      </c>
      <c r="AT94" s="225">
        <f>IF($AS94="","",$AS94*100000+$AP94+ROW()/100000)</f>
      </c>
      <c r="AU94" s="224">
        <f>IF(OR($A94="",N($R94)&lt;=0),"",IF($S94="Ngày",$R94*24,$R94))</f>
      </c>
      <c r="AV94" s="224">
        <f>IF($A94="","",IF($B94="Đột xuất",IF(OR($AA94&lt;&gt;"Hoàn thành",N($X94)=0,N($J94)=0),"",IF($X94&lt;$J94,"",($X94-$J94)*24)),IFERROR(AVERAGEIFS('Nhật ký tiến độ'!$H$6:$H$3005,'Nhật ký tiến độ'!$C$6:$C$3005,$A94,'Nhật ký tiến độ'!$H$6:$H$3005,"&gt;0"),"")))</f>
      </c>
      <c r="AW94" s="233">
        <f>IF($A94="",0,IF($B94="Đột xuất",$AY94,IF($AX94=0,0,$AX94+1-1/1440)))</f>
      </c>
      <c r="AX94" s="234">
        <f>IF(OR($A94="",$B94&lt;&gt;"Định kỳ",N($I94)=0),0,IF($AL94="",$I94,IF($AJ94&gt;0,$I94+($AL94+1)*$AJ94,IF($AK94&gt;0,EDATE($I94,($AL94+1)*$AK94),$I94))))</f>
      </c>
      <c r="AY94" s="233">
        <f>IF(OR($A94="",$B94&lt;&gt;"Đột xuất"),0,IF(N($K94)&gt;0,IF(MOD($K94,1)=0,$K94+1-1/1440,$K94),IF(N($J94)=0,0,$J94+IF(N($AU94)&gt;0,$AU94,IFERROR(INDEX(DM_SLA_Gio,MATCH($L94,DM_SLA_Cap,0)),168))/24)))</f>
      </c>
      <c r="AZ94" s="225">
        <f>IF(OR($A94="",TRIM($N94)="",COUNTIF('Phản ánh'!$K$6:$K$505,$N94)&gt;0,COUNTIF($N$6:$N94,$N94)&gt;1),0,1)</f>
      </c>
      <c r="BA94" s="225">
        <f>IF($AZ94=1,SUM($AZ$6:$AZ94),"")</f>
      </c>
      <c r="BB94" s="225">
        <f>IF(OR($AO94=0,N($AW94)=0),0,IF(TDBC&lt;=$AW94,0,MAX(1,MIN(4,IF((TDBC-$AW94)*24&lt;24,1,IF((TDBC-$AW94)*24&lt;72,2,IF((TDBC-$AW94)*24&lt;168,3,4)))+IF($B94="Đột xuất",IFERROR(INDEX({2,1,0,-1},MATCH($L94,{"Khẩn cấp","Cao","Trung bình","Thấp"},0)),0),IF($D94="PCCC và an ninh",1,0))))))</f>
      </c>
    </row>
    <row r="95">
      <c r="A95" s="216"/>
      <c r="B95" s="216"/>
      <c r="C95" s="218"/>
      <c r="D95" s="218"/>
      <c r="E95" s="218"/>
      <c r="F95" s="216"/>
      <c r="G95" s="218"/>
      <c r="H95" s="218"/>
      <c r="I95" s="231"/>
      <c r="J95" s="217"/>
      <c r="K95" s="217"/>
      <c r="L95" s="216"/>
      <c r="M95" s="216"/>
      <c r="N95" s="218"/>
      <c r="O95" s="218"/>
      <c r="P95" s="218"/>
      <c r="Q95" s="218"/>
      <c r="R95" s="219"/>
      <c r="S95" s="216"/>
      <c r="T95" s="232"/>
      <c r="U95" s="232"/>
      <c r="V95" s="218"/>
      <c r="W95" s="218"/>
      <c r="X95" s="220">
        <f>IF($A95="","",IF(OR($B95="Định kỳ",$AA95="Hoàn thành"),MAX(_xlfn.MAXIFS('Nhật ký tiến độ'!$B$6:$B$3005,'Nhật ký tiến độ'!$C$6:$C$3005,$A95,'Nhật ký tiến độ'!$E$6:$E$3005,"Hoàn thành kỳ"),_xlfn.MAXIFS('Nhật ký tiến độ'!$B$6:$B$3005,'Nhật ký tiến độ'!$C$6:$C$3005,$A95,'Nhật ký tiến độ'!$E$6:$E$3005,"Hoàn thành")),0))</f>
      </c>
      <c r="Y95" s="220">
        <f>IF($A95="","",IF($B95="Đột xuất",IF($AY95=0,"",$AY95),IF($AX95=0,"",$AX95)))</f>
      </c>
      <c r="Z95" s="223">
        <f>IF(OR($AO95=0,$AW95=0),"",IF(TDBC&gt;$AW95,"Quá "&amp;IF($B95="Định kỳ",(NgayBC-$AP95)&amp;" ngày",IF(((TDBC-$AW95)*24)&lt;1,MAX(1,ROUND(((TDBC-$AW95)*24)*60,0))&amp;" phút",IF(ROUND(((TDBC-$AW95)*24),0)&lt;24,ROUND(((TDBC-$AW95)*24),0)&amp;" giờ",INT(ROUND(((TDBC-$AW95)*24),0)/24)&amp;" ngày"&amp;IF(MOD(ROUND(((TDBC-$AW95)*24),0),24)&gt;0," "&amp;MOD(ROUND(((TDBC-$AW95)*24),0),24)&amp;" giờ","")))),IF($B95="Định kỳ",IF($AP95=NgayBC,"Hôm nay","Còn "&amp;($AP95-NgayBC)&amp;" ngày"),"Còn "&amp;IF((($AW95-TDBC)*24)&lt;1,MAX(1,ROUND((($AW95-TDBC)*24)*60,0))&amp;" phút",IF(ROUND((($AW95-TDBC)*24),0)&lt;24,ROUND((($AW95-TDBC)*24),0)&amp;" giờ",INT(ROUND((($AW95-TDBC)*24),0)/24)&amp;" ngày"&amp;IF(MOD(ROUND((($AW95-TDBC)*24),0),24)&gt;0," "&amp;MOD(ROUND((($AW95-TDBC)*24),0),24)&amp;" giờ",""))))))</f>
      </c>
      <c r="AA95" s="221">
        <f>IF($A95="","",IF(N($AM95)=0,"Chưa bắt đầu",IF(OR($AN95="Hoàn thành kỳ",$AN95="Hoàn thành"),IF($B95="Định kỳ","Chưa bắt đầu","Hoàn thành"),$AN95)))</f>
      </c>
      <c r="AB95" s="222">
        <f>IF($A95="","",IF($AA95="Hoàn thành",1,IF(OR(N($AM95)=0,$AN95="Hoàn thành kỳ",$AN95="Hoàn thành"),0,N(INDEX('Nhật ký tiến độ'!$D:$D,$AM95)))))</f>
      </c>
      <c r="AC95" s="222">
        <f>IF(OR($A95="",$B95&lt;&gt;"Đột xuất",$AA95="Hoàn thành",N($J95)=0,$AW95=0),"",IF(TDBC&lt;=$J95,0,IF(TDBC&gt;=$AW95,1,(TDBC-$J95)/($AW95-$J95))))</f>
      </c>
      <c r="AD95" s="223">
        <f>IF($A95="","",IF($AA95="Hoàn thành","Hoàn thành",IF($AW95=0,"Chưa đặt hạn",IF(TDBC&gt;$AW95,"Quá hạn",IF(AND($B95="Đột xuất",ROUND((N($AC95)-$AB95)*100,0)&gt;=20),"Chậm tiến độ",IF($AP95=NgayBC,"Đến hạn hôm nay",IF($B95="Đột xuất",IF($AW95-TDBC&lt;=1,"Sắp đến hạn","Đúng tiến độ"),IF($AP95-NgayBC&lt;=3,"Sắp đến hạn","Theo lịch"))))))))</f>
      </c>
      <c r="AE95" s="223">
        <f>IF($AV95="","",IF($B95="Định kỳ","Bình quân "&amp;IF($AV95&lt;1,MAX(1,ROUND($AV95*60,0))&amp;" phút",IF(ROUND($AV95,0)&lt;24,ROUND($AV95,0)&amp;" giờ",INT(ROUND($AV95,0)/24)&amp;" ngày"&amp;IF(MOD(ROUND($AV95,0),24)&gt;0," "&amp;MOD(ROUND($AV95,0),24)&amp;" giờ","")))&amp;" mỗi kỳ",IF($AV95&lt;1,MAX(1,ROUND($AV95*60,0))&amp;" phút",IF(ROUND($AV95,0)&lt;24,ROUND($AV95,0)&amp;" giờ",INT(ROUND($AV95,0)/24)&amp;" ngày"&amp;IF(MOD(ROUND($AV95,0),24)&gt;0," "&amp;MOD(ROUND($AV95,0),24)&amp;" giờ","")))))</f>
      </c>
      <c r="AF95" s="223">
        <f>IF(OR($A95="",N($AU95)=0),"",IF($AV95&lt;&gt;"",IF($AV95&lt;=$AU95,"Trong ước tính","Vượt "&amp;IF(($AV95-$AU95)&lt;1,MAX(1,ROUND(($AV95-$AU95)*60,0))&amp;" phút",IF(ROUND(($AV95-$AU95),0)&lt;24,ROUND(($AV95-$AU95),0)&amp;" giờ",INT(ROUND(($AV95-$AU95),0)/24)&amp;" ngày"&amp;IF(MOD(ROUND(($AV95-$AU95),0),24)&gt;0," "&amp;MOD(ROUND(($AV95-$AU95),0),24)&amp;" giờ","")))),IF(OR($B95&lt;&gt;"Đột xuất",$AA95="Hoàn thành",N($J95)=0),"",IF((TDBC-$J95)*24&gt;$AU95,"Đã vượt ước tính","Đã dùng "&amp;TEXT((TDBC-$J95)*24/$AU95,"0%")))))</f>
      </c>
      <c r="AG95" s="223">
        <f>IF(N($BB95)=0,"",CHOOSE($BB95,"Nhắc nhở","Cảnh báo","Báo động","Báo động đỏ"))</f>
      </c>
      <c r="AH95" s="223">
        <f>IF(OR($B95&lt;&gt;"Đột xuất",$AA95&lt;&gt;"Hoàn thành",N($X95)=0,$AW95=0),"",IF($X95&lt;=$AW95,"Đúng hạn","Trễ hạn"))</f>
      </c>
      <c r="AI95" s="220">
        <f>IF($A95="","",_xlfn.MAXIFS('Nhật ký tiến độ'!$B$6:$B$3005,'Nhật ký tiến độ'!$C$6:$C$3005,$A95))</f>
      </c>
      <c r="AJ95" s="225">
        <f>IF(OR($A95="",$B95&lt;&gt;"Định kỳ"),0,IFERROR(INDEX(DM_TanSuatNgay,MATCH($H95,DM_TanSuat,0)),0))</f>
      </c>
      <c r="AK95" s="225">
        <f>IF(OR($A95="",$B95&lt;&gt;"Định kỳ"),0,IFERROR(INDEX(DM_TanSuatThang,MATCH($H95,DM_TanSuat,0)),0))</f>
      </c>
      <c r="AL95" s="225">
        <f>IF(OR($A95="",$B95&lt;&gt;"Định kỳ",N($X95)=0,N($I95)=0),"",IF(INT($X95)&lt;$I95,0,IF($AJ95&gt;0,ROUND((INT($X95)-$I95)/$AJ95,0),IF($AK95&gt;0,ROUND((DATEDIF($I95,INT($X95),"m")+(INT($X95)-EDATE($I95,DATEDIF($I95,INT($X95),"m")))/(EDATE($I95,DATEDIF($I95,INT($X95),"m")+1)-EDATE($I95,DATEDIF($I95,INT($X95),"m"))))/$AK95,0),0))))</f>
      </c>
      <c r="AM95" s="225">
        <f>IF($A95="","",IF(COUNTIF('Nhật ký tiến độ'!$C$6:$C$3005,$A95)=0,0,_xlfn.MAXIFS('Nhật ký tiến độ'!$N$6:$N$3005,'Nhật ký tiến độ'!$C$6:$C$3005,$A95,'Nhật ký tiến độ'!$B$6:$B$3005,_xlfn.MAXIFS('Nhật ký tiến độ'!$B$6:$B$3005,'Nhật ký tiến độ'!$C$6:$C$3005,$A95))))</f>
      </c>
      <c r="AN95" s="225">
        <f>IF($A95="","",IF(N($AM95)=0,"",INDEX('Nhật ký tiến độ'!$E:$E,$AM95)))</f>
      </c>
      <c r="AO95" s="225">
        <f>IF($A95="",0,IF($AA95="Hoàn thành",0,1))</f>
      </c>
      <c r="AP95" s="225">
        <f>IF($AO95=0,0,INT(N($AW95)))</f>
      </c>
      <c r="AQ95" s="225">
        <f>IF(AND($AO95=1,$AJ95&gt;1),$AJ95,0)</f>
      </c>
      <c r="AR95" s="225">
        <f>IF(AND($AO95=1,$AJ95=1),1,0)</f>
      </c>
      <c r="AS95" s="225">
        <f>IF(OR($AO95=0,AND($AR95=1,N($BB95)=0)),"",IF(N($BB95)&gt;0,5-$BB95,IF($AD95="Chậm tiến độ",6,IF($AD95="Đến hạn hôm nay",7,IF(AND($AP95&gt;0,$AP95-NgayBC&lt;=7),8,"")))))</f>
      </c>
      <c r="AT95" s="225">
        <f>IF($AS95="","",$AS95*100000+$AP95+ROW()/100000)</f>
      </c>
      <c r="AU95" s="224">
        <f>IF(OR($A95="",N($R95)&lt;=0),"",IF($S95="Ngày",$R95*24,$R95))</f>
      </c>
      <c r="AV95" s="224">
        <f>IF($A95="","",IF($B95="Đột xuất",IF(OR($AA95&lt;&gt;"Hoàn thành",N($X95)=0,N($J95)=0),"",IF($X95&lt;$J95,"",($X95-$J95)*24)),IFERROR(AVERAGEIFS('Nhật ký tiến độ'!$H$6:$H$3005,'Nhật ký tiến độ'!$C$6:$C$3005,$A95,'Nhật ký tiến độ'!$H$6:$H$3005,"&gt;0"),"")))</f>
      </c>
      <c r="AW95" s="233">
        <f>IF($A95="",0,IF($B95="Đột xuất",$AY95,IF($AX95=0,0,$AX95+1-1/1440)))</f>
      </c>
      <c r="AX95" s="234">
        <f>IF(OR($A95="",$B95&lt;&gt;"Định kỳ",N($I95)=0),0,IF($AL95="",$I95,IF($AJ95&gt;0,$I95+($AL95+1)*$AJ95,IF($AK95&gt;0,EDATE($I95,($AL95+1)*$AK95),$I95))))</f>
      </c>
      <c r="AY95" s="233">
        <f>IF(OR($A95="",$B95&lt;&gt;"Đột xuất"),0,IF(N($K95)&gt;0,IF(MOD($K95,1)=0,$K95+1-1/1440,$K95),IF(N($J95)=0,0,$J95+IF(N($AU95)&gt;0,$AU95,IFERROR(INDEX(DM_SLA_Gio,MATCH($L95,DM_SLA_Cap,0)),168))/24)))</f>
      </c>
      <c r="AZ95" s="225">
        <f>IF(OR($A95="",TRIM($N95)="",COUNTIF('Phản ánh'!$K$6:$K$505,$N95)&gt;0,COUNTIF($N$6:$N95,$N95)&gt;1),0,1)</f>
      </c>
      <c r="BA95" s="225">
        <f>IF($AZ95=1,SUM($AZ$6:$AZ95),"")</f>
      </c>
      <c r="BB95" s="225">
        <f>IF(OR($AO95=0,N($AW95)=0),0,IF(TDBC&lt;=$AW95,0,MAX(1,MIN(4,IF((TDBC-$AW95)*24&lt;24,1,IF((TDBC-$AW95)*24&lt;72,2,IF((TDBC-$AW95)*24&lt;168,3,4)))+IF($B95="Đột xuất",IFERROR(INDEX({2,1,0,-1},MATCH($L95,{"Khẩn cấp","Cao","Trung bình","Thấp"},0)),0),IF($D95="PCCC và an ninh",1,0))))))</f>
      </c>
    </row>
    <row r="96">
      <c r="A96" s="216"/>
      <c r="B96" s="216"/>
      <c r="C96" s="218"/>
      <c r="D96" s="218"/>
      <c r="E96" s="218"/>
      <c r="F96" s="216"/>
      <c r="G96" s="218"/>
      <c r="H96" s="218"/>
      <c r="I96" s="231"/>
      <c r="J96" s="217"/>
      <c r="K96" s="217"/>
      <c r="L96" s="216"/>
      <c r="M96" s="216"/>
      <c r="N96" s="218"/>
      <c r="O96" s="218"/>
      <c r="P96" s="218"/>
      <c r="Q96" s="218"/>
      <c r="R96" s="219"/>
      <c r="S96" s="216"/>
      <c r="T96" s="232"/>
      <c r="U96" s="232"/>
      <c r="V96" s="218"/>
      <c r="W96" s="218"/>
      <c r="X96" s="220">
        <f>IF($A96="","",IF(OR($B96="Định kỳ",$AA96="Hoàn thành"),MAX(_xlfn.MAXIFS('Nhật ký tiến độ'!$B$6:$B$3005,'Nhật ký tiến độ'!$C$6:$C$3005,$A96,'Nhật ký tiến độ'!$E$6:$E$3005,"Hoàn thành kỳ"),_xlfn.MAXIFS('Nhật ký tiến độ'!$B$6:$B$3005,'Nhật ký tiến độ'!$C$6:$C$3005,$A96,'Nhật ký tiến độ'!$E$6:$E$3005,"Hoàn thành")),0))</f>
      </c>
      <c r="Y96" s="220">
        <f>IF($A96="","",IF($B96="Đột xuất",IF($AY96=0,"",$AY96),IF($AX96=0,"",$AX96)))</f>
      </c>
      <c r="Z96" s="223">
        <f>IF(OR($AO96=0,$AW96=0),"",IF(TDBC&gt;$AW96,"Quá "&amp;IF($B96="Định kỳ",(NgayBC-$AP96)&amp;" ngày",IF(((TDBC-$AW96)*24)&lt;1,MAX(1,ROUND(((TDBC-$AW96)*24)*60,0))&amp;" phút",IF(ROUND(((TDBC-$AW96)*24),0)&lt;24,ROUND(((TDBC-$AW96)*24),0)&amp;" giờ",INT(ROUND(((TDBC-$AW96)*24),0)/24)&amp;" ngày"&amp;IF(MOD(ROUND(((TDBC-$AW96)*24),0),24)&gt;0," "&amp;MOD(ROUND(((TDBC-$AW96)*24),0),24)&amp;" giờ","")))),IF($B96="Định kỳ",IF($AP96=NgayBC,"Hôm nay","Còn "&amp;($AP96-NgayBC)&amp;" ngày"),"Còn "&amp;IF((($AW96-TDBC)*24)&lt;1,MAX(1,ROUND((($AW96-TDBC)*24)*60,0))&amp;" phút",IF(ROUND((($AW96-TDBC)*24),0)&lt;24,ROUND((($AW96-TDBC)*24),0)&amp;" giờ",INT(ROUND((($AW96-TDBC)*24),0)/24)&amp;" ngày"&amp;IF(MOD(ROUND((($AW96-TDBC)*24),0),24)&gt;0," "&amp;MOD(ROUND((($AW96-TDBC)*24),0),24)&amp;" giờ",""))))))</f>
      </c>
      <c r="AA96" s="221">
        <f>IF($A96="","",IF(N($AM96)=0,"Chưa bắt đầu",IF(OR($AN96="Hoàn thành kỳ",$AN96="Hoàn thành"),IF($B96="Định kỳ","Chưa bắt đầu","Hoàn thành"),$AN96)))</f>
      </c>
      <c r="AB96" s="222">
        <f>IF($A96="","",IF($AA96="Hoàn thành",1,IF(OR(N($AM96)=0,$AN96="Hoàn thành kỳ",$AN96="Hoàn thành"),0,N(INDEX('Nhật ký tiến độ'!$D:$D,$AM96)))))</f>
      </c>
      <c r="AC96" s="222">
        <f>IF(OR($A96="",$B96&lt;&gt;"Đột xuất",$AA96="Hoàn thành",N($J96)=0,$AW96=0),"",IF(TDBC&lt;=$J96,0,IF(TDBC&gt;=$AW96,1,(TDBC-$J96)/($AW96-$J96))))</f>
      </c>
      <c r="AD96" s="223">
        <f>IF($A96="","",IF($AA96="Hoàn thành","Hoàn thành",IF($AW96=0,"Chưa đặt hạn",IF(TDBC&gt;$AW96,"Quá hạn",IF(AND($B96="Đột xuất",ROUND((N($AC96)-$AB96)*100,0)&gt;=20),"Chậm tiến độ",IF($AP96=NgayBC,"Đến hạn hôm nay",IF($B96="Đột xuất",IF($AW96-TDBC&lt;=1,"Sắp đến hạn","Đúng tiến độ"),IF($AP96-NgayBC&lt;=3,"Sắp đến hạn","Theo lịch"))))))))</f>
      </c>
      <c r="AE96" s="223">
        <f>IF($AV96="","",IF($B96="Định kỳ","Bình quân "&amp;IF($AV96&lt;1,MAX(1,ROUND($AV96*60,0))&amp;" phút",IF(ROUND($AV96,0)&lt;24,ROUND($AV96,0)&amp;" giờ",INT(ROUND($AV96,0)/24)&amp;" ngày"&amp;IF(MOD(ROUND($AV96,0),24)&gt;0," "&amp;MOD(ROUND($AV96,0),24)&amp;" giờ","")))&amp;" mỗi kỳ",IF($AV96&lt;1,MAX(1,ROUND($AV96*60,0))&amp;" phút",IF(ROUND($AV96,0)&lt;24,ROUND($AV96,0)&amp;" giờ",INT(ROUND($AV96,0)/24)&amp;" ngày"&amp;IF(MOD(ROUND($AV96,0),24)&gt;0," "&amp;MOD(ROUND($AV96,0),24)&amp;" giờ","")))))</f>
      </c>
      <c r="AF96" s="223">
        <f>IF(OR($A96="",N($AU96)=0),"",IF($AV96&lt;&gt;"",IF($AV96&lt;=$AU96,"Trong ước tính","Vượt "&amp;IF(($AV96-$AU96)&lt;1,MAX(1,ROUND(($AV96-$AU96)*60,0))&amp;" phút",IF(ROUND(($AV96-$AU96),0)&lt;24,ROUND(($AV96-$AU96),0)&amp;" giờ",INT(ROUND(($AV96-$AU96),0)/24)&amp;" ngày"&amp;IF(MOD(ROUND(($AV96-$AU96),0),24)&gt;0," "&amp;MOD(ROUND(($AV96-$AU96),0),24)&amp;" giờ","")))),IF(OR($B96&lt;&gt;"Đột xuất",$AA96="Hoàn thành",N($J96)=0),"",IF((TDBC-$J96)*24&gt;$AU96,"Đã vượt ước tính","Đã dùng "&amp;TEXT((TDBC-$J96)*24/$AU96,"0%")))))</f>
      </c>
      <c r="AG96" s="223">
        <f>IF(N($BB96)=0,"",CHOOSE($BB96,"Nhắc nhở","Cảnh báo","Báo động","Báo động đỏ"))</f>
      </c>
      <c r="AH96" s="223">
        <f>IF(OR($B96&lt;&gt;"Đột xuất",$AA96&lt;&gt;"Hoàn thành",N($X96)=0,$AW96=0),"",IF($X96&lt;=$AW96,"Đúng hạn","Trễ hạn"))</f>
      </c>
      <c r="AI96" s="220">
        <f>IF($A96="","",_xlfn.MAXIFS('Nhật ký tiến độ'!$B$6:$B$3005,'Nhật ký tiến độ'!$C$6:$C$3005,$A96))</f>
      </c>
      <c r="AJ96" s="225">
        <f>IF(OR($A96="",$B96&lt;&gt;"Định kỳ"),0,IFERROR(INDEX(DM_TanSuatNgay,MATCH($H96,DM_TanSuat,0)),0))</f>
      </c>
      <c r="AK96" s="225">
        <f>IF(OR($A96="",$B96&lt;&gt;"Định kỳ"),0,IFERROR(INDEX(DM_TanSuatThang,MATCH($H96,DM_TanSuat,0)),0))</f>
      </c>
      <c r="AL96" s="225">
        <f>IF(OR($A96="",$B96&lt;&gt;"Định kỳ",N($X96)=0,N($I96)=0),"",IF(INT($X96)&lt;$I96,0,IF($AJ96&gt;0,ROUND((INT($X96)-$I96)/$AJ96,0),IF($AK96&gt;0,ROUND((DATEDIF($I96,INT($X96),"m")+(INT($X96)-EDATE($I96,DATEDIF($I96,INT($X96),"m")))/(EDATE($I96,DATEDIF($I96,INT($X96),"m")+1)-EDATE($I96,DATEDIF($I96,INT($X96),"m"))))/$AK96,0),0))))</f>
      </c>
      <c r="AM96" s="225">
        <f>IF($A96="","",IF(COUNTIF('Nhật ký tiến độ'!$C$6:$C$3005,$A96)=0,0,_xlfn.MAXIFS('Nhật ký tiến độ'!$N$6:$N$3005,'Nhật ký tiến độ'!$C$6:$C$3005,$A96,'Nhật ký tiến độ'!$B$6:$B$3005,_xlfn.MAXIFS('Nhật ký tiến độ'!$B$6:$B$3005,'Nhật ký tiến độ'!$C$6:$C$3005,$A96))))</f>
      </c>
      <c r="AN96" s="225">
        <f>IF($A96="","",IF(N($AM96)=0,"",INDEX('Nhật ký tiến độ'!$E:$E,$AM96)))</f>
      </c>
      <c r="AO96" s="225">
        <f>IF($A96="",0,IF($AA96="Hoàn thành",0,1))</f>
      </c>
      <c r="AP96" s="225">
        <f>IF($AO96=0,0,INT(N($AW96)))</f>
      </c>
      <c r="AQ96" s="225">
        <f>IF(AND($AO96=1,$AJ96&gt;1),$AJ96,0)</f>
      </c>
      <c r="AR96" s="225">
        <f>IF(AND($AO96=1,$AJ96=1),1,0)</f>
      </c>
      <c r="AS96" s="225">
        <f>IF(OR($AO96=0,AND($AR96=1,N($BB96)=0)),"",IF(N($BB96)&gt;0,5-$BB96,IF($AD96="Chậm tiến độ",6,IF($AD96="Đến hạn hôm nay",7,IF(AND($AP96&gt;0,$AP96-NgayBC&lt;=7),8,"")))))</f>
      </c>
      <c r="AT96" s="225">
        <f>IF($AS96="","",$AS96*100000+$AP96+ROW()/100000)</f>
      </c>
      <c r="AU96" s="224">
        <f>IF(OR($A96="",N($R96)&lt;=0),"",IF($S96="Ngày",$R96*24,$R96))</f>
      </c>
      <c r="AV96" s="224">
        <f>IF($A96="","",IF($B96="Đột xuất",IF(OR($AA96&lt;&gt;"Hoàn thành",N($X96)=0,N($J96)=0),"",IF($X96&lt;$J96,"",($X96-$J96)*24)),IFERROR(AVERAGEIFS('Nhật ký tiến độ'!$H$6:$H$3005,'Nhật ký tiến độ'!$C$6:$C$3005,$A96,'Nhật ký tiến độ'!$H$6:$H$3005,"&gt;0"),"")))</f>
      </c>
      <c r="AW96" s="233">
        <f>IF($A96="",0,IF($B96="Đột xuất",$AY96,IF($AX96=0,0,$AX96+1-1/1440)))</f>
      </c>
      <c r="AX96" s="234">
        <f>IF(OR($A96="",$B96&lt;&gt;"Định kỳ",N($I96)=0),0,IF($AL96="",$I96,IF($AJ96&gt;0,$I96+($AL96+1)*$AJ96,IF($AK96&gt;0,EDATE($I96,($AL96+1)*$AK96),$I96))))</f>
      </c>
      <c r="AY96" s="233">
        <f>IF(OR($A96="",$B96&lt;&gt;"Đột xuất"),0,IF(N($K96)&gt;0,IF(MOD($K96,1)=0,$K96+1-1/1440,$K96),IF(N($J96)=0,0,$J96+IF(N($AU96)&gt;0,$AU96,IFERROR(INDEX(DM_SLA_Gio,MATCH($L96,DM_SLA_Cap,0)),168))/24)))</f>
      </c>
      <c r="AZ96" s="225">
        <f>IF(OR($A96="",TRIM($N96)="",COUNTIF('Phản ánh'!$K$6:$K$505,$N96)&gt;0,COUNTIF($N$6:$N96,$N96)&gt;1),0,1)</f>
      </c>
      <c r="BA96" s="225">
        <f>IF($AZ96=1,SUM($AZ$6:$AZ96),"")</f>
      </c>
      <c r="BB96" s="225">
        <f>IF(OR($AO96=0,N($AW96)=0),0,IF(TDBC&lt;=$AW96,0,MAX(1,MIN(4,IF((TDBC-$AW96)*24&lt;24,1,IF((TDBC-$AW96)*24&lt;72,2,IF((TDBC-$AW96)*24&lt;168,3,4)))+IF($B96="Đột xuất",IFERROR(INDEX({2,1,0,-1},MATCH($L96,{"Khẩn cấp","Cao","Trung bình","Thấp"},0)),0),IF($D96="PCCC và an ninh",1,0))))))</f>
      </c>
    </row>
    <row r="97">
      <c r="A97" s="216"/>
      <c r="B97" s="216"/>
      <c r="C97" s="218"/>
      <c r="D97" s="218"/>
      <c r="E97" s="218"/>
      <c r="F97" s="216"/>
      <c r="G97" s="218"/>
      <c r="H97" s="218"/>
      <c r="I97" s="231"/>
      <c r="J97" s="217"/>
      <c r="K97" s="217"/>
      <c r="L97" s="216"/>
      <c r="M97" s="216"/>
      <c r="N97" s="218"/>
      <c r="O97" s="218"/>
      <c r="P97" s="218"/>
      <c r="Q97" s="218"/>
      <c r="R97" s="219"/>
      <c r="S97" s="216"/>
      <c r="T97" s="232"/>
      <c r="U97" s="232"/>
      <c r="V97" s="218"/>
      <c r="W97" s="218"/>
      <c r="X97" s="220">
        <f>IF($A97="","",IF(OR($B97="Định kỳ",$AA97="Hoàn thành"),MAX(_xlfn.MAXIFS('Nhật ký tiến độ'!$B$6:$B$3005,'Nhật ký tiến độ'!$C$6:$C$3005,$A97,'Nhật ký tiến độ'!$E$6:$E$3005,"Hoàn thành kỳ"),_xlfn.MAXIFS('Nhật ký tiến độ'!$B$6:$B$3005,'Nhật ký tiến độ'!$C$6:$C$3005,$A97,'Nhật ký tiến độ'!$E$6:$E$3005,"Hoàn thành")),0))</f>
      </c>
      <c r="Y97" s="220">
        <f>IF($A97="","",IF($B97="Đột xuất",IF($AY97=0,"",$AY97),IF($AX97=0,"",$AX97)))</f>
      </c>
      <c r="Z97" s="223">
        <f>IF(OR($AO97=0,$AW97=0),"",IF(TDBC&gt;$AW97,"Quá "&amp;IF($B97="Định kỳ",(NgayBC-$AP97)&amp;" ngày",IF(((TDBC-$AW97)*24)&lt;1,MAX(1,ROUND(((TDBC-$AW97)*24)*60,0))&amp;" phút",IF(ROUND(((TDBC-$AW97)*24),0)&lt;24,ROUND(((TDBC-$AW97)*24),0)&amp;" giờ",INT(ROUND(((TDBC-$AW97)*24),0)/24)&amp;" ngày"&amp;IF(MOD(ROUND(((TDBC-$AW97)*24),0),24)&gt;0," "&amp;MOD(ROUND(((TDBC-$AW97)*24),0),24)&amp;" giờ","")))),IF($B97="Định kỳ",IF($AP97=NgayBC,"Hôm nay","Còn "&amp;($AP97-NgayBC)&amp;" ngày"),"Còn "&amp;IF((($AW97-TDBC)*24)&lt;1,MAX(1,ROUND((($AW97-TDBC)*24)*60,0))&amp;" phút",IF(ROUND((($AW97-TDBC)*24),0)&lt;24,ROUND((($AW97-TDBC)*24),0)&amp;" giờ",INT(ROUND((($AW97-TDBC)*24),0)/24)&amp;" ngày"&amp;IF(MOD(ROUND((($AW97-TDBC)*24),0),24)&gt;0," "&amp;MOD(ROUND((($AW97-TDBC)*24),0),24)&amp;" giờ",""))))))</f>
      </c>
      <c r="AA97" s="221">
        <f>IF($A97="","",IF(N($AM97)=0,"Chưa bắt đầu",IF(OR($AN97="Hoàn thành kỳ",$AN97="Hoàn thành"),IF($B97="Định kỳ","Chưa bắt đầu","Hoàn thành"),$AN97)))</f>
      </c>
      <c r="AB97" s="222">
        <f>IF($A97="","",IF($AA97="Hoàn thành",1,IF(OR(N($AM97)=0,$AN97="Hoàn thành kỳ",$AN97="Hoàn thành"),0,N(INDEX('Nhật ký tiến độ'!$D:$D,$AM97)))))</f>
      </c>
      <c r="AC97" s="222">
        <f>IF(OR($A97="",$B97&lt;&gt;"Đột xuất",$AA97="Hoàn thành",N($J97)=0,$AW97=0),"",IF(TDBC&lt;=$J97,0,IF(TDBC&gt;=$AW97,1,(TDBC-$J97)/($AW97-$J97))))</f>
      </c>
      <c r="AD97" s="223">
        <f>IF($A97="","",IF($AA97="Hoàn thành","Hoàn thành",IF($AW97=0,"Chưa đặt hạn",IF(TDBC&gt;$AW97,"Quá hạn",IF(AND($B97="Đột xuất",ROUND((N($AC97)-$AB97)*100,0)&gt;=20),"Chậm tiến độ",IF($AP97=NgayBC,"Đến hạn hôm nay",IF($B97="Đột xuất",IF($AW97-TDBC&lt;=1,"Sắp đến hạn","Đúng tiến độ"),IF($AP97-NgayBC&lt;=3,"Sắp đến hạn","Theo lịch"))))))))</f>
      </c>
      <c r="AE97" s="223">
        <f>IF($AV97="","",IF($B97="Định kỳ","Bình quân "&amp;IF($AV97&lt;1,MAX(1,ROUND($AV97*60,0))&amp;" phút",IF(ROUND($AV97,0)&lt;24,ROUND($AV97,0)&amp;" giờ",INT(ROUND($AV97,0)/24)&amp;" ngày"&amp;IF(MOD(ROUND($AV97,0),24)&gt;0," "&amp;MOD(ROUND($AV97,0),24)&amp;" giờ","")))&amp;" mỗi kỳ",IF($AV97&lt;1,MAX(1,ROUND($AV97*60,0))&amp;" phút",IF(ROUND($AV97,0)&lt;24,ROUND($AV97,0)&amp;" giờ",INT(ROUND($AV97,0)/24)&amp;" ngày"&amp;IF(MOD(ROUND($AV97,0),24)&gt;0," "&amp;MOD(ROUND($AV97,0),24)&amp;" giờ","")))))</f>
      </c>
      <c r="AF97" s="223">
        <f>IF(OR($A97="",N($AU97)=0),"",IF($AV97&lt;&gt;"",IF($AV97&lt;=$AU97,"Trong ước tính","Vượt "&amp;IF(($AV97-$AU97)&lt;1,MAX(1,ROUND(($AV97-$AU97)*60,0))&amp;" phút",IF(ROUND(($AV97-$AU97),0)&lt;24,ROUND(($AV97-$AU97),0)&amp;" giờ",INT(ROUND(($AV97-$AU97),0)/24)&amp;" ngày"&amp;IF(MOD(ROUND(($AV97-$AU97),0),24)&gt;0," "&amp;MOD(ROUND(($AV97-$AU97),0),24)&amp;" giờ","")))),IF(OR($B97&lt;&gt;"Đột xuất",$AA97="Hoàn thành",N($J97)=0),"",IF((TDBC-$J97)*24&gt;$AU97,"Đã vượt ước tính","Đã dùng "&amp;TEXT((TDBC-$J97)*24/$AU97,"0%")))))</f>
      </c>
      <c r="AG97" s="223">
        <f>IF(N($BB97)=0,"",CHOOSE($BB97,"Nhắc nhở","Cảnh báo","Báo động","Báo động đỏ"))</f>
      </c>
      <c r="AH97" s="223">
        <f>IF(OR($B97&lt;&gt;"Đột xuất",$AA97&lt;&gt;"Hoàn thành",N($X97)=0,$AW97=0),"",IF($X97&lt;=$AW97,"Đúng hạn","Trễ hạn"))</f>
      </c>
      <c r="AI97" s="220">
        <f>IF($A97="","",_xlfn.MAXIFS('Nhật ký tiến độ'!$B$6:$B$3005,'Nhật ký tiến độ'!$C$6:$C$3005,$A97))</f>
      </c>
      <c r="AJ97" s="225">
        <f>IF(OR($A97="",$B97&lt;&gt;"Định kỳ"),0,IFERROR(INDEX(DM_TanSuatNgay,MATCH($H97,DM_TanSuat,0)),0))</f>
      </c>
      <c r="AK97" s="225">
        <f>IF(OR($A97="",$B97&lt;&gt;"Định kỳ"),0,IFERROR(INDEX(DM_TanSuatThang,MATCH($H97,DM_TanSuat,0)),0))</f>
      </c>
      <c r="AL97" s="225">
        <f>IF(OR($A97="",$B97&lt;&gt;"Định kỳ",N($X97)=0,N($I97)=0),"",IF(INT($X97)&lt;$I97,0,IF($AJ97&gt;0,ROUND((INT($X97)-$I97)/$AJ97,0),IF($AK97&gt;0,ROUND((DATEDIF($I97,INT($X97),"m")+(INT($X97)-EDATE($I97,DATEDIF($I97,INT($X97),"m")))/(EDATE($I97,DATEDIF($I97,INT($X97),"m")+1)-EDATE($I97,DATEDIF($I97,INT($X97),"m"))))/$AK97,0),0))))</f>
      </c>
      <c r="AM97" s="225">
        <f>IF($A97="","",IF(COUNTIF('Nhật ký tiến độ'!$C$6:$C$3005,$A97)=0,0,_xlfn.MAXIFS('Nhật ký tiến độ'!$N$6:$N$3005,'Nhật ký tiến độ'!$C$6:$C$3005,$A97,'Nhật ký tiến độ'!$B$6:$B$3005,_xlfn.MAXIFS('Nhật ký tiến độ'!$B$6:$B$3005,'Nhật ký tiến độ'!$C$6:$C$3005,$A97))))</f>
      </c>
      <c r="AN97" s="225">
        <f>IF($A97="","",IF(N($AM97)=0,"",INDEX('Nhật ký tiến độ'!$E:$E,$AM97)))</f>
      </c>
      <c r="AO97" s="225">
        <f>IF($A97="",0,IF($AA97="Hoàn thành",0,1))</f>
      </c>
      <c r="AP97" s="225">
        <f>IF($AO97=0,0,INT(N($AW97)))</f>
      </c>
      <c r="AQ97" s="225">
        <f>IF(AND($AO97=1,$AJ97&gt;1),$AJ97,0)</f>
      </c>
      <c r="AR97" s="225">
        <f>IF(AND($AO97=1,$AJ97=1),1,0)</f>
      </c>
      <c r="AS97" s="225">
        <f>IF(OR($AO97=0,AND($AR97=1,N($BB97)=0)),"",IF(N($BB97)&gt;0,5-$BB97,IF($AD97="Chậm tiến độ",6,IF($AD97="Đến hạn hôm nay",7,IF(AND($AP97&gt;0,$AP97-NgayBC&lt;=7),8,"")))))</f>
      </c>
      <c r="AT97" s="225">
        <f>IF($AS97="","",$AS97*100000+$AP97+ROW()/100000)</f>
      </c>
      <c r="AU97" s="224">
        <f>IF(OR($A97="",N($R97)&lt;=0),"",IF($S97="Ngày",$R97*24,$R97))</f>
      </c>
      <c r="AV97" s="224">
        <f>IF($A97="","",IF($B97="Đột xuất",IF(OR($AA97&lt;&gt;"Hoàn thành",N($X97)=0,N($J97)=0),"",IF($X97&lt;$J97,"",($X97-$J97)*24)),IFERROR(AVERAGEIFS('Nhật ký tiến độ'!$H$6:$H$3005,'Nhật ký tiến độ'!$C$6:$C$3005,$A97,'Nhật ký tiến độ'!$H$6:$H$3005,"&gt;0"),"")))</f>
      </c>
      <c r="AW97" s="233">
        <f>IF($A97="",0,IF($B97="Đột xuất",$AY97,IF($AX97=0,0,$AX97+1-1/1440)))</f>
      </c>
      <c r="AX97" s="234">
        <f>IF(OR($A97="",$B97&lt;&gt;"Định kỳ",N($I97)=0),0,IF($AL97="",$I97,IF($AJ97&gt;0,$I97+($AL97+1)*$AJ97,IF($AK97&gt;0,EDATE($I97,($AL97+1)*$AK97),$I97))))</f>
      </c>
      <c r="AY97" s="233">
        <f>IF(OR($A97="",$B97&lt;&gt;"Đột xuất"),0,IF(N($K97)&gt;0,IF(MOD($K97,1)=0,$K97+1-1/1440,$K97),IF(N($J97)=0,0,$J97+IF(N($AU97)&gt;0,$AU97,IFERROR(INDEX(DM_SLA_Gio,MATCH($L97,DM_SLA_Cap,0)),168))/24)))</f>
      </c>
      <c r="AZ97" s="225">
        <f>IF(OR($A97="",TRIM($N97)="",COUNTIF('Phản ánh'!$K$6:$K$505,$N97)&gt;0,COUNTIF($N$6:$N97,$N97)&gt;1),0,1)</f>
      </c>
      <c r="BA97" s="225">
        <f>IF($AZ97=1,SUM($AZ$6:$AZ97),"")</f>
      </c>
      <c r="BB97" s="225">
        <f>IF(OR($AO97=0,N($AW97)=0),0,IF(TDBC&lt;=$AW97,0,MAX(1,MIN(4,IF((TDBC-$AW97)*24&lt;24,1,IF((TDBC-$AW97)*24&lt;72,2,IF((TDBC-$AW97)*24&lt;168,3,4)))+IF($B97="Đột xuất",IFERROR(INDEX({2,1,0,-1},MATCH($L97,{"Khẩn cấp","Cao","Trung bình","Thấp"},0)),0),IF($D97="PCCC và an ninh",1,0))))))</f>
      </c>
    </row>
    <row r="98">
      <c r="A98" s="216"/>
      <c r="B98" s="216"/>
      <c r="C98" s="218"/>
      <c r="D98" s="218"/>
      <c r="E98" s="218"/>
      <c r="F98" s="216"/>
      <c r="G98" s="218"/>
      <c r="H98" s="218"/>
      <c r="I98" s="231"/>
      <c r="J98" s="217"/>
      <c r="K98" s="217"/>
      <c r="L98" s="216"/>
      <c r="M98" s="216"/>
      <c r="N98" s="218"/>
      <c r="O98" s="218"/>
      <c r="P98" s="218"/>
      <c r="Q98" s="218"/>
      <c r="R98" s="219"/>
      <c r="S98" s="216"/>
      <c r="T98" s="232"/>
      <c r="U98" s="232"/>
      <c r="V98" s="218"/>
      <c r="W98" s="218"/>
      <c r="X98" s="220">
        <f>IF($A98="","",IF(OR($B98="Định kỳ",$AA98="Hoàn thành"),MAX(_xlfn.MAXIFS('Nhật ký tiến độ'!$B$6:$B$3005,'Nhật ký tiến độ'!$C$6:$C$3005,$A98,'Nhật ký tiến độ'!$E$6:$E$3005,"Hoàn thành kỳ"),_xlfn.MAXIFS('Nhật ký tiến độ'!$B$6:$B$3005,'Nhật ký tiến độ'!$C$6:$C$3005,$A98,'Nhật ký tiến độ'!$E$6:$E$3005,"Hoàn thành")),0))</f>
      </c>
      <c r="Y98" s="220">
        <f>IF($A98="","",IF($B98="Đột xuất",IF($AY98=0,"",$AY98),IF($AX98=0,"",$AX98)))</f>
      </c>
      <c r="Z98" s="223">
        <f>IF(OR($AO98=0,$AW98=0),"",IF(TDBC&gt;$AW98,"Quá "&amp;IF($B98="Định kỳ",(NgayBC-$AP98)&amp;" ngày",IF(((TDBC-$AW98)*24)&lt;1,MAX(1,ROUND(((TDBC-$AW98)*24)*60,0))&amp;" phút",IF(ROUND(((TDBC-$AW98)*24),0)&lt;24,ROUND(((TDBC-$AW98)*24),0)&amp;" giờ",INT(ROUND(((TDBC-$AW98)*24),0)/24)&amp;" ngày"&amp;IF(MOD(ROUND(((TDBC-$AW98)*24),0),24)&gt;0," "&amp;MOD(ROUND(((TDBC-$AW98)*24),0),24)&amp;" giờ","")))),IF($B98="Định kỳ",IF($AP98=NgayBC,"Hôm nay","Còn "&amp;($AP98-NgayBC)&amp;" ngày"),"Còn "&amp;IF((($AW98-TDBC)*24)&lt;1,MAX(1,ROUND((($AW98-TDBC)*24)*60,0))&amp;" phút",IF(ROUND((($AW98-TDBC)*24),0)&lt;24,ROUND((($AW98-TDBC)*24),0)&amp;" giờ",INT(ROUND((($AW98-TDBC)*24),0)/24)&amp;" ngày"&amp;IF(MOD(ROUND((($AW98-TDBC)*24),0),24)&gt;0," "&amp;MOD(ROUND((($AW98-TDBC)*24),0),24)&amp;" giờ",""))))))</f>
      </c>
      <c r="AA98" s="221">
        <f>IF($A98="","",IF(N($AM98)=0,"Chưa bắt đầu",IF(OR($AN98="Hoàn thành kỳ",$AN98="Hoàn thành"),IF($B98="Định kỳ","Chưa bắt đầu","Hoàn thành"),$AN98)))</f>
      </c>
      <c r="AB98" s="222">
        <f>IF($A98="","",IF($AA98="Hoàn thành",1,IF(OR(N($AM98)=0,$AN98="Hoàn thành kỳ",$AN98="Hoàn thành"),0,N(INDEX('Nhật ký tiến độ'!$D:$D,$AM98)))))</f>
      </c>
      <c r="AC98" s="222">
        <f>IF(OR($A98="",$B98&lt;&gt;"Đột xuất",$AA98="Hoàn thành",N($J98)=0,$AW98=0),"",IF(TDBC&lt;=$J98,0,IF(TDBC&gt;=$AW98,1,(TDBC-$J98)/($AW98-$J98))))</f>
      </c>
      <c r="AD98" s="223">
        <f>IF($A98="","",IF($AA98="Hoàn thành","Hoàn thành",IF($AW98=0,"Chưa đặt hạn",IF(TDBC&gt;$AW98,"Quá hạn",IF(AND($B98="Đột xuất",ROUND((N($AC98)-$AB98)*100,0)&gt;=20),"Chậm tiến độ",IF($AP98=NgayBC,"Đến hạn hôm nay",IF($B98="Đột xuất",IF($AW98-TDBC&lt;=1,"Sắp đến hạn","Đúng tiến độ"),IF($AP98-NgayBC&lt;=3,"Sắp đến hạn","Theo lịch"))))))))</f>
      </c>
      <c r="AE98" s="223">
        <f>IF($AV98="","",IF($B98="Định kỳ","Bình quân "&amp;IF($AV98&lt;1,MAX(1,ROUND($AV98*60,0))&amp;" phút",IF(ROUND($AV98,0)&lt;24,ROUND($AV98,0)&amp;" giờ",INT(ROUND($AV98,0)/24)&amp;" ngày"&amp;IF(MOD(ROUND($AV98,0),24)&gt;0," "&amp;MOD(ROUND($AV98,0),24)&amp;" giờ","")))&amp;" mỗi kỳ",IF($AV98&lt;1,MAX(1,ROUND($AV98*60,0))&amp;" phút",IF(ROUND($AV98,0)&lt;24,ROUND($AV98,0)&amp;" giờ",INT(ROUND($AV98,0)/24)&amp;" ngày"&amp;IF(MOD(ROUND($AV98,0),24)&gt;0," "&amp;MOD(ROUND($AV98,0),24)&amp;" giờ","")))))</f>
      </c>
      <c r="AF98" s="223">
        <f>IF(OR($A98="",N($AU98)=0),"",IF($AV98&lt;&gt;"",IF($AV98&lt;=$AU98,"Trong ước tính","Vượt "&amp;IF(($AV98-$AU98)&lt;1,MAX(1,ROUND(($AV98-$AU98)*60,0))&amp;" phút",IF(ROUND(($AV98-$AU98),0)&lt;24,ROUND(($AV98-$AU98),0)&amp;" giờ",INT(ROUND(($AV98-$AU98),0)/24)&amp;" ngày"&amp;IF(MOD(ROUND(($AV98-$AU98),0),24)&gt;0," "&amp;MOD(ROUND(($AV98-$AU98),0),24)&amp;" giờ","")))),IF(OR($B98&lt;&gt;"Đột xuất",$AA98="Hoàn thành",N($J98)=0),"",IF((TDBC-$J98)*24&gt;$AU98,"Đã vượt ước tính","Đã dùng "&amp;TEXT((TDBC-$J98)*24/$AU98,"0%")))))</f>
      </c>
      <c r="AG98" s="223">
        <f>IF(N($BB98)=0,"",CHOOSE($BB98,"Nhắc nhở","Cảnh báo","Báo động","Báo động đỏ"))</f>
      </c>
      <c r="AH98" s="223">
        <f>IF(OR($B98&lt;&gt;"Đột xuất",$AA98&lt;&gt;"Hoàn thành",N($X98)=0,$AW98=0),"",IF($X98&lt;=$AW98,"Đúng hạn","Trễ hạn"))</f>
      </c>
      <c r="AI98" s="220">
        <f>IF($A98="","",_xlfn.MAXIFS('Nhật ký tiến độ'!$B$6:$B$3005,'Nhật ký tiến độ'!$C$6:$C$3005,$A98))</f>
      </c>
      <c r="AJ98" s="225">
        <f>IF(OR($A98="",$B98&lt;&gt;"Định kỳ"),0,IFERROR(INDEX(DM_TanSuatNgay,MATCH($H98,DM_TanSuat,0)),0))</f>
      </c>
      <c r="AK98" s="225">
        <f>IF(OR($A98="",$B98&lt;&gt;"Định kỳ"),0,IFERROR(INDEX(DM_TanSuatThang,MATCH($H98,DM_TanSuat,0)),0))</f>
      </c>
      <c r="AL98" s="225">
        <f>IF(OR($A98="",$B98&lt;&gt;"Định kỳ",N($X98)=0,N($I98)=0),"",IF(INT($X98)&lt;$I98,0,IF($AJ98&gt;0,ROUND((INT($X98)-$I98)/$AJ98,0),IF($AK98&gt;0,ROUND((DATEDIF($I98,INT($X98),"m")+(INT($X98)-EDATE($I98,DATEDIF($I98,INT($X98),"m")))/(EDATE($I98,DATEDIF($I98,INT($X98),"m")+1)-EDATE($I98,DATEDIF($I98,INT($X98),"m"))))/$AK98,0),0))))</f>
      </c>
      <c r="AM98" s="225">
        <f>IF($A98="","",IF(COUNTIF('Nhật ký tiến độ'!$C$6:$C$3005,$A98)=0,0,_xlfn.MAXIFS('Nhật ký tiến độ'!$N$6:$N$3005,'Nhật ký tiến độ'!$C$6:$C$3005,$A98,'Nhật ký tiến độ'!$B$6:$B$3005,_xlfn.MAXIFS('Nhật ký tiến độ'!$B$6:$B$3005,'Nhật ký tiến độ'!$C$6:$C$3005,$A98))))</f>
      </c>
      <c r="AN98" s="225">
        <f>IF($A98="","",IF(N($AM98)=0,"",INDEX('Nhật ký tiến độ'!$E:$E,$AM98)))</f>
      </c>
      <c r="AO98" s="225">
        <f>IF($A98="",0,IF($AA98="Hoàn thành",0,1))</f>
      </c>
      <c r="AP98" s="225">
        <f>IF($AO98=0,0,INT(N($AW98)))</f>
      </c>
      <c r="AQ98" s="225">
        <f>IF(AND($AO98=1,$AJ98&gt;1),$AJ98,0)</f>
      </c>
      <c r="AR98" s="225">
        <f>IF(AND($AO98=1,$AJ98=1),1,0)</f>
      </c>
      <c r="AS98" s="225">
        <f>IF(OR($AO98=0,AND($AR98=1,N($BB98)=0)),"",IF(N($BB98)&gt;0,5-$BB98,IF($AD98="Chậm tiến độ",6,IF($AD98="Đến hạn hôm nay",7,IF(AND($AP98&gt;0,$AP98-NgayBC&lt;=7),8,"")))))</f>
      </c>
      <c r="AT98" s="225">
        <f>IF($AS98="","",$AS98*100000+$AP98+ROW()/100000)</f>
      </c>
      <c r="AU98" s="224">
        <f>IF(OR($A98="",N($R98)&lt;=0),"",IF($S98="Ngày",$R98*24,$R98))</f>
      </c>
      <c r="AV98" s="224">
        <f>IF($A98="","",IF($B98="Đột xuất",IF(OR($AA98&lt;&gt;"Hoàn thành",N($X98)=0,N($J98)=0),"",IF($X98&lt;$J98,"",($X98-$J98)*24)),IFERROR(AVERAGEIFS('Nhật ký tiến độ'!$H$6:$H$3005,'Nhật ký tiến độ'!$C$6:$C$3005,$A98,'Nhật ký tiến độ'!$H$6:$H$3005,"&gt;0"),"")))</f>
      </c>
      <c r="AW98" s="233">
        <f>IF($A98="",0,IF($B98="Đột xuất",$AY98,IF($AX98=0,0,$AX98+1-1/1440)))</f>
      </c>
      <c r="AX98" s="234">
        <f>IF(OR($A98="",$B98&lt;&gt;"Định kỳ",N($I98)=0),0,IF($AL98="",$I98,IF($AJ98&gt;0,$I98+($AL98+1)*$AJ98,IF($AK98&gt;0,EDATE($I98,($AL98+1)*$AK98),$I98))))</f>
      </c>
      <c r="AY98" s="233">
        <f>IF(OR($A98="",$B98&lt;&gt;"Đột xuất"),0,IF(N($K98)&gt;0,IF(MOD($K98,1)=0,$K98+1-1/1440,$K98),IF(N($J98)=0,0,$J98+IF(N($AU98)&gt;0,$AU98,IFERROR(INDEX(DM_SLA_Gio,MATCH($L98,DM_SLA_Cap,0)),168))/24)))</f>
      </c>
      <c r="AZ98" s="225">
        <f>IF(OR($A98="",TRIM($N98)="",COUNTIF('Phản ánh'!$K$6:$K$505,$N98)&gt;0,COUNTIF($N$6:$N98,$N98)&gt;1),0,1)</f>
      </c>
      <c r="BA98" s="225">
        <f>IF($AZ98=1,SUM($AZ$6:$AZ98),"")</f>
      </c>
      <c r="BB98" s="225">
        <f>IF(OR($AO98=0,N($AW98)=0),0,IF(TDBC&lt;=$AW98,0,MAX(1,MIN(4,IF((TDBC-$AW98)*24&lt;24,1,IF((TDBC-$AW98)*24&lt;72,2,IF((TDBC-$AW98)*24&lt;168,3,4)))+IF($B98="Đột xuất",IFERROR(INDEX({2,1,0,-1},MATCH($L98,{"Khẩn cấp","Cao","Trung bình","Thấp"},0)),0),IF($D98="PCCC và an ninh",1,0))))))</f>
      </c>
    </row>
    <row r="99">
      <c r="A99" s="216"/>
      <c r="B99" s="216"/>
      <c r="C99" s="218"/>
      <c r="D99" s="218"/>
      <c r="E99" s="218"/>
      <c r="F99" s="216"/>
      <c r="G99" s="218"/>
      <c r="H99" s="218"/>
      <c r="I99" s="231"/>
      <c r="J99" s="217"/>
      <c r="K99" s="217"/>
      <c r="L99" s="216"/>
      <c r="M99" s="216"/>
      <c r="N99" s="218"/>
      <c r="O99" s="218"/>
      <c r="P99" s="218"/>
      <c r="Q99" s="218"/>
      <c r="R99" s="219"/>
      <c r="S99" s="216"/>
      <c r="T99" s="232"/>
      <c r="U99" s="232"/>
      <c r="V99" s="218"/>
      <c r="W99" s="218"/>
      <c r="X99" s="220">
        <f>IF($A99="","",IF(OR($B99="Định kỳ",$AA99="Hoàn thành"),MAX(_xlfn.MAXIFS('Nhật ký tiến độ'!$B$6:$B$3005,'Nhật ký tiến độ'!$C$6:$C$3005,$A99,'Nhật ký tiến độ'!$E$6:$E$3005,"Hoàn thành kỳ"),_xlfn.MAXIFS('Nhật ký tiến độ'!$B$6:$B$3005,'Nhật ký tiến độ'!$C$6:$C$3005,$A99,'Nhật ký tiến độ'!$E$6:$E$3005,"Hoàn thành")),0))</f>
      </c>
      <c r="Y99" s="220">
        <f>IF($A99="","",IF($B99="Đột xuất",IF($AY99=0,"",$AY99),IF($AX99=0,"",$AX99)))</f>
      </c>
      <c r="Z99" s="223">
        <f>IF(OR($AO99=0,$AW99=0),"",IF(TDBC&gt;$AW99,"Quá "&amp;IF($B99="Định kỳ",(NgayBC-$AP99)&amp;" ngày",IF(((TDBC-$AW99)*24)&lt;1,MAX(1,ROUND(((TDBC-$AW99)*24)*60,0))&amp;" phút",IF(ROUND(((TDBC-$AW99)*24),0)&lt;24,ROUND(((TDBC-$AW99)*24),0)&amp;" giờ",INT(ROUND(((TDBC-$AW99)*24),0)/24)&amp;" ngày"&amp;IF(MOD(ROUND(((TDBC-$AW99)*24),0),24)&gt;0," "&amp;MOD(ROUND(((TDBC-$AW99)*24),0),24)&amp;" giờ","")))),IF($B99="Định kỳ",IF($AP99=NgayBC,"Hôm nay","Còn "&amp;($AP99-NgayBC)&amp;" ngày"),"Còn "&amp;IF((($AW99-TDBC)*24)&lt;1,MAX(1,ROUND((($AW99-TDBC)*24)*60,0))&amp;" phút",IF(ROUND((($AW99-TDBC)*24),0)&lt;24,ROUND((($AW99-TDBC)*24),0)&amp;" giờ",INT(ROUND((($AW99-TDBC)*24),0)/24)&amp;" ngày"&amp;IF(MOD(ROUND((($AW99-TDBC)*24),0),24)&gt;0," "&amp;MOD(ROUND((($AW99-TDBC)*24),0),24)&amp;" giờ",""))))))</f>
      </c>
      <c r="AA99" s="221">
        <f>IF($A99="","",IF(N($AM99)=0,"Chưa bắt đầu",IF(OR($AN99="Hoàn thành kỳ",$AN99="Hoàn thành"),IF($B99="Định kỳ","Chưa bắt đầu","Hoàn thành"),$AN99)))</f>
      </c>
      <c r="AB99" s="222">
        <f>IF($A99="","",IF($AA99="Hoàn thành",1,IF(OR(N($AM99)=0,$AN99="Hoàn thành kỳ",$AN99="Hoàn thành"),0,N(INDEX('Nhật ký tiến độ'!$D:$D,$AM99)))))</f>
      </c>
      <c r="AC99" s="222">
        <f>IF(OR($A99="",$B99&lt;&gt;"Đột xuất",$AA99="Hoàn thành",N($J99)=0,$AW99=0),"",IF(TDBC&lt;=$J99,0,IF(TDBC&gt;=$AW99,1,(TDBC-$J99)/($AW99-$J99))))</f>
      </c>
      <c r="AD99" s="223">
        <f>IF($A99="","",IF($AA99="Hoàn thành","Hoàn thành",IF($AW99=0,"Chưa đặt hạn",IF(TDBC&gt;$AW99,"Quá hạn",IF(AND($B99="Đột xuất",ROUND((N($AC99)-$AB99)*100,0)&gt;=20),"Chậm tiến độ",IF($AP99=NgayBC,"Đến hạn hôm nay",IF($B99="Đột xuất",IF($AW99-TDBC&lt;=1,"Sắp đến hạn","Đúng tiến độ"),IF($AP99-NgayBC&lt;=3,"Sắp đến hạn","Theo lịch"))))))))</f>
      </c>
      <c r="AE99" s="223">
        <f>IF($AV99="","",IF($B99="Định kỳ","Bình quân "&amp;IF($AV99&lt;1,MAX(1,ROUND($AV99*60,0))&amp;" phút",IF(ROUND($AV99,0)&lt;24,ROUND($AV99,0)&amp;" giờ",INT(ROUND($AV99,0)/24)&amp;" ngày"&amp;IF(MOD(ROUND($AV99,0),24)&gt;0," "&amp;MOD(ROUND($AV99,0),24)&amp;" giờ","")))&amp;" mỗi kỳ",IF($AV99&lt;1,MAX(1,ROUND($AV99*60,0))&amp;" phút",IF(ROUND($AV99,0)&lt;24,ROUND($AV99,0)&amp;" giờ",INT(ROUND($AV99,0)/24)&amp;" ngày"&amp;IF(MOD(ROUND($AV99,0),24)&gt;0," "&amp;MOD(ROUND($AV99,0),24)&amp;" giờ","")))))</f>
      </c>
      <c r="AF99" s="223">
        <f>IF(OR($A99="",N($AU99)=0),"",IF($AV99&lt;&gt;"",IF($AV99&lt;=$AU99,"Trong ước tính","Vượt "&amp;IF(($AV99-$AU99)&lt;1,MAX(1,ROUND(($AV99-$AU99)*60,0))&amp;" phút",IF(ROUND(($AV99-$AU99),0)&lt;24,ROUND(($AV99-$AU99),0)&amp;" giờ",INT(ROUND(($AV99-$AU99),0)/24)&amp;" ngày"&amp;IF(MOD(ROUND(($AV99-$AU99),0),24)&gt;0," "&amp;MOD(ROUND(($AV99-$AU99),0),24)&amp;" giờ","")))),IF(OR($B99&lt;&gt;"Đột xuất",$AA99="Hoàn thành",N($J99)=0),"",IF((TDBC-$J99)*24&gt;$AU99,"Đã vượt ước tính","Đã dùng "&amp;TEXT((TDBC-$J99)*24/$AU99,"0%")))))</f>
      </c>
      <c r="AG99" s="223">
        <f>IF(N($BB99)=0,"",CHOOSE($BB99,"Nhắc nhở","Cảnh báo","Báo động","Báo động đỏ"))</f>
      </c>
      <c r="AH99" s="223">
        <f>IF(OR($B99&lt;&gt;"Đột xuất",$AA99&lt;&gt;"Hoàn thành",N($X99)=0,$AW99=0),"",IF($X99&lt;=$AW99,"Đúng hạn","Trễ hạn"))</f>
      </c>
      <c r="AI99" s="220">
        <f>IF($A99="","",_xlfn.MAXIFS('Nhật ký tiến độ'!$B$6:$B$3005,'Nhật ký tiến độ'!$C$6:$C$3005,$A99))</f>
      </c>
      <c r="AJ99" s="225">
        <f>IF(OR($A99="",$B99&lt;&gt;"Định kỳ"),0,IFERROR(INDEX(DM_TanSuatNgay,MATCH($H99,DM_TanSuat,0)),0))</f>
      </c>
      <c r="AK99" s="225">
        <f>IF(OR($A99="",$B99&lt;&gt;"Định kỳ"),0,IFERROR(INDEX(DM_TanSuatThang,MATCH($H99,DM_TanSuat,0)),0))</f>
      </c>
      <c r="AL99" s="225">
        <f>IF(OR($A99="",$B99&lt;&gt;"Định kỳ",N($X99)=0,N($I99)=0),"",IF(INT($X99)&lt;$I99,0,IF($AJ99&gt;0,ROUND((INT($X99)-$I99)/$AJ99,0),IF($AK99&gt;0,ROUND((DATEDIF($I99,INT($X99),"m")+(INT($X99)-EDATE($I99,DATEDIF($I99,INT($X99),"m")))/(EDATE($I99,DATEDIF($I99,INT($X99),"m")+1)-EDATE($I99,DATEDIF($I99,INT($X99),"m"))))/$AK99,0),0))))</f>
      </c>
      <c r="AM99" s="225">
        <f>IF($A99="","",IF(COUNTIF('Nhật ký tiến độ'!$C$6:$C$3005,$A99)=0,0,_xlfn.MAXIFS('Nhật ký tiến độ'!$N$6:$N$3005,'Nhật ký tiến độ'!$C$6:$C$3005,$A99,'Nhật ký tiến độ'!$B$6:$B$3005,_xlfn.MAXIFS('Nhật ký tiến độ'!$B$6:$B$3005,'Nhật ký tiến độ'!$C$6:$C$3005,$A99))))</f>
      </c>
      <c r="AN99" s="225">
        <f>IF($A99="","",IF(N($AM99)=0,"",INDEX('Nhật ký tiến độ'!$E:$E,$AM99)))</f>
      </c>
      <c r="AO99" s="225">
        <f>IF($A99="",0,IF($AA99="Hoàn thành",0,1))</f>
      </c>
      <c r="AP99" s="225">
        <f>IF($AO99=0,0,INT(N($AW99)))</f>
      </c>
      <c r="AQ99" s="225">
        <f>IF(AND($AO99=1,$AJ99&gt;1),$AJ99,0)</f>
      </c>
      <c r="AR99" s="225">
        <f>IF(AND($AO99=1,$AJ99=1),1,0)</f>
      </c>
      <c r="AS99" s="225">
        <f>IF(OR($AO99=0,AND($AR99=1,N($BB99)=0)),"",IF(N($BB99)&gt;0,5-$BB99,IF($AD99="Chậm tiến độ",6,IF($AD99="Đến hạn hôm nay",7,IF(AND($AP99&gt;0,$AP99-NgayBC&lt;=7),8,"")))))</f>
      </c>
      <c r="AT99" s="225">
        <f>IF($AS99="","",$AS99*100000+$AP99+ROW()/100000)</f>
      </c>
      <c r="AU99" s="224">
        <f>IF(OR($A99="",N($R99)&lt;=0),"",IF($S99="Ngày",$R99*24,$R99))</f>
      </c>
      <c r="AV99" s="224">
        <f>IF($A99="","",IF($B99="Đột xuất",IF(OR($AA99&lt;&gt;"Hoàn thành",N($X99)=0,N($J99)=0),"",IF($X99&lt;$J99,"",($X99-$J99)*24)),IFERROR(AVERAGEIFS('Nhật ký tiến độ'!$H$6:$H$3005,'Nhật ký tiến độ'!$C$6:$C$3005,$A99,'Nhật ký tiến độ'!$H$6:$H$3005,"&gt;0"),"")))</f>
      </c>
      <c r="AW99" s="233">
        <f>IF($A99="",0,IF($B99="Đột xuất",$AY99,IF($AX99=0,0,$AX99+1-1/1440)))</f>
      </c>
      <c r="AX99" s="234">
        <f>IF(OR($A99="",$B99&lt;&gt;"Định kỳ",N($I99)=0),0,IF($AL99="",$I99,IF($AJ99&gt;0,$I99+($AL99+1)*$AJ99,IF($AK99&gt;0,EDATE($I99,($AL99+1)*$AK99),$I99))))</f>
      </c>
      <c r="AY99" s="233">
        <f>IF(OR($A99="",$B99&lt;&gt;"Đột xuất"),0,IF(N($K99)&gt;0,IF(MOD($K99,1)=0,$K99+1-1/1440,$K99),IF(N($J99)=0,0,$J99+IF(N($AU99)&gt;0,$AU99,IFERROR(INDEX(DM_SLA_Gio,MATCH($L99,DM_SLA_Cap,0)),168))/24)))</f>
      </c>
      <c r="AZ99" s="225">
        <f>IF(OR($A99="",TRIM($N99)="",COUNTIF('Phản ánh'!$K$6:$K$505,$N99)&gt;0,COUNTIF($N$6:$N99,$N99)&gt;1),0,1)</f>
      </c>
      <c r="BA99" s="225">
        <f>IF($AZ99=1,SUM($AZ$6:$AZ99),"")</f>
      </c>
      <c r="BB99" s="225">
        <f>IF(OR($AO99=0,N($AW99)=0),0,IF(TDBC&lt;=$AW99,0,MAX(1,MIN(4,IF((TDBC-$AW99)*24&lt;24,1,IF((TDBC-$AW99)*24&lt;72,2,IF((TDBC-$AW99)*24&lt;168,3,4)))+IF($B99="Đột xuất",IFERROR(INDEX({2,1,0,-1},MATCH($L99,{"Khẩn cấp","Cao","Trung bình","Thấp"},0)),0),IF($D99="PCCC và an ninh",1,0))))))</f>
      </c>
    </row>
    <row r="100">
      <c r="A100" s="216"/>
      <c r="B100" s="216"/>
      <c r="C100" s="218"/>
      <c r="D100" s="218"/>
      <c r="E100" s="218"/>
      <c r="F100" s="216"/>
      <c r="G100" s="218"/>
      <c r="H100" s="218"/>
      <c r="I100" s="231"/>
      <c r="J100" s="217"/>
      <c r="K100" s="217"/>
      <c r="L100" s="216"/>
      <c r="M100" s="216"/>
      <c r="N100" s="218"/>
      <c r="O100" s="218"/>
      <c r="P100" s="218"/>
      <c r="Q100" s="218"/>
      <c r="R100" s="219"/>
      <c r="S100" s="216"/>
      <c r="T100" s="232"/>
      <c r="U100" s="232"/>
      <c r="V100" s="218"/>
      <c r="W100" s="218"/>
      <c r="X100" s="220">
        <f>IF($A100="","",IF(OR($B100="Định kỳ",$AA100="Hoàn thành"),MAX(_xlfn.MAXIFS('Nhật ký tiến độ'!$B$6:$B$3005,'Nhật ký tiến độ'!$C$6:$C$3005,$A100,'Nhật ký tiến độ'!$E$6:$E$3005,"Hoàn thành kỳ"),_xlfn.MAXIFS('Nhật ký tiến độ'!$B$6:$B$3005,'Nhật ký tiến độ'!$C$6:$C$3005,$A100,'Nhật ký tiến độ'!$E$6:$E$3005,"Hoàn thành")),0))</f>
      </c>
      <c r="Y100" s="220">
        <f>IF($A100="","",IF($B100="Đột xuất",IF($AY100=0,"",$AY100),IF($AX100=0,"",$AX100)))</f>
      </c>
      <c r="Z100" s="223">
        <f>IF(OR($AO100=0,$AW100=0),"",IF(TDBC&gt;$AW100,"Quá "&amp;IF($B100="Định kỳ",(NgayBC-$AP100)&amp;" ngày",IF(((TDBC-$AW100)*24)&lt;1,MAX(1,ROUND(((TDBC-$AW100)*24)*60,0))&amp;" phút",IF(ROUND(((TDBC-$AW100)*24),0)&lt;24,ROUND(((TDBC-$AW100)*24),0)&amp;" giờ",INT(ROUND(((TDBC-$AW100)*24),0)/24)&amp;" ngày"&amp;IF(MOD(ROUND(((TDBC-$AW100)*24),0),24)&gt;0," "&amp;MOD(ROUND(((TDBC-$AW100)*24),0),24)&amp;" giờ","")))),IF($B100="Định kỳ",IF($AP100=NgayBC,"Hôm nay","Còn "&amp;($AP100-NgayBC)&amp;" ngày"),"Còn "&amp;IF((($AW100-TDBC)*24)&lt;1,MAX(1,ROUND((($AW100-TDBC)*24)*60,0))&amp;" phút",IF(ROUND((($AW100-TDBC)*24),0)&lt;24,ROUND((($AW100-TDBC)*24),0)&amp;" giờ",INT(ROUND((($AW100-TDBC)*24),0)/24)&amp;" ngày"&amp;IF(MOD(ROUND((($AW100-TDBC)*24),0),24)&gt;0," "&amp;MOD(ROUND((($AW100-TDBC)*24),0),24)&amp;" giờ",""))))))</f>
      </c>
      <c r="AA100" s="221">
        <f>IF($A100="","",IF(N($AM100)=0,"Chưa bắt đầu",IF(OR($AN100="Hoàn thành kỳ",$AN100="Hoàn thành"),IF($B100="Định kỳ","Chưa bắt đầu","Hoàn thành"),$AN100)))</f>
      </c>
      <c r="AB100" s="222">
        <f>IF($A100="","",IF($AA100="Hoàn thành",1,IF(OR(N($AM100)=0,$AN100="Hoàn thành kỳ",$AN100="Hoàn thành"),0,N(INDEX('Nhật ký tiến độ'!$D:$D,$AM100)))))</f>
      </c>
      <c r="AC100" s="222">
        <f>IF(OR($A100="",$B100&lt;&gt;"Đột xuất",$AA100="Hoàn thành",N($J100)=0,$AW100=0),"",IF(TDBC&lt;=$J100,0,IF(TDBC&gt;=$AW100,1,(TDBC-$J100)/($AW100-$J100))))</f>
      </c>
      <c r="AD100" s="223">
        <f>IF($A100="","",IF($AA100="Hoàn thành","Hoàn thành",IF($AW100=0,"Chưa đặt hạn",IF(TDBC&gt;$AW100,"Quá hạn",IF(AND($B100="Đột xuất",ROUND((N($AC100)-$AB100)*100,0)&gt;=20),"Chậm tiến độ",IF($AP100=NgayBC,"Đến hạn hôm nay",IF($B100="Đột xuất",IF($AW100-TDBC&lt;=1,"Sắp đến hạn","Đúng tiến độ"),IF($AP100-NgayBC&lt;=3,"Sắp đến hạn","Theo lịch"))))))))</f>
      </c>
      <c r="AE100" s="223">
        <f>IF($AV100="","",IF($B100="Định kỳ","Bình quân "&amp;IF($AV100&lt;1,MAX(1,ROUND($AV100*60,0))&amp;" phút",IF(ROUND($AV100,0)&lt;24,ROUND($AV100,0)&amp;" giờ",INT(ROUND($AV100,0)/24)&amp;" ngày"&amp;IF(MOD(ROUND($AV100,0),24)&gt;0," "&amp;MOD(ROUND($AV100,0),24)&amp;" giờ","")))&amp;" mỗi kỳ",IF($AV100&lt;1,MAX(1,ROUND($AV100*60,0))&amp;" phút",IF(ROUND($AV100,0)&lt;24,ROUND($AV100,0)&amp;" giờ",INT(ROUND($AV100,0)/24)&amp;" ngày"&amp;IF(MOD(ROUND($AV100,0),24)&gt;0," "&amp;MOD(ROUND($AV100,0),24)&amp;" giờ","")))))</f>
      </c>
      <c r="AF100" s="223">
        <f>IF(OR($A100="",N($AU100)=0),"",IF($AV100&lt;&gt;"",IF($AV100&lt;=$AU100,"Trong ước tính","Vượt "&amp;IF(($AV100-$AU100)&lt;1,MAX(1,ROUND(($AV100-$AU100)*60,0))&amp;" phút",IF(ROUND(($AV100-$AU100),0)&lt;24,ROUND(($AV100-$AU100),0)&amp;" giờ",INT(ROUND(($AV100-$AU100),0)/24)&amp;" ngày"&amp;IF(MOD(ROUND(($AV100-$AU100),0),24)&gt;0," "&amp;MOD(ROUND(($AV100-$AU100),0),24)&amp;" giờ","")))),IF(OR($B100&lt;&gt;"Đột xuất",$AA100="Hoàn thành",N($J100)=0),"",IF((TDBC-$J100)*24&gt;$AU100,"Đã vượt ước tính","Đã dùng "&amp;TEXT((TDBC-$J100)*24/$AU100,"0%")))))</f>
      </c>
      <c r="AG100" s="223">
        <f>IF(N($BB100)=0,"",CHOOSE($BB100,"Nhắc nhở","Cảnh báo","Báo động","Báo động đỏ"))</f>
      </c>
      <c r="AH100" s="223">
        <f>IF(OR($B100&lt;&gt;"Đột xuất",$AA100&lt;&gt;"Hoàn thành",N($X100)=0,$AW100=0),"",IF($X100&lt;=$AW100,"Đúng hạn","Trễ hạn"))</f>
      </c>
      <c r="AI100" s="220">
        <f>IF($A100="","",_xlfn.MAXIFS('Nhật ký tiến độ'!$B$6:$B$3005,'Nhật ký tiến độ'!$C$6:$C$3005,$A100))</f>
      </c>
      <c r="AJ100" s="225">
        <f>IF(OR($A100="",$B100&lt;&gt;"Định kỳ"),0,IFERROR(INDEX(DM_TanSuatNgay,MATCH($H100,DM_TanSuat,0)),0))</f>
      </c>
      <c r="AK100" s="225">
        <f>IF(OR($A100="",$B100&lt;&gt;"Định kỳ"),0,IFERROR(INDEX(DM_TanSuatThang,MATCH($H100,DM_TanSuat,0)),0))</f>
      </c>
      <c r="AL100" s="225">
        <f>IF(OR($A100="",$B100&lt;&gt;"Định kỳ",N($X100)=0,N($I100)=0),"",IF(INT($X100)&lt;$I100,0,IF($AJ100&gt;0,ROUND((INT($X100)-$I100)/$AJ100,0),IF($AK100&gt;0,ROUND((DATEDIF($I100,INT($X100),"m")+(INT($X100)-EDATE($I100,DATEDIF($I100,INT($X100),"m")))/(EDATE($I100,DATEDIF($I100,INT($X100),"m")+1)-EDATE($I100,DATEDIF($I100,INT($X100),"m"))))/$AK100,0),0))))</f>
      </c>
      <c r="AM100" s="225">
        <f>IF($A100="","",IF(COUNTIF('Nhật ký tiến độ'!$C$6:$C$3005,$A100)=0,0,_xlfn.MAXIFS('Nhật ký tiến độ'!$N$6:$N$3005,'Nhật ký tiến độ'!$C$6:$C$3005,$A100,'Nhật ký tiến độ'!$B$6:$B$3005,_xlfn.MAXIFS('Nhật ký tiến độ'!$B$6:$B$3005,'Nhật ký tiến độ'!$C$6:$C$3005,$A100))))</f>
      </c>
      <c r="AN100" s="225">
        <f>IF($A100="","",IF(N($AM100)=0,"",INDEX('Nhật ký tiến độ'!$E:$E,$AM100)))</f>
      </c>
      <c r="AO100" s="225">
        <f>IF($A100="",0,IF($AA100="Hoàn thành",0,1))</f>
      </c>
      <c r="AP100" s="225">
        <f>IF($AO100=0,0,INT(N($AW100)))</f>
      </c>
      <c r="AQ100" s="225">
        <f>IF(AND($AO100=1,$AJ100&gt;1),$AJ100,0)</f>
      </c>
      <c r="AR100" s="225">
        <f>IF(AND($AO100=1,$AJ100=1),1,0)</f>
      </c>
      <c r="AS100" s="225">
        <f>IF(OR($AO100=0,AND($AR100=1,N($BB100)=0)),"",IF(N($BB100)&gt;0,5-$BB100,IF($AD100="Chậm tiến độ",6,IF($AD100="Đến hạn hôm nay",7,IF(AND($AP100&gt;0,$AP100-NgayBC&lt;=7),8,"")))))</f>
      </c>
      <c r="AT100" s="225">
        <f>IF($AS100="","",$AS100*100000+$AP100+ROW()/100000)</f>
      </c>
      <c r="AU100" s="224">
        <f>IF(OR($A100="",N($R100)&lt;=0),"",IF($S100="Ngày",$R100*24,$R100))</f>
      </c>
      <c r="AV100" s="224">
        <f>IF($A100="","",IF($B100="Đột xuất",IF(OR($AA100&lt;&gt;"Hoàn thành",N($X100)=0,N($J100)=0),"",IF($X100&lt;$J100,"",($X100-$J100)*24)),IFERROR(AVERAGEIFS('Nhật ký tiến độ'!$H$6:$H$3005,'Nhật ký tiến độ'!$C$6:$C$3005,$A100,'Nhật ký tiến độ'!$H$6:$H$3005,"&gt;0"),"")))</f>
      </c>
      <c r="AW100" s="233">
        <f>IF($A100="",0,IF($B100="Đột xuất",$AY100,IF($AX100=0,0,$AX100+1-1/1440)))</f>
      </c>
      <c r="AX100" s="234">
        <f>IF(OR($A100="",$B100&lt;&gt;"Định kỳ",N($I100)=0),0,IF($AL100="",$I100,IF($AJ100&gt;0,$I100+($AL100+1)*$AJ100,IF($AK100&gt;0,EDATE($I100,($AL100+1)*$AK100),$I100))))</f>
      </c>
      <c r="AY100" s="233">
        <f>IF(OR($A100="",$B100&lt;&gt;"Đột xuất"),0,IF(N($K100)&gt;0,IF(MOD($K100,1)=0,$K100+1-1/1440,$K100),IF(N($J100)=0,0,$J100+IF(N($AU100)&gt;0,$AU100,IFERROR(INDEX(DM_SLA_Gio,MATCH($L100,DM_SLA_Cap,0)),168))/24)))</f>
      </c>
      <c r="AZ100" s="225">
        <f>IF(OR($A100="",TRIM($N100)="",COUNTIF('Phản ánh'!$K$6:$K$505,$N100)&gt;0,COUNTIF($N$6:$N100,$N100)&gt;1),0,1)</f>
      </c>
      <c r="BA100" s="225">
        <f>IF($AZ100=1,SUM($AZ$6:$AZ100),"")</f>
      </c>
      <c r="BB100" s="225">
        <f>IF(OR($AO100=0,N($AW100)=0),0,IF(TDBC&lt;=$AW100,0,MAX(1,MIN(4,IF((TDBC-$AW100)*24&lt;24,1,IF((TDBC-$AW100)*24&lt;72,2,IF((TDBC-$AW100)*24&lt;168,3,4)))+IF($B100="Đột xuất",IFERROR(INDEX({2,1,0,-1},MATCH($L100,{"Khẩn cấp","Cao","Trung bình","Thấp"},0)),0),IF($D100="PCCC và an ninh",1,0))))))</f>
      </c>
    </row>
    <row r="101">
      <c r="A101" s="216"/>
      <c r="B101" s="216"/>
      <c r="C101" s="218"/>
      <c r="D101" s="218"/>
      <c r="E101" s="218"/>
      <c r="F101" s="216"/>
      <c r="G101" s="218"/>
      <c r="H101" s="218"/>
      <c r="I101" s="231"/>
      <c r="J101" s="217"/>
      <c r="K101" s="217"/>
      <c r="L101" s="216"/>
      <c r="M101" s="216"/>
      <c r="N101" s="218"/>
      <c r="O101" s="218"/>
      <c r="P101" s="218"/>
      <c r="Q101" s="218"/>
      <c r="R101" s="219"/>
      <c r="S101" s="216"/>
      <c r="T101" s="232"/>
      <c r="U101" s="232"/>
      <c r="V101" s="218"/>
      <c r="W101" s="218"/>
      <c r="X101" s="220">
        <f>IF($A101="","",IF(OR($B101="Định kỳ",$AA101="Hoàn thành"),MAX(_xlfn.MAXIFS('Nhật ký tiến độ'!$B$6:$B$3005,'Nhật ký tiến độ'!$C$6:$C$3005,$A101,'Nhật ký tiến độ'!$E$6:$E$3005,"Hoàn thành kỳ"),_xlfn.MAXIFS('Nhật ký tiến độ'!$B$6:$B$3005,'Nhật ký tiến độ'!$C$6:$C$3005,$A101,'Nhật ký tiến độ'!$E$6:$E$3005,"Hoàn thành")),0))</f>
      </c>
      <c r="Y101" s="220">
        <f>IF($A101="","",IF($B101="Đột xuất",IF($AY101=0,"",$AY101),IF($AX101=0,"",$AX101)))</f>
      </c>
      <c r="Z101" s="223">
        <f>IF(OR($AO101=0,$AW101=0),"",IF(TDBC&gt;$AW101,"Quá "&amp;IF($B101="Định kỳ",(NgayBC-$AP101)&amp;" ngày",IF(((TDBC-$AW101)*24)&lt;1,MAX(1,ROUND(((TDBC-$AW101)*24)*60,0))&amp;" phút",IF(ROUND(((TDBC-$AW101)*24),0)&lt;24,ROUND(((TDBC-$AW101)*24),0)&amp;" giờ",INT(ROUND(((TDBC-$AW101)*24),0)/24)&amp;" ngày"&amp;IF(MOD(ROUND(((TDBC-$AW101)*24),0),24)&gt;0," "&amp;MOD(ROUND(((TDBC-$AW101)*24),0),24)&amp;" giờ","")))),IF($B101="Định kỳ",IF($AP101=NgayBC,"Hôm nay","Còn "&amp;($AP101-NgayBC)&amp;" ngày"),"Còn "&amp;IF((($AW101-TDBC)*24)&lt;1,MAX(1,ROUND((($AW101-TDBC)*24)*60,0))&amp;" phút",IF(ROUND((($AW101-TDBC)*24),0)&lt;24,ROUND((($AW101-TDBC)*24),0)&amp;" giờ",INT(ROUND((($AW101-TDBC)*24),0)/24)&amp;" ngày"&amp;IF(MOD(ROUND((($AW101-TDBC)*24),0),24)&gt;0," "&amp;MOD(ROUND((($AW101-TDBC)*24),0),24)&amp;" giờ",""))))))</f>
      </c>
      <c r="AA101" s="221">
        <f>IF($A101="","",IF(N($AM101)=0,"Chưa bắt đầu",IF(OR($AN101="Hoàn thành kỳ",$AN101="Hoàn thành"),IF($B101="Định kỳ","Chưa bắt đầu","Hoàn thành"),$AN101)))</f>
      </c>
      <c r="AB101" s="222">
        <f>IF($A101="","",IF($AA101="Hoàn thành",1,IF(OR(N($AM101)=0,$AN101="Hoàn thành kỳ",$AN101="Hoàn thành"),0,N(INDEX('Nhật ký tiến độ'!$D:$D,$AM101)))))</f>
      </c>
      <c r="AC101" s="222">
        <f>IF(OR($A101="",$B101&lt;&gt;"Đột xuất",$AA101="Hoàn thành",N($J101)=0,$AW101=0),"",IF(TDBC&lt;=$J101,0,IF(TDBC&gt;=$AW101,1,(TDBC-$J101)/($AW101-$J101))))</f>
      </c>
      <c r="AD101" s="223">
        <f>IF($A101="","",IF($AA101="Hoàn thành","Hoàn thành",IF($AW101=0,"Chưa đặt hạn",IF(TDBC&gt;$AW101,"Quá hạn",IF(AND($B101="Đột xuất",ROUND((N($AC101)-$AB101)*100,0)&gt;=20),"Chậm tiến độ",IF($AP101=NgayBC,"Đến hạn hôm nay",IF($B101="Đột xuất",IF($AW101-TDBC&lt;=1,"Sắp đến hạn","Đúng tiến độ"),IF($AP101-NgayBC&lt;=3,"Sắp đến hạn","Theo lịch"))))))))</f>
      </c>
      <c r="AE101" s="223">
        <f>IF($AV101="","",IF($B101="Định kỳ","Bình quân "&amp;IF($AV101&lt;1,MAX(1,ROUND($AV101*60,0))&amp;" phút",IF(ROUND($AV101,0)&lt;24,ROUND($AV101,0)&amp;" giờ",INT(ROUND($AV101,0)/24)&amp;" ngày"&amp;IF(MOD(ROUND($AV101,0),24)&gt;0," "&amp;MOD(ROUND($AV101,0),24)&amp;" giờ","")))&amp;" mỗi kỳ",IF($AV101&lt;1,MAX(1,ROUND($AV101*60,0))&amp;" phút",IF(ROUND($AV101,0)&lt;24,ROUND($AV101,0)&amp;" giờ",INT(ROUND($AV101,0)/24)&amp;" ngày"&amp;IF(MOD(ROUND($AV101,0),24)&gt;0," "&amp;MOD(ROUND($AV101,0),24)&amp;" giờ","")))))</f>
      </c>
      <c r="AF101" s="223">
        <f>IF(OR($A101="",N($AU101)=0),"",IF($AV101&lt;&gt;"",IF($AV101&lt;=$AU101,"Trong ước tính","Vượt "&amp;IF(($AV101-$AU101)&lt;1,MAX(1,ROUND(($AV101-$AU101)*60,0))&amp;" phút",IF(ROUND(($AV101-$AU101),0)&lt;24,ROUND(($AV101-$AU101),0)&amp;" giờ",INT(ROUND(($AV101-$AU101),0)/24)&amp;" ngày"&amp;IF(MOD(ROUND(($AV101-$AU101),0),24)&gt;0," "&amp;MOD(ROUND(($AV101-$AU101),0),24)&amp;" giờ","")))),IF(OR($B101&lt;&gt;"Đột xuất",$AA101="Hoàn thành",N($J101)=0),"",IF((TDBC-$J101)*24&gt;$AU101,"Đã vượt ước tính","Đã dùng "&amp;TEXT((TDBC-$J101)*24/$AU101,"0%")))))</f>
      </c>
      <c r="AG101" s="223">
        <f>IF(N($BB101)=0,"",CHOOSE($BB101,"Nhắc nhở","Cảnh báo","Báo động","Báo động đỏ"))</f>
      </c>
      <c r="AH101" s="223">
        <f>IF(OR($B101&lt;&gt;"Đột xuất",$AA101&lt;&gt;"Hoàn thành",N($X101)=0,$AW101=0),"",IF($X101&lt;=$AW101,"Đúng hạn","Trễ hạn"))</f>
      </c>
      <c r="AI101" s="220">
        <f>IF($A101="","",_xlfn.MAXIFS('Nhật ký tiến độ'!$B$6:$B$3005,'Nhật ký tiến độ'!$C$6:$C$3005,$A101))</f>
      </c>
      <c r="AJ101" s="225">
        <f>IF(OR($A101="",$B101&lt;&gt;"Định kỳ"),0,IFERROR(INDEX(DM_TanSuatNgay,MATCH($H101,DM_TanSuat,0)),0))</f>
      </c>
      <c r="AK101" s="225">
        <f>IF(OR($A101="",$B101&lt;&gt;"Định kỳ"),0,IFERROR(INDEX(DM_TanSuatThang,MATCH($H101,DM_TanSuat,0)),0))</f>
      </c>
      <c r="AL101" s="225">
        <f>IF(OR($A101="",$B101&lt;&gt;"Định kỳ",N($X101)=0,N($I101)=0),"",IF(INT($X101)&lt;$I101,0,IF($AJ101&gt;0,ROUND((INT($X101)-$I101)/$AJ101,0),IF($AK101&gt;0,ROUND((DATEDIF($I101,INT($X101),"m")+(INT($X101)-EDATE($I101,DATEDIF($I101,INT($X101),"m")))/(EDATE($I101,DATEDIF($I101,INT($X101),"m")+1)-EDATE($I101,DATEDIF($I101,INT($X101),"m"))))/$AK101,0),0))))</f>
      </c>
      <c r="AM101" s="225">
        <f>IF($A101="","",IF(COUNTIF('Nhật ký tiến độ'!$C$6:$C$3005,$A101)=0,0,_xlfn.MAXIFS('Nhật ký tiến độ'!$N$6:$N$3005,'Nhật ký tiến độ'!$C$6:$C$3005,$A101,'Nhật ký tiến độ'!$B$6:$B$3005,_xlfn.MAXIFS('Nhật ký tiến độ'!$B$6:$B$3005,'Nhật ký tiến độ'!$C$6:$C$3005,$A101))))</f>
      </c>
      <c r="AN101" s="225">
        <f>IF($A101="","",IF(N($AM101)=0,"",INDEX('Nhật ký tiến độ'!$E:$E,$AM101)))</f>
      </c>
      <c r="AO101" s="225">
        <f>IF($A101="",0,IF($AA101="Hoàn thành",0,1))</f>
      </c>
      <c r="AP101" s="225">
        <f>IF($AO101=0,0,INT(N($AW101)))</f>
      </c>
      <c r="AQ101" s="225">
        <f>IF(AND($AO101=1,$AJ101&gt;1),$AJ101,0)</f>
      </c>
      <c r="AR101" s="225">
        <f>IF(AND($AO101=1,$AJ101=1),1,0)</f>
      </c>
      <c r="AS101" s="225">
        <f>IF(OR($AO101=0,AND($AR101=1,N($BB101)=0)),"",IF(N($BB101)&gt;0,5-$BB101,IF($AD101="Chậm tiến độ",6,IF($AD101="Đến hạn hôm nay",7,IF(AND($AP101&gt;0,$AP101-NgayBC&lt;=7),8,"")))))</f>
      </c>
      <c r="AT101" s="225">
        <f>IF($AS101="","",$AS101*100000+$AP101+ROW()/100000)</f>
      </c>
      <c r="AU101" s="224">
        <f>IF(OR($A101="",N($R101)&lt;=0),"",IF($S101="Ngày",$R101*24,$R101))</f>
      </c>
      <c r="AV101" s="224">
        <f>IF($A101="","",IF($B101="Đột xuất",IF(OR($AA101&lt;&gt;"Hoàn thành",N($X101)=0,N($J101)=0),"",IF($X101&lt;$J101,"",($X101-$J101)*24)),IFERROR(AVERAGEIFS('Nhật ký tiến độ'!$H$6:$H$3005,'Nhật ký tiến độ'!$C$6:$C$3005,$A101,'Nhật ký tiến độ'!$H$6:$H$3005,"&gt;0"),"")))</f>
      </c>
      <c r="AW101" s="233">
        <f>IF($A101="",0,IF($B101="Đột xuất",$AY101,IF($AX101=0,0,$AX101+1-1/1440)))</f>
      </c>
      <c r="AX101" s="234">
        <f>IF(OR($A101="",$B101&lt;&gt;"Định kỳ",N($I101)=0),0,IF($AL101="",$I101,IF($AJ101&gt;0,$I101+($AL101+1)*$AJ101,IF($AK101&gt;0,EDATE($I101,($AL101+1)*$AK101),$I101))))</f>
      </c>
      <c r="AY101" s="233">
        <f>IF(OR($A101="",$B101&lt;&gt;"Đột xuất"),0,IF(N($K101)&gt;0,IF(MOD($K101,1)=0,$K101+1-1/1440,$K101),IF(N($J101)=0,0,$J101+IF(N($AU101)&gt;0,$AU101,IFERROR(INDEX(DM_SLA_Gio,MATCH($L101,DM_SLA_Cap,0)),168))/24)))</f>
      </c>
      <c r="AZ101" s="225">
        <f>IF(OR($A101="",TRIM($N101)="",COUNTIF('Phản ánh'!$K$6:$K$505,$N101)&gt;0,COUNTIF($N$6:$N101,$N101)&gt;1),0,1)</f>
      </c>
      <c r="BA101" s="225">
        <f>IF($AZ101=1,SUM($AZ$6:$AZ101),"")</f>
      </c>
      <c r="BB101" s="225">
        <f>IF(OR($AO101=0,N($AW101)=0),0,IF(TDBC&lt;=$AW101,0,MAX(1,MIN(4,IF((TDBC-$AW101)*24&lt;24,1,IF((TDBC-$AW101)*24&lt;72,2,IF((TDBC-$AW101)*24&lt;168,3,4)))+IF($B101="Đột xuất",IFERROR(INDEX({2,1,0,-1},MATCH($L101,{"Khẩn cấp","Cao","Trung bình","Thấp"},0)),0),IF($D101="PCCC và an ninh",1,0))))))</f>
      </c>
    </row>
    <row r="102">
      <c r="A102" s="216"/>
      <c r="B102" s="216"/>
      <c r="C102" s="218"/>
      <c r="D102" s="218"/>
      <c r="E102" s="218"/>
      <c r="F102" s="216"/>
      <c r="G102" s="218"/>
      <c r="H102" s="218"/>
      <c r="I102" s="231"/>
      <c r="J102" s="217"/>
      <c r="K102" s="217"/>
      <c r="L102" s="216"/>
      <c r="M102" s="216"/>
      <c r="N102" s="218"/>
      <c r="O102" s="218"/>
      <c r="P102" s="218"/>
      <c r="Q102" s="218"/>
      <c r="R102" s="219"/>
      <c r="S102" s="216"/>
      <c r="T102" s="232"/>
      <c r="U102" s="232"/>
      <c r="V102" s="218"/>
      <c r="W102" s="218"/>
      <c r="X102" s="220">
        <f>IF($A102="","",IF(OR($B102="Định kỳ",$AA102="Hoàn thành"),MAX(_xlfn.MAXIFS('Nhật ký tiến độ'!$B$6:$B$3005,'Nhật ký tiến độ'!$C$6:$C$3005,$A102,'Nhật ký tiến độ'!$E$6:$E$3005,"Hoàn thành kỳ"),_xlfn.MAXIFS('Nhật ký tiến độ'!$B$6:$B$3005,'Nhật ký tiến độ'!$C$6:$C$3005,$A102,'Nhật ký tiến độ'!$E$6:$E$3005,"Hoàn thành")),0))</f>
      </c>
      <c r="Y102" s="220">
        <f>IF($A102="","",IF($B102="Đột xuất",IF($AY102=0,"",$AY102),IF($AX102=0,"",$AX102)))</f>
      </c>
      <c r="Z102" s="223">
        <f>IF(OR($AO102=0,$AW102=0),"",IF(TDBC&gt;$AW102,"Quá "&amp;IF($B102="Định kỳ",(NgayBC-$AP102)&amp;" ngày",IF(((TDBC-$AW102)*24)&lt;1,MAX(1,ROUND(((TDBC-$AW102)*24)*60,0))&amp;" phút",IF(ROUND(((TDBC-$AW102)*24),0)&lt;24,ROUND(((TDBC-$AW102)*24),0)&amp;" giờ",INT(ROUND(((TDBC-$AW102)*24),0)/24)&amp;" ngày"&amp;IF(MOD(ROUND(((TDBC-$AW102)*24),0),24)&gt;0," "&amp;MOD(ROUND(((TDBC-$AW102)*24),0),24)&amp;" giờ","")))),IF($B102="Định kỳ",IF($AP102=NgayBC,"Hôm nay","Còn "&amp;($AP102-NgayBC)&amp;" ngày"),"Còn "&amp;IF((($AW102-TDBC)*24)&lt;1,MAX(1,ROUND((($AW102-TDBC)*24)*60,0))&amp;" phút",IF(ROUND((($AW102-TDBC)*24),0)&lt;24,ROUND((($AW102-TDBC)*24),0)&amp;" giờ",INT(ROUND((($AW102-TDBC)*24),0)/24)&amp;" ngày"&amp;IF(MOD(ROUND((($AW102-TDBC)*24),0),24)&gt;0," "&amp;MOD(ROUND((($AW102-TDBC)*24),0),24)&amp;" giờ",""))))))</f>
      </c>
      <c r="AA102" s="221">
        <f>IF($A102="","",IF(N($AM102)=0,"Chưa bắt đầu",IF(OR($AN102="Hoàn thành kỳ",$AN102="Hoàn thành"),IF($B102="Định kỳ","Chưa bắt đầu","Hoàn thành"),$AN102)))</f>
      </c>
      <c r="AB102" s="222">
        <f>IF($A102="","",IF($AA102="Hoàn thành",1,IF(OR(N($AM102)=0,$AN102="Hoàn thành kỳ",$AN102="Hoàn thành"),0,N(INDEX('Nhật ký tiến độ'!$D:$D,$AM102)))))</f>
      </c>
      <c r="AC102" s="222">
        <f>IF(OR($A102="",$B102&lt;&gt;"Đột xuất",$AA102="Hoàn thành",N($J102)=0,$AW102=0),"",IF(TDBC&lt;=$J102,0,IF(TDBC&gt;=$AW102,1,(TDBC-$J102)/($AW102-$J102))))</f>
      </c>
      <c r="AD102" s="223">
        <f>IF($A102="","",IF($AA102="Hoàn thành","Hoàn thành",IF($AW102=0,"Chưa đặt hạn",IF(TDBC&gt;$AW102,"Quá hạn",IF(AND($B102="Đột xuất",ROUND((N($AC102)-$AB102)*100,0)&gt;=20),"Chậm tiến độ",IF($AP102=NgayBC,"Đến hạn hôm nay",IF($B102="Đột xuất",IF($AW102-TDBC&lt;=1,"Sắp đến hạn","Đúng tiến độ"),IF($AP102-NgayBC&lt;=3,"Sắp đến hạn","Theo lịch"))))))))</f>
      </c>
      <c r="AE102" s="223">
        <f>IF($AV102="","",IF($B102="Định kỳ","Bình quân "&amp;IF($AV102&lt;1,MAX(1,ROUND($AV102*60,0))&amp;" phút",IF(ROUND($AV102,0)&lt;24,ROUND($AV102,0)&amp;" giờ",INT(ROUND($AV102,0)/24)&amp;" ngày"&amp;IF(MOD(ROUND($AV102,0),24)&gt;0," "&amp;MOD(ROUND($AV102,0),24)&amp;" giờ","")))&amp;" mỗi kỳ",IF($AV102&lt;1,MAX(1,ROUND($AV102*60,0))&amp;" phút",IF(ROUND($AV102,0)&lt;24,ROUND($AV102,0)&amp;" giờ",INT(ROUND($AV102,0)/24)&amp;" ngày"&amp;IF(MOD(ROUND($AV102,0),24)&gt;0," "&amp;MOD(ROUND($AV102,0),24)&amp;" giờ","")))))</f>
      </c>
      <c r="AF102" s="223">
        <f>IF(OR($A102="",N($AU102)=0),"",IF($AV102&lt;&gt;"",IF($AV102&lt;=$AU102,"Trong ước tính","Vượt "&amp;IF(($AV102-$AU102)&lt;1,MAX(1,ROUND(($AV102-$AU102)*60,0))&amp;" phút",IF(ROUND(($AV102-$AU102),0)&lt;24,ROUND(($AV102-$AU102),0)&amp;" giờ",INT(ROUND(($AV102-$AU102),0)/24)&amp;" ngày"&amp;IF(MOD(ROUND(($AV102-$AU102),0),24)&gt;0," "&amp;MOD(ROUND(($AV102-$AU102),0),24)&amp;" giờ","")))),IF(OR($B102&lt;&gt;"Đột xuất",$AA102="Hoàn thành",N($J102)=0),"",IF((TDBC-$J102)*24&gt;$AU102,"Đã vượt ước tính","Đã dùng "&amp;TEXT((TDBC-$J102)*24/$AU102,"0%")))))</f>
      </c>
      <c r="AG102" s="223">
        <f>IF(N($BB102)=0,"",CHOOSE($BB102,"Nhắc nhở","Cảnh báo","Báo động","Báo động đỏ"))</f>
      </c>
      <c r="AH102" s="223">
        <f>IF(OR($B102&lt;&gt;"Đột xuất",$AA102&lt;&gt;"Hoàn thành",N($X102)=0,$AW102=0),"",IF($X102&lt;=$AW102,"Đúng hạn","Trễ hạn"))</f>
      </c>
      <c r="AI102" s="220">
        <f>IF($A102="","",_xlfn.MAXIFS('Nhật ký tiến độ'!$B$6:$B$3005,'Nhật ký tiến độ'!$C$6:$C$3005,$A102))</f>
      </c>
      <c r="AJ102" s="225">
        <f>IF(OR($A102="",$B102&lt;&gt;"Định kỳ"),0,IFERROR(INDEX(DM_TanSuatNgay,MATCH($H102,DM_TanSuat,0)),0))</f>
      </c>
      <c r="AK102" s="225">
        <f>IF(OR($A102="",$B102&lt;&gt;"Định kỳ"),0,IFERROR(INDEX(DM_TanSuatThang,MATCH($H102,DM_TanSuat,0)),0))</f>
      </c>
      <c r="AL102" s="225">
        <f>IF(OR($A102="",$B102&lt;&gt;"Định kỳ",N($X102)=0,N($I102)=0),"",IF(INT($X102)&lt;$I102,0,IF($AJ102&gt;0,ROUND((INT($X102)-$I102)/$AJ102,0),IF($AK102&gt;0,ROUND((DATEDIF($I102,INT($X102),"m")+(INT($X102)-EDATE($I102,DATEDIF($I102,INT($X102),"m")))/(EDATE($I102,DATEDIF($I102,INT($X102),"m")+1)-EDATE($I102,DATEDIF($I102,INT($X102),"m"))))/$AK102,0),0))))</f>
      </c>
      <c r="AM102" s="225">
        <f>IF($A102="","",IF(COUNTIF('Nhật ký tiến độ'!$C$6:$C$3005,$A102)=0,0,_xlfn.MAXIFS('Nhật ký tiến độ'!$N$6:$N$3005,'Nhật ký tiến độ'!$C$6:$C$3005,$A102,'Nhật ký tiến độ'!$B$6:$B$3005,_xlfn.MAXIFS('Nhật ký tiến độ'!$B$6:$B$3005,'Nhật ký tiến độ'!$C$6:$C$3005,$A102))))</f>
      </c>
      <c r="AN102" s="225">
        <f>IF($A102="","",IF(N($AM102)=0,"",INDEX('Nhật ký tiến độ'!$E:$E,$AM102)))</f>
      </c>
      <c r="AO102" s="225">
        <f>IF($A102="",0,IF($AA102="Hoàn thành",0,1))</f>
      </c>
      <c r="AP102" s="225">
        <f>IF($AO102=0,0,INT(N($AW102)))</f>
      </c>
      <c r="AQ102" s="225">
        <f>IF(AND($AO102=1,$AJ102&gt;1),$AJ102,0)</f>
      </c>
      <c r="AR102" s="225">
        <f>IF(AND($AO102=1,$AJ102=1),1,0)</f>
      </c>
      <c r="AS102" s="225">
        <f>IF(OR($AO102=0,AND($AR102=1,N($BB102)=0)),"",IF(N($BB102)&gt;0,5-$BB102,IF($AD102="Chậm tiến độ",6,IF($AD102="Đến hạn hôm nay",7,IF(AND($AP102&gt;0,$AP102-NgayBC&lt;=7),8,"")))))</f>
      </c>
      <c r="AT102" s="225">
        <f>IF($AS102="","",$AS102*100000+$AP102+ROW()/100000)</f>
      </c>
      <c r="AU102" s="224">
        <f>IF(OR($A102="",N($R102)&lt;=0),"",IF($S102="Ngày",$R102*24,$R102))</f>
      </c>
      <c r="AV102" s="224">
        <f>IF($A102="","",IF($B102="Đột xuất",IF(OR($AA102&lt;&gt;"Hoàn thành",N($X102)=0,N($J102)=0),"",IF($X102&lt;$J102,"",($X102-$J102)*24)),IFERROR(AVERAGEIFS('Nhật ký tiến độ'!$H$6:$H$3005,'Nhật ký tiến độ'!$C$6:$C$3005,$A102,'Nhật ký tiến độ'!$H$6:$H$3005,"&gt;0"),"")))</f>
      </c>
      <c r="AW102" s="233">
        <f>IF($A102="",0,IF($B102="Đột xuất",$AY102,IF($AX102=0,0,$AX102+1-1/1440)))</f>
      </c>
      <c r="AX102" s="234">
        <f>IF(OR($A102="",$B102&lt;&gt;"Định kỳ",N($I102)=0),0,IF($AL102="",$I102,IF($AJ102&gt;0,$I102+($AL102+1)*$AJ102,IF($AK102&gt;0,EDATE($I102,($AL102+1)*$AK102),$I102))))</f>
      </c>
      <c r="AY102" s="233">
        <f>IF(OR($A102="",$B102&lt;&gt;"Đột xuất"),0,IF(N($K102)&gt;0,IF(MOD($K102,1)=0,$K102+1-1/1440,$K102),IF(N($J102)=0,0,$J102+IF(N($AU102)&gt;0,$AU102,IFERROR(INDEX(DM_SLA_Gio,MATCH($L102,DM_SLA_Cap,0)),168))/24)))</f>
      </c>
      <c r="AZ102" s="225">
        <f>IF(OR($A102="",TRIM($N102)="",COUNTIF('Phản ánh'!$K$6:$K$505,$N102)&gt;0,COUNTIF($N$6:$N102,$N102)&gt;1),0,1)</f>
      </c>
      <c r="BA102" s="225">
        <f>IF($AZ102=1,SUM($AZ$6:$AZ102),"")</f>
      </c>
      <c r="BB102" s="225">
        <f>IF(OR($AO102=0,N($AW102)=0),0,IF(TDBC&lt;=$AW102,0,MAX(1,MIN(4,IF((TDBC-$AW102)*24&lt;24,1,IF((TDBC-$AW102)*24&lt;72,2,IF((TDBC-$AW102)*24&lt;168,3,4)))+IF($B102="Đột xuất",IFERROR(INDEX({2,1,0,-1},MATCH($L102,{"Khẩn cấp","Cao","Trung bình","Thấp"},0)),0),IF($D102="PCCC và an ninh",1,0))))))</f>
      </c>
    </row>
    <row r="103">
      <c r="A103" s="216"/>
      <c r="B103" s="216"/>
      <c r="C103" s="218"/>
      <c r="D103" s="218"/>
      <c r="E103" s="218"/>
      <c r="F103" s="216"/>
      <c r="G103" s="218"/>
      <c r="H103" s="218"/>
      <c r="I103" s="231"/>
      <c r="J103" s="217"/>
      <c r="K103" s="217"/>
      <c r="L103" s="216"/>
      <c r="M103" s="216"/>
      <c r="N103" s="218"/>
      <c r="O103" s="218"/>
      <c r="P103" s="218"/>
      <c r="Q103" s="218"/>
      <c r="R103" s="219"/>
      <c r="S103" s="216"/>
      <c r="T103" s="232"/>
      <c r="U103" s="232"/>
      <c r="V103" s="218"/>
      <c r="W103" s="218"/>
      <c r="X103" s="220">
        <f>IF($A103="","",IF(OR($B103="Định kỳ",$AA103="Hoàn thành"),MAX(_xlfn.MAXIFS('Nhật ký tiến độ'!$B$6:$B$3005,'Nhật ký tiến độ'!$C$6:$C$3005,$A103,'Nhật ký tiến độ'!$E$6:$E$3005,"Hoàn thành kỳ"),_xlfn.MAXIFS('Nhật ký tiến độ'!$B$6:$B$3005,'Nhật ký tiến độ'!$C$6:$C$3005,$A103,'Nhật ký tiến độ'!$E$6:$E$3005,"Hoàn thành")),0))</f>
      </c>
      <c r="Y103" s="220">
        <f>IF($A103="","",IF($B103="Đột xuất",IF($AY103=0,"",$AY103),IF($AX103=0,"",$AX103)))</f>
      </c>
      <c r="Z103" s="223">
        <f>IF(OR($AO103=0,$AW103=0),"",IF(TDBC&gt;$AW103,"Quá "&amp;IF($B103="Định kỳ",(NgayBC-$AP103)&amp;" ngày",IF(((TDBC-$AW103)*24)&lt;1,MAX(1,ROUND(((TDBC-$AW103)*24)*60,0))&amp;" phút",IF(ROUND(((TDBC-$AW103)*24),0)&lt;24,ROUND(((TDBC-$AW103)*24),0)&amp;" giờ",INT(ROUND(((TDBC-$AW103)*24),0)/24)&amp;" ngày"&amp;IF(MOD(ROUND(((TDBC-$AW103)*24),0),24)&gt;0," "&amp;MOD(ROUND(((TDBC-$AW103)*24),0),24)&amp;" giờ","")))),IF($B103="Định kỳ",IF($AP103=NgayBC,"Hôm nay","Còn "&amp;($AP103-NgayBC)&amp;" ngày"),"Còn "&amp;IF((($AW103-TDBC)*24)&lt;1,MAX(1,ROUND((($AW103-TDBC)*24)*60,0))&amp;" phút",IF(ROUND((($AW103-TDBC)*24),0)&lt;24,ROUND((($AW103-TDBC)*24),0)&amp;" giờ",INT(ROUND((($AW103-TDBC)*24),0)/24)&amp;" ngày"&amp;IF(MOD(ROUND((($AW103-TDBC)*24),0),24)&gt;0," "&amp;MOD(ROUND((($AW103-TDBC)*24),0),24)&amp;" giờ",""))))))</f>
      </c>
      <c r="AA103" s="221">
        <f>IF($A103="","",IF(N($AM103)=0,"Chưa bắt đầu",IF(OR($AN103="Hoàn thành kỳ",$AN103="Hoàn thành"),IF($B103="Định kỳ","Chưa bắt đầu","Hoàn thành"),$AN103)))</f>
      </c>
      <c r="AB103" s="222">
        <f>IF($A103="","",IF($AA103="Hoàn thành",1,IF(OR(N($AM103)=0,$AN103="Hoàn thành kỳ",$AN103="Hoàn thành"),0,N(INDEX('Nhật ký tiến độ'!$D:$D,$AM103)))))</f>
      </c>
      <c r="AC103" s="222">
        <f>IF(OR($A103="",$B103&lt;&gt;"Đột xuất",$AA103="Hoàn thành",N($J103)=0,$AW103=0),"",IF(TDBC&lt;=$J103,0,IF(TDBC&gt;=$AW103,1,(TDBC-$J103)/($AW103-$J103))))</f>
      </c>
      <c r="AD103" s="223">
        <f>IF($A103="","",IF($AA103="Hoàn thành","Hoàn thành",IF($AW103=0,"Chưa đặt hạn",IF(TDBC&gt;$AW103,"Quá hạn",IF(AND($B103="Đột xuất",ROUND((N($AC103)-$AB103)*100,0)&gt;=20),"Chậm tiến độ",IF($AP103=NgayBC,"Đến hạn hôm nay",IF($B103="Đột xuất",IF($AW103-TDBC&lt;=1,"Sắp đến hạn","Đúng tiến độ"),IF($AP103-NgayBC&lt;=3,"Sắp đến hạn","Theo lịch"))))))))</f>
      </c>
      <c r="AE103" s="223">
        <f>IF($AV103="","",IF($B103="Định kỳ","Bình quân "&amp;IF($AV103&lt;1,MAX(1,ROUND($AV103*60,0))&amp;" phút",IF(ROUND($AV103,0)&lt;24,ROUND($AV103,0)&amp;" giờ",INT(ROUND($AV103,0)/24)&amp;" ngày"&amp;IF(MOD(ROUND($AV103,0),24)&gt;0," "&amp;MOD(ROUND($AV103,0),24)&amp;" giờ","")))&amp;" mỗi kỳ",IF($AV103&lt;1,MAX(1,ROUND($AV103*60,0))&amp;" phút",IF(ROUND($AV103,0)&lt;24,ROUND($AV103,0)&amp;" giờ",INT(ROUND($AV103,0)/24)&amp;" ngày"&amp;IF(MOD(ROUND($AV103,0),24)&gt;0," "&amp;MOD(ROUND($AV103,0),24)&amp;" giờ","")))))</f>
      </c>
      <c r="AF103" s="223">
        <f>IF(OR($A103="",N($AU103)=0),"",IF($AV103&lt;&gt;"",IF($AV103&lt;=$AU103,"Trong ước tính","Vượt "&amp;IF(($AV103-$AU103)&lt;1,MAX(1,ROUND(($AV103-$AU103)*60,0))&amp;" phút",IF(ROUND(($AV103-$AU103),0)&lt;24,ROUND(($AV103-$AU103),0)&amp;" giờ",INT(ROUND(($AV103-$AU103),0)/24)&amp;" ngày"&amp;IF(MOD(ROUND(($AV103-$AU103),0),24)&gt;0," "&amp;MOD(ROUND(($AV103-$AU103),0),24)&amp;" giờ","")))),IF(OR($B103&lt;&gt;"Đột xuất",$AA103="Hoàn thành",N($J103)=0),"",IF((TDBC-$J103)*24&gt;$AU103,"Đã vượt ước tính","Đã dùng "&amp;TEXT((TDBC-$J103)*24/$AU103,"0%")))))</f>
      </c>
      <c r="AG103" s="223">
        <f>IF(N($BB103)=0,"",CHOOSE($BB103,"Nhắc nhở","Cảnh báo","Báo động","Báo động đỏ"))</f>
      </c>
      <c r="AH103" s="223">
        <f>IF(OR($B103&lt;&gt;"Đột xuất",$AA103&lt;&gt;"Hoàn thành",N($X103)=0,$AW103=0),"",IF($X103&lt;=$AW103,"Đúng hạn","Trễ hạn"))</f>
      </c>
      <c r="AI103" s="220">
        <f>IF($A103="","",_xlfn.MAXIFS('Nhật ký tiến độ'!$B$6:$B$3005,'Nhật ký tiến độ'!$C$6:$C$3005,$A103))</f>
      </c>
      <c r="AJ103" s="225">
        <f>IF(OR($A103="",$B103&lt;&gt;"Định kỳ"),0,IFERROR(INDEX(DM_TanSuatNgay,MATCH($H103,DM_TanSuat,0)),0))</f>
      </c>
      <c r="AK103" s="225">
        <f>IF(OR($A103="",$B103&lt;&gt;"Định kỳ"),0,IFERROR(INDEX(DM_TanSuatThang,MATCH($H103,DM_TanSuat,0)),0))</f>
      </c>
      <c r="AL103" s="225">
        <f>IF(OR($A103="",$B103&lt;&gt;"Định kỳ",N($X103)=0,N($I103)=0),"",IF(INT($X103)&lt;$I103,0,IF($AJ103&gt;0,ROUND((INT($X103)-$I103)/$AJ103,0),IF($AK103&gt;0,ROUND((DATEDIF($I103,INT($X103),"m")+(INT($X103)-EDATE($I103,DATEDIF($I103,INT($X103),"m")))/(EDATE($I103,DATEDIF($I103,INT($X103),"m")+1)-EDATE($I103,DATEDIF($I103,INT($X103),"m"))))/$AK103,0),0))))</f>
      </c>
      <c r="AM103" s="225">
        <f>IF($A103="","",IF(COUNTIF('Nhật ký tiến độ'!$C$6:$C$3005,$A103)=0,0,_xlfn.MAXIFS('Nhật ký tiến độ'!$N$6:$N$3005,'Nhật ký tiến độ'!$C$6:$C$3005,$A103,'Nhật ký tiến độ'!$B$6:$B$3005,_xlfn.MAXIFS('Nhật ký tiến độ'!$B$6:$B$3005,'Nhật ký tiến độ'!$C$6:$C$3005,$A103))))</f>
      </c>
      <c r="AN103" s="225">
        <f>IF($A103="","",IF(N($AM103)=0,"",INDEX('Nhật ký tiến độ'!$E:$E,$AM103)))</f>
      </c>
      <c r="AO103" s="225">
        <f>IF($A103="",0,IF($AA103="Hoàn thành",0,1))</f>
      </c>
      <c r="AP103" s="225">
        <f>IF($AO103=0,0,INT(N($AW103)))</f>
      </c>
      <c r="AQ103" s="225">
        <f>IF(AND($AO103=1,$AJ103&gt;1),$AJ103,0)</f>
      </c>
      <c r="AR103" s="225">
        <f>IF(AND($AO103=1,$AJ103=1),1,0)</f>
      </c>
      <c r="AS103" s="225">
        <f>IF(OR($AO103=0,AND($AR103=1,N($BB103)=0)),"",IF(N($BB103)&gt;0,5-$BB103,IF($AD103="Chậm tiến độ",6,IF($AD103="Đến hạn hôm nay",7,IF(AND($AP103&gt;0,$AP103-NgayBC&lt;=7),8,"")))))</f>
      </c>
      <c r="AT103" s="225">
        <f>IF($AS103="","",$AS103*100000+$AP103+ROW()/100000)</f>
      </c>
      <c r="AU103" s="224">
        <f>IF(OR($A103="",N($R103)&lt;=0),"",IF($S103="Ngày",$R103*24,$R103))</f>
      </c>
      <c r="AV103" s="224">
        <f>IF($A103="","",IF($B103="Đột xuất",IF(OR($AA103&lt;&gt;"Hoàn thành",N($X103)=0,N($J103)=0),"",IF($X103&lt;$J103,"",($X103-$J103)*24)),IFERROR(AVERAGEIFS('Nhật ký tiến độ'!$H$6:$H$3005,'Nhật ký tiến độ'!$C$6:$C$3005,$A103,'Nhật ký tiến độ'!$H$6:$H$3005,"&gt;0"),"")))</f>
      </c>
      <c r="AW103" s="233">
        <f>IF($A103="",0,IF($B103="Đột xuất",$AY103,IF($AX103=0,0,$AX103+1-1/1440)))</f>
      </c>
      <c r="AX103" s="234">
        <f>IF(OR($A103="",$B103&lt;&gt;"Định kỳ",N($I103)=0),0,IF($AL103="",$I103,IF($AJ103&gt;0,$I103+($AL103+1)*$AJ103,IF($AK103&gt;0,EDATE($I103,($AL103+1)*$AK103),$I103))))</f>
      </c>
      <c r="AY103" s="233">
        <f>IF(OR($A103="",$B103&lt;&gt;"Đột xuất"),0,IF(N($K103)&gt;0,IF(MOD($K103,1)=0,$K103+1-1/1440,$K103),IF(N($J103)=0,0,$J103+IF(N($AU103)&gt;0,$AU103,IFERROR(INDEX(DM_SLA_Gio,MATCH($L103,DM_SLA_Cap,0)),168))/24)))</f>
      </c>
      <c r="AZ103" s="225">
        <f>IF(OR($A103="",TRIM($N103)="",COUNTIF('Phản ánh'!$K$6:$K$505,$N103)&gt;0,COUNTIF($N$6:$N103,$N103)&gt;1),0,1)</f>
      </c>
      <c r="BA103" s="225">
        <f>IF($AZ103=1,SUM($AZ$6:$AZ103),"")</f>
      </c>
      <c r="BB103" s="225">
        <f>IF(OR($AO103=0,N($AW103)=0),0,IF(TDBC&lt;=$AW103,0,MAX(1,MIN(4,IF((TDBC-$AW103)*24&lt;24,1,IF((TDBC-$AW103)*24&lt;72,2,IF((TDBC-$AW103)*24&lt;168,3,4)))+IF($B103="Đột xuất",IFERROR(INDEX({2,1,0,-1},MATCH($L103,{"Khẩn cấp","Cao","Trung bình","Thấp"},0)),0),IF($D103="PCCC và an ninh",1,0))))))</f>
      </c>
    </row>
    <row r="104">
      <c r="A104" s="216"/>
      <c r="B104" s="216"/>
      <c r="C104" s="218"/>
      <c r="D104" s="218"/>
      <c r="E104" s="218"/>
      <c r="F104" s="216"/>
      <c r="G104" s="218"/>
      <c r="H104" s="218"/>
      <c r="I104" s="231"/>
      <c r="J104" s="217"/>
      <c r="K104" s="217"/>
      <c r="L104" s="216"/>
      <c r="M104" s="216"/>
      <c r="N104" s="218"/>
      <c r="O104" s="218"/>
      <c r="P104" s="218"/>
      <c r="Q104" s="218"/>
      <c r="R104" s="219"/>
      <c r="S104" s="216"/>
      <c r="T104" s="232"/>
      <c r="U104" s="232"/>
      <c r="V104" s="218"/>
      <c r="W104" s="218"/>
      <c r="X104" s="220">
        <f>IF($A104="","",IF(OR($B104="Định kỳ",$AA104="Hoàn thành"),MAX(_xlfn.MAXIFS('Nhật ký tiến độ'!$B$6:$B$3005,'Nhật ký tiến độ'!$C$6:$C$3005,$A104,'Nhật ký tiến độ'!$E$6:$E$3005,"Hoàn thành kỳ"),_xlfn.MAXIFS('Nhật ký tiến độ'!$B$6:$B$3005,'Nhật ký tiến độ'!$C$6:$C$3005,$A104,'Nhật ký tiến độ'!$E$6:$E$3005,"Hoàn thành")),0))</f>
      </c>
      <c r="Y104" s="220">
        <f>IF($A104="","",IF($B104="Đột xuất",IF($AY104=0,"",$AY104),IF($AX104=0,"",$AX104)))</f>
      </c>
      <c r="Z104" s="223">
        <f>IF(OR($AO104=0,$AW104=0),"",IF(TDBC&gt;$AW104,"Quá "&amp;IF($B104="Định kỳ",(NgayBC-$AP104)&amp;" ngày",IF(((TDBC-$AW104)*24)&lt;1,MAX(1,ROUND(((TDBC-$AW104)*24)*60,0))&amp;" phút",IF(ROUND(((TDBC-$AW104)*24),0)&lt;24,ROUND(((TDBC-$AW104)*24),0)&amp;" giờ",INT(ROUND(((TDBC-$AW104)*24),0)/24)&amp;" ngày"&amp;IF(MOD(ROUND(((TDBC-$AW104)*24),0),24)&gt;0," "&amp;MOD(ROUND(((TDBC-$AW104)*24),0),24)&amp;" giờ","")))),IF($B104="Định kỳ",IF($AP104=NgayBC,"Hôm nay","Còn "&amp;($AP104-NgayBC)&amp;" ngày"),"Còn "&amp;IF((($AW104-TDBC)*24)&lt;1,MAX(1,ROUND((($AW104-TDBC)*24)*60,0))&amp;" phút",IF(ROUND((($AW104-TDBC)*24),0)&lt;24,ROUND((($AW104-TDBC)*24),0)&amp;" giờ",INT(ROUND((($AW104-TDBC)*24),0)/24)&amp;" ngày"&amp;IF(MOD(ROUND((($AW104-TDBC)*24),0),24)&gt;0," "&amp;MOD(ROUND((($AW104-TDBC)*24),0),24)&amp;" giờ",""))))))</f>
      </c>
      <c r="AA104" s="221">
        <f>IF($A104="","",IF(N($AM104)=0,"Chưa bắt đầu",IF(OR($AN104="Hoàn thành kỳ",$AN104="Hoàn thành"),IF($B104="Định kỳ","Chưa bắt đầu","Hoàn thành"),$AN104)))</f>
      </c>
      <c r="AB104" s="222">
        <f>IF($A104="","",IF($AA104="Hoàn thành",1,IF(OR(N($AM104)=0,$AN104="Hoàn thành kỳ",$AN104="Hoàn thành"),0,N(INDEX('Nhật ký tiến độ'!$D:$D,$AM104)))))</f>
      </c>
      <c r="AC104" s="222">
        <f>IF(OR($A104="",$B104&lt;&gt;"Đột xuất",$AA104="Hoàn thành",N($J104)=0,$AW104=0),"",IF(TDBC&lt;=$J104,0,IF(TDBC&gt;=$AW104,1,(TDBC-$J104)/($AW104-$J104))))</f>
      </c>
      <c r="AD104" s="223">
        <f>IF($A104="","",IF($AA104="Hoàn thành","Hoàn thành",IF($AW104=0,"Chưa đặt hạn",IF(TDBC&gt;$AW104,"Quá hạn",IF(AND($B104="Đột xuất",ROUND((N($AC104)-$AB104)*100,0)&gt;=20),"Chậm tiến độ",IF($AP104=NgayBC,"Đến hạn hôm nay",IF($B104="Đột xuất",IF($AW104-TDBC&lt;=1,"Sắp đến hạn","Đúng tiến độ"),IF($AP104-NgayBC&lt;=3,"Sắp đến hạn","Theo lịch"))))))))</f>
      </c>
      <c r="AE104" s="223">
        <f>IF($AV104="","",IF($B104="Định kỳ","Bình quân "&amp;IF($AV104&lt;1,MAX(1,ROUND($AV104*60,0))&amp;" phút",IF(ROUND($AV104,0)&lt;24,ROUND($AV104,0)&amp;" giờ",INT(ROUND($AV104,0)/24)&amp;" ngày"&amp;IF(MOD(ROUND($AV104,0),24)&gt;0," "&amp;MOD(ROUND($AV104,0),24)&amp;" giờ","")))&amp;" mỗi kỳ",IF($AV104&lt;1,MAX(1,ROUND($AV104*60,0))&amp;" phút",IF(ROUND($AV104,0)&lt;24,ROUND($AV104,0)&amp;" giờ",INT(ROUND($AV104,0)/24)&amp;" ngày"&amp;IF(MOD(ROUND($AV104,0),24)&gt;0," "&amp;MOD(ROUND($AV104,0),24)&amp;" giờ","")))))</f>
      </c>
      <c r="AF104" s="223">
        <f>IF(OR($A104="",N($AU104)=0),"",IF($AV104&lt;&gt;"",IF($AV104&lt;=$AU104,"Trong ước tính","Vượt "&amp;IF(($AV104-$AU104)&lt;1,MAX(1,ROUND(($AV104-$AU104)*60,0))&amp;" phút",IF(ROUND(($AV104-$AU104),0)&lt;24,ROUND(($AV104-$AU104),0)&amp;" giờ",INT(ROUND(($AV104-$AU104),0)/24)&amp;" ngày"&amp;IF(MOD(ROUND(($AV104-$AU104),0),24)&gt;0," "&amp;MOD(ROUND(($AV104-$AU104),0),24)&amp;" giờ","")))),IF(OR($B104&lt;&gt;"Đột xuất",$AA104="Hoàn thành",N($J104)=0),"",IF((TDBC-$J104)*24&gt;$AU104,"Đã vượt ước tính","Đã dùng "&amp;TEXT((TDBC-$J104)*24/$AU104,"0%")))))</f>
      </c>
      <c r="AG104" s="223">
        <f>IF(N($BB104)=0,"",CHOOSE($BB104,"Nhắc nhở","Cảnh báo","Báo động","Báo động đỏ"))</f>
      </c>
      <c r="AH104" s="223">
        <f>IF(OR($B104&lt;&gt;"Đột xuất",$AA104&lt;&gt;"Hoàn thành",N($X104)=0,$AW104=0),"",IF($X104&lt;=$AW104,"Đúng hạn","Trễ hạn"))</f>
      </c>
      <c r="AI104" s="220">
        <f>IF($A104="","",_xlfn.MAXIFS('Nhật ký tiến độ'!$B$6:$B$3005,'Nhật ký tiến độ'!$C$6:$C$3005,$A104))</f>
      </c>
      <c r="AJ104" s="225">
        <f>IF(OR($A104="",$B104&lt;&gt;"Định kỳ"),0,IFERROR(INDEX(DM_TanSuatNgay,MATCH($H104,DM_TanSuat,0)),0))</f>
      </c>
      <c r="AK104" s="225">
        <f>IF(OR($A104="",$B104&lt;&gt;"Định kỳ"),0,IFERROR(INDEX(DM_TanSuatThang,MATCH($H104,DM_TanSuat,0)),0))</f>
      </c>
      <c r="AL104" s="225">
        <f>IF(OR($A104="",$B104&lt;&gt;"Định kỳ",N($X104)=0,N($I104)=0),"",IF(INT($X104)&lt;$I104,0,IF($AJ104&gt;0,ROUND((INT($X104)-$I104)/$AJ104,0),IF($AK104&gt;0,ROUND((DATEDIF($I104,INT($X104),"m")+(INT($X104)-EDATE($I104,DATEDIF($I104,INT($X104),"m")))/(EDATE($I104,DATEDIF($I104,INT($X104),"m")+1)-EDATE($I104,DATEDIF($I104,INT($X104),"m"))))/$AK104,0),0))))</f>
      </c>
      <c r="AM104" s="225">
        <f>IF($A104="","",IF(COUNTIF('Nhật ký tiến độ'!$C$6:$C$3005,$A104)=0,0,_xlfn.MAXIFS('Nhật ký tiến độ'!$N$6:$N$3005,'Nhật ký tiến độ'!$C$6:$C$3005,$A104,'Nhật ký tiến độ'!$B$6:$B$3005,_xlfn.MAXIFS('Nhật ký tiến độ'!$B$6:$B$3005,'Nhật ký tiến độ'!$C$6:$C$3005,$A104))))</f>
      </c>
      <c r="AN104" s="225">
        <f>IF($A104="","",IF(N($AM104)=0,"",INDEX('Nhật ký tiến độ'!$E:$E,$AM104)))</f>
      </c>
      <c r="AO104" s="225">
        <f>IF($A104="",0,IF($AA104="Hoàn thành",0,1))</f>
      </c>
      <c r="AP104" s="225">
        <f>IF($AO104=0,0,INT(N($AW104)))</f>
      </c>
      <c r="AQ104" s="225">
        <f>IF(AND($AO104=1,$AJ104&gt;1),$AJ104,0)</f>
      </c>
      <c r="AR104" s="225">
        <f>IF(AND($AO104=1,$AJ104=1),1,0)</f>
      </c>
      <c r="AS104" s="225">
        <f>IF(OR($AO104=0,AND($AR104=1,N($BB104)=0)),"",IF(N($BB104)&gt;0,5-$BB104,IF($AD104="Chậm tiến độ",6,IF($AD104="Đến hạn hôm nay",7,IF(AND($AP104&gt;0,$AP104-NgayBC&lt;=7),8,"")))))</f>
      </c>
      <c r="AT104" s="225">
        <f>IF($AS104="","",$AS104*100000+$AP104+ROW()/100000)</f>
      </c>
      <c r="AU104" s="224">
        <f>IF(OR($A104="",N($R104)&lt;=0),"",IF($S104="Ngày",$R104*24,$R104))</f>
      </c>
      <c r="AV104" s="224">
        <f>IF($A104="","",IF($B104="Đột xuất",IF(OR($AA104&lt;&gt;"Hoàn thành",N($X104)=0,N($J104)=0),"",IF($X104&lt;$J104,"",($X104-$J104)*24)),IFERROR(AVERAGEIFS('Nhật ký tiến độ'!$H$6:$H$3005,'Nhật ký tiến độ'!$C$6:$C$3005,$A104,'Nhật ký tiến độ'!$H$6:$H$3005,"&gt;0"),"")))</f>
      </c>
      <c r="AW104" s="233">
        <f>IF($A104="",0,IF($B104="Đột xuất",$AY104,IF($AX104=0,0,$AX104+1-1/1440)))</f>
      </c>
      <c r="AX104" s="234">
        <f>IF(OR($A104="",$B104&lt;&gt;"Định kỳ",N($I104)=0),0,IF($AL104="",$I104,IF($AJ104&gt;0,$I104+($AL104+1)*$AJ104,IF($AK104&gt;0,EDATE($I104,($AL104+1)*$AK104),$I104))))</f>
      </c>
      <c r="AY104" s="233">
        <f>IF(OR($A104="",$B104&lt;&gt;"Đột xuất"),0,IF(N($K104)&gt;0,IF(MOD($K104,1)=0,$K104+1-1/1440,$K104),IF(N($J104)=0,0,$J104+IF(N($AU104)&gt;0,$AU104,IFERROR(INDEX(DM_SLA_Gio,MATCH($L104,DM_SLA_Cap,0)),168))/24)))</f>
      </c>
      <c r="AZ104" s="225">
        <f>IF(OR($A104="",TRIM($N104)="",COUNTIF('Phản ánh'!$K$6:$K$505,$N104)&gt;0,COUNTIF($N$6:$N104,$N104)&gt;1),0,1)</f>
      </c>
      <c r="BA104" s="225">
        <f>IF($AZ104=1,SUM($AZ$6:$AZ104),"")</f>
      </c>
      <c r="BB104" s="225">
        <f>IF(OR($AO104=0,N($AW104)=0),0,IF(TDBC&lt;=$AW104,0,MAX(1,MIN(4,IF((TDBC-$AW104)*24&lt;24,1,IF((TDBC-$AW104)*24&lt;72,2,IF((TDBC-$AW104)*24&lt;168,3,4)))+IF($B104="Đột xuất",IFERROR(INDEX({2,1,0,-1},MATCH($L104,{"Khẩn cấp","Cao","Trung bình","Thấp"},0)),0),IF($D104="PCCC và an ninh",1,0))))))</f>
      </c>
    </row>
    <row r="105">
      <c r="A105" s="216"/>
      <c r="B105" s="216"/>
      <c r="C105" s="218"/>
      <c r="D105" s="218"/>
      <c r="E105" s="218"/>
      <c r="F105" s="216"/>
      <c r="G105" s="218"/>
      <c r="H105" s="218"/>
      <c r="I105" s="231"/>
      <c r="J105" s="217"/>
      <c r="K105" s="217"/>
      <c r="L105" s="216"/>
      <c r="M105" s="216"/>
      <c r="N105" s="218"/>
      <c r="O105" s="218"/>
      <c r="P105" s="218"/>
      <c r="Q105" s="218"/>
      <c r="R105" s="219"/>
      <c r="S105" s="216"/>
      <c r="T105" s="232"/>
      <c r="U105" s="232"/>
      <c r="V105" s="218"/>
      <c r="W105" s="218"/>
      <c r="X105" s="220">
        <f>IF($A105="","",IF(OR($B105="Định kỳ",$AA105="Hoàn thành"),MAX(_xlfn.MAXIFS('Nhật ký tiến độ'!$B$6:$B$3005,'Nhật ký tiến độ'!$C$6:$C$3005,$A105,'Nhật ký tiến độ'!$E$6:$E$3005,"Hoàn thành kỳ"),_xlfn.MAXIFS('Nhật ký tiến độ'!$B$6:$B$3005,'Nhật ký tiến độ'!$C$6:$C$3005,$A105,'Nhật ký tiến độ'!$E$6:$E$3005,"Hoàn thành")),0))</f>
      </c>
      <c r="Y105" s="220">
        <f>IF($A105="","",IF($B105="Đột xuất",IF($AY105=0,"",$AY105),IF($AX105=0,"",$AX105)))</f>
      </c>
      <c r="Z105" s="223">
        <f>IF(OR($AO105=0,$AW105=0),"",IF(TDBC&gt;$AW105,"Quá "&amp;IF($B105="Định kỳ",(NgayBC-$AP105)&amp;" ngày",IF(((TDBC-$AW105)*24)&lt;1,MAX(1,ROUND(((TDBC-$AW105)*24)*60,0))&amp;" phút",IF(ROUND(((TDBC-$AW105)*24),0)&lt;24,ROUND(((TDBC-$AW105)*24),0)&amp;" giờ",INT(ROUND(((TDBC-$AW105)*24),0)/24)&amp;" ngày"&amp;IF(MOD(ROUND(((TDBC-$AW105)*24),0),24)&gt;0," "&amp;MOD(ROUND(((TDBC-$AW105)*24),0),24)&amp;" giờ","")))),IF($B105="Định kỳ",IF($AP105=NgayBC,"Hôm nay","Còn "&amp;($AP105-NgayBC)&amp;" ngày"),"Còn "&amp;IF((($AW105-TDBC)*24)&lt;1,MAX(1,ROUND((($AW105-TDBC)*24)*60,0))&amp;" phút",IF(ROUND((($AW105-TDBC)*24),0)&lt;24,ROUND((($AW105-TDBC)*24),0)&amp;" giờ",INT(ROUND((($AW105-TDBC)*24),0)/24)&amp;" ngày"&amp;IF(MOD(ROUND((($AW105-TDBC)*24),0),24)&gt;0," "&amp;MOD(ROUND((($AW105-TDBC)*24),0),24)&amp;" giờ",""))))))</f>
      </c>
      <c r="AA105" s="221">
        <f>IF($A105="","",IF(N($AM105)=0,"Chưa bắt đầu",IF(OR($AN105="Hoàn thành kỳ",$AN105="Hoàn thành"),IF($B105="Định kỳ","Chưa bắt đầu","Hoàn thành"),$AN105)))</f>
      </c>
      <c r="AB105" s="222">
        <f>IF($A105="","",IF($AA105="Hoàn thành",1,IF(OR(N($AM105)=0,$AN105="Hoàn thành kỳ",$AN105="Hoàn thành"),0,N(INDEX('Nhật ký tiến độ'!$D:$D,$AM105)))))</f>
      </c>
      <c r="AC105" s="222">
        <f>IF(OR($A105="",$B105&lt;&gt;"Đột xuất",$AA105="Hoàn thành",N($J105)=0,$AW105=0),"",IF(TDBC&lt;=$J105,0,IF(TDBC&gt;=$AW105,1,(TDBC-$J105)/($AW105-$J105))))</f>
      </c>
      <c r="AD105" s="223">
        <f>IF($A105="","",IF($AA105="Hoàn thành","Hoàn thành",IF($AW105=0,"Chưa đặt hạn",IF(TDBC&gt;$AW105,"Quá hạn",IF(AND($B105="Đột xuất",ROUND((N($AC105)-$AB105)*100,0)&gt;=20),"Chậm tiến độ",IF($AP105=NgayBC,"Đến hạn hôm nay",IF($B105="Đột xuất",IF($AW105-TDBC&lt;=1,"Sắp đến hạn","Đúng tiến độ"),IF($AP105-NgayBC&lt;=3,"Sắp đến hạn","Theo lịch"))))))))</f>
      </c>
      <c r="AE105" s="223">
        <f>IF($AV105="","",IF($B105="Định kỳ","Bình quân "&amp;IF($AV105&lt;1,MAX(1,ROUND($AV105*60,0))&amp;" phút",IF(ROUND($AV105,0)&lt;24,ROUND($AV105,0)&amp;" giờ",INT(ROUND($AV105,0)/24)&amp;" ngày"&amp;IF(MOD(ROUND($AV105,0),24)&gt;0," "&amp;MOD(ROUND($AV105,0),24)&amp;" giờ","")))&amp;" mỗi kỳ",IF($AV105&lt;1,MAX(1,ROUND($AV105*60,0))&amp;" phút",IF(ROUND($AV105,0)&lt;24,ROUND($AV105,0)&amp;" giờ",INT(ROUND($AV105,0)/24)&amp;" ngày"&amp;IF(MOD(ROUND($AV105,0),24)&gt;0," "&amp;MOD(ROUND($AV105,0),24)&amp;" giờ","")))))</f>
      </c>
      <c r="AF105" s="223">
        <f>IF(OR($A105="",N($AU105)=0),"",IF($AV105&lt;&gt;"",IF($AV105&lt;=$AU105,"Trong ước tính","Vượt "&amp;IF(($AV105-$AU105)&lt;1,MAX(1,ROUND(($AV105-$AU105)*60,0))&amp;" phút",IF(ROUND(($AV105-$AU105),0)&lt;24,ROUND(($AV105-$AU105),0)&amp;" giờ",INT(ROUND(($AV105-$AU105),0)/24)&amp;" ngày"&amp;IF(MOD(ROUND(($AV105-$AU105),0),24)&gt;0," "&amp;MOD(ROUND(($AV105-$AU105),0),24)&amp;" giờ","")))),IF(OR($B105&lt;&gt;"Đột xuất",$AA105="Hoàn thành",N($J105)=0),"",IF((TDBC-$J105)*24&gt;$AU105,"Đã vượt ước tính","Đã dùng "&amp;TEXT((TDBC-$J105)*24/$AU105,"0%")))))</f>
      </c>
      <c r="AG105" s="223">
        <f>IF(N($BB105)=0,"",CHOOSE($BB105,"Nhắc nhở","Cảnh báo","Báo động","Báo động đỏ"))</f>
      </c>
      <c r="AH105" s="223">
        <f>IF(OR($B105&lt;&gt;"Đột xuất",$AA105&lt;&gt;"Hoàn thành",N($X105)=0,$AW105=0),"",IF($X105&lt;=$AW105,"Đúng hạn","Trễ hạn"))</f>
      </c>
      <c r="AI105" s="220">
        <f>IF($A105="","",_xlfn.MAXIFS('Nhật ký tiến độ'!$B$6:$B$3005,'Nhật ký tiến độ'!$C$6:$C$3005,$A105))</f>
      </c>
      <c r="AJ105" s="225">
        <f>IF(OR($A105="",$B105&lt;&gt;"Định kỳ"),0,IFERROR(INDEX(DM_TanSuatNgay,MATCH($H105,DM_TanSuat,0)),0))</f>
      </c>
      <c r="AK105" s="225">
        <f>IF(OR($A105="",$B105&lt;&gt;"Định kỳ"),0,IFERROR(INDEX(DM_TanSuatThang,MATCH($H105,DM_TanSuat,0)),0))</f>
      </c>
      <c r="AL105" s="225">
        <f>IF(OR($A105="",$B105&lt;&gt;"Định kỳ",N($X105)=0,N($I105)=0),"",IF(INT($X105)&lt;$I105,0,IF($AJ105&gt;0,ROUND((INT($X105)-$I105)/$AJ105,0),IF($AK105&gt;0,ROUND((DATEDIF($I105,INT($X105),"m")+(INT($X105)-EDATE($I105,DATEDIF($I105,INT($X105),"m")))/(EDATE($I105,DATEDIF($I105,INT($X105),"m")+1)-EDATE($I105,DATEDIF($I105,INT($X105),"m"))))/$AK105,0),0))))</f>
      </c>
      <c r="AM105" s="225">
        <f>IF($A105="","",IF(COUNTIF('Nhật ký tiến độ'!$C$6:$C$3005,$A105)=0,0,_xlfn.MAXIFS('Nhật ký tiến độ'!$N$6:$N$3005,'Nhật ký tiến độ'!$C$6:$C$3005,$A105,'Nhật ký tiến độ'!$B$6:$B$3005,_xlfn.MAXIFS('Nhật ký tiến độ'!$B$6:$B$3005,'Nhật ký tiến độ'!$C$6:$C$3005,$A105))))</f>
      </c>
      <c r="AN105" s="225">
        <f>IF($A105="","",IF(N($AM105)=0,"",INDEX('Nhật ký tiến độ'!$E:$E,$AM105)))</f>
      </c>
      <c r="AO105" s="225">
        <f>IF($A105="",0,IF($AA105="Hoàn thành",0,1))</f>
      </c>
      <c r="AP105" s="225">
        <f>IF($AO105=0,0,INT(N($AW105)))</f>
      </c>
      <c r="AQ105" s="225">
        <f>IF(AND($AO105=1,$AJ105&gt;1),$AJ105,0)</f>
      </c>
      <c r="AR105" s="225">
        <f>IF(AND($AO105=1,$AJ105=1),1,0)</f>
      </c>
      <c r="AS105" s="225">
        <f>IF(OR($AO105=0,AND($AR105=1,N($BB105)=0)),"",IF(N($BB105)&gt;0,5-$BB105,IF($AD105="Chậm tiến độ",6,IF($AD105="Đến hạn hôm nay",7,IF(AND($AP105&gt;0,$AP105-NgayBC&lt;=7),8,"")))))</f>
      </c>
      <c r="AT105" s="225">
        <f>IF($AS105="","",$AS105*100000+$AP105+ROW()/100000)</f>
      </c>
      <c r="AU105" s="224">
        <f>IF(OR($A105="",N($R105)&lt;=0),"",IF($S105="Ngày",$R105*24,$R105))</f>
      </c>
      <c r="AV105" s="224">
        <f>IF($A105="","",IF($B105="Đột xuất",IF(OR($AA105&lt;&gt;"Hoàn thành",N($X105)=0,N($J105)=0),"",IF($X105&lt;$J105,"",($X105-$J105)*24)),IFERROR(AVERAGEIFS('Nhật ký tiến độ'!$H$6:$H$3005,'Nhật ký tiến độ'!$C$6:$C$3005,$A105,'Nhật ký tiến độ'!$H$6:$H$3005,"&gt;0"),"")))</f>
      </c>
      <c r="AW105" s="233">
        <f>IF($A105="",0,IF($B105="Đột xuất",$AY105,IF($AX105=0,0,$AX105+1-1/1440)))</f>
      </c>
      <c r="AX105" s="234">
        <f>IF(OR($A105="",$B105&lt;&gt;"Định kỳ",N($I105)=0),0,IF($AL105="",$I105,IF($AJ105&gt;0,$I105+($AL105+1)*$AJ105,IF($AK105&gt;0,EDATE($I105,($AL105+1)*$AK105),$I105))))</f>
      </c>
      <c r="AY105" s="233">
        <f>IF(OR($A105="",$B105&lt;&gt;"Đột xuất"),0,IF(N($K105)&gt;0,IF(MOD($K105,1)=0,$K105+1-1/1440,$K105),IF(N($J105)=0,0,$J105+IF(N($AU105)&gt;0,$AU105,IFERROR(INDEX(DM_SLA_Gio,MATCH($L105,DM_SLA_Cap,0)),168))/24)))</f>
      </c>
      <c r="AZ105" s="225">
        <f>IF(OR($A105="",TRIM($N105)="",COUNTIF('Phản ánh'!$K$6:$K$505,$N105)&gt;0,COUNTIF($N$6:$N105,$N105)&gt;1),0,1)</f>
      </c>
      <c r="BA105" s="225">
        <f>IF($AZ105=1,SUM($AZ$6:$AZ105),"")</f>
      </c>
      <c r="BB105" s="225">
        <f>IF(OR($AO105=0,N($AW105)=0),0,IF(TDBC&lt;=$AW105,0,MAX(1,MIN(4,IF((TDBC-$AW105)*24&lt;24,1,IF((TDBC-$AW105)*24&lt;72,2,IF((TDBC-$AW105)*24&lt;168,3,4)))+IF($B105="Đột xuất",IFERROR(INDEX({2,1,0,-1},MATCH($L105,{"Khẩn cấp","Cao","Trung bình","Thấp"},0)),0),IF($D105="PCCC và an ninh",1,0))))))</f>
      </c>
    </row>
    <row r="106">
      <c r="A106" s="216"/>
      <c r="B106" s="216"/>
      <c r="C106" s="218"/>
      <c r="D106" s="218"/>
      <c r="E106" s="218"/>
      <c r="F106" s="216"/>
      <c r="G106" s="218"/>
      <c r="H106" s="218"/>
      <c r="I106" s="231"/>
      <c r="J106" s="217"/>
      <c r="K106" s="217"/>
      <c r="L106" s="216"/>
      <c r="M106" s="216"/>
      <c r="N106" s="218"/>
      <c r="O106" s="218"/>
      <c r="P106" s="218"/>
      <c r="Q106" s="218"/>
      <c r="R106" s="219"/>
      <c r="S106" s="216"/>
      <c r="T106" s="232"/>
      <c r="U106" s="232"/>
      <c r="V106" s="218"/>
      <c r="W106" s="218"/>
      <c r="X106" s="220">
        <f>IF($A106="","",IF(OR($B106="Định kỳ",$AA106="Hoàn thành"),MAX(_xlfn.MAXIFS('Nhật ký tiến độ'!$B$6:$B$3005,'Nhật ký tiến độ'!$C$6:$C$3005,$A106,'Nhật ký tiến độ'!$E$6:$E$3005,"Hoàn thành kỳ"),_xlfn.MAXIFS('Nhật ký tiến độ'!$B$6:$B$3005,'Nhật ký tiến độ'!$C$6:$C$3005,$A106,'Nhật ký tiến độ'!$E$6:$E$3005,"Hoàn thành")),0))</f>
      </c>
      <c r="Y106" s="220">
        <f>IF($A106="","",IF($B106="Đột xuất",IF($AY106=0,"",$AY106),IF($AX106=0,"",$AX106)))</f>
      </c>
      <c r="Z106" s="223">
        <f>IF(OR($AO106=0,$AW106=0),"",IF(TDBC&gt;$AW106,"Quá "&amp;IF($B106="Định kỳ",(NgayBC-$AP106)&amp;" ngày",IF(((TDBC-$AW106)*24)&lt;1,MAX(1,ROUND(((TDBC-$AW106)*24)*60,0))&amp;" phút",IF(ROUND(((TDBC-$AW106)*24),0)&lt;24,ROUND(((TDBC-$AW106)*24),0)&amp;" giờ",INT(ROUND(((TDBC-$AW106)*24),0)/24)&amp;" ngày"&amp;IF(MOD(ROUND(((TDBC-$AW106)*24),0),24)&gt;0," "&amp;MOD(ROUND(((TDBC-$AW106)*24),0),24)&amp;" giờ","")))),IF($B106="Định kỳ",IF($AP106=NgayBC,"Hôm nay","Còn "&amp;($AP106-NgayBC)&amp;" ngày"),"Còn "&amp;IF((($AW106-TDBC)*24)&lt;1,MAX(1,ROUND((($AW106-TDBC)*24)*60,0))&amp;" phút",IF(ROUND((($AW106-TDBC)*24),0)&lt;24,ROUND((($AW106-TDBC)*24),0)&amp;" giờ",INT(ROUND((($AW106-TDBC)*24),0)/24)&amp;" ngày"&amp;IF(MOD(ROUND((($AW106-TDBC)*24),0),24)&gt;0," "&amp;MOD(ROUND((($AW106-TDBC)*24),0),24)&amp;" giờ",""))))))</f>
      </c>
      <c r="AA106" s="221">
        <f>IF($A106="","",IF(N($AM106)=0,"Chưa bắt đầu",IF(OR($AN106="Hoàn thành kỳ",$AN106="Hoàn thành"),IF($B106="Định kỳ","Chưa bắt đầu","Hoàn thành"),$AN106)))</f>
      </c>
      <c r="AB106" s="222">
        <f>IF($A106="","",IF($AA106="Hoàn thành",1,IF(OR(N($AM106)=0,$AN106="Hoàn thành kỳ",$AN106="Hoàn thành"),0,N(INDEX('Nhật ký tiến độ'!$D:$D,$AM106)))))</f>
      </c>
      <c r="AC106" s="222">
        <f>IF(OR($A106="",$B106&lt;&gt;"Đột xuất",$AA106="Hoàn thành",N($J106)=0,$AW106=0),"",IF(TDBC&lt;=$J106,0,IF(TDBC&gt;=$AW106,1,(TDBC-$J106)/($AW106-$J106))))</f>
      </c>
      <c r="AD106" s="223">
        <f>IF($A106="","",IF($AA106="Hoàn thành","Hoàn thành",IF($AW106=0,"Chưa đặt hạn",IF(TDBC&gt;$AW106,"Quá hạn",IF(AND($B106="Đột xuất",ROUND((N($AC106)-$AB106)*100,0)&gt;=20),"Chậm tiến độ",IF($AP106=NgayBC,"Đến hạn hôm nay",IF($B106="Đột xuất",IF($AW106-TDBC&lt;=1,"Sắp đến hạn","Đúng tiến độ"),IF($AP106-NgayBC&lt;=3,"Sắp đến hạn","Theo lịch"))))))))</f>
      </c>
      <c r="AE106" s="223">
        <f>IF($AV106="","",IF($B106="Định kỳ","Bình quân "&amp;IF($AV106&lt;1,MAX(1,ROUND($AV106*60,0))&amp;" phút",IF(ROUND($AV106,0)&lt;24,ROUND($AV106,0)&amp;" giờ",INT(ROUND($AV106,0)/24)&amp;" ngày"&amp;IF(MOD(ROUND($AV106,0),24)&gt;0," "&amp;MOD(ROUND($AV106,0),24)&amp;" giờ","")))&amp;" mỗi kỳ",IF($AV106&lt;1,MAX(1,ROUND($AV106*60,0))&amp;" phút",IF(ROUND($AV106,0)&lt;24,ROUND($AV106,0)&amp;" giờ",INT(ROUND($AV106,0)/24)&amp;" ngày"&amp;IF(MOD(ROUND($AV106,0),24)&gt;0," "&amp;MOD(ROUND($AV106,0),24)&amp;" giờ","")))))</f>
      </c>
      <c r="AF106" s="223">
        <f>IF(OR($A106="",N($AU106)=0),"",IF($AV106&lt;&gt;"",IF($AV106&lt;=$AU106,"Trong ước tính","Vượt "&amp;IF(($AV106-$AU106)&lt;1,MAX(1,ROUND(($AV106-$AU106)*60,0))&amp;" phút",IF(ROUND(($AV106-$AU106),0)&lt;24,ROUND(($AV106-$AU106),0)&amp;" giờ",INT(ROUND(($AV106-$AU106),0)/24)&amp;" ngày"&amp;IF(MOD(ROUND(($AV106-$AU106),0),24)&gt;0," "&amp;MOD(ROUND(($AV106-$AU106),0),24)&amp;" giờ","")))),IF(OR($B106&lt;&gt;"Đột xuất",$AA106="Hoàn thành",N($J106)=0),"",IF((TDBC-$J106)*24&gt;$AU106,"Đã vượt ước tính","Đã dùng "&amp;TEXT((TDBC-$J106)*24/$AU106,"0%")))))</f>
      </c>
      <c r="AG106" s="223">
        <f>IF(N($BB106)=0,"",CHOOSE($BB106,"Nhắc nhở","Cảnh báo","Báo động","Báo động đỏ"))</f>
      </c>
      <c r="AH106" s="223">
        <f>IF(OR($B106&lt;&gt;"Đột xuất",$AA106&lt;&gt;"Hoàn thành",N($X106)=0,$AW106=0),"",IF($X106&lt;=$AW106,"Đúng hạn","Trễ hạn"))</f>
      </c>
      <c r="AI106" s="220">
        <f>IF($A106="","",_xlfn.MAXIFS('Nhật ký tiến độ'!$B$6:$B$3005,'Nhật ký tiến độ'!$C$6:$C$3005,$A106))</f>
      </c>
      <c r="AJ106" s="225">
        <f>IF(OR($A106="",$B106&lt;&gt;"Định kỳ"),0,IFERROR(INDEX(DM_TanSuatNgay,MATCH($H106,DM_TanSuat,0)),0))</f>
      </c>
      <c r="AK106" s="225">
        <f>IF(OR($A106="",$B106&lt;&gt;"Định kỳ"),0,IFERROR(INDEX(DM_TanSuatThang,MATCH($H106,DM_TanSuat,0)),0))</f>
      </c>
      <c r="AL106" s="225">
        <f>IF(OR($A106="",$B106&lt;&gt;"Định kỳ",N($X106)=0,N($I106)=0),"",IF(INT($X106)&lt;$I106,0,IF($AJ106&gt;0,ROUND((INT($X106)-$I106)/$AJ106,0),IF($AK106&gt;0,ROUND((DATEDIF($I106,INT($X106),"m")+(INT($X106)-EDATE($I106,DATEDIF($I106,INT($X106),"m")))/(EDATE($I106,DATEDIF($I106,INT($X106),"m")+1)-EDATE($I106,DATEDIF($I106,INT($X106),"m"))))/$AK106,0),0))))</f>
      </c>
      <c r="AM106" s="225">
        <f>IF($A106="","",IF(COUNTIF('Nhật ký tiến độ'!$C$6:$C$3005,$A106)=0,0,_xlfn.MAXIFS('Nhật ký tiến độ'!$N$6:$N$3005,'Nhật ký tiến độ'!$C$6:$C$3005,$A106,'Nhật ký tiến độ'!$B$6:$B$3005,_xlfn.MAXIFS('Nhật ký tiến độ'!$B$6:$B$3005,'Nhật ký tiến độ'!$C$6:$C$3005,$A106))))</f>
      </c>
      <c r="AN106" s="225">
        <f>IF($A106="","",IF(N($AM106)=0,"",INDEX('Nhật ký tiến độ'!$E:$E,$AM106)))</f>
      </c>
      <c r="AO106" s="225">
        <f>IF($A106="",0,IF($AA106="Hoàn thành",0,1))</f>
      </c>
      <c r="AP106" s="225">
        <f>IF($AO106=0,0,INT(N($AW106)))</f>
      </c>
      <c r="AQ106" s="225">
        <f>IF(AND($AO106=1,$AJ106&gt;1),$AJ106,0)</f>
      </c>
      <c r="AR106" s="225">
        <f>IF(AND($AO106=1,$AJ106=1),1,0)</f>
      </c>
      <c r="AS106" s="225">
        <f>IF(OR($AO106=0,AND($AR106=1,N($BB106)=0)),"",IF(N($BB106)&gt;0,5-$BB106,IF($AD106="Chậm tiến độ",6,IF($AD106="Đến hạn hôm nay",7,IF(AND($AP106&gt;0,$AP106-NgayBC&lt;=7),8,"")))))</f>
      </c>
      <c r="AT106" s="225">
        <f>IF($AS106="","",$AS106*100000+$AP106+ROW()/100000)</f>
      </c>
      <c r="AU106" s="224">
        <f>IF(OR($A106="",N($R106)&lt;=0),"",IF($S106="Ngày",$R106*24,$R106))</f>
      </c>
      <c r="AV106" s="224">
        <f>IF($A106="","",IF($B106="Đột xuất",IF(OR($AA106&lt;&gt;"Hoàn thành",N($X106)=0,N($J106)=0),"",IF($X106&lt;$J106,"",($X106-$J106)*24)),IFERROR(AVERAGEIFS('Nhật ký tiến độ'!$H$6:$H$3005,'Nhật ký tiến độ'!$C$6:$C$3005,$A106,'Nhật ký tiến độ'!$H$6:$H$3005,"&gt;0"),"")))</f>
      </c>
      <c r="AW106" s="233">
        <f>IF($A106="",0,IF($B106="Đột xuất",$AY106,IF($AX106=0,0,$AX106+1-1/1440)))</f>
      </c>
      <c r="AX106" s="234">
        <f>IF(OR($A106="",$B106&lt;&gt;"Định kỳ",N($I106)=0),0,IF($AL106="",$I106,IF($AJ106&gt;0,$I106+($AL106+1)*$AJ106,IF($AK106&gt;0,EDATE($I106,($AL106+1)*$AK106),$I106))))</f>
      </c>
      <c r="AY106" s="233">
        <f>IF(OR($A106="",$B106&lt;&gt;"Đột xuất"),0,IF(N($K106)&gt;0,IF(MOD($K106,1)=0,$K106+1-1/1440,$K106),IF(N($J106)=0,0,$J106+IF(N($AU106)&gt;0,$AU106,IFERROR(INDEX(DM_SLA_Gio,MATCH($L106,DM_SLA_Cap,0)),168))/24)))</f>
      </c>
      <c r="AZ106" s="225">
        <f>IF(OR($A106="",TRIM($N106)="",COUNTIF('Phản ánh'!$K$6:$K$505,$N106)&gt;0,COUNTIF($N$6:$N106,$N106)&gt;1),0,1)</f>
      </c>
      <c r="BA106" s="225">
        <f>IF($AZ106=1,SUM($AZ$6:$AZ106),"")</f>
      </c>
      <c r="BB106" s="225">
        <f>IF(OR($AO106=0,N($AW106)=0),0,IF(TDBC&lt;=$AW106,0,MAX(1,MIN(4,IF((TDBC-$AW106)*24&lt;24,1,IF((TDBC-$AW106)*24&lt;72,2,IF((TDBC-$AW106)*24&lt;168,3,4)))+IF($B106="Đột xuất",IFERROR(INDEX({2,1,0,-1},MATCH($L106,{"Khẩn cấp","Cao","Trung bình","Thấp"},0)),0),IF($D106="PCCC và an ninh",1,0))))))</f>
      </c>
    </row>
    <row r="107">
      <c r="A107" s="216"/>
      <c r="B107" s="216"/>
      <c r="C107" s="218"/>
      <c r="D107" s="218"/>
      <c r="E107" s="218"/>
      <c r="F107" s="216"/>
      <c r="G107" s="218"/>
      <c r="H107" s="218"/>
      <c r="I107" s="231"/>
      <c r="J107" s="217"/>
      <c r="K107" s="217"/>
      <c r="L107" s="216"/>
      <c r="M107" s="216"/>
      <c r="N107" s="218"/>
      <c r="O107" s="218"/>
      <c r="P107" s="218"/>
      <c r="Q107" s="218"/>
      <c r="R107" s="219"/>
      <c r="S107" s="216"/>
      <c r="T107" s="232"/>
      <c r="U107" s="232"/>
      <c r="V107" s="218"/>
      <c r="W107" s="218"/>
      <c r="X107" s="220">
        <f>IF($A107="","",IF(OR($B107="Định kỳ",$AA107="Hoàn thành"),MAX(_xlfn.MAXIFS('Nhật ký tiến độ'!$B$6:$B$3005,'Nhật ký tiến độ'!$C$6:$C$3005,$A107,'Nhật ký tiến độ'!$E$6:$E$3005,"Hoàn thành kỳ"),_xlfn.MAXIFS('Nhật ký tiến độ'!$B$6:$B$3005,'Nhật ký tiến độ'!$C$6:$C$3005,$A107,'Nhật ký tiến độ'!$E$6:$E$3005,"Hoàn thành")),0))</f>
      </c>
      <c r="Y107" s="220">
        <f>IF($A107="","",IF($B107="Đột xuất",IF($AY107=0,"",$AY107),IF($AX107=0,"",$AX107)))</f>
      </c>
      <c r="Z107" s="223">
        <f>IF(OR($AO107=0,$AW107=0),"",IF(TDBC&gt;$AW107,"Quá "&amp;IF($B107="Định kỳ",(NgayBC-$AP107)&amp;" ngày",IF(((TDBC-$AW107)*24)&lt;1,MAX(1,ROUND(((TDBC-$AW107)*24)*60,0))&amp;" phút",IF(ROUND(((TDBC-$AW107)*24),0)&lt;24,ROUND(((TDBC-$AW107)*24),0)&amp;" giờ",INT(ROUND(((TDBC-$AW107)*24),0)/24)&amp;" ngày"&amp;IF(MOD(ROUND(((TDBC-$AW107)*24),0),24)&gt;0," "&amp;MOD(ROUND(((TDBC-$AW107)*24),0),24)&amp;" giờ","")))),IF($B107="Định kỳ",IF($AP107=NgayBC,"Hôm nay","Còn "&amp;($AP107-NgayBC)&amp;" ngày"),"Còn "&amp;IF((($AW107-TDBC)*24)&lt;1,MAX(1,ROUND((($AW107-TDBC)*24)*60,0))&amp;" phút",IF(ROUND((($AW107-TDBC)*24),0)&lt;24,ROUND((($AW107-TDBC)*24),0)&amp;" giờ",INT(ROUND((($AW107-TDBC)*24),0)/24)&amp;" ngày"&amp;IF(MOD(ROUND((($AW107-TDBC)*24),0),24)&gt;0," "&amp;MOD(ROUND((($AW107-TDBC)*24),0),24)&amp;" giờ",""))))))</f>
      </c>
      <c r="AA107" s="221">
        <f>IF($A107="","",IF(N($AM107)=0,"Chưa bắt đầu",IF(OR($AN107="Hoàn thành kỳ",$AN107="Hoàn thành"),IF($B107="Định kỳ","Chưa bắt đầu","Hoàn thành"),$AN107)))</f>
      </c>
      <c r="AB107" s="222">
        <f>IF($A107="","",IF($AA107="Hoàn thành",1,IF(OR(N($AM107)=0,$AN107="Hoàn thành kỳ",$AN107="Hoàn thành"),0,N(INDEX('Nhật ký tiến độ'!$D:$D,$AM107)))))</f>
      </c>
      <c r="AC107" s="222">
        <f>IF(OR($A107="",$B107&lt;&gt;"Đột xuất",$AA107="Hoàn thành",N($J107)=0,$AW107=0),"",IF(TDBC&lt;=$J107,0,IF(TDBC&gt;=$AW107,1,(TDBC-$J107)/($AW107-$J107))))</f>
      </c>
      <c r="AD107" s="223">
        <f>IF($A107="","",IF($AA107="Hoàn thành","Hoàn thành",IF($AW107=0,"Chưa đặt hạn",IF(TDBC&gt;$AW107,"Quá hạn",IF(AND($B107="Đột xuất",ROUND((N($AC107)-$AB107)*100,0)&gt;=20),"Chậm tiến độ",IF($AP107=NgayBC,"Đến hạn hôm nay",IF($B107="Đột xuất",IF($AW107-TDBC&lt;=1,"Sắp đến hạn","Đúng tiến độ"),IF($AP107-NgayBC&lt;=3,"Sắp đến hạn","Theo lịch"))))))))</f>
      </c>
      <c r="AE107" s="223">
        <f>IF($AV107="","",IF($B107="Định kỳ","Bình quân "&amp;IF($AV107&lt;1,MAX(1,ROUND($AV107*60,0))&amp;" phút",IF(ROUND($AV107,0)&lt;24,ROUND($AV107,0)&amp;" giờ",INT(ROUND($AV107,0)/24)&amp;" ngày"&amp;IF(MOD(ROUND($AV107,0),24)&gt;0," "&amp;MOD(ROUND($AV107,0),24)&amp;" giờ","")))&amp;" mỗi kỳ",IF($AV107&lt;1,MAX(1,ROUND($AV107*60,0))&amp;" phút",IF(ROUND($AV107,0)&lt;24,ROUND($AV107,0)&amp;" giờ",INT(ROUND($AV107,0)/24)&amp;" ngày"&amp;IF(MOD(ROUND($AV107,0),24)&gt;0," "&amp;MOD(ROUND($AV107,0),24)&amp;" giờ","")))))</f>
      </c>
      <c r="AF107" s="223">
        <f>IF(OR($A107="",N($AU107)=0),"",IF($AV107&lt;&gt;"",IF($AV107&lt;=$AU107,"Trong ước tính","Vượt "&amp;IF(($AV107-$AU107)&lt;1,MAX(1,ROUND(($AV107-$AU107)*60,0))&amp;" phút",IF(ROUND(($AV107-$AU107),0)&lt;24,ROUND(($AV107-$AU107),0)&amp;" giờ",INT(ROUND(($AV107-$AU107),0)/24)&amp;" ngày"&amp;IF(MOD(ROUND(($AV107-$AU107),0),24)&gt;0," "&amp;MOD(ROUND(($AV107-$AU107),0),24)&amp;" giờ","")))),IF(OR($B107&lt;&gt;"Đột xuất",$AA107="Hoàn thành",N($J107)=0),"",IF((TDBC-$J107)*24&gt;$AU107,"Đã vượt ước tính","Đã dùng "&amp;TEXT((TDBC-$J107)*24/$AU107,"0%")))))</f>
      </c>
      <c r="AG107" s="223">
        <f>IF(N($BB107)=0,"",CHOOSE($BB107,"Nhắc nhở","Cảnh báo","Báo động","Báo động đỏ"))</f>
      </c>
      <c r="AH107" s="223">
        <f>IF(OR($B107&lt;&gt;"Đột xuất",$AA107&lt;&gt;"Hoàn thành",N($X107)=0,$AW107=0),"",IF($X107&lt;=$AW107,"Đúng hạn","Trễ hạn"))</f>
      </c>
      <c r="AI107" s="220">
        <f>IF($A107="","",_xlfn.MAXIFS('Nhật ký tiến độ'!$B$6:$B$3005,'Nhật ký tiến độ'!$C$6:$C$3005,$A107))</f>
      </c>
      <c r="AJ107" s="225">
        <f>IF(OR($A107="",$B107&lt;&gt;"Định kỳ"),0,IFERROR(INDEX(DM_TanSuatNgay,MATCH($H107,DM_TanSuat,0)),0))</f>
      </c>
      <c r="AK107" s="225">
        <f>IF(OR($A107="",$B107&lt;&gt;"Định kỳ"),0,IFERROR(INDEX(DM_TanSuatThang,MATCH($H107,DM_TanSuat,0)),0))</f>
      </c>
      <c r="AL107" s="225">
        <f>IF(OR($A107="",$B107&lt;&gt;"Định kỳ",N($X107)=0,N($I107)=0),"",IF(INT($X107)&lt;$I107,0,IF($AJ107&gt;0,ROUND((INT($X107)-$I107)/$AJ107,0),IF($AK107&gt;0,ROUND((DATEDIF($I107,INT($X107),"m")+(INT($X107)-EDATE($I107,DATEDIF($I107,INT($X107),"m")))/(EDATE($I107,DATEDIF($I107,INT($X107),"m")+1)-EDATE($I107,DATEDIF($I107,INT($X107),"m"))))/$AK107,0),0))))</f>
      </c>
      <c r="AM107" s="225">
        <f>IF($A107="","",IF(COUNTIF('Nhật ký tiến độ'!$C$6:$C$3005,$A107)=0,0,_xlfn.MAXIFS('Nhật ký tiến độ'!$N$6:$N$3005,'Nhật ký tiến độ'!$C$6:$C$3005,$A107,'Nhật ký tiến độ'!$B$6:$B$3005,_xlfn.MAXIFS('Nhật ký tiến độ'!$B$6:$B$3005,'Nhật ký tiến độ'!$C$6:$C$3005,$A107))))</f>
      </c>
      <c r="AN107" s="225">
        <f>IF($A107="","",IF(N($AM107)=0,"",INDEX('Nhật ký tiến độ'!$E:$E,$AM107)))</f>
      </c>
      <c r="AO107" s="225">
        <f>IF($A107="",0,IF($AA107="Hoàn thành",0,1))</f>
      </c>
      <c r="AP107" s="225">
        <f>IF($AO107=0,0,INT(N($AW107)))</f>
      </c>
      <c r="AQ107" s="225">
        <f>IF(AND($AO107=1,$AJ107&gt;1),$AJ107,0)</f>
      </c>
      <c r="AR107" s="225">
        <f>IF(AND($AO107=1,$AJ107=1),1,0)</f>
      </c>
      <c r="AS107" s="225">
        <f>IF(OR($AO107=0,AND($AR107=1,N($BB107)=0)),"",IF(N($BB107)&gt;0,5-$BB107,IF($AD107="Chậm tiến độ",6,IF($AD107="Đến hạn hôm nay",7,IF(AND($AP107&gt;0,$AP107-NgayBC&lt;=7),8,"")))))</f>
      </c>
      <c r="AT107" s="225">
        <f>IF($AS107="","",$AS107*100000+$AP107+ROW()/100000)</f>
      </c>
      <c r="AU107" s="224">
        <f>IF(OR($A107="",N($R107)&lt;=0),"",IF($S107="Ngày",$R107*24,$R107))</f>
      </c>
      <c r="AV107" s="224">
        <f>IF($A107="","",IF($B107="Đột xuất",IF(OR($AA107&lt;&gt;"Hoàn thành",N($X107)=0,N($J107)=0),"",IF($X107&lt;$J107,"",($X107-$J107)*24)),IFERROR(AVERAGEIFS('Nhật ký tiến độ'!$H$6:$H$3005,'Nhật ký tiến độ'!$C$6:$C$3005,$A107,'Nhật ký tiến độ'!$H$6:$H$3005,"&gt;0"),"")))</f>
      </c>
      <c r="AW107" s="233">
        <f>IF($A107="",0,IF($B107="Đột xuất",$AY107,IF($AX107=0,0,$AX107+1-1/1440)))</f>
      </c>
      <c r="AX107" s="234">
        <f>IF(OR($A107="",$B107&lt;&gt;"Định kỳ",N($I107)=0),0,IF($AL107="",$I107,IF($AJ107&gt;0,$I107+($AL107+1)*$AJ107,IF($AK107&gt;0,EDATE($I107,($AL107+1)*$AK107),$I107))))</f>
      </c>
      <c r="AY107" s="233">
        <f>IF(OR($A107="",$B107&lt;&gt;"Đột xuất"),0,IF(N($K107)&gt;0,IF(MOD($K107,1)=0,$K107+1-1/1440,$K107),IF(N($J107)=0,0,$J107+IF(N($AU107)&gt;0,$AU107,IFERROR(INDEX(DM_SLA_Gio,MATCH($L107,DM_SLA_Cap,0)),168))/24)))</f>
      </c>
      <c r="AZ107" s="225">
        <f>IF(OR($A107="",TRIM($N107)="",COUNTIF('Phản ánh'!$K$6:$K$505,$N107)&gt;0,COUNTIF($N$6:$N107,$N107)&gt;1),0,1)</f>
      </c>
      <c r="BA107" s="225">
        <f>IF($AZ107=1,SUM($AZ$6:$AZ107),"")</f>
      </c>
      <c r="BB107" s="225">
        <f>IF(OR($AO107=0,N($AW107)=0),0,IF(TDBC&lt;=$AW107,0,MAX(1,MIN(4,IF((TDBC-$AW107)*24&lt;24,1,IF((TDBC-$AW107)*24&lt;72,2,IF((TDBC-$AW107)*24&lt;168,3,4)))+IF($B107="Đột xuất",IFERROR(INDEX({2,1,0,-1},MATCH($L107,{"Khẩn cấp","Cao","Trung bình","Thấp"},0)),0),IF($D107="PCCC và an ninh",1,0))))))</f>
      </c>
    </row>
    <row r="108">
      <c r="A108" s="216"/>
      <c r="B108" s="216"/>
      <c r="C108" s="218"/>
      <c r="D108" s="218"/>
      <c r="E108" s="218"/>
      <c r="F108" s="216"/>
      <c r="G108" s="218"/>
      <c r="H108" s="218"/>
      <c r="I108" s="231"/>
      <c r="J108" s="217"/>
      <c r="K108" s="217"/>
      <c r="L108" s="216"/>
      <c r="M108" s="216"/>
      <c r="N108" s="218"/>
      <c r="O108" s="218"/>
      <c r="P108" s="218"/>
      <c r="Q108" s="218"/>
      <c r="R108" s="219"/>
      <c r="S108" s="216"/>
      <c r="T108" s="232"/>
      <c r="U108" s="232"/>
      <c r="V108" s="218"/>
      <c r="W108" s="218"/>
      <c r="X108" s="220">
        <f>IF($A108="","",IF(OR($B108="Định kỳ",$AA108="Hoàn thành"),MAX(_xlfn.MAXIFS('Nhật ký tiến độ'!$B$6:$B$3005,'Nhật ký tiến độ'!$C$6:$C$3005,$A108,'Nhật ký tiến độ'!$E$6:$E$3005,"Hoàn thành kỳ"),_xlfn.MAXIFS('Nhật ký tiến độ'!$B$6:$B$3005,'Nhật ký tiến độ'!$C$6:$C$3005,$A108,'Nhật ký tiến độ'!$E$6:$E$3005,"Hoàn thành")),0))</f>
      </c>
      <c r="Y108" s="220">
        <f>IF($A108="","",IF($B108="Đột xuất",IF($AY108=0,"",$AY108),IF($AX108=0,"",$AX108)))</f>
      </c>
      <c r="Z108" s="223">
        <f>IF(OR($AO108=0,$AW108=0),"",IF(TDBC&gt;$AW108,"Quá "&amp;IF($B108="Định kỳ",(NgayBC-$AP108)&amp;" ngày",IF(((TDBC-$AW108)*24)&lt;1,MAX(1,ROUND(((TDBC-$AW108)*24)*60,0))&amp;" phút",IF(ROUND(((TDBC-$AW108)*24),0)&lt;24,ROUND(((TDBC-$AW108)*24),0)&amp;" giờ",INT(ROUND(((TDBC-$AW108)*24),0)/24)&amp;" ngày"&amp;IF(MOD(ROUND(((TDBC-$AW108)*24),0),24)&gt;0," "&amp;MOD(ROUND(((TDBC-$AW108)*24),0),24)&amp;" giờ","")))),IF($B108="Định kỳ",IF($AP108=NgayBC,"Hôm nay","Còn "&amp;($AP108-NgayBC)&amp;" ngày"),"Còn "&amp;IF((($AW108-TDBC)*24)&lt;1,MAX(1,ROUND((($AW108-TDBC)*24)*60,0))&amp;" phút",IF(ROUND((($AW108-TDBC)*24),0)&lt;24,ROUND((($AW108-TDBC)*24),0)&amp;" giờ",INT(ROUND((($AW108-TDBC)*24),0)/24)&amp;" ngày"&amp;IF(MOD(ROUND((($AW108-TDBC)*24),0),24)&gt;0," "&amp;MOD(ROUND((($AW108-TDBC)*24),0),24)&amp;" giờ",""))))))</f>
      </c>
      <c r="AA108" s="221">
        <f>IF($A108="","",IF(N($AM108)=0,"Chưa bắt đầu",IF(OR($AN108="Hoàn thành kỳ",$AN108="Hoàn thành"),IF($B108="Định kỳ","Chưa bắt đầu","Hoàn thành"),$AN108)))</f>
      </c>
      <c r="AB108" s="222">
        <f>IF($A108="","",IF($AA108="Hoàn thành",1,IF(OR(N($AM108)=0,$AN108="Hoàn thành kỳ",$AN108="Hoàn thành"),0,N(INDEX('Nhật ký tiến độ'!$D:$D,$AM108)))))</f>
      </c>
      <c r="AC108" s="222">
        <f>IF(OR($A108="",$B108&lt;&gt;"Đột xuất",$AA108="Hoàn thành",N($J108)=0,$AW108=0),"",IF(TDBC&lt;=$J108,0,IF(TDBC&gt;=$AW108,1,(TDBC-$J108)/($AW108-$J108))))</f>
      </c>
      <c r="AD108" s="223">
        <f>IF($A108="","",IF($AA108="Hoàn thành","Hoàn thành",IF($AW108=0,"Chưa đặt hạn",IF(TDBC&gt;$AW108,"Quá hạn",IF(AND($B108="Đột xuất",ROUND((N($AC108)-$AB108)*100,0)&gt;=20),"Chậm tiến độ",IF($AP108=NgayBC,"Đến hạn hôm nay",IF($B108="Đột xuất",IF($AW108-TDBC&lt;=1,"Sắp đến hạn","Đúng tiến độ"),IF($AP108-NgayBC&lt;=3,"Sắp đến hạn","Theo lịch"))))))))</f>
      </c>
      <c r="AE108" s="223">
        <f>IF($AV108="","",IF($B108="Định kỳ","Bình quân "&amp;IF($AV108&lt;1,MAX(1,ROUND($AV108*60,0))&amp;" phút",IF(ROUND($AV108,0)&lt;24,ROUND($AV108,0)&amp;" giờ",INT(ROUND($AV108,0)/24)&amp;" ngày"&amp;IF(MOD(ROUND($AV108,0),24)&gt;0," "&amp;MOD(ROUND($AV108,0),24)&amp;" giờ","")))&amp;" mỗi kỳ",IF($AV108&lt;1,MAX(1,ROUND($AV108*60,0))&amp;" phút",IF(ROUND($AV108,0)&lt;24,ROUND($AV108,0)&amp;" giờ",INT(ROUND($AV108,0)/24)&amp;" ngày"&amp;IF(MOD(ROUND($AV108,0),24)&gt;0," "&amp;MOD(ROUND($AV108,0),24)&amp;" giờ","")))))</f>
      </c>
      <c r="AF108" s="223">
        <f>IF(OR($A108="",N($AU108)=0),"",IF($AV108&lt;&gt;"",IF($AV108&lt;=$AU108,"Trong ước tính","Vượt "&amp;IF(($AV108-$AU108)&lt;1,MAX(1,ROUND(($AV108-$AU108)*60,0))&amp;" phút",IF(ROUND(($AV108-$AU108),0)&lt;24,ROUND(($AV108-$AU108),0)&amp;" giờ",INT(ROUND(($AV108-$AU108),0)/24)&amp;" ngày"&amp;IF(MOD(ROUND(($AV108-$AU108),0),24)&gt;0," "&amp;MOD(ROUND(($AV108-$AU108),0),24)&amp;" giờ","")))),IF(OR($B108&lt;&gt;"Đột xuất",$AA108="Hoàn thành",N($J108)=0),"",IF((TDBC-$J108)*24&gt;$AU108,"Đã vượt ước tính","Đã dùng "&amp;TEXT((TDBC-$J108)*24/$AU108,"0%")))))</f>
      </c>
      <c r="AG108" s="223">
        <f>IF(N($BB108)=0,"",CHOOSE($BB108,"Nhắc nhở","Cảnh báo","Báo động","Báo động đỏ"))</f>
      </c>
      <c r="AH108" s="223">
        <f>IF(OR($B108&lt;&gt;"Đột xuất",$AA108&lt;&gt;"Hoàn thành",N($X108)=0,$AW108=0),"",IF($X108&lt;=$AW108,"Đúng hạn","Trễ hạn"))</f>
      </c>
      <c r="AI108" s="220">
        <f>IF($A108="","",_xlfn.MAXIFS('Nhật ký tiến độ'!$B$6:$B$3005,'Nhật ký tiến độ'!$C$6:$C$3005,$A108))</f>
      </c>
      <c r="AJ108" s="225">
        <f>IF(OR($A108="",$B108&lt;&gt;"Định kỳ"),0,IFERROR(INDEX(DM_TanSuatNgay,MATCH($H108,DM_TanSuat,0)),0))</f>
      </c>
      <c r="AK108" s="225">
        <f>IF(OR($A108="",$B108&lt;&gt;"Định kỳ"),0,IFERROR(INDEX(DM_TanSuatThang,MATCH($H108,DM_TanSuat,0)),0))</f>
      </c>
      <c r="AL108" s="225">
        <f>IF(OR($A108="",$B108&lt;&gt;"Định kỳ",N($X108)=0,N($I108)=0),"",IF(INT($X108)&lt;$I108,0,IF($AJ108&gt;0,ROUND((INT($X108)-$I108)/$AJ108,0),IF($AK108&gt;0,ROUND((DATEDIF($I108,INT($X108),"m")+(INT($X108)-EDATE($I108,DATEDIF($I108,INT($X108),"m")))/(EDATE($I108,DATEDIF($I108,INT($X108),"m")+1)-EDATE($I108,DATEDIF($I108,INT($X108),"m"))))/$AK108,0),0))))</f>
      </c>
      <c r="AM108" s="225">
        <f>IF($A108="","",IF(COUNTIF('Nhật ký tiến độ'!$C$6:$C$3005,$A108)=0,0,_xlfn.MAXIFS('Nhật ký tiến độ'!$N$6:$N$3005,'Nhật ký tiến độ'!$C$6:$C$3005,$A108,'Nhật ký tiến độ'!$B$6:$B$3005,_xlfn.MAXIFS('Nhật ký tiến độ'!$B$6:$B$3005,'Nhật ký tiến độ'!$C$6:$C$3005,$A108))))</f>
      </c>
      <c r="AN108" s="225">
        <f>IF($A108="","",IF(N($AM108)=0,"",INDEX('Nhật ký tiến độ'!$E:$E,$AM108)))</f>
      </c>
      <c r="AO108" s="225">
        <f>IF($A108="",0,IF($AA108="Hoàn thành",0,1))</f>
      </c>
      <c r="AP108" s="225">
        <f>IF($AO108=0,0,INT(N($AW108)))</f>
      </c>
      <c r="AQ108" s="225">
        <f>IF(AND($AO108=1,$AJ108&gt;1),$AJ108,0)</f>
      </c>
      <c r="AR108" s="225">
        <f>IF(AND($AO108=1,$AJ108=1),1,0)</f>
      </c>
      <c r="AS108" s="225">
        <f>IF(OR($AO108=0,AND($AR108=1,N($BB108)=0)),"",IF(N($BB108)&gt;0,5-$BB108,IF($AD108="Chậm tiến độ",6,IF($AD108="Đến hạn hôm nay",7,IF(AND($AP108&gt;0,$AP108-NgayBC&lt;=7),8,"")))))</f>
      </c>
      <c r="AT108" s="225">
        <f>IF($AS108="","",$AS108*100000+$AP108+ROW()/100000)</f>
      </c>
      <c r="AU108" s="224">
        <f>IF(OR($A108="",N($R108)&lt;=0),"",IF($S108="Ngày",$R108*24,$R108))</f>
      </c>
      <c r="AV108" s="224">
        <f>IF($A108="","",IF($B108="Đột xuất",IF(OR($AA108&lt;&gt;"Hoàn thành",N($X108)=0,N($J108)=0),"",IF($X108&lt;$J108,"",($X108-$J108)*24)),IFERROR(AVERAGEIFS('Nhật ký tiến độ'!$H$6:$H$3005,'Nhật ký tiến độ'!$C$6:$C$3005,$A108,'Nhật ký tiến độ'!$H$6:$H$3005,"&gt;0"),"")))</f>
      </c>
      <c r="AW108" s="233">
        <f>IF($A108="",0,IF($B108="Đột xuất",$AY108,IF($AX108=0,0,$AX108+1-1/1440)))</f>
      </c>
      <c r="AX108" s="234">
        <f>IF(OR($A108="",$B108&lt;&gt;"Định kỳ",N($I108)=0),0,IF($AL108="",$I108,IF($AJ108&gt;0,$I108+($AL108+1)*$AJ108,IF($AK108&gt;0,EDATE($I108,($AL108+1)*$AK108),$I108))))</f>
      </c>
      <c r="AY108" s="233">
        <f>IF(OR($A108="",$B108&lt;&gt;"Đột xuất"),0,IF(N($K108)&gt;0,IF(MOD($K108,1)=0,$K108+1-1/1440,$K108),IF(N($J108)=0,0,$J108+IF(N($AU108)&gt;0,$AU108,IFERROR(INDEX(DM_SLA_Gio,MATCH($L108,DM_SLA_Cap,0)),168))/24)))</f>
      </c>
      <c r="AZ108" s="225">
        <f>IF(OR($A108="",TRIM($N108)="",COUNTIF('Phản ánh'!$K$6:$K$505,$N108)&gt;0,COUNTIF($N$6:$N108,$N108)&gt;1),0,1)</f>
      </c>
      <c r="BA108" s="225">
        <f>IF($AZ108=1,SUM($AZ$6:$AZ108),"")</f>
      </c>
      <c r="BB108" s="225">
        <f>IF(OR($AO108=0,N($AW108)=0),0,IF(TDBC&lt;=$AW108,0,MAX(1,MIN(4,IF((TDBC-$AW108)*24&lt;24,1,IF((TDBC-$AW108)*24&lt;72,2,IF((TDBC-$AW108)*24&lt;168,3,4)))+IF($B108="Đột xuất",IFERROR(INDEX({2,1,0,-1},MATCH($L108,{"Khẩn cấp","Cao","Trung bình","Thấp"},0)),0),IF($D108="PCCC và an ninh",1,0))))))</f>
      </c>
    </row>
    <row r="109">
      <c r="A109" s="216"/>
      <c r="B109" s="216"/>
      <c r="C109" s="218"/>
      <c r="D109" s="218"/>
      <c r="E109" s="218"/>
      <c r="F109" s="216"/>
      <c r="G109" s="218"/>
      <c r="H109" s="218"/>
      <c r="I109" s="231"/>
      <c r="J109" s="217"/>
      <c r="K109" s="217"/>
      <c r="L109" s="216"/>
      <c r="M109" s="216"/>
      <c r="N109" s="218"/>
      <c r="O109" s="218"/>
      <c r="P109" s="218"/>
      <c r="Q109" s="218"/>
      <c r="R109" s="219"/>
      <c r="S109" s="216"/>
      <c r="T109" s="232"/>
      <c r="U109" s="232"/>
      <c r="V109" s="218"/>
      <c r="W109" s="218"/>
      <c r="X109" s="220">
        <f>IF($A109="","",IF(OR($B109="Định kỳ",$AA109="Hoàn thành"),MAX(_xlfn.MAXIFS('Nhật ký tiến độ'!$B$6:$B$3005,'Nhật ký tiến độ'!$C$6:$C$3005,$A109,'Nhật ký tiến độ'!$E$6:$E$3005,"Hoàn thành kỳ"),_xlfn.MAXIFS('Nhật ký tiến độ'!$B$6:$B$3005,'Nhật ký tiến độ'!$C$6:$C$3005,$A109,'Nhật ký tiến độ'!$E$6:$E$3005,"Hoàn thành")),0))</f>
      </c>
      <c r="Y109" s="220">
        <f>IF($A109="","",IF($B109="Đột xuất",IF($AY109=0,"",$AY109),IF($AX109=0,"",$AX109)))</f>
      </c>
      <c r="Z109" s="223">
        <f>IF(OR($AO109=0,$AW109=0),"",IF(TDBC&gt;$AW109,"Quá "&amp;IF($B109="Định kỳ",(NgayBC-$AP109)&amp;" ngày",IF(((TDBC-$AW109)*24)&lt;1,MAX(1,ROUND(((TDBC-$AW109)*24)*60,0))&amp;" phút",IF(ROUND(((TDBC-$AW109)*24),0)&lt;24,ROUND(((TDBC-$AW109)*24),0)&amp;" giờ",INT(ROUND(((TDBC-$AW109)*24),0)/24)&amp;" ngày"&amp;IF(MOD(ROUND(((TDBC-$AW109)*24),0),24)&gt;0," "&amp;MOD(ROUND(((TDBC-$AW109)*24),0),24)&amp;" giờ","")))),IF($B109="Định kỳ",IF($AP109=NgayBC,"Hôm nay","Còn "&amp;($AP109-NgayBC)&amp;" ngày"),"Còn "&amp;IF((($AW109-TDBC)*24)&lt;1,MAX(1,ROUND((($AW109-TDBC)*24)*60,0))&amp;" phút",IF(ROUND((($AW109-TDBC)*24),0)&lt;24,ROUND((($AW109-TDBC)*24),0)&amp;" giờ",INT(ROUND((($AW109-TDBC)*24),0)/24)&amp;" ngày"&amp;IF(MOD(ROUND((($AW109-TDBC)*24),0),24)&gt;0," "&amp;MOD(ROUND((($AW109-TDBC)*24),0),24)&amp;" giờ",""))))))</f>
      </c>
      <c r="AA109" s="221">
        <f>IF($A109="","",IF(N($AM109)=0,"Chưa bắt đầu",IF(OR($AN109="Hoàn thành kỳ",$AN109="Hoàn thành"),IF($B109="Định kỳ","Chưa bắt đầu","Hoàn thành"),$AN109)))</f>
      </c>
      <c r="AB109" s="222">
        <f>IF($A109="","",IF($AA109="Hoàn thành",1,IF(OR(N($AM109)=0,$AN109="Hoàn thành kỳ",$AN109="Hoàn thành"),0,N(INDEX('Nhật ký tiến độ'!$D:$D,$AM109)))))</f>
      </c>
      <c r="AC109" s="222">
        <f>IF(OR($A109="",$B109&lt;&gt;"Đột xuất",$AA109="Hoàn thành",N($J109)=0,$AW109=0),"",IF(TDBC&lt;=$J109,0,IF(TDBC&gt;=$AW109,1,(TDBC-$J109)/($AW109-$J109))))</f>
      </c>
      <c r="AD109" s="223">
        <f>IF($A109="","",IF($AA109="Hoàn thành","Hoàn thành",IF($AW109=0,"Chưa đặt hạn",IF(TDBC&gt;$AW109,"Quá hạn",IF(AND($B109="Đột xuất",ROUND((N($AC109)-$AB109)*100,0)&gt;=20),"Chậm tiến độ",IF($AP109=NgayBC,"Đến hạn hôm nay",IF($B109="Đột xuất",IF($AW109-TDBC&lt;=1,"Sắp đến hạn","Đúng tiến độ"),IF($AP109-NgayBC&lt;=3,"Sắp đến hạn","Theo lịch"))))))))</f>
      </c>
      <c r="AE109" s="223">
        <f>IF($AV109="","",IF($B109="Định kỳ","Bình quân "&amp;IF($AV109&lt;1,MAX(1,ROUND($AV109*60,0))&amp;" phút",IF(ROUND($AV109,0)&lt;24,ROUND($AV109,0)&amp;" giờ",INT(ROUND($AV109,0)/24)&amp;" ngày"&amp;IF(MOD(ROUND($AV109,0),24)&gt;0," "&amp;MOD(ROUND($AV109,0),24)&amp;" giờ","")))&amp;" mỗi kỳ",IF($AV109&lt;1,MAX(1,ROUND($AV109*60,0))&amp;" phút",IF(ROUND($AV109,0)&lt;24,ROUND($AV109,0)&amp;" giờ",INT(ROUND($AV109,0)/24)&amp;" ngày"&amp;IF(MOD(ROUND($AV109,0),24)&gt;0," "&amp;MOD(ROUND($AV109,0),24)&amp;" giờ","")))))</f>
      </c>
      <c r="AF109" s="223">
        <f>IF(OR($A109="",N($AU109)=0),"",IF($AV109&lt;&gt;"",IF($AV109&lt;=$AU109,"Trong ước tính","Vượt "&amp;IF(($AV109-$AU109)&lt;1,MAX(1,ROUND(($AV109-$AU109)*60,0))&amp;" phút",IF(ROUND(($AV109-$AU109),0)&lt;24,ROUND(($AV109-$AU109),0)&amp;" giờ",INT(ROUND(($AV109-$AU109),0)/24)&amp;" ngày"&amp;IF(MOD(ROUND(($AV109-$AU109),0),24)&gt;0," "&amp;MOD(ROUND(($AV109-$AU109),0),24)&amp;" giờ","")))),IF(OR($B109&lt;&gt;"Đột xuất",$AA109="Hoàn thành",N($J109)=0),"",IF((TDBC-$J109)*24&gt;$AU109,"Đã vượt ước tính","Đã dùng "&amp;TEXT((TDBC-$J109)*24/$AU109,"0%")))))</f>
      </c>
      <c r="AG109" s="223">
        <f>IF(N($BB109)=0,"",CHOOSE($BB109,"Nhắc nhở","Cảnh báo","Báo động","Báo động đỏ"))</f>
      </c>
      <c r="AH109" s="223">
        <f>IF(OR($B109&lt;&gt;"Đột xuất",$AA109&lt;&gt;"Hoàn thành",N($X109)=0,$AW109=0),"",IF($X109&lt;=$AW109,"Đúng hạn","Trễ hạn"))</f>
      </c>
      <c r="AI109" s="220">
        <f>IF($A109="","",_xlfn.MAXIFS('Nhật ký tiến độ'!$B$6:$B$3005,'Nhật ký tiến độ'!$C$6:$C$3005,$A109))</f>
      </c>
      <c r="AJ109" s="225">
        <f>IF(OR($A109="",$B109&lt;&gt;"Định kỳ"),0,IFERROR(INDEX(DM_TanSuatNgay,MATCH($H109,DM_TanSuat,0)),0))</f>
      </c>
      <c r="AK109" s="225">
        <f>IF(OR($A109="",$B109&lt;&gt;"Định kỳ"),0,IFERROR(INDEX(DM_TanSuatThang,MATCH($H109,DM_TanSuat,0)),0))</f>
      </c>
      <c r="AL109" s="225">
        <f>IF(OR($A109="",$B109&lt;&gt;"Định kỳ",N($X109)=0,N($I109)=0),"",IF(INT($X109)&lt;$I109,0,IF($AJ109&gt;0,ROUND((INT($X109)-$I109)/$AJ109,0),IF($AK109&gt;0,ROUND((DATEDIF($I109,INT($X109),"m")+(INT($X109)-EDATE($I109,DATEDIF($I109,INT($X109),"m")))/(EDATE($I109,DATEDIF($I109,INT($X109),"m")+1)-EDATE($I109,DATEDIF($I109,INT($X109),"m"))))/$AK109,0),0))))</f>
      </c>
      <c r="AM109" s="225">
        <f>IF($A109="","",IF(COUNTIF('Nhật ký tiến độ'!$C$6:$C$3005,$A109)=0,0,_xlfn.MAXIFS('Nhật ký tiến độ'!$N$6:$N$3005,'Nhật ký tiến độ'!$C$6:$C$3005,$A109,'Nhật ký tiến độ'!$B$6:$B$3005,_xlfn.MAXIFS('Nhật ký tiến độ'!$B$6:$B$3005,'Nhật ký tiến độ'!$C$6:$C$3005,$A109))))</f>
      </c>
      <c r="AN109" s="225">
        <f>IF($A109="","",IF(N($AM109)=0,"",INDEX('Nhật ký tiến độ'!$E:$E,$AM109)))</f>
      </c>
      <c r="AO109" s="225">
        <f>IF($A109="",0,IF($AA109="Hoàn thành",0,1))</f>
      </c>
      <c r="AP109" s="225">
        <f>IF($AO109=0,0,INT(N($AW109)))</f>
      </c>
      <c r="AQ109" s="225">
        <f>IF(AND($AO109=1,$AJ109&gt;1),$AJ109,0)</f>
      </c>
      <c r="AR109" s="225">
        <f>IF(AND($AO109=1,$AJ109=1),1,0)</f>
      </c>
      <c r="AS109" s="225">
        <f>IF(OR($AO109=0,AND($AR109=1,N($BB109)=0)),"",IF(N($BB109)&gt;0,5-$BB109,IF($AD109="Chậm tiến độ",6,IF($AD109="Đến hạn hôm nay",7,IF(AND($AP109&gt;0,$AP109-NgayBC&lt;=7),8,"")))))</f>
      </c>
      <c r="AT109" s="225">
        <f>IF($AS109="","",$AS109*100000+$AP109+ROW()/100000)</f>
      </c>
      <c r="AU109" s="224">
        <f>IF(OR($A109="",N($R109)&lt;=0),"",IF($S109="Ngày",$R109*24,$R109))</f>
      </c>
      <c r="AV109" s="224">
        <f>IF($A109="","",IF($B109="Đột xuất",IF(OR($AA109&lt;&gt;"Hoàn thành",N($X109)=0,N($J109)=0),"",IF($X109&lt;$J109,"",($X109-$J109)*24)),IFERROR(AVERAGEIFS('Nhật ký tiến độ'!$H$6:$H$3005,'Nhật ký tiến độ'!$C$6:$C$3005,$A109,'Nhật ký tiến độ'!$H$6:$H$3005,"&gt;0"),"")))</f>
      </c>
      <c r="AW109" s="233">
        <f>IF($A109="",0,IF($B109="Đột xuất",$AY109,IF($AX109=0,0,$AX109+1-1/1440)))</f>
      </c>
      <c r="AX109" s="234">
        <f>IF(OR($A109="",$B109&lt;&gt;"Định kỳ",N($I109)=0),0,IF($AL109="",$I109,IF($AJ109&gt;0,$I109+($AL109+1)*$AJ109,IF($AK109&gt;0,EDATE($I109,($AL109+1)*$AK109),$I109))))</f>
      </c>
      <c r="AY109" s="233">
        <f>IF(OR($A109="",$B109&lt;&gt;"Đột xuất"),0,IF(N($K109)&gt;0,IF(MOD($K109,1)=0,$K109+1-1/1440,$K109),IF(N($J109)=0,0,$J109+IF(N($AU109)&gt;0,$AU109,IFERROR(INDEX(DM_SLA_Gio,MATCH($L109,DM_SLA_Cap,0)),168))/24)))</f>
      </c>
      <c r="AZ109" s="225">
        <f>IF(OR($A109="",TRIM($N109)="",COUNTIF('Phản ánh'!$K$6:$K$505,$N109)&gt;0,COUNTIF($N$6:$N109,$N109)&gt;1),0,1)</f>
      </c>
      <c r="BA109" s="225">
        <f>IF($AZ109=1,SUM($AZ$6:$AZ109),"")</f>
      </c>
      <c r="BB109" s="225">
        <f>IF(OR($AO109=0,N($AW109)=0),0,IF(TDBC&lt;=$AW109,0,MAX(1,MIN(4,IF((TDBC-$AW109)*24&lt;24,1,IF((TDBC-$AW109)*24&lt;72,2,IF((TDBC-$AW109)*24&lt;168,3,4)))+IF($B109="Đột xuất",IFERROR(INDEX({2,1,0,-1},MATCH($L109,{"Khẩn cấp","Cao","Trung bình","Thấp"},0)),0),IF($D109="PCCC và an ninh",1,0))))))</f>
      </c>
    </row>
    <row r="110">
      <c r="A110" s="216"/>
      <c r="B110" s="216"/>
      <c r="C110" s="218"/>
      <c r="D110" s="218"/>
      <c r="E110" s="218"/>
      <c r="F110" s="216"/>
      <c r="G110" s="218"/>
      <c r="H110" s="218"/>
      <c r="I110" s="231"/>
      <c r="J110" s="217"/>
      <c r="K110" s="217"/>
      <c r="L110" s="216"/>
      <c r="M110" s="216"/>
      <c r="N110" s="218"/>
      <c r="O110" s="218"/>
      <c r="P110" s="218"/>
      <c r="Q110" s="218"/>
      <c r="R110" s="219"/>
      <c r="S110" s="216"/>
      <c r="T110" s="232"/>
      <c r="U110" s="232"/>
      <c r="V110" s="218"/>
      <c r="W110" s="218"/>
      <c r="X110" s="220">
        <f>IF($A110="","",IF(OR($B110="Định kỳ",$AA110="Hoàn thành"),MAX(_xlfn.MAXIFS('Nhật ký tiến độ'!$B$6:$B$3005,'Nhật ký tiến độ'!$C$6:$C$3005,$A110,'Nhật ký tiến độ'!$E$6:$E$3005,"Hoàn thành kỳ"),_xlfn.MAXIFS('Nhật ký tiến độ'!$B$6:$B$3005,'Nhật ký tiến độ'!$C$6:$C$3005,$A110,'Nhật ký tiến độ'!$E$6:$E$3005,"Hoàn thành")),0))</f>
      </c>
      <c r="Y110" s="220">
        <f>IF($A110="","",IF($B110="Đột xuất",IF($AY110=0,"",$AY110),IF($AX110=0,"",$AX110)))</f>
      </c>
      <c r="Z110" s="223">
        <f>IF(OR($AO110=0,$AW110=0),"",IF(TDBC&gt;$AW110,"Quá "&amp;IF($B110="Định kỳ",(NgayBC-$AP110)&amp;" ngày",IF(((TDBC-$AW110)*24)&lt;1,MAX(1,ROUND(((TDBC-$AW110)*24)*60,0))&amp;" phút",IF(ROUND(((TDBC-$AW110)*24),0)&lt;24,ROUND(((TDBC-$AW110)*24),0)&amp;" giờ",INT(ROUND(((TDBC-$AW110)*24),0)/24)&amp;" ngày"&amp;IF(MOD(ROUND(((TDBC-$AW110)*24),0),24)&gt;0," "&amp;MOD(ROUND(((TDBC-$AW110)*24),0),24)&amp;" giờ","")))),IF($B110="Định kỳ",IF($AP110=NgayBC,"Hôm nay","Còn "&amp;($AP110-NgayBC)&amp;" ngày"),"Còn "&amp;IF((($AW110-TDBC)*24)&lt;1,MAX(1,ROUND((($AW110-TDBC)*24)*60,0))&amp;" phút",IF(ROUND((($AW110-TDBC)*24),0)&lt;24,ROUND((($AW110-TDBC)*24),0)&amp;" giờ",INT(ROUND((($AW110-TDBC)*24),0)/24)&amp;" ngày"&amp;IF(MOD(ROUND((($AW110-TDBC)*24),0),24)&gt;0," "&amp;MOD(ROUND((($AW110-TDBC)*24),0),24)&amp;" giờ",""))))))</f>
      </c>
      <c r="AA110" s="221">
        <f>IF($A110="","",IF(N($AM110)=0,"Chưa bắt đầu",IF(OR($AN110="Hoàn thành kỳ",$AN110="Hoàn thành"),IF($B110="Định kỳ","Chưa bắt đầu","Hoàn thành"),$AN110)))</f>
      </c>
      <c r="AB110" s="222">
        <f>IF($A110="","",IF($AA110="Hoàn thành",1,IF(OR(N($AM110)=0,$AN110="Hoàn thành kỳ",$AN110="Hoàn thành"),0,N(INDEX('Nhật ký tiến độ'!$D:$D,$AM110)))))</f>
      </c>
      <c r="AC110" s="222">
        <f>IF(OR($A110="",$B110&lt;&gt;"Đột xuất",$AA110="Hoàn thành",N($J110)=0,$AW110=0),"",IF(TDBC&lt;=$J110,0,IF(TDBC&gt;=$AW110,1,(TDBC-$J110)/($AW110-$J110))))</f>
      </c>
      <c r="AD110" s="223">
        <f>IF($A110="","",IF($AA110="Hoàn thành","Hoàn thành",IF($AW110=0,"Chưa đặt hạn",IF(TDBC&gt;$AW110,"Quá hạn",IF(AND($B110="Đột xuất",ROUND((N($AC110)-$AB110)*100,0)&gt;=20),"Chậm tiến độ",IF($AP110=NgayBC,"Đến hạn hôm nay",IF($B110="Đột xuất",IF($AW110-TDBC&lt;=1,"Sắp đến hạn","Đúng tiến độ"),IF($AP110-NgayBC&lt;=3,"Sắp đến hạn","Theo lịch"))))))))</f>
      </c>
      <c r="AE110" s="223">
        <f>IF($AV110="","",IF($B110="Định kỳ","Bình quân "&amp;IF($AV110&lt;1,MAX(1,ROUND($AV110*60,0))&amp;" phút",IF(ROUND($AV110,0)&lt;24,ROUND($AV110,0)&amp;" giờ",INT(ROUND($AV110,0)/24)&amp;" ngày"&amp;IF(MOD(ROUND($AV110,0),24)&gt;0," "&amp;MOD(ROUND($AV110,0),24)&amp;" giờ","")))&amp;" mỗi kỳ",IF($AV110&lt;1,MAX(1,ROUND($AV110*60,0))&amp;" phút",IF(ROUND($AV110,0)&lt;24,ROUND($AV110,0)&amp;" giờ",INT(ROUND($AV110,0)/24)&amp;" ngày"&amp;IF(MOD(ROUND($AV110,0),24)&gt;0," "&amp;MOD(ROUND($AV110,0),24)&amp;" giờ","")))))</f>
      </c>
      <c r="AF110" s="223">
        <f>IF(OR($A110="",N($AU110)=0),"",IF($AV110&lt;&gt;"",IF($AV110&lt;=$AU110,"Trong ước tính","Vượt "&amp;IF(($AV110-$AU110)&lt;1,MAX(1,ROUND(($AV110-$AU110)*60,0))&amp;" phút",IF(ROUND(($AV110-$AU110),0)&lt;24,ROUND(($AV110-$AU110),0)&amp;" giờ",INT(ROUND(($AV110-$AU110),0)/24)&amp;" ngày"&amp;IF(MOD(ROUND(($AV110-$AU110),0),24)&gt;0," "&amp;MOD(ROUND(($AV110-$AU110),0),24)&amp;" giờ","")))),IF(OR($B110&lt;&gt;"Đột xuất",$AA110="Hoàn thành",N($J110)=0),"",IF((TDBC-$J110)*24&gt;$AU110,"Đã vượt ước tính","Đã dùng "&amp;TEXT((TDBC-$J110)*24/$AU110,"0%")))))</f>
      </c>
      <c r="AG110" s="223">
        <f>IF(N($BB110)=0,"",CHOOSE($BB110,"Nhắc nhở","Cảnh báo","Báo động","Báo động đỏ"))</f>
      </c>
      <c r="AH110" s="223">
        <f>IF(OR($B110&lt;&gt;"Đột xuất",$AA110&lt;&gt;"Hoàn thành",N($X110)=0,$AW110=0),"",IF($X110&lt;=$AW110,"Đúng hạn","Trễ hạn"))</f>
      </c>
      <c r="AI110" s="220">
        <f>IF($A110="","",_xlfn.MAXIFS('Nhật ký tiến độ'!$B$6:$B$3005,'Nhật ký tiến độ'!$C$6:$C$3005,$A110))</f>
      </c>
      <c r="AJ110" s="225">
        <f>IF(OR($A110="",$B110&lt;&gt;"Định kỳ"),0,IFERROR(INDEX(DM_TanSuatNgay,MATCH($H110,DM_TanSuat,0)),0))</f>
      </c>
      <c r="AK110" s="225">
        <f>IF(OR($A110="",$B110&lt;&gt;"Định kỳ"),0,IFERROR(INDEX(DM_TanSuatThang,MATCH($H110,DM_TanSuat,0)),0))</f>
      </c>
      <c r="AL110" s="225">
        <f>IF(OR($A110="",$B110&lt;&gt;"Định kỳ",N($X110)=0,N($I110)=0),"",IF(INT($X110)&lt;$I110,0,IF($AJ110&gt;0,ROUND((INT($X110)-$I110)/$AJ110,0),IF($AK110&gt;0,ROUND((DATEDIF($I110,INT($X110),"m")+(INT($X110)-EDATE($I110,DATEDIF($I110,INT($X110),"m")))/(EDATE($I110,DATEDIF($I110,INT($X110),"m")+1)-EDATE($I110,DATEDIF($I110,INT($X110),"m"))))/$AK110,0),0))))</f>
      </c>
      <c r="AM110" s="225">
        <f>IF($A110="","",IF(COUNTIF('Nhật ký tiến độ'!$C$6:$C$3005,$A110)=0,0,_xlfn.MAXIFS('Nhật ký tiến độ'!$N$6:$N$3005,'Nhật ký tiến độ'!$C$6:$C$3005,$A110,'Nhật ký tiến độ'!$B$6:$B$3005,_xlfn.MAXIFS('Nhật ký tiến độ'!$B$6:$B$3005,'Nhật ký tiến độ'!$C$6:$C$3005,$A110))))</f>
      </c>
      <c r="AN110" s="225">
        <f>IF($A110="","",IF(N($AM110)=0,"",INDEX('Nhật ký tiến độ'!$E:$E,$AM110)))</f>
      </c>
      <c r="AO110" s="225">
        <f>IF($A110="",0,IF($AA110="Hoàn thành",0,1))</f>
      </c>
      <c r="AP110" s="225">
        <f>IF($AO110=0,0,INT(N($AW110)))</f>
      </c>
      <c r="AQ110" s="225">
        <f>IF(AND($AO110=1,$AJ110&gt;1),$AJ110,0)</f>
      </c>
      <c r="AR110" s="225">
        <f>IF(AND($AO110=1,$AJ110=1),1,0)</f>
      </c>
      <c r="AS110" s="225">
        <f>IF(OR($AO110=0,AND($AR110=1,N($BB110)=0)),"",IF(N($BB110)&gt;0,5-$BB110,IF($AD110="Chậm tiến độ",6,IF($AD110="Đến hạn hôm nay",7,IF(AND($AP110&gt;0,$AP110-NgayBC&lt;=7),8,"")))))</f>
      </c>
      <c r="AT110" s="225">
        <f>IF($AS110="","",$AS110*100000+$AP110+ROW()/100000)</f>
      </c>
      <c r="AU110" s="224">
        <f>IF(OR($A110="",N($R110)&lt;=0),"",IF($S110="Ngày",$R110*24,$R110))</f>
      </c>
      <c r="AV110" s="224">
        <f>IF($A110="","",IF($B110="Đột xuất",IF(OR($AA110&lt;&gt;"Hoàn thành",N($X110)=0,N($J110)=0),"",IF($X110&lt;$J110,"",($X110-$J110)*24)),IFERROR(AVERAGEIFS('Nhật ký tiến độ'!$H$6:$H$3005,'Nhật ký tiến độ'!$C$6:$C$3005,$A110,'Nhật ký tiến độ'!$H$6:$H$3005,"&gt;0"),"")))</f>
      </c>
      <c r="AW110" s="233">
        <f>IF($A110="",0,IF($B110="Đột xuất",$AY110,IF($AX110=0,0,$AX110+1-1/1440)))</f>
      </c>
      <c r="AX110" s="234">
        <f>IF(OR($A110="",$B110&lt;&gt;"Định kỳ",N($I110)=0),0,IF($AL110="",$I110,IF($AJ110&gt;0,$I110+($AL110+1)*$AJ110,IF($AK110&gt;0,EDATE($I110,($AL110+1)*$AK110),$I110))))</f>
      </c>
      <c r="AY110" s="233">
        <f>IF(OR($A110="",$B110&lt;&gt;"Đột xuất"),0,IF(N($K110)&gt;0,IF(MOD($K110,1)=0,$K110+1-1/1440,$K110),IF(N($J110)=0,0,$J110+IF(N($AU110)&gt;0,$AU110,IFERROR(INDEX(DM_SLA_Gio,MATCH($L110,DM_SLA_Cap,0)),168))/24)))</f>
      </c>
      <c r="AZ110" s="225">
        <f>IF(OR($A110="",TRIM($N110)="",COUNTIF('Phản ánh'!$K$6:$K$505,$N110)&gt;0,COUNTIF($N$6:$N110,$N110)&gt;1),0,1)</f>
      </c>
      <c r="BA110" s="225">
        <f>IF($AZ110=1,SUM($AZ$6:$AZ110),"")</f>
      </c>
      <c r="BB110" s="225">
        <f>IF(OR($AO110=0,N($AW110)=0),0,IF(TDBC&lt;=$AW110,0,MAX(1,MIN(4,IF((TDBC-$AW110)*24&lt;24,1,IF((TDBC-$AW110)*24&lt;72,2,IF((TDBC-$AW110)*24&lt;168,3,4)))+IF($B110="Đột xuất",IFERROR(INDEX({2,1,0,-1},MATCH($L110,{"Khẩn cấp","Cao","Trung bình","Thấp"},0)),0),IF($D110="PCCC và an ninh",1,0))))))</f>
      </c>
    </row>
    <row r="111">
      <c r="A111" s="216"/>
      <c r="B111" s="216"/>
      <c r="C111" s="218"/>
      <c r="D111" s="218"/>
      <c r="E111" s="218"/>
      <c r="F111" s="216"/>
      <c r="G111" s="218"/>
      <c r="H111" s="218"/>
      <c r="I111" s="231"/>
      <c r="J111" s="217"/>
      <c r="K111" s="217"/>
      <c r="L111" s="216"/>
      <c r="M111" s="216"/>
      <c r="N111" s="218"/>
      <c r="O111" s="218"/>
      <c r="P111" s="218"/>
      <c r="Q111" s="218"/>
      <c r="R111" s="219"/>
      <c r="S111" s="216"/>
      <c r="T111" s="232"/>
      <c r="U111" s="232"/>
      <c r="V111" s="218"/>
      <c r="W111" s="218"/>
      <c r="X111" s="220">
        <f>IF($A111="","",IF(OR($B111="Định kỳ",$AA111="Hoàn thành"),MAX(_xlfn.MAXIFS('Nhật ký tiến độ'!$B$6:$B$3005,'Nhật ký tiến độ'!$C$6:$C$3005,$A111,'Nhật ký tiến độ'!$E$6:$E$3005,"Hoàn thành kỳ"),_xlfn.MAXIFS('Nhật ký tiến độ'!$B$6:$B$3005,'Nhật ký tiến độ'!$C$6:$C$3005,$A111,'Nhật ký tiến độ'!$E$6:$E$3005,"Hoàn thành")),0))</f>
      </c>
      <c r="Y111" s="220">
        <f>IF($A111="","",IF($B111="Đột xuất",IF($AY111=0,"",$AY111),IF($AX111=0,"",$AX111)))</f>
      </c>
      <c r="Z111" s="223">
        <f>IF(OR($AO111=0,$AW111=0),"",IF(TDBC&gt;$AW111,"Quá "&amp;IF($B111="Định kỳ",(NgayBC-$AP111)&amp;" ngày",IF(((TDBC-$AW111)*24)&lt;1,MAX(1,ROUND(((TDBC-$AW111)*24)*60,0))&amp;" phút",IF(ROUND(((TDBC-$AW111)*24),0)&lt;24,ROUND(((TDBC-$AW111)*24),0)&amp;" giờ",INT(ROUND(((TDBC-$AW111)*24),0)/24)&amp;" ngày"&amp;IF(MOD(ROUND(((TDBC-$AW111)*24),0),24)&gt;0," "&amp;MOD(ROUND(((TDBC-$AW111)*24),0),24)&amp;" giờ","")))),IF($B111="Định kỳ",IF($AP111=NgayBC,"Hôm nay","Còn "&amp;($AP111-NgayBC)&amp;" ngày"),"Còn "&amp;IF((($AW111-TDBC)*24)&lt;1,MAX(1,ROUND((($AW111-TDBC)*24)*60,0))&amp;" phút",IF(ROUND((($AW111-TDBC)*24),0)&lt;24,ROUND((($AW111-TDBC)*24),0)&amp;" giờ",INT(ROUND((($AW111-TDBC)*24),0)/24)&amp;" ngày"&amp;IF(MOD(ROUND((($AW111-TDBC)*24),0),24)&gt;0," "&amp;MOD(ROUND((($AW111-TDBC)*24),0),24)&amp;" giờ",""))))))</f>
      </c>
      <c r="AA111" s="221">
        <f>IF($A111="","",IF(N($AM111)=0,"Chưa bắt đầu",IF(OR($AN111="Hoàn thành kỳ",$AN111="Hoàn thành"),IF($B111="Định kỳ","Chưa bắt đầu","Hoàn thành"),$AN111)))</f>
      </c>
      <c r="AB111" s="222">
        <f>IF($A111="","",IF($AA111="Hoàn thành",1,IF(OR(N($AM111)=0,$AN111="Hoàn thành kỳ",$AN111="Hoàn thành"),0,N(INDEX('Nhật ký tiến độ'!$D:$D,$AM111)))))</f>
      </c>
      <c r="AC111" s="222">
        <f>IF(OR($A111="",$B111&lt;&gt;"Đột xuất",$AA111="Hoàn thành",N($J111)=0,$AW111=0),"",IF(TDBC&lt;=$J111,0,IF(TDBC&gt;=$AW111,1,(TDBC-$J111)/($AW111-$J111))))</f>
      </c>
      <c r="AD111" s="223">
        <f>IF($A111="","",IF($AA111="Hoàn thành","Hoàn thành",IF($AW111=0,"Chưa đặt hạn",IF(TDBC&gt;$AW111,"Quá hạn",IF(AND($B111="Đột xuất",ROUND((N($AC111)-$AB111)*100,0)&gt;=20),"Chậm tiến độ",IF($AP111=NgayBC,"Đến hạn hôm nay",IF($B111="Đột xuất",IF($AW111-TDBC&lt;=1,"Sắp đến hạn","Đúng tiến độ"),IF($AP111-NgayBC&lt;=3,"Sắp đến hạn","Theo lịch"))))))))</f>
      </c>
      <c r="AE111" s="223">
        <f>IF($AV111="","",IF($B111="Định kỳ","Bình quân "&amp;IF($AV111&lt;1,MAX(1,ROUND($AV111*60,0))&amp;" phút",IF(ROUND($AV111,0)&lt;24,ROUND($AV111,0)&amp;" giờ",INT(ROUND($AV111,0)/24)&amp;" ngày"&amp;IF(MOD(ROUND($AV111,0),24)&gt;0," "&amp;MOD(ROUND($AV111,0),24)&amp;" giờ","")))&amp;" mỗi kỳ",IF($AV111&lt;1,MAX(1,ROUND($AV111*60,0))&amp;" phút",IF(ROUND($AV111,0)&lt;24,ROUND($AV111,0)&amp;" giờ",INT(ROUND($AV111,0)/24)&amp;" ngày"&amp;IF(MOD(ROUND($AV111,0),24)&gt;0," "&amp;MOD(ROUND($AV111,0),24)&amp;" giờ","")))))</f>
      </c>
      <c r="AF111" s="223">
        <f>IF(OR($A111="",N($AU111)=0),"",IF($AV111&lt;&gt;"",IF($AV111&lt;=$AU111,"Trong ước tính","Vượt "&amp;IF(($AV111-$AU111)&lt;1,MAX(1,ROUND(($AV111-$AU111)*60,0))&amp;" phút",IF(ROUND(($AV111-$AU111),0)&lt;24,ROUND(($AV111-$AU111),0)&amp;" giờ",INT(ROUND(($AV111-$AU111),0)/24)&amp;" ngày"&amp;IF(MOD(ROUND(($AV111-$AU111),0),24)&gt;0," "&amp;MOD(ROUND(($AV111-$AU111),0),24)&amp;" giờ","")))),IF(OR($B111&lt;&gt;"Đột xuất",$AA111="Hoàn thành",N($J111)=0),"",IF((TDBC-$J111)*24&gt;$AU111,"Đã vượt ước tính","Đã dùng "&amp;TEXT((TDBC-$J111)*24/$AU111,"0%")))))</f>
      </c>
      <c r="AG111" s="223">
        <f>IF(N($BB111)=0,"",CHOOSE($BB111,"Nhắc nhở","Cảnh báo","Báo động","Báo động đỏ"))</f>
      </c>
      <c r="AH111" s="223">
        <f>IF(OR($B111&lt;&gt;"Đột xuất",$AA111&lt;&gt;"Hoàn thành",N($X111)=0,$AW111=0),"",IF($X111&lt;=$AW111,"Đúng hạn","Trễ hạn"))</f>
      </c>
      <c r="AI111" s="220">
        <f>IF($A111="","",_xlfn.MAXIFS('Nhật ký tiến độ'!$B$6:$B$3005,'Nhật ký tiến độ'!$C$6:$C$3005,$A111))</f>
      </c>
      <c r="AJ111" s="225">
        <f>IF(OR($A111="",$B111&lt;&gt;"Định kỳ"),0,IFERROR(INDEX(DM_TanSuatNgay,MATCH($H111,DM_TanSuat,0)),0))</f>
      </c>
      <c r="AK111" s="225">
        <f>IF(OR($A111="",$B111&lt;&gt;"Định kỳ"),0,IFERROR(INDEX(DM_TanSuatThang,MATCH($H111,DM_TanSuat,0)),0))</f>
      </c>
      <c r="AL111" s="225">
        <f>IF(OR($A111="",$B111&lt;&gt;"Định kỳ",N($X111)=0,N($I111)=0),"",IF(INT($X111)&lt;$I111,0,IF($AJ111&gt;0,ROUND((INT($X111)-$I111)/$AJ111,0),IF($AK111&gt;0,ROUND((DATEDIF($I111,INT($X111),"m")+(INT($X111)-EDATE($I111,DATEDIF($I111,INT($X111),"m")))/(EDATE($I111,DATEDIF($I111,INT($X111),"m")+1)-EDATE($I111,DATEDIF($I111,INT($X111),"m"))))/$AK111,0),0))))</f>
      </c>
      <c r="AM111" s="225">
        <f>IF($A111="","",IF(COUNTIF('Nhật ký tiến độ'!$C$6:$C$3005,$A111)=0,0,_xlfn.MAXIFS('Nhật ký tiến độ'!$N$6:$N$3005,'Nhật ký tiến độ'!$C$6:$C$3005,$A111,'Nhật ký tiến độ'!$B$6:$B$3005,_xlfn.MAXIFS('Nhật ký tiến độ'!$B$6:$B$3005,'Nhật ký tiến độ'!$C$6:$C$3005,$A111))))</f>
      </c>
      <c r="AN111" s="225">
        <f>IF($A111="","",IF(N($AM111)=0,"",INDEX('Nhật ký tiến độ'!$E:$E,$AM111)))</f>
      </c>
      <c r="AO111" s="225">
        <f>IF($A111="",0,IF($AA111="Hoàn thành",0,1))</f>
      </c>
      <c r="AP111" s="225">
        <f>IF($AO111=0,0,INT(N($AW111)))</f>
      </c>
      <c r="AQ111" s="225">
        <f>IF(AND($AO111=1,$AJ111&gt;1),$AJ111,0)</f>
      </c>
      <c r="AR111" s="225">
        <f>IF(AND($AO111=1,$AJ111=1),1,0)</f>
      </c>
      <c r="AS111" s="225">
        <f>IF(OR($AO111=0,AND($AR111=1,N($BB111)=0)),"",IF(N($BB111)&gt;0,5-$BB111,IF($AD111="Chậm tiến độ",6,IF($AD111="Đến hạn hôm nay",7,IF(AND($AP111&gt;0,$AP111-NgayBC&lt;=7),8,"")))))</f>
      </c>
      <c r="AT111" s="225">
        <f>IF($AS111="","",$AS111*100000+$AP111+ROW()/100000)</f>
      </c>
      <c r="AU111" s="224">
        <f>IF(OR($A111="",N($R111)&lt;=0),"",IF($S111="Ngày",$R111*24,$R111))</f>
      </c>
      <c r="AV111" s="224">
        <f>IF($A111="","",IF($B111="Đột xuất",IF(OR($AA111&lt;&gt;"Hoàn thành",N($X111)=0,N($J111)=0),"",IF($X111&lt;$J111,"",($X111-$J111)*24)),IFERROR(AVERAGEIFS('Nhật ký tiến độ'!$H$6:$H$3005,'Nhật ký tiến độ'!$C$6:$C$3005,$A111,'Nhật ký tiến độ'!$H$6:$H$3005,"&gt;0"),"")))</f>
      </c>
      <c r="AW111" s="233">
        <f>IF($A111="",0,IF($B111="Đột xuất",$AY111,IF($AX111=0,0,$AX111+1-1/1440)))</f>
      </c>
      <c r="AX111" s="234">
        <f>IF(OR($A111="",$B111&lt;&gt;"Định kỳ",N($I111)=0),0,IF($AL111="",$I111,IF($AJ111&gt;0,$I111+($AL111+1)*$AJ111,IF($AK111&gt;0,EDATE($I111,($AL111+1)*$AK111),$I111))))</f>
      </c>
      <c r="AY111" s="233">
        <f>IF(OR($A111="",$B111&lt;&gt;"Đột xuất"),0,IF(N($K111)&gt;0,IF(MOD($K111,1)=0,$K111+1-1/1440,$K111),IF(N($J111)=0,0,$J111+IF(N($AU111)&gt;0,$AU111,IFERROR(INDEX(DM_SLA_Gio,MATCH($L111,DM_SLA_Cap,0)),168))/24)))</f>
      </c>
      <c r="AZ111" s="225">
        <f>IF(OR($A111="",TRIM($N111)="",COUNTIF('Phản ánh'!$K$6:$K$505,$N111)&gt;0,COUNTIF($N$6:$N111,$N111)&gt;1),0,1)</f>
      </c>
      <c r="BA111" s="225">
        <f>IF($AZ111=1,SUM($AZ$6:$AZ111),"")</f>
      </c>
      <c r="BB111" s="225">
        <f>IF(OR($AO111=0,N($AW111)=0),0,IF(TDBC&lt;=$AW111,0,MAX(1,MIN(4,IF((TDBC-$AW111)*24&lt;24,1,IF((TDBC-$AW111)*24&lt;72,2,IF((TDBC-$AW111)*24&lt;168,3,4)))+IF($B111="Đột xuất",IFERROR(INDEX({2,1,0,-1},MATCH($L111,{"Khẩn cấp","Cao","Trung bình","Thấp"},0)),0),IF($D111="PCCC và an ninh",1,0))))))</f>
      </c>
    </row>
    <row r="112">
      <c r="A112" s="216"/>
      <c r="B112" s="216"/>
      <c r="C112" s="218"/>
      <c r="D112" s="218"/>
      <c r="E112" s="218"/>
      <c r="F112" s="216"/>
      <c r="G112" s="218"/>
      <c r="H112" s="218"/>
      <c r="I112" s="231"/>
      <c r="J112" s="217"/>
      <c r="K112" s="217"/>
      <c r="L112" s="216"/>
      <c r="M112" s="216"/>
      <c r="N112" s="218"/>
      <c r="O112" s="218"/>
      <c r="P112" s="218"/>
      <c r="Q112" s="218"/>
      <c r="R112" s="219"/>
      <c r="S112" s="216"/>
      <c r="T112" s="232"/>
      <c r="U112" s="232"/>
      <c r="V112" s="218"/>
      <c r="W112" s="218"/>
      <c r="X112" s="220">
        <f>IF($A112="","",IF(OR($B112="Định kỳ",$AA112="Hoàn thành"),MAX(_xlfn.MAXIFS('Nhật ký tiến độ'!$B$6:$B$3005,'Nhật ký tiến độ'!$C$6:$C$3005,$A112,'Nhật ký tiến độ'!$E$6:$E$3005,"Hoàn thành kỳ"),_xlfn.MAXIFS('Nhật ký tiến độ'!$B$6:$B$3005,'Nhật ký tiến độ'!$C$6:$C$3005,$A112,'Nhật ký tiến độ'!$E$6:$E$3005,"Hoàn thành")),0))</f>
      </c>
      <c r="Y112" s="220">
        <f>IF($A112="","",IF($B112="Đột xuất",IF($AY112=0,"",$AY112),IF($AX112=0,"",$AX112)))</f>
      </c>
      <c r="Z112" s="223">
        <f>IF(OR($AO112=0,$AW112=0),"",IF(TDBC&gt;$AW112,"Quá "&amp;IF($B112="Định kỳ",(NgayBC-$AP112)&amp;" ngày",IF(((TDBC-$AW112)*24)&lt;1,MAX(1,ROUND(((TDBC-$AW112)*24)*60,0))&amp;" phút",IF(ROUND(((TDBC-$AW112)*24),0)&lt;24,ROUND(((TDBC-$AW112)*24),0)&amp;" giờ",INT(ROUND(((TDBC-$AW112)*24),0)/24)&amp;" ngày"&amp;IF(MOD(ROUND(((TDBC-$AW112)*24),0),24)&gt;0," "&amp;MOD(ROUND(((TDBC-$AW112)*24),0),24)&amp;" giờ","")))),IF($B112="Định kỳ",IF($AP112=NgayBC,"Hôm nay","Còn "&amp;($AP112-NgayBC)&amp;" ngày"),"Còn "&amp;IF((($AW112-TDBC)*24)&lt;1,MAX(1,ROUND((($AW112-TDBC)*24)*60,0))&amp;" phút",IF(ROUND((($AW112-TDBC)*24),0)&lt;24,ROUND((($AW112-TDBC)*24),0)&amp;" giờ",INT(ROUND((($AW112-TDBC)*24),0)/24)&amp;" ngày"&amp;IF(MOD(ROUND((($AW112-TDBC)*24),0),24)&gt;0," "&amp;MOD(ROUND((($AW112-TDBC)*24),0),24)&amp;" giờ",""))))))</f>
      </c>
      <c r="AA112" s="221">
        <f>IF($A112="","",IF(N($AM112)=0,"Chưa bắt đầu",IF(OR($AN112="Hoàn thành kỳ",$AN112="Hoàn thành"),IF($B112="Định kỳ","Chưa bắt đầu","Hoàn thành"),$AN112)))</f>
      </c>
      <c r="AB112" s="222">
        <f>IF($A112="","",IF($AA112="Hoàn thành",1,IF(OR(N($AM112)=0,$AN112="Hoàn thành kỳ",$AN112="Hoàn thành"),0,N(INDEX('Nhật ký tiến độ'!$D:$D,$AM112)))))</f>
      </c>
      <c r="AC112" s="222">
        <f>IF(OR($A112="",$B112&lt;&gt;"Đột xuất",$AA112="Hoàn thành",N($J112)=0,$AW112=0),"",IF(TDBC&lt;=$J112,0,IF(TDBC&gt;=$AW112,1,(TDBC-$J112)/($AW112-$J112))))</f>
      </c>
      <c r="AD112" s="223">
        <f>IF($A112="","",IF($AA112="Hoàn thành","Hoàn thành",IF($AW112=0,"Chưa đặt hạn",IF(TDBC&gt;$AW112,"Quá hạn",IF(AND($B112="Đột xuất",ROUND((N($AC112)-$AB112)*100,0)&gt;=20),"Chậm tiến độ",IF($AP112=NgayBC,"Đến hạn hôm nay",IF($B112="Đột xuất",IF($AW112-TDBC&lt;=1,"Sắp đến hạn","Đúng tiến độ"),IF($AP112-NgayBC&lt;=3,"Sắp đến hạn","Theo lịch"))))))))</f>
      </c>
      <c r="AE112" s="223">
        <f>IF($AV112="","",IF($B112="Định kỳ","Bình quân "&amp;IF($AV112&lt;1,MAX(1,ROUND($AV112*60,0))&amp;" phút",IF(ROUND($AV112,0)&lt;24,ROUND($AV112,0)&amp;" giờ",INT(ROUND($AV112,0)/24)&amp;" ngày"&amp;IF(MOD(ROUND($AV112,0),24)&gt;0," "&amp;MOD(ROUND($AV112,0),24)&amp;" giờ","")))&amp;" mỗi kỳ",IF($AV112&lt;1,MAX(1,ROUND($AV112*60,0))&amp;" phút",IF(ROUND($AV112,0)&lt;24,ROUND($AV112,0)&amp;" giờ",INT(ROUND($AV112,0)/24)&amp;" ngày"&amp;IF(MOD(ROUND($AV112,0),24)&gt;0," "&amp;MOD(ROUND($AV112,0),24)&amp;" giờ","")))))</f>
      </c>
      <c r="AF112" s="223">
        <f>IF(OR($A112="",N($AU112)=0),"",IF($AV112&lt;&gt;"",IF($AV112&lt;=$AU112,"Trong ước tính","Vượt "&amp;IF(($AV112-$AU112)&lt;1,MAX(1,ROUND(($AV112-$AU112)*60,0))&amp;" phút",IF(ROUND(($AV112-$AU112),0)&lt;24,ROUND(($AV112-$AU112),0)&amp;" giờ",INT(ROUND(($AV112-$AU112),0)/24)&amp;" ngày"&amp;IF(MOD(ROUND(($AV112-$AU112),0),24)&gt;0," "&amp;MOD(ROUND(($AV112-$AU112),0),24)&amp;" giờ","")))),IF(OR($B112&lt;&gt;"Đột xuất",$AA112="Hoàn thành",N($J112)=0),"",IF((TDBC-$J112)*24&gt;$AU112,"Đã vượt ước tính","Đã dùng "&amp;TEXT((TDBC-$J112)*24/$AU112,"0%")))))</f>
      </c>
      <c r="AG112" s="223">
        <f>IF(N($BB112)=0,"",CHOOSE($BB112,"Nhắc nhở","Cảnh báo","Báo động","Báo động đỏ"))</f>
      </c>
      <c r="AH112" s="223">
        <f>IF(OR($B112&lt;&gt;"Đột xuất",$AA112&lt;&gt;"Hoàn thành",N($X112)=0,$AW112=0),"",IF($X112&lt;=$AW112,"Đúng hạn","Trễ hạn"))</f>
      </c>
      <c r="AI112" s="220">
        <f>IF($A112="","",_xlfn.MAXIFS('Nhật ký tiến độ'!$B$6:$B$3005,'Nhật ký tiến độ'!$C$6:$C$3005,$A112))</f>
      </c>
      <c r="AJ112" s="225">
        <f>IF(OR($A112="",$B112&lt;&gt;"Định kỳ"),0,IFERROR(INDEX(DM_TanSuatNgay,MATCH($H112,DM_TanSuat,0)),0))</f>
      </c>
      <c r="AK112" s="225">
        <f>IF(OR($A112="",$B112&lt;&gt;"Định kỳ"),0,IFERROR(INDEX(DM_TanSuatThang,MATCH($H112,DM_TanSuat,0)),0))</f>
      </c>
      <c r="AL112" s="225">
        <f>IF(OR($A112="",$B112&lt;&gt;"Định kỳ",N($X112)=0,N($I112)=0),"",IF(INT($X112)&lt;$I112,0,IF($AJ112&gt;0,ROUND((INT($X112)-$I112)/$AJ112,0),IF($AK112&gt;0,ROUND((DATEDIF($I112,INT($X112),"m")+(INT($X112)-EDATE($I112,DATEDIF($I112,INT($X112),"m")))/(EDATE($I112,DATEDIF($I112,INT($X112),"m")+1)-EDATE($I112,DATEDIF($I112,INT($X112),"m"))))/$AK112,0),0))))</f>
      </c>
      <c r="AM112" s="225">
        <f>IF($A112="","",IF(COUNTIF('Nhật ký tiến độ'!$C$6:$C$3005,$A112)=0,0,_xlfn.MAXIFS('Nhật ký tiến độ'!$N$6:$N$3005,'Nhật ký tiến độ'!$C$6:$C$3005,$A112,'Nhật ký tiến độ'!$B$6:$B$3005,_xlfn.MAXIFS('Nhật ký tiến độ'!$B$6:$B$3005,'Nhật ký tiến độ'!$C$6:$C$3005,$A112))))</f>
      </c>
      <c r="AN112" s="225">
        <f>IF($A112="","",IF(N($AM112)=0,"",INDEX('Nhật ký tiến độ'!$E:$E,$AM112)))</f>
      </c>
      <c r="AO112" s="225">
        <f>IF($A112="",0,IF($AA112="Hoàn thành",0,1))</f>
      </c>
      <c r="AP112" s="225">
        <f>IF($AO112=0,0,INT(N($AW112)))</f>
      </c>
      <c r="AQ112" s="225">
        <f>IF(AND($AO112=1,$AJ112&gt;1),$AJ112,0)</f>
      </c>
      <c r="AR112" s="225">
        <f>IF(AND($AO112=1,$AJ112=1),1,0)</f>
      </c>
      <c r="AS112" s="225">
        <f>IF(OR($AO112=0,AND($AR112=1,N($BB112)=0)),"",IF(N($BB112)&gt;0,5-$BB112,IF($AD112="Chậm tiến độ",6,IF($AD112="Đến hạn hôm nay",7,IF(AND($AP112&gt;0,$AP112-NgayBC&lt;=7),8,"")))))</f>
      </c>
      <c r="AT112" s="225">
        <f>IF($AS112="","",$AS112*100000+$AP112+ROW()/100000)</f>
      </c>
      <c r="AU112" s="224">
        <f>IF(OR($A112="",N($R112)&lt;=0),"",IF($S112="Ngày",$R112*24,$R112))</f>
      </c>
      <c r="AV112" s="224">
        <f>IF($A112="","",IF($B112="Đột xuất",IF(OR($AA112&lt;&gt;"Hoàn thành",N($X112)=0,N($J112)=0),"",IF($X112&lt;$J112,"",($X112-$J112)*24)),IFERROR(AVERAGEIFS('Nhật ký tiến độ'!$H$6:$H$3005,'Nhật ký tiến độ'!$C$6:$C$3005,$A112,'Nhật ký tiến độ'!$H$6:$H$3005,"&gt;0"),"")))</f>
      </c>
      <c r="AW112" s="233">
        <f>IF($A112="",0,IF($B112="Đột xuất",$AY112,IF($AX112=0,0,$AX112+1-1/1440)))</f>
      </c>
      <c r="AX112" s="234">
        <f>IF(OR($A112="",$B112&lt;&gt;"Định kỳ",N($I112)=0),0,IF($AL112="",$I112,IF($AJ112&gt;0,$I112+($AL112+1)*$AJ112,IF($AK112&gt;0,EDATE($I112,($AL112+1)*$AK112),$I112))))</f>
      </c>
      <c r="AY112" s="233">
        <f>IF(OR($A112="",$B112&lt;&gt;"Đột xuất"),0,IF(N($K112)&gt;0,IF(MOD($K112,1)=0,$K112+1-1/1440,$K112),IF(N($J112)=0,0,$J112+IF(N($AU112)&gt;0,$AU112,IFERROR(INDEX(DM_SLA_Gio,MATCH($L112,DM_SLA_Cap,0)),168))/24)))</f>
      </c>
      <c r="AZ112" s="225">
        <f>IF(OR($A112="",TRIM($N112)="",COUNTIF('Phản ánh'!$K$6:$K$505,$N112)&gt;0,COUNTIF($N$6:$N112,$N112)&gt;1),0,1)</f>
      </c>
      <c r="BA112" s="225">
        <f>IF($AZ112=1,SUM($AZ$6:$AZ112),"")</f>
      </c>
      <c r="BB112" s="225">
        <f>IF(OR($AO112=0,N($AW112)=0),0,IF(TDBC&lt;=$AW112,0,MAX(1,MIN(4,IF((TDBC-$AW112)*24&lt;24,1,IF((TDBC-$AW112)*24&lt;72,2,IF((TDBC-$AW112)*24&lt;168,3,4)))+IF($B112="Đột xuất",IFERROR(INDEX({2,1,0,-1},MATCH($L112,{"Khẩn cấp","Cao","Trung bình","Thấp"},0)),0),IF($D112="PCCC và an ninh",1,0))))))</f>
      </c>
    </row>
    <row r="113">
      <c r="A113" s="216"/>
      <c r="B113" s="216"/>
      <c r="C113" s="218"/>
      <c r="D113" s="218"/>
      <c r="E113" s="218"/>
      <c r="F113" s="216"/>
      <c r="G113" s="218"/>
      <c r="H113" s="218"/>
      <c r="I113" s="231"/>
      <c r="J113" s="217"/>
      <c r="K113" s="217"/>
      <c r="L113" s="216"/>
      <c r="M113" s="216"/>
      <c r="N113" s="218"/>
      <c r="O113" s="218"/>
      <c r="P113" s="218"/>
      <c r="Q113" s="218"/>
      <c r="R113" s="219"/>
      <c r="S113" s="216"/>
      <c r="T113" s="232"/>
      <c r="U113" s="232"/>
      <c r="V113" s="218"/>
      <c r="W113" s="218"/>
      <c r="X113" s="220">
        <f>IF($A113="","",IF(OR($B113="Định kỳ",$AA113="Hoàn thành"),MAX(_xlfn.MAXIFS('Nhật ký tiến độ'!$B$6:$B$3005,'Nhật ký tiến độ'!$C$6:$C$3005,$A113,'Nhật ký tiến độ'!$E$6:$E$3005,"Hoàn thành kỳ"),_xlfn.MAXIFS('Nhật ký tiến độ'!$B$6:$B$3005,'Nhật ký tiến độ'!$C$6:$C$3005,$A113,'Nhật ký tiến độ'!$E$6:$E$3005,"Hoàn thành")),0))</f>
      </c>
      <c r="Y113" s="220">
        <f>IF($A113="","",IF($B113="Đột xuất",IF($AY113=0,"",$AY113),IF($AX113=0,"",$AX113)))</f>
      </c>
      <c r="Z113" s="223">
        <f>IF(OR($AO113=0,$AW113=0),"",IF(TDBC&gt;$AW113,"Quá "&amp;IF($B113="Định kỳ",(NgayBC-$AP113)&amp;" ngày",IF(((TDBC-$AW113)*24)&lt;1,MAX(1,ROUND(((TDBC-$AW113)*24)*60,0))&amp;" phút",IF(ROUND(((TDBC-$AW113)*24),0)&lt;24,ROUND(((TDBC-$AW113)*24),0)&amp;" giờ",INT(ROUND(((TDBC-$AW113)*24),0)/24)&amp;" ngày"&amp;IF(MOD(ROUND(((TDBC-$AW113)*24),0),24)&gt;0," "&amp;MOD(ROUND(((TDBC-$AW113)*24),0),24)&amp;" giờ","")))),IF($B113="Định kỳ",IF($AP113=NgayBC,"Hôm nay","Còn "&amp;($AP113-NgayBC)&amp;" ngày"),"Còn "&amp;IF((($AW113-TDBC)*24)&lt;1,MAX(1,ROUND((($AW113-TDBC)*24)*60,0))&amp;" phút",IF(ROUND((($AW113-TDBC)*24),0)&lt;24,ROUND((($AW113-TDBC)*24),0)&amp;" giờ",INT(ROUND((($AW113-TDBC)*24),0)/24)&amp;" ngày"&amp;IF(MOD(ROUND((($AW113-TDBC)*24),0),24)&gt;0," "&amp;MOD(ROUND((($AW113-TDBC)*24),0),24)&amp;" giờ",""))))))</f>
      </c>
      <c r="AA113" s="221">
        <f>IF($A113="","",IF(N($AM113)=0,"Chưa bắt đầu",IF(OR($AN113="Hoàn thành kỳ",$AN113="Hoàn thành"),IF($B113="Định kỳ","Chưa bắt đầu","Hoàn thành"),$AN113)))</f>
      </c>
      <c r="AB113" s="222">
        <f>IF($A113="","",IF($AA113="Hoàn thành",1,IF(OR(N($AM113)=0,$AN113="Hoàn thành kỳ",$AN113="Hoàn thành"),0,N(INDEX('Nhật ký tiến độ'!$D:$D,$AM113)))))</f>
      </c>
      <c r="AC113" s="222">
        <f>IF(OR($A113="",$B113&lt;&gt;"Đột xuất",$AA113="Hoàn thành",N($J113)=0,$AW113=0),"",IF(TDBC&lt;=$J113,0,IF(TDBC&gt;=$AW113,1,(TDBC-$J113)/($AW113-$J113))))</f>
      </c>
      <c r="AD113" s="223">
        <f>IF($A113="","",IF($AA113="Hoàn thành","Hoàn thành",IF($AW113=0,"Chưa đặt hạn",IF(TDBC&gt;$AW113,"Quá hạn",IF(AND($B113="Đột xuất",ROUND((N($AC113)-$AB113)*100,0)&gt;=20),"Chậm tiến độ",IF($AP113=NgayBC,"Đến hạn hôm nay",IF($B113="Đột xuất",IF($AW113-TDBC&lt;=1,"Sắp đến hạn","Đúng tiến độ"),IF($AP113-NgayBC&lt;=3,"Sắp đến hạn","Theo lịch"))))))))</f>
      </c>
      <c r="AE113" s="223">
        <f>IF($AV113="","",IF($B113="Định kỳ","Bình quân "&amp;IF($AV113&lt;1,MAX(1,ROUND($AV113*60,0))&amp;" phút",IF(ROUND($AV113,0)&lt;24,ROUND($AV113,0)&amp;" giờ",INT(ROUND($AV113,0)/24)&amp;" ngày"&amp;IF(MOD(ROUND($AV113,0),24)&gt;0," "&amp;MOD(ROUND($AV113,0),24)&amp;" giờ","")))&amp;" mỗi kỳ",IF($AV113&lt;1,MAX(1,ROUND($AV113*60,0))&amp;" phút",IF(ROUND($AV113,0)&lt;24,ROUND($AV113,0)&amp;" giờ",INT(ROUND($AV113,0)/24)&amp;" ngày"&amp;IF(MOD(ROUND($AV113,0),24)&gt;0," "&amp;MOD(ROUND($AV113,0),24)&amp;" giờ","")))))</f>
      </c>
      <c r="AF113" s="223">
        <f>IF(OR($A113="",N($AU113)=0),"",IF($AV113&lt;&gt;"",IF($AV113&lt;=$AU113,"Trong ước tính","Vượt "&amp;IF(($AV113-$AU113)&lt;1,MAX(1,ROUND(($AV113-$AU113)*60,0))&amp;" phút",IF(ROUND(($AV113-$AU113),0)&lt;24,ROUND(($AV113-$AU113),0)&amp;" giờ",INT(ROUND(($AV113-$AU113),0)/24)&amp;" ngày"&amp;IF(MOD(ROUND(($AV113-$AU113),0),24)&gt;0," "&amp;MOD(ROUND(($AV113-$AU113),0),24)&amp;" giờ","")))),IF(OR($B113&lt;&gt;"Đột xuất",$AA113="Hoàn thành",N($J113)=0),"",IF((TDBC-$J113)*24&gt;$AU113,"Đã vượt ước tính","Đã dùng "&amp;TEXT((TDBC-$J113)*24/$AU113,"0%")))))</f>
      </c>
      <c r="AG113" s="223">
        <f>IF(N($BB113)=0,"",CHOOSE($BB113,"Nhắc nhở","Cảnh báo","Báo động","Báo động đỏ"))</f>
      </c>
      <c r="AH113" s="223">
        <f>IF(OR($B113&lt;&gt;"Đột xuất",$AA113&lt;&gt;"Hoàn thành",N($X113)=0,$AW113=0),"",IF($X113&lt;=$AW113,"Đúng hạn","Trễ hạn"))</f>
      </c>
      <c r="AI113" s="220">
        <f>IF($A113="","",_xlfn.MAXIFS('Nhật ký tiến độ'!$B$6:$B$3005,'Nhật ký tiến độ'!$C$6:$C$3005,$A113))</f>
      </c>
      <c r="AJ113" s="225">
        <f>IF(OR($A113="",$B113&lt;&gt;"Định kỳ"),0,IFERROR(INDEX(DM_TanSuatNgay,MATCH($H113,DM_TanSuat,0)),0))</f>
      </c>
      <c r="AK113" s="225">
        <f>IF(OR($A113="",$B113&lt;&gt;"Định kỳ"),0,IFERROR(INDEX(DM_TanSuatThang,MATCH($H113,DM_TanSuat,0)),0))</f>
      </c>
      <c r="AL113" s="225">
        <f>IF(OR($A113="",$B113&lt;&gt;"Định kỳ",N($X113)=0,N($I113)=0),"",IF(INT($X113)&lt;$I113,0,IF($AJ113&gt;0,ROUND((INT($X113)-$I113)/$AJ113,0),IF($AK113&gt;0,ROUND((DATEDIF($I113,INT($X113),"m")+(INT($X113)-EDATE($I113,DATEDIF($I113,INT($X113),"m")))/(EDATE($I113,DATEDIF($I113,INT($X113),"m")+1)-EDATE($I113,DATEDIF($I113,INT($X113),"m"))))/$AK113,0),0))))</f>
      </c>
      <c r="AM113" s="225">
        <f>IF($A113="","",IF(COUNTIF('Nhật ký tiến độ'!$C$6:$C$3005,$A113)=0,0,_xlfn.MAXIFS('Nhật ký tiến độ'!$N$6:$N$3005,'Nhật ký tiến độ'!$C$6:$C$3005,$A113,'Nhật ký tiến độ'!$B$6:$B$3005,_xlfn.MAXIFS('Nhật ký tiến độ'!$B$6:$B$3005,'Nhật ký tiến độ'!$C$6:$C$3005,$A113))))</f>
      </c>
      <c r="AN113" s="225">
        <f>IF($A113="","",IF(N($AM113)=0,"",INDEX('Nhật ký tiến độ'!$E:$E,$AM113)))</f>
      </c>
      <c r="AO113" s="225">
        <f>IF($A113="",0,IF($AA113="Hoàn thành",0,1))</f>
      </c>
      <c r="AP113" s="225">
        <f>IF($AO113=0,0,INT(N($AW113)))</f>
      </c>
      <c r="AQ113" s="225">
        <f>IF(AND($AO113=1,$AJ113&gt;1),$AJ113,0)</f>
      </c>
      <c r="AR113" s="225">
        <f>IF(AND($AO113=1,$AJ113=1),1,0)</f>
      </c>
      <c r="AS113" s="225">
        <f>IF(OR($AO113=0,AND($AR113=1,N($BB113)=0)),"",IF(N($BB113)&gt;0,5-$BB113,IF($AD113="Chậm tiến độ",6,IF($AD113="Đến hạn hôm nay",7,IF(AND($AP113&gt;0,$AP113-NgayBC&lt;=7),8,"")))))</f>
      </c>
      <c r="AT113" s="225">
        <f>IF($AS113="","",$AS113*100000+$AP113+ROW()/100000)</f>
      </c>
      <c r="AU113" s="224">
        <f>IF(OR($A113="",N($R113)&lt;=0),"",IF($S113="Ngày",$R113*24,$R113))</f>
      </c>
      <c r="AV113" s="224">
        <f>IF($A113="","",IF($B113="Đột xuất",IF(OR($AA113&lt;&gt;"Hoàn thành",N($X113)=0,N($J113)=0),"",IF($X113&lt;$J113,"",($X113-$J113)*24)),IFERROR(AVERAGEIFS('Nhật ký tiến độ'!$H$6:$H$3005,'Nhật ký tiến độ'!$C$6:$C$3005,$A113,'Nhật ký tiến độ'!$H$6:$H$3005,"&gt;0"),"")))</f>
      </c>
      <c r="AW113" s="233">
        <f>IF($A113="",0,IF($B113="Đột xuất",$AY113,IF($AX113=0,0,$AX113+1-1/1440)))</f>
      </c>
      <c r="AX113" s="234">
        <f>IF(OR($A113="",$B113&lt;&gt;"Định kỳ",N($I113)=0),0,IF($AL113="",$I113,IF($AJ113&gt;0,$I113+($AL113+1)*$AJ113,IF($AK113&gt;0,EDATE($I113,($AL113+1)*$AK113),$I113))))</f>
      </c>
      <c r="AY113" s="233">
        <f>IF(OR($A113="",$B113&lt;&gt;"Đột xuất"),0,IF(N($K113)&gt;0,IF(MOD($K113,1)=0,$K113+1-1/1440,$K113),IF(N($J113)=0,0,$J113+IF(N($AU113)&gt;0,$AU113,IFERROR(INDEX(DM_SLA_Gio,MATCH($L113,DM_SLA_Cap,0)),168))/24)))</f>
      </c>
      <c r="AZ113" s="225">
        <f>IF(OR($A113="",TRIM($N113)="",COUNTIF('Phản ánh'!$K$6:$K$505,$N113)&gt;0,COUNTIF($N$6:$N113,$N113)&gt;1),0,1)</f>
      </c>
      <c r="BA113" s="225">
        <f>IF($AZ113=1,SUM($AZ$6:$AZ113),"")</f>
      </c>
      <c r="BB113" s="225">
        <f>IF(OR($AO113=0,N($AW113)=0),0,IF(TDBC&lt;=$AW113,0,MAX(1,MIN(4,IF((TDBC-$AW113)*24&lt;24,1,IF((TDBC-$AW113)*24&lt;72,2,IF((TDBC-$AW113)*24&lt;168,3,4)))+IF($B113="Đột xuất",IFERROR(INDEX({2,1,0,-1},MATCH($L113,{"Khẩn cấp","Cao","Trung bình","Thấp"},0)),0),IF($D113="PCCC và an ninh",1,0))))))</f>
      </c>
    </row>
    <row r="114">
      <c r="A114" s="216"/>
      <c r="B114" s="216"/>
      <c r="C114" s="218"/>
      <c r="D114" s="218"/>
      <c r="E114" s="218"/>
      <c r="F114" s="216"/>
      <c r="G114" s="218"/>
      <c r="H114" s="218"/>
      <c r="I114" s="231"/>
      <c r="J114" s="217"/>
      <c r="K114" s="217"/>
      <c r="L114" s="216"/>
      <c r="M114" s="216"/>
      <c r="N114" s="218"/>
      <c r="O114" s="218"/>
      <c r="P114" s="218"/>
      <c r="Q114" s="218"/>
      <c r="R114" s="219"/>
      <c r="S114" s="216"/>
      <c r="T114" s="232"/>
      <c r="U114" s="232"/>
      <c r="V114" s="218"/>
      <c r="W114" s="218"/>
      <c r="X114" s="220">
        <f>IF($A114="","",IF(OR($B114="Định kỳ",$AA114="Hoàn thành"),MAX(_xlfn.MAXIFS('Nhật ký tiến độ'!$B$6:$B$3005,'Nhật ký tiến độ'!$C$6:$C$3005,$A114,'Nhật ký tiến độ'!$E$6:$E$3005,"Hoàn thành kỳ"),_xlfn.MAXIFS('Nhật ký tiến độ'!$B$6:$B$3005,'Nhật ký tiến độ'!$C$6:$C$3005,$A114,'Nhật ký tiến độ'!$E$6:$E$3005,"Hoàn thành")),0))</f>
      </c>
      <c r="Y114" s="220">
        <f>IF($A114="","",IF($B114="Đột xuất",IF($AY114=0,"",$AY114),IF($AX114=0,"",$AX114)))</f>
      </c>
      <c r="Z114" s="223">
        <f>IF(OR($AO114=0,$AW114=0),"",IF(TDBC&gt;$AW114,"Quá "&amp;IF($B114="Định kỳ",(NgayBC-$AP114)&amp;" ngày",IF(((TDBC-$AW114)*24)&lt;1,MAX(1,ROUND(((TDBC-$AW114)*24)*60,0))&amp;" phút",IF(ROUND(((TDBC-$AW114)*24),0)&lt;24,ROUND(((TDBC-$AW114)*24),0)&amp;" giờ",INT(ROUND(((TDBC-$AW114)*24),0)/24)&amp;" ngày"&amp;IF(MOD(ROUND(((TDBC-$AW114)*24),0),24)&gt;0," "&amp;MOD(ROUND(((TDBC-$AW114)*24),0),24)&amp;" giờ","")))),IF($B114="Định kỳ",IF($AP114=NgayBC,"Hôm nay","Còn "&amp;($AP114-NgayBC)&amp;" ngày"),"Còn "&amp;IF((($AW114-TDBC)*24)&lt;1,MAX(1,ROUND((($AW114-TDBC)*24)*60,0))&amp;" phút",IF(ROUND((($AW114-TDBC)*24),0)&lt;24,ROUND((($AW114-TDBC)*24),0)&amp;" giờ",INT(ROUND((($AW114-TDBC)*24),0)/24)&amp;" ngày"&amp;IF(MOD(ROUND((($AW114-TDBC)*24),0),24)&gt;0," "&amp;MOD(ROUND((($AW114-TDBC)*24),0),24)&amp;" giờ",""))))))</f>
      </c>
      <c r="AA114" s="221">
        <f>IF($A114="","",IF(N($AM114)=0,"Chưa bắt đầu",IF(OR($AN114="Hoàn thành kỳ",$AN114="Hoàn thành"),IF($B114="Định kỳ","Chưa bắt đầu","Hoàn thành"),$AN114)))</f>
      </c>
      <c r="AB114" s="222">
        <f>IF($A114="","",IF($AA114="Hoàn thành",1,IF(OR(N($AM114)=0,$AN114="Hoàn thành kỳ",$AN114="Hoàn thành"),0,N(INDEX('Nhật ký tiến độ'!$D:$D,$AM114)))))</f>
      </c>
      <c r="AC114" s="222">
        <f>IF(OR($A114="",$B114&lt;&gt;"Đột xuất",$AA114="Hoàn thành",N($J114)=0,$AW114=0),"",IF(TDBC&lt;=$J114,0,IF(TDBC&gt;=$AW114,1,(TDBC-$J114)/($AW114-$J114))))</f>
      </c>
      <c r="AD114" s="223">
        <f>IF($A114="","",IF($AA114="Hoàn thành","Hoàn thành",IF($AW114=0,"Chưa đặt hạn",IF(TDBC&gt;$AW114,"Quá hạn",IF(AND($B114="Đột xuất",ROUND((N($AC114)-$AB114)*100,0)&gt;=20),"Chậm tiến độ",IF($AP114=NgayBC,"Đến hạn hôm nay",IF($B114="Đột xuất",IF($AW114-TDBC&lt;=1,"Sắp đến hạn","Đúng tiến độ"),IF($AP114-NgayBC&lt;=3,"Sắp đến hạn","Theo lịch"))))))))</f>
      </c>
      <c r="AE114" s="223">
        <f>IF($AV114="","",IF($B114="Định kỳ","Bình quân "&amp;IF($AV114&lt;1,MAX(1,ROUND($AV114*60,0))&amp;" phút",IF(ROUND($AV114,0)&lt;24,ROUND($AV114,0)&amp;" giờ",INT(ROUND($AV114,0)/24)&amp;" ngày"&amp;IF(MOD(ROUND($AV114,0),24)&gt;0," "&amp;MOD(ROUND($AV114,0),24)&amp;" giờ","")))&amp;" mỗi kỳ",IF($AV114&lt;1,MAX(1,ROUND($AV114*60,0))&amp;" phút",IF(ROUND($AV114,0)&lt;24,ROUND($AV114,0)&amp;" giờ",INT(ROUND($AV114,0)/24)&amp;" ngày"&amp;IF(MOD(ROUND($AV114,0),24)&gt;0," "&amp;MOD(ROUND($AV114,0),24)&amp;" giờ","")))))</f>
      </c>
      <c r="AF114" s="223">
        <f>IF(OR($A114="",N($AU114)=0),"",IF($AV114&lt;&gt;"",IF($AV114&lt;=$AU114,"Trong ước tính","Vượt "&amp;IF(($AV114-$AU114)&lt;1,MAX(1,ROUND(($AV114-$AU114)*60,0))&amp;" phút",IF(ROUND(($AV114-$AU114),0)&lt;24,ROUND(($AV114-$AU114),0)&amp;" giờ",INT(ROUND(($AV114-$AU114),0)/24)&amp;" ngày"&amp;IF(MOD(ROUND(($AV114-$AU114),0),24)&gt;0," "&amp;MOD(ROUND(($AV114-$AU114),0),24)&amp;" giờ","")))),IF(OR($B114&lt;&gt;"Đột xuất",$AA114="Hoàn thành",N($J114)=0),"",IF((TDBC-$J114)*24&gt;$AU114,"Đã vượt ước tính","Đã dùng "&amp;TEXT((TDBC-$J114)*24/$AU114,"0%")))))</f>
      </c>
      <c r="AG114" s="223">
        <f>IF(N($BB114)=0,"",CHOOSE($BB114,"Nhắc nhở","Cảnh báo","Báo động","Báo động đỏ"))</f>
      </c>
      <c r="AH114" s="223">
        <f>IF(OR($B114&lt;&gt;"Đột xuất",$AA114&lt;&gt;"Hoàn thành",N($X114)=0,$AW114=0),"",IF($X114&lt;=$AW114,"Đúng hạn","Trễ hạn"))</f>
      </c>
      <c r="AI114" s="220">
        <f>IF($A114="","",_xlfn.MAXIFS('Nhật ký tiến độ'!$B$6:$B$3005,'Nhật ký tiến độ'!$C$6:$C$3005,$A114))</f>
      </c>
      <c r="AJ114" s="225">
        <f>IF(OR($A114="",$B114&lt;&gt;"Định kỳ"),0,IFERROR(INDEX(DM_TanSuatNgay,MATCH($H114,DM_TanSuat,0)),0))</f>
      </c>
      <c r="AK114" s="225">
        <f>IF(OR($A114="",$B114&lt;&gt;"Định kỳ"),0,IFERROR(INDEX(DM_TanSuatThang,MATCH($H114,DM_TanSuat,0)),0))</f>
      </c>
      <c r="AL114" s="225">
        <f>IF(OR($A114="",$B114&lt;&gt;"Định kỳ",N($X114)=0,N($I114)=0),"",IF(INT($X114)&lt;$I114,0,IF($AJ114&gt;0,ROUND((INT($X114)-$I114)/$AJ114,0),IF($AK114&gt;0,ROUND((DATEDIF($I114,INT($X114),"m")+(INT($X114)-EDATE($I114,DATEDIF($I114,INT($X114),"m")))/(EDATE($I114,DATEDIF($I114,INT($X114),"m")+1)-EDATE($I114,DATEDIF($I114,INT($X114),"m"))))/$AK114,0),0))))</f>
      </c>
      <c r="AM114" s="225">
        <f>IF($A114="","",IF(COUNTIF('Nhật ký tiến độ'!$C$6:$C$3005,$A114)=0,0,_xlfn.MAXIFS('Nhật ký tiến độ'!$N$6:$N$3005,'Nhật ký tiến độ'!$C$6:$C$3005,$A114,'Nhật ký tiến độ'!$B$6:$B$3005,_xlfn.MAXIFS('Nhật ký tiến độ'!$B$6:$B$3005,'Nhật ký tiến độ'!$C$6:$C$3005,$A114))))</f>
      </c>
      <c r="AN114" s="225">
        <f>IF($A114="","",IF(N($AM114)=0,"",INDEX('Nhật ký tiến độ'!$E:$E,$AM114)))</f>
      </c>
      <c r="AO114" s="225">
        <f>IF($A114="",0,IF($AA114="Hoàn thành",0,1))</f>
      </c>
      <c r="AP114" s="225">
        <f>IF($AO114=0,0,INT(N($AW114)))</f>
      </c>
      <c r="AQ114" s="225">
        <f>IF(AND($AO114=1,$AJ114&gt;1),$AJ114,0)</f>
      </c>
      <c r="AR114" s="225">
        <f>IF(AND($AO114=1,$AJ114=1),1,0)</f>
      </c>
      <c r="AS114" s="225">
        <f>IF(OR($AO114=0,AND($AR114=1,N($BB114)=0)),"",IF(N($BB114)&gt;0,5-$BB114,IF($AD114="Chậm tiến độ",6,IF($AD114="Đến hạn hôm nay",7,IF(AND($AP114&gt;0,$AP114-NgayBC&lt;=7),8,"")))))</f>
      </c>
      <c r="AT114" s="225">
        <f>IF($AS114="","",$AS114*100000+$AP114+ROW()/100000)</f>
      </c>
      <c r="AU114" s="224">
        <f>IF(OR($A114="",N($R114)&lt;=0),"",IF($S114="Ngày",$R114*24,$R114))</f>
      </c>
      <c r="AV114" s="224">
        <f>IF($A114="","",IF($B114="Đột xuất",IF(OR($AA114&lt;&gt;"Hoàn thành",N($X114)=0,N($J114)=0),"",IF($X114&lt;$J114,"",($X114-$J114)*24)),IFERROR(AVERAGEIFS('Nhật ký tiến độ'!$H$6:$H$3005,'Nhật ký tiến độ'!$C$6:$C$3005,$A114,'Nhật ký tiến độ'!$H$6:$H$3005,"&gt;0"),"")))</f>
      </c>
      <c r="AW114" s="233">
        <f>IF($A114="",0,IF($B114="Đột xuất",$AY114,IF($AX114=0,0,$AX114+1-1/1440)))</f>
      </c>
      <c r="AX114" s="234">
        <f>IF(OR($A114="",$B114&lt;&gt;"Định kỳ",N($I114)=0),0,IF($AL114="",$I114,IF($AJ114&gt;0,$I114+($AL114+1)*$AJ114,IF($AK114&gt;0,EDATE($I114,($AL114+1)*$AK114),$I114))))</f>
      </c>
      <c r="AY114" s="233">
        <f>IF(OR($A114="",$B114&lt;&gt;"Đột xuất"),0,IF(N($K114)&gt;0,IF(MOD($K114,1)=0,$K114+1-1/1440,$K114),IF(N($J114)=0,0,$J114+IF(N($AU114)&gt;0,$AU114,IFERROR(INDEX(DM_SLA_Gio,MATCH($L114,DM_SLA_Cap,0)),168))/24)))</f>
      </c>
      <c r="AZ114" s="225">
        <f>IF(OR($A114="",TRIM($N114)="",COUNTIF('Phản ánh'!$K$6:$K$505,$N114)&gt;0,COUNTIF($N$6:$N114,$N114)&gt;1),0,1)</f>
      </c>
      <c r="BA114" s="225">
        <f>IF($AZ114=1,SUM($AZ$6:$AZ114),"")</f>
      </c>
      <c r="BB114" s="225">
        <f>IF(OR($AO114=0,N($AW114)=0),0,IF(TDBC&lt;=$AW114,0,MAX(1,MIN(4,IF((TDBC-$AW114)*24&lt;24,1,IF((TDBC-$AW114)*24&lt;72,2,IF((TDBC-$AW114)*24&lt;168,3,4)))+IF($B114="Đột xuất",IFERROR(INDEX({2,1,0,-1},MATCH($L114,{"Khẩn cấp","Cao","Trung bình","Thấp"},0)),0),IF($D114="PCCC và an ninh",1,0))))))</f>
      </c>
    </row>
    <row r="115">
      <c r="A115" s="216"/>
      <c r="B115" s="216"/>
      <c r="C115" s="218"/>
      <c r="D115" s="218"/>
      <c r="E115" s="218"/>
      <c r="F115" s="216"/>
      <c r="G115" s="218"/>
      <c r="H115" s="218"/>
      <c r="I115" s="231"/>
      <c r="J115" s="217"/>
      <c r="K115" s="217"/>
      <c r="L115" s="216"/>
      <c r="M115" s="216"/>
      <c r="N115" s="218"/>
      <c r="O115" s="218"/>
      <c r="P115" s="218"/>
      <c r="Q115" s="218"/>
      <c r="R115" s="219"/>
      <c r="S115" s="216"/>
      <c r="T115" s="232"/>
      <c r="U115" s="232"/>
      <c r="V115" s="218"/>
      <c r="W115" s="218"/>
      <c r="X115" s="220">
        <f>IF($A115="","",IF(OR($B115="Định kỳ",$AA115="Hoàn thành"),MAX(_xlfn.MAXIFS('Nhật ký tiến độ'!$B$6:$B$3005,'Nhật ký tiến độ'!$C$6:$C$3005,$A115,'Nhật ký tiến độ'!$E$6:$E$3005,"Hoàn thành kỳ"),_xlfn.MAXIFS('Nhật ký tiến độ'!$B$6:$B$3005,'Nhật ký tiến độ'!$C$6:$C$3005,$A115,'Nhật ký tiến độ'!$E$6:$E$3005,"Hoàn thành")),0))</f>
      </c>
      <c r="Y115" s="220">
        <f>IF($A115="","",IF($B115="Đột xuất",IF($AY115=0,"",$AY115),IF($AX115=0,"",$AX115)))</f>
      </c>
      <c r="Z115" s="223">
        <f>IF(OR($AO115=0,$AW115=0),"",IF(TDBC&gt;$AW115,"Quá "&amp;IF($B115="Định kỳ",(NgayBC-$AP115)&amp;" ngày",IF(((TDBC-$AW115)*24)&lt;1,MAX(1,ROUND(((TDBC-$AW115)*24)*60,0))&amp;" phút",IF(ROUND(((TDBC-$AW115)*24),0)&lt;24,ROUND(((TDBC-$AW115)*24),0)&amp;" giờ",INT(ROUND(((TDBC-$AW115)*24),0)/24)&amp;" ngày"&amp;IF(MOD(ROUND(((TDBC-$AW115)*24),0),24)&gt;0," "&amp;MOD(ROUND(((TDBC-$AW115)*24),0),24)&amp;" giờ","")))),IF($B115="Định kỳ",IF($AP115=NgayBC,"Hôm nay","Còn "&amp;($AP115-NgayBC)&amp;" ngày"),"Còn "&amp;IF((($AW115-TDBC)*24)&lt;1,MAX(1,ROUND((($AW115-TDBC)*24)*60,0))&amp;" phút",IF(ROUND((($AW115-TDBC)*24),0)&lt;24,ROUND((($AW115-TDBC)*24),0)&amp;" giờ",INT(ROUND((($AW115-TDBC)*24),0)/24)&amp;" ngày"&amp;IF(MOD(ROUND((($AW115-TDBC)*24),0),24)&gt;0," "&amp;MOD(ROUND((($AW115-TDBC)*24),0),24)&amp;" giờ",""))))))</f>
      </c>
      <c r="AA115" s="221">
        <f>IF($A115="","",IF(N($AM115)=0,"Chưa bắt đầu",IF(OR($AN115="Hoàn thành kỳ",$AN115="Hoàn thành"),IF($B115="Định kỳ","Chưa bắt đầu","Hoàn thành"),$AN115)))</f>
      </c>
      <c r="AB115" s="222">
        <f>IF($A115="","",IF($AA115="Hoàn thành",1,IF(OR(N($AM115)=0,$AN115="Hoàn thành kỳ",$AN115="Hoàn thành"),0,N(INDEX('Nhật ký tiến độ'!$D:$D,$AM115)))))</f>
      </c>
      <c r="AC115" s="222">
        <f>IF(OR($A115="",$B115&lt;&gt;"Đột xuất",$AA115="Hoàn thành",N($J115)=0,$AW115=0),"",IF(TDBC&lt;=$J115,0,IF(TDBC&gt;=$AW115,1,(TDBC-$J115)/($AW115-$J115))))</f>
      </c>
      <c r="AD115" s="223">
        <f>IF($A115="","",IF($AA115="Hoàn thành","Hoàn thành",IF($AW115=0,"Chưa đặt hạn",IF(TDBC&gt;$AW115,"Quá hạn",IF(AND($B115="Đột xuất",ROUND((N($AC115)-$AB115)*100,0)&gt;=20),"Chậm tiến độ",IF($AP115=NgayBC,"Đến hạn hôm nay",IF($B115="Đột xuất",IF($AW115-TDBC&lt;=1,"Sắp đến hạn","Đúng tiến độ"),IF($AP115-NgayBC&lt;=3,"Sắp đến hạn","Theo lịch"))))))))</f>
      </c>
      <c r="AE115" s="223">
        <f>IF($AV115="","",IF($B115="Định kỳ","Bình quân "&amp;IF($AV115&lt;1,MAX(1,ROUND($AV115*60,0))&amp;" phút",IF(ROUND($AV115,0)&lt;24,ROUND($AV115,0)&amp;" giờ",INT(ROUND($AV115,0)/24)&amp;" ngày"&amp;IF(MOD(ROUND($AV115,0),24)&gt;0," "&amp;MOD(ROUND($AV115,0),24)&amp;" giờ","")))&amp;" mỗi kỳ",IF($AV115&lt;1,MAX(1,ROUND($AV115*60,0))&amp;" phút",IF(ROUND($AV115,0)&lt;24,ROUND($AV115,0)&amp;" giờ",INT(ROUND($AV115,0)/24)&amp;" ngày"&amp;IF(MOD(ROUND($AV115,0),24)&gt;0," "&amp;MOD(ROUND($AV115,0),24)&amp;" giờ","")))))</f>
      </c>
      <c r="AF115" s="223">
        <f>IF(OR($A115="",N($AU115)=0),"",IF($AV115&lt;&gt;"",IF($AV115&lt;=$AU115,"Trong ước tính","Vượt "&amp;IF(($AV115-$AU115)&lt;1,MAX(1,ROUND(($AV115-$AU115)*60,0))&amp;" phút",IF(ROUND(($AV115-$AU115),0)&lt;24,ROUND(($AV115-$AU115),0)&amp;" giờ",INT(ROUND(($AV115-$AU115),0)/24)&amp;" ngày"&amp;IF(MOD(ROUND(($AV115-$AU115),0),24)&gt;0," "&amp;MOD(ROUND(($AV115-$AU115),0),24)&amp;" giờ","")))),IF(OR($B115&lt;&gt;"Đột xuất",$AA115="Hoàn thành",N($J115)=0),"",IF((TDBC-$J115)*24&gt;$AU115,"Đã vượt ước tính","Đã dùng "&amp;TEXT((TDBC-$J115)*24/$AU115,"0%")))))</f>
      </c>
      <c r="AG115" s="223">
        <f>IF(N($BB115)=0,"",CHOOSE($BB115,"Nhắc nhở","Cảnh báo","Báo động","Báo động đỏ"))</f>
      </c>
      <c r="AH115" s="223">
        <f>IF(OR($B115&lt;&gt;"Đột xuất",$AA115&lt;&gt;"Hoàn thành",N($X115)=0,$AW115=0),"",IF($X115&lt;=$AW115,"Đúng hạn","Trễ hạn"))</f>
      </c>
      <c r="AI115" s="220">
        <f>IF($A115="","",_xlfn.MAXIFS('Nhật ký tiến độ'!$B$6:$B$3005,'Nhật ký tiến độ'!$C$6:$C$3005,$A115))</f>
      </c>
      <c r="AJ115" s="225">
        <f>IF(OR($A115="",$B115&lt;&gt;"Định kỳ"),0,IFERROR(INDEX(DM_TanSuatNgay,MATCH($H115,DM_TanSuat,0)),0))</f>
      </c>
      <c r="AK115" s="225">
        <f>IF(OR($A115="",$B115&lt;&gt;"Định kỳ"),0,IFERROR(INDEX(DM_TanSuatThang,MATCH($H115,DM_TanSuat,0)),0))</f>
      </c>
      <c r="AL115" s="225">
        <f>IF(OR($A115="",$B115&lt;&gt;"Định kỳ",N($X115)=0,N($I115)=0),"",IF(INT($X115)&lt;$I115,0,IF($AJ115&gt;0,ROUND((INT($X115)-$I115)/$AJ115,0),IF($AK115&gt;0,ROUND((DATEDIF($I115,INT($X115),"m")+(INT($X115)-EDATE($I115,DATEDIF($I115,INT($X115),"m")))/(EDATE($I115,DATEDIF($I115,INT($X115),"m")+1)-EDATE($I115,DATEDIF($I115,INT($X115),"m"))))/$AK115,0),0))))</f>
      </c>
      <c r="AM115" s="225">
        <f>IF($A115="","",IF(COUNTIF('Nhật ký tiến độ'!$C$6:$C$3005,$A115)=0,0,_xlfn.MAXIFS('Nhật ký tiến độ'!$N$6:$N$3005,'Nhật ký tiến độ'!$C$6:$C$3005,$A115,'Nhật ký tiến độ'!$B$6:$B$3005,_xlfn.MAXIFS('Nhật ký tiến độ'!$B$6:$B$3005,'Nhật ký tiến độ'!$C$6:$C$3005,$A115))))</f>
      </c>
      <c r="AN115" s="225">
        <f>IF($A115="","",IF(N($AM115)=0,"",INDEX('Nhật ký tiến độ'!$E:$E,$AM115)))</f>
      </c>
      <c r="AO115" s="225">
        <f>IF($A115="",0,IF($AA115="Hoàn thành",0,1))</f>
      </c>
      <c r="AP115" s="225">
        <f>IF($AO115=0,0,INT(N($AW115)))</f>
      </c>
      <c r="AQ115" s="225">
        <f>IF(AND($AO115=1,$AJ115&gt;1),$AJ115,0)</f>
      </c>
      <c r="AR115" s="225">
        <f>IF(AND($AO115=1,$AJ115=1),1,0)</f>
      </c>
      <c r="AS115" s="225">
        <f>IF(OR($AO115=0,AND($AR115=1,N($BB115)=0)),"",IF(N($BB115)&gt;0,5-$BB115,IF($AD115="Chậm tiến độ",6,IF($AD115="Đến hạn hôm nay",7,IF(AND($AP115&gt;0,$AP115-NgayBC&lt;=7),8,"")))))</f>
      </c>
      <c r="AT115" s="225">
        <f>IF($AS115="","",$AS115*100000+$AP115+ROW()/100000)</f>
      </c>
      <c r="AU115" s="224">
        <f>IF(OR($A115="",N($R115)&lt;=0),"",IF($S115="Ngày",$R115*24,$R115))</f>
      </c>
      <c r="AV115" s="224">
        <f>IF($A115="","",IF($B115="Đột xuất",IF(OR($AA115&lt;&gt;"Hoàn thành",N($X115)=0,N($J115)=0),"",IF($X115&lt;$J115,"",($X115-$J115)*24)),IFERROR(AVERAGEIFS('Nhật ký tiến độ'!$H$6:$H$3005,'Nhật ký tiến độ'!$C$6:$C$3005,$A115,'Nhật ký tiến độ'!$H$6:$H$3005,"&gt;0"),"")))</f>
      </c>
      <c r="AW115" s="233">
        <f>IF($A115="",0,IF($B115="Đột xuất",$AY115,IF($AX115=0,0,$AX115+1-1/1440)))</f>
      </c>
      <c r="AX115" s="234">
        <f>IF(OR($A115="",$B115&lt;&gt;"Định kỳ",N($I115)=0),0,IF($AL115="",$I115,IF($AJ115&gt;0,$I115+($AL115+1)*$AJ115,IF($AK115&gt;0,EDATE($I115,($AL115+1)*$AK115),$I115))))</f>
      </c>
      <c r="AY115" s="233">
        <f>IF(OR($A115="",$B115&lt;&gt;"Đột xuất"),0,IF(N($K115)&gt;0,IF(MOD($K115,1)=0,$K115+1-1/1440,$K115),IF(N($J115)=0,0,$J115+IF(N($AU115)&gt;0,$AU115,IFERROR(INDEX(DM_SLA_Gio,MATCH($L115,DM_SLA_Cap,0)),168))/24)))</f>
      </c>
      <c r="AZ115" s="225">
        <f>IF(OR($A115="",TRIM($N115)="",COUNTIF('Phản ánh'!$K$6:$K$505,$N115)&gt;0,COUNTIF($N$6:$N115,$N115)&gt;1),0,1)</f>
      </c>
      <c r="BA115" s="225">
        <f>IF($AZ115=1,SUM($AZ$6:$AZ115),"")</f>
      </c>
      <c r="BB115" s="225">
        <f>IF(OR($AO115=0,N($AW115)=0),0,IF(TDBC&lt;=$AW115,0,MAX(1,MIN(4,IF((TDBC-$AW115)*24&lt;24,1,IF((TDBC-$AW115)*24&lt;72,2,IF((TDBC-$AW115)*24&lt;168,3,4)))+IF($B115="Đột xuất",IFERROR(INDEX({2,1,0,-1},MATCH($L115,{"Khẩn cấp","Cao","Trung bình","Thấp"},0)),0),IF($D115="PCCC và an ninh",1,0))))))</f>
      </c>
    </row>
    <row r="116">
      <c r="A116" s="216"/>
      <c r="B116" s="216"/>
      <c r="C116" s="218"/>
      <c r="D116" s="218"/>
      <c r="E116" s="218"/>
      <c r="F116" s="216"/>
      <c r="G116" s="218"/>
      <c r="H116" s="218"/>
      <c r="I116" s="231"/>
      <c r="J116" s="217"/>
      <c r="K116" s="217"/>
      <c r="L116" s="216"/>
      <c r="M116" s="216"/>
      <c r="N116" s="218"/>
      <c r="O116" s="218"/>
      <c r="P116" s="218"/>
      <c r="Q116" s="218"/>
      <c r="R116" s="219"/>
      <c r="S116" s="216"/>
      <c r="T116" s="232"/>
      <c r="U116" s="232"/>
      <c r="V116" s="218"/>
      <c r="W116" s="218"/>
      <c r="X116" s="220">
        <f>IF($A116="","",IF(OR($B116="Định kỳ",$AA116="Hoàn thành"),MAX(_xlfn.MAXIFS('Nhật ký tiến độ'!$B$6:$B$3005,'Nhật ký tiến độ'!$C$6:$C$3005,$A116,'Nhật ký tiến độ'!$E$6:$E$3005,"Hoàn thành kỳ"),_xlfn.MAXIFS('Nhật ký tiến độ'!$B$6:$B$3005,'Nhật ký tiến độ'!$C$6:$C$3005,$A116,'Nhật ký tiến độ'!$E$6:$E$3005,"Hoàn thành")),0))</f>
      </c>
      <c r="Y116" s="220">
        <f>IF($A116="","",IF($B116="Đột xuất",IF($AY116=0,"",$AY116),IF($AX116=0,"",$AX116)))</f>
      </c>
      <c r="Z116" s="223">
        <f>IF(OR($AO116=0,$AW116=0),"",IF(TDBC&gt;$AW116,"Quá "&amp;IF($B116="Định kỳ",(NgayBC-$AP116)&amp;" ngày",IF(((TDBC-$AW116)*24)&lt;1,MAX(1,ROUND(((TDBC-$AW116)*24)*60,0))&amp;" phút",IF(ROUND(((TDBC-$AW116)*24),0)&lt;24,ROUND(((TDBC-$AW116)*24),0)&amp;" giờ",INT(ROUND(((TDBC-$AW116)*24),0)/24)&amp;" ngày"&amp;IF(MOD(ROUND(((TDBC-$AW116)*24),0),24)&gt;0," "&amp;MOD(ROUND(((TDBC-$AW116)*24),0),24)&amp;" giờ","")))),IF($B116="Định kỳ",IF($AP116=NgayBC,"Hôm nay","Còn "&amp;($AP116-NgayBC)&amp;" ngày"),"Còn "&amp;IF((($AW116-TDBC)*24)&lt;1,MAX(1,ROUND((($AW116-TDBC)*24)*60,0))&amp;" phút",IF(ROUND((($AW116-TDBC)*24),0)&lt;24,ROUND((($AW116-TDBC)*24),0)&amp;" giờ",INT(ROUND((($AW116-TDBC)*24),0)/24)&amp;" ngày"&amp;IF(MOD(ROUND((($AW116-TDBC)*24),0),24)&gt;0," "&amp;MOD(ROUND((($AW116-TDBC)*24),0),24)&amp;" giờ",""))))))</f>
      </c>
      <c r="AA116" s="221">
        <f>IF($A116="","",IF(N($AM116)=0,"Chưa bắt đầu",IF(OR($AN116="Hoàn thành kỳ",$AN116="Hoàn thành"),IF($B116="Định kỳ","Chưa bắt đầu","Hoàn thành"),$AN116)))</f>
      </c>
      <c r="AB116" s="222">
        <f>IF($A116="","",IF($AA116="Hoàn thành",1,IF(OR(N($AM116)=0,$AN116="Hoàn thành kỳ",$AN116="Hoàn thành"),0,N(INDEX('Nhật ký tiến độ'!$D:$D,$AM116)))))</f>
      </c>
      <c r="AC116" s="222">
        <f>IF(OR($A116="",$B116&lt;&gt;"Đột xuất",$AA116="Hoàn thành",N($J116)=0,$AW116=0),"",IF(TDBC&lt;=$J116,0,IF(TDBC&gt;=$AW116,1,(TDBC-$J116)/($AW116-$J116))))</f>
      </c>
      <c r="AD116" s="223">
        <f>IF($A116="","",IF($AA116="Hoàn thành","Hoàn thành",IF($AW116=0,"Chưa đặt hạn",IF(TDBC&gt;$AW116,"Quá hạn",IF(AND($B116="Đột xuất",ROUND((N($AC116)-$AB116)*100,0)&gt;=20),"Chậm tiến độ",IF($AP116=NgayBC,"Đến hạn hôm nay",IF($B116="Đột xuất",IF($AW116-TDBC&lt;=1,"Sắp đến hạn","Đúng tiến độ"),IF($AP116-NgayBC&lt;=3,"Sắp đến hạn","Theo lịch"))))))))</f>
      </c>
      <c r="AE116" s="223">
        <f>IF($AV116="","",IF($B116="Định kỳ","Bình quân "&amp;IF($AV116&lt;1,MAX(1,ROUND($AV116*60,0))&amp;" phút",IF(ROUND($AV116,0)&lt;24,ROUND($AV116,0)&amp;" giờ",INT(ROUND($AV116,0)/24)&amp;" ngày"&amp;IF(MOD(ROUND($AV116,0),24)&gt;0," "&amp;MOD(ROUND($AV116,0),24)&amp;" giờ","")))&amp;" mỗi kỳ",IF($AV116&lt;1,MAX(1,ROUND($AV116*60,0))&amp;" phút",IF(ROUND($AV116,0)&lt;24,ROUND($AV116,0)&amp;" giờ",INT(ROUND($AV116,0)/24)&amp;" ngày"&amp;IF(MOD(ROUND($AV116,0),24)&gt;0," "&amp;MOD(ROUND($AV116,0),24)&amp;" giờ","")))))</f>
      </c>
      <c r="AF116" s="223">
        <f>IF(OR($A116="",N($AU116)=0),"",IF($AV116&lt;&gt;"",IF($AV116&lt;=$AU116,"Trong ước tính","Vượt "&amp;IF(($AV116-$AU116)&lt;1,MAX(1,ROUND(($AV116-$AU116)*60,0))&amp;" phút",IF(ROUND(($AV116-$AU116),0)&lt;24,ROUND(($AV116-$AU116),0)&amp;" giờ",INT(ROUND(($AV116-$AU116),0)/24)&amp;" ngày"&amp;IF(MOD(ROUND(($AV116-$AU116),0),24)&gt;0," "&amp;MOD(ROUND(($AV116-$AU116),0),24)&amp;" giờ","")))),IF(OR($B116&lt;&gt;"Đột xuất",$AA116="Hoàn thành",N($J116)=0),"",IF((TDBC-$J116)*24&gt;$AU116,"Đã vượt ước tính","Đã dùng "&amp;TEXT((TDBC-$J116)*24/$AU116,"0%")))))</f>
      </c>
      <c r="AG116" s="223">
        <f>IF(N($BB116)=0,"",CHOOSE($BB116,"Nhắc nhở","Cảnh báo","Báo động","Báo động đỏ"))</f>
      </c>
      <c r="AH116" s="223">
        <f>IF(OR($B116&lt;&gt;"Đột xuất",$AA116&lt;&gt;"Hoàn thành",N($X116)=0,$AW116=0),"",IF($X116&lt;=$AW116,"Đúng hạn","Trễ hạn"))</f>
      </c>
      <c r="AI116" s="220">
        <f>IF($A116="","",_xlfn.MAXIFS('Nhật ký tiến độ'!$B$6:$B$3005,'Nhật ký tiến độ'!$C$6:$C$3005,$A116))</f>
      </c>
      <c r="AJ116" s="225">
        <f>IF(OR($A116="",$B116&lt;&gt;"Định kỳ"),0,IFERROR(INDEX(DM_TanSuatNgay,MATCH($H116,DM_TanSuat,0)),0))</f>
      </c>
      <c r="AK116" s="225">
        <f>IF(OR($A116="",$B116&lt;&gt;"Định kỳ"),0,IFERROR(INDEX(DM_TanSuatThang,MATCH($H116,DM_TanSuat,0)),0))</f>
      </c>
      <c r="AL116" s="225">
        <f>IF(OR($A116="",$B116&lt;&gt;"Định kỳ",N($X116)=0,N($I116)=0),"",IF(INT($X116)&lt;$I116,0,IF($AJ116&gt;0,ROUND((INT($X116)-$I116)/$AJ116,0),IF($AK116&gt;0,ROUND((DATEDIF($I116,INT($X116),"m")+(INT($X116)-EDATE($I116,DATEDIF($I116,INT($X116),"m")))/(EDATE($I116,DATEDIF($I116,INT($X116),"m")+1)-EDATE($I116,DATEDIF($I116,INT($X116),"m"))))/$AK116,0),0))))</f>
      </c>
      <c r="AM116" s="225">
        <f>IF($A116="","",IF(COUNTIF('Nhật ký tiến độ'!$C$6:$C$3005,$A116)=0,0,_xlfn.MAXIFS('Nhật ký tiến độ'!$N$6:$N$3005,'Nhật ký tiến độ'!$C$6:$C$3005,$A116,'Nhật ký tiến độ'!$B$6:$B$3005,_xlfn.MAXIFS('Nhật ký tiến độ'!$B$6:$B$3005,'Nhật ký tiến độ'!$C$6:$C$3005,$A116))))</f>
      </c>
      <c r="AN116" s="225">
        <f>IF($A116="","",IF(N($AM116)=0,"",INDEX('Nhật ký tiến độ'!$E:$E,$AM116)))</f>
      </c>
      <c r="AO116" s="225">
        <f>IF($A116="",0,IF($AA116="Hoàn thành",0,1))</f>
      </c>
      <c r="AP116" s="225">
        <f>IF($AO116=0,0,INT(N($AW116)))</f>
      </c>
      <c r="AQ116" s="225">
        <f>IF(AND($AO116=1,$AJ116&gt;1),$AJ116,0)</f>
      </c>
      <c r="AR116" s="225">
        <f>IF(AND($AO116=1,$AJ116=1),1,0)</f>
      </c>
      <c r="AS116" s="225">
        <f>IF(OR($AO116=0,AND($AR116=1,N($BB116)=0)),"",IF(N($BB116)&gt;0,5-$BB116,IF($AD116="Chậm tiến độ",6,IF($AD116="Đến hạn hôm nay",7,IF(AND($AP116&gt;0,$AP116-NgayBC&lt;=7),8,"")))))</f>
      </c>
      <c r="AT116" s="225">
        <f>IF($AS116="","",$AS116*100000+$AP116+ROW()/100000)</f>
      </c>
      <c r="AU116" s="224">
        <f>IF(OR($A116="",N($R116)&lt;=0),"",IF($S116="Ngày",$R116*24,$R116))</f>
      </c>
      <c r="AV116" s="224">
        <f>IF($A116="","",IF($B116="Đột xuất",IF(OR($AA116&lt;&gt;"Hoàn thành",N($X116)=0,N($J116)=0),"",IF($X116&lt;$J116,"",($X116-$J116)*24)),IFERROR(AVERAGEIFS('Nhật ký tiến độ'!$H$6:$H$3005,'Nhật ký tiến độ'!$C$6:$C$3005,$A116,'Nhật ký tiến độ'!$H$6:$H$3005,"&gt;0"),"")))</f>
      </c>
      <c r="AW116" s="233">
        <f>IF($A116="",0,IF($B116="Đột xuất",$AY116,IF($AX116=0,0,$AX116+1-1/1440)))</f>
      </c>
      <c r="AX116" s="234">
        <f>IF(OR($A116="",$B116&lt;&gt;"Định kỳ",N($I116)=0),0,IF($AL116="",$I116,IF($AJ116&gt;0,$I116+($AL116+1)*$AJ116,IF($AK116&gt;0,EDATE($I116,($AL116+1)*$AK116),$I116))))</f>
      </c>
      <c r="AY116" s="233">
        <f>IF(OR($A116="",$B116&lt;&gt;"Đột xuất"),0,IF(N($K116)&gt;0,IF(MOD($K116,1)=0,$K116+1-1/1440,$K116),IF(N($J116)=0,0,$J116+IF(N($AU116)&gt;0,$AU116,IFERROR(INDEX(DM_SLA_Gio,MATCH($L116,DM_SLA_Cap,0)),168))/24)))</f>
      </c>
      <c r="AZ116" s="225">
        <f>IF(OR($A116="",TRIM($N116)="",COUNTIF('Phản ánh'!$K$6:$K$505,$N116)&gt;0,COUNTIF($N$6:$N116,$N116)&gt;1),0,1)</f>
      </c>
      <c r="BA116" s="225">
        <f>IF($AZ116=1,SUM($AZ$6:$AZ116),"")</f>
      </c>
      <c r="BB116" s="225">
        <f>IF(OR($AO116=0,N($AW116)=0),0,IF(TDBC&lt;=$AW116,0,MAX(1,MIN(4,IF((TDBC-$AW116)*24&lt;24,1,IF((TDBC-$AW116)*24&lt;72,2,IF((TDBC-$AW116)*24&lt;168,3,4)))+IF($B116="Đột xuất",IFERROR(INDEX({2,1,0,-1},MATCH($L116,{"Khẩn cấp","Cao","Trung bình","Thấp"},0)),0),IF($D116="PCCC và an ninh",1,0))))))</f>
      </c>
    </row>
    <row r="117">
      <c r="A117" s="216"/>
      <c r="B117" s="216"/>
      <c r="C117" s="218"/>
      <c r="D117" s="218"/>
      <c r="E117" s="218"/>
      <c r="F117" s="216"/>
      <c r="G117" s="218"/>
      <c r="H117" s="218"/>
      <c r="I117" s="231"/>
      <c r="J117" s="217"/>
      <c r="K117" s="217"/>
      <c r="L117" s="216"/>
      <c r="M117" s="216"/>
      <c r="N117" s="218"/>
      <c r="O117" s="218"/>
      <c r="P117" s="218"/>
      <c r="Q117" s="218"/>
      <c r="R117" s="219"/>
      <c r="S117" s="216"/>
      <c r="T117" s="232"/>
      <c r="U117" s="232"/>
      <c r="V117" s="218"/>
      <c r="W117" s="218"/>
      <c r="X117" s="220">
        <f>IF($A117="","",IF(OR($B117="Định kỳ",$AA117="Hoàn thành"),MAX(_xlfn.MAXIFS('Nhật ký tiến độ'!$B$6:$B$3005,'Nhật ký tiến độ'!$C$6:$C$3005,$A117,'Nhật ký tiến độ'!$E$6:$E$3005,"Hoàn thành kỳ"),_xlfn.MAXIFS('Nhật ký tiến độ'!$B$6:$B$3005,'Nhật ký tiến độ'!$C$6:$C$3005,$A117,'Nhật ký tiến độ'!$E$6:$E$3005,"Hoàn thành")),0))</f>
      </c>
      <c r="Y117" s="220">
        <f>IF($A117="","",IF($B117="Đột xuất",IF($AY117=0,"",$AY117),IF($AX117=0,"",$AX117)))</f>
      </c>
      <c r="Z117" s="223">
        <f>IF(OR($AO117=0,$AW117=0),"",IF(TDBC&gt;$AW117,"Quá "&amp;IF($B117="Định kỳ",(NgayBC-$AP117)&amp;" ngày",IF(((TDBC-$AW117)*24)&lt;1,MAX(1,ROUND(((TDBC-$AW117)*24)*60,0))&amp;" phút",IF(ROUND(((TDBC-$AW117)*24),0)&lt;24,ROUND(((TDBC-$AW117)*24),0)&amp;" giờ",INT(ROUND(((TDBC-$AW117)*24),0)/24)&amp;" ngày"&amp;IF(MOD(ROUND(((TDBC-$AW117)*24),0),24)&gt;0," "&amp;MOD(ROUND(((TDBC-$AW117)*24),0),24)&amp;" giờ","")))),IF($B117="Định kỳ",IF($AP117=NgayBC,"Hôm nay","Còn "&amp;($AP117-NgayBC)&amp;" ngày"),"Còn "&amp;IF((($AW117-TDBC)*24)&lt;1,MAX(1,ROUND((($AW117-TDBC)*24)*60,0))&amp;" phút",IF(ROUND((($AW117-TDBC)*24),0)&lt;24,ROUND((($AW117-TDBC)*24),0)&amp;" giờ",INT(ROUND((($AW117-TDBC)*24),0)/24)&amp;" ngày"&amp;IF(MOD(ROUND((($AW117-TDBC)*24),0),24)&gt;0," "&amp;MOD(ROUND((($AW117-TDBC)*24),0),24)&amp;" giờ",""))))))</f>
      </c>
      <c r="AA117" s="221">
        <f>IF($A117="","",IF(N($AM117)=0,"Chưa bắt đầu",IF(OR($AN117="Hoàn thành kỳ",$AN117="Hoàn thành"),IF($B117="Định kỳ","Chưa bắt đầu","Hoàn thành"),$AN117)))</f>
      </c>
      <c r="AB117" s="222">
        <f>IF($A117="","",IF($AA117="Hoàn thành",1,IF(OR(N($AM117)=0,$AN117="Hoàn thành kỳ",$AN117="Hoàn thành"),0,N(INDEX('Nhật ký tiến độ'!$D:$D,$AM117)))))</f>
      </c>
      <c r="AC117" s="222">
        <f>IF(OR($A117="",$B117&lt;&gt;"Đột xuất",$AA117="Hoàn thành",N($J117)=0,$AW117=0),"",IF(TDBC&lt;=$J117,0,IF(TDBC&gt;=$AW117,1,(TDBC-$J117)/($AW117-$J117))))</f>
      </c>
      <c r="AD117" s="223">
        <f>IF($A117="","",IF($AA117="Hoàn thành","Hoàn thành",IF($AW117=0,"Chưa đặt hạn",IF(TDBC&gt;$AW117,"Quá hạn",IF(AND($B117="Đột xuất",ROUND((N($AC117)-$AB117)*100,0)&gt;=20),"Chậm tiến độ",IF($AP117=NgayBC,"Đến hạn hôm nay",IF($B117="Đột xuất",IF($AW117-TDBC&lt;=1,"Sắp đến hạn","Đúng tiến độ"),IF($AP117-NgayBC&lt;=3,"Sắp đến hạn","Theo lịch"))))))))</f>
      </c>
      <c r="AE117" s="223">
        <f>IF($AV117="","",IF($B117="Định kỳ","Bình quân "&amp;IF($AV117&lt;1,MAX(1,ROUND($AV117*60,0))&amp;" phút",IF(ROUND($AV117,0)&lt;24,ROUND($AV117,0)&amp;" giờ",INT(ROUND($AV117,0)/24)&amp;" ngày"&amp;IF(MOD(ROUND($AV117,0),24)&gt;0," "&amp;MOD(ROUND($AV117,0),24)&amp;" giờ","")))&amp;" mỗi kỳ",IF($AV117&lt;1,MAX(1,ROUND($AV117*60,0))&amp;" phút",IF(ROUND($AV117,0)&lt;24,ROUND($AV117,0)&amp;" giờ",INT(ROUND($AV117,0)/24)&amp;" ngày"&amp;IF(MOD(ROUND($AV117,0),24)&gt;0," "&amp;MOD(ROUND($AV117,0),24)&amp;" giờ","")))))</f>
      </c>
      <c r="AF117" s="223">
        <f>IF(OR($A117="",N($AU117)=0),"",IF($AV117&lt;&gt;"",IF($AV117&lt;=$AU117,"Trong ước tính","Vượt "&amp;IF(($AV117-$AU117)&lt;1,MAX(1,ROUND(($AV117-$AU117)*60,0))&amp;" phút",IF(ROUND(($AV117-$AU117),0)&lt;24,ROUND(($AV117-$AU117),0)&amp;" giờ",INT(ROUND(($AV117-$AU117),0)/24)&amp;" ngày"&amp;IF(MOD(ROUND(($AV117-$AU117),0),24)&gt;0," "&amp;MOD(ROUND(($AV117-$AU117),0),24)&amp;" giờ","")))),IF(OR($B117&lt;&gt;"Đột xuất",$AA117="Hoàn thành",N($J117)=0),"",IF((TDBC-$J117)*24&gt;$AU117,"Đã vượt ước tính","Đã dùng "&amp;TEXT((TDBC-$J117)*24/$AU117,"0%")))))</f>
      </c>
      <c r="AG117" s="223">
        <f>IF(N($BB117)=0,"",CHOOSE($BB117,"Nhắc nhở","Cảnh báo","Báo động","Báo động đỏ"))</f>
      </c>
      <c r="AH117" s="223">
        <f>IF(OR($B117&lt;&gt;"Đột xuất",$AA117&lt;&gt;"Hoàn thành",N($X117)=0,$AW117=0),"",IF($X117&lt;=$AW117,"Đúng hạn","Trễ hạn"))</f>
      </c>
      <c r="AI117" s="220">
        <f>IF($A117="","",_xlfn.MAXIFS('Nhật ký tiến độ'!$B$6:$B$3005,'Nhật ký tiến độ'!$C$6:$C$3005,$A117))</f>
      </c>
      <c r="AJ117" s="225">
        <f>IF(OR($A117="",$B117&lt;&gt;"Định kỳ"),0,IFERROR(INDEX(DM_TanSuatNgay,MATCH($H117,DM_TanSuat,0)),0))</f>
      </c>
      <c r="AK117" s="225">
        <f>IF(OR($A117="",$B117&lt;&gt;"Định kỳ"),0,IFERROR(INDEX(DM_TanSuatThang,MATCH($H117,DM_TanSuat,0)),0))</f>
      </c>
      <c r="AL117" s="225">
        <f>IF(OR($A117="",$B117&lt;&gt;"Định kỳ",N($X117)=0,N($I117)=0),"",IF(INT($X117)&lt;$I117,0,IF($AJ117&gt;0,ROUND((INT($X117)-$I117)/$AJ117,0),IF($AK117&gt;0,ROUND((DATEDIF($I117,INT($X117),"m")+(INT($X117)-EDATE($I117,DATEDIF($I117,INT($X117),"m")))/(EDATE($I117,DATEDIF($I117,INT($X117),"m")+1)-EDATE($I117,DATEDIF($I117,INT($X117),"m"))))/$AK117,0),0))))</f>
      </c>
      <c r="AM117" s="225">
        <f>IF($A117="","",IF(COUNTIF('Nhật ký tiến độ'!$C$6:$C$3005,$A117)=0,0,_xlfn.MAXIFS('Nhật ký tiến độ'!$N$6:$N$3005,'Nhật ký tiến độ'!$C$6:$C$3005,$A117,'Nhật ký tiến độ'!$B$6:$B$3005,_xlfn.MAXIFS('Nhật ký tiến độ'!$B$6:$B$3005,'Nhật ký tiến độ'!$C$6:$C$3005,$A117))))</f>
      </c>
      <c r="AN117" s="225">
        <f>IF($A117="","",IF(N($AM117)=0,"",INDEX('Nhật ký tiến độ'!$E:$E,$AM117)))</f>
      </c>
      <c r="AO117" s="225">
        <f>IF($A117="",0,IF($AA117="Hoàn thành",0,1))</f>
      </c>
      <c r="AP117" s="225">
        <f>IF($AO117=0,0,INT(N($AW117)))</f>
      </c>
      <c r="AQ117" s="225">
        <f>IF(AND($AO117=1,$AJ117&gt;1),$AJ117,0)</f>
      </c>
      <c r="AR117" s="225">
        <f>IF(AND($AO117=1,$AJ117=1),1,0)</f>
      </c>
      <c r="AS117" s="225">
        <f>IF(OR($AO117=0,AND($AR117=1,N($BB117)=0)),"",IF(N($BB117)&gt;0,5-$BB117,IF($AD117="Chậm tiến độ",6,IF($AD117="Đến hạn hôm nay",7,IF(AND($AP117&gt;0,$AP117-NgayBC&lt;=7),8,"")))))</f>
      </c>
      <c r="AT117" s="225">
        <f>IF($AS117="","",$AS117*100000+$AP117+ROW()/100000)</f>
      </c>
      <c r="AU117" s="224">
        <f>IF(OR($A117="",N($R117)&lt;=0),"",IF($S117="Ngày",$R117*24,$R117))</f>
      </c>
      <c r="AV117" s="224">
        <f>IF($A117="","",IF($B117="Đột xuất",IF(OR($AA117&lt;&gt;"Hoàn thành",N($X117)=0,N($J117)=0),"",IF($X117&lt;$J117,"",($X117-$J117)*24)),IFERROR(AVERAGEIFS('Nhật ký tiến độ'!$H$6:$H$3005,'Nhật ký tiến độ'!$C$6:$C$3005,$A117,'Nhật ký tiến độ'!$H$6:$H$3005,"&gt;0"),"")))</f>
      </c>
      <c r="AW117" s="233">
        <f>IF($A117="",0,IF($B117="Đột xuất",$AY117,IF($AX117=0,0,$AX117+1-1/1440)))</f>
      </c>
      <c r="AX117" s="234">
        <f>IF(OR($A117="",$B117&lt;&gt;"Định kỳ",N($I117)=0),0,IF($AL117="",$I117,IF($AJ117&gt;0,$I117+($AL117+1)*$AJ117,IF($AK117&gt;0,EDATE($I117,($AL117+1)*$AK117),$I117))))</f>
      </c>
      <c r="AY117" s="233">
        <f>IF(OR($A117="",$B117&lt;&gt;"Đột xuất"),0,IF(N($K117)&gt;0,IF(MOD($K117,1)=0,$K117+1-1/1440,$K117),IF(N($J117)=0,0,$J117+IF(N($AU117)&gt;0,$AU117,IFERROR(INDEX(DM_SLA_Gio,MATCH($L117,DM_SLA_Cap,0)),168))/24)))</f>
      </c>
      <c r="AZ117" s="225">
        <f>IF(OR($A117="",TRIM($N117)="",COUNTIF('Phản ánh'!$K$6:$K$505,$N117)&gt;0,COUNTIF($N$6:$N117,$N117)&gt;1),0,1)</f>
      </c>
      <c r="BA117" s="225">
        <f>IF($AZ117=1,SUM($AZ$6:$AZ117),"")</f>
      </c>
      <c r="BB117" s="225">
        <f>IF(OR($AO117=0,N($AW117)=0),0,IF(TDBC&lt;=$AW117,0,MAX(1,MIN(4,IF((TDBC-$AW117)*24&lt;24,1,IF((TDBC-$AW117)*24&lt;72,2,IF((TDBC-$AW117)*24&lt;168,3,4)))+IF($B117="Đột xuất",IFERROR(INDEX({2,1,0,-1},MATCH($L117,{"Khẩn cấp","Cao","Trung bình","Thấp"},0)),0),IF($D117="PCCC và an ninh",1,0))))))</f>
      </c>
    </row>
    <row r="118">
      <c r="A118" s="216"/>
      <c r="B118" s="216"/>
      <c r="C118" s="218"/>
      <c r="D118" s="218"/>
      <c r="E118" s="218"/>
      <c r="F118" s="216"/>
      <c r="G118" s="218"/>
      <c r="H118" s="218"/>
      <c r="I118" s="231"/>
      <c r="J118" s="217"/>
      <c r="K118" s="217"/>
      <c r="L118" s="216"/>
      <c r="M118" s="216"/>
      <c r="N118" s="218"/>
      <c r="O118" s="218"/>
      <c r="P118" s="218"/>
      <c r="Q118" s="218"/>
      <c r="R118" s="219"/>
      <c r="S118" s="216"/>
      <c r="T118" s="232"/>
      <c r="U118" s="232"/>
      <c r="V118" s="218"/>
      <c r="W118" s="218"/>
      <c r="X118" s="220">
        <f>IF($A118="","",IF(OR($B118="Định kỳ",$AA118="Hoàn thành"),MAX(_xlfn.MAXIFS('Nhật ký tiến độ'!$B$6:$B$3005,'Nhật ký tiến độ'!$C$6:$C$3005,$A118,'Nhật ký tiến độ'!$E$6:$E$3005,"Hoàn thành kỳ"),_xlfn.MAXIFS('Nhật ký tiến độ'!$B$6:$B$3005,'Nhật ký tiến độ'!$C$6:$C$3005,$A118,'Nhật ký tiến độ'!$E$6:$E$3005,"Hoàn thành")),0))</f>
      </c>
      <c r="Y118" s="220">
        <f>IF($A118="","",IF($B118="Đột xuất",IF($AY118=0,"",$AY118),IF($AX118=0,"",$AX118)))</f>
      </c>
      <c r="Z118" s="223">
        <f>IF(OR($AO118=0,$AW118=0),"",IF(TDBC&gt;$AW118,"Quá "&amp;IF($B118="Định kỳ",(NgayBC-$AP118)&amp;" ngày",IF(((TDBC-$AW118)*24)&lt;1,MAX(1,ROUND(((TDBC-$AW118)*24)*60,0))&amp;" phút",IF(ROUND(((TDBC-$AW118)*24),0)&lt;24,ROUND(((TDBC-$AW118)*24),0)&amp;" giờ",INT(ROUND(((TDBC-$AW118)*24),0)/24)&amp;" ngày"&amp;IF(MOD(ROUND(((TDBC-$AW118)*24),0),24)&gt;0," "&amp;MOD(ROUND(((TDBC-$AW118)*24),0),24)&amp;" giờ","")))),IF($B118="Định kỳ",IF($AP118=NgayBC,"Hôm nay","Còn "&amp;($AP118-NgayBC)&amp;" ngày"),"Còn "&amp;IF((($AW118-TDBC)*24)&lt;1,MAX(1,ROUND((($AW118-TDBC)*24)*60,0))&amp;" phút",IF(ROUND((($AW118-TDBC)*24),0)&lt;24,ROUND((($AW118-TDBC)*24),0)&amp;" giờ",INT(ROUND((($AW118-TDBC)*24),0)/24)&amp;" ngày"&amp;IF(MOD(ROUND((($AW118-TDBC)*24),0),24)&gt;0," "&amp;MOD(ROUND((($AW118-TDBC)*24),0),24)&amp;" giờ",""))))))</f>
      </c>
      <c r="AA118" s="221">
        <f>IF($A118="","",IF(N($AM118)=0,"Chưa bắt đầu",IF(OR($AN118="Hoàn thành kỳ",$AN118="Hoàn thành"),IF($B118="Định kỳ","Chưa bắt đầu","Hoàn thành"),$AN118)))</f>
      </c>
      <c r="AB118" s="222">
        <f>IF($A118="","",IF($AA118="Hoàn thành",1,IF(OR(N($AM118)=0,$AN118="Hoàn thành kỳ",$AN118="Hoàn thành"),0,N(INDEX('Nhật ký tiến độ'!$D:$D,$AM118)))))</f>
      </c>
      <c r="AC118" s="222">
        <f>IF(OR($A118="",$B118&lt;&gt;"Đột xuất",$AA118="Hoàn thành",N($J118)=0,$AW118=0),"",IF(TDBC&lt;=$J118,0,IF(TDBC&gt;=$AW118,1,(TDBC-$J118)/($AW118-$J118))))</f>
      </c>
      <c r="AD118" s="223">
        <f>IF($A118="","",IF($AA118="Hoàn thành","Hoàn thành",IF($AW118=0,"Chưa đặt hạn",IF(TDBC&gt;$AW118,"Quá hạn",IF(AND($B118="Đột xuất",ROUND((N($AC118)-$AB118)*100,0)&gt;=20),"Chậm tiến độ",IF($AP118=NgayBC,"Đến hạn hôm nay",IF($B118="Đột xuất",IF($AW118-TDBC&lt;=1,"Sắp đến hạn","Đúng tiến độ"),IF($AP118-NgayBC&lt;=3,"Sắp đến hạn","Theo lịch"))))))))</f>
      </c>
      <c r="AE118" s="223">
        <f>IF($AV118="","",IF($B118="Định kỳ","Bình quân "&amp;IF($AV118&lt;1,MAX(1,ROUND($AV118*60,0))&amp;" phút",IF(ROUND($AV118,0)&lt;24,ROUND($AV118,0)&amp;" giờ",INT(ROUND($AV118,0)/24)&amp;" ngày"&amp;IF(MOD(ROUND($AV118,0),24)&gt;0," "&amp;MOD(ROUND($AV118,0),24)&amp;" giờ","")))&amp;" mỗi kỳ",IF($AV118&lt;1,MAX(1,ROUND($AV118*60,0))&amp;" phút",IF(ROUND($AV118,0)&lt;24,ROUND($AV118,0)&amp;" giờ",INT(ROUND($AV118,0)/24)&amp;" ngày"&amp;IF(MOD(ROUND($AV118,0),24)&gt;0," "&amp;MOD(ROUND($AV118,0),24)&amp;" giờ","")))))</f>
      </c>
      <c r="AF118" s="223">
        <f>IF(OR($A118="",N($AU118)=0),"",IF($AV118&lt;&gt;"",IF($AV118&lt;=$AU118,"Trong ước tính","Vượt "&amp;IF(($AV118-$AU118)&lt;1,MAX(1,ROUND(($AV118-$AU118)*60,0))&amp;" phút",IF(ROUND(($AV118-$AU118),0)&lt;24,ROUND(($AV118-$AU118),0)&amp;" giờ",INT(ROUND(($AV118-$AU118),0)/24)&amp;" ngày"&amp;IF(MOD(ROUND(($AV118-$AU118),0),24)&gt;0," "&amp;MOD(ROUND(($AV118-$AU118),0),24)&amp;" giờ","")))),IF(OR($B118&lt;&gt;"Đột xuất",$AA118="Hoàn thành",N($J118)=0),"",IF((TDBC-$J118)*24&gt;$AU118,"Đã vượt ước tính","Đã dùng "&amp;TEXT((TDBC-$J118)*24/$AU118,"0%")))))</f>
      </c>
      <c r="AG118" s="223">
        <f>IF(N($BB118)=0,"",CHOOSE($BB118,"Nhắc nhở","Cảnh báo","Báo động","Báo động đỏ"))</f>
      </c>
      <c r="AH118" s="223">
        <f>IF(OR($B118&lt;&gt;"Đột xuất",$AA118&lt;&gt;"Hoàn thành",N($X118)=0,$AW118=0),"",IF($X118&lt;=$AW118,"Đúng hạn","Trễ hạn"))</f>
      </c>
      <c r="AI118" s="220">
        <f>IF($A118="","",_xlfn.MAXIFS('Nhật ký tiến độ'!$B$6:$B$3005,'Nhật ký tiến độ'!$C$6:$C$3005,$A118))</f>
      </c>
      <c r="AJ118" s="225">
        <f>IF(OR($A118="",$B118&lt;&gt;"Định kỳ"),0,IFERROR(INDEX(DM_TanSuatNgay,MATCH($H118,DM_TanSuat,0)),0))</f>
      </c>
      <c r="AK118" s="225">
        <f>IF(OR($A118="",$B118&lt;&gt;"Định kỳ"),0,IFERROR(INDEX(DM_TanSuatThang,MATCH($H118,DM_TanSuat,0)),0))</f>
      </c>
      <c r="AL118" s="225">
        <f>IF(OR($A118="",$B118&lt;&gt;"Định kỳ",N($X118)=0,N($I118)=0),"",IF(INT($X118)&lt;$I118,0,IF($AJ118&gt;0,ROUND((INT($X118)-$I118)/$AJ118,0),IF($AK118&gt;0,ROUND((DATEDIF($I118,INT($X118),"m")+(INT($X118)-EDATE($I118,DATEDIF($I118,INT($X118),"m")))/(EDATE($I118,DATEDIF($I118,INT($X118),"m")+1)-EDATE($I118,DATEDIF($I118,INT($X118),"m"))))/$AK118,0),0))))</f>
      </c>
      <c r="AM118" s="225">
        <f>IF($A118="","",IF(COUNTIF('Nhật ký tiến độ'!$C$6:$C$3005,$A118)=0,0,_xlfn.MAXIFS('Nhật ký tiến độ'!$N$6:$N$3005,'Nhật ký tiến độ'!$C$6:$C$3005,$A118,'Nhật ký tiến độ'!$B$6:$B$3005,_xlfn.MAXIFS('Nhật ký tiến độ'!$B$6:$B$3005,'Nhật ký tiến độ'!$C$6:$C$3005,$A118))))</f>
      </c>
      <c r="AN118" s="225">
        <f>IF($A118="","",IF(N($AM118)=0,"",INDEX('Nhật ký tiến độ'!$E:$E,$AM118)))</f>
      </c>
      <c r="AO118" s="225">
        <f>IF($A118="",0,IF($AA118="Hoàn thành",0,1))</f>
      </c>
      <c r="AP118" s="225">
        <f>IF($AO118=0,0,INT(N($AW118)))</f>
      </c>
      <c r="AQ118" s="225">
        <f>IF(AND($AO118=1,$AJ118&gt;1),$AJ118,0)</f>
      </c>
      <c r="AR118" s="225">
        <f>IF(AND($AO118=1,$AJ118=1),1,0)</f>
      </c>
      <c r="AS118" s="225">
        <f>IF(OR($AO118=0,AND($AR118=1,N($BB118)=0)),"",IF(N($BB118)&gt;0,5-$BB118,IF($AD118="Chậm tiến độ",6,IF($AD118="Đến hạn hôm nay",7,IF(AND($AP118&gt;0,$AP118-NgayBC&lt;=7),8,"")))))</f>
      </c>
      <c r="AT118" s="225">
        <f>IF($AS118="","",$AS118*100000+$AP118+ROW()/100000)</f>
      </c>
      <c r="AU118" s="224">
        <f>IF(OR($A118="",N($R118)&lt;=0),"",IF($S118="Ngày",$R118*24,$R118))</f>
      </c>
      <c r="AV118" s="224">
        <f>IF($A118="","",IF($B118="Đột xuất",IF(OR($AA118&lt;&gt;"Hoàn thành",N($X118)=0,N($J118)=0),"",IF($X118&lt;$J118,"",($X118-$J118)*24)),IFERROR(AVERAGEIFS('Nhật ký tiến độ'!$H$6:$H$3005,'Nhật ký tiến độ'!$C$6:$C$3005,$A118,'Nhật ký tiến độ'!$H$6:$H$3005,"&gt;0"),"")))</f>
      </c>
      <c r="AW118" s="233">
        <f>IF($A118="",0,IF($B118="Đột xuất",$AY118,IF($AX118=0,0,$AX118+1-1/1440)))</f>
      </c>
      <c r="AX118" s="234">
        <f>IF(OR($A118="",$B118&lt;&gt;"Định kỳ",N($I118)=0),0,IF($AL118="",$I118,IF($AJ118&gt;0,$I118+($AL118+1)*$AJ118,IF($AK118&gt;0,EDATE($I118,($AL118+1)*$AK118),$I118))))</f>
      </c>
      <c r="AY118" s="233">
        <f>IF(OR($A118="",$B118&lt;&gt;"Đột xuất"),0,IF(N($K118)&gt;0,IF(MOD($K118,1)=0,$K118+1-1/1440,$K118),IF(N($J118)=0,0,$J118+IF(N($AU118)&gt;0,$AU118,IFERROR(INDEX(DM_SLA_Gio,MATCH($L118,DM_SLA_Cap,0)),168))/24)))</f>
      </c>
      <c r="AZ118" s="225">
        <f>IF(OR($A118="",TRIM($N118)="",COUNTIF('Phản ánh'!$K$6:$K$505,$N118)&gt;0,COUNTIF($N$6:$N118,$N118)&gt;1),0,1)</f>
      </c>
      <c r="BA118" s="225">
        <f>IF($AZ118=1,SUM($AZ$6:$AZ118),"")</f>
      </c>
      <c r="BB118" s="225">
        <f>IF(OR($AO118=0,N($AW118)=0),0,IF(TDBC&lt;=$AW118,0,MAX(1,MIN(4,IF((TDBC-$AW118)*24&lt;24,1,IF((TDBC-$AW118)*24&lt;72,2,IF((TDBC-$AW118)*24&lt;168,3,4)))+IF($B118="Đột xuất",IFERROR(INDEX({2,1,0,-1},MATCH($L118,{"Khẩn cấp","Cao","Trung bình","Thấp"},0)),0),IF($D118="PCCC và an ninh",1,0))))))</f>
      </c>
    </row>
    <row r="119">
      <c r="A119" s="216"/>
      <c r="B119" s="216"/>
      <c r="C119" s="218"/>
      <c r="D119" s="218"/>
      <c r="E119" s="218"/>
      <c r="F119" s="216"/>
      <c r="G119" s="218"/>
      <c r="H119" s="218"/>
      <c r="I119" s="231"/>
      <c r="J119" s="217"/>
      <c r="K119" s="217"/>
      <c r="L119" s="216"/>
      <c r="M119" s="216"/>
      <c r="N119" s="218"/>
      <c r="O119" s="218"/>
      <c r="P119" s="218"/>
      <c r="Q119" s="218"/>
      <c r="R119" s="219"/>
      <c r="S119" s="216"/>
      <c r="T119" s="232"/>
      <c r="U119" s="232"/>
      <c r="V119" s="218"/>
      <c r="W119" s="218"/>
      <c r="X119" s="220">
        <f>IF($A119="","",IF(OR($B119="Định kỳ",$AA119="Hoàn thành"),MAX(_xlfn.MAXIFS('Nhật ký tiến độ'!$B$6:$B$3005,'Nhật ký tiến độ'!$C$6:$C$3005,$A119,'Nhật ký tiến độ'!$E$6:$E$3005,"Hoàn thành kỳ"),_xlfn.MAXIFS('Nhật ký tiến độ'!$B$6:$B$3005,'Nhật ký tiến độ'!$C$6:$C$3005,$A119,'Nhật ký tiến độ'!$E$6:$E$3005,"Hoàn thành")),0))</f>
      </c>
      <c r="Y119" s="220">
        <f>IF($A119="","",IF($B119="Đột xuất",IF($AY119=0,"",$AY119),IF($AX119=0,"",$AX119)))</f>
      </c>
      <c r="Z119" s="223">
        <f>IF(OR($AO119=0,$AW119=0),"",IF(TDBC&gt;$AW119,"Quá "&amp;IF($B119="Định kỳ",(NgayBC-$AP119)&amp;" ngày",IF(((TDBC-$AW119)*24)&lt;1,MAX(1,ROUND(((TDBC-$AW119)*24)*60,0))&amp;" phút",IF(ROUND(((TDBC-$AW119)*24),0)&lt;24,ROUND(((TDBC-$AW119)*24),0)&amp;" giờ",INT(ROUND(((TDBC-$AW119)*24),0)/24)&amp;" ngày"&amp;IF(MOD(ROUND(((TDBC-$AW119)*24),0),24)&gt;0," "&amp;MOD(ROUND(((TDBC-$AW119)*24),0),24)&amp;" giờ","")))),IF($B119="Định kỳ",IF($AP119=NgayBC,"Hôm nay","Còn "&amp;($AP119-NgayBC)&amp;" ngày"),"Còn "&amp;IF((($AW119-TDBC)*24)&lt;1,MAX(1,ROUND((($AW119-TDBC)*24)*60,0))&amp;" phút",IF(ROUND((($AW119-TDBC)*24),0)&lt;24,ROUND((($AW119-TDBC)*24),0)&amp;" giờ",INT(ROUND((($AW119-TDBC)*24),0)/24)&amp;" ngày"&amp;IF(MOD(ROUND((($AW119-TDBC)*24),0),24)&gt;0," "&amp;MOD(ROUND((($AW119-TDBC)*24),0),24)&amp;" giờ",""))))))</f>
      </c>
      <c r="AA119" s="221">
        <f>IF($A119="","",IF(N($AM119)=0,"Chưa bắt đầu",IF(OR($AN119="Hoàn thành kỳ",$AN119="Hoàn thành"),IF($B119="Định kỳ","Chưa bắt đầu","Hoàn thành"),$AN119)))</f>
      </c>
      <c r="AB119" s="222">
        <f>IF($A119="","",IF($AA119="Hoàn thành",1,IF(OR(N($AM119)=0,$AN119="Hoàn thành kỳ",$AN119="Hoàn thành"),0,N(INDEX('Nhật ký tiến độ'!$D:$D,$AM119)))))</f>
      </c>
      <c r="AC119" s="222">
        <f>IF(OR($A119="",$B119&lt;&gt;"Đột xuất",$AA119="Hoàn thành",N($J119)=0,$AW119=0),"",IF(TDBC&lt;=$J119,0,IF(TDBC&gt;=$AW119,1,(TDBC-$J119)/($AW119-$J119))))</f>
      </c>
      <c r="AD119" s="223">
        <f>IF($A119="","",IF($AA119="Hoàn thành","Hoàn thành",IF($AW119=0,"Chưa đặt hạn",IF(TDBC&gt;$AW119,"Quá hạn",IF(AND($B119="Đột xuất",ROUND((N($AC119)-$AB119)*100,0)&gt;=20),"Chậm tiến độ",IF($AP119=NgayBC,"Đến hạn hôm nay",IF($B119="Đột xuất",IF($AW119-TDBC&lt;=1,"Sắp đến hạn","Đúng tiến độ"),IF($AP119-NgayBC&lt;=3,"Sắp đến hạn","Theo lịch"))))))))</f>
      </c>
      <c r="AE119" s="223">
        <f>IF($AV119="","",IF($B119="Định kỳ","Bình quân "&amp;IF($AV119&lt;1,MAX(1,ROUND($AV119*60,0))&amp;" phút",IF(ROUND($AV119,0)&lt;24,ROUND($AV119,0)&amp;" giờ",INT(ROUND($AV119,0)/24)&amp;" ngày"&amp;IF(MOD(ROUND($AV119,0),24)&gt;0," "&amp;MOD(ROUND($AV119,0),24)&amp;" giờ","")))&amp;" mỗi kỳ",IF($AV119&lt;1,MAX(1,ROUND($AV119*60,0))&amp;" phút",IF(ROUND($AV119,0)&lt;24,ROUND($AV119,0)&amp;" giờ",INT(ROUND($AV119,0)/24)&amp;" ngày"&amp;IF(MOD(ROUND($AV119,0),24)&gt;0," "&amp;MOD(ROUND($AV119,0),24)&amp;" giờ","")))))</f>
      </c>
      <c r="AF119" s="223">
        <f>IF(OR($A119="",N($AU119)=0),"",IF($AV119&lt;&gt;"",IF($AV119&lt;=$AU119,"Trong ước tính","Vượt "&amp;IF(($AV119-$AU119)&lt;1,MAX(1,ROUND(($AV119-$AU119)*60,0))&amp;" phút",IF(ROUND(($AV119-$AU119),0)&lt;24,ROUND(($AV119-$AU119),0)&amp;" giờ",INT(ROUND(($AV119-$AU119),0)/24)&amp;" ngày"&amp;IF(MOD(ROUND(($AV119-$AU119),0),24)&gt;0," "&amp;MOD(ROUND(($AV119-$AU119),0),24)&amp;" giờ","")))),IF(OR($B119&lt;&gt;"Đột xuất",$AA119="Hoàn thành",N($J119)=0),"",IF((TDBC-$J119)*24&gt;$AU119,"Đã vượt ước tính","Đã dùng "&amp;TEXT((TDBC-$J119)*24/$AU119,"0%")))))</f>
      </c>
      <c r="AG119" s="223">
        <f>IF(N($BB119)=0,"",CHOOSE($BB119,"Nhắc nhở","Cảnh báo","Báo động","Báo động đỏ"))</f>
      </c>
      <c r="AH119" s="223">
        <f>IF(OR($B119&lt;&gt;"Đột xuất",$AA119&lt;&gt;"Hoàn thành",N($X119)=0,$AW119=0),"",IF($X119&lt;=$AW119,"Đúng hạn","Trễ hạn"))</f>
      </c>
      <c r="AI119" s="220">
        <f>IF($A119="","",_xlfn.MAXIFS('Nhật ký tiến độ'!$B$6:$B$3005,'Nhật ký tiến độ'!$C$6:$C$3005,$A119))</f>
      </c>
      <c r="AJ119" s="225">
        <f>IF(OR($A119="",$B119&lt;&gt;"Định kỳ"),0,IFERROR(INDEX(DM_TanSuatNgay,MATCH($H119,DM_TanSuat,0)),0))</f>
      </c>
      <c r="AK119" s="225">
        <f>IF(OR($A119="",$B119&lt;&gt;"Định kỳ"),0,IFERROR(INDEX(DM_TanSuatThang,MATCH($H119,DM_TanSuat,0)),0))</f>
      </c>
      <c r="AL119" s="225">
        <f>IF(OR($A119="",$B119&lt;&gt;"Định kỳ",N($X119)=0,N($I119)=0),"",IF(INT($X119)&lt;$I119,0,IF($AJ119&gt;0,ROUND((INT($X119)-$I119)/$AJ119,0),IF($AK119&gt;0,ROUND((DATEDIF($I119,INT($X119),"m")+(INT($X119)-EDATE($I119,DATEDIF($I119,INT($X119),"m")))/(EDATE($I119,DATEDIF($I119,INT($X119),"m")+1)-EDATE($I119,DATEDIF($I119,INT($X119),"m"))))/$AK119,0),0))))</f>
      </c>
      <c r="AM119" s="225">
        <f>IF($A119="","",IF(COUNTIF('Nhật ký tiến độ'!$C$6:$C$3005,$A119)=0,0,_xlfn.MAXIFS('Nhật ký tiến độ'!$N$6:$N$3005,'Nhật ký tiến độ'!$C$6:$C$3005,$A119,'Nhật ký tiến độ'!$B$6:$B$3005,_xlfn.MAXIFS('Nhật ký tiến độ'!$B$6:$B$3005,'Nhật ký tiến độ'!$C$6:$C$3005,$A119))))</f>
      </c>
      <c r="AN119" s="225">
        <f>IF($A119="","",IF(N($AM119)=0,"",INDEX('Nhật ký tiến độ'!$E:$E,$AM119)))</f>
      </c>
      <c r="AO119" s="225">
        <f>IF($A119="",0,IF($AA119="Hoàn thành",0,1))</f>
      </c>
      <c r="AP119" s="225">
        <f>IF($AO119=0,0,INT(N($AW119)))</f>
      </c>
      <c r="AQ119" s="225">
        <f>IF(AND($AO119=1,$AJ119&gt;1),$AJ119,0)</f>
      </c>
      <c r="AR119" s="225">
        <f>IF(AND($AO119=1,$AJ119=1),1,0)</f>
      </c>
      <c r="AS119" s="225">
        <f>IF(OR($AO119=0,AND($AR119=1,N($BB119)=0)),"",IF(N($BB119)&gt;0,5-$BB119,IF($AD119="Chậm tiến độ",6,IF($AD119="Đến hạn hôm nay",7,IF(AND($AP119&gt;0,$AP119-NgayBC&lt;=7),8,"")))))</f>
      </c>
      <c r="AT119" s="225">
        <f>IF($AS119="","",$AS119*100000+$AP119+ROW()/100000)</f>
      </c>
      <c r="AU119" s="224">
        <f>IF(OR($A119="",N($R119)&lt;=0),"",IF($S119="Ngày",$R119*24,$R119))</f>
      </c>
      <c r="AV119" s="224">
        <f>IF($A119="","",IF($B119="Đột xuất",IF(OR($AA119&lt;&gt;"Hoàn thành",N($X119)=0,N($J119)=0),"",IF($X119&lt;$J119,"",($X119-$J119)*24)),IFERROR(AVERAGEIFS('Nhật ký tiến độ'!$H$6:$H$3005,'Nhật ký tiến độ'!$C$6:$C$3005,$A119,'Nhật ký tiến độ'!$H$6:$H$3005,"&gt;0"),"")))</f>
      </c>
      <c r="AW119" s="233">
        <f>IF($A119="",0,IF($B119="Đột xuất",$AY119,IF($AX119=0,0,$AX119+1-1/1440)))</f>
      </c>
      <c r="AX119" s="234">
        <f>IF(OR($A119="",$B119&lt;&gt;"Định kỳ",N($I119)=0),0,IF($AL119="",$I119,IF($AJ119&gt;0,$I119+($AL119+1)*$AJ119,IF($AK119&gt;0,EDATE($I119,($AL119+1)*$AK119),$I119))))</f>
      </c>
      <c r="AY119" s="233">
        <f>IF(OR($A119="",$B119&lt;&gt;"Đột xuất"),0,IF(N($K119)&gt;0,IF(MOD($K119,1)=0,$K119+1-1/1440,$K119),IF(N($J119)=0,0,$J119+IF(N($AU119)&gt;0,$AU119,IFERROR(INDEX(DM_SLA_Gio,MATCH($L119,DM_SLA_Cap,0)),168))/24)))</f>
      </c>
      <c r="AZ119" s="225">
        <f>IF(OR($A119="",TRIM($N119)="",COUNTIF('Phản ánh'!$K$6:$K$505,$N119)&gt;0,COUNTIF($N$6:$N119,$N119)&gt;1),0,1)</f>
      </c>
      <c r="BA119" s="225">
        <f>IF($AZ119=1,SUM($AZ$6:$AZ119),"")</f>
      </c>
      <c r="BB119" s="225">
        <f>IF(OR($AO119=0,N($AW119)=0),0,IF(TDBC&lt;=$AW119,0,MAX(1,MIN(4,IF((TDBC-$AW119)*24&lt;24,1,IF((TDBC-$AW119)*24&lt;72,2,IF((TDBC-$AW119)*24&lt;168,3,4)))+IF($B119="Đột xuất",IFERROR(INDEX({2,1,0,-1},MATCH($L119,{"Khẩn cấp","Cao","Trung bình","Thấp"},0)),0),IF($D119="PCCC và an ninh",1,0))))))</f>
      </c>
    </row>
    <row r="120">
      <c r="A120" s="216"/>
      <c r="B120" s="216"/>
      <c r="C120" s="218"/>
      <c r="D120" s="218"/>
      <c r="E120" s="218"/>
      <c r="F120" s="216"/>
      <c r="G120" s="218"/>
      <c r="H120" s="218"/>
      <c r="I120" s="231"/>
      <c r="J120" s="217"/>
      <c r="K120" s="217"/>
      <c r="L120" s="216"/>
      <c r="M120" s="216"/>
      <c r="N120" s="218"/>
      <c r="O120" s="218"/>
      <c r="P120" s="218"/>
      <c r="Q120" s="218"/>
      <c r="R120" s="219"/>
      <c r="S120" s="216"/>
      <c r="T120" s="232"/>
      <c r="U120" s="232"/>
      <c r="V120" s="218"/>
      <c r="W120" s="218"/>
      <c r="X120" s="220">
        <f>IF($A120="","",IF(OR($B120="Định kỳ",$AA120="Hoàn thành"),MAX(_xlfn.MAXIFS('Nhật ký tiến độ'!$B$6:$B$3005,'Nhật ký tiến độ'!$C$6:$C$3005,$A120,'Nhật ký tiến độ'!$E$6:$E$3005,"Hoàn thành kỳ"),_xlfn.MAXIFS('Nhật ký tiến độ'!$B$6:$B$3005,'Nhật ký tiến độ'!$C$6:$C$3005,$A120,'Nhật ký tiến độ'!$E$6:$E$3005,"Hoàn thành")),0))</f>
      </c>
      <c r="Y120" s="220">
        <f>IF($A120="","",IF($B120="Đột xuất",IF($AY120=0,"",$AY120),IF($AX120=0,"",$AX120)))</f>
      </c>
      <c r="Z120" s="223">
        <f>IF(OR($AO120=0,$AW120=0),"",IF(TDBC&gt;$AW120,"Quá "&amp;IF($B120="Định kỳ",(NgayBC-$AP120)&amp;" ngày",IF(((TDBC-$AW120)*24)&lt;1,MAX(1,ROUND(((TDBC-$AW120)*24)*60,0))&amp;" phút",IF(ROUND(((TDBC-$AW120)*24),0)&lt;24,ROUND(((TDBC-$AW120)*24),0)&amp;" giờ",INT(ROUND(((TDBC-$AW120)*24),0)/24)&amp;" ngày"&amp;IF(MOD(ROUND(((TDBC-$AW120)*24),0),24)&gt;0," "&amp;MOD(ROUND(((TDBC-$AW120)*24),0),24)&amp;" giờ","")))),IF($B120="Định kỳ",IF($AP120=NgayBC,"Hôm nay","Còn "&amp;($AP120-NgayBC)&amp;" ngày"),"Còn "&amp;IF((($AW120-TDBC)*24)&lt;1,MAX(1,ROUND((($AW120-TDBC)*24)*60,0))&amp;" phút",IF(ROUND((($AW120-TDBC)*24),0)&lt;24,ROUND((($AW120-TDBC)*24),0)&amp;" giờ",INT(ROUND((($AW120-TDBC)*24),0)/24)&amp;" ngày"&amp;IF(MOD(ROUND((($AW120-TDBC)*24),0),24)&gt;0," "&amp;MOD(ROUND((($AW120-TDBC)*24),0),24)&amp;" giờ",""))))))</f>
      </c>
      <c r="AA120" s="221">
        <f>IF($A120="","",IF(N($AM120)=0,"Chưa bắt đầu",IF(OR($AN120="Hoàn thành kỳ",$AN120="Hoàn thành"),IF($B120="Định kỳ","Chưa bắt đầu","Hoàn thành"),$AN120)))</f>
      </c>
      <c r="AB120" s="222">
        <f>IF($A120="","",IF($AA120="Hoàn thành",1,IF(OR(N($AM120)=0,$AN120="Hoàn thành kỳ",$AN120="Hoàn thành"),0,N(INDEX('Nhật ký tiến độ'!$D:$D,$AM120)))))</f>
      </c>
      <c r="AC120" s="222">
        <f>IF(OR($A120="",$B120&lt;&gt;"Đột xuất",$AA120="Hoàn thành",N($J120)=0,$AW120=0),"",IF(TDBC&lt;=$J120,0,IF(TDBC&gt;=$AW120,1,(TDBC-$J120)/($AW120-$J120))))</f>
      </c>
      <c r="AD120" s="223">
        <f>IF($A120="","",IF($AA120="Hoàn thành","Hoàn thành",IF($AW120=0,"Chưa đặt hạn",IF(TDBC&gt;$AW120,"Quá hạn",IF(AND($B120="Đột xuất",ROUND((N($AC120)-$AB120)*100,0)&gt;=20),"Chậm tiến độ",IF($AP120=NgayBC,"Đến hạn hôm nay",IF($B120="Đột xuất",IF($AW120-TDBC&lt;=1,"Sắp đến hạn","Đúng tiến độ"),IF($AP120-NgayBC&lt;=3,"Sắp đến hạn","Theo lịch"))))))))</f>
      </c>
      <c r="AE120" s="223">
        <f>IF($AV120="","",IF($B120="Định kỳ","Bình quân "&amp;IF($AV120&lt;1,MAX(1,ROUND($AV120*60,0))&amp;" phút",IF(ROUND($AV120,0)&lt;24,ROUND($AV120,0)&amp;" giờ",INT(ROUND($AV120,0)/24)&amp;" ngày"&amp;IF(MOD(ROUND($AV120,0),24)&gt;0," "&amp;MOD(ROUND($AV120,0),24)&amp;" giờ","")))&amp;" mỗi kỳ",IF($AV120&lt;1,MAX(1,ROUND($AV120*60,0))&amp;" phút",IF(ROUND($AV120,0)&lt;24,ROUND($AV120,0)&amp;" giờ",INT(ROUND($AV120,0)/24)&amp;" ngày"&amp;IF(MOD(ROUND($AV120,0),24)&gt;0," "&amp;MOD(ROUND($AV120,0),24)&amp;" giờ","")))))</f>
      </c>
      <c r="AF120" s="223">
        <f>IF(OR($A120="",N($AU120)=0),"",IF($AV120&lt;&gt;"",IF($AV120&lt;=$AU120,"Trong ước tính","Vượt "&amp;IF(($AV120-$AU120)&lt;1,MAX(1,ROUND(($AV120-$AU120)*60,0))&amp;" phút",IF(ROUND(($AV120-$AU120),0)&lt;24,ROUND(($AV120-$AU120),0)&amp;" giờ",INT(ROUND(($AV120-$AU120),0)/24)&amp;" ngày"&amp;IF(MOD(ROUND(($AV120-$AU120),0),24)&gt;0," "&amp;MOD(ROUND(($AV120-$AU120),0),24)&amp;" giờ","")))),IF(OR($B120&lt;&gt;"Đột xuất",$AA120="Hoàn thành",N($J120)=0),"",IF((TDBC-$J120)*24&gt;$AU120,"Đã vượt ước tính","Đã dùng "&amp;TEXT((TDBC-$J120)*24/$AU120,"0%")))))</f>
      </c>
      <c r="AG120" s="223">
        <f>IF(N($BB120)=0,"",CHOOSE($BB120,"Nhắc nhở","Cảnh báo","Báo động","Báo động đỏ"))</f>
      </c>
      <c r="AH120" s="223">
        <f>IF(OR($B120&lt;&gt;"Đột xuất",$AA120&lt;&gt;"Hoàn thành",N($X120)=0,$AW120=0),"",IF($X120&lt;=$AW120,"Đúng hạn","Trễ hạn"))</f>
      </c>
      <c r="AI120" s="220">
        <f>IF($A120="","",_xlfn.MAXIFS('Nhật ký tiến độ'!$B$6:$B$3005,'Nhật ký tiến độ'!$C$6:$C$3005,$A120))</f>
      </c>
      <c r="AJ120" s="225">
        <f>IF(OR($A120="",$B120&lt;&gt;"Định kỳ"),0,IFERROR(INDEX(DM_TanSuatNgay,MATCH($H120,DM_TanSuat,0)),0))</f>
      </c>
      <c r="AK120" s="225">
        <f>IF(OR($A120="",$B120&lt;&gt;"Định kỳ"),0,IFERROR(INDEX(DM_TanSuatThang,MATCH($H120,DM_TanSuat,0)),0))</f>
      </c>
      <c r="AL120" s="225">
        <f>IF(OR($A120="",$B120&lt;&gt;"Định kỳ",N($X120)=0,N($I120)=0),"",IF(INT($X120)&lt;$I120,0,IF($AJ120&gt;0,ROUND((INT($X120)-$I120)/$AJ120,0),IF($AK120&gt;0,ROUND((DATEDIF($I120,INT($X120),"m")+(INT($X120)-EDATE($I120,DATEDIF($I120,INT($X120),"m")))/(EDATE($I120,DATEDIF($I120,INT($X120),"m")+1)-EDATE($I120,DATEDIF($I120,INT($X120),"m"))))/$AK120,0),0))))</f>
      </c>
      <c r="AM120" s="225">
        <f>IF($A120="","",IF(COUNTIF('Nhật ký tiến độ'!$C$6:$C$3005,$A120)=0,0,_xlfn.MAXIFS('Nhật ký tiến độ'!$N$6:$N$3005,'Nhật ký tiến độ'!$C$6:$C$3005,$A120,'Nhật ký tiến độ'!$B$6:$B$3005,_xlfn.MAXIFS('Nhật ký tiến độ'!$B$6:$B$3005,'Nhật ký tiến độ'!$C$6:$C$3005,$A120))))</f>
      </c>
      <c r="AN120" s="225">
        <f>IF($A120="","",IF(N($AM120)=0,"",INDEX('Nhật ký tiến độ'!$E:$E,$AM120)))</f>
      </c>
      <c r="AO120" s="225">
        <f>IF($A120="",0,IF($AA120="Hoàn thành",0,1))</f>
      </c>
      <c r="AP120" s="225">
        <f>IF($AO120=0,0,INT(N($AW120)))</f>
      </c>
      <c r="AQ120" s="225">
        <f>IF(AND($AO120=1,$AJ120&gt;1),$AJ120,0)</f>
      </c>
      <c r="AR120" s="225">
        <f>IF(AND($AO120=1,$AJ120=1),1,0)</f>
      </c>
      <c r="AS120" s="225">
        <f>IF(OR($AO120=0,AND($AR120=1,N($BB120)=0)),"",IF(N($BB120)&gt;0,5-$BB120,IF($AD120="Chậm tiến độ",6,IF($AD120="Đến hạn hôm nay",7,IF(AND($AP120&gt;0,$AP120-NgayBC&lt;=7),8,"")))))</f>
      </c>
      <c r="AT120" s="225">
        <f>IF($AS120="","",$AS120*100000+$AP120+ROW()/100000)</f>
      </c>
      <c r="AU120" s="224">
        <f>IF(OR($A120="",N($R120)&lt;=0),"",IF($S120="Ngày",$R120*24,$R120))</f>
      </c>
      <c r="AV120" s="224">
        <f>IF($A120="","",IF($B120="Đột xuất",IF(OR($AA120&lt;&gt;"Hoàn thành",N($X120)=0,N($J120)=0),"",IF($X120&lt;$J120,"",($X120-$J120)*24)),IFERROR(AVERAGEIFS('Nhật ký tiến độ'!$H$6:$H$3005,'Nhật ký tiến độ'!$C$6:$C$3005,$A120,'Nhật ký tiến độ'!$H$6:$H$3005,"&gt;0"),"")))</f>
      </c>
      <c r="AW120" s="233">
        <f>IF($A120="",0,IF($B120="Đột xuất",$AY120,IF($AX120=0,0,$AX120+1-1/1440)))</f>
      </c>
      <c r="AX120" s="234">
        <f>IF(OR($A120="",$B120&lt;&gt;"Định kỳ",N($I120)=0),0,IF($AL120="",$I120,IF($AJ120&gt;0,$I120+($AL120+1)*$AJ120,IF($AK120&gt;0,EDATE($I120,($AL120+1)*$AK120),$I120))))</f>
      </c>
      <c r="AY120" s="233">
        <f>IF(OR($A120="",$B120&lt;&gt;"Đột xuất"),0,IF(N($K120)&gt;0,IF(MOD($K120,1)=0,$K120+1-1/1440,$K120),IF(N($J120)=0,0,$J120+IF(N($AU120)&gt;0,$AU120,IFERROR(INDEX(DM_SLA_Gio,MATCH($L120,DM_SLA_Cap,0)),168))/24)))</f>
      </c>
      <c r="AZ120" s="225">
        <f>IF(OR($A120="",TRIM($N120)="",COUNTIF('Phản ánh'!$K$6:$K$505,$N120)&gt;0,COUNTIF($N$6:$N120,$N120)&gt;1),0,1)</f>
      </c>
      <c r="BA120" s="225">
        <f>IF($AZ120=1,SUM($AZ$6:$AZ120),"")</f>
      </c>
      <c r="BB120" s="225">
        <f>IF(OR($AO120=0,N($AW120)=0),0,IF(TDBC&lt;=$AW120,0,MAX(1,MIN(4,IF((TDBC-$AW120)*24&lt;24,1,IF((TDBC-$AW120)*24&lt;72,2,IF((TDBC-$AW120)*24&lt;168,3,4)))+IF($B120="Đột xuất",IFERROR(INDEX({2,1,0,-1},MATCH($L120,{"Khẩn cấp","Cao","Trung bình","Thấp"},0)),0),IF($D120="PCCC và an ninh",1,0))))))</f>
      </c>
    </row>
    <row r="121">
      <c r="A121" s="216"/>
      <c r="B121" s="216"/>
      <c r="C121" s="218"/>
      <c r="D121" s="218"/>
      <c r="E121" s="218"/>
      <c r="F121" s="216"/>
      <c r="G121" s="218"/>
      <c r="H121" s="218"/>
      <c r="I121" s="231"/>
      <c r="J121" s="217"/>
      <c r="K121" s="217"/>
      <c r="L121" s="216"/>
      <c r="M121" s="216"/>
      <c r="N121" s="218"/>
      <c r="O121" s="218"/>
      <c r="P121" s="218"/>
      <c r="Q121" s="218"/>
      <c r="R121" s="219"/>
      <c r="S121" s="216"/>
      <c r="T121" s="232"/>
      <c r="U121" s="232"/>
      <c r="V121" s="218"/>
      <c r="W121" s="218"/>
      <c r="X121" s="220">
        <f>IF($A121="","",IF(OR($B121="Định kỳ",$AA121="Hoàn thành"),MAX(_xlfn.MAXIFS('Nhật ký tiến độ'!$B$6:$B$3005,'Nhật ký tiến độ'!$C$6:$C$3005,$A121,'Nhật ký tiến độ'!$E$6:$E$3005,"Hoàn thành kỳ"),_xlfn.MAXIFS('Nhật ký tiến độ'!$B$6:$B$3005,'Nhật ký tiến độ'!$C$6:$C$3005,$A121,'Nhật ký tiến độ'!$E$6:$E$3005,"Hoàn thành")),0))</f>
      </c>
      <c r="Y121" s="220">
        <f>IF($A121="","",IF($B121="Đột xuất",IF($AY121=0,"",$AY121),IF($AX121=0,"",$AX121)))</f>
      </c>
      <c r="Z121" s="223">
        <f>IF(OR($AO121=0,$AW121=0),"",IF(TDBC&gt;$AW121,"Quá "&amp;IF($B121="Định kỳ",(NgayBC-$AP121)&amp;" ngày",IF(((TDBC-$AW121)*24)&lt;1,MAX(1,ROUND(((TDBC-$AW121)*24)*60,0))&amp;" phút",IF(ROUND(((TDBC-$AW121)*24),0)&lt;24,ROUND(((TDBC-$AW121)*24),0)&amp;" giờ",INT(ROUND(((TDBC-$AW121)*24),0)/24)&amp;" ngày"&amp;IF(MOD(ROUND(((TDBC-$AW121)*24),0),24)&gt;0," "&amp;MOD(ROUND(((TDBC-$AW121)*24),0),24)&amp;" giờ","")))),IF($B121="Định kỳ",IF($AP121=NgayBC,"Hôm nay","Còn "&amp;($AP121-NgayBC)&amp;" ngày"),"Còn "&amp;IF((($AW121-TDBC)*24)&lt;1,MAX(1,ROUND((($AW121-TDBC)*24)*60,0))&amp;" phút",IF(ROUND((($AW121-TDBC)*24),0)&lt;24,ROUND((($AW121-TDBC)*24),0)&amp;" giờ",INT(ROUND((($AW121-TDBC)*24),0)/24)&amp;" ngày"&amp;IF(MOD(ROUND((($AW121-TDBC)*24),0),24)&gt;0," "&amp;MOD(ROUND((($AW121-TDBC)*24),0),24)&amp;" giờ",""))))))</f>
      </c>
      <c r="AA121" s="221">
        <f>IF($A121="","",IF(N($AM121)=0,"Chưa bắt đầu",IF(OR($AN121="Hoàn thành kỳ",$AN121="Hoàn thành"),IF($B121="Định kỳ","Chưa bắt đầu","Hoàn thành"),$AN121)))</f>
      </c>
      <c r="AB121" s="222">
        <f>IF($A121="","",IF($AA121="Hoàn thành",1,IF(OR(N($AM121)=0,$AN121="Hoàn thành kỳ",$AN121="Hoàn thành"),0,N(INDEX('Nhật ký tiến độ'!$D:$D,$AM121)))))</f>
      </c>
      <c r="AC121" s="222">
        <f>IF(OR($A121="",$B121&lt;&gt;"Đột xuất",$AA121="Hoàn thành",N($J121)=0,$AW121=0),"",IF(TDBC&lt;=$J121,0,IF(TDBC&gt;=$AW121,1,(TDBC-$J121)/($AW121-$J121))))</f>
      </c>
      <c r="AD121" s="223">
        <f>IF($A121="","",IF($AA121="Hoàn thành","Hoàn thành",IF($AW121=0,"Chưa đặt hạn",IF(TDBC&gt;$AW121,"Quá hạn",IF(AND($B121="Đột xuất",ROUND((N($AC121)-$AB121)*100,0)&gt;=20),"Chậm tiến độ",IF($AP121=NgayBC,"Đến hạn hôm nay",IF($B121="Đột xuất",IF($AW121-TDBC&lt;=1,"Sắp đến hạn","Đúng tiến độ"),IF($AP121-NgayBC&lt;=3,"Sắp đến hạn","Theo lịch"))))))))</f>
      </c>
      <c r="AE121" s="223">
        <f>IF($AV121="","",IF($B121="Định kỳ","Bình quân "&amp;IF($AV121&lt;1,MAX(1,ROUND($AV121*60,0))&amp;" phút",IF(ROUND($AV121,0)&lt;24,ROUND($AV121,0)&amp;" giờ",INT(ROUND($AV121,0)/24)&amp;" ngày"&amp;IF(MOD(ROUND($AV121,0),24)&gt;0," "&amp;MOD(ROUND($AV121,0),24)&amp;" giờ","")))&amp;" mỗi kỳ",IF($AV121&lt;1,MAX(1,ROUND($AV121*60,0))&amp;" phút",IF(ROUND($AV121,0)&lt;24,ROUND($AV121,0)&amp;" giờ",INT(ROUND($AV121,0)/24)&amp;" ngày"&amp;IF(MOD(ROUND($AV121,0),24)&gt;0," "&amp;MOD(ROUND($AV121,0),24)&amp;" giờ","")))))</f>
      </c>
      <c r="AF121" s="223">
        <f>IF(OR($A121="",N($AU121)=0),"",IF($AV121&lt;&gt;"",IF($AV121&lt;=$AU121,"Trong ước tính","Vượt "&amp;IF(($AV121-$AU121)&lt;1,MAX(1,ROUND(($AV121-$AU121)*60,0))&amp;" phút",IF(ROUND(($AV121-$AU121),0)&lt;24,ROUND(($AV121-$AU121),0)&amp;" giờ",INT(ROUND(($AV121-$AU121),0)/24)&amp;" ngày"&amp;IF(MOD(ROUND(($AV121-$AU121),0),24)&gt;0," "&amp;MOD(ROUND(($AV121-$AU121),0),24)&amp;" giờ","")))),IF(OR($B121&lt;&gt;"Đột xuất",$AA121="Hoàn thành",N($J121)=0),"",IF((TDBC-$J121)*24&gt;$AU121,"Đã vượt ước tính","Đã dùng "&amp;TEXT((TDBC-$J121)*24/$AU121,"0%")))))</f>
      </c>
      <c r="AG121" s="223">
        <f>IF(N($BB121)=0,"",CHOOSE($BB121,"Nhắc nhở","Cảnh báo","Báo động","Báo động đỏ"))</f>
      </c>
      <c r="AH121" s="223">
        <f>IF(OR($B121&lt;&gt;"Đột xuất",$AA121&lt;&gt;"Hoàn thành",N($X121)=0,$AW121=0),"",IF($X121&lt;=$AW121,"Đúng hạn","Trễ hạn"))</f>
      </c>
      <c r="AI121" s="220">
        <f>IF($A121="","",_xlfn.MAXIFS('Nhật ký tiến độ'!$B$6:$B$3005,'Nhật ký tiến độ'!$C$6:$C$3005,$A121))</f>
      </c>
      <c r="AJ121" s="225">
        <f>IF(OR($A121="",$B121&lt;&gt;"Định kỳ"),0,IFERROR(INDEX(DM_TanSuatNgay,MATCH($H121,DM_TanSuat,0)),0))</f>
      </c>
      <c r="AK121" s="225">
        <f>IF(OR($A121="",$B121&lt;&gt;"Định kỳ"),0,IFERROR(INDEX(DM_TanSuatThang,MATCH($H121,DM_TanSuat,0)),0))</f>
      </c>
      <c r="AL121" s="225">
        <f>IF(OR($A121="",$B121&lt;&gt;"Định kỳ",N($X121)=0,N($I121)=0),"",IF(INT($X121)&lt;$I121,0,IF($AJ121&gt;0,ROUND((INT($X121)-$I121)/$AJ121,0),IF($AK121&gt;0,ROUND((DATEDIF($I121,INT($X121),"m")+(INT($X121)-EDATE($I121,DATEDIF($I121,INT($X121),"m")))/(EDATE($I121,DATEDIF($I121,INT($X121),"m")+1)-EDATE($I121,DATEDIF($I121,INT($X121),"m"))))/$AK121,0),0))))</f>
      </c>
      <c r="AM121" s="225">
        <f>IF($A121="","",IF(COUNTIF('Nhật ký tiến độ'!$C$6:$C$3005,$A121)=0,0,_xlfn.MAXIFS('Nhật ký tiến độ'!$N$6:$N$3005,'Nhật ký tiến độ'!$C$6:$C$3005,$A121,'Nhật ký tiến độ'!$B$6:$B$3005,_xlfn.MAXIFS('Nhật ký tiến độ'!$B$6:$B$3005,'Nhật ký tiến độ'!$C$6:$C$3005,$A121))))</f>
      </c>
      <c r="AN121" s="225">
        <f>IF($A121="","",IF(N($AM121)=0,"",INDEX('Nhật ký tiến độ'!$E:$E,$AM121)))</f>
      </c>
      <c r="AO121" s="225">
        <f>IF($A121="",0,IF($AA121="Hoàn thành",0,1))</f>
      </c>
      <c r="AP121" s="225">
        <f>IF($AO121=0,0,INT(N($AW121)))</f>
      </c>
      <c r="AQ121" s="225">
        <f>IF(AND($AO121=1,$AJ121&gt;1),$AJ121,0)</f>
      </c>
      <c r="AR121" s="225">
        <f>IF(AND($AO121=1,$AJ121=1),1,0)</f>
      </c>
      <c r="AS121" s="225">
        <f>IF(OR($AO121=0,AND($AR121=1,N($BB121)=0)),"",IF(N($BB121)&gt;0,5-$BB121,IF($AD121="Chậm tiến độ",6,IF($AD121="Đến hạn hôm nay",7,IF(AND($AP121&gt;0,$AP121-NgayBC&lt;=7),8,"")))))</f>
      </c>
      <c r="AT121" s="225">
        <f>IF($AS121="","",$AS121*100000+$AP121+ROW()/100000)</f>
      </c>
      <c r="AU121" s="224">
        <f>IF(OR($A121="",N($R121)&lt;=0),"",IF($S121="Ngày",$R121*24,$R121))</f>
      </c>
      <c r="AV121" s="224">
        <f>IF($A121="","",IF($B121="Đột xuất",IF(OR($AA121&lt;&gt;"Hoàn thành",N($X121)=0,N($J121)=0),"",IF($X121&lt;$J121,"",($X121-$J121)*24)),IFERROR(AVERAGEIFS('Nhật ký tiến độ'!$H$6:$H$3005,'Nhật ký tiến độ'!$C$6:$C$3005,$A121,'Nhật ký tiến độ'!$H$6:$H$3005,"&gt;0"),"")))</f>
      </c>
      <c r="AW121" s="233">
        <f>IF($A121="",0,IF($B121="Đột xuất",$AY121,IF($AX121=0,0,$AX121+1-1/1440)))</f>
      </c>
      <c r="AX121" s="234">
        <f>IF(OR($A121="",$B121&lt;&gt;"Định kỳ",N($I121)=0),0,IF($AL121="",$I121,IF($AJ121&gt;0,$I121+($AL121+1)*$AJ121,IF($AK121&gt;0,EDATE($I121,($AL121+1)*$AK121),$I121))))</f>
      </c>
      <c r="AY121" s="233">
        <f>IF(OR($A121="",$B121&lt;&gt;"Đột xuất"),0,IF(N($K121)&gt;0,IF(MOD($K121,1)=0,$K121+1-1/1440,$K121),IF(N($J121)=0,0,$J121+IF(N($AU121)&gt;0,$AU121,IFERROR(INDEX(DM_SLA_Gio,MATCH($L121,DM_SLA_Cap,0)),168))/24)))</f>
      </c>
      <c r="AZ121" s="225">
        <f>IF(OR($A121="",TRIM($N121)="",COUNTIF('Phản ánh'!$K$6:$K$505,$N121)&gt;0,COUNTIF($N$6:$N121,$N121)&gt;1),0,1)</f>
      </c>
      <c r="BA121" s="225">
        <f>IF($AZ121=1,SUM($AZ$6:$AZ121),"")</f>
      </c>
      <c r="BB121" s="225">
        <f>IF(OR($AO121=0,N($AW121)=0),0,IF(TDBC&lt;=$AW121,0,MAX(1,MIN(4,IF((TDBC-$AW121)*24&lt;24,1,IF((TDBC-$AW121)*24&lt;72,2,IF((TDBC-$AW121)*24&lt;168,3,4)))+IF($B121="Đột xuất",IFERROR(INDEX({2,1,0,-1},MATCH($L121,{"Khẩn cấp","Cao","Trung bình","Thấp"},0)),0),IF($D121="PCCC và an ninh",1,0))))))</f>
      </c>
    </row>
    <row r="122">
      <c r="A122" s="216"/>
      <c r="B122" s="216"/>
      <c r="C122" s="218"/>
      <c r="D122" s="218"/>
      <c r="E122" s="218"/>
      <c r="F122" s="216"/>
      <c r="G122" s="218"/>
      <c r="H122" s="218"/>
      <c r="I122" s="231"/>
      <c r="J122" s="217"/>
      <c r="K122" s="217"/>
      <c r="L122" s="216"/>
      <c r="M122" s="216"/>
      <c r="N122" s="218"/>
      <c r="O122" s="218"/>
      <c r="P122" s="218"/>
      <c r="Q122" s="218"/>
      <c r="R122" s="219"/>
      <c r="S122" s="216"/>
      <c r="T122" s="232"/>
      <c r="U122" s="232"/>
      <c r="V122" s="218"/>
      <c r="W122" s="218"/>
      <c r="X122" s="220">
        <f>IF($A122="","",IF(OR($B122="Định kỳ",$AA122="Hoàn thành"),MAX(_xlfn.MAXIFS('Nhật ký tiến độ'!$B$6:$B$3005,'Nhật ký tiến độ'!$C$6:$C$3005,$A122,'Nhật ký tiến độ'!$E$6:$E$3005,"Hoàn thành kỳ"),_xlfn.MAXIFS('Nhật ký tiến độ'!$B$6:$B$3005,'Nhật ký tiến độ'!$C$6:$C$3005,$A122,'Nhật ký tiến độ'!$E$6:$E$3005,"Hoàn thành")),0))</f>
      </c>
      <c r="Y122" s="220">
        <f>IF($A122="","",IF($B122="Đột xuất",IF($AY122=0,"",$AY122),IF($AX122=0,"",$AX122)))</f>
      </c>
      <c r="Z122" s="223">
        <f>IF(OR($AO122=0,$AW122=0),"",IF(TDBC&gt;$AW122,"Quá "&amp;IF($B122="Định kỳ",(NgayBC-$AP122)&amp;" ngày",IF(((TDBC-$AW122)*24)&lt;1,MAX(1,ROUND(((TDBC-$AW122)*24)*60,0))&amp;" phút",IF(ROUND(((TDBC-$AW122)*24),0)&lt;24,ROUND(((TDBC-$AW122)*24),0)&amp;" giờ",INT(ROUND(((TDBC-$AW122)*24),0)/24)&amp;" ngày"&amp;IF(MOD(ROUND(((TDBC-$AW122)*24),0),24)&gt;0," "&amp;MOD(ROUND(((TDBC-$AW122)*24),0),24)&amp;" giờ","")))),IF($B122="Định kỳ",IF($AP122=NgayBC,"Hôm nay","Còn "&amp;($AP122-NgayBC)&amp;" ngày"),"Còn "&amp;IF((($AW122-TDBC)*24)&lt;1,MAX(1,ROUND((($AW122-TDBC)*24)*60,0))&amp;" phút",IF(ROUND((($AW122-TDBC)*24),0)&lt;24,ROUND((($AW122-TDBC)*24),0)&amp;" giờ",INT(ROUND((($AW122-TDBC)*24),0)/24)&amp;" ngày"&amp;IF(MOD(ROUND((($AW122-TDBC)*24),0),24)&gt;0," "&amp;MOD(ROUND((($AW122-TDBC)*24),0),24)&amp;" giờ",""))))))</f>
      </c>
      <c r="AA122" s="221">
        <f>IF($A122="","",IF(N($AM122)=0,"Chưa bắt đầu",IF(OR($AN122="Hoàn thành kỳ",$AN122="Hoàn thành"),IF($B122="Định kỳ","Chưa bắt đầu","Hoàn thành"),$AN122)))</f>
      </c>
      <c r="AB122" s="222">
        <f>IF($A122="","",IF($AA122="Hoàn thành",1,IF(OR(N($AM122)=0,$AN122="Hoàn thành kỳ",$AN122="Hoàn thành"),0,N(INDEX('Nhật ký tiến độ'!$D:$D,$AM122)))))</f>
      </c>
      <c r="AC122" s="222">
        <f>IF(OR($A122="",$B122&lt;&gt;"Đột xuất",$AA122="Hoàn thành",N($J122)=0,$AW122=0),"",IF(TDBC&lt;=$J122,0,IF(TDBC&gt;=$AW122,1,(TDBC-$J122)/($AW122-$J122))))</f>
      </c>
      <c r="AD122" s="223">
        <f>IF($A122="","",IF($AA122="Hoàn thành","Hoàn thành",IF($AW122=0,"Chưa đặt hạn",IF(TDBC&gt;$AW122,"Quá hạn",IF(AND($B122="Đột xuất",ROUND((N($AC122)-$AB122)*100,0)&gt;=20),"Chậm tiến độ",IF($AP122=NgayBC,"Đến hạn hôm nay",IF($B122="Đột xuất",IF($AW122-TDBC&lt;=1,"Sắp đến hạn","Đúng tiến độ"),IF($AP122-NgayBC&lt;=3,"Sắp đến hạn","Theo lịch"))))))))</f>
      </c>
      <c r="AE122" s="223">
        <f>IF($AV122="","",IF($B122="Định kỳ","Bình quân "&amp;IF($AV122&lt;1,MAX(1,ROUND($AV122*60,0))&amp;" phút",IF(ROUND($AV122,0)&lt;24,ROUND($AV122,0)&amp;" giờ",INT(ROUND($AV122,0)/24)&amp;" ngày"&amp;IF(MOD(ROUND($AV122,0),24)&gt;0," "&amp;MOD(ROUND($AV122,0),24)&amp;" giờ","")))&amp;" mỗi kỳ",IF($AV122&lt;1,MAX(1,ROUND($AV122*60,0))&amp;" phút",IF(ROUND($AV122,0)&lt;24,ROUND($AV122,0)&amp;" giờ",INT(ROUND($AV122,0)/24)&amp;" ngày"&amp;IF(MOD(ROUND($AV122,0),24)&gt;0," "&amp;MOD(ROUND($AV122,0),24)&amp;" giờ","")))))</f>
      </c>
      <c r="AF122" s="223">
        <f>IF(OR($A122="",N($AU122)=0),"",IF($AV122&lt;&gt;"",IF($AV122&lt;=$AU122,"Trong ước tính","Vượt "&amp;IF(($AV122-$AU122)&lt;1,MAX(1,ROUND(($AV122-$AU122)*60,0))&amp;" phút",IF(ROUND(($AV122-$AU122),0)&lt;24,ROUND(($AV122-$AU122),0)&amp;" giờ",INT(ROUND(($AV122-$AU122),0)/24)&amp;" ngày"&amp;IF(MOD(ROUND(($AV122-$AU122),0),24)&gt;0," "&amp;MOD(ROUND(($AV122-$AU122),0),24)&amp;" giờ","")))),IF(OR($B122&lt;&gt;"Đột xuất",$AA122="Hoàn thành",N($J122)=0),"",IF((TDBC-$J122)*24&gt;$AU122,"Đã vượt ước tính","Đã dùng "&amp;TEXT((TDBC-$J122)*24/$AU122,"0%")))))</f>
      </c>
      <c r="AG122" s="223">
        <f>IF(N($BB122)=0,"",CHOOSE($BB122,"Nhắc nhở","Cảnh báo","Báo động","Báo động đỏ"))</f>
      </c>
      <c r="AH122" s="223">
        <f>IF(OR($B122&lt;&gt;"Đột xuất",$AA122&lt;&gt;"Hoàn thành",N($X122)=0,$AW122=0),"",IF($X122&lt;=$AW122,"Đúng hạn","Trễ hạn"))</f>
      </c>
      <c r="AI122" s="220">
        <f>IF($A122="","",_xlfn.MAXIFS('Nhật ký tiến độ'!$B$6:$B$3005,'Nhật ký tiến độ'!$C$6:$C$3005,$A122))</f>
      </c>
      <c r="AJ122" s="225">
        <f>IF(OR($A122="",$B122&lt;&gt;"Định kỳ"),0,IFERROR(INDEX(DM_TanSuatNgay,MATCH($H122,DM_TanSuat,0)),0))</f>
      </c>
      <c r="AK122" s="225">
        <f>IF(OR($A122="",$B122&lt;&gt;"Định kỳ"),0,IFERROR(INDEX(DM_TanSuatThang,MATCH($H122,DM_TanSuat,0)),0))</f>
      </c>
      <c r="AL122" s="225">
        <f>IF(OR($A122="",$B122&lt;&gt;"Định kỳ",N($X122)=0,N($I122)=0),"",IF(INT($X122)&lt;$I122,0,IF($AJ122&gt;0,ROUND((INT($X122)-$I122)/$AJ122,0),IF($AK122&gt;0,ROUND((DATEDIF($I122,INT($X122),"m")+(INT($X122)-EDATE($I122,DATEDIF($I122,INT($X122),"m")))/(EDATE($I122,DATEDIF($I122,INT($X122),"m")+1)-EDATE($I122,DATEDIF($I122,INT($X122),"m"))))/$AK122,0),0))))</f>
      </c>
      <c r="AM122" s="225">
        <f>IF($A122="","",IF(COUNTIF('Nhật ký tiến độ'!$C$6:$C$3005,$A122)=0,0,_xlfn.MAXIFS('Nhật ký tiến độ'!$N$6:$N$3005,'Nhật ký tiến độ'!$C$6:$C$3005,$A122,'Nhật ký tiến độ'!$B$6:$B$3005,_xlfn.MAXIFS('Nhật ký tiến độ'!$B$6:$B$3005,'Nhật ký tiến độ'!$C$6:$C$3005,$A122))))</f>
      </c>
      <c r="AN122" s="225">
        <f>IF($A122="","",IF(N($AM122)=0,"",INDEX('Nhật ký tiến độ'!$E:$E,$AM122)))</f>
      </c>
      <c r="AO122" s="225">
        <f>IF($A122="",0,IF($AA122="Hoàn thành",0,1))</f>
      </c>
      <c r="AP122" s="225">
        <f>IF($AO122=0,0,INT(N($AW122)))</f>
      </c>
      <c r="AQ122" s="225">
        <f>IF(AND($AO122=1,$AJ122&gt;1),$AJ122,0)</f>
      </c>
      <c r="AR122" s="225">
        <f>IF(AND($AO122=1,$AJ122=1),1,0)</f>
      </c>
      <c r="AS122" s="225">
        <f>IF(OR($AO122=0,AND($AR122=1,N($BB122)=0)),"",IF(N($BB122)&gt;0,5-$BB122,IF($AD122="Chậm tiến độ",6,IF($AD122="Đến hạn hôm nay",7,IF(AND($AP122&gt;0,$AP122-NgayBC&lt;=7),8,"")))))</f>
      </c>
      <c r="AT122" s="225">
        <f>IF($AS122="","",$AS122*100000+$AP122+ROW()/100000)</f>
      </c>
      <c r="AU122" s="224">
        <f>IF(OR($A122="",N($R122)&lt;=0),"",IF($S122="Ngày",$R122*24,$R122))</f>
      </c>
      <c r="AV122" s="224">
        <f>IF($A122="","",IF($B122="Đột xuất",IF(OR($AA122&lt;&gt;"Hoàn thành",N($X122)=0,N($J122)=0),"",IF($X122&lt;$J122,"",($X122-$J122)*24)),IFERROR(AVERAGEIFS('Nhật ký tiến độ'!$H$6:$H$3005,'Nhật ký tiến độ'!$C$6:$C$3005,$A122,'Nhật ký tiến độ'!$H$6:$H$3005,"&gt;0"),"")))</f>
      </c>
      <c r="AW122" s="233">
        <f>IF($A122="",0,IF($B122="Đột xuất",$AY122,IF($AX122=0,0,$AX122+1-1/1440)))</f>
      </c>
      <c r="AX122" s="234">
        <f>IF(OR($A122="",$B122&lt;&gt;"Định kỳ",N($I122)=0),0,IF($AL122="",$I122,IF($AJ122&gt;0,$I122+($AL122+1)*$AJ122,IF($AK122&gt;0,EDATE($I122,($AL122+1)*$AK122),$I122))))</f>
      </c>
      <c r="AY122" s="233">
        <f>IF(OR($A122="",$B122&lt;&gt;"Đột xuất"),0,IF(N($K122)&gt;0,IF(MOD($K122,1)=0,$K122+1-1/1440,$K122),IF(N($J122)=0,0,$J122+IF(N($AU122)&gt;0,$AU122,IFERROR(INDEX(DM_SLA_Gio,MATCH($L122,DM_SLA_Cap,0)),168))/24)))</f>
      </c>
      <c r="AZ122" s="225">
        <f>IF(OR($A122="",TRIM($N122)="",COUNTIF('Phản ánh'!$K$6:$K$505,$N122)&gt;0,COUNTIF($N$6:$N122,$N122)&gt;1),0,1)</f>
      </c>
      <c r="BA122" s="225">
        <f>IF($AZ122=1,SUM($AZ$6:$AZ122),"")</f>
      </c>
      <c r="BB122" s="225">
        <f>IF(OR($AO122=0,N($AW122)=0),0,IF(TDBC&lt;=$AW122,0,MAX(1,MIN(4,IF((TDBC-$AW122)*24&lt;24,1,IF((TDBC-$AW122)*24&lt;72,2,IF((TDBC-$AW122)*24&lt;168,3,4)))+IF($B122="Đột xuất",IFERROR(INDEX({2,1,0,-1},MATCH($L122,{"Khẩn cấp","Cao","Trung bình","Thấp"},0)),0),IF($D122="PCCC và an ninh",1,0))))))</f>
      </c>
    </row>
    <row r="123">
      <c r="A123" s="216"/>
      <c r="B123" s="216"/>
      <c r="C123" s="218"/>
      <c r="D123" s="218"/>
      <c r="E123" s="218"/>
      <c r="F123" s="216"/>
      <c r="G123" s="218"/>
      <c r="H123" s="218"/>
      <c r="I123" s="231"/>
      <c r="J123" s="217"/>
      <c r="K123" s="217"/>
      <c r="L123" s="216"/>
      <c r="M123" s="216"/>
      <c r="N123" s="218"/>
      <c r="O123" s="218"/>
      <c r="P123" s="218"/>
      <c r="Q123" s="218"/>
      <c r="R123" s="219"/>
      <c r="S123" s="216"/>
      <c r="T123" s="232"/>
      <c r="U123" s="232"/>
      <c r="V123" s="218"/>
      <c r="W123" s="218"/>
      <c r="X123" s="220">
        <f>IF($A123="","",IF(OR($B123="Định kỳ",$AA123="Hoàn thành"),MAX(_xlfn.MAXIFS('Nhật ký tiến độ'!$B$6:$B$3005,'Nhật ký tiến độ'!$C$6:$C$3005,$A123,'Nhật ký tiến độ'!$E$6:$E$3005,"Hoàn thành kỳ"),_xlfn.MAXIFS('Nhật ký tiến độ'!$B$6:$B$3005,'Nhật ký tiến độ'!$C$6:$C$3005,$A123,'Nhật ký tiến độ'!$E$6:$E$3005,"Hoàn thành")),0))</f>
      </c>
      <c r="Y123" s="220">
        <f>IF($A123="","",IF($B123="Đột xuất",IF($AY123=0,"",$AY123),IF($AX123=0,"",$AX123)))</f>
      </c>
      <c r="Z123" s="223">
        <f>IF(OR($AO123=0,$AW123=0),"",IF(TDBC&gt;$AW123,"Quá "&amp;IF($B123="Định kỳ",(NgayBC-$AP123)&amp;" ngày",IF(((TDBC-$AW123)*24)&lt;1,MAX(1,ROUND(((TDBC-$AW123)*24)*60,0))&amp;" phút",IF(ROUND(((TDBC-$AW123)*24),0)&lt;24,ROUND(((TDBC-$AW123)*24),0)&amp;" giờ",INT(ROUND(((TDBC-$AW123)*24),0)/24)&amp;" ngày"&amp;IF(MOD(ROUND(((TDBC-$AW123)*24),0),24)&gt;0," "&amp;MOD(ROUND(((TDBC-$AW123)*24),0),24)&amp;" giờ","")))),IF($B123="Định kỳ",IF($AP123=NgayBC,"Hôm nay","Còn "&amp;($AP123-NgayBC)&amp;" ngày"),"Còn "&amp;IF((($AW123-TDBC)*24)&lt;1,MAX(1,ROUND((($AW123-TDBC)*24)*60,0))&amp;" phút",IF(ROUND((($AW123-TDBC)*24),0)&lt;24,ROUND((($AW123-TDBC)*24),0)&amp;" giờ",INT(ROUND((($AW123-TDBC)*24),0)/24)&amp;" ngày"&amp;IF(MOD(ROUND((($AW123-TDBC)*24),0),24)&gt;0," "&amp;MOD(ROUND((($AW123-TDBC)*24),0),24)&amp;" giờ",""))))))</f>
      </c>
      <c r="AA123" s="221">
        <f>IF($A123="","",IF(N($AM123)=0,"Chưa bắt đầu",IF(OR($AN123="Hoàn thành kỳ",$AN123="Hoàn thành"),IF($B123="Định kỳ","Chưa bắt đầu","Hoàn thành"),$AN123)))</f>
      </c>
      <c r="AB123" s="222">
        <f>IF($A123="","",IF($AA123="Hoàn thành",1,IF(OR(N($AM123)=0,$AN123="Hoàn thành kỳ",$AN123="Hoàn thành"),0,N(INDEX('Nhật ký tiến độ'!$D:$D,$AM123)))))</f>
      </c>
      <c r="AC123" s="222">
        <f>IF(OR($A123="",$B123&lt;&gt;"Đột xuất",$AA123="Hoàn thành",N($J123)=0,$AW123=0),"",IF(TDBC&lt;=$J123,0,IF(TDBC&gt;=$AW123,1,(TDBC-$J123)/($AW123-$J123))))</f>
      </c>
      <c r="AD123" s="223">
        <f>IF($A123="","",IF($AA123="Hoàn thành","Hoàn thành",IF($AW123=0,"Chưa đặt hạn",IF(TDBC&gt;$AW123,"Quá hạn",IF(AND($B123="Đột xuất",ROUND((N($AC123)-$AB123)*100,0)&gt;=20),"Chậm tiến độ",IF($AP123=NgayBC,"Đến hạn hôm nay",IF($B123="Đột xuất",IF($AW123-TDBC&lt;=1,"Sắp đến hạn","Đúng tiến độ"),IF($AP123-NgayBC&lt;=3,"Sắp đến hạn","Theo lịch"))))))))</f>
      </c>
      <c r="AE123" s="223">
        <f>IF($AV123="","",IF($B123="Định kỳ","Bình quân "&amp;IF($AV123&lt;1,MAX(1,ROUND($AV123*60,0))&amp;" phút",IF(ROUND($AV123,0)&lt;24,ROUND($AV123,0)&amp;" giờ",INT(ROUND($AV123,0)/24)&amp;" ngày"&amp;IF(MOD(ROUND($AV123,0),24)&gt;0," "&amp;MOD(ROUND($AV123,0),24)&amp;" giờ","")))&amp;" mỗi kỳ",IF($AV123&lt;1,MAX(1,ROUND($AV123*60,0))&amp;" phút",IF(ROUND($AV123,0)&lt;24,ROUND($AV123,0)&amp;" giờ",INT(ROUND($AV123,0)/24)&amp;" ngày"&amp;IF(MOD(ROUND($AV123,0),24)&gt;0," "&amp;MOD(ROUND($AV123,0),24)&amp;" giờ","")))))</f>
      </c>
      <c r="AF123" s="223">
        <f>IF(OR($A123="",N($AU123)=0),"",IF($AV123&lt;&gt;"",IF($AV123&lt;=$AU123,"Trong ước tính","Vượt "&amp;IF(($AV123-$AU123)&lt;1,MAX(1,ROUND(($AV123-$AU123)*60,0))&amp;" phút",IF(ROUND(($AV123-$AU123),0)&lt;24,ROUND(($AV123-$AU123),0)&amp;" giờ",INT(ROUND(($AV123-$AU123),0)/24)&amp;" ngày"&amp;IF(MOD(ROUND(($AV123-$AU123),0),24)&gt;0," "&amp;MOD(ROUND(($AV123-$AU123),0),24)&amp;" giờ","")))),IF(OR($B123&lt;&gt;"Đột xuất",$AA123="Hoàn thành",N($J123)=0),"",IF((TDBC-$J123)*24&gt;$AU123,"Đã vượt ước tính","Đã dùng "&amp;TEXT((TDBC-$J123)*24/$AU123,"0%")))))</f>
      </c>
      <c r="AG123" s="223">
        <f>IF(N($BB123)=0,"",CHOOSE($BB123,"Nhắc nhở","Cảnh báo","Báo động","Báo động đỏ"))</f>
      </c>
      <c r="AH123" s="223">
        <f>IF(OR($B123&lt;&gt;"Đột xuất",$AA123&lt;&gt;"Hoàn thành",N($X123)=0,$AW123=0),"",IF($X123&lt;=$AW123,"Đúng hạn","Trễ hạn"))</f>
      </c>
      <c r="AI123" s="220">
        <f>IF($A123="","",_xlfn.MAXIFS('Nhật ký tiến độ'!$B$6:$B$3005,'Nhật ký tiến độ'!$C$6:$C$3005,$A123))</f>
      </c>
      <c r="AJ123" s="225">
        <f>IF(OR($A123="",$B123&lt;&gt;"Định kỳ"),0,IFERROR(INDEX(DM_TanSuatNgay,MATCH($H123,DM_TanSuat,0)),0))</f>
      </c>
      <c r="AK123" s="225">
        <f>IF(OR($A123="",$B123&lt;&gt;"Định kỳ"),0,IFERROR(INDEX(DM_TanSuatThang,MATCH($H123,DM_TanSuat,0)),0))</f>
      </c>
      <c r="AL123" s="225">
        <f>IF(OR($A123="",$B123&lt;&gt;"Định kỳ",N($X123)=0,N($I123)=0),"",IF(INT($X123)&lt;$I123,0,IF($AJ123&gt;0,ROUND((INT($X123)-$I123)/$AJ123,0),IF($AK123&gt;0,ROUND((DATEDIF($I123,INT($X123),"m")+(INT($X123)-EDATE($I123,DATEDIF($I123,INT($X123),"m")))/(EDATE($I123,DATEDIF($I123,INT($X123),"m")+1)-EDATE($I123,DATEDIF($I123,INT($X123),"m"))))/$AK123,0),0))))</f>
      </c>
      <c r="AM123" s="225">
        <f>IF($A123="","",IF(COUNTIF('Nhật ký tiến độ'!$C$6:$C$3005,$A123)=0,0,_xlfn.MAXIFS('Nhật ký tiến độ'!$N$6:$N$3005,'Nhật ký tiến độ'!$C$6:$C$3005,$A123,'Nhật ký tiến độ'!$B$6:$B$3005,_xlfn.MAXIFS('Nhật ký tiến độ'!$B$6:$B$3005,'Nhật ký tiến độ'!$C$6:$C$3005,$A123))))</f>
      </c>
      <c r="AN123" s="225">
        <f>IF($A123="","",IF(N($AM123)=0,"",INDEX('Nhật ký tiến độ'!$E:$E,$AM123)))</f>
      </c>
      <c r="AO123" s="225">
        <f>IF($A123="",0,IF($AA123="Hoàn thành",0,1))</f>
      </c>
      <c r="AP123" s="225">
        <f>IF($AO123=0,0,INT(N($AW123)))</f>
      </c>
      <c r="AQ123" s="225">
        <f>IF(AND($AO123=1,$AJ123&gt;1),$AJ123,0)</f>
      </c>
      <c r="AR123" s="225">
        <f>IF(AND($AO123=1,$AJ123=1),1,0)</f>
      </c>
      <c r="AS123" s="225">
        <f>IF(OR($AO123=0,AND($AR123=1,N($BB123)=0)),"",IF(N($BB123)&gt;0,5-$BB123,IF($AD123="Chậm tiến độ",6,IF($AD123="Đến hạn hôm nay",7,IF(AND($AP123&gt;0,$AP123-NgayBC&lt;=7),8,"")))))</f>
      </c>
      <c r="AT123" s="225">
        <f>IF($AS123="","",$AS123*100000+$AP123+ROW()/100000)</f>
      </c>
      <c r="AU123" s="224">
        <f>IF(OR($A123="",N($R123)&lt;=0),"",IF($S123="Ngày",$R123*24,$R123))</f>
      </c>
      <c r="AV123" s="224">
        <f>IF($A123="","",IF($B123="Đột xuất",IF(OR($AA123&lt;&gt;"Hoàn thành",N($X123)=0,N($J123)=0),"",IF($X123&lt;$J123,"",($X123-$J123)*24)),IFERROR(AVERAGEIFS('Nhật ký tiến độ'!$H$6:$H$3005,'Nhật ký tiến độ'!$C$6:$C$3005,$A123,'Nhật ký tiến độ'!$H$6:$H$3005,"&gt;0"),"")))</f>
      </c>
      <c r="AW123" s="233">
        <f>IF($A123="",0,IF($B123="Đột xuất",$AY123,IF($AX123=0,0,$AX123+1-1/1440)))</f>
      </c>
      <c r="AX123" s="234">
        <f>IF(OR($A123="",$B123&lt;&gt;"Định kỳ",N($I123)=0),0,IF($AL123="",$I123,IF($AJ123&gt;0,$I123+($AL123+1)*$AJ123,IF($AK123&gt;0,EDATE($I123,($AL123+1)*$AK123),$I123))))</f>
      </c>
      <c r="AY123" s="233">
        <f>IF(OR($A123="",$B123&lt;&gt;"Đột xuất"),0,IF(N($K123)&gt;0,IF(MOD($K123,1)=0,$K123+1-1/1440,$K123),IF(N($J123)=0,0,$J123+IF(N($AU123)&gt;0,$AU123,IFERROR(INDEX(DM_SLA_Gio,MATCH($L123,DM_SLA_Cap,0)),168))/24)))</f>
      </c>
      <c r="AZ123" s="225">
        <f>IF(OR($A123="",TRIM($N123)="",COUNTIF('Phản ánh'!$K$6:$K$505,$N123)&gt;0,COUNTIF($N$6:$N123,$N123)&gt;1),0,1)</f>
      </c>
      <c r="BA123" s="225">
        <f>IF($AZ123=1,SUM($AZ$6:$AZ123),"")</f>
      </c>
      <c r="BB123" s="225">
        <f>IF(OR($AO123=0,N($AW123)=0),0,IF(TDBC&lt;=$AW123,0,MAX(1,MIN(4,IF((TDBC-$AW123)*24&lt;24,1,IF((TDBC-$AW123)*24&lt;72,2,IF((TDBC-$AW123)*24&lt;168,3,4)))+IF($B123="Đột xuất",IFERROR(INDEX({2,1,0,-1},MATCH($L123,{"Khẩn cấp","Cao","Trung bình","Thấp"},0)),0),IF($D123="PCCC và an ninh",1,0))))))</f>
      </c>
    </row>
    <row r="124">
      <c r="A124" s="216"/>
      <c r="B124" s="216"/>
      <c r="C124" s="218"/>
      <c r="D124" s="218"/>
      <c r="E124" s="218"/>
      <c r="F124" s="216"/>
      <c r="G124" s="218"/>
      <c r="H124" s="218"/>
      <c r="I124" s="231"/>
      <c r="J124" s="217"/>
      <c r="K124" s="217"/>
      <c r="L124" s="216"/>
      <c r="M124" s="216"/>
      <c r="N124" s="218"/>
      <c r="O124" s="218"/>
      <c r="P124" s="218"/>
      <c r="Q124" s="218"/>
      <c r="R124" s="219"/>
      <c r="S124" s="216"/>
      <c r="T124" s="232"/>
      <c r="U124" s="232"/>
      <c r="V124" s="218"/>
      <c r="W124" s="218"/>
      <c r="X124" s="220">
        <f>IF($A124="","",IF(OR($B124="Định kỳ",$AA124="Hoàn thành"),MAX(_xlfn.MAXIFS('Nhật ký tiến độ'!$B$6:$B$3005,'Nhật ký tiến độ'!$C$6:$C$3005,$A124,'Nhật ký tiến độ'!$E$6:$E$3005,"Hoàn thành kỳ"),_xlfn.MAXIFS('Nhật ký tiến độ'!$B$6:$B$3005,'Nhật ký tiến độ'!$C$6:$C$3005,$A124,'Nhật ký tiến độ'!$E$6:$E$3005,"Hoàn thành")),0))</f>
      </c>
      <c r="Y124" s="220">
        <f>IF($A124="","",IF($B124="Đột xuất",IF($AY124=0,"",$AY124),IF($AX124=0,"",$AX124)))</f>
      </c>
      <c r="Z124" s="223">
        <f>IF(OR($AO124=0,$AW124=0),"",IF(TDBC&gt;$AW124,"Quá "&amp;IF($B124="Định kỳ",(NgayBC-$AP124)&amp;" ngày",IF(((TDBC-$AW124)*24)&lt;1,MAX(1,ROUND(((TDBC-$AW124)*24)*60,0))&amp;" phút",IF(ROUND(((TDBC-$AW124)*24),0)&lt;24,ROUND(((TDBC-$AW124)*24),0)&amp;" giờ",INT(ROUND(((TDBC-$AW124)*24),0)/24)&amp;" ngày"&amp;IF(MOD(ROUND(((TDBC-$AW124)*24),0),24)&gt;0," "&amp;MOD(ROUND(((TDBC-$AW124)*24),0),24)&amp;" giờ","")))),IF($B124="Định kỳ",IF($AP124=NgayBC,"Hôm nay","Còn "&amp;($AP124-NgayBC)&amp;" ngày"),"Còn "&amp;IF((($AW124-TDBC)*24)&lt;1,MAX(1,ROUND((($AW124-TDBC)*24)*60,0))&amp;" phút",IF(ROUND((($AW124-TDBC)*24),0)&lt;24,ROUND((($AW124-TDBC)*24),0)&amp;" giờ",INT(ROUND((($AW124-TDBC)*24),0)/24)&amp;" ngày"&amp;IF(MOD(ROUND((($AW124-TDBC)*24),0),24)&gt;0," "&amp;MOD(ROUND((($AW124-TDBC)*24),0),24)&amp;" giờ",""))))))</f>
      </c>
      <c r="AA124" s="221">
        <f>IF($A124="","",IF(N($AM124)=0,"Chưa bắt đầu",IF(OR($AN124="Hoàn thành kỳ",$AN124="Hoàn thành"),IF($B124="Định kỳ","Chưa bắt đầu","Hoàn thành"),$AN124)))</f>
      </c>
      <c r="AB124" s="222">
        <f>IF($A124="","",IF($AA124="Hoàn thành",1,IF(OR(N($AM124)=0,$AN124="Hoàn thành kỳ",$AN124="Hoàn thành"),0,N(INDEX('Nhật ký tiến độ'!$D:$D,$AM124)))))</f>
      </c>
      <c r="AC124" s="222">
        <f>IF(OR($A124="",$B124&lt;&gt;"Đột xuất",$AA124="Hoàn thành",N($J124)=0,$AW124=0),"",IF(TDBC&lt;=$J124,0,IF(TDBC&gt;=$AW124,1,(TDBC-$J124)/($AW124-$J124))))</f>
      </c>
      <c r="AD124" s="223">
        <f>IF($A124="","",IF($AA124="Hoàn thành","Hoàn thành",IF($AW124=0,"Chưa đặt hạn",IF(TDBC&gt;$AW124,"Quá hạn",IF(AND($B124="Đột xuất",ROUND((N($AC124)-$AB124)*100,0)&gt;=20),"Chậm tiến độ",IF($AP124=NgayBC,"Đến hạn hôm nay",IF($B124="Đột xuất",IF($AW124-TDBC&lt;=1,"Sắp đến hạn","Đúng tiến độ"),IF($AP124-NgayBC&lt;=3,"Sắp đến hạn","Theo lịch"))))))))</f>
      </c>
      <c r="AE124" s="223">
        <f>IF($AV124="","",IF($B124="Định kỳ","Bình quân "&amp;IF($AV124&lt;1,MAX(1,ROUND($AV124*60,0))&amp;" phút",IF(ROUND($AV124,0)&lt;24,ROUND($AV124,0)&amp;" giờ",INT(ROUND($AV124,0)/24)&amp;" ngày"&amp;IF(MOD(ROUND($AV124,0),24)&gt;0," "&amp;MOD(ROUND($AV124,0),24)&amp;" giờ","")))&amp;" mỗi kỳ",IF($AV124&lt;1,MAX(1,ROUND($AV124*60,0))&amp;" phút",IF(ROUND($AV124,0)&lt;24,ROUND($AV124,0)&amp;" giờ",INT(ROUND($AV124,0)/24)&amp;" ngày"&amp;IF(MOD(ROUND($AV124,0),24)&gt;0," "&amp;MOD(ROUND($AV124,0),24)&amp;" giờ","")))))</f>
      </c>
      <c r="AF124" s="223">
        <f>IF(OR($A124="",N($AU124)=0),"",IF($AV124&lt;&gt;"",IF($AV124&lt;=$AU124,"Trong ước tính","Vượt "&amp;IF(($AV124-$AU124)&lt;1,MAX(1,ROUND(($AV124-$AU124)*60,0))&amp;" phút",IF(ROUND(($AV124-$AU124),0)&lt;24,ROUND(($AV124-$AU124),0)&amp;" giờ",INT(ROUND(($AV124-$AU124),0)/24)&amp;" ngày"&amp;IF(MOD(ROUND(($AV124-$AU124),0),24)&gt;0," "&amp;MOD(ROUND(($AV124-$AU124),0),24)&amp;" giờ","")))),IF(OR($B124&lt;&gt;"Đột xuất",$AA124="Hoàn thành",N($J124)=0),"",IF((TDBC-$J124)*24&gt;$AU124,"Đã vượt ước tính","Đã dùng "&amp;TEXT((TDBC-$J124)*24/$AU124,"0%")))))</f>
      </c>
      <c r="AG124" s="223">
        <f>IF(N($BB124)=0,"",CHOOSE($BB124,"Nhắc nhở","Cảnh báo","Báo động","Báo động đỏ"))</f>
      </c>
      <c r="AH124" s="223">
        <f>IF(OR($B124&lt;&gt;"Đột xuất",$AA124&lt;&gt;"Hoàn thành",N($X124)=0,$AW124=0),"",IF($X124&lt;=$AW124,"Đúng hạn","Trễ hạn"))</f>
      </c>
      <c r="AI124" s="220">
        <f>IF($A124="","",_xlfn.MAXIFS('Nhật ký tiến độ'!$B$6:$B$3005,'Nhật ký tiến độ'!$C$6:$C$3005,$A124))</f>
      </c>
      <c r="AJ124" s="225">
        <f>IF(OR($A124="",$B124&lt;&gt;"Định kỳ"),0,IFERROR(INDEX(DM_TanSuatNgay,MATCH($H124,DM_TanSuat,0)),0))</f>
      </c>
      <c r="AK124" s="225">
        <f>IF(OR($A124="",$B124&lt;&gt;"Định kỳ"),0,IFERROR(INDEX(DM_TanSuatThang,MATCH($H124,DM_TanSuat,0)),0))</f>
      </c>
      <c r="AL124" s="225">
        <f>IF(OR($A124="",$B124&lt;&gt;"Định kỳ",N($X124)=0,N($I124)=0),"",IF(INT($X124)&lt;$I124,0,IF($AJ124&gt;0,ROUND((INT($X124)-$I124)/$AJ124,0),IF($AK124&gt;0,ROUND((DATEDIF($I124,INT($X124),"m")+(INT($X124)-EDATE($I124,DATEDIF($I124,INT($X124),"m")))/(EDATE($I124,DATEDIF($I124,INT($X124),"m")+1)-EDATE($I124,DATEDIF($I124,INT($X124),"m"))))/$AK124,0),0))))</f>
      </c>
      <c r="AM124" s="225">
        <f>IF($A124="","",IF(COUNTIF('Nhật ký tiến độ'!$C$6:$C$3005,$A124)=0,0,_xlfn.MAXIFS('Nhật ký tiến độ'!$N$6:$N$3005,'Nhật ký tiến độ'!$C$6:$C$3005,$A124,'Nhật ký tiến độ'!$B$6:$B$3005,_xlfn.MAXIFS('Nhật ký tiến độ'!$B$6:$B$3005,'Nhật ký tiến độ'!$C$6:$C$3005,$A124))))</f>
      </c>
      <c r="AN124" s="225">
        <f>IF($A124="","",IF(N($AM124)=0,"",INDEX('Nhật ký tiến độ'!$E:$E,$AM124)))</f>
      </c>
      <c r="AO124" s="225">
        <f>IF($A124="",0,IF($AA124="Hoàn thành",0,1))</f>
      </c>
      <c r="AP124" s="225">
        <f>IF($AO124=0,0,INT(N($AW124)))</f>
      </c>
      <c r="AQ124" s="225">
        <f>IF(AND($AO124=1,$AJ124&gt;1),$AJ124,0)</f>
      </c>
      <c r="AR124" s="225">
        <f>IF(AND($AO124=1,$AJ124=1),1,0)</f>
      </c>
      <c r="AS124" s="225">
        <f>IF(OR($AO124=0,AND($AR124=1,N($BB124)=0)),"",IF(N($BB124)&gt;0,5-$BB124,IF($AD124="Chậm tiến độ",6,IF($AD124="Đến hạn hôm nay",7,IF(AND($AP124&gt;0,$AP124-NgayBC&lt;=7),8,"")))))</f>
      </c>
      <c r="AT124" s="225">
        <f>IF($AS124="","",$AS124*100000+$AP124+ROW()/100000)</f>
      </c>
      <c r="AU124" s="224">
        <f>IF(OR($A124="",N($R124)&lt;=0),"",IF($S124="Ngày",$R124*24,$R124))</f>
      </c>
      <c r="AV124" s="224">
        <f>IF($A124="","",IF($B124="Đột xuất",IF(OR($AA124&lt;&gt;"Hoàn thành",N($X124)=0,N($J124)=0),"",IF($X124&lt;$J124,"",($X124-$J124)*24)),IFERROR(AVERAGEIFS('Nhật ký tiến độ'!$H$6:$H$3005,'Nhật ký tiến độ'!$C$6:$C$3005,$A124,'Nhật ký tiến độ'!$H$6:$H$3005,"&gt;0"),"")))</f>
      </c>
      <c r="AW124" s="233">
        <f>IF($A124="",0,IF($B124="Đột xuất",$AY124,IF($AX124=0,0,$AX124+1-1/1440)))</f>
      </c>
      <c r="AX124" s="234">
        <f>IF(OR($A124="",$B124&lt;&gt;"Định kỳ",N($I124)=0),0,IF($AL124="",$I124,IF($AJ124&gt;0,$I124+($AL124+1)*$AJ124,IF($AK124&gt;0,EDATE($I124,($AL124+1)*$AK124),$I124))))</f>
      </c>
      <c r="AY124" s="233">
        <f>IF(OR($A124="",$B124&lt;&gt;"Đột xuất"),0,IF(N($K124)&gt;0,IF(MOD($K124,1)=0,$K124+1-1/1440,$K124),IF(N($J124)=0,0,$J124+IF(N($AU124)&gt;0,$AU124,IFERROR(INDEX(DM_SLA_Gio,MATCH($L124,DM_SLA_Cap,0)),168))/24)))</f>
      </c>
      <c r="AZ124" s="225">
        <f>IF(OR($A124="",TRIM($N124)="",COUNTIF('Phản ánh'!$K$6:$K$505,$N124)&gt;0,COUNTIF($N$6:$N124,$N124)&gt;1),0,1)</f>
      </c>
      <c r="BA124" s="225">
        <f>IF($AZ124=1,SUM($AZ$6:$AZ124),"")</f>
      </c>
      <c r="BB124" s="225">
        <f>IF(OR($AO124=0,N($AW124)=0),0,IF(TDBC&lt;=$AW124,0,MAX(1,MIN(4,IF((TDBC-$AW124)*24&lt;24,1,IF((TDBC-$AW124)*24&lt;72,2,IF((TDBC-$AW124)*24&lt;168,3,4)))+IF($B124="Đột xuất",IFERROR(INDEX({2,1,0,-1},MATCH($L124,{"Khẩn cấp","Cao","Trung bình","Thấp"},0)),0),IF($D124="PCCC và an ninh",1,0))))))</f>
      </c>
    </row>
    <row r="125">
      <c r="A125" s="216"/>
      <c r="B125" s="216"/>
      <c r="C125" s="218"/>
      <c r="D125" s="218"/>
      <c r="E125" s="218"/>
      <c r="F125" s="216"/>
      <c r="G125" s="218"/>
      <c r="H125" s="218"/>
      <c r="I125" s="231"/>
      <c r="J125" s="217"/>
      <c r="K125" s="217"/>
      <c r="L125" s="216"/>
      <c r="M125" s="216"/>
      <c r="N125" s="218"/>
      <c r="O125" s="218"/>
      <c r="P125" s="218"/>
      <c r="Q125" s="218"/>
      <c r="R125" s="219"/>
      <c r="S125" s="216"/>
      <c r="T125" s="232"/>
      <c r="U125" s="232"/>
      <c r="V125" s="218"/>
      <c r="W125" s="218"/>
      <c r="X125" s="220">
        <f>IF($A125="","",IF(OR($B125="Định kỳ",$AA125="Hoàn thành"),MAX(_xlfn.MAXIFS('Nhật ký tiến độ'!$B$6:$B$3005,'Nhật ký tiến độ'!$C$6:$C$3005,$A125,'Nhật ký tiến độ'!$E$6:$E$3005,"Hoàn thành kỳ"),_xlfn.MAXIFS('Nhật ký tiến độ'!$B$6:$B$3005,'Nhật ký tiến độ'!$C$6:$C$3005,$A125,'Nhật ký tiến độ'!$E$6:$E$3005,"Hoàn thành")),0))</f>
      </c>
      <c r="Y125" s="220">
        <f>IF($A125="","",IF($B125="Đột xuất",IF($AY125=0,"",$AY125),IF($AX125=0,"",$AX125)))</f>
      </c>
      <c r="Z125" s="223">
        <f>IF(OR($AO125=0,$AW125=0),"",IF(TDBC&gt;$AW125,"Quá "&amp;IF($B125="Định kỳ",(NgayBC-$AP125)&amp;" ngày",IF(((TDBC-$AW125)*24)&lt;1,MAX(1,ROUND(((TDBC-$AW125)*24)*60,0))&amp;" phút",IF(ROUND(((TDBC-$AW125)*24),0)&lt;24,ROUND(((TDBC-$AW125)*24),0)&amp;" giờ",INT(ROUND(((TDBC-$AW125)*24),0)/24)&amp;" ngày"&amp;IF(MOD(ROUND(((TDBC-$AW125)*24),0),24)&gt;0," "&amp;MOD(ROUND(((TDBC-$AW125)*24),0),24)&amp;" giờ","")))),IF($B125="Định kỳ",IF($AP125=NgayBC,"Hôm nay","Còn "&amp;($AP125-NgayBC)&amp;" ngày"),"Còn "&amp;IF((($AW125-TDBC)*24)&lt;1,MAX(1,ROUND((($AW125-TDBC)*24)*60,0))&amp;" phút",IF(ROUND((($AW125-TDBC)*24),0)&lt;24,ROUND((($AW125-TDBC)*24),0)&amp;" giờ",INT(ROUND((($AW125-TDBC)*24),0)/24)&amp;" ngày"&amp;IF(MOD(ROUND((($AW125-TDBC)*24),0),24)&gt;0," "&amp;MOD(ROUND((($AW125-TDBC)*24),0),24)&amp;" giờ",""))))))</f>
      </c>
      <c r="AA125" s="221">
        <f>IF($A125="","",IF(N($AM125)=0,"Chưa bắt đầu",IF(OR($AN125="Hoàn thành kỳ",$AN125="Hoàn thành"),IF($B125="Định kỳ","Chưa bắt đầu","Hoàn thành"),$AN125)))</f>
      </c>
      <c r="AB125" s="222">
        <f>IF($A125="","",IF($AA125="Hoàn thành",1,IF(OR(N($AM125)=0,$AN125="Hoàn thành kỳ",$AN125="Hoàn thành"),0,N(INDEX('Nhật ký tiến độ'!$D:$D,$AM125)))))</f>
      </c>
      <c r="AC125" s="222">
        <f>IF(OR($A125="",$B125&lt;&gt;"Đột xuất",$AA125="Hoàn thành",N($J125)=0,$AW125=0),"",IF(TDBC&lt;=$J125,0,IF(TDBC&gt;=$AW125,1,(TDBC-$J125)/($AW125-$J125))))</f>
      </c>
      <c r="AD125" s="223">
        <f>IF($A125="","",IF($AA125="Hoàn thành","Hoàn thành",IF($AW125=0,"Chưa đặt hạn",IF(TDBC&gt;$AW125,"Quá hạn",IF(AND($B125="Đột xuất",ROUND((N($AC125)-$AB125)*100,0)&gt;=20),"Chậm tiến độ",IF($AP125=NgayBC,"Đến hạn hôm nay",IF($B125="Đột xuất",IF($AW125-TDBC&lt;=1,"Sắp đến hạn","Đúng tiến độ"),IF($AP125-NgayBC&lt;=3,"Sắp đến hạn","Theo lịch"))))))))</f>
      </c>
      <c r="AE125" s="223">
        <f>IF($AV125="","",IF($B125="Định kỳ","Bình quân "&amp;IF($AV125&lt;1,MAX(1,ROUND($AV125*60,0))&amp;" phút",IF(ROUND($AV125,0)&lt;24,ROUND($AV125,0)&amp;" giờ",INT(ROUND($AV125,0)/24)&amp;" ngày"&amp;IF(MOD(ROUND($AV125,0),24)&gt;0," "&amp;MOD(ROUND($AV125,0),24)&amp;" giờ","")))&amp;" mỗi kỳ",IF($AV125&lt;1,MAX(1,ROUND($AV125*60,0))&amp;" phút",IF(ROUND($AV125,0)&lt;24,ROUND($AV125,0)&amp;" giờ",INT(ROUND($AV125,0)/24)&amp;" ngày"&amp;IF(MOD(ROUND($AV125,0),24)&gt;0," "&amp;MOD(ROUND($AV125,0),24)&amp;" giờ","")))))</f>
      </c>
      <c r="AF125" s="223">
        <f>IF(OR($A125="",N($AU125)=0),"",IF($AV125&lt;&gt;"",IF($AV125&lt;=$AU125,"Trong ước tính","Vượt "&amp;IF(($AV125-$AU125)&lt;1,MAX(1,ROUND(($AV125-$AU125)*60,0))&amp;" phút",IF(ROUND(($AV125-$AU125),0)&lt;24,ROUND(($AV125-$AU125),0)&amp;" giờ",INT(ROUND(($AV125-$AU125),0)/24)&amp;" ngày"&amp;IF(MOD(ROUND(($AV125-$AU125),0),24)&gt;0," "&amp;MOD(ROUND(($AV125-$AU125),0),24)&amp;" giờ","")))),IF(OR($B125&lt;&gt;"Đột xuất",$AA125="Hoàn thành",N($J125)=0),"",IF((TDBC-$J125)*24&gt;$AU125,"Đã vượt ước tính","Đã dùng "&amp;TEXT((TDBC-$J125)*24/$AU125,"0%")))))</f>
      </c>
      <c r="AG125" s="223">
        <f>IF(N($BB125)=0,"",CHOOSE($BB125,"Nhắc nhở","Cảnh báo","Báo động","Báo động đỏ"))</f>
      </c>
      <c r="AH125" s="223">
        <f>IF(OR($B125&lt;&gt;"Đột xuất",$AA125&lt;&gt;"Hoàn thành",N($X125)=0,$AW125=0),"",IF($X125&lt;=$AW125,"Đúng hạn","Trễ hạn"))</f>
      </c>
      <c r="AI125" s="220">
        <f>IF($A125="","",_xlfn.MAXIFS('Nhật ký tiến độ'!$B$6:$B$3005,'Nhật ký tiến độ'!$C$6:$C$3005,$A125))</f>
      </c>
      <c r="AJ125" s="225">
        <f>IF(OR($A125="",$B125&lt;&gt;"Định kỳ"),0,IFERROR(INDEX(DM_TanSuatNgay,MATCH($H125,DM_TanSuat,0)),0))</f>
      </c>
      <c r="AK125" s="225">
        <f>IF(OR($A125="",$B125&lt;&gt;"Định kỳ"),0,IFERROR(INDEX(DM_TanSuatThang,MATCH($H125,DM_TanSuat,0)),0))</f>
      </c>
      <c r="AL125" s="225">
        <f>IF(OR($A125="",$B125&lt;&gt;"Định kỳ",N($X125)=0,N($I125)=0),"",IF(INT($X125)&lt;$I125,0,IF($AJ125&gt;0,ROUND((INT($X125)-$I125)/$AJ125,0),IF($AK125&gt;0,ROUND((DATEDIF($I125,INT($X125),"m")+(INT($X125)-EDATE($I125,DATEDIF($I125,INT($X125),"m")))/(EDATE($I125,DATEDIF($I125,INT($X125),"m")+1)-EDATE($I125,DATEDIF($I125,INT($X125),"m"))))/$AK125,0),0))))</f>
      </c>
      <c r="AM125" s="225">
        <f>IF($A125="","",IF(COUNTIF('Nhật ký tiến độ'!$C$6:$C$3005,$A125)=0,0,_xlfn.MAXIFS('Nhật ký tiến độ'!$N$6:$N$3005,'Nhật ký tiến độ'!$C$6:$C$3005,$A125,'Nhật ký tiến độ'!$B$6:$B$3005,_xlfn.MAXIFS('Nhật ký tiến độ'!$B$6:$B$3005,'Nhật ký tiến độ'!$C$6:$C$3005,$A125))))</f>
      </c>
      <c r="AN125" s="225">
        <f>IF($A125="","",IF(N($AM125)=0,"",INDEX('Nhật ký tiến độ'!$E:$E,$AM125)))</f>
      </c>
      <c r="AO125" s="225">
        <f>IF($A125="",0,IF($AA125="Hoàn thành",0,1))</f>
      </c>
      <c r="AP125" s="225">
        <f>IF($AO125=0,0,INT(N($AW125)))</f>
      </c>
      <c r="AQ125" s="225">
        <f>IF(AND($AO125=1,$AJ125&gt;1),$AJ125,0)</f>
      </c>
      <c r="AR125" s="225">
        <f>IF(AND($AO125=1,$AJ125=1),1,0)</f>
      </c>
      <c r="AS125" s="225">
        <f>IF(OR($AO125=0,AND($AR125=1,N($BB125)=0)),"",IF(N($BB125)&gt;0,5-$BB125,IF($AD125="Chậm tiến độ",6,IF($AD125="Đến hạn hôm nay",7,IF(AND($AP125&gt;0,$AP125-NgayBC&lt;=7),8,"")))))</f>
      </c>
      <c r="AT125" s="225">
        <f>IF($AS125="","",$AS125*100000+$AP125+ROW()/100000)</f>
      </c>
      <c r="AU125" s="224">
        <f>IF(OR($A125="",N($R125)&lt;=0),"",IF($S125="Ngày",$R125*24,$R125))</f>
      </c>
      <c r="AV125" s="224">
        <f>IF($A125="","",IF($B125="Đột xuất",IF(OR($AA125&lt;&gt;"Hoàn thành",N($X125)=0,N($J125)=0),"",IF($X125&lt;$J125,"",($X125-$J125)*24)),IFERROR(AVERAGEIFS('Nhật ký tiến độ'!$H$6:$H$3005,'Nhật ký tiến độ'!$C$6:$C$3005,$A125,'Nhật ký tiến độ'!$H$6:$H$3005,"&gt;0"),"")))</f>
      </c>
      <c r="AW125" s="233">
        <f>IF($A125="",0,IF($B125="Đột xuất",$AY125,IF($AX125=0,0,$AX125+1-1/1440)))</f>
      </c>
      <c r="AX125" s="234">
        <f>IF(OR($A125="",$B125&lt;&gt;"Định kỳ",N($I125)=0),0,IF($AL125="",$I125,IF($AJ125&gt;0,$I125+($AL125+1)*$AJ125,IF($AK125&gt;0,EDATE($I125,($AL125+1)*$AK125),$I125))))</f>
      </c>
      <c r="AY125" s="233">
        <f>IF(OR($A125="",$B125&lt;&gt;"Đột xuất"),0,IF(N($K125)&gt;0,IF(MOD($K125,1)=0,$K125+1-1/1440,$K125),IF(N($J125)=0,0,$J125+IF(N($AU125)&gt;0,$AU125,IFERROR(INDEX(DM_SLA_Gio,MATCH($L125,DM_SLA_Cap,0)),168))/24)))</f>
      </c>
      <c r="AZ125" s="225">
        <f>IF(OR($A125="",TRIM($N125)="",COUNTIF('Phản ánh'!$K$6:$K$505,$N125)&gt;0,COUNTIF($N$6:$N125,$N125)&gt;1),0,1)</f>
      </c>
      <c r="BA125" s="225">
        <f>IF($AZ125=1,SUM($AZ$6:$AZ125),"")</f>
      </c>
      <c r="BB125" s="225">
        <f>IF(OR($AO125=0,N($AW125)=0),0,IF(TDBC&lt;=$AW125,0,MAX(1,MIN(4,IF((TDBC-$AW125)*24&lt;24,1,IF((TDBC-$AW125)*24&lt;72,2,IF((TDBC-$AW125)*24&lt;168,3,4)))+IF($B125="Đột xuất",IFERROR(INDEX({2,1,0,-1},MATCH($L125,{"Khẩn cấp","Cao","Trung bình","Thấp"},0)),0),IF($D125="PCCC và an ninh",1,0))))))</f>
      </c>
    </row>
    <row r="126">
      <c r="A126" s="216"/>
      <c r="B126" s="216"/>
      <c r="C126" s="218"/>
      <c r="D126" s="218"/>
      <c r="E126" s="218"/>
      <c r="F126" s="216"/>
      <c r="G126" s="218"/>
      <c r="H126" s="218"/>
      <c r="I126" s="231"/>
      <c r="J126" s="217"/>
      <c r="K126" s="217"/>
      <c r="L126" s="216"/>
      <c r="M126" s="216"/>
      <c r="N126" s="218"/>
      <c r="O126" s="218"/>
      <c r="P126" s="218"/>
      <c r="Q126" s="218"/>
      <c r="R126" s="219"/>
      <c r="S126" s="216"/>
      <c r="T126" s="232"/>
      <c r="U126" s="232"/>
      <c r="V126" s="218"/>
      <c r="W126" s="218"/>
      <c r="X126" s="220">
        <f>IF($A126="","",IF(OR($B126="Định kỳ",$AA126="Hoàn thành"),MAX(_xlfn.MAXIFS('Nhật ký tiến độ'!$B$6:$B$3005,'Nhật ký tiến độ'!$C$6:$C$3005,$A126,'Nhật ký tiến độ'!$E$6:$E$3005,"Hoàn thành kỳ"),_xlfn.MAXIFS('Nhật ký tiến độ'!$B$6:$B$3005,'Nhật ký tiến độ'!$C$6:$C$3005,$A126,'Nhật ký tiến độ'!$E$6:$E$3005,"Hoàn thành")),0))</f>
      </c>
      <c r="Y126" s="220">
        <f>IF($A126="","",IF($B126="Đột xuất",IF($AY126=0,"",$AY126),IF($AX126=0,"",$AX126)))</f>
      </c>
      <c r="Z126" s="223">
        <f>IF(OR($AO126=0,$AW126=0),"",IF(TDBC&gt;$AW126,"Quá "&amp;IF($B126="Định kỳ",(NgayBC-$AP126)&amp;" ngày",IF(((TDBC-$AW126)*24)&lt;1,MAX(1,ROUND(((TDBC-$AW126)*24)*60,0))&amp;" phút",IF(ROUND(((TDBC-$AW126)*24),0)&lt;24,ROUND(((TDBC-$AW126)*24),0)&amp;" giờ",INT(ROUND(((TDBC-$AW126)*24),0)/24)&amp;" ngày"&amp;IF(MOD(ROUND(((TDBC-$AW126)*24),0),24)&gt;0," "&amp;MOD(ROUND(((TDBC-$AW126)*24),0),24)&amp;" giờ","")))),IF($B126="Định kỳ",IF($AP126=NgayBC,"Hôm nay","Còn "&amp;($AP126-NgayBC)&amp;" ngày"),"Còn "&amp;IF((($AW126-TDBC)*24)&lt;1,MAX(1,ROUND((($AW126-TDBC)*24)*60,0))&amp;" phút",IF(ROUND((($AW126-TDBC)*24),0)&lt;24,ROUND((($AW126-TDBC)*24),0)&amp;" giờ",INT(ROUND((($AW126-TDBC)*24),0)/24)&amp;" ngày"&amp;IF(MOD(ROUND((($AW126-TDBC)*24),0),24)&gt;0," "&amp;MOD(ROUND((($AW126-TDBC)*24),0),24)&amp;" giờ",""))))))</f>
      </c>
      <c r="AA126" s="221">
        <f>IF($A126="","",IF(N($AM126)=0,"Chưa bắt đầu",IF(OR($AN126="Hoàn thành kỳ",$AN126="Hoàn thành"),IF($B126="Định kỳ","Chưa bắt đầu","Hoàn thành"),$AN126)))</f>
      </c>
      <c r="AB126" s="222">
        <f>IF($A126="","",IF($AA126="Hoàn thành",1,IF(OR(N($AM126)=0,$AN126="Hoàn thành kỳ",$AN126="Hoàn thành"),0,N(INDEX('Nhật ký tiến độ'!$D:$D,$AM126)))))</f>
      </c>
      <c r="AC126" s="222">
        <f>IF(OR($A126="",$B126&lt;&gt;"Đột xuất",$AA126="Hoàn thành",N($J126)=0,$AW126=0),"",IF(TDBC&lt;=$J126,0,IF(TDBC&gt;=$AW126,1,(TDBC-$J126)/($AW126-$J126))))</f>
      </c>
      <c r="AD126" s="223">
        <f>IF($A126="","",IF($AA126="Hoàn thành","Hoàn thành",IF($AW126=0,"Chưa đặt hạn",IF(TDBC&gt;$AW126,"Quá hạn",IF(AND($B126="Đột xuất",ROUND((N($AC126)-$AB126)*100,0)&gt;=20),"Chậm tiến độ",IF($AP126=NgayBC,"Đến hạn hôm nay",IF($B126="Đột xuất",IF($AW126-TDBC&lt;=1,"Sắp đến hạn","Đúng tiến độ"),IF($AP126-NgayBC&lt;=3,"Sắp đến hạn","Theo lịch"))))))))</f>
      </c>
      <c r="AE126" s="223">
        <f>IF($AV126="","",IF($B126="Định kỳ","Bình quân "&amp;IF($AV126&lt;1,MAX(1,ROUND($AV126*60,0))&amp;" phút",IF(ROUND($AV126,0)&lt;24,ROUND($AV126,0)&amp;" giờ",INT(ROUND($AV126,0)/24)&amp;" ngày"&amp;IF(MOD(ROUND($AV126,0),24)&gt;0," "&amp;MOD(ROUND($AV126,0),24)&amp;" giờ","")))&amp;" mỗi kỳ",IF($AV126&lt;1,MAX(1,ROUND($AV126*60,0))&amp;" phút",IF(ROUND($AV126,0)&lt;24,ROUND($AV126,0)&amp;" giờ",INT(ROUND($AV126,0)/24)&amp;" ngày"&amp;IF(MOD(ROUND($AV126,0),24)&gt;0," "&amp;MOD(ROUND($AV126,0),24)&amp;" giờ","")))))</f>
      </c>
      <c r="AF126" s="223">
        <f>IF(OR($A126="",N($AU126)=0),"",IF($AV126&lt;&gt;"",IF($AV126&lt;=$AU126,"Trong ước tính","Vượt "&amp;IF(($AV126-$AU126)&lt;1,MAX(1,ROUND(($AV126-$AU126)*60,0))&amp;" phút",IF(ROUND(($AV126-$AU126),0)&lt;24,ROUND(($AV126-$AU126),0)&amp;" giờ",INT(ROUND(($AV126-$AU126),0)/24)&amp;" ngày"&amp;IF(MOD(ROUND(($AV126-$AU126),0),24)&gt;0," "&amp;MOD(ROUND(($AV126-$AU126),0),24)&amp;" giờ","")))),IF(OR($B126&lt;&gt;"Đột xuất",$AA126="Hoàn thành",N($J126)=0),"",IF((TDBC-$J126)*24&gt;$AU126,"Đã vượt ước tính","Đã dùng "&amp;TEXT((TDBC-$J126)*24/$AU126,"0%")))))</f>
      </c>
      <c r="AG126" s="223">
        <f>IF(N($BB126)=0,"",CHOOSE($BB126,"Nhắc nhở","Cảnh báo","Báo động","Báo động đỏ"))</f>
      </c>
      <c r="AH126" s="223">
        <f>IF(OR($B126&lt;&gt;"Đột xuất",$AA126&lt;&gt;"Hoàn thành",N($X126)=0,$AW126=0),"",IF($X126&lt;=$AW126,"Đúng hạn","Trễ hạn"))</f>
      </c>
      <c r="AI126" s="220">
        <f>IF($A126="","",_xlfn.MAXIFS('Nhật ký tiến độ'!$B$6:$B$3005,'Nhật ký tiến độ'!$C$6:$C$3005,$A126))</f>
      </c>
      <c r="AJ126" s="225">
        <f>IF(OR($A126="",$B126&lt;&gt;"Định kỳ"),0,IFERROR(INDEX(DM_TanSuatNgay,MATCH($H126,DM_TanSuat,0)),0))</f>
      </c>
      <c r="AK126" s="225">
        <f>IF(OR($A126="",$B126&lt;&gt;"Định kỳ"),0,IFERROR(INDEX(DM_TanSuatThang,MATCH($H126,DM_TanSuat,0)),0))</f>
      </c>
      <c r="AL126" s="225">
        <f>IF(OR($A126="",$B126&lt;&gt;"Định kỳ",N($X126)=0,N($I126)=0),"",IF(INT($X126)&lt;$I126,0,IF($AJ126&gt;0,ROUND((INT($X126)-$I126)/$AJ126,0),IF($AK126&gt;0,ROUND((DATEDIF($I126,INT($X126),"m")+(INT($X126)-EDATE($I126,DATEDIF($I126,INT($X126),"m")))/(EDATE($I126,DATEDIF($I126,INT($X126),"m")+1)-EDATE($I126,DATEDIF($I126,INT($X126),"m"))))/$AK126,0),0))))</f>
      </c>
      <c r="AM126" s="225">
        <f>IF($A126="","",IF(COUNTIF('Nhật ký tiến độ'!$C$6:$C$3005,$A126)=0,0,_xlfn.MAXIFS('Nhật ký tiến độ'!$N$6:$N$3005,'Nhật ký tiến độ'!$C$6:$C$3005,$A126,'Nhật ký tiến độ'!$B$6:$B$3005,_xlfn.MAXIFS('Nhật ký tiến độ'!$B$6:$B$3005,'Nhật ký tiến độ'!$C$6:$C$3005,$A126))))</f>
      </c>
      <c r="AN126" s="225">
        <f>IF($A126="","",IF(N($AM126)=0,"",INDEX('Nhật ký tiến độ'!$E:$E,$AM126)))</f>
      </c>
      <c r="AO126" s="225">
        <f>IF($A126="",0,IF($AA126="Hoàn thành",0,1))</f>
      </c>
      <c r="AP126" s="225">
        <f>IF($AO126=0,0,INT(N($AW126)))</f>
      </c>
      <c r="AQ126" s="225">
        <f>IF(AND($AO126=1,$AJ126&gt;1),$AJ126,0)</f>
      </c>
      <c r="AR126" s="225">
        <f>IF(AND($AO126=1,$AJ126=1),1,0)</f>
      </c>
      <c r="AS126" s="225">
        <f>IF(OR($AO126=0,AND($AR126=1,N($BB126)=0)),"",IF(N($BB126)&gt;0,5-$BB126,IF($AD126="Chậm tiến độ",6,IF($AD126="Đến hạn hôm nay",7,IF(AND($AP126&gt;0,$AP126-NgayBC&lt;=7),8,"")))))</f>
      </c>
      <c r="AT126" s="225">
        <f>IF($AS126="","",$AS126*100000+$AP126+ROW()/100000)</f>
      </c>
      <c r="AU126" s="224">
        <f>IF(OR($A126="",N($R126)&lt;=0),"",IF($S126="Ngày",$R126*24,$R126))</f>
      </c>
      <c r="AV126" s="224">
        <f>IF($A126="","",IF($B126="Đột xuất",IF(OR($AA126&lt;&gt;"Hoàn thành",N($X126)=0,N($J126)=0),"",IF($X126&lt;$J126,"",($X126-$J126)*24)),IFERROR(AVERAGEIFS('Nhật ký tiến độ'!$H$6:$H$3005,'Nhật ký tiến độ'!$C$6:$C$3005,$A126,'Nhật ký tiến độ'!$H$6:$H$3005,"&gt;0"),"")))</f>
      </c>
      <c r="AW126" s="233">
        <f>IF($A126="",0,IF($B126="Đột xuất",$AY126,IF($AX126=0,0,$AX126+1-1/1440)))</f>
      </c>
      <c r="AX126" s="234">
        <f>IF(OR($A126="",$B126&lt;&gt;"Định kỳ",N($I126)=0),0,IF($AL126="",$I126,IF($AJ126&gt;0,$I126+($AL126+1)*$AJ126,IF($AK126&gt;0,EDATE($I126,($AL126+1)*$AK126),$I126))))</f>
      </c>
      <c r="AY126" s="233">
        <f>IF(OR($A126="",$B126&lt;&gt;"Đột xuất"),0,IF(N($K126)&gt;0,IF(MOD($K126,1)=0,$K126+1-1/1440,$K126),IF(N($J126)=0,0,$J126+IF(N($AU126)&gt;0,$AU126,IFERROR(INDEX(DM_SLA_Gio,MATCH($L126,DM_SLA_Cap,0)),168))/24)))</f>
      </c>
      <c r="AZ126" s="225">
        <f>IF(OR($A126="",TRIM($N126)="",COUNTIF('Phản ánh'!$K$6:$K$505,$N126)&gt;0,COUNTIF($N$6:$N126,$N126)&gt;1),0,1)</f>
      </c>
      <c r="BA126" s="225">
        <f>IF($AZ126=1,SUM($AZ$6:$AZ126),"")</f>
      </c>
      <c r="BB126" s="225">
        <f>IF(OR($AO126=0,N($AW126)=0),0,IF(TDBC&lt;=$AW126,0,MAX(1,MIN(4,IF((TDBC-$AW126)*24&lt;24,1,IF((TDBC-$AW126)*24&lt;72,2,IF((TDBC-$AW126)*24&lt;168,3,4)))+IF($B126="Đột xuất",IFERROR(INDEX({2,1,0,-1},MATCH($L126,{"Khẩn cấp","Cao","Trung bình","Thấp"},0)),0),IF($D126="PCCC và an ninh",1,0))))))</f>
      </c>
    </row>
    <row r="127">
      <c r="A127" s="216"/>
      <c r="B127" s="216"/>
      <c r="C127" s="218"/>
      <c r="D127" s="218"/>
      <c r="E127" s="218"/>
      <c r="F127" s="216"/>
      <c r="G127" s="218"/>
      <c r="H127" s="218"/>
      <c r="I127" s="231"/>
      <c r="J127" s="217"/>
      <c r="K127" s="217"/>
      <c r="L127" s="216"/>
      <c r="M127" s="216"/>
      <c r="N127" s="218"/>
      <c r="O127" s="218"/>
      <c r="P127" s="218"/>
      <c r="Q127" s="218"/>
      <c r="R127" s="219"/>
      <c r="S127" s="216"/>
      <c r="T127" s="232"/>
      <c r="U127" s="232"/>
      <c r="V127" s="218"/>
      <c r="W127" s="218"/>
      <c r="X127" s="220">
        <f>IF($A127="","",IF(OR($B127="Định kỳ",$AA127="Hoàn thành"),MAX(_xlfn.MAXIFS('Nhật ký tiến độ'!$B$6:$B$3005,'Nhật ký tiến độ'!$C$6:$C$3005,$A127,'Nhật ký tiến độ'!$E$6:$E$3005,"Hoàn thành kỳ"),_xlfn.MAXIFS('Nhật ký tiến độ'!$B$6:$B$3005,'Nhật ký tiến độ'!$C$6:$C$3005,$A127,'Nhật ký tiến độ'!$E$6:$E$3005,"Hoàn thành")),0))</f>
      </c>
      <c r="Y127" s="220">
        <f>IF($A127="","",IF($B127="Đột xuất",IF($AY127=0,"",$AY127),IF($AX127=0,"",$AX127)))</f>
      </c>
      <c r="Z127" s="223">
        <f>IF(OR($AO127=0,$AW127=0),"",IF(TDBC&gt;$AW127,"Quá "&amp;IF($B127="Định kỳ",(NgayBC-$AP127)&amp;" ngày",IF(((TDBC-$AW127)*24)&lt;1,MAX(1,ROUND(((TDBC-$AW127)*24)*60,0))&amp;" phút",IF(ROUND(((TDBC-$AW127)*24),0)&lt;24,ROUND(((TDBC-$AW127)*24),0)&amp;" giờ",INT(ROUND(((TDBC-$AW127)*24),0)/24)&amp;" ngày"&amp;IF(MOD(ROUND(((TDBC-$AW127)*24),0),24)&gt;0," "&amp;MOD(ROUND(((TDBC-$AW127)*24),0),24)&amp;" giờ","")))),IF($B127="Định kỳ",IF($AP127=NgayBC,"Hôm nay","Còn "&amp;($AP127-NgayBC)&amp;" ngày"),"Còn "&amp;IF((($AW127-TDBC)*24)&lt;1,MAX(1,ROUND((($AW127-TDBC)*24)*60,0))&amp;" phút",IF(ROUND((($AW127-TDBC)*24),0)&lt;24,ROUND((($AW127-TDBC)*24),0)&amp;" giờ",INT(ROUND((($AW127-TDBC)*24),0)/24)&amp;" ngày"&amp;IF(MOD(ROUND((($AW127-TDBC)*24),0),24)&gt;0," "&amp;MOD(ROUND((($AW127-TDBC)*24),0),24)&amp;" giờ",""))))))</f>
      </c>
      <c r="AA127" s="221">
        <f>IF($A127="","",IF(N($AM127)=0,"Chưa bắt đầu",IF(OR($AN127="Hoàn thành kỳ",$AN127="Hoàn thành"),IF($B127="Định kỳ","Chưa bắt đầu","Hoàn thành"),$AN127)))</f>
      </c>
      <c r="AB127" s="222">
        <f>IF($A127="","",IF($AA127="Hoàn thành",1,IF(OR(N($AM127)=0,$AN127="Hoàn thành kỳ",$AN127="Hoàn thành"),0,N(INDEX('Nhật ký tiến độ'!$D:$D,$AM127)))))</f>
      </c>
      <c r="AC127" s="222">
        <f>IF(OR($A127="",$B127&lt;&gt;"Đột xuất",$AA127="Hoàn thành",N($J127)=0,$AW127=0),"",IF(TDBC&lt;=$J127,0,IF(TDBC&gt;=$AW127,1,(TDBC-$J127)/($AW127-$J127))))</f>
      </c>
      <c r="AD127" s="223">
        <f>IF($A127="","",IF($AA127="Hoàn thành","Hoàn thành",IF($AW127=0,"Chưa đặt hạn",IF(TDBC&gt;$AW127,"Quá hạn",IF(AND($B127="Đột xuất",ROUND((N($AC127)-$AB127)*100,0)&gt;=20),"Chậm tiến độ",IF($AP127=NgayBC,"Đến hạn hôm nay",IF($B127="Đột xuất",IF($AW127-TDBC&lt;=1,"Sắp đến hạn","Đúng tiến độ"),IF($AP127-NgayBC&lt;=3,"Sắp đến hạn","Theo lịch"))))))))</f>
      </c>
      <c r="AE127" s="223">
        <f>IF($AV127="","",IF($B127="Định kỳ","Bình quân "&amp;IF($AV127&lt;1,MAX(1,ROUND($AV127*60,0))&amp;" phút",IF(ROUND($AV127,0)&lt;24,ROUND($AV127,0)&amp;" giờ",INT(ROUND($AV127,0)/24)&amp;" ngày"&amp;IF(MOD(ROUND($AV127,0),24)&gt;0," "&amp;MOD(ROUND($AV127,0),24)&amp;" giờ","")))&amp;" mỗi kỳ",IF($AV127&lt;1,MAX(1,ROUND($AV127*60,0))&amp;" phút",IF(ROUND($AV127,0)&lt;24,ROUND($AV127,0)&amp;" giờ",INT(ROUND($AV127,0)/24)&amp;" ngày"&amp;IF(MOD(ROUND($AV127,0),24)&gt;0," "&amp;MOD(ROUND($AV127,0),24)&amp;" giờ","")))))</f>
      </c>
      <c r="AF127" s="223">
        <f>IF(OR($A127="",N($AU127)=0),"",IF($AV127&lt;&gt;"",IF($AV127&lt;=$AU127,"Trong ước tính","Vượt "&amp;IF(($AV127-$AU127)&lt;1,MAX(1,ROUND(($AV127-$AU127)*60,0))&amp;" phút",IF(ROUND(($AV127-$AU127),0)&lt;24,ROUND(($AV127-$AU127),0)&amp;" giờ",INT(ROUND(($AV127-$AU127),0)/24)&amp;" ngày"&amp;IF(MOD(ROUND(($AV127-$AU127),0),24)&gt;0," "&amp;MOD(ROUND(($AV127-$AU127),0),24)&amp;" giờ","")))),IF(OR($B127&lt;&gt;"Đột xuất",$AA127="Hoàn thành",N($J127)=0),"",IF((TDBC-$J127)*24&gt;$AU127,"Đã vượt ước tính","Đã dùng "&amp;TEXT((TDBC-$J127)*24/$AU127,"0%")))))</f>
      </c>
      <c r="AG127" s="223">
        <f>IF(N($BB127)=0,"",CHOOSE($BB127,"Nhắc nhở","Cảnh báo","Báo động","Báo động đỏ"))</f>
      </c>
      <c r="AH127" s="223">
        <f>IF(OR($B127&lt;&gt;"Đột xuất",$AA127&lt;&gt;"Hoàn thành",N($X127)=0,$AW127=0),"",IF($X127&lt;=$AW127,"Đúng hạn","Trễ hạn"))</f>
      </c>
      <c r="AI127" s="220">
        <f>IF($A127="","",_xlfn.MAXIFS('Nhật ký tiến độ'!$B$6:$B$3005,'Nhật ký tiến độ'!$C$6:$C$3005,$A127))</f>
      </c>
      <c r="AJ127" s="225">
        <f>IF(OR($A127="",$B127&lt;&gt;"Định kỳ"),0,IFERROR(INDEX(DM_TanSuatNgay,MATCH($H127,DM_TanSuat,0)),0))</f>
      </c>
      <c r="AK127" s="225">
        <f>IF(OR($A127="",$B127&lt;&gt;"Định kỳ"),0,IFERROR(INDEX(DM_TanSuatThang,MATCH($H127,DM_TanSuat,0)),0))</f>
      </c>
      <c r="AL127" s="225">
        <f>IF(OR($A127="",$B127&lt;&gt;"Định kỳ",N($X127)=0,N($I127)=0),"",IF(INT($X127)&lt;$I127,0,IF($AJ127&gt;0,ROUND((INT($X127)-$I127)/$AJ127,0),IF($AK127&gt;0,ROUND((DATEDIF($I127,INT($X127),"m")+(INT($X127)-EDATE($I127,DATEDIF($I127,INT($X127),"m")))/(EDATE($I127,DATEDIF($I127,INT($X127),"m")+1)-EDATE($I127,DATEDIF($I127,INT($X127),"m"))))/$AK127,0),0))))</f>
      </c>
      <c r="AM127" s="225">
        <f>IF($A127="","",IF(COUNTIF('Nhật ký tiến độ'!$C$6:$C$3005,$A127)=0,0,_xlfn.MAXIFS('Nhật ký tiến độ'!$N$6:$N$3005,'Nhật ký tiến độ'!$C$6:$C$3005,$A127,'Nhật ký tiến độ'!$B$6:$B$3005,_xlfn.MAXIFS('Nhật ký tiến độ'!$B$6:$B$3005,'Nhật ký tiến độ'!$C$6:$C$3005,$A127))))</f>
      </c>
      <c r="AN127" s="225">
        <f>IF($A127="","",IF(N($AM127)=0,"",INDEX('Nhật ký tiến độ'!$E:$E,$AM127)))</f>
      </c>
      <c r="AO127" s="225">
        <f>IF($A127="",0,IF($AA127="Hoàn thành",0,1))</f>
      </c>
      <c r="AP127" s="225">
        <f>IF($AO127=0,0,INT(N($AW127)))</f>
      </c>
      <c r="AQ127" s="225">
        <f>IF(AND($AO127=1,$AJ127&gt;1),$AJ127,0)</f>
      </c>
      <c r="AR127" s="225">
        <f>IF(AND($AO127=1,$AJ127=1),1,0)</f>
      </c>
      <c r="AS127" s="225">
        <f>IF(OR($AO127=0,AND($AR127=1,N($BB127)=0)),"",IF(N($BB127)&gt;0,5-$BB127,IF($AD127="Chậm tiến độ",6,IF($AD127="Đến hạn hôm nay",7,IF(AND($AP127&gt;0,$AP127-NgayBC&lt;=7),8,"")))))</f>
      </c>
      <c r="AT127" s="225">
        <f>IF($AS127="","",$AS127*100000+$AP127+ROW()/100000)</f>
      </c>
      <c r="AU127" s="224">
        <f>IF(OR($A127="",N($R127)&lt;=0),"",IF($S127="Ngày",$R127*24,$R127))</f>
      </c>
      <c r="AV127" s="224">
        <f>IF($A127="","",IF($B127="Đột xuất",IF(OR($AA127&lt;&gt;"Hoàn thành",N($X127)=0,N($J127)=0),"",IF($X127&lt;$J127,"",($X127-$J127)*24)),IFERROR(AVERAGEIFS('Nhật ký tiến độ'!$H$6:$H$3005,'Nhật ký tiến độ'!$C$6:$C$3005,$A127,'Nhật ký tiến độ'!$H$6:$H$3005,"&gt;0"),"")))</f>
      </c>
      <c r="AW127" s="233">
        <f>IF($A127="",0,IF($B127="Đột xuất",$AY127,IF($AX127=0,0,$AX127+1-1/1440)))</f>
      </c>
      <c r="AX127" s="234">
        <f>IF(OR($A127="",$B127&lt;&gt;"Định kỳ",N($I127)=0),0,IF($AL127="",$I127,IF($AJ127&gt;0,$I127+($AL127+1)*$AJ127,IF($AK127&gt;0,EDATE($I127,($AL127+1)*$AK127),$I127))))</f>
      </c>
      <c r="AY127" s="233">
        <f>IF(OR($A127="",$B127&lt;&gt;"Đột xuất"),0,IF(N($K127)&gt;0,IF(MOD($K127,1)=0,$K127+1-1/1440,$K127),IF(N($J127)=0,0,$J127+IF(N($AU127)&gt;0,$AU127,IFERROR(INDEX(DM_SLA_Gio,MATCH($L127,DM_SLA_Cap,0)),168))/24)))</f>
      </c>
      <c r="AZ127" s="225">
        <f>IF(OR($A127="",TRIM($N127)="",COUNTIF('Phản ánh'!$K$6:$K$505,$N127)&gt;0,COUNTIF($N$6:$N127,$N127)&gt;1),0,1)</f>
      </c>
      <c r="BA127" s="225">
        <f>IF($AZ127=1,SUM($AZ$6:$AZ127),"")</f>
      </c>
      <c r="BB127" s="225">
        <f>IF(OR($AO127=0,N($AW127)=0),0,IF(TDBC&lt;=$AW127,0,MAX(1,MIN(4,IF((TDBC-$AW127)*24&lt;24,1,IF((TDBC-$AW127)*24&lt;72,2,IF((TDBC-$AW127)*24&lt;168,3,4)))+IF($B127="Đột xuất",IFERROR(INDEX({2,1,0,-1},MATCH($L127,{"Khẩn cấp","Cao","Trung bình","Thấp"},0)),0),IF($D127="PCCC và an ninh",1,0))))))</f>
      </c>
    </row>
    <row r="128">
      <c r="A128" s="216"/>
      <c r="B128" s="216"/>
      <c r="C128" s="218"/>
      <c r="D128" s="218"/>
      <c r="E128" s="218"/>
      <c r="F128" s="216"/>
      <c r="G128" s="218"/>
      <c r="H128" s="218"/>
      <c r="I128" s="231"/>
      <c r="J128" s="217"/>
      <c r="K128" s="217"/>
      <c r="L128" s="216"/>
      <c r="M128" s="216"/>
      <c r="N128" s="218"/>
      <c r="O128" s="218"/>
      <c r="P128" s="218"/>
      <c r="Q128" s="218"/>
      <c r="R128" s="219"/>
      <c r="S128" s="216"/>
      <c r="T128" s="232"/>
      <c r="U128" s="232"/>
      <c r="V128" s="218"/>
      <c r="W128" s="218"/>
      <c r="X128" s="220">
        <f>IF($A128="","",IF(OR($B128="Định kỳ",$AA128="Hoàn thành"),MAX(_xlfn.MAXIFS('Nhật ký tiến độ'!$B$6:$B$3005,'Nhật ký tiến độ'!$C$6:$C$3005,$A128,'Nhật ký tiến độ'!$E$6:$E$3005,"Hoàn thành kỳ"),_xlfn.MAXIFS('Nhật ký tiến độ'!$B$6:$B$3005,'Nhật ký tiến độ'!$C$6:$C$3005,$A128,'Nhật ký tiến độ'!$E$6:$E$3005,"Hoàn thành")),0))</f>
      </c>
      <c r="Y128" s="220">
        <f>IF($A128="","",IF($B128="Đột xuất",IF($AY128=0,"",$AY128),IF($AX128=0,"",$AX128)))</f>
      </c>
      <c r="Z128" s="223">
        <f>IF(OR($AO128=0,$AW128=0),"",IF(TDBC&gt;$AW128,"Quá "&amp;IF($B128="Định kỳ",(NgayBC-$AP128)&amp;" ngày",IF(((TDBC-$AW128)*24)&lt;1,MAX(1,ROUND(((TDBC-$AW128)*24)*60,0))&amp;" phút",IF(ROUND(((TDBC-$AW128)*24),0)&lt;24,ROUND(((TDBC-$AW128)*24),0)&amp;" giờ",INT(ROUND(((TDBC-$AW128)*24),0)/24)&amp;" ngày"&amp;IF(MOD(ROUND(((TDBC-$AW128)*24),0),24)&gt;0," "&amp;MOD(ROUND(((TDBC-$AW128)*24),0),24)&amp;" giờ","")))),IF($B128="Định kỳ",IF($AP128=NgayBC,"Hôm nay","Còn "&amp;($AP128-NgayBC)&amp;" ngày"),"Còn "&amp;IF((($AW128-TDBC)*24)&lt;1,MAX(1,ROUND((($AW128-TDBC)*24)*60,0))&amp;" phút",IF(ROUND((($AW128-TDBC)*24),0)&lt;24,ROUND((($AW128-TDBC)*24),0)&amp;" giờ",INT(ROUND((($AW128-TDBC)*24),0)/24)&amp;" ngày"&amp;IF(MOD(ROUND((($AW128-TDBC)*24),0),24)&gt;0," "&amp;MOD(ROUND((($AW128-TDBC)*24),0),24)&amp;" giờ",""))))))</f>
      </c>
      <c r="AA128" s="221">
        <f>IF($A128="","",IF(N($AM128)=0,"Chưa bắt đầu",IF(OR($AN128="Hoàn thành kỳ",$AN128="Hoàn thành"),IF($B128="Định kỳ","Chưa bắt đầu","Hoàn thành"),$AN128)))</f>
      </c>
      <c r="AB128" s="222">
        <f>IF($A128="","",IF($AA128="Hoàn thành",1,IF(OR(N($AM128)=0,$AN128="Hoàn thành kỳ",$AN128="Hoàn thành"),0,N(INDEX('Nhật ký tiến độ'!$D:$D,$AM128)))))</f>
      </c>
      <c r="AC128" s="222">
        <f>IF(OR($A128="",$B128&lt;&gt;"Đột xuất",$AA128="Hoàn thành",N($J128)=0,$AW128=0),"",IF(TDBC&lt;=$J128,0,IF(TDBC&gt;=$AW128,1,(TDBC-$J128)/($AW128-$J128))))</f>
      </c>
      <c r="AD128" s="223">
        <f>IF($A128="","",IF($AA128="Hoàn thành","Hoàn thành",IF($AW128=0,"Chưa đặt hạn",IF(TDBC&gt;$AW128,"Quá hạn",IF(AND($B128="Đột xuất",ROUND((N($AC128)-$AB128)*100,0)&gt;=20),"Chậm tiến độ",IF($AP128=NgayBC,"Đến hạn hôm nay",IF($B128="Đột xuất",IF($AW128-TDBC&lt;=1,"Sắp đến hạn","Đúng tiến độ"),IF($AP128-NgayBC&lt;=3,"Sắp đến hạn","Theo lịch"))))))))</f>
      </c>
      <c r="AE128" s="223">
        <f>IF($AV128="","",IF($B128="Định kỳ","Bình quân "&amp;IF($AV128&lt;1,MAX(1,ROUND($AV128*60,0))&amp;" phút",IF(ROUND($AV128,0)&lt;24,ROUND($AV128,0)&amp;" giờ",INT(ROUND($AV128,0)/24)&amp;" ngày"&amp;IF(MOD(ROUND($AV128,0),24)&gt;0," "&amp;MOD(ROUND($AV128,0),24)&amp;" giờ","")))&amp;" mỗi kỳ",IF($AV128&lt;1,MAX(1,ROUND($AV128*60,0))&amp;" phút",IF(ROUND($AV128,0)&lt;24,ROUND($AV128,0)&amp;" giờ",INT(ROUND($AV128,0)/24)&amp;" ngày"&amp;IF(MOD(ROUND($AV128,0),24)&gt;0," "&amp;MOD(ROUND($AV128,0),24)&amp;" giờ","")))))</f>
      </c>
      <c r="AF128" s="223">
        <f>IF(OR($A128="",N($AU128)=0),"",IF($AV128&lt;&gt;"",IF($AV128&lt;=$AU128,"Trong ước tính","Vượt "&amp;IF(($AV128-$AU128)&lt;1,MAX(1,ROUND(($AV128-$AU128)*60,0))&amp;" phút",IF(ROUND(($AV128-$AU128),0)&lt;24,ROUND(($AV128-$AU128),0)&amp;" giờ",INT(ROUND(($AV128-$AU128),0)/24)&amp;" ngày"&amp;IF(MOD(ROUND(($AV128-$AU128),0),24)&gt;0," "&amp;MOD(ROUND(($AV128-$AU128),0),24)&amp;" giờ","")))),IF(OR($B128&lt;&gt;"Đột xuất",$AA128="Hoàn thành",N($J128)=0),"",IF((TDBC-$J128)*24&gt;$AU128,"Đã vượt ước tính","Đã dùng "&amp;TEXT((TDBC-$J128)*24/$AU128,"0%")))))</f>
      </c>
      <c r="AG128" s="223">
        <f>IF(N($BB128)=0,"",CHOOSE($BB128,"Nhắc nhở","Cảnh báo","Báo động","Báo động đỏ"))</f>
      </c>
      <c r="AH128" s="223">
        <f>IF(OR($B128&lt;&gt;"Đột xuất",$AA128&lt;&gt;"Hoàn thành",N($X128)=0,$AW128=0),"",IF($X128&lt;=$AW128,"Đúng hạn","Trễ hạn"))</f>
      </c>
      <c r="AI128" s="220">
        <f>IF($A128="","",_xlfn.MAXIFS('Nhật ký tiến độ'!$B$6:$B$3005,'Nhật ký tiến độ'!$C$6:$C$3005,$A128))</f>
      </c>
      <c r="AJ128" s="225">
        <f>IF(OR($A128="",$B128&lt;&gt;"Định kỳ"),0,IFERROR(INDEX(DM_TanSuatNgay,MATCH($H128,DM_TanSuat,0)),0))</f>
      </c>
      <c r="AK128" s="225">
        <f>IF(OR($A128="",$B128&lt;&gt;"Định kỳ"),0,IFERROR(INDEX(DM_TanSuatThang,MATCH($H128,DM_TanSuat,0)),0))</f>
      </c>
      <c r="AL128" s="225">
        <f>IF(OR($A128="",$B128&lt;&gt;"Định kỳ",N($X128)=0,N($I128)=0),"",IF(INT($X128)&lt;$I128,0,IF($AJ128&gt;0,ROUND((INT($X128)-$I128)/$AJ128,0),IF($AK128&gt;0,ROUND((DATEDIF($I128,INT($X128),"m")+(INT($X128)-EDATE($I128,DATEDIF($I128,INT($X128),"m")))/(EDATE($I128,DATEDIF($I128,INT($X128),"m")+1)-EDATE($I128,DATEDIF($I128,INT($X128),"m"))))/$AK128,0),0))))</f>
      </c>
      <c r="AM128" s="225">
        <f>IF($A128="","",IF(COUNTIF('Nhật ký tiến độ'!$C$6:$C$3005,$A128)=0,0,_xlfn.MAXIFS('Nhật ký tiến độ'!$N$6:$N$3005,'Nhật ký tiến độ'!$C$6:$C$3005,$A128,'Nhật ký tiến độ'!$B$6:$B$3005,_xlfn.MAXIFS('Nhật ký tiến độ'!$B$6:$B$3005,'Nhật ký tiến độ'!$C$6:$C$3005,$A128))))</f>
      </c>
      <c r="AN128" s="225">
        <f>IF($A128="","",IF(N($AM128)=0,"",INDEX('Nhật ký tiến độ'!$E:$E,$AM128)))</f>
      </c>
      <c r="AO128" s="225">
        <f>IF($A128="",0,IF($AA128="Hoàn thành",0,1))</f>
      </c>
      <c r="AP128" s="225">
        <f>IF($AO128=0,0,INT(N($AW128)))</f>
      </c>
      <c r="AQ128" s="225">
        <f>IF(AND($AO128=1,$AJ128&gt;1),$AJ128,0)</f>
      </c>
      <c r="AR128" s="225">
        <f>IF(AND($AO128=1,$AJ128=1),1,0)</f>
      </c>
      <c r="AS128" s="225">
        <f>IF(OR($AO128=0,AND($AR128=1,N($BB128)=0)),"",IF(N($BB128)&gt;0,5-$BB128,IF($AD128="Chậm tiến độ",6,IF($AD128="Đến hạn hôm nay",7,IF(AND($AP128&gt;0,$AP128-NgayBC&lt;=7),8,"")))))</f>
      </c>
      <c r="AT128" s="225">
        <f>IF($AS128="","",$AS128*100000+$AP128+ROW()/100000)</f>
      </c>
      <c r="AU128" s="224">
        <f>IF(OR($A128="",N($R128)&lt;=0),"",IF($S128="Ngày",$R128*24,$R128))</f>
      </c>
      <c r="AV128" s="224">
        <f>IF($A128="","",IF($B128="Đột xuất",IF(OR($AA128&lt;&gt;"Hoàn thành",N($X128)=0,N($J128)=0),"",IF($X128&lt;$J128,"",($X128-$J128)*24)),IFERROR(AVERAGEIFS('Nhật ký tiến độ'!$H$6:$H$3005,'Nhật ký tiến độ'!$C$6:$C$3005,$A128,'Nhật ký tiến độ'!$H$6:$H$3005,"&gt;0"),"")))</f>
      </c>
      <c r="AW128" s="233">
        <f>IF($A128="",0,IF($B128="Đột xuất",$AY128,IF($AX128=0,0,$AX128+1-1/1440)))</f>
      </c>
      <c r="AX128" s="234">
        <f>IF(OR($A128="",$B128&lt;&gt;"Định kỳ",N($I128)=0),0,IF($AL128="",$I128,IF($AJ128&gt;0,$I128+($AL128+1)*$AJ128,IF($AK128&gt;0,EDATE($I128,($AL128+1)*$AK128),$I128))))</f>
      </c>
      <c r="AY128" s="233">
        <f>IF(OR($A128="",$B128&lt;&gt;"Đột xuất"),0,IF(N($K128)&gt;0,IF(MOD($K128,1)=0,$K128+1-1/1440,$K128),IF(N($J128)=0,0,$J128+IF(N($AU128)&gt;0,$AU128,IFERROR(INDEX(DM_SLA_Gio,MATCH($L128,DM_SLA_Cap,0)),168))/24)))</f>
      </c>
      <c r="AZ128" s="225">
        <f>IF(OR($A128="",TRIM($N128)="",COUNTIF('Phản ánh'!$K$6:$K$505,$N128)&gt;0,COUNTIF($N$6:$N128,$N128)&gt;1),0,1)</f>
      </c>
      <c r="BA128" s="225">
        <f>IF($AZ128=1,SUM($AZ$6:$AZ128),"")</f>
      </c>
      <c r="BB128" s="225">
        <f>IF(OR($AO128=0,N($AW128)=0),0,IF(TDBC&lt;=$AW128,0,MAX(1,MIN(4,IF((TDBC-$AW128)*24&lt;24,1,IF((TDBC-$AW128)*24&lt;72,2,IF((TDBC-$AW128)*24&lt;168,3,4)))+IF($B128="Đột xuất",IFERROR(INDEX({2,1,0,-1},MATCH($L128,{"Khẩn cấp","Cao","Trung bình","Thấp"},0)),0),IF($D128="PCCC và an ninh",1,0))))))</f>
      </c>
    </row>
    <row r="129">
      <c r="A129" s="216"/>
      <c r="B129" s="216"/>
      <c r="C129" s="218"/>
      <c r="D129" s="218"/>
      <c r="E129" s="218"/>
      <c r="F129" s="216"/>
      <c r="G129" s="218"/>
      <c r="H129" s="218"/>
      <c r="I129" s="231"/>
      <c r="J129" s="217"/>
      <c r="K129" s="217"/>
      <c r="L129" s="216"/>
      <c r="M129" s="216"/>
      <c r="N129" s="218"/>
      <c r="O129" s="218"/>
      <c r="P129" s="218"/>
      <c r="Q129" s="218"/>
      <c r="R129" s="219"/>
      <c r="S129" s="216"/>
      <c r="T129" s="232"/>
      <c r="U129" s="232"/>
      <c r="V129" s="218"/>
      <c r="W129" s="218"/>
      <c r="X129" s="220">
        <f>IF($A129="","",IF(OR($B129="Định kỳ",$AA129="Hoàn thành"),MAX(_xlfn.MAXIFS('Nhật ký tiến độ'!$B$6:$B$3005,'Nhật ký tiến độ'!$C$6:$C$3005,$A129,'Nhật ký tiến độ'!$E$6:$E$3005,"Hoàn thành kỳ"),_xlfn.MAXIFS('Nhật ký tiến độ'!$B$6:$B$3005,'Nhật ký tiến độ'!$C$6:$C$3005,$A129,'Nhật ký tiến độ'!$E$6:$E$3005,"Hoàn thành")),0))</f>
      </c>
      <c r="Y129" s="220">
        <f>IF($A129="","",IF($B129="Đột xuất",IF($AY129=0,"",$AY129),IF($AX129=0,"",$AX129)))</f>
      </c>
      <c r="Z129" s="223">
        <f>IF(OR($AO129=0,$AW129=0),"",IF(TDBC&gt;$AW129,"Quá "&amp;IF($B129="Định kỳ",(NgayBC-$AP129)&amp;" ngày",IF(((TDBC-$AW129)*24)&lt;1,MAX(1,ROUND(((TDBC-$AW129)*24)*60,0))&amp;" phút",IF(ROUND(((TDBC-$AW129)*24),0)&lt;24,ROUND(((TDBC-$AW129)*24),0)&amp;" giờ",INT(ROUND(((TDBC-$AW129)*24),0)/24)&amp;" ngày"&amp;IF(MOD(ROUND(((TDBC-$AW129)*24),0),24)&gt;0," "&amp;MOD(ROUND(((TDBC-$AW129)*24),0),24)&amp;" giờ","")))),IF($B129="Định kỳ",IF($AP129=NgayBC,"Hôm nay","Còn "&amp;($AP129-NgayBC)&amp;" ngày"),"Còn "&amp;IF((($AW129-TDBC)*24)&lt;1,MAX(1,ROUND((($AW129-TDBC)*24)*60,0))&amp;" phút",IF(ROUND((($AW129-TDBC)*24),0)&lt;24,ROUND((($AW129-TDBC)*24),0)&amp;" giờ",INT(ROUND((($AW129-TDBC)*24),0)/24)&amp;" ngày"&amp;IF(MOD(ROUND((($AW129-TDBC)*24),0),24)&gt;0," "&amp;MOD(ROUND((($AW129-TDBC)*24),0),24)&amp;" giờ",""))))))</f>
      </c>
      <c r="AA129" s="221">
        <f>IF($A129="","",IF(N($AM129)=0,"Chưa bắt đầu",IF(OR($AN129="Hoàn thành kỳ",$AN129="Hoàn thành"),IF($B129="Định kỳ","Chưa bắt đầu","Hoàn thành"),$AN129)))</f>
      </c>
      <c r="AB129" s="222">
        <f>IF($A129="","",IF($AA129="Hoàn thành",1,IF(OR(N($AM129)=0,$AN129="Hoàn thành kỳ",$AN129="Hoàn thành"),0,N(INDEX('Nhật ký tiến độ'!$D:$D,$AM129)))))</f>
      </c>
      <c r="AC129" s="222">
        <f>IF(OR($A129="",$B129&lt;&gt;"Đột xuất",$AA129="Hoàn thành",N($J129)=0,$AW129=0),"",IF(TDBC&lt;=$J129,0,IF(TDBC&gt;=$AW129,1,(TDBC-$J129)/($AW129-$J129))))</f>
      </c>
      <c r="AD129" s="223">
        <f>IF($A129="","",IF($AA129="Hoàn thành","Hoàn thành",IF($AW129=0,"Chưa đặt hạn",IF(TDBC&gt;$AW129,"Quá hạn",IF(AND($B129="Đột xuất",ROUND((N($AC129)-$AB129)*100,0)&gt;=20),"Chậm tiến độ",IF($AP129=NgayBC,"Đến hạn hôm nay",IF($B129="Đột xuất",IF($AW129-TDBC&lt;=1,"Sắp đến hạn","Đúng tiến độ"),IF($AP129-NgayBC&lt;=3,"Sắp đến hạn","Theo lịch"))))))))</f>
      </c>
      <c r="AE129" s="223">
        <f>IF($AV129="","",IF($B129="Định kỳ","Bình quân "&amp;IF($AV129&lt;1,MAX(1,ROUND($AV129*60,0))&amp;" phút",IF(ROUND($AV129,0)&lt;24,ROUND($AV129,0)&amp;" giờ",INT(ROUND($AV129,0)/24)&amp;" ngày"&amp;IF(MOD(ROUND($AV129,0),24)&gt;0," "&amp;MOD(ROUND($AV129,0),24)&amp;" giờ","")))&amp;" mỗi kỳ",IF($AV129&lt;1,MAX(1,ROUND($AV129*60,0))&amp;" phút",IF(ROUND($AV129,0)&lt;24,ROUND($AV129,0)&amp;" giờ",INT(ROUND($AV129,0)/24)&amp;" ngày"&amp;IF(MOD(ROUND($AV129,0),24)&gt;0," "&amp;MOD(ROUND($AV129,0),24)&amp;" giờ","")))))</f>
      </c>
      <c r="AF129" s="223">
        <f>IF(OR($A129="",N($AU129)=0),"",IF($AV129&lt;&gt;"",IF($AV129&lt;=$AU129,"Trong ước tính","Vượt "&amp;IF(($AV129-$AU129)&lt;1,MAX(1,ROUND(($AV129-$AU129)*60,0))&amp;" phút",IF(ROUND(($AV129-$AU129),0)&lt;24,ROUND(($AV129-$AU129),0)&amp;" giờ",INT(ROUND(($AV129-$AU129),0)/24)&amp;" ngày"&amp;IF(MOD(ROUND(($AV129-$AU129),0),24)&gt;0," "&amp;MOD(ROUND(($AV129-$AU129),0),24)&amp;" giờ","")))),IF(OR($B129&lt;&gt;"Đột xuất",$AA129="Hoàn thành",N($J129)=0),"",IF((TDBC-$J129)*24&gt;$AU129,"Đã vượt ước tính","Đã dùng "&amp;TEXT((TDBC-$J129)*24/$AU129,"0%")))))</f>
      </c>
      <c r="AG129" s="223">
        <f>IF(N($BB129)=0,"",CHOOSE($BB129,"Nhắc nhở","Cảnh báo","Báo động","Báo động đỏ"))</f>
      </c>
      <c r="AH129" s="223">
        <f>IF(OR($B129&lt;&gt;"Đột xuất",$AA129&lt;&gt;"Hoàn thành",N($X129)=0,$AW129=0),"",IF($X129&lt;=$AW129,"Đúng hạn","Trễ hạn"))</f>
      </c>
      <c r="AI129" s="220">
        <f>IF($A129="","",_xlfn.MAXIFS('Nhật ký tiến độ'!$B$6:$B$3005,'Nhật ký tiến độ'!$C$6:$C$3005,$A129))</f>
      </c>
      <c r="AJ129" s="225">
        <f>IF(OR($A129="",$B129&lt;&gt;"Định kỳ"),0,IFERROR(INDEX(DM_TanSuatNgay,MATCH($H129,DM_TanSuat,0)),0))</f>
      </c>
      <c r="AK129" s="225">
        <f>IF(OR($A129="",$B129&lt;&gt;"Định kỳ"),0,IFERROR(INDEX(DM_TanSuatThang,MATCH($H129,DM_TanSuat,0)),0))</f>
      </c>
      <c r="AL129" s="225">
        <f>IF(OR($A129="",$B129&lt;&gt;"Định kỳ",N($X129)=0,N($I129)=0),"",IF(INT($X129)&lt;$I129,0,IF($AJ129&gt;0,ROUND((INT($X129)-$I129)/$AJ129,0),IF($AK129&gt;0,ROUND((DATEDIF($I129,INT($X129),"m")+(INT($X129)-EDATE($I129,DATEDIF($I129,INT($X129),"m")))/(EDATE($I129,DATEDIF($I129,INT($X129),"m")+1)-EDATE($I129,DATEDIF($I129,INT($X129),"m"))))/$AK129,0),0))))</f>
      </c>
      <c r="AM129" s="225">
        <f>IF($A129="","",IF(COUNTIF('Nhật ký tiến độ'!$C$6:$C$3005,$A129)=0,0,_xlfn.MAXIFS('Nhật ký tiến độ'!$N$6:$N$3005,'Nhật ký tiến độ'!$C$6:$C$3005,$A129,'Nhật ký tiến độ'!$B$6:$B$3005,_xlfn.MAXIFS('Nhật ký tiến độ'!$B$6:$B$3005,'Nhật ký tiến độ'!$C$6:$C$3005,$A129))))</f>
      </c>
      <c r="AN129" s="225">
        <f>IF($A129="","",IF(N($AM129)=0,"",INDEX('Nhật ký tiến độ'!$E:$E,$AM129)))</f>
      </c>
      <c r="AO129" s="225">
        <f>IF($A129="",0,IF($AA129="Hoàn thành",0,1))</f>
      </c>
      <c r="AP129" s="225">
        <f>IF($AO129=0,0,INT(N($AW129)))</f>
      </c>
      <c r="AQ129" s="225">
        <f>IF(AND($AO129=1,$AJ129&gt;1),$AJ129,0)</f>
      </c>
      <c r="AR129" s="225">
        <f>IF(AND($AO129=1,$AJ129=1),1,0)</f>
      </c>
      <c r="AS129" s="225">
        <f>IF(OR($AO129=0,AND($AR129=1,N($BB129)=0)),"",IF(N($BB129)&gt;0,5-$BB129,IF($AD129="Chậm tiến độ",6,IF($AD129="Đến hạn hôm nay",7,IF(AND($AP129&gt;0,$AP129-NgayBC&lt;=7),8,"")))))</f>
      </c>
      <c r="AT129" s="225">
        <f>IF($AS129="","",$AS129*100000+$AP129+ROW()/100000)</f>
      </c>
      <c r="AU129" s="224">
        <f>IF(OR($A129="",N($R129)&lt;=0),"",IF($S129="Ngày",$R129*24,$R129))</f>
      </c>
      <c r="AV129" s="224">
        <f>IF($A129="","",IF($B129="Đột xuất",IF(OR($AA129&lt;&gt;"Hoàn thành",N($X129)=0,N($J129)=0),"",IF($X129&lt;$J129,"",($X129-$J129)*24)),IFERROR(AVERAGEIFS('Nhật ký tiến độ'!$H$6:$H$3005,'Nhật ký tiến độ'!$C$6:$C$3005,$A129,'Nhật ký tiến độ'!$H$6:$H$3005,"&gt;0"),"")))</f>
      </c>
      <c r="AW129" s="233">
        <f>IF($A129="",0,IF($B129="Đột xuất",$AY129,IF($AX129=0,0,$AX129+1-1/1440)))</f>
      </c>
      <c r="AX129" s="234">
        <f>IF(OR($A129="",$B129&lt;&gt;"Định kỳ",N($I129)=0),0,IF($AL129="",$I129,IF($AJ129&gt;0,$I129+($AL129+1)*$AJ129,IF($AK129&gt;0,EDATE($I129,($AL129+1)*$AK129),$I129))))</f>
      </c>
      <c r="AY129" s="233">
        <f>IF(OR($A129="",$B129&lt;&gt;"Đột xuất"),0,IF(N($K129)&gt;0,IF(MOD($K129,1)=0,$K129+1-1/1440,$K129),IF(N($J129)=0,0,$J129+IF(N($AU129)&gt;0,$AU129,IFERROR(INDEX(DM_SLA_Gio,MATCH($L129,DM_SLA_Cap,0)),168))/24)))</f>
      </c>
      <c r="AZ129" s="225">
        <f>IF(OR($A129="",TRIM($N129)="",COUNTIF('Phản ánh'!$K$6:$K$505,$N129)&gt;0,COUNTIF($N$6:$N129,$N129)&gt;1),0,1)</f>
      </c>
      <c r="BA129" s="225">
        <f>IF($AZ129=1,SUM($AZ$6:$AZ129),"")</f>
      </c>
      <c r="BB129" s="225">
        <f>IF(OR($AO129=0,N($AW129)=0),0,IF(TDBC&lt;=$AW129,0,MAX(1,MIN(4,IF((TDBC-$AW129)*24&lt;24,1,IF((TDBC-$AW129)*24&lt;72,2,IF((TDBC-$AW129)*24&lt;168,3,4)))+IF($B129="Đột xuất",IFERROR(INDEX({2,1,0,-1},MATCH($L129,{"Khẩn cấp","Cao","Trung bình","Thấp"},0)),0),IF($D129="PCCC và an ninh",1,0))))))</f>
      </c>
    </row>
    <row r="130">
      <c r="A130" s="216"/>
      <c r="B130" s="216"/>
      <c r="C130" s="218"/>
      <c r="D130" s="218"/>
      <c r="E130" s="218"/>
      <c r="F130" s="216"/>
      <c r="G130" s="218"/>
      <c r="H130" s="218"/>
      <c r="I130" s="231"/>
      <c r="J130" s="217"/>
      <c r="K130" s="217"/>
      <c r="L130" s="216"/>
      <c r="M130" s="216"/>
      <c r="N130" s="218"/>
      <c r="O130" s="218"/>
      <c r="P130" s="218"/>
      <c r="Q130" s="218"/>
      <c r="R130" s="219"/>
      <c r="S130" s="216"/>
      <c r="T130" s="232"/>
      <c r="U130" s="232"/>
      <c r="V130" s="218"/>
      <c r="W130" s="218"/>
      <c r="X130" s="220">
        <f>IF($A130="","",IF(OR($B130="Định kỳ",$AA130="Hoàn thành"),MAX(_xlfn.MAXIFS('Nhật ký tiến độ'!$B$6:$B$3005,'Nhật ký tiến độ'!$C$6:$C$3005,$A130,'Nhật ký tiến độ'!$E$6:$E$3005,"Hoàn thành kỳ"),_xlfn.MAXIFS('Nhật ký tiến độ'!$B$6:$B$3005,'Nhật ký tiến độ'!$C$6:$C$3005,$A130,'Nhật ký tiến độ'!$E$6:$E$3005,"Hoàn thành")),0))</f>
      </c>
      <c r="Y130" s="220">
        <f>IF($A130="","",IF($B130="Đột xuất",IF($AY130=0,"",$AY130),IF($AX130=0,"",$AX130)))</f>
      </c>
      <c r="Z130" s="223">
        <f>IF(OR($AO130=0,$AW130=0),"",IF(TDBC&gt;$AW130,"Quá "&amp;IF($B130="Định kỳ",(NgayBC-$AP130)&amp;" ngày",IF(((TDBC-$AW130)*24)&lt;1,MAX(1,ROUND(((TDBC-$AW130)*24)*60,0))&amp;" phút",IF(ROUND(((TDBC-$AW130)*24),0)&lt;24,ROUND(((TDBC-$AW130)*24),0)&amp;" giờ",INT(ROUND(((TDBC-$AW130)*24),0)/24)&amp;" ngày"&amp;IF(MOD(ROUND(((TDBC-$AW130)*24),0),24)&gt;0," "&amp;MOD(ROUND(((TDBC-$AW130)*24),0),24)&amp;" giờ","")))),IF($B130="Định kỳ",IF($AP130=NgayBC,"Hôm nay","Còn "&amp;($AP130-NgayBC)&amp;" ngày"),"Còn "&amp;IF((($AW130-TDBC)*24)&lt;1,MAX(1,ROUND((($AW130-TDBC)*24)*60,0))&amp;" phút",IF(ROUND((($AW130-TDBC)*24),0)&lt;24,ROUND((($AW130-TDBC)*24),0)&amp;" giờ",INT(ROUND((($AW130-TDBC)*24),0)/24)&amp;" ngày"&amp;IF(MOD(ROUND((($AW130-TDBC)*24),0),24)&gt;0," "&amp;MOD(ROUND((($AW130-TDBC)*24),0),24)&amp;" giờ",""))))))</f>
      </c>
      <c r="AA130" s="221">
        <f>IF($A130="","",IF(N($AM130)=0,"Chưa bắt đầu",IF(OR($AN130="Hoàn thành kỳ",$AN130="Hoàn thành"),IF($B130="Định kỳ","Chưa bắt đầu","Hoàn thành"),$AN130)))</f>
      </c>
      <c r="AB130" s="222">
        <f>IF($A130="","",IF($AA130="Hoàn thành",1,IF(OR(N($AM130)=0,$AN130="Hoàn thành kỳ",$AN130="Hoàn thành"),0,N(INDEX('Nhật ký tiến độ'!$D:$D,$AM130)))))</f>
      </c>
      <c r="AC130" s="222">
        <f>IF(OR($A130="",$B130&lt;&gt;"Đột xuất",$AA130="Hoàn thành",N($J130)=0,$AW130=0),"",IF(TDBC&lt;=$J130,0,IF(TDBC&gt;=$AW130,1,(TDBC-$J130)/($AW130-$J130))))</f>
      </c>
      <c r="AD130" s="223">
        <f>IF($A130="","",IF($AA130="Hoàn thành","Hoàn thành",IF($AW130=0,"Chưa đặt hạn",IF(TDBC&gt;$AW130,"Quá hạn",IF(AND($B130="Đột xuất",ROUND((N($AC130)-$AB130)*100,0)&gt;=20),"Chậm tiến độ",IF($AP130=NgayBC,"Đến hạn hôm nay",IF($B130="Đột xuất",IF($AW130-TDBC&lt;=1,"Sắp đến hạn","Đúng tiến độ"),IF($AP130-NgayBC&lt;=3,"Sắp đến hạn","Theo lịch"))))))))</f>
      </c>
      <c r="AE130" s="223">
        <f>IF($AV130="","",IF($B130="Định kỳ","Bình quân "&amp;IF($AV130&lt;1,MAX(1,ROUND($AV130*60,0))&amp;" phút",IF(ROUND($AV130,0)&lt;24,ROUND($AV130,0)&amp;" giờ",INT(ROUND($AV130,0)/24)&amp;" ngày"&amp;IF(MOD(ROUND($AV130,0),24)&gt;0," "&amp;MOD(ROUND($AV130,0),24)&amp;" giờ","")))&amp;" mỗi kỳ",IF($AV130&lt;1,MAX(1,ROUND($AV130*60,0))&amp;" phút",IF(ROUND($AV130,0)&lt;24,ROUND($AV130,0)&amp;" giờ",INT(ROUND($AV130,0)/24)&amp;" ngày"&amp;IF(MOD(ROUND($AV130,0),24)&gt;0," "&amp;MOD(ROUND($AV130,0),24)&amp;" giờ","")))))</f>
      </c>
      <c r="AF130" s="223">
        <f>IF(OR($A130="",N($AU130)=0),"",IF($AV130&lt;&gt;"",IF($AV130&lt;=$AU130,"Trong ước tính","Vượt "&amp;IF(($AV130-$AU130)&lt;1,MAX(1,ROUND(($AV130-$AU130)*60,0))&amp;" phút",IF(ROUND(($AV130-$AU130),0)&lt;24,ROUND(($AV130-$AU130),0)&amp;" giờ",INT(ROUND(($AV130-$AU130),0)/24)&amp;" ngày"&amp;IF(MOD(ROUND(($AV130-$AU130),0),24)&gt;0," "&amp;MOD(ROUND(($AV130-$AU130),0),24)&amp;" giờ","")))),IF(OR($B130&lt;&gt;"Đột xuất",$AA130="Hoàn thành",N($J130)=0),"",IF((TDBC-$J130)*24&gt;$AU130,"Đã vượt ước tính","Đã dùng "&amp;TEXT((TDBC-$J130)*24/$AU130,"0%")))))</f>
      </c>
      <c r="AG130" s="223">
        <f>IF(N($BB130)=0,"",CHOOSE($BB130,"Nhắc nhở","Cảnh báo","Báo động","Báo động đỏ"))</f>
      </c>
      <c r="AH130" s="223">
        <f>IF(OR($B130&lt;&gt;"Đột xuất",$AA130&lt;&gt;"Hoàn thành",N($X130)=0,$AW130=0),"",IF($X130&lt;=$AW130,"Đúng hạn","Trễ hạn"))</f>
      </c>
      <c r="AI130" s="220">
        <f>IF($A130="","",_xlfn.MAXIFS('Nhật ký tiến độ'!$B$6:$B$3005,'Nhật ký tiến độ'!$C$6:$C$3005,$A130))</f>
      </c>
      <c r="AJ130" s="225">
        <f>IF(OR($A130="",$B130&lt;&gt;"Định kỳ"),0,IFERROR(INDEX(DM_TanSuatNgay,MATCH($H130,DM_TanSuat,0)),0))</f>
      </c>
      <c r="AK130" s="225">
        <f>IF(OR($A130="",$B130&lt;&gt;"Định kỳ"),0,IFERROR(INDEX(DM_TanSuatThang,MATCH($H130,DM_TanSuat,0)),0))</f>
      </c>
      <c r="AL130" s="225">
        <f>IF(OR($A130="",$B130&lt;&gt;"Định kỳ",N($X130)=0,N($I130)=0),"",IF(INT($X130)&lt;$I130,0,IF($AJ130&gt;0,ROUND((INT($X130)-$I130)/$AJ130,0),IF($AK130&gt;0,ROUND((DATEDIF($I130,INT($X130),"m")+(INT($X130)-EDATE($I130,DATEDIF($I130,INT($X130),"m")))/(EDATE($I130,DATEDIF($I130,INT($X130),"m")+1)-EDATE($I130,DATEDIF($I130,INT($X130),"m"))))/$AK130,0),0))))</f>
      </c>
      <c r="AM130" s="225">
        <f>IF($A130="","",IF(COUNTIF('Nhật ký tiến độ'!$C$6:$C$3005,$A130)=0,0,_xlfn.MAXIFS('Nhật ký tiến độ'!$N$6:$N$3005,'Nhật ký tiến độ'!$C$6:$C$3005,$A130,'Nhật ký tiến độ'!$B$6:$B$3005,_xlfn.MAXIFS('Nhật ký tiến độ'!$B$6:$B$3005,'Nhật ký tiến độ'!$C$6:$C$3005,$A130))))</f>
      </c>
      <c r="AN130" s="225">
        <f>IF($A130="","",IF(N($AM130)=0,"",INDEX('Nhật ký tiến độ'!$E:$E,$AM130)))</f>
      </c>
      <c r="AO130" s="225">
        <f>IF($A130="",0,IF($AA130="Hoàn thành",0,1))</f>
      </c>
      <c r="AP130" s="225">
        <f>IF($AO130=0,0,INT(N($AW130)))</f>
      </c>
      <c r="AQ130" s="225">
        <f>IF(AND($AO130=1,$AJ130&gt;1),$AJ130,0)</f>
      </c>
      <c r="AR130" s="225">
        <f>IF(AND($AO130=1,$AJ130=1),1,0)</f>
      </c>
      <c r="AS130" s="225">
        <f>IF(OR($AO130=0,AND($AR130=1,N($BB130)=0)),"",IF(N($BB130)&gt;0,5-$BB130,IF($AD130="Chậm tiến độ",6,IF($AD130="Đến hạn hôm nay",7,IF(AND($AP130&gt;0,$AP130-NgayBC&lt;=7),8,"")))))</f>
      </c>
      <c r="AT130" s="225">
        <f>IF($AS130="","",$AS130*100000+$AP130+ROW()/100000)</f>
      </c>
      <c r="AU130" s="224">
        <f>IF(OR($A130="",N($R130)&lt;=0),"",IF($S130="Ngày",$R130*24,$R130))</f>
      </c>
      <c r="AV130" s="224">
        <f>IF($A130="","",IF($B130="Đột xuất",IF(OR($AA130&lt;&gt;"Hoàn thành",N($X130)=0,N($J130)=0),"",IF($X130&lt;$J130,"",($X130-$J130)*24)),IFERROR(AVERAGEIFS('Nhật ký tiến độ'!$H$6:$H$3005,'Nhật ký tiến độ'!$C$6:$C$3005,$A130,'Nhật ký tiến độ'!$H$6:$H$3005,"&gt;0"),"")))</f>
      </c>
      <c r="AW130" s="233">
        <f>IF($A130="",0,IF($B130="Đột xuất",$AY130,IF($AX130=0,0,$AX130+1-1/1440)))</f>
      </c>
      <c r="AX130" s="234">
        <f>IF(OR($A130="",$B130&lt;&gt;"Định kỳ",N($I130)=0),0,IF($AL130="",$I130,IF($AJ130&gt;0,$I130+($AL130+1)*$AJ130,IF($AK130&gt;0,EDATE($I130,($AL130+1)*$AK130),$I130))))</f>
      </c>
      <c r="AY130" s="233">
        <f>IF(OR($A130="",$B130&lt;&gt;"Đột xuất"),0,IF(N($K130)&gt;0,IF(MOD($K130,1)=0,$K130+1-1/1440,$K130),IF(N($J130)=0,0,$J130+IF(N($AU130)&gt;0,$AU130,IFERROR(INDEX(DM_SLA_Gio,MATCH($L130,DM_SLA_Cap,0)),168))/24)))</f>
      </c>
      <c r="AZ130" s="225">
        <f>IF(OR($A130="",TRIM($N130)="",COUNTIF('Phản ánh'!$K$6:$K$505,$N130)&gt;0,COUNTIF($N$6:$N130,$N130)&gt;1),0,1)</f>
      </c>
      <c r="BA130" s="225">
        <f>IF($AZ130=1,SUM($AZ$6:$AZ130),"")</f>
      </c>
      <c r="BB130" s="225">
        <f>IF(OR($AO130=0,N($AW130)=0),0,IF(TDBC&lt;=$AW130,0,MAX(1,MIN(4,IF((TDBC-$AW130)*24&lt;24,1,IF((TDBC-$AW130)*24&lt;72,2,IF((TDBC-$AW130)*24&lt;168,3,4)))+IF($B130="Đột xuất",IFERROR(INDEX({2,1,0,-1},MATCH($L130,{"Khẩn cấp","Cao","Trung bình","Thấp"},0)),0),IF($D130="PCCC và an ninh",1,0))))))</f>
      </c>
    </row>
    <row r="131">
      <c r="A131" s="216"/>
      <c r="B131" s="216"/>
      <c r="C131" s="218"/>
      <c r="D131" s="218"/>
      <c r="E131" s="218"/>
      <c r="F131" s="216"/>
      <c r="G131" s="218"/>
      <c r="H131" s="218"/>
      <c r="I131" s="231"/>
      <c r="J131" s="217"/>
      <c r="K131" s="217"/>
      <c r="L131" s="216"/>
      <c r="M131" s="216"/>
      <c r="N131" s="218"/>
      <c r="O131" s="218"/>
      <c r="P131" s="218"/>
      <c r="Q131" s="218"/>
      <c r="R131" s="219"/>
      <c r="S131" s="216"/>
      <c r="T131" s="232"/>
      <c r="U131" s="232"/>
      <c r="V131" s="218"/>
      <c r="W131" s="218"/>
      <c r="X131" s="220">
        <f>IF($A131="","",IF(OR($B131="Định kỳ",$AA131="Hoàn thành"),MAX(_xlfn.MAXIFS('Nhật ký tiến độ'!$B$6:$B$3005,'Nhật ký tiến độ'!$C$6:$C$3005,$A131,'Nhật ký tiến độ'!$E$6:$E$3005,"Hoàn thành kỳ"),_xlfn.MAXIFS('Nhật ký tiến độ'!$B$6:$B$3005,'Nhật ký tiến độ'!$C$6:$C$3005,$A131,'Nhật ký tiến độ'!$E$6:$E$3005,"Hoàn thành")),0))</f>
      </c>
      <c r="Y131" s="220">
        <f>IF($A131="","",IF($B131="Đột xuất",IF($AY131=0,"",$AY131),IF($AX131=0,"",$AX131)))</f>
      </c>
      <c r="Z131" s="223">
        <f>IF(OR($AO131=0,$AW131=0),"",IF(TDBC&gt;$AW131,"Quá "&amp;IF($B131="Định kỳ",(NgayBC-$AP131)&amp;" ngày",IF(((TDBC-$AW131)*24)&lt;1,MAX(1,ROUND(((TDBC-$AW131)*24)*60,0))&amp;" phút",IF(ROUND(((TDBC-$AW131)*24),0)&lt;24,ROUND(((TDBC-$AW131)*24),0)&amp;" giờ",INT(ROUND(((TDBC-$AW131)*24),0)/24)&amp;" ngày"&amp;IF(MOD(ROUND(((TDBC-$AW131)*24),0),24)&gt;0," "&amp;MOD(ROUND(((TDBC-$AW131)*24),0),24)&amp;" giờ","")))),IF($B131="Định kỳ",IF($AP131=NgayBC,"Hôm nay","Còn "&amp;($AP131-NgayBC)&amp;" ngày"),"Còn "&amp;IF((($AW131-TDBC)*24)&lt;1,MAX(1,ROUND((($AW131-TDBC)*24)*60,0))&amp;" phút",IF(ROUND((($AW131-TDBC)*24),0)&lt;24,ROUND((($AW131-TDBC)*24),0)&amp;" giờ",INT(ROUND((($AW131-TDBC)*24),0)/24)&amp;" ngày"&amp;IF(MOD(ROUND((($AW131-TDBC)*24),0),24)&gt;0," "&amp;MOD(ROUND((($AW131-TDBC)*24),0),24)&amp;" giờ",""))))))</f>
      </c>
      <c r="AA131" s="221">
        <f>IF($A131="","",IF(N($AM131)=0,"Chưa bắt đầu",IF(OR($AN131="Hoàn thành kỳ",$AN131="Hoàn thành"),IF($B131="Định kỳ","Chưa bắt đầu","Hoàn thành"),$AN131)))</f>
      </c>
      <c r="AB131" s="222">
        <f>IF($A131="","",IF($AA131="Hoàn thành",1,IF(OR(N($AM131)=0,$AN131="Hoàn thành kỳ",$AN131="Hoàn thành"),0,N(INDEX('Nhật ký tiến độ'!$D:$D,$AM131)))))</f>
      </c>
      <c r="AC131" s="222">
        <f>IF(OR($A131="",$B131&lt;&gt;"Đột xuất",$AA131="Hoàn thành",N($J131)=0,$AW131=0),"",IF(TDBC&lt;=$J131,0,IF(TDBC&gt;=$AW131,1,(TDBC-$J131)/($AW131-$J131))))</f>
      </c>
      <c r="AD131" s="223">
        <f>IF($A131="","",IF($AA131="Hoàn thành","Hoàn thành",IF($AW131=0,"Chưa đặt hạn",IF(TDBC&gt;$AW131,"Quá hạn",IF(AND($B131="Đột xuất",ROUND((N($AC131)-$AB131)*100,0)&gt;=20),"Chậm tiến độ",IF($AP131=NgayBC,"Đến hạn hôm nay",IF($B131="Đột xuất",IF($AW131-TDBC&lt;=1,"Sắp đến hạn","Đúng tiến độ"),IF($AP131-NgayBC&lt;=3,"Sắp đến hạn","Theo lịch"))))))))</f>
      </c>
      <c r="AE131" s="223">
        <f>IF($AV131="","",IF($B131="Định kỳ","Bình quân "&amp;IF($AV131&lt;1,MAX(1,ROUND($AV131*60,0))&amp;" phút",IF(ROUND($AV131,0)&lt;24,ROUND($AV131,0)&amp;" giờ",INT(ROUND($AV131,0)/24)&amp;" ngày"&amp;IF(MOD(ROUND($AV131,0),24)&gt;0," "&amp;MOD(ROUND($AV131,0),24)&amp;" giờ","")))&amp;" mỗi kỳ",IF($AV131&lt;1,MAX(1,ROUND($AV131*60,0))&amp;" phút",IF(ROUND($AV131,0)&lt;24,ROUND($AV131,0)&amp;" giờ",INT(ROUND($AV131,0)/24)&amp;" ngày"&amp;IF(MOD(ROUND($AV131,0),24)&gt;0," "&amp;MOD(ROUND($AV131,0),24)&amp;" giờ","")))))</f>
      </c>
      <c r="AF131" s="223">
        <f>IF(OR($A131="",N($AU131)=0),"",IF($AV131&lt;&gt;"",IF($AV131&lt;=$AU131,"Trong ước tính","Vượt "&amp;IF(($AV131-$AU131)&lt;1,MAX(1,ROUND(($AV131-$AU131)*60,0))&amp;" phút",IF(ROUND(($AV131-$AU131),0)&lt;24,ROUND(($AV131-$AU131),0)&amp;" giờ",INT(ROUND(($AV131-$AU131),0)/24)&amp;" ngày"&amp;IF(MOD(ROUND(($AV131-$AU131),0),24)&gt;0," "&amp;MOD(ROUND(($AV131-$AU131),0),24)&amp;" giờ","")))),IF(OR($B131&lt;&gt;"Đột xuất",$AA131="Hoàn thành",N($J131)=0),"",IF((TDBC-$J131)*24&gt;$AU131,"Đã vượt ước tính","Đã dùng "&amp;TEXT((TDBC-$J131)*24/$AU131,"0%")))))</f>
      </c>
      <c r="AG131" s="223">
        <f>IF(N($BB131)=0,"",CHOOSE($BB131,"Nhắc nhở","Cảnh báo","Báo động","Báo động đỏ"))</f>
      </c>
      <c r="AH131" s="223">
        <f>IF(OR($B131&lt;&gt;"Đột xuất",$AA131&lt;&gt;"Hoàn thành",N($X131)=0,$AW131=0),"",IF($X131&lt;=$AW131,"Đúng hạn","Trễ hạn"))</f>
      </c>
      <c r="AI131" s="220">
        <f>IF($A131="","",_xlfn.MAXIFS('Nhật ký tiến độ'!$B$6:$B$3005,'Nhật ký tiến độ'!$C$6:$C$3005,$A131))</f>
      </c>
      <c r="AJ131" s="225">
        <f>IF(OR($A131="",$B131&lt;&gt;"Định kỳ"),0,IFERROR(INDEX(DM_TanSuatNgay,MATCH($H131,DM_TanSuat,0)),0))</f>
      </c>
      <c r="AK131" s="225">
        <f>IF(OR($A131="",$B131&lt;&gt;"Định kỳ"),0,IFERROR(INDEX(DM_TanSuatThang,MATCH($H131,DM_TanSuat,0)),0))</f>
      </c>
      <c r="AL131" s="225">
        <f>IF(OR($A131="",$B131&lt;&gt;"Định kỳ",N($X131)=0,N($I131)=0),"",IF(INT($X131)&lt;$I131,0,IF($AJ131&gt;0,ROUND((INT($X131)-$I131)/$AJ131,0),IF($AK131&gt;0,ROUND((DATEDIF($I131,INT($X131),"m")+(INT($X131)-EDATE($I131,DATEDIF($I131,INT($X131),"m")))/(EDATE($I131,DATEDIF($I131,INT($X131),"m")+1)-EDATE($I131,DATEDIF($I131,INT($X131),"m"))))/$AK131,0),0))))</f>
      </c>
      <c r="AM131" s="225">
        <f>IF($A131="","",IF(COUNTIF('Nhật ký tiến độ'!$C$6:$C$3005,$A131)=0,0,_xlfn.MAXIFS('Nhật ký tiến độ'!$N$6:$N$3005,'Nhật ký tiến độ'!$C$6:$C$3005,$A131,'Nhật ký tiến độ'!$B$6:$B$3005,_xlfn.MAXIFS('Nhật ký tiến độ'!$B$6:$B$3005,'Nhật ký tiến độ'!$C$6:$C$3005,$A131))))</f>
      </c>
      <c r="AN131" s="225">
        <f>IF($A131="","",IF(N($AM131)=0,"",INDEX('Nhật ký tiến độ'!$E:$E,$AM131)))</f>
      </c>
      <c r="AO131" s="225">
        <f>IF($A131="",0,IF($AA131="Hoàn thành",0,1))</f>
      </c>
      <c r="AP131" s="225">
        <f>IF($AO131=0,0,INT(N($AW131)))</f>
      </c>
      <c r="AQ131" s="225">
        <f>IF(AND($AO131=1,$AJ131&gt;1),$AJ131,0)</f>
      </c>
      <c r="AR131" s="225">
        <f>IF(AND($AO131=1,$AJ131=1),1,0)</f>
      </c>
      <c r="AS131" s="225">
        <f>IF(OR($AO131=0,AND($AR131=1,N($BB131)=0)),"",IF(N($BB131)&gt;0,5-$BB131,IF($AD131="Chậm tiến độ",6,IF($AD131="Đến hạn hôm nay",7,IF(AND($AP131&gt;0,$AP131-NgayBC&lt;=7),8,"")))))</f>
      </c>
      <c r="AT131" s="225">
        <f>IF($AS131="","",$AS131*100000+$AP131+ROW()/100000)</f>
      </c>
      <c r="AU131" s="224">
        <f>IF(OR($A131="",N($R131)&lt;=0),"",IF($S131="Ngày",$R131*24,$R131))</f>
      </c>
      <c r="AV131" s="224">
        <f>IF($A131="","",IF($B131="Đột xuất",IF(OR($AA131&lt;&gt;"Hoàn thành",N($X131)=0,N($J131)=0),"",IF($X131&lt;$J131,"",($X131-$J131)*24)),IFERROR(AVERAGEIFS('Nhật ký tiến độ'!$H$6:$H$3005,'Nhật ký tiến độ'!$C$6:$C$3005,$A131,'Nhật ký tiến độ'!$H$6:$H$3005,"&gt;0"),"")))</f>
      </c>
      <c r="AW131" s="233">
        <f>IF($A131="",0,IF($B131="Đột xuất",$AY131,IF($AX131=0,0,$AX131+1-1/1440)))</f>
      </c>
      <c r="AX131" s="234">
        <f>IF(OR($A131="",$B131&lt;&gt;"Định kỳ",N($I131)=0),0,IF($AL131="",$I131,IF($AJ131&gt;0,$I131+($AL131+1)*$AJ131,IF($AK131&gt;0,EDATE($I131,($AL131+1)*$AK131),$I131))))</f>
      </c>
      <c r="AY131" s="233">
        <f>IF(OR($A131="",$B131&lt;&gt;"Đột xuất"),0,IF(N($K131)&gt;0,IF(MOD($K131,1)=0,$K131+1-1/1440,$K131),IF(N($J131)=0,0,$J131+IF(N($AU131)&gt;0,$AU131,IFERROR(INDEX(DM_SLA_Gio,MATCH($L131,DM_SLA_Cap,0)),168))/24)))</f>
      </c>
      <c r="AZ131" s="225">
        <f>IF(OR($A131="",TRIM($N131)="",COUNTIF('Phản ánh'!$K$6:$K$505,$N131)&gt;0,COUNTIF($N$6:$N131,$N131)&gt;1),0,1)</f>
      </c>
      <c r="BA131" s="225">
        <f>IF($AZ131=1,SUM($AZ$6:$AZ131),"")</f>
      </c>
      <c r="BB131" s="225">
        <f>IF(OR($AO131=0,N($AW131)=0),0,IF(TDBC&lt;=$AW131,0,MAX(1,MIN(4,IF((TDBC-$AW131)*24&lt;24,1,IF((TDBC-$AW131)*24&lt;72,2,IF((TDBC-$AW131)*24&lt;168,3,4)))+IF($B131="Đột xuất",IFERROR(INDEX({2,1,0,-1},MATCH($L131,{"Khẩn cấp","Cao","Trung bình","Thấp"},0)),0),IF($D131="PCCC và an ninh",1,0))))))</f>
      </c>
    </row>
    <row r="132">
      <c r="A132" s="216"/>
      <c r="B132" s="216"/>
      <c r="C132" s="218"/>
      <c r="D132" s="218"/>
      <c r="E132" s="218"/>
      <c r="F132" s="216"/>
      <c r="G132" s="218"/>
      <c r="H132" s="218"/>
      <c r="I132" s="231"/>
      <c r="J132" s="217"/>
      <c r="K132" s="217"/>
      <c r="L132" s="216"/>
      <c r="M132" s="216"/>
      <c r="N132" s="218"/>
      <c r="O132" s="218"/>
      <c r="P132" s="218"/>
      <c r="Q132" s="218"/>
      <c r="R132" s="219"/>
      <c r="S132" s="216"/>
      <c r="T132" s="232"/>
      <c r="U132" s="232"/>
      <c r="V132" s="218"/>
      <c r="W132" s="218"/>
      <c r="X132" s="220">
        <f>IF($A132="","",IF(OR($B132="Định kỳ",$AA132="Hoàn thành"),MAX(_xlfn.MAXIFS('Nhật ký tiến độ'!$B$6:$B$3005,'Nhật ký tiến độ'!$C$6:$C$3005,$A132,'Nhật ký tiến độ'!$E$6:$E$3005,"Hoàn thành kỳ"),_xlfn.MAXIFS('Nhật ký tiến độ'!$B$6:$B$3005,'Nhật ký tiến độ'!$C$6:$C$3005,$A132,'Nhật ký tiến độ'!$E$6:$E$3005,"Hoàn thành")),0))</f>
      </c>
      <c r="Y132" s="220">
        <f>IF($A132="","",IF($B132="Đột xuất",IF($AY132=0,"",$AY132),IF($AX132=0,"",$AX132)))</f>
      </c>
      <c r="Z132" s="223">
        <f>IF(OR($AO132=0,$AW132=0),"",IF(TDBC&gt;$AW132,"Quá "&amp;IF($B132="Định kỳ",(NgayBC-$AP132)&amp;" ngày",IF(((TDBC-$AW132)*24)&lt;1,MAX(1,ROUND(((TDBC-$AW132)*24)*60,0))&amp;" phút",IF(ROUND(((TDBC-$AW132)*24),0)&lt;24,ROUND(((TDBC-$AW132)*24),0)&amp;" giờ",INT(ROUND(((TDBC-$AW132)*24),0)/24)&amp;" ngày"&amp;IF(MOD(ROUND(((TDBC-$AW132)*24),0),24)&gt;0," "&amp;MOD(ROUND(((TDBC-$AW132)*24),0),24)&amp;" giờ","")))),IF($B132="Định kỳ",IF($AP132=NgayBC,"Hôm nay","Còn "&amp;($AP132-NgayBC)&amp;" ngày"),"Còn "&amp;IF((($AW132-TDBC)*24)&lt;1,MAX(1,ROUND((($AW132-TDBC)*24)*60,0))&amp;" phút",IF(ROUND((($AW132-TDBC)*24),0)&lt;24,ROUND((($AW132-TDBC)*24),0)&amp;" giờ",INT(ROUND((($AW132-TDBC)*24),0)/24)&amp;" ngày"&amp;IF(MOD(ROUND((($AW132-TDBC)*24),0),24)&gt;0," "&amp;MOD(ROUND((($AW132-TDBC)*24),0),24)&amp;" giờ",""))))))</f>
      </c>
      <c r="AA132" s="221">
        <f>IF($A132="","",IF(N($AM132)=0,"Chưa bắt đầu",IF(OR($AN132="Hoàn thành kỳ",$AN132="Hoàn thành"),IF($B132="Định kỳ","Chưa bắt đầu","Hoàn thành"),$AN132)))</f>
      </c>
      <c r="AB132" s="222">
        <f>IF($A132="","",IF($AA132="Hoàn thành",1,IF(OR(N($AM132)=0,$AN132="Hoàn thành kỳ",$AN132="Hoàn thành"),0,N(INDEX('Nhật ký tiến độ'!$D:$D,$AM132)))))</f>
      </c>
      <c r="AC132" s="222">
        <f>IF(OR($A132="",$B132&lt;&gt;"Đột xuất",$AA132="Hoàn thành",N($J132)=0,$AW132=0),"",IF(TDBC&lt;=$J132,0,IF(TDBC&gt;=$AW132,1,(TDBC-$J132)/($AW132-$J132))))</f>
      </c>
      <c r="AD132" s="223">
        <f>IF($A132="","",IF($AA132="Hoàn thành","Hoàn thành",IF($AW132=0,"Chưa đặt hạn",IF(TDBC&gt;$AW132,"Quá hạn",IF(AND($B132="Đột xuất",ROUND((N($AC132)-$AB132)*100,0)&gt;=20),"Chậm tiến độ",IF($AP132=NgayBC,"Đến hạn hôm nay",IF($B132="Đột xuất",IF($AW132-TDBC&lt;=1,"Sắp đến hạn","Đúng tiến độ"),IF($AP132-NgayBC&lt;=3,"Sắp đến hạn","Theo lịch"))))))))</f>
      </c>
      <c r="AE132" s="223">
        <f>IF($AV132="","",IF($B132="Định kỳ","Bình quân "&amp;IF($AV132&lt;1,MAX(1,ROUND($AV132*60,0))&amp;" phút",IF(ROUND($AV132,0)&lt;24,ROUND($AV132,0)&amp;" giờ",INT(ROUND($AV132,0)/24)&amp;" ngày"&amp;IF(MOD(ROUND($AV132,0),24)&gt;0," "&amp;MOD(ROUND($AV132,0),24)&amp;" giờ","")))&amp;" mỗi kỳ",IF($AV132&lt;1,MAX(1,ROUND($AV132*60,0))&amp;" phút",IF(ROUND($AV132,0)&lt;24,ROUND($AV132,0)&amp;" giờ",INT(ROUND($AV132,0)/24)&amp;" ngày"&amp;IF(MOD(ROUND($AV132,0),24)&gt;0," "&amp;MOD(ROUND($AV132,0),24)&amp;" giờ","")))))</f>
      </c>
      <c r="AF132" s="223">
        <f>IF(OR($A132="",N($AU132)=0),"",IF($AV132&lt;&gt;"",IF($AV132&lt;=$AU132,"Trong ước tính","Vượt "&amp;IF(($AV132-$AU132)&lt;1,MAX(1,ROUND(($AV132-$AU132)*60,0))&amp;" phút",IF(ROUND(($AV132-$AU132),0)&lt;24,ROUND(($AV132-$AU132),0)&amp;" giờ",INT(ROUND(($AV132-$AU132),0)/24)&amp;" ngày"&amp;IF(MOD(ROUND(($AV132-$AU132),0),24)&gt;0," "&amp;MOD(ROUND(($AV132-$AU132),0),24)&amp;" giờ","")))),IF(OR($B132&lt;&gt;"Đột xuất",$AA132="Hoàn thành",N($J132)=0),"",IF((TDBC-$J132)*24&gt;$AU132,"Đã vượt ước tính","Đã dùng "&amp;TEXT((TDBC-$J132)*24/$AU132,"0%")))))</f>
      </c>
      <c r="AG132" s="223">
        <f>IF(N($BB132)=0,"",CHOOSE($BB132,"Nhắc nhở","Cảnh báo","Báo động","Báo động đỏ"))</f>
      </c>
      <c r="AH132" s="223">
        <f>IF(OR($B132&lt;&gt;"Đột xuất",$AA132&lt;&gt;"Hoàn thành",N($X132)=0,$AW132=0),"",IF($X132&lt;=$AW132,"Đúng hạn","Trễ hạn"))</f>
      </c>
      <c r="AI132" s="220">
        <f>IF($A132="","",_xlfn.MAXIFS('Nhật ký tiến độ'!$B$6:$B$3005,'Nhật ký tiến độ'!$C$6:$C$3005,$A132))</f>
      </c>
      <c r="AJ132" s="225">
        <f>IF(OR($A132="",$B132&lt;&gt;"Định kỳ"),0,IFERROR(INDEX(DM_TanSuatNgay,MATCH($H132,DM_TanSuat,0)),0))</f>
      </c>
      <c r="AK132" s="225">
        <f>IF(OR($A132="",$B132&lt;&gt;"Định kỳ"),0,IFERROR(INDEX(DM_TanSuatThang,MATCH($H132,DM_TanSuat,0)),0))</f>
      </c>
      <c r="AL132" s="225">
        <f>IF(OR($A132="",$B132&lt;&gt;"Định kỳ",N($X132)=0,N($I132)=0),"",IF(INT($X132)&lt;$I132,0,IF($AJ132&gt;0,ROUND((INT($X132)-$I132)/$AJ132,0),IF($AK132&gt;0,ROUND((DATEDIF($I132,INT($X132),"m")+(INT($X132)-EDATE($I132,DATEDIF($I132,INT($X132),"m")))/(EDATE($I132,DATEDIF($I132,INT($X132),"m")+1)-EDATE($I132,DATEDIF($I132,INT($X132),"m"))))/$AK132,0),0))))</f>
      </c>
      <c r="AM132" s="225">
        <f>IF($A132="","",IF(COUNTIF('Nhật ký tiến độ'!$C$6:$C$3005,$A132)=0,0,_xlfn.MAXIFS('Nhật ký tiến độ'!$N$6:$N$3005,'Nhật ký tiến độ'!$C$6:$C$3005,$A132,'Nhật ký tiến độ'!$B$6:$B$3005,_xlfn.MAXIFS('Nhật ký tiến độ'!$B$6:$B$3005,'Nhật ký tiến độ'!$C$6:$C$3005,$A132))))</f>
      </c>
      <c r="AN132" s="225">
        <f>IF($A132="","",IF(N($AM132)=0,"",INDEX('Nhật ký tiến độ'!$E:$E,$AM132)))</f>
      </c>
      <c r="AO132" s="225">
        <f>IF($A132="",0,IF($AA132="Hoàn thành",0,1))</f>
      </c>
      <c r="AP132" s="225">
        <f>IF($AO132=0,0,INT(N($AW132)))</f>
      </c>
      <c r="AQ132" s="225">
        <f>IF(AND($AO132=1,$AJ132&gt;1),$AJ132,0)</f>
      </c>
      <c r="AR132" s="225">
        <f>IF(AND($AO132=1,$AJ132=1),1,0)</f>
      </c>
      <c r="AS132" s="225">
        <f>IF(OR($AO132=0,AND($AR132=1,N($BB132)=0)),"",IF(N($BB132)&gt;0,5-$BB132,IF($AD132="Chậm tiến độ",6,IF($AD132="Đến hạn hôm nay",7,IF(AND($AP132&gt;0,$AP132-NgayBC&lt;=7),8,"")))))</f>
      </c>
      <c r="AT132" s="225">
        <f>IF($AS132="","",$AS132*100000+$AP132+ROW()/100000)</f>
      </c>
      <c r="AU132" s="224">
        <f>IF(OR($A132="",N($R132)&lt;=0),"",IF($S132="Ngày",$R132*24,$R132))</f>
      </c>
      <c r="AV132" s="224">
        <f>IF($A132="","",IF($B132="Đột xuất",IF(OR($AA132&lt;&gt;"Hoàn thành",N($X132)=0,N($J132)=0),"",IF($X132&lt;$J132,"",($X132-$J132)*24)),IFERROR(AVERAGEIFS('Nhật ký tiến độ'!$H$6:$H$3005,'Nhật ký tiến độ'!$C$6:$C$3005,$A132,'Nhật ký tiến độ'!$H$6:$H$3005,"&gt;0"),"")))</f>
      </c>
      <c r="AW132" s="233">
        <f>IF($A132="",0,IF($B132="Đột xuất",$AY132,IF($AX132=0,0,$AX132+1-1/1440)))</f>
      </c>
      <c r="AX132" s="234">
        <f>IF(OR($A132="",$B132&lt;&gt;"Định kỳ",N($I132)=0),0,IF($AL132="",$I132,IF($AJ132&gt;0,$I132+($AL132+1)*$AJ132,IF($AK132&gt;0,EDATE($I132,($AL132+1)*$AK132),$I132))))</f>
      </c>
      <c r="AY132" s="233">
        <f>IF(OR($A132="",$B132&lt;&gt;"Đột xuất"),0,IF(N($K132)&gt;0,IF(MOD($K132,1)=0,$K132+1-1/1440,$K132),IF(N($J132)=0,0,$J132+IF(N($AU132)&gt;0,$AU132,IFERROR(INDEX(DM_SLA_Gio,MATCH($L132,DM_SLA_Cap,0)),168))/24)))</f>
      </c>
      <c r="AZ132" s="225">
        <f>IF(OR($A132="",TRIM($N132)="",COUNTIF('Phản ánh'!$K$6:$K$505,$N132)&gt;0,COUNTIF($N$6:$N132,$N132)&gt;1),0,1)</f>
      </c>
      <c r="BA132" s="225">
        <f>IF($AZ132=1,SUM($AZ$6:$AZ132),"")</f>
      </c>
      <c r="BB132" s="225">
        <f>IF(OR($AO132=0,N($AW132)=0),0,IF(TDBC&lt;=$AW132,0,MAX(1,MIN(4,IF((TDBC-$AW132)*24&lt;24,1,IF((TDBC-$AW132)*24&lt;72,2,IF((TDBC-$AW132)*24&lt;168,3,4)))+IF($B132="Đột xuất",IFERROR(INDEX({2,1,0,-1},MATCH($L132,{"Khẩn cấp","Cao","Trung bình","Thấp"},0)),0),IF($D132="PCCC và an ninh",1,0))))))</f>
      </c>
    </row>
    <row r="133">
      <c r="A133" s="216"/>
      <c r="B133" s="216"/>
      <c r="C133" s="218"/>
      <c r="D133" s="218"/>
      <c r="E133" s="218"/>
      <c r="F133" s="216"/>
      <c r="G133" s="218"/>
      <c r="H133" s="218"/>
      <c r="I133" s="231"/>
      <c r="J133" s="217"/>
      <c r="K133" s="217"/>
      <c r="L133" s="216"/>
      <c r="M133" s="216"/>
      <c r="N133" s="218"/>
      <c r="O133" s="218"/>
      <c r="P133" s="218"/>
      <c r="Q133" s="218"/>
      <c r="R133" s="219"/>
      <c r="S133" s="216"/>
      <c r="T133" s="232"/>
      <c r="U133" s="232"/>
      <c r="V133" s="218"/>
      <c r="W133" s="218"/>
      <c r="X133" s="220">
        <f>IF($A133="","",IF(OR($B133="Định kỳ",$AA133="Hoàn thành"),MAX(_xlfn.MAXIFS('Nhật ký tiến độ'!$B$6:$B$3005,'Nhật ký tiến độ'!$C$6:$C$3005,$A133,'Nhật ký tiến độ'!$E$6:$E$3005,"Hoàn thành kỳ"),_xlfn.MAXIFS('Nhật ký tiến độ'!$B$6:$B$3005,'Nhật ký tiến độ'!$C$6:$C$3005,$A133,'Nhật ký tiến độ'!$E$6:$E$3005,"Hoàn thành")),0))</f>
      </c>
      <c r="Y133" s="220">
        <f>IF($A133="","",IF($B133="Đột xuất",IF($AY133=0,"",$AY133),IF($AX133=0,"",$AX133)))</f>
      </c>
      <c r="Z133" s="223">
        <f>IF(OR($AO133=0,$AW133=0),"",IF(TDBC&gt;$AW133,"Quá "&amp;IF($B133="Định kỳ",(NgayBC-$AP133)&amp;" ngày",IF(((TDBC-$AW133)*24)&lt;1,MAX(1,ROUND(((TDBC-$AW133)*24)*60,0))&amp;" phút",IF(ROUND(((TDBC-$AW133)*24),0)&lt;24,ROUND(((TDBC-$AW133)*24),0)&amp;" giờ",INT(ROUND(((TDBC-$AW133)*24),0)/24)&amp;" ngày"&amp;IF(MOD(ROUND(((TDBC-$AW133)*24),0),24)&gt;0," "&amp;MOD(ROUND(((TDBC-$AW133)*24),0),24)&amp;" giờ","")))),IF($B133="Định kỳ",IF($AP133=NgayBC,"Hôm nay","Còn "&amp;($AP133-NgayBC)&amp;" ngày"),"Còn "&amp;IF((($AW133-TDBC)*24)&lt;1,MAX(1,ROUND((($AW133-TDBC)*24)*60,0))&amp;" phút",IF(ROUND((($AW133-TDBC)*24),0)&lt;24,ROUND((($AW133-TDBC)*24),0)&amp;" giờ",INT(ROUND((($AW133-TDBC)*24),0)/24)&amp;" ngày"&amp;IF(MOD(ROUND((($AW133-TDBC)*24),0),24)&gt;0," "&amp;MOD(ROUND((($AW133-TDBC)*24),0),24)&amp;" giờ",""))))))</f>
      </c>
      <c r="AA133" s="221">
        <f>IF($A133="","",IF(N($AM133)=0,"Chưa bắt đầu",IF(OR($AN133="Hoàn thành kỳ",$AN133="Hoàn thành"),IF($B133="Định kỳ","Chưa bắt đầu","Hoàn thành"),$AN133)))</f>
      </c>
      <c r="AB133" s="222">
        <f>IF($A133="","",IF($AA133="Hoàn thành",1,IF(OR(N($AM133)=0,$AN133="Hoàn thành kỳ",$AN133="Hoàn thành"),0,N(INDEX('Nhật ký tiến độ'!$D:$D,$AM133)))))</f>
      </c>
      <c r="AC133" s="222">
        <f>IF(OR($A133="",$B133&lt;&gt;"Đột xuất",$AA133="Hoàn thành",N($J133)=0,$AW133=0),"",IF(TDBC&lt;=$J133,0,IF(TDBC&gt;=$AW133,1,(TDBC-$J133)/($AW133-$J133))))</f>
      </c>
      <c r="AD133" s="223">
        <f>IF($A133="","",IF($AA133="Hoàn thành","Hoàn thành",IF($AW133=0,"Chưa đặt hạn",IF(TDBC&gt;$AW133,"Quá hạn",IF(AND($B133="Đột xuất",ROUND((N($AC133)-$AB133)*100,0)&gt;=20),"Chậm tiến độ",IF($AP133=NgayBC,"Đến hạn hôm nay",IF($B133="Đột xuất",IF($AW133-TDBC&lt;=1,"Sắp đến hạn","Đúng tiến độ"),IF($AP133-NgayBC&lt;=3,"Sắp đến hạn","Theo lịch"))))))))</f>
      </c>
      <c r="AE133" s="223">
        <f>IF($AV133="","",IF($B133="Định kỳ","Bình quân "&amp;IF($AV133&lt;1,MAX(1,ROUND($AV133*60,0))&amp;" phút",IF(ROUND($AV133,0)&lt;24,ROUND($AV133,0)&amp;" giờ",INT(ROUND($AV133,0)/24)&amp;" ngày"&amp;IF(MOD(ROUND($AV133,0),24)&gt;0," "&amp;MOD(ROUND($AV133,0),24)&amp;" giờ","")))&amp;" mỗi kỳ",IF($AV133&lt;1,MAX(1,ROUND($AV133*60,0))&amp;" phút",IF(ROUND($AV133,0)&lt;24,ROUND($AV133,0)&amp;" giờ",INT(ROUND($AV133,0)/24)&amp;" ngày"&amp;IF(MOD(ROUND($AV133,0),24)&gt;0," "&amp;MOD(ROUND($AV133,0),24)&amp;" giờ","")))))</f>
      </c>
      <c r="AF133" s="223">
        <f>IF(OR($A133="",N($AU133)=0),"",IF($AV133&lt;&gt;"",IF($AV133&lt;=$AU133,"Trong ước tính","Vượt "&amp;IF(($AV133-$AU133)&lt;1,MAX(1,ROUND(($AV133-$AU133)*60,0))&amp;" phút",IF(ROUND(($AV133-$AU133),0)&lt;24,ROUND(($AV133-$AU133),0)&amp;" giờ",INT(ROUND(($AV133-$AU133),0)/24)&amp;" ngày"&amp;IF(MOD(ROUND(($AV133-$AU133),0),24)&gt;0," "&amp;MOD(ROUND(($AV133-$AU133),0),24)&amp;" giờ","")))),IF(OR($B133&lt;&gt;"Đột xuất",$AA133="Hoàn thành",N($J133)=0),"",IF((TDBC-$J133)*24&gt;$AU133,"Đã vượt ước tính","Đã dùng "&amp;TEXT((TDBC-$J133)*24/$AU133,"0%")))))</f>
      </c>
      <c r="AG133" s="223">
        <f>IF(N($BB133)=0,"",CHOOSE($BB133,"Nhắc nhở","Cảnh báo","Báo động","Báo động đỏ"))</f>
      </c>
      <c r="AH133" s="223">
        <f>IF(OR($B133&lt;&gt;"Đột xuất",$AA133&lt;&gt;"Hoàn thành",N($X133)=0,$AW133=0),"",IF($X133&lt;=$AW133,"Đúng hạn","Trễ hạn"))</f>
      </c>
      <c r="AI133" s="220">
        <f>IF($A133="","",_xlfn.MAXIFS('Nhật ký tiến độ'!$B$6:$B$3005,'Nhật ký tiến độ'!$C$6:$C$3005,$A133))</f>
      </c>
      <c r="AJ133" s="225">
        <f>IF(OR($A133="",$B133&lt;&gt;"Định kỳ"),0,IFERROR(INDEX(DM_TanSuatNgay,MATCH($H133,DM_TanSuat,0)),0))</f>
      </c>
      <c r="AK133" s="225">
        <f>IF(OR($A133="",$B133&lt;&gt;"Định kỳ"),0,IFERROR(INDEX(DM_TanSuatThang,MATCH($H133,DM_TanSuat,0)),0))</f>
      </c>
      <c r="AL133" s="225">
        <f>IF(OR($A133="",$B133&lt;&gt;"Định kỳ",N($X133)=0,N($I133)=0),"",IF(INT($X133)&lt;$I133,0,IF($AJ133&gt;0,ROUND((INT($X133)-$I133)/$AJ133,0),IF($AK133&gt;0,ROUND((DATEDIF($I133,INT($X133),"m")+(INT($X133)-EDATE($I133,DATEDIF($I133,INT($X133),"m")))/(EDATE($I133,DATEDIF($I133,INT($X133),"m")+1)-EDATE($I133,DATEDIF($I133,INT($X133),"m"))))/$AK133,0),0))))</f>
      </c>
      <c r="AM133" s="225">
        <f>IF($A133="","",IF(COUNTIF('Nhật ký tiến độ'!$C$6:$C$3005,$A133)=0,0,_xlfn.MAXIFS('Nhật ký tiến độ'!$N$6:$N$3005,'Nhật ký tiến độ'!$C$6:$C$3005,$A133,'Nhật ký tiến độ'!$B$6:$B$3005,_xlfn.MAXIFS('Nhật ký tiến độ'!$B$6:$B$3005,'Nhật ký tiến độ'!$C$6:$C$3005,$A133))))</f>
      </c>
      <c r="AN133" s="225">
        <f>IF($A133="","",IF(N($AM133)=0,"",INDEX('Nhật ký tiến độ'!$E:$E,$AM133)))</f>
      </c>
      <c r="AO133" s="225">
        <f>IF($A133="",0,IF($AA133="Hoàn thành",0,1))</f>
      </c>
      <c r="AP133" s="225">
        <f>IF($AO133=0,0,INT(N($AW133)))</f>
      </c>
      <c r="AQ133" s="225">
        <f>IF(AND($AO133=1,$AJ133&gt;1),$AJ133,0)</f>
      </c>
      <c r="AR133" s="225">
        <f>IF(AND($AO133=1,$AJ133=1),1,0)</f>
      </c>
      <c r="AS133" s="225">
        <f>IF(OR($AO133=0,AND($AR133=1,N($BB133)=0)),"",IF(N($BB133)&gt;0,5-$BB133,IF($AD133="Chậm tiến độ",6,IF($AD133="Đến hạn hôm nay",7,IF(AND($AP133&gt;0,$AP133-NgayBC&lt;=7),8,"")))))</f>
      </c>
      <c r="AT133" s="225">
        <f>IF($AS133="","",$AS133*100000+$AP133+ROW()/100000)</f>
      </c>
      <c r="AU133" s="224">
        <f>IF(OR($A133="",N($R133)&lt;=0),"",IF($S133="Ngày",$R133*24,$R133))</f>
      </c>
      <c r="AV133" s="224">
        <f>IF($A133="","",IF($B133="Đột xuất",IF(OR($AA133&lt;&gt;"Hoàn thành",N($X133)=0,N($J133)=0),"",IF($X133&lt;$J133,"",($X133-$J133)*24)),IFERROR(AVERAGEIFS('Nhật ký tiến độ'!$H$6:$H$3005,'Nhật ký tiến độ'!$C$6:$C$3005,$A133,'Nhật ký tiến độ'!$H$6:$H$3005,"&gt;0"),"")))</f>
      </c>
      <c r="AW133" s="233">
        <f>IF($A133="",0,IF($B133="Đột xuất",$AY133,IF($AX133=0,0,$AX133+1-1/1440)))</f>
      </c>
      <c r="AX133" s="234">
        <f>IF(OR($A133="",$B133&lt;&gt;"Định kỳ",N($I133)=0),0,IF($AL133="",$I133,IF($AJ133&gt;0,$I133+($AL133+1)*$AJ133,IF($AK133&gt;0,EDATE($I133,($AL133+1)*$AK133),$I133))))</f>
      </c>
      <c r="AY133" s="233">
        <f>IF(OR($A133="",$B133&lt;&gt;"Đột xuất"),0,IF(N($K133)&gt;0,IF(MOD($K133,1)=0,$K133+1-1/1440,$K133),IF(N($J133)=0,0,$J133+IF(N($AU133)&gt;0,$AU133,IFERROR(INDEX(DM_SLA_Gio,MATCH($L133,DM_SLA_Cap,0)),168))/24)))</f>
      </c>
      <c r="AZ133" s="225">
        <f>IF(OR($A133="",TRIM($N133)="",COUNTIF('Phản ánh'!$K$6:$K$505,$N133)&gt;0,COUNTIF($N$6:$N133,$N133)&gt;1),0,1)</f>
      </c>
      <c r="BA133" s="225">
        <f>IF($AZ133=1,SUM($AZ$6:$AZ133),"")</f>
      </c>
      <c r="BB133" s="225">
        <f>IF(OR($AO133=0,N($AW133)=0),0,IF(TDBC&lt;=$AW133,0,MAX(1,MIN(4,IF((TDBC-$AW133)*24&lt;24,1,IF((TDBC-$AW133)*24&lt;72,2,IF((TDBC-$AW133)*24&lt;168,3,4)))+IF($B133="Đột xuất",IFERROR(INDEX({2,1,0,-1},MATCH($L133,{"Khẩn cấp","Cao","Trung bình","Thấp"},0)),0),IF($D133="PCCC và an ninh",1,0))))))</f>
      </c>
    </row>
    <row r="134">
      <c r="A134" s="216"/>
      <c r="B134" s="216"/>
      <c r="C134" s="218"/>
      <c r="D134" s="218"/>
      <c r="E134" s="218"/>
      <c r="F134" s="216"/>
      <c r="G134" s="218"/>
      <c r="H134" s="218"/>
      <c r="I134" s="231"/>
      <c r="J134" s="217"/>
      <c r="K134" s="217"/>
      <c r="L134" s="216"/>
      <c r="M134" s="216"/>
      <c r="N134" s="218"/>
      <c r="O134" s="218"/>
      <c r="P134" s="218"/>
      <c r="Q134" s="218"/>
      <c r="R134" s="219"/>
      <c r="S134" s="216"/>
      <c r="T134" s="232"/>
      <c r="U134" s="232"/>
      <c r="V134" s="218"/>
      <c r="W134" s="218"/>
      <c r="X134" s="220">
        <f>IF($A134="","",IF(OR($B134="Định kỳ",$AA134="Hoàn thành"),MAX(_xlfn.MAXIFS('Nhật ký tiến độ'!$B$6:$B$3005,'Nhật ký tiến độ'!$C$6:$C$3005,$A134,'Nhật ký tiến độ'!$E$6:$E$3005,"Hoàn thành kỳ"),_xlfn.MAXIFS('Nhật ký tiến độ'!$B$6:$B$3005,'Nhật ký tiến độ'!$C$6:$C$3005,$A134,'Nhật ký tiến độ'!$E$6:$E$3005,"Hoàn thành")),0))</f>
      </c>
      <c r="Y134" s="220">
        <f>IF($A134="","",IF($B134="Đột xuất",IF($AY134=0,"",$AY134),IF($AX134=0,"",$AX134)))</f>
      </c>
      <c r="Z134" s="223">
        <f>IF(OR($AO134=0,$AW134=0),"",IF(TDBC&gt;$AW134,"Quá "&amp;IF($B134="Định kỳ",(NgayBC-$AP134)&amp;" ngày",IF(((TDBC-$AW134)*24)&lt;1,MAX(1,ROUND(((TDBC-$AW134)*24)*60,0))&amp;" phút",IF(ROUND(((TDBC-$AW134)*24),0)&lt;24,ROUND(((TDBC-$AW134)*24),0)&amp;" giờ",INT(ROUND(((TDBC-$AW134)*24),0)/24)&amp;" ngày"&amp;IF(MOD(ROUND(((TDBC-$AW134)*24),0),24)&gt;0," "&amp;MOD(ROUND(((TDBC-$AW134)*24),0),24)&amp;" giờ","")))),IF($B134="Định kỳ",IF($AP134=NgayBC,"Hôm nay","Còn "&amp;($AP134-NgayBC)&amp;" ngày"),"Còn "&amp;IF((($AW134-TDBC)*24)&lt;1,MAX(1,ROUND((($AW134-TDBC)*24)*60,0))&amp;" phút",IF(ROUND((($AW134-TDBC)*24),0)&lt;24,ROUND((($AW134-TDBC)*24),0)&amp;" giờ",INT(ROUND((($AW134-TDBC)*24),0)/24)&amp;" ngày"&amp;IF(MOD(ROUND((($AW134-TDBC)*24),0),24)&gt;0," "&amp;MOD(ROUND((($AW134-TDBC)*24),0),24)&amp;" giờ",""))))))</f>
      </c>
      <c r="AA134" s="221">
        <f>IF($A134="","",IF(N($AM134)=0,"Chưa bắt đầu",IF(OR($AN134="Hoàn thành kỳ",$AN134="Hoàn thành"),IF($B134="Định kỳ","Chưa bắt đầu","Hoàn thành"),$AN134)))</f>
      </c>
      <c r="AB134" s="222">
        <f>IF($A134="","",IF($AA134="Hoàn thành",1,IF(OR(N($AM134)=0,$AN134="Hoàn thành kỳ",$AN134="Hoàn thành"),0,N(INDEX('Nhật ký tiến độ'!$D:$D,$AM134)))))</f>
      </c>
      <c r="AC134" s="222">
        <f>IF(OR($A134="",$B134&lt;&gt;"Đột xuất",$AA134="Hoàn thành",N($J134)=0,$AW134=0),"",IF(TDBC&lt;=$J134,0,IF(TDBC&gt;=$AW134,1,(TDBC-$J134)/($AW134-$J134))))</f>
      </c>
      <c r="AD134" s="223">
        <f>IF($A134="","",IF($AA134="Hoàn thành","Hoàn thành",IF($AW134=0,"Chưa đặt hạn",IF(TDBC&gt;$AW134,"Quá hạn",IF(AND($B134="Đột xuất",ROUND((N($AC134)-$AB134)*100,0)&gt;=20),"Chậm tiến độ",IF($AP134=NgayBC,"Đến hạn hôm nay",IF($B134="Đột xuất",IF($AW134-TDBC&lt;=1,"Sắp đến hạn","Đúng tiến độ"),IF($AP134-NgayBC&lt;=3,"Sắp đến hạn","Theo lịch"))))))))</f>
      </c>
      <c r="AE134" s="223">
        <f>IF($AV134="","",IF($B134="Định kỳ","Bình quân "&amp;IF($AV134&lt;1,MAX(1,ROUND($AV134*60,0))&amp;" phút",IF(ROUND($AV134,0)&lt;24,ROUND($AV134,0)&amp;" giờ",INT(ROUND($AV134,0)/24)&amp;" ngày"&amp;IF(MOD(ROUND($AV134,0),24)&gt;0," "&amp;MOD(ROUND($AV134,0),24)&amp;" giờ","")))&amp;" mỗi kỳ",IF($AV134&lt;1,MAX(1,ROUND($AV134*60,0))&amp;" phút",IF(ROUND($AV134,0)&lt;24,ROUND($AV134,0)&amp;" giờ",INT(ROUND($AV134,0)/24)&amp;" ngày"&amp;IF(MOD(ROUND($AV134,0),24)&gt;0," "&amp;MOD(ROUND($AV134,0),24)&amp;" giờ","")))))</f>
      </c>
      <c r="AF134" s="223">
        <f>IF(OR($A134="",N($AU134)=0),"",IF($AV134&lt;&gt;"",IF($AV134&lt;=$AU134,"Trong ước tính","Vượt "&amp;IF(($AV134-$AU134)&lt;1,MAX(1,ROUND(($AV134-$AU134)*60,0))&amp;" phút",IF(ROUND(($AV134-$AU134),0)&lt;24,ROUND(($AV134-$AU134),0)&amp;" giờ",INT(ROUND(($AV134-$AU134),0)/24)&amp;" ngày"&amp;IF(MOD(ROUND(($AV134-$AU134),0),24)&gt;0," "&amp;MOD(ROUND(($AV134-$AU134),0),24)&amp;" giờ","")))),IF(OR($B134&lt;&gt;"Đột xuất",$AA134="Hoàn thành",N($J134)=0),"",IF((TDBC-$J134)*24&gt;$AU134,"Đã vượt ước tính","Đã dùng "&amp;TEXT((TDBC-$J134)*24/$AU134,"0%")))))</f>
      </c>
      <c r="AG134" s="223">
        <f>IF(N($BB134)=0,"",CHOOSE($BB134,"Nhắc nhở","Cảnh báo","Báo động","Báo động đỏ"))</f>
      </c>
      <c r="AH134" s="223">
        <f>IF(OR($B134&lt;&gt;"Đột xuất",$AA134&lt;&gt;"Hoàn thành",N($X134)=0,$AW134=0),"",IF($X134&lt;=$AW134,"Đúng hạn","Trễ hạn"))</f>
      </c>
      <c r="AI134" s="220">
        <f>IF($A134="","",_xlfn.MAXIFS('Nhật ký tiến độ'!$B$6:$B$3005,'Nhật ký tiến độ'!$C$6:$C$3005,$A134))</f>
      </c>
      <c r="AJ134" s="225">
        <f>IF(OR($A134="",$B134&lt;&gt;"Định kỳ"),0,IFERROR(INDEX(DM_TanSuatNgay,MATCH($H134,DM_TanSuat,0)),0))</f>
      </c>
      <c r="AK134" s="225">
        <f>IF(OR($A134="",$B134&lt;&gt;"Định kỳ"),0,IFERROR(INDEX(DM_TanSuatThang,MATCH($H134,DM_TanSuat,0)),0))</f>
      </c>
      <c r="AL134" s="225">
        <f>IF(OR($A134="",$B134&lt;&gt;"Định kỳ",N($X134)=0,N($I134)=0),"",IF(INT($X134)&lt;$I134,0,IF($AJ134&gt;0,ROUND((INT($X134)-$I134)/$AJ134,0),IF($AK134&gt;0,ROUND((DATEDIF($I134,INT($X134),"m")+(INT($X134)-EDATE($I134,DATEDIF($I134,INT($X134),"m")))/(EDATE($I134,DATEDIF($I134,INT($X134),"m")+1)-EDATE($I134,DATEDIF($I134,INT($X134),"m"))))/$AK134,0),0))))</f>
      </c>
      <c r="AM134" s="225">
        <f>IF($A134="","",IF(COUNTIF('Nhật ký tiến độ'!$C$6:$C$3005,$A134)=0,0,_xlfn.MAXIFS('Nhật ký tiến độ'!$N$6:$N$3005,'Nhật ký tiến độ'!$C$6:$C$3005,$A134,'Nhật ký tiến độ'!$B$6:$B$3005,_xlfn.MAXIFS('Nhật ký tiến độ'!$B$6:$B$3005,'Nhật ký tiến độ'!$C$6:$C$3005,$A134))))</f>
      </c>
      <c r="AN134" s="225">
        <f>IF($A134="","",IF(N($AM134)=0,"",INDEX('Nhật ký tiến độ'!$E:$E,$AM134)))</f>
      </c>
      <c r="AO134" s="225">
        <f>IF($A134="",0,IF($AA134="Hoàn thành",0,1))</f>
      </c>
      <c r="AP134" s="225">
        <f>IF($AO134=0,0,INT(N($AW134)))</f>
      </c>
      <c r="AQ134" s="225">
        <f>IF(AND($AO134=1,$AJ134&gt;1),$AJ134,0)</f>
      </c>
      <c r="AR134" s="225">
        <f>IF(AND($AO134=1,$AJ134=1),1,0)</f>
      </c>
      <c r="AS134" s="225">
        <f>IF(OR($AO134=0,AND($AR134=1,N($BB134)=0)),"",IF(N($BB134)&gt;0,5-$BB134,IF($AD134="Chậm tiến độ",6,IF($AD134="Đến hạn hôm nay",7,IF(AND($AP134&gt;0,$AP134-NgayBC&lt;=7),8,"")))))</f>
      </c>
      <c r="AT134" s="225">
        <f>IF($AS134="","",$AS134*100000+$AP134+ROW()/100000)</f>
      </c>
      <c r="AU134" s="224">
        <f>IF(OR($A134="",N($R134)&lt;=0),"",IF($S134="Ngày",$R134*24,$R134))</f>
      </c>
      <c r="AV134" s="224">
        <f>IF($A134="","",IF($B134="Đột xuất",IF(OR($AA134&lt;&gt;"Hoàn thành",N($X134)=0,N($J134)=0),"",IF($X134&lt;$J134,"",($X134-$J134)*24)),IFERROR(AVERAGEIFS('Nhật ký tiến độ'!$H$6:$H$3005,'Nhật ký tiến độ'!$C$6:$C$3005,$A134,'Nhật ký tiến độ'!$H$6:$H$3005,"&gt;0"),"")))</f>
      </c>
      <c r="AW134" s="233">
        <f>IF($A134="",0,IF($B134="Đột xuất",$AY134,IF($AX134=0,0,$AX134+1-1/1440)))</f>
      </c>
      <c r="AX134" s="234">
        <f>IF(OR($A134="",$B134&lt;&gt;"Định kỳ",N($I134)=0),0,IF($AL134="",$I134,IF($AJ134&gt;0,$I134+($AL134+1)*$AJ134,IF($AK134&gt;0,EDATE($I134,($AL134+1)*$AK134),$I134))))</f>
      </c>
      <c r="AY134" s="233">
        <f>IF(OR($A134="",$B134&lt;&gt;"Đột xuất"),0,IF(N($K134)&gt;0,IF(MOD($K134,1)=0,$K134+1-1/1440,$K134),IF(N($J134)=0,0,$J134+IF(N($AU134)&gt;0,$AU134,IFERROR(INDEX(DM_SLA_Gio,MATCH($L134,DM_SLA_Cap,0)),168))/24)))</f>
      </c>
      <c r="AZ134" s="225">
        <f>IF(OR($A134="",TRIM($N134)="",COUNTIF('Phản ánh'!$K$6:$K$505,$N134)&gt;0,COUNTIF($N$6:$N134,$N134)&gt;1),0,1)</f>
      </c>
      <c r="BA134" s="225">
        <f>IF($AZ134=1,SUM($AZ$6:$AZ134),"")</f>
      </c>
      <c r="BB134" s="225">
        <f>IF(OR($AO134=0,N($AW134)=0),0,IF(TDBC&lt;=$AW134,0,MAX(1,MIN(4,IF((TDBC-$AW134)*24&lt;24,1,IF((TDBC-$AW134)*24&lt;72,2,IF((TDBC-$AW134)*24&lt;168,3,4)))+IF($B134="Đột xuất",IFERROR(INDEX({2,1,0,-1},MATCH($L134,{"Khẩn cấp","Cao","Trung bình","Thấp"},0)),0),IF($D134="PCCC và an ninh",1,0))))))</f>
      </c>
    </row>
    <row r="135">
      <c r="A135" s="216"/>
      <c r="B135" s="216"/>
      <c r="C135" s="218"/>
      <c r="D135" s="218"/>
      <c r="E135" s="218"/>
      <c r="F135" s="216"/>
      <c r="G135" s="218"/>
      <c r="H135" s="218"/>
      <c r="I135" s="231"/>
      <c r="J135" s="217"/>
      <c r="K135" s="217"/>
      <c r="L135" s="216"/>
      <c r="M135" s="216"/>
      <c r="N135" s="218"/>
      <c r="O135" s="218"/>
      <c r="P135" s="218"/>
      <c r="Q135" s="218"/>
      <c r="R135" s="219"/>
      <c r="S135" s="216"/>
      <c r="T135" s="232"/>
      <c r="U135" s="232"/>
      <c r="V135" s="218"/>
      <c r="W135" s="218"/>
      <c r="X135" s="220">
        <f>IF($A135="","",IF(OR($B135="Định kỳ",$AA135="Hoàn thành"),MAX(_xlfn.MAXIFS('Nhật ký tiến độ'!$B$6:$B$3005,'Nhật ký tiến độ'!$C$6:$C$3005,$A135,'Nhật ký tiến độ'!$E$6:$E$3005,"Hoàn thành kỳ"),_xlfn.MAXIFS('Nhật ký tiến độ'!$B$6:$B$3005,'Nhật ký tiến độ'!$C$6:$C$3005,$A135,'Nhật ký tiến độ'!$E$6:$E$3005,"Hoàn thành")),0))</f>
      </c>
      <c r="Y135" s="220">
        <f>IF($A135="","",IF($B135="Đột xuất",IF($AY135=0,"",$AY135),IF($AX135=0,"",$AX135)))</f>
      </c>
      <c r="Z135" s="223">
        <f>IF(OR($AO135=0,$AW135=0),"",IF(TDBC&gt;$AW135,"Quá "&amp;IF($B135="Định kỳ",(NgayBC-$AP135)&amp;" ngày",IF(((TDBC-$AW135)*24)&lt;1,MAX(1,ROUND(((TDBC-$AW135)*24)*60,0))&amp;" phút",IF(ROUND(((TDBC-$AW135)*24),0)&lt;24,ROUND(((TDBC-$AW135)*24),0)&amp;" giờ",INT(ROUND(((TDBC-$AW135)*24),0)/24)&amp;" ngày"&amp;IF(MOD(ROUND(((TDBC-$AW135)*24),0),24)&gt;0," "&amp;MOD(ROUND(((TDBC-$AW135)*24),0),24)&amp;" giờ","")))),IF($B135="Định kỳ",IF($AP135=NgayBC,"Hôm nay","Còn "&amp;($AP135-NgayBC)&amp;" ngày"),"Còn "&amp;IF((($AW135-TDBC)*24)&lt;1,MAX(1,ROUND((($AW135-TDBC)*24)*60,0))&amp;" phút",IF(ROUND((($AW135-TDBC)*24),0)&lt;24,ROUND((($AW135-TDBC)*24),0)&amp;" giờ",INT(ROUND((($AW135-TDBC)*24),0)/24)&amp;" ngày"&amp;IF(MOD(ROUND((($AW135-TDBC)*24),0),24)&gt;0," "&amp;MOD(ROUND((($AW135-TDBC)*24),0),24)&amp;" giờ",""))))))</f>
      </c>
      <c r="AA135" s="221">
        <f>IF($A135="","",IF(N($AM135)=0,"Chưa bắt đầu",IF(OR($AN135="Hoàn thành kỳ",$AN135="Hoàn thành"),IF($B135="Định kỳ","Chưa bắt đầu","Hoàn thành"),$AN135)))</f>
      </c>
      <c r="AB135" s="222">
        <f>IF($A135="","",IF($AA135="Hoàn thành",1,IF(OR(N($AM135)=0,$AN135="Hoàn thành kỳ",$AN135="Hoàn thành"),0,N(INDEX('Nhật ký tiến độ'!$D:$D,$AM135)))))</f>
      </c>
      <c r="AC135" s="222">
        <f>IF(OR($A135="",$B135&lt;&gt;"Đột xuất",$AA135="Hoàn thành",N($J135)=0,$AW135=0),"",IF(TDBC&lt;=$J135,0,IF(TDBC&gt;=$AW135,1,(TDBC-$J135)/($AW135-$J135))))</f>
      </c>
      <c r="AD135" s="223">
        <f>IF($A135="","",IF($AA135="Hoàn thành","Hoàn thành",IF($AW135=0,"Chưa đặt hạn",IF(TDBC&gt;$AW135,"Quá hạn",IF(AND($B135="Đột xuất",ROUND((N($AC135)-$AB135)*100,0)&gt;=20),"Chậm tiến độ",IF($AP135=NgayBC,"Đến hạn hôm nay",IF($B135="Đột xuất",IF($AW135-TDBC&lt;=1,"Sắp đến hạn","Đúng tiến độ"),IF($AP135-NgayBC&lt;=3,"Sắp đến hạn","Theo lịch"))))))))</f>
      </c>
      <c r="AE135" s="223">
        <f>IF($AV135="","",IF($B135="Định kỳ","Bình quân "&amp;IF($AV135&lt;1,MAX(1,ROUND($AV135*60,0))&amp;" phút",IF(ROUND($AV135,0)&lt;24,ROUND($AV135,0)&amp;" giờ",INT(ROUND($AV135,0)/24)&amp;" ngày"&amp;IF(MOD(ROUND($AV135,0),24)&gt;0," "&amp;MOD(ROUND($AV135,0),24)&amp;" giờ","")))&amp;" mỗi kỳ",IF($AV135&lt;1,MAX(1,ROUND($AV135*60,0))&amp;" phút",IF(ROUND($AV135,0)&lt;24,ROUND($AV135,0)&amp;" giờ",INT(ROUND($AV135,0)/24)&amp;" ngày"&amp;IF(MOD(ROUND($AV135,0),24)&gt;0," "&amp;MOD(ROUND($AV135,0),24)&amp;" giờ","")))))</f>
      </c>
      <c r="AF135" s="223">
        <f>IF(OR($A135="",N($AU135)=0),"",IF($AV135&lt;&gt;"",IF($AV135&lt;=$AU135,"Trong ước tính","Vượt "&amp;IF(($AV135-$AU135)&lt;1,MAX(1,ROUND(($AV135-$AU135)*60,0))&amp;" phút",IF(ROUND(($AV135-$AU135),0)&lt;24,ROUND(($AV135-$AU135),0)&amp;" giờ",INT(ROUND(($AV135-$AU135),0)/24)&amp;" ngày"&amp;IF(MOD(ROUND(($AV135-$AU135),0),24)&gt;0," "&amp;MOD(ROUND(($AV135-$AU135),0),24)&amp;" giờ","")))),IF(OR($B135&lt;&gt;"Đột xuất",$AA135="Hoàn thành",N($J135)=0),"",IF((TDBC-$J135)*24&gt;$AU135,"Đã vượt ước tính","Đã dùng "&amp;TEXT((TDBC-$J135)*24/$AU135,"0%")))))</f>
      </c>
      <c r="AG135" s="223">
        <f>IF(N($BB135)=0,"",CHOOSE($BB135,"Nhắc nhở","Cảnh báo","Báo động","Báo động đỏ"))</f>
      </c>
      <c r="AH135" s="223">
        <f>IF(OR($B135&lt;&gt;"Đột xuất",$AA135&lt;&gt;"Hoàn thành",N($X135)=0,$AW135=0),"",IF($X135&lt;=$AW135,"Đúng hạn","Trễ hạn"))</f>
      </c>
      <c r="AI135" s="220">
        <f>IF($A135="","",_xlfn.MAXIFS('Nhật ký tiến độ'!$B$6:$B$3005,'Nhật ký tiến độ'!$C$6:$C$3005,$A135))</f>
      </c>
      <c r="AJ135" s="225">
        <f>IF(OR($A135="",$B135&lt;&gt;"Định kỳ"),0,IFERROR(INDEX(DM_TanSuatNgay,MATCH($H135,DM_TanSuat,0)),0))</f>
      </c>
      <c r="AK135" s="225">
        <f>IF(OR($A135="",$B135&lt;&gt;"Định kỳ"),0,IFERROR(INDEX(DM_TanSuatThang,MATCH($H135,DM_TanSuat,0)),0))</f>
      </c>
      <c r="AL135" s="225">
        <f>IF(OR($A135="",$B135&lt;&gt;"Định kỳ",N($X135)=0,N($I135)=0),"",IF(INT($X135)&lt;$I135,0,IF($AJ135&gt;0,ROUND((INT($X135)-$I135)/$AJ135,0),IF($AK135&gt;0,ROUND((DATEDIF($I135,INT($X135),"m")+(INT($X135)-EDATE($I135,DATEDIF($I135,INT($X135),"m")))/(EDATE($I135,DATEDIF($I135,INT($X135),"m")+1)-EDATE($I135,DATEDIF($I135,INT($X135),"m"))))/$AK135,0),0))))</f>
      </c>
      <c r="AM135" s="225">
        <f>IF($A135="","",IF(COUNTIF('Nhật ký tiến độ'!$C$6:$C$3005,$A135)=0,0,_xlfn.MAXIFS('Nhật ký tiến độ'!$N$6:$N$3005,'Nhật ký tiến độ'!$C$6:$C$3005,$A135,'Nhật ký tiến độ'!$B$6:$B$3005,_xlfn.MAXIFS('Nhật ký tiến độ'!$B$6:$B$3005,'Nhật ký tiến độ'!$C$6:$C$3005,$A135))))</f>
      </c>
      <c r="AN135" s="225">
        <f>IF($A135="","",IF(N($AM135)=0,"",INDEX('Nhật ký tiến độ'!$E:$E,$AM135)))</f>
      </c>
      <c r="AO135" s="225">
        <f>IF($A135="",0,IF($AA135="Hoàn thành",0,1))</f>
      </c>
      <c r="AP135" s="225">
        <f>IF($AO135=0,0,INT(N($AW135)))</f>
      </c>
      <c r="AQ135" s="225">
        <f>IF(AND($AO135=1,$AJ135&gt;1),$AJ135,0)</f>
      </c>
      <c r="AR135" s="225">
        <f>IF(AND($AO135=1,$AJ135=1),1,0)</f>
      </c>
      <c r="AS135" s="225">
        <f>IF(OR($AO135=0,AND($AR135=1,N($BB135)=0)),"",IF(N($BB135)&gt;0,5-$BB135,IF($AD135="Chậm tiến độ",6,IF($AD135="Đến hạn hôm nay",7,IF(AND($AP135&gt;0,$AP135-NgayBC&lt;=7),8,"")))))</f>
      </c>
      <c r="AT135" s="225">
        <f>IF($AS135="","",$AS135*100000+$AP135+ROW()/100000)</f>
      </c>
      <c r="AU135" s="224">
        <f>IF(OR($A135="",N($R135)&lt;=0),"",IF($S135="Ngày",$R135*24,$R135))</f>
      </c>
      <c r="AV135" s="224">
        <f>IF($A135="","",IF($B135="Đột xuất",IF(OR($AA135&lt;&gt;"Hoàn thành",N($X135)=0,N($J135)=0),"",IF($X135&lt;$J135,"",($X135-$J135)*24)),IFERROR(AVERAGEIFS('Nhật ký tiến độ'!$H$6:$H$3005,'Nhật ký tiến độ'!$C$6:$C$3005,$A135,'Nhật ký tiến độ'!$H$6:$H$3005,"&gt;0"),"")))</f>
      </c>
      <c r="AW135" s="233">
        <f>IF($A135="",0,IF($B135="Đột xuất",$AY135,IF($AX135=0,0,$AX135+1-1/1440)))</f>
      </c>
      <c r="AX135" s="234">
        <f>IF(OR($A135="",$B135&lt;&gt;"Định kỳ",N($I135)=0),0,IF($AL135="",$I135,IF($AJ135&gt;0,$I135+($AL135+1)*$AJ135,IF($AK135&gt;0,EDATE($I135,($AL135+1)*$AK135),$I135))))</f>
      </c>
      <c r="AY135" s="233">
        <f>IF(OR($A135="",$B135&lt;&gt;"Đột xuất"),0,IF(N($K135)&gt;0,IF(MOD($K135,1)=0,$K135+1-1/1440,$K135),IF(N($J135)=0,0,$J135+IF(N($AU135)&gt;0,$AU135,IFERROR(INDEX(DM_SLA_Gio,MATCH($L135,DM_SLA_Cap,0)),168))/24)))</f>
      </c>
      <c r="AZ135" s="225">
        <f>IF(OR($A135="",TRIM($N135)="",COUNTIF('Phản ánh'!$K$6:$K$505,$N135)&gt;0,COUNTIF($N$6:$N135,$N135)&gt;1),0,1)</f>
      </c>
      <c r="BA135" s="225">
        <f>IF($AZ135=1,SUM($AZ$6:$AZ135),"")</f>
      </c>
      <c r="BB135" s="225">
        <f>IF(OR($AO135=0,N($AW135)=0),0,IF(TDBC&lt;=$AW135,0,MAX(1,MIN(4,IF((TDBC-$AW135)*24&lt;24,1,IF((TDBC-$AW135)*24&lt;72,2,IF((TDBC-$AW135)*24&lt;168,3,4)))+IF($B135="Đột xuất",IFERROR(INDEX({2,1,0,-1},MATCH($L135,{"Khẩn cấp","Cao","Trung bình","Thấp"},0)),0),IF($D135="PCCC và an ninh",1,0))))))</f>
      </c>
    </row>
    <row r="136">
      <c r="A136" s="216"/>
      <c r="B136" s="216"/>
      <c r="C136" s="218"/>
      <c r="D136" s="218"/>
      <c r="E136" s="218"/>
      <c r="F136" s="216"/>
      <c r="G136" s="218"/>
      <c r="H136" s="218"/>
      <c r="I136" s="231"/>
      <c r="J136" s="217"/>
      <c r="K136" s="217"/>
      <c r="L136" s="216"/>
      <c r="M136" s="216"/>
      <c r="N136" s="218"/>
      <c r="O136" s="218"/>
      <c r="P136" s="218"/>
      <c r="Q136" s="218"/>
      <c r="R136" s="219"/>
      <c r="S136" s="216"/>
      <c r="T136" s="232"/>
      <c r="U136" s="232"/>
      <c r="V136" s="218"/>
      <c r="W136" s="218"/>
      <c r="X136" s="220">
        <f>IF($A136="","",IF(OR($B136="Định kỳ",$AA136="Hoàn thành"),MAX(_xlfn.MAXIFS('Nhật ký tiến độ'!$B$6:$B$3005,'Nhật ký tiến độ'!$C$6:$C$3005,$A136,'Nhật ký tiến độ'!$E$6:$E$3005,"Hoàn thành kỳ"),_xlfn.MAXIFS('Nhật ký tiến độ'!$B$6:$B$3005,'Nhật ký tiến độ'!$C$6:$C$3005,$A136,'Nhật ký tiến độ'!$E$6:$E$3005,"Hoàn thành")),0))</f>
      </c>
      <c r="Y136" s="220">
        <f>IF($A136="","",IF($B136="Đột xuất",IF($AY136=0,"",$AY136),IF($AX136=0,"",$AX136)))</f>
      </c>
      <c r="Z136" s="223">
        <f>IF(OR($AO136=0,$AW136=0),"",IF(TDBC&gt;$AW136,"Quá "&amp;IF($B136="Định kỳ",(NgayBC-$AP136)&amp;" ngày",IF(((TDBC-$AW136)*24)&lt;1,MAX(1,ROUND(((TDBC-$AW136)*24)*60,0))&amp;" phút",IF(ROUND(((TDBC-$AW136)*24),0)&lt;24,ROUND(((TDBC-$AW136)*24),0)&amp;" giờ",INT(ROUND(((TDBC-$AW136)*24),0)/24)&amp;" ngày"&amp;IF(MOD(ROUND(((TDBC-$AW136)*24),0),24)&gt;0," "&amp;MOD(ROUND(((TDBC-$AW136)*24),0),24)&amp;" giờ","")))),IF($B136="Định kỳ",IF($AP136=NgayBC,"Hôm nay","Còn "&amp;($AP136-NgayBC)&amp;" ngày"),"Còn "&amp;IF((($AW136-TDBC)*24)&lt;1,MAX(1,ROUND((($AW136-TDBC)*24)*60,0))&amp;" phút",IF(ROUND((($AW136-TDBC)*24),0)&lt;24,ROUND((($AW136-TDBC)*24),0)&amp;" giờ",INT(ROUND((($AW136-TDBC)*24),0)/24)&amp;" ngày"&amp;IF(MOD(ROUND((($AW136-TDBC)*24),0),24)&gt;0," "&amp;MOD(ROUND((($AW136-TDBC)*24),0),24)&amp;" giờ",""))))))</f>
      </c>
      <c r="AA136" s="221">
        <f>IF($A136="","",IF(N($AM136)=0,"Chưa bắt đầu",IF(OR($AN136="Hoàn thành kỳ",$AN136="Hoàn thành"),IF($B136="Định kỳ","Chưa bắt đầu","Hoàn thành"),$AN136)))</f>
      </c>
      <c r="AB136" s="222">
        <f>IF($A136="","",IF($AA136="Hoàn thành",1,IF(OR(N($AM136)=0,$AN136="Hoàn thành kỳ",$AN136="Hoàn thành"),0,N(INDEX('Nhật ký tiến độ'!$D:$D,$AM136)))))</f>
      </c>
      <c r="AC136" s="222">
        <f>IF(OR($A136="",$B136&lt;&gt;"Đột xuất",$AA136="Hoàn thành",N($J136)=0,$AW136=0),"",IF(TDBC&lt;=$J136,0,IF(TDBC&gt;=$AW136,1,(TDBC-$J136)/($AW136-$J136))))</f>
      </c>
      <c r="AD136" s="223">
        <f>IF($A136="","",IF($AA136="Hoàn thành","Hoàn thành",IF($AW136=0,"Chưa đặt hạn",IF(TDBC&gt;$AW136,"Quá hạn",IF(AND($B136="Đột xuất",ROUND((N($AC136)-$AB136)*100,0)&gt;=20),"Chậm tiến độ",IF($AP136=NgayBC,"Đến hạn hôm nay",IF($B136="Đột xuất",IF($AW136-TDBC&lt;=1,"Sắp đến hạn","Đúng tiến độ"),IF($AP136-NgayBC&lt;=3,"Sắp đến hạn","Theo lịch"))))))))</f>
      </c>
      <c r="AE136" s="223">
        <f>IF($AV136="","",IF($B136="Định kỳ","Bình quân "&amp;IF($AV136&lt;1,MAX(1,ROUND($AV136*60,0))&amp;" phút",IF(ROUND($AV136,0)&lt;24,ROUND($AV136,0)&amp;" giờ",INT(ROUND($AV136,0)/24)&amp;" ngày"&amp;IF(MOD(ROUND($AV136,0),24)&gt;0," "&amp;MOD(ROUND($AV136,0),24)&amp;" giờ","")))&amp;" mỗi kỳ",IF($AV136&lt;1,MAX(1,ROUND($AV136*60,0))&amp;" phút",IF(ROUND($AV136,0)&lt;24,ROUND($AV136,0)&amp;" giờ",INT(ROUND($AV136,0)/24)&amp;" ngày"&amp;IF(MOD(ROUND($AV136,0),24)&gt;0," "&amp;MOD(ROUND($AV136,0),24)&amp;" giờ","")))))</f>
      </c>
      <c r="AF136" s="223">
        <f>IF(OR($A136="",N($AU136)=0),"",IF($AV136&lt;&gt;"",IF($AV136&lt;=$AU136,"Trong ước tính","Vượt "&amp;IF(($AV136-$AU136)&lt;1,MAX(1,ROUND(($AV136-$AU136)*60,0))&amp;" phút",IF(ROUND(($AV136-$AU136),0)&lt;24,ROUND(($AV136-$AU136),0)&amp;" giờ",INT(ROUND(($AV136-$AU136),0)/24)&amp;" ngày"&amp;IF(MOD(ROUND(($AV136-$AU136),0),24)&gt;0," "&amp;MOD(ROUND(($AV136-$AU136),0),24)&amp;" giờ","")))),IF(OR($B136&lt;&gt;"Đột xuất",$AA136="Hoàn thành",N($J136)=0),"",IF((TDBC-$J136)*24&gt;$AU136,"Đã vượt ước tính","Đã dùng "&amp;TEXT((TDBC-$J136)*24/$AU136,"0%")))))</f>
      </c>
      <c r="AG136" s="223">
        <f>IF(N($BB136)=0,"",CHOOSE($BB136,"Nhắc nhở","Cảnh báo","Báo động","Báo động đỏ"))</f>
      </c>
      <c r="AH136" s="223">
        <f>IF(OR($B136&lt;&gt;"Đột xuất",$AA136&lt;&gt;"Hoàn thành",N($X136)=0,$AW136=0),"",IF($X136&lt;=$AW136,"Đúng hạn","Trễ hạn"))</f>
      </c>
      <c r="AI136" s="220">
        <f>IF($A136="","",_xlfn.MAXIFS('Nhật ký tiến độ'!$B$6:$B$3005,'Nhật ký tiến độ'!$C$6:$C$3005,$A136))</f>
      </c>
      <c r="AJ136" s="225">
        <f>IF(OR($A136="",$B136&lt;&gt;"Định kỳ"),0,IFERROR(INDEX(DM_TanSuatNgay,MATCH($H136,DM_TanSuat,0)),0))</f>
      </c>
      <c r="AK136" s="225">
        <f>IF(OR($A136="",$B136&lt;&gt;"Định kỳ"),0,IFERROR(INDEX(DM_TanSuatThang,MATCH($H136,DM_TanSuat,0)),0))</f>
      </c>
      <c r="AL136" s="225">
        <f>IF(OR($A136="",$B136&lt;&gt;"Định kỳ",N($X136)=0,N($I136)=0),"",IF(INT($X136)&lt;$I136,0,IF($AJ136&gt;0,ROUND((INT($X136)-$I136)/$AJ136,0),IF($AK136&gt;0,ROUND((DATEDIF($I136,INT($X136),"m")+(INT($X136)-EDATE($I136,DATEDIF($I136,INT($X136),"m")))/(EDATE($I136,DATEDIF($I136,INT($X136),"m")+1)-EDATE($I136,DATEDIF($I136,INT($X136),"m"))))/$AK136,0),0))))</f>
      </c>
      <c r="AM136" s="225">
        <f>IF($A136="","",IF(COUNTIF('Nhật ký tiến độ'!$C$6:$C$3005,$A136)=0,0,_xlfn.MAXIFS('Nhật ký tiến độ'!$N$6:$N$3005,'Nhật ký tiến độ'!$C$6:$C$3005,$A136,'Nhật ký tiến độ'!$B$6:$B$3005,_xlfn.MAXIFS('Nhật ký tiến độ'!$B$6:$B$3005,'Nhật ký tiến độ'!$C$6:$C$3005,$A136))))</f>
      </c>
      <c r="AN136" s="225">
        <f>IF($A136="","",IF(N($AM136)=0,"",INDEX('Nhật ký tiến độ'!$E:$E,$AM136)))</f>
      </c>
      <c r="AO136" s="225">
        <f>IF($A136="",0,IF($AA136="Hoàn thành",0,1))</f>
      </c>
      <c r="AP136" s="225">
        <f>IF($AO136=0,0,INT(N($AW136)))</f>
      </c>
      <c r="AQ136" s="225">
        <f>IF(AND($AO136=1,$AJ136&gt;1),$AJ136,0)</f>
      </c>
      <c r="AR136" s="225">
        <f>IF(AND($AO136=1,$AJ136=1),1,0)</f>
      </c>
      <c r="AS136" s="225">
        <f>IF(OR($AO136=0,AND($AR136=1,N($BB136)=0)),"",IF(N($BB136)&gt;0,5-$BB136,IF($AD136="Chậm tiến độ",6,IF($AD136="Đến hạn hôm nay",7,IF(AND($AP136&gt;0,$AP136-NgayBC&lt;=7),8,"")))))</f>
      </c>
      <c r="AT136" s="225">
        <f>IF($AS136="","",$AS136*100000+$AP136+ROW()/100000)</f>
      </c>
      <c r="AU136" s="224">
        <f>IF(OR($A136="",N($R136)&lt;=0),"",IF($S136="Ngày",$R136*24,$R136))</f>
      </c>
      <c r="AV136" s="224">
        <f>IF($A136="","",IF($B136="Đột xuất",IF(OR($AA136&lt;&gt;"Hoàn thành",N($X136)=0,N($J136)=0),"",IF($X136&lt;$J136,"",($X136-$J136)*24)),IFERROR(AVERAGEIFS('Nhật ký tiến độ'!$H$6:$H$3005,'Nhật ký tiến độ'!$C$6:$C$3005,$A136,'Nhật ký tiến độ'!$H$6:$H$3005,"&gt;0"),"")))</f>
      </c>
      <c r="AW136" s="233">
        <f>IF($A136="",0,IF($B136="Đột xuất",$AY136,IF($AX136=0,0,$AX136+1-1/1440)))</f>
      </c>
      <c r="AX136" s="234">
        <f>IF(OR($A136="",$B136&lt;&gt;"Định kỳ",N($I136)=0),0,IF($AL136="",$I136,IF($AJ136&gt;0,$I136+($AL136+1)*$AJ136,IF($AK136&gt;0,EDATE($I136,($AL136+1)*$AK136),$I136))))</f>
      </c>
      <c r="AY136" s="233">
        <f>IF(OR($A136="",$B136&lt;&gt;"Đột xuất"),0,IF(N($K136)&gt;0,IF(MOD($K136,1)=0,$K136+1-1/1440,$K136),IF(N($J136)=0,0,$J136+IF(N($AU136)&gt;0,$AU136,IFERROR(INDEX(DM_SLA_Gio,MATCH($L136,DM_SLA_Cap,0)),168))/24)))</f>
      </c>
      <c r="AZ136" s="225">
        <f>IF(OR($A136="",TRIM($N136)="",COUNTIF('Phản ánh'!$K$6:$K$505,$N136)&gt;0,COUNTIF($N$6:$N136,$N136)&gt;1),0,1)</f>
      </c>
      <c r="BA136" s="225">
        <f>IF($AZ136=1,SUM($AZ$6:$AZ136),"")</f>
      </c>
      <c r="BB136" s="225">
        <f>IF(OR($AO136=0,N($AW136)=0),0,IF(TDBC&lt;=$AW136,0,MAX(1,MIN(4,IF((TDBC-$AW136)*24&lt;24,1,IF((TDBC-$AW136)*24&lt;72,2,IF((TDBC-$AW136)*24&lt;168,3,4)))+IF($B136="Đột xuất",IFERROR(INDEX({2,1,0,-1},MATCH($L136,{"Khẩn cấp","Cao","Trung bình","Thấp"},0)),0),IF($D136="PCCC và an ninh",1,0))))))</f>
      </c>
    </row>
    <row r="137">
      <c r="A137" s="216"/>
      <c r="B137" s="216"/>
      <c r="C137" s="218"/>
      <c r="D137" s="218"/>
      <c r="E137" s="218"/>
      <c r="F137" s="216"/>
      <c r="G137" s="218"/>
      <c r="H137" s="218"/>
      <c r="I137" s="231"/>
      <c r="J137" s="217"/>
      <c r="K137" s="217"/>
      <c r="L137" s="216"/>
      <c r="M137" s="216"/>
      <c r="N137" s="218"/>
      <c r="O137" s="218"/>
      <c r="P137" s="218"/>
      <c r="Q137" s="218"/>
      <c r="R137" s="219"/>
      <c r="S137" s="216"/>
      <c r="T137" s="232"/>
      <c r="U137" s="232"/>
      <c r="V137" s="218"/>
      <c r="W137" s="218"/>
      <c r="X137" s="220">
        <f>IF($A137="","",IF(OR($B137="Định kỳ",$AA137="Hoàn thành"),MAX(_xlfn.MAXIFS('Nhật ký tiến độ'!$B$6:$B$3005,'Nhật ký tiến độ'!$C$6:$C$3005,$A137,'Nhật ký tiến độ'!$E$6:$E$3005,"Hoàn thành kỳ"),_xlfn.MAXIFS('Nhật ký tiến độ'!$B$6:$B$3005,'Nhật ký tiến độ'!$C$6:$C$3005,$A137,'Nhật ký tiến độ'!$E$6:$E$3005,"Hoàn thành")),0))</f>
      </c>
      <c r="Y137" s="220">
        <f>IF($A137="","",IF($B137="Đột xuất",IF($AY137=0,"",$AY137),IF($AX137=0,"",$AX137)))</f>
      </c>
      <c r="Z137" s="223">
        <f>IF(OR($AO137=0,$AW137=0),"",IF(TDBC&gt;$AW137,"Quá "&amp;IF($B137="Định kỳ",(NgayBC-$AP137)&amp;" ngày",IF(((TDBC-$AW137)*24)&lt;1,MAX(1,ROUND(((TDBC-$AW137)*24)*60,0))&amp;" phút",IF(ROUND(((TDBC-$AW137)*24),0)&lt;24,ROUND(((TDBC-$AW137)*24),0)&amp;" giờ",INT(ROUND(((TDBC-$AW137)*24),0)/24)&amp;" ngày"&amp;IF(MOD(ROUND(((TDBC-$AW137)*24),0),24)&gt;0," "&amp;MOD(ROUND(((TDBC-$AW137)*24),0),24)&amp;" giờ","")))),IF($B137="Định kỳ",IF($AP137=NgayBC,"Hôm nay","Còn "&amp;($AP137-NgayBC)&amp;" ngày"),"Còn "&amp;IF((($AW137-TDBC)*24)&lt;1,MAX(1,ROUND((($AW137-TDBC)*24)*60,0))&amp;" phút",IF(ROUND((($AW137-TDBC)*24),0)&lt;24,ROUND((($AW137-TDBC)*24),0)&amp;" giờ",INT(ROUND((($AW137-TDBC)*24),0)/24)&amp;" ngày"&amp;IF(MOD(ROUND((($AW137-TDBC)*24),0),24)&gt;0," "&amp;MOD(ROUND((($AW137-TDBC)*24),0),24)&amp;" giờ",""))))))</f>
      </c>
      <c r="AA137" s="221">
        <f>IF($A137="","",IF(N($AM137)=0,"Chưa bắt đầu",IF(OR($AN137="Hoàn thành kỳ",$AN137="Hoàn thành"),IF($B137="Định kỳ","Chưa bắt đầu","Hoàn thành"),$AN137)))</f>
      </c>
      <c r="AB137" s="222">
        <f>IF($A137="","",IF($AA137="Hoàn thành",1,IF(OR(N($AM137)=0,$AN137="Hoàn thành kỳ",$AN137="Hoàn thành"),0,N(INDEX('Nhật ký tiến độ'!$D:$D,$AM137)))))</f>
      </c>
      <c r="AC137" s="222">
        <f>IF(OR($A137="",$B137&lt;&gt;"Đột xuất",$AA137="Hoàn thành",N($J137)=0,$AW137=0),"",IF(TDBC&lt;=$J137,0,IF(TDBC&gt;=$AW137,1,(TDBC-$J137)/($AW137-$J137))))</f>
      </c>
      <c r="AD137" s="223">
        <f>IF($A137="","",IF($AA137="Hoàn thành","Hoàn thành",IF($AW137=0,"Chưa đặt hạn",IF(TDBC&gt;$AW137,"Quá hạn",IF(AND($B137="Đột xuất",ROUND((N($AC137)-$AB137)*100,0)&gt;=20),"Chậm tiến độ",IF($AP137=NgayBC,"Đến hạn hôm nay",IF($B137="Đột xuất",IF($AW137-TDBC&lt;=1,"Sắp đến hạn","Đúng tiến độ"),IF($AP137-NgayBC&lt;=3,"Sắp đến hạn","Theo lịch"))))))))</f>
      </c>
      <c r="AE137" s="223">
        <f>IF($AV137="","",IF($B137="Định kỳ","Bình quân "&amp;IF($AV137&lt;1,MAX(1,ROUND($AV137*60,0))&amp;" phút",IF(ROUND($AV137,0)&lt;24,ROUND($AV137,0)&amp;" giờ",INT(ROUND($AV137,0)/24)&amp;" ngày"&amp;IF(MOD(ROUND($AV137,0),24)&gt;0," "&amp;MOD(ROUND($AV137,0),24)&amp;" giờ","")))&amp;" mỗi kỳ",IF($AV137&lt;1,MAX(1,ROUND($AV137*60,0))&amp;" phút",IF(ROUND($AV137,0)&lt;24,ROUND($AV137,0)&amp;" giờ",INT(ROUND($AV137,0)/24)&amp;" ngày"&amp;IF(MOD(ROUND($AV137,0),24)&gt;0," "&amp;MOD(ROUND($AV137,0),24)&amp;" giờ","")))))</f>
      </c>
      <c r="AF137" s="223">
        <f>IF(OR($A137="",N($AU137)=0),"",IF($AV137&lt;&gt;"",IF($AV137&lt;=$AU137,"Trong ước tính","Vượt "&amp;IF(($AV137-$AU137)&lt;1,MAX(1,ROUND(($AV137-$AU137)*60,0))&amp;" phút",IF(ROUND(($AV137-$AU137),0)&lt;24,ROUND(($AV137-$AU137),0)&amp;" giờ",INT(ROUND(($AV137-$AU137),0)/24)&amp;" ngày"&amp;IF(MOD(ROUND(($AV137-$AU137),0),24)&gt;0," "&amp;MOD(ROUND(($AV137-$AU137),0),24)&amp;" giờ","")))),IF(OR($B137&lt;&gt;"Đột xuất",$AA137="Hoàn thành",N($J137)=0),"",IF((TDBC-$J137)*24&gt;$AU137,"Đã vượt ước tính","Đã dùng "&amp;TEXT((TDBC-$J137)*24/$AU137,"0%")))))</f>
      </c>
      <c r="AG137" s="223">
        <f>IF(N($BB137)=0,"",CHOOSE($BB137,"Nhắc nhở","Cảnh báo","Báo động","Báo động đỏ"))</f>
      </c>
      <c r="AH137" s="223">
        <f>IF(OR($B137&lt;&gt;"Đột xuất",$AA137&lt;&gt;"Hoàn thành",N($X137)=0,$AW137=0),"",IF($X137&lt;=$AW137,"Đúng hạn","Trễ hạn"))</f>
      </c>
      <c r="AI137" s="220">
        <f>IF($A137="","",_xlfn.MAXIFS('Nhật ký tiến độ'!$B$6:$B$3005,'Nhật ký tiến độ'!$C$6:$C$3005,$A137))</f>
      </c>
      <c r="AJ137" s="225">
        <f>IF(OR($A137="",$B137&lt;&gt;"Định kỳ"),0,IFERROR(INDEX(DM_TanSuatNgay,MATCH($H137,DM_TanSuat,0)),0))</f>
      </c>
      <c r="AK137" s="225">
        <f>IF(OR($A137="",$B137&lt;&gt;"Định kỳ"),0,IFERROR(INDEX(DM_TanSuatThang,MATCH($H137,DM_TanSuat,0)),0))</f>
      </c>
      <c r="AL137" s="225">
        <f>IF(OR($A137="",$B137&lt;&gt;"Định kỳ",N($X137)=0,N($I137)=0),"",IF(INT($X137)&lt;$I137,0,IF($AJ137&gt;0,ROUND((INT($X137)-$I137)/$AJ137,0),IF($AK137&gt;0,ROUND((DATEDIF($I137,INT($X137),"m")+(INT($X137)-EDATE($I137,DATEDIF($I137,INT($X137),"m")))/(EDATE($I137,DATEDIF($I137,INT($X137),"m")+1)-EDATE($I137,DATEDIF($I137,INT($X137),"m"))))/$AK137,0),0))))</f>
      </c>
      <c r="AM137" s="225">
        <f>IF($A137="","",IF(COUNTIF('Nhật ký tiến độ'!$C$6:$C$3005,$A137)=0,0,_xlfn.MAXIFS('Nhật ký tiến độ'!$N$6:$N$3005,'Nhật ký tiến độ'!$C$6:$C$3005,$A137,'Nhật ký tiến độ'!$B$6:$B$3005,_xlfn.MAXIFS('Nhật ký tiến độ'!$B$6:$B$3005,'Nhật ký tiến độ'!$C$6:$C$3005,$A137))))</f>
      </c>
      <c r="AN137" s="225">
        <f>IF($A137="","",IF(N($AM137)=0,"",INDEX('Nhật ký tiến độ'!$E:$E,$AM137)))</f>
      </c>
      <c r="AO137" s="225">
        <f>IF($A137="",0,IF($AA137="Hoàn thành",0,1))</f>
      </c>
      <c r="AP137" s="225">
        <f>IF($AO137=0,0,INT(N($AW137)))</f>
      </c>
      <c r="AQ137" s="225">
        <f>IF(AND($AO137=1,$AJ137&gt;1),$AJ137,0)</f>
      </c>
      <c r="AR137" s="225">
        <f>IF(AND($AO137=1,$AJ137=1),1,0)</f>
      </c>
      <c r="AS137" s="225">
        <f>IF(OR($AO137=0,AND($AR137=1,N($BB137)=0)),"",IF(N($BB137)&gt;0,5-$BB137,IF($AD137="Chậm tiến độ",6,IF($AD137="Đến hạn hôm nay",7,IF(AND($AP137&gt;0,$AP137-NgayBC&lt;=7),8,"")))))</f>
      </c>
      <c r="AT137" s="225">
        <f>IF($AS137="","",$AS137*100000+$AP137+ROW()/100000)</f>
      </c>
      <c r="AU137" s="224">
        <f>IF(OR($A137="",N($R137)&lt;=0),"",IF($S137="Ngày",$R137*24,$R137))</f>
      </c>
      <c r="AV137" s="224">
        <f>IF($A137="","",IF($B137="Đột xuất",IF(OR($AA137&lt;&gt;"Hoàn thành",N($X137)=0,N($J137)=0),"",IF($X137&lt;$J137,"",($X137-$J137)*24)),IFERROR(AVERAGEIFS('Nhật ký tiến độ'!$H$6:$H$3005,'Nhật ký tiến độ'!$C$6:$C$3005,$A137,'Nhật ký tiến độ'!$H$6:$H$3005,"&gt;0"),"")))</f>
      </c>
      <c r="AW137" s="233">
        <f>IF($A137="",0,IF($B137="Đột xuất",$AY137,IF($AX137=0,0,$AX137+1-1/1440)))</f>
      </c>
      <c r="AX137" s="234">
        <f>IF(OR($A137="",$B137&lt;&gt;"Định kỳ",N($I137)=0),0,IF($AL137="",$I137,IF($AJ137&gt;0,$I137+($AL137+1)*$AJ137,IF($AK137&gt;0,EDATE($I137,($AL137+1)*$AK137),$I137))))</f>
      </c>
      <c r="AY137" s="233">
        <f>IF(OR($A137="",$B137&lt;&gt;"Đột xuất"),0,IF(N($K137)&gt;0,IF(MOD($K137,1)=0,$K137+1-1/1440,$K137),IF(N($J137)=0,0,$J137+IF(N($AU137)&gt;0,$AU137,IFERROR(INDEX(DM_SLA_Gio,MATCH($L137,DM_SLA_Cap,0)),168))/24)))</f>
      </c>
      <c r="AZ137" s="225">
        <f>IF(OR($A137="",TRIM($N137)="",COUNTIF('Phản ánh'!$K$6:$K$505,$N137)&gt;0,COUNTIF($N$6:$N137,$N137)&gt;1),0,1)</f>
      </c>
      <c r="BA137" s="225">
        <f>IF($AZ137=1,SUM($AZ$6:$AZ137),"")</f>
      </c>
      <c r="BB137" s="225">
        <f>IF(OR($AO137=0,N($AW137)=0),0,IF(TDBC&lt;=$AW137,0,MAX(1,MIN(4,IF((TDBC-$AW137)*24&lt;24,1,IF((TDBC-$AW137)*24&lt;72,2,IF((TDBC-$AW137)*24&lt;168,3,4)))+IF($B137="Đột xuất",IFERROR(INDEX({2,1,0,-1},MATCH($L137,{"Khẩn cấp","Cao","Trung bình","Thấp"},0)),0),IF($D137="PCCC và an ninh",1,0))))))</f>
      </c>
    </row>
    <row r="138">
      <c r="A138" s="216"/>
      <c r="B138" s="216"/>
      <c r="C138" s="218"/>
      <c r="D138" s="218"/>
      <c r="E138" s="218"/>
      <c r="F138" s="216"/>
      <c r="G138" s="218"/>
      <c r="H138" s="218"/>
      <c r="I138" s="231"/>
      <c r="J138" s="217"/>
      <c r="K138" s="217"/>
      <c r="L138" s="216"/>
      <c r="M138" s="216"/>
      <c r="N138" s="218"/>
      <c r="O138" s="218"/>
      <c r="P138" s="218"/>
      <c r="Q138" s="218"/>
      <c r="R138" s="219"/>
      <c r="S138" s="216"/>
      <c r="T138" s="232"/>
      <c r="U138" s="232"/>
      <c r="V138" s="218"/>
      <c r="W138" s="218"/>
      <c r="X138" s="220">
        <f>IF($A138="","",IF(OR($B138="Định kỳ",$AA138="Hoàn thành"),MAX(_xlfn.MAXIFS('Nhật ký tiến độ'!$B$6:$B$3005,'Nhật ký tiến độ'!$C$6:$C$3005,$A138,'Nhật ký tiến độ'!$E$6:$E$3005,"Hoàn thành kỳ"),_xlfn.MAXIFS('Nhật ký tiến độ'!$B$6:$B$3005,'Nhật ký tiến độ'!$C$6:$C$3005,$A138,'Nhật ký tiến độ'!$E$6:$E$3005,"Hoàn thành")),0))</f>
      </c>
      <c r="Y138" s="220">
        <f>IF($A138="","",IF($B138="Đột xuất",IF($AY138=0,"",$AY138),IF($AX138=0,"",$AX138)))</f>
      </c>
      <c r="Z138" s="223">
        <f>IF(OR($AO138=0,$AW138=0),"",IF(TDBC&gt;$AW138,"Quá "&amp;IF($B138="Định kỳ",(NgayBC-$AP138)&amp;" ngày",IF(((TDBC-$AW138)*24)&lt;1,MAX(1,ROUND(((TDBC-$AW138)*24)*60,0))&amp;" phút",IF(ROUND(((TDBC-$AW138)*24),0)&lt;24,ROUND(((TDBC-$AW138)*24),0)&amp;" giờ",INT(ROUND(((TDBC-$AW138)*24),0)/24)&amp;" ngày"&amp;IF(MOD(ROUND(((TDBC-$AW138)*24),0),24)&gt;0," "&amp;MOD(ROUND(((TDBC-$AW138)*24),0),24)&amp;" giờ","")))),IF($B138="Định kỳ",IF($AP138=NgayBC,"Hôm nay","Còn "&amp;($AP138-NgayBC)&amp;" ngày"),"Còn "&amp;IF((($AW138-TDBC)*24)&lt;1,MAX(1,ROUND((($AW138-TDBC)*24)*60,0))&amp;" phút",IF(ROUND((($AW138-TDBC)*24),0)&lt;24,ROUND((($AW138-TDBC)*24),0)&amp;" giờ",INT(ROUND((($AW138-TDBC)*24),0)/24)&amp;" ngày"&amp;IF(MOD(ROUND((($AW138-TDBC)*24),0),24)&gt;0," "&amp;MOD(ROUND((($AW138-TDBC)*24),0),24)&amp;" giờ",""))))))</f>
      </c>
      <c r="AA138" s="221">
        <f>IF($A138="","",IF(N($AM138)=0,"Chưa bắt đầu",IF(OR($AN138="Hoàn thành kỳ",$AN138="Hoàn thành"),IF($B138="Định kỳ","Chưa bắt đầu","Hoàn thành"),$AN138)))</f>
      </c>
      <c r="AB138" s="222">
        <f>IF($A138="","",IF($AA138="Hoàn thành",1,IF(OR(N($AM138)=0,$AN138="Hoàn thành kỳ",$AN138="Hoàn thành"),0,N(INDEX('Nhật ký tiến độ'!$D:$D,$AM138)))))</f>
      </c>
      <c r="AC138" s="222">
        <f>IF(OR($A138="",$B138&lt;&gt;"Đột xuất",$AA138="Hoàn thành",N($J138)=0,$AW138=0),"",IF(TDBC&lt;=$J138,0,IF(TDBC&gt;=$AW138,1,(TDBC-$J138)/($AW138-$J138))))</f>
      </c>
      <c r="AD138" s="223">
        <f>IF($A138="","",IF($AA138="Hoàn thành","Hoàn thành",IF($AW138=0,"Chưa đặt hạn",IF(TDBC&gt;$AW138,"Quá hạn",IF(AND($B138="Đột xuất",ROUND((N($AC138)-$AB138)*100,0)&gt;=20),"Chậm tiến độ",IF($AP138=NgayBC,"Đến hạn hôm nay",IF($B138="Đột xuất",IF($AW138-TDBC&lt;=1,"Sắp đến hạn","Đúng tiến độ"),IF($AP138-NgayBC&lt;=3,"Sắp đến hạn","Theo lịch"))))))))</f>
      </c>
      <c r="AE138" s="223">
        <f>IF($AV138="","",IF($B138="Định kỳ","Bình quân "&amp;IF($AV138&lt;1,MAX(1,ROUND($AV138*60,0))&amp;" phút",IF(ROUND($AV138,0)&lt;24,ROUND($AV138,0)&amp;" giờ",INT(ROUND($AV138,0)/24)&amp;" ngày"&amp;IF(MOD(ROUND($AV138,0),24)&gt;0," "&amp;MOD(ROUND($AV138,0),24)&amp;" giờ","")))&amp;" mỗi kỳ",IF($AV138&lt;1,MAX(1,ROUND($AV138*60,0))&amp;" phút",IF(ROUND($AV138,0)&lt;24,ROUND($AV138,0)&amp;" giờ",INT(ROUND($AV138,0)/24)&amp;" ngày"&amp;IF(MOD(ROUND($AV138,0),24)&gt;0," "&amp;MOD(ROUND($AV138,0),24)&amp;" giờ","")))))</f>
      </c>
      <c r="AF138" s="223">
        <f>IF(OR($A138="",N($AU138)=0),"",IF($AV138&lt;&gt;"",IF($AV138&lt;=$AU138,"Trong ước tính","Vượt "&amp;IF(($AV138-$AU138)&lt;1,MAX(1,ROUND(($AV138-$AU138)*60,0))&amp;" phút",IF(ROUND(($AV138-$AU138),0)&lt;24,ROUND(($AV138-$AU138),0)&amp;" giờ",INT(ROUND(($AV138-$AU138),0)/24)&amp;" ngày"&amp;IF(MOD(ROUND(($AV138-$AU138),0),24)&gt;0," "&amp;MOD(ROUND(($AV138-$AU138),0),24)&amp;" giờ","")))),IF(OR($B138&lt;&gt;"Đột xuất",$AA138="Hoàn thành",N($J138)=0),"",IF((TDBC-$J138)*24&gt;$AU138,"Đã vượt ước tính","Đã dùng "&amp;TEXT((TDBC-$J138)*24/$AU138,"0%")))))</f>
      </c>
      <c r="AG138" s="223">
        <f>IF(N($BB138)=0,"",CHOOSE($BB138,"Nhắc nhở","Cảnh báo","Báo động","Báo động đỏ"))</f>
      </c>
      <c r="AH138" s="223">
        <f>IF(OR($B138&lt;&gt;"Đột xuất",$AA138&lt;&gt;"Hoàn thành",N($X138)=0,$AW138=0),"",IF($X138&lt;=$AW138,"Đúng hạn","Trễ hạn"))</f>
      </c>
      <c r="AI138" s="220">
        <f>IF($A138="","",_xlfn.MAXIFS('Nhật ký tiến độ'!$B$6:$B$3005,'Nhật ký tiến độ'!$C$6:$C$3005,$A138))</f>
      </c>
      <c r="AJ138" s="225">
        <f>IF(OR($A138="",$B138&lt;&gt;"Định kỳ"),0,IFERROR(INDEX(DM_TanSuatNgay,MATCH($H138,DM_TanSuat,0)),0))</f>
      </c>
      <c r="AK138" s="225">
        <f>IF(OR($A138="",$B138&lt;&gt;"Định kỳ"),0,IFERROR(INDEX(DM_TanSuatThang,MATCH($H138,DM_TanSuat,0)),0))</f>
      </c>
      <c r="AL138" s="225">
        <f>IF(OR($A138="",$B138&lt;&gt;"Định kỳ",N($X138)=0,N($I138)=0),"",IF(INT($X138)&lt;$I138,0,IF($AJ138&gt;0,ROUND((INT($X138)-$I138)/$AJ138,0),IF($AK138&gt;0,ROUND((DATEDIF($I138,INT($X138),"m")+(INT($X138)-EDATE($I138,DATEDIF($I138,INT($X138),"m")))/(EDATE($I138,DATEDIF($I138,INT($X138),"m")+1)-EDATE($I138,DATEDIF($I138,INT($X138),"m"))))/$AK138,0),0))))</f>
      </c>
      <c r="AM138" s="225">
        <f>IF($A138="","",IF(COUNTIF('Nhật ký tiến độ'!$C$6:$C$3005,$A138)=0,0,_xlfn.MAXIFS('Nhật ký tiến độ'!$N$6:$N$3005,'Nhật ký tiến độ'!$C$6:$C$3005,$A138,'Nhật ký tiến độ'!$B$6:$B$3005,_xlfn.MAXIFS('Nhật ký tiến độ'!$B$6:$B$3005,'Nhật ký tiến độ'!$C$6:$C$3005,$A138))))</f>
      </c>
      <c r="AN138" s="225">
        <f>IF($A138="","",IF(N($AM138)=0,"",INDEX('Nhật ký tiến độ'!$E:$E,$AM138)))</f>
      </c>
      <c r="AO138" s="225">
        <f>IF($A138="",0,IF($AA138="Hoàn thành",0,1))</f>
      </c>
      <c r="AP138" s="225">
        <f>IF($AO138=0,0,INT(N($AW138)))</f>
      </c>
      <c r="AQ138" s="225">
        <f>IF(AND($AO138=1,$AJ138&gt;1),$AJ138,0)</f>
      </c>
      <c r="AR138" s="225">
        <f>IF(AND($AO138=1,$AJ138=1),1,0)</f>
      </c>
      <c r="AS138" s="225">
        <f>IF(OR($AO138=0,AND($AR138=1,N($BB138)=0)),"",IF(N($BB138)&gt;0,5-$BB138,IF($AD138="Chậm tiến độ",6,IF($AD138="Đến hạn hôm nay",7,IF(AND($AP138&gt;0,$AP138-NgayBC&lt;=7),8,"")))))</f>
      </c>
      <c r="AT138" s="225">
        <f>IF($AS138="","",$AS138*100000+$AP138+ROW()/100000)</f>
      </c>
      <c r="AU138" s="224">
        <f>IF(OR($A138="",N($R138)&lt;=0),"",IF($S138="Ngày",$R138*24,$R138))</f>
      </c>
      <c r="AV138" s="224">
        <f>IF($A138="","",IF($B138="Đột xuất",IF(OR($AA138&lt;&gt;"Hoàn thành",N($X138)=0,N($J138)=0),"",IF($X138&lt;$J138,"",($X138-$J138)*24)),IFERROR(AVERAGEIFS('Nhật ký tiến độ'!$H$6:$H$3005,'Nhật ký tiến độ'!$C$6:$C$3005,$A138,'Nhật ký tiến độ'!$H$6:$H$3005,"&gt;0"),"")))</f>
      </c>
      <c r="AW138" s="233">
        <f>IF($A138="",0,IF($B138="Đột xuất",$AY138,IF($AX138=0,0,$AX138+1-1/1440)))</f>
      </c>
      <c r="AX138" s="234">
        <f>IF(OR($A138="",$B138&lt;&gt;"Định kỳ",N($I138)=0),0,IF($AL138="",$I138,IF($AJ138&gt;0,$I138+($AL138+1)*$AJ138,IF($AK138&gt;0,EDATE($I138,($AL138+1)*$AK138),$I138))))</f>
      </c>
      <c r="AY138" s="233">
        <f>IF(OR($A138="",$B138&lt;&gt;"Đột xuất"),0,IF(N($K138)&gt;0,IF(MOD($K138,1)=0,$K138+1-1/1440,$K138),IF(N($J138)=0,0,$J138+IF(N($AU138)&gt;0,$AU138,IFERROR(INDEX(DM_SLA_Gio,MATCH($L138,DM_SLA_Cap,0)),168))/24)))</f>
      </c>
      <c r="AZ138" s="225">
        <f>IF(OR($A138="",TRIM($N138)="",COUNTIF('Phản ánh'!$K$6:$K$505,$N138)&gt;0,COUNTIF($N$6:$N138,$N138)&gt;1),0,1)</f>
      </c>
      <c r="BA138" s="225">
        <f>IF($AZ138=1,SUM($AZ$6:$AZ138),"")</f>
      </c>
      <c r="BB138" s="225">
        <f>IF(OR($AO138=0,N($AW138)=0),0,IF(TDBC&lt;=$AW138,0,MAX(1,MIN(4,IF((TDBC-$AW138)*24&lt;24,1,IF((TDBC-$AW138)*24&lt;72,2,IF((TDBC-$AW138)*24&lt;168,3,4)))+IF($B138="Đột xuất",IFERROR(INDEX({2,1,0,-1},MATCH($L138,{"Khẩn cấp","Cao","Trung bình","Thấp"},0)),0),IF($D138="PCCC và an ninh",1,0))))))</f>
      </c>
    </row>
    <row r="139">
      <c r="A139" s="216"/>
      <c r="B139" s="216"/>
      <c r="C139" s="218"/>
      <c r="D139" s="218"/>
      <c r="E139" s="218"/>
      <c r="F139" s="216"/>
      <c r="G139" s="218"/>
      <c r="H139" s="218"/>
      <c r="I139" s="231"/>
      <c r="J139" s="217"/>
      <c r="K139" s="217"/>
      <c r="L139" s="216"/>
      <c r="M139" s="216"/>
      <c r="N139" s="218"/>
      <c r="O139" s="218"/>
      <c r="P139" s="218"/>
      <c r="Q139" s="218"/>
      <c r="R139" s="219"/>
      <c r="S139" s="216"/>
      <c r="T139" s="232"/>
      <c r="U139" s="232"/>
      <c r="V139" s="218"/>
      <c r="W139" s="218"/>
      <c r="X139" s="220">
        <f>IF($A139="","",IF(OR($B139="Định kỳ",$AA139="Hoàn thành"),MAX(_xlfn.MAXIFS('Nhật ký tiến độ'!$B$6:$B$3005,'Nhật ký tiến độ'!$C$6:$C$3005,$A139,'Nhật ký tiến độ'!$E$6:$E$3005,"Hoàn thành kỳ"),_xlfn.MAXIFS('Nhật ký tiến độ'!$B$6:$B$3005,'Nhật ký tiến độ'!$C$6:$C$3005,$A139,'Nhật ký tiến độ'!$E$6:$E$3005,"Hoàn thành")),0))</f>
      </c>
      <c r="Y139" s="220">
        <f>IF($A139="","",IF($B139="Đột xuất",IF($AY139=0,"",$AY139),IF($AX139=0,"",$AX139)))</f>
      </c>
      <c r="Z139" s="223">
        <f>IF(OR($AO139=0,$AW139=0),"",IF(TDBC&gt;$AW139,"Quá "&amp;IF($B139="Định kỳ",(NgayBC-$AP139)&amp;" ngày",IF(((TDBC-$AW139)*24)&lt;1,MAX(1,ROUND(((TDBC-$AW139)*24)*60,0))&amp;" phút",IF(ROUND(((TDBC-$AW139)*24),0)&lt;24,ROUND(((TDBC-$AW139)*24),0)&amp;" giờ",INT(ROUND(((TDBC-$AW139)*24),0)/24)&amp;" ngày"&amp;IF(MOD(ROUND(((TDBC-$AW139)*24),0),24)&gt;0," "&amp;MOD(ROUND(((TDBC-$AW139)*24),0),24)&amp;" giờ","")))),IF($B139="Định kỳ",IF($AP139=NgayBC,"Hôm nay","Còn "&amp;($AP139-NgayBC)&amp;" ngày"),"Còn "&amp;IF((($AW139-TDBC)*24)&lt;1,MAX(1,ROUND((($AW139-TDBC)*24)*60,0))&amp;" phút",IF(ROUND((($AW139-TDBC)*24),0)&lt;24,ROUND((($AW139-TDBC)*24),0)&amp;" giờ",INT(ROUND((($AW139-TDBC)*24),0)/24)&amp;" ngày"&amp;IF(MOD(ROUND((($AW139-TDBC)*24),0),24)&gt;0," "&amp;MOD(ROUND((($AW139-TDBC)*24),0),24)&amp;" giờ",""))))))</f>
      </c>
      <c r="AA139" s="221">
        <f>IF($A139="","",IF(N($AM139)=0,"Chưa bắt đầu",IF(OR($AN139="Hoàn thành kỳ",$AN139="Hoàn thành"),IF($B139="Định kỳ","Chưa bắt đầu","Hoàn thành"),$AN139)))</f>
      </c>
      <c r="AB139" s="222">
        <f>IF($A139="","",IF($AA139="Hoàn thành",1,IF(OR(N($AM139)=0,$AN139="Hoàn thành kỳ",$AN139="Hoàn thành"),0,N(INDEX('Nhật ký tiến độ'!$D:$D,$AM139)))))</f>
      </c>
      <c r="AC139" s="222">
        <f>IF(OR($A139="",$B139&lt;&gt;"Đột xuất",$AA139="Hoàn thành",N($J139)=0,$AW139=0),"",IF(TDBC&lt;=$J139,0,IF(TDBC&gt;=$AW139,1,(TDBC-$J139)/($AW139-$J139))))</f>
      </c>
      <c r="AD139" s="223">
        <f>IF($A139="","",IF($AA139="Hoàn thành","Hoàn thành",IF($AW139=0,"Chưa đặt hạn",IF(TDBC&gt;$AW139,"Quá hạn",IF(AND($B139="Đột xuất",ROUND((N($AC139)-$AB139)*100,0)&gt;=20),"Chậm tiến độ",IF($AP139=NgayBC,"Đến hạn hôm nay",IF($B139="Đột xuất",IF($AW139-TDBC&lt;=1,"Sắp đến hạn","Đúng tiến độ"),IF($AP139-NgayBC&lt;=3,"Sắp đến hạn","Theo lịch"))))))))</f>
      </c>
      <c r="AE139" s="223">
        <f>IF($AV139="","",IF($B139="Định kỳ","Bình quân "&amp;IF($AV139&lt;1,MAX(1,ROUND($AV139*60,0))&amp;" phút",IF(ROUND($AV139,0)&lt;24,ROUND($AV139,0)&amp;" giờ",INT(ROUND($AV139,0)/24)&amp;" ngày"&amp;IF(MOD(ROUND($AV139,0),24)&gt;0," "&amp;MOD(ROUND($AV139,0),24)&amp;" giờ","")))&amp;" mỗi kỳ",IF($AV139&lt;1,MAX(1,ROUND($AV139*60,0))&amp;" phút",IF(ROUND($AV139,0)&lt;24,ROUND($AV139,0)&amp;" giờ",INT(ROUND($AV139,0)/24)&amp;" ngày"&amp;IF(MOD(ROUND($AV139,0),24)&gt;0," "&amp;MOD(ROUND($AV139,0),24)&amp;" giờ","")))))</f>
      </c>
      <c r="AF139" s="223">
        <f>IF(OR($A139="",N($AU139)=0),"",IF($AV139&lt;&gt;"",IF($AV139&lt;=$AU139,"Trong ước tính","Vượt "&amp;IF(($AV139-$AU139)&lt;1,MAX(1,ROUND(($AV139-$AU139)*60,0))&amp;" phút",IF(ROUND(($AV139-$AU139),0)&lt;24,ROUND(($AV139-$AU139),0)&amp;" giờ",INT(ROUND(($AV139-$AU139),0)/24)&amp;" ngày"&amp;IF(MOD(ROUND(($AV139-$AU139),0),24)&gt;0," "&amp;MOD(ROUND(($AV139-$AU139),0),24)&amp;" giờ","")))),IF(OR($B139&lt;&gt;"Đột xuất",$AA139="Hoàn thành",N($J139)=0),"",IF((TDBC-$J139)*24&gt;$AU139,"Đã vượt ước tính","Đã dùng "&amp;TEXT((TDBC-$J139)*24/$AU139,"0%")))))</f>
      </c>
      <c r="AG139" s="223">
        <f>IF(N($BB139)=0,"",CHOOSE($BB139,"Nhắc nhở","Cảnh báo","Báo động","Báo động đỏ"))</f>
      </c>
      <c r="AH139" s="223">
        <f>IF(OR($B139&lt;&gt;"Đột xuất",$AA139&lt;&gt;"Hoàn thành",N($X139)=0,$AW139=0),"",IF($X139&lt;=$AW139,"Đúng hạn","Trễ hạn"))</f>
      </c>
      <c r="AI139" s="220">
        <f>IF($A139="","",_xlfn.MAXIFS('Nhật ký tiến độ'!$B$6:$B$3005,'Nhật ký tiến độ'!$C$6:$C$3005,$A139))</f>
      </c>
      <c r="AJ139" s="225">
        <f>IF(OR($A139="",$B139&lt;&gt;"Định kỳ"),0,IFERROR(INDEX(DM_TanSuatNgay,MATCH($H139,DM_TanSuat,0)),0))</f>
      </c>
      <c r="AK139" s="225">
        <f>IF(OR($A139="",$B139&lt;&gt;"Định kỳ"),0,IFERROR(INDEX(DM_TanSuatThang,MATCH($H139,DM_TanSuat,0)),0))</f>
      </c>
      <c r="AL139" s="225">
        <f>IF(OR($A139="",$B139&lt;&gt;"Định kỳ",N($X139)=0,N($I139)=0),"",IF(INT($X139)&lt;$I139,0,IF($AJ139&gt;0,ROUND((INT($X139)-$I139)/$AJ139,0),IF($AK139&gt;0,ROUND((DATEDIF($I139,INT($X139),"m")+(INT($X139)-EDATE($I139,DATEDIF($I139,INT($X139),"m")))/(EDATE($I139,DATEDIF($I139,INT($X139),"m")+1)-EDATE($I139,DATEDIF($I139,INT($X139),"m"))))/$AK139,0),0))))</f>
      </c>
      <c r="AM139" s="225">
        <f>IF($A139="","",IF(COUNTIF('Nhật ký tiến độ'!$C$6:$C$3005,$A139)=0,0,_xlfn.MAXIFS('Nhật ký tiến độ'!$N$6:$N$3005,'Nhật ký tiến độ'!$C$6:$C$3005,$A139,'Nhật ký tiến độ'!$B$6:$B$3005,_xlfn.MAXIFS('Nhật ký tiến độ'!$B$6:$B$3005,'Nhật ký tiến độ'!$C$6:$C$3005,$A139))))</f>
      </c>
      <c r="AN139" s="225">
        <f>IF($A139="","",IF(N($AM139)=0,"",INDEX('Nhật ký tiến độ'!$E:$E,$AM139)))</f>
      </c>
      <c r="AO139" s="225">
        <f>IF($A139="",0,IF($AA139="Hoàn thành",0,1))</f>
      </c>
      <c r="AP139" s="225">
        <f>IF($AO139=0,0,INT(N($AW139)))</f>
      </c>
      <c r="AQ139" s="225">
        <f>IF(AND($AO139=1,$AJ139&gt;1),$AJ139,0)</f>
      </c>
      <c r="AR139" s="225">
        <f>IF(AND($AO139=1,$AJ139=1),1,0)</f>
      </c>
      <c r="AS139" s="225">
        <f>IF(OR($AO139=0,AND($AR139=1,N($BB139)=0)),"",IF(N($BB139)&gt;0,5-$BB139,IF($AD139="Chậm tiến độ",6,IF($AD139="Đến hạn hôm nay",7,IF(AND($AP139&gt;0,$AP139-NgayBC&lt;=7),8,"")))))</f>
      </c>
      <c r="AT139" s="225">
        <f>IF($AS139="","",$AS139*100000+$AP139+ROW()/100000)</f>
      </c>
      <c r="AU139" s="224">
        <f>IF(OR($A139="",N($R139)&lt;=0),"",IF($S139="Ngày",$R139*24,$R139))</f>
      </c>
      <c r="AV139" s="224">
        <f>IF($A139="","",IF($B139="Đột xuất",IF(OR($AA139&lt;&gt;"Hoàn thành",N($X139)=0,N($J139)=0),"",IF($X139&lt;$J139,"",($X139-$J139)*24)),IFERROR(AVERAGEIFS('Nhật ký tiến độ'!$H$6:$H$3005,'Nhật ký tiến độ'!$C$6:$C$3005,$A139,'Nhật ký tiến độ'!$H$6:$H$3005,"&gt;0"),"")))</f>
      </c>
      <c r="AW139" s="233">
        <f>IF($A139="",0,IF($B139="Đột xuất",$AY139,IF($AX139=0,0,$AX139+1-1/1440)))</f>
      </c>
      <c r="AX139" s="234">
        <f>IF(OR($A139="",$B139&lt;&gt;"Định kỳ",N($I139)=0),0,IF($AL139="",$I139,IF($AJ139&gt;0,$I139+($AL139+1)*$AJ139,IF($AK139&gt;0,EDATE($I139,($AL139+1)*$AK139),$I139))))</f>
      </c>
      <c r="AY139" s="233">
        <f>IF(OR($A139="",$B139&lt;&gt;"Đột xuất"),0,IF(N($K139)&gt;0,IF(MOD($K139,1)=0,$K139+1-1/1440,$K139),IF(N($J139)=0,0,$J139+IF(N($AU139)&gt;0,$AU139,IFERROR(INDEX(DM_SLA_Gio,MATCH($L139,DM_SLA_Cap,0)),168))/24)))</f>
      </c>
      <c r="AZ139" s="225">
        <f>IF(OR($A139="",TRIM($N139)="",COUNTIF('Phản ánh'!$K$6:$K$505,$N139)&gt;0,COUNTIF($N$6:$N139,$N139)&gt;1),0,1)</f>
      </c>
      <c r="BA139" s="225">
        <f>IF($AZ139=1,SUM($AZ$6:$AZ139),"")</f>
      </c>
      <c r="BB139" s="225">
        <f>IF(OR($AO139=0,N($AW139)=0),0,IF(TDBC&lt;=$AW139,0,MAX(1,MIN(4,IF((TDBC-$AW139)*24&lt;24,1,IF((TDBC-$AW139)*24&lt;72,2,IF((TDBC-$AW139)*24&lt;168,3,4)))+IF($B139="Đột xuất",IFERROR(INDEX({2,1,0,-1},MATCH($L139,{"Khẩn cấp","Cao","Trung bình","Thấp"},0)),0),IF($D139="PCCC và an ninh",1,0))))))</f>
      </c>
    </row>
    <row r="140">
      <c r="A140" s="216"/>
      <c r="B140" s="216"/>
      <c r="C140" s="218"/>
      <c r="D140" s="218"/>
      <c r="E140" s="218"/>
      <c r="F140" s="216"/>
      <c r="G140" s="218"/>
      <c r="H140" s="218"/>
      <c r="I140" s="231"/>
      <c r="J140" s="217"/>
      <c r="K140" s="217"/>
      <c r="L140" s="216"/>
      <c r="M140" s="216"/>
      <c r="N140" s="218"/>
      <c r="O140" s="218"/>
      <c r="P140" s="218"/>
      <c r="Q140" s="218"/>
      <c r="R140" s="219"/>
      <c r="S140" s="216"/>
      <c r="T140" s="232"/>
      <c r="U140" s="232"/>
      <c r="V140" s="218"/>
      <c r="W140" s="218"/>
      <c r="X140" s="220">
        <f>IF($A140="","",IF(OR($B140="Định kỳ",$AA140="Hoàn thành"),MAX(_xlfn.MAXIFS('Nhật ký tiến độ'!$B$6:$B$3005,'Nhật ký tiến độ'!$C$6:$C$3005,$A140,'Nhật ký tiến độ'!$E$6:$E$3005,"Hoàn thành kỳ"),_xlfn.MAXIFS('Nhật ký tiến độ'!$B$6:$B$3005,'Nhật ký tiến độ'!$C$6:$C$3005,$A140,'Nhật ký tiến độ'!$E$6:$E$3005,"Hoàn thành")),0))</f>
      </c>
      <c r="Y140" s="220">
        <f>IF($A140="","",IF($B140="Đột xuất",IF($AY140=0,"",$AY140),IF($AX140=0,"",$AX140)))</f>
      </c>
      <c r="Z140" s="223">
        <f>IF(OR($AO140=0,$AW140=0),"",IF(TDBC&gt;$AW140,"Quá "&amp;IF($B140="Định kỳ",(NgayBC-$AP140)&amp;" ngày",IF(((TDBC-$AW140)*24)&lt;1,MAX(1,ROUND(((TDBC-$AW140)*24)*60,0))&amp;" phút",IF(ROUND(((TDBC-$AW140)*24),0)&lt;24,ROUND(((TDBC-$AW140)*24),0)&amp;" giờ",INT(ROUND(((TDBC-$AW140)*24),0)/24)&amp;" ngày"&amp;IF(MOD(ROUND(((TDBC-$AW140)*24),0),24)&gt;0," "&amp;MOD(ROUND(((TDBC-$AW140)*24),0),24)&amp;" giờ","")))),IF($B140="Định kỳ",IF($AP140=NgayBC,"Hôm nay","Còn "&amp;($AP140-NgayBC)&amp;" ngày"),"Còn "&amp;IF((($AW140-TDBC)*24)&lt;1,MAX(1,ROUND((($AW140-TDBC)*24)*60,0))&amp;" phút",IF(ROUND((($AW140-TDBC)*24),0)&lt;24,ROUND((($AW140-TDBC)*24),0)&amp;" giờ",INT(ROUND((($AW140-TDBC)*24),0)/24)&amp;" ngày"&amp;IF(MOD(ROUND((($AW140-TDBC)*24),0),24)&gt;0," "&amp;MOD(ROUND((($AW140-TDBC)*24),0),24)&amp;" giờ",""))))))</f>
      </c>
      <c r="AA140" s="221">
        <f>IF($A140="","",IF(N($AM140)=0,"Chưa bắt đầu",IF(OR($AN140="Hoàn thành kỳ",$AN140="Hoàn thành"),IF($B140="Định kỳ","Chưa bắt đầu","Hoàn thành"),$AN140)))</f>
      </c>
      <c r="AB140" s="222">
        <f>IF($A140="","",IF($AA140="Hoàn thành",1,IF(OR(N($AM140)=0,$AN140="Hoàn thành kỳ",$AN140="Hoàn thành"),0,N(INDEX('Nhật ký tiến độ'!$D:$D,$AM140)))))</f>
      </c>
      <c r="AC140" s="222">
        <f>IF(OR($A140="",$B140&lt;&gt;"Đột xuất",$AA140="Hoàn thành",N($J140)=0,$AW140=0),"",IF(TDBC&lt;=$J140,0,IF(TDBC&gt;=$AW140,1,(TDBC-$J140)/($AW140-$J140))))</f>
      </c>
      <c r="AD140" s="223">
        <f>IF($A140="","",IF($AA140="Hoàn thành","Hoàn thành",IF($AW140=0,"Chưa đặt hạn",IF(TDBC&gt;$AW140,"Quá hạn",IF(AND($B140="Đột xuất",ROUND((N($AC140)-$AB140)*100,0)&gt;=20),"Chậm tiến độ",IF($AP140=NgayBC,"Đến hạn hôm nay",IF($B140="Đột xuất",IF($AW140-TDBC&lt;=1,"Sắp đến hạn","Đúng tiến độ"),IF($AP140-NgayBC&lt;=3,"Sắp đến hạn","Theo lịch"))))))))</f>
      </c>
      <c r="AE140" s="223">
        <f>IF($AV140="","",IF($B140="Định kỳ","Bình quân "&amp;IF($AV140&lt;1,MAX(1,ROUND($AV140*60,0))&amp;" phút",IF(ROUND($AV140,0)&lt;24,ROUND($AV140,0)&amp;" giờ",INT(ROUND($AV140,0)/24)&amp;" ngày"&amp;IF(MOD(ROUND($AV140,0),24)&gt;0," "&amp;MOD(ROUND($AV140,0),24)&amp;" giờ","")))&amp;" mỗi kỳ",IF($AV140&lt;1,MAX(1,ROUND($AV140*60,0))&amp;" phút",IF(ROUND($AV140,0)&lt;24,ROUND($AV140,0)&amp;" giờ",INT(ROUND($AV140,0)/24)&amp;" ngày"&amp;IF(MOD(ROUND($AV140,0),24)&gt;0," "&amp;MOD(ROUND($AV140,0),24)&amp;" giờ","")))))</f>
      </c>
      <c r="AF140" s="223">
        <f>IF(OR($A140="",N($AU140)=0),"",IF($AV140&lt;&gt;"",IF($AV140&lt;=$AU140,"Trong ước tính","Vượt "&amp;IF(($AV140-$AU140)&lt;1,MAX(1,ROUND(($AV140-$AU140)*60,0))&amp;" phút",IF(ROUND(($AV140-$AU140),0)&lt;24,ROUND(($AV140-$AU140),0)&amp;" giờ",INT(ROUND(($AV140-$AU140),0)/24)&amp;" ngày"&amp;IF(MOD(ROUND(($AV140-$AU140),0),24)&gt;0," "&amp;MOD(ROUND(($AV140-$AU140),0),24)&amp;" giờ","")))),IF(OR($B140&lt;&gt;"Đột xuất",$AA140="Hoàn thành",N($J140)=0),"",IF((TDBC-$J140)*24&gt;$AU140,"Đã vượt ước tính","Đã dùng "&amp;TEXT((TDBC-$J140)*24/$AU140,"0%")))))</f>
      </c>
      <c r="AG140" s="223">
        <f>IF(N($BB140)=0,"",CHOOSE($BB140,"Nhắc nhở","Cảnh báo","Báo động","Báo động đỏ"))</f>
      </c>
      <c r="AH140" s="223">
        <f>IF(OR($B140&lt;&gt;"Đột xuất",$AA140&lt;&gt;"Hoàn thành",N($X140)=0,$AW140=0),"",IF($X140&lt;=$AW140,"Đúng hạn","Trễ hạn"))</f>
      </c>
      <c r="AI140" s="220">
        <f>IF($A140="","",_xlfn.MAXIFS('Nhật ký tiến độ'!$B$6:$B$3005,'Nhật ký tiến độ'!$C$6:$C$3005,$A140))</f>
      </c>
      <c r="AJ140" s="225">
        <f>IF(OR($A140="",$B140&lt;&gt;"Định kỳ"),0,IFERROR(INDEX(DM_TanSuatNgay,MATCH($H140,DM_TanSuat,0)),0))</f>
      </c>
      <c r="AK140" s="225">
        <f>IF(OR($A140="",$B140&lt;&gt;"Định kỳ"),0,IFERROR(INDEX(DM_TanSuatThang,MATCH($H140,DM_TanSuat,0)),0))</f>
      </c>
      <c r="AL140" s="225">
        <f>IF(OR($A140="",$B140&lt;&gt;"Định kỳ",N($X140)=0,N($I140)=0),"",IF(INT($X140)&lt;$I140,0,IF($AJ140&gt;0,ROUND((INT($X140)-$I140)/$AJ140,0),IF($AK140&gt;0,ROUND((DATEDIF($I140,INT($X140),"m")+(INT($X140)-EDATE($I140,DATEDIF($I140,INT($X140),"m")))/(EDATE($I140,DATEDIF($I140,INT($X140),"m")+1)-EDATE($I140,DATEDIF($I140,INT($X140),"m"))))/$AK140,0),0))))</f>
      </c>
      <c r="AM140" s="225">
        <f>IF($A140="","",IF(COUNTIF('Nhật ký tiến độ'!$C$6:$C$3005,$A140)=0,0,_xlfn.MAXIFS('Nhật ký tiến độ'!$N$6:$N$3005,'Nhật ký tiến độ'!$C$6:$C$3005,$A140,'Nhật ký tiến độ'!$B$6:$B$3005,_xlfn.MAXIFS('Nhật ký tiến độ'!$B$6:$B$3005,'Nhật ký tiến độ'!$C$6:$C$3005,$A140))))</f>
      </c>
      <c r="AN140" s="225">
        <f>IF($A140="","",IF(N($AM140)=0,"",INDEX('Nhật ký tiến độ'!$E:$E,$AM140)))</f>
      </c>
      <c r="AO140" s="225">
        <f>IF($A140="",0,IF($AA140="Hoàn thành",0,1))</f>
      </c>
      <c r="AP140" s="225">
        <f>IF($AO140=0,0,INT(N($AW140)))</f>
      </c>
      <c r="AQ140" s="225">
        <f>IF(AND($AO140=1,$AJ140&gt;1),$AJ140,0)</f>
      </c>
      <c r="AR140" s="225">
        <f>IF(AND($AO140=1,$AJ140=1),1,0)</f>
      </c>
      <c r="AS140" s="225">
        <f>IF(OR($AO140=0,AND($AR140=1,N($BB140)=0)),"",IF(N($BB140)&gt;0,5-$BB140,IF($AD140="Chậm tiến độ",6,IF($AD140="Đến hạn hôm nay",7,IF(AND($AP140&gt;0,$AP140-NgayBC&lt;=7),8,"")))))</f>
      </c>
      <c r="AT140" s="225">
        <f>IF($AS140="","",$AS140*100000+$AP140+ROW()/100000)</f>
      </c>
      <c r="AU140" s="224">
        <f>IF(OR($A140="",N($R140)&lt;=0),"",IF($S140="Ngày",$R140*24,$R140))</f>
      </c>
      <c r="AV140" s="224">
        <f>IF($A140="","",IF($B140="Đột xuất",IF(OR($AA140&lt;&gt;"Hoàn thành",N($X140)=0,N($J140)=0),"",IF($X140&lt;$J140,"",($X140-$J140)*24)),IFERROR(AVERAGEIFS('Nhật ký tiến độ'!$H$6:$H$3005,'Nhật ký tiến độ'!$C$6:$C$3005,$A140,'Nhật ký tiến độ'!$H$6:$H$3005,"&gt;0"),"")))</f>
      </c>
      <c r="AW140" s="233">
        <f>IF($A140="",0,IF($B140="Đột xuất",$AY140,IF($AX140=0,0,$AX140+1-1/1440)))</f>
      </c>
      <c r="AX140" s="234">
        <f>IF(OR($A140="",$B140&lt;&gt;"Định kỳ",N($I140)=0),0,IF($AL140="",$I140,IF($AJ140&gt;0,$I140+($AL140+1)*$AJ140,IF($AK140&gt;0,EDATE($I140,($AL140+1)*$AK140),$I140))))</f>
      </c>
      <c r="AY140" s="233">
        <f>IF(OR($A140="",$B140&lt;&gt;"Đột xuất"),0,IF(N($K140)&gt;0,IF(MOD($K140,1)=0,$K140+1-1/1440,$K140),IF(N($J140)=0,0,$J140+IF(N($AU140)&gt;0,$AU140,IFERROR(INDEX(DM_SLA_Gio,MATCH($L140,DM_SLA_Cap,0)),168))/24)))</f>
      </c>
      <c r="AZ140" s="225">
        <f>IF(OR($A140="",TRIM($N140)="",COUNTIF('Phản ánh'!$K$6:$K$505,$N140)&gt;0,COUNTIF($N$6:$N140,$N140)&gt;1),0,1)</f>
      </c>
      <c r="BA140" s="225">
        <f>IF($AZ140=1,SUM($AZ$6:$AZ140),"")</f>
      </c>
      <c r="BB140" s="225">
        <f>IF(OR($AO140=0,N($AW140)=0),0,IF(TDBC&lt;=$AW140,0,MAX(1,MIN(4,IF((TDBC-$AW140)*24&lt;24,1,IF((TDBC-$AW140)*24&lt;72,2,IF((TDBC-$AW140)*24&lt;168,3,4)))+IF($B140="Đột xuất",IFERROR(INDEX({2,1,0,-1},MATCH($L140,{"Khẩn cấp","Cao","Trung bình","Thấp"},0)),0),IF($D140="PCCC và an ninh",1,0))))))</f>
      </c>
    </row>
    <row r="141">
      <c r="A141" s="216"/>
      <c r="B141" s="216"/>
      <c r="C141" s="218"/>
      <c r="D141" s="218"/>
      <c r="E141" s="218"/>
      <c r="F141" s="216"/>
      <c r="G141" s="218"/>
      <c r="H141" s="218"/>
      <c r="I141" s="231"/>
      <c r="J141" s="217"/>
      <c r="K141" s="217"/>
      <c r="L141" s="216"/>
      <c r="M141" s="216"/>
      <c r="N141" s="218"/>
      <c r="O141" s="218"/>
      <c r="P141" s="218"/>
      <c r="Q141" s="218"/>
      <c r="R141" s="219"/>
      <c r="S141" s="216"/>
      <c r="T141" s="232"/>
      <c r="U141" s="232"/>
      <c r="V141" s="218"/>
      <c r="W141" s="218"/>
      <c r="X141" s="220">
        <f>IF($A141="","",IF(OR($B141="Định kỳ",$AA141="Hoàn thành"),MAX(_xlfn.MAXIFS('Nhật ký tiến độ'!$B$6:$B$3005,'Nhật ký tiến độ'!$C$6:$C$3005,$A141,'Nhật ký tiến độ'!$E$6:$E$3005,"Hoàn thành kỳ"),_xlfn.MAXIFS('Nhật ký tiến độ'!$B$6:$B$3005,'Nhật ký tiến độ'!$C$6:$C$3005,$A141,'Nhật ký tiến độ'!$E$6:$E$3005,"Hoàn thành")),0))</f>
      </c>
      <c r="Y141" s="220">
        <f>IF($A141="","",IF($B141="Đột xuất",IF($AY141=0,"",$AY141),IF($AX141=0,"",$AX141)))</f>
      </c>
      <c r="Z141" s="223">
        <f>IF(OR($AO141=0,$AW141=0),"",IF(TDBC&gt;$AW141,"Quá "&amp;IF($B141="Định kỳ",(NgayBC-$AP141)&amp;" ngày",IF(((TDBC-$AW141)*24)&lt;1,MAX(1,ROUND(((TDBC-$AW141)*24)*60,0))&amp;" phút",IF(ROUND(((TDBC-$AW141)*24),0)&lt;24,ROUND(((TDBC-$AW141)*24),0)&amp;" giờ",INT(ROUND(((TDBC-$AW141)*24),0)/24)&amp;" ngày"&amp;IF(MOD(ROUND(((TDBC-$AW141)*24),0),24)&gt;0," "&amp;MOD(ROUND(((TDBC-$AW141)*24),0),24)&amp;" giờ","")))),IF($B141="Định kỳ",IF($AP141=NgayBC,"Hôm nay","Còn "&amp;($AP141-NgayBC)&amp;" ngày"),"Còn "&amp;IF((($AW141-TDBC)*24)&lt;1,MAX(1,ROUND((($AW141-TDBC)*24)*60,0))&amp;" phút",IF(ROUND((($AW141-TDBC)*24),0)&lt;24,ROUND((($AW141-TDBC)*24),0)&amp;" giờ",INT(ROUND((($AW141-TDBC)*24),0)/24)&amp;" ngày"&amp;IF(MOD(ROUND((($AW141-TDBC)*24),0),24)&gt;0," "&amp;MOD(ROUND((($AW141-TDBC)*24),0),24)&amp;" giờ",""))))))</f>
      </c>
      <c r="AA141" s="221">
        <f>IF($A141="","",IF(N($AM141)=0,"Chưa bắt đầu",IF(OR($AN141="Hoàn thành kỳ",$AN141="Hoàn thành"),IF($B141="Định kỳ","Chưa bắt đầu","Hoàn thành"),$AN141)))</f>
      </c>
      <c r="AB141" s="222">
        <f>IF($A141="","",IF($AA141="Hoàn thành",1,IF(OR(N($AM141)=0,$AN141="Hoàn thành kỳ",$AN141="Hoàn thành"),0,N(INDEX('Nhật ký tiến độ'!$D:$D,$AM141)))))</f>
      </c>
      <c r="AC141" s="222">
        <f>IF(OR($A141="",$B141&lt;&gt;"Đột xuất",$AA141="Hoàn thành",N($J141)=0,$AW141=0),"",IF(TDBC&lt;=$J141,0,IF(TDBC&gt;=$AW141,1,(TDBC-$J141)/($AW141-$J141))))</f>
      </c>
      <c r="AD141" s="223">
        <f>IF($A141="","",IF($AA141="Hoàn thành","Hoàn thành",IF($AW141=0,"Chưa đặt hạn",IF(TDBC&gt;$AW141,"Quá hạn",IF(AND($B141="Đột xuất",ROUND((N($AC141)-$AB141)*100,0)&gt;=20),"Chậm tiến độ",IF($AP141=NgayBC,"Đến hạn hôm nay",IF($B141="Đột xuất",IF($AW141-TDBC&lt;=1,"Sắp đến hạn","Đúng tiến độ"),IF($AP141-NgayBC&lt;=3,"Sắp đến hạn","Theo lịch"))))))))</f>
      </c>
      <c r="AE141" s="223">
        <f>IF($AV141="","",IF($B141="Định kỳ","Bình quân "&amp;IF($AV141&lt;1,MAX(1,ROUND($AV141*60,0))&amp;" phút",IF(ROUND($AV141,0)&lt;24,ROUND($AV141,0)&amp;" giờ",INT(ROUND($AV141,0)/24)&amp;" ngày"&amp;IF(MOD(ROUND($AV141,0),24)&gt;0," "&amp;MOD(ROUND($AV141,0),24)&amp;" giờ","")))&amp;" mỗi kỳ",IF($AV141&lt;1,MAX(1,ROUND($AV141*60,0))&amp;" phút",IF(ROUND($AV141,0)&lt;24,ROUND($AV141,0)&amp;" giờ",INT(ROUND($AV141,0)/24)&amp;" ngày"&amp;IF(MOD(ROUND($AV141,0),24)&gt;0," "&amp;MOD(ROUND($AV141,0),24)&amp;" giờ","")))))</f>
      </c>
      <c r="AF141" s="223">
        <f>IF(OR($A141="",N($AU141)=0),"",IF($AV141&lt;&gt;"",IF($AV141&lt;=$AU141,"Trong ước tính","Vượt "&amp;IF(($AV141-$AU141)&lt;1,MAX(1,ROUND(($AV141-$AU141)*60,0))&amp;" phút",IF(ROUND(($AV141-$AU141),0)&lt;24,ROUND(($AV141-$AU141),0)&amp;" giờ",INT(ROUND(($AV141-$AU141),0)/24)&amp;" ngày"&amp;IF(MOD(ROUND(($AV141-$AU141),0),24)&gt;0," "&amp;MOD(ROUND(($AV141-$AU141),0),24)&amp;" giờ","")))),IF(OR($B141&lt;&gt;"Đột xuất",$AA141="Hoàn thành",N($J141)=0),"",IF((TDBC-$J141)*24&gt;$AU141,"Đã vượt ước tính","Đã dùng "&amp;TEXT((TDBC-$J141)*24/$AU141,"0%")))))</f>
      </c>
      <c r="AG141" s="223">
        <f>IF(N($BB141)=0,"",CHOOSE($BB141,"Nhắc nhở","Cảnh báo","Báo động","Báo động đỏ"))</f>
      </c>
      <c r="AH141" s="223">
        <f>IF(OR($B141&lt;&gt;"Đột xuất",$AA141&lt;&gt;"Hoàn thành",N($X141)=0,$AW141=0),"",IF($X141&lt;=$AW141,"Đúng hạn","Trễ hạn"))</f>
      </c>
      <c r="AI141" s="220">
        <f>IF($A141="","",_xlfn.MAXIFS('Nhật ký tiến độ'!$B$6:$B$3005,'Nhật ký tiến độ'!$C$6:$C$3005,$A141))</f>
      </c>
      <c r="AJ141" s="225">
        <f>IF(OR($A141="",$B141&lt;&gt;"Định kỳ"),0,IFERROR(INDEX(DM_TanSuatNgay,MATCH($H141,DM_TanSuat,0)),0))</f>
      </c>
      <c r="AK141" s="225">
        <f>IF(OR($A141="",$B141&lt;&gt;"Định kỳ"),0,IFERROR(INDEX(DM_TanSuatThang,MATCH($H141,DM_TanSuat,0)),0))</f>
      </c>
      <c r="AL141" s="225">
        <f>IF(OR($A141="",$B141&lt;&gt;"Định kỳ",N($X141)=0,N($I141)=0),"",IF(INT($X141)&lt;$I141,0,IF($AJ141&gt;0,ROUND((INT($X141)-$I141)/$AJ141,0),IF($AK141&gt;0,ROUND((DATEDIF($I141,INT($X141),"m")+(INT($X141)-EDATE($I141,DATEDIF($I141,INT($X141),"m")))/(EDATE($I141,DATEDIF($I141,INT($X141),"m")+1)-EDATE($I141,DATEDIF($I141,INT($X141),"m"))))/$AK141,0),0))))</f>
      </c>
      <c r="AM141" s="225">
        <f>IF($A141="","",IF(COUNTIF('Nhật ký tiến độ'!$C$6:$C$3005,$A141)=0,0,_xlfn.MAXIFS('Nhật ký tiến độ'!$N$6:$N$3005,'Nhật ký tiến độ'!$C$6:$C$3005,$A141,'Nhật ký tiến độ'!$B$6:$B$3005,_xlfn.MAXIFS('Nhật ký tiến độ'!$B$6:$B$3005,'Nhật ký tiến độ'!$C$6:$C$3005,$A141))))</f>
      </c>
      <c r="AN141" s="225">
        <f>IF($A141="","",IF(N($AM141)=0,"",INDEX('Nhật ký tiến độ'!$E:$E,$AM141)))</f>
      </c>
      <c r="AO141" s="225">
        <f>IF($A141="",0,IF($AA141="Hoàn thành",0,1))</f>
      </c>
      <c r="AP141" s="225">
        <f>IF($AO141=0,0,INT(N($AW141)))</f>
      </c>
      <c r="AQ141" s="225">
        <f>IF(AND($AO141=1,$AJ141&gt;1),$AJ141,0)</f>
      </c>
      <c r="AR141" s="225">
        <f>IF(AND($AO141=1,$AJ141=1),1,0)</f>
      </c>
      <c r="AS141" s="225">
        <f>IF(OR($AO141=0,AND($AR141=1,N($BB141)=0)),"",IF(N($BB141)&gt;0,5-$BB141,IF($AD141="Chậm tiến độ",6,IF($AD141="Đến hạn hôm nay",7,IF(AND($AP141&gt;0,$AP141-NgayBC&lt;=7),8,"")))))</f>
      </c>
      <c r="AT141" s="225">
        <f>IF($AS141="","",$AS141*100000+$AP141+ROW()/100000)</f>
      </c>
      <c r="AU141" s="224">
        <f>IF(OR($A141="",N($R141)&lt;=0),"",IF($S141="Ngày",$R141*24,$R141))</f>
      </c>
      <c r="AV141" s="224">
        <f>IF($A141="","",IF($B141="Đột xuất",IF(OR($AA141&lt;&gt;"Hoàn thành",N($X141)=0,N($J141)=0),"",IF($X141&lt;$J141,"",($X141-$J141)*24)),IFERROR(AVERAGEIFS('Nhật ký tiến độ'!$H$6:$H$3005,'Nhật ký tiến độ'!$C$6:$C$3005,$A141,'Nhật ký tiến độ'!$H$6:$H$3005,"&gt;0"),"")))</f>
      </c>
      <c r="AW141" s="233">
        <f>IF($A141="",0,IF($B141="Đột xuất",$AY141,IF($AX141=0,0,$AX141+1-1/1440)))</f>
      </c>
      <c r="AX141" s="234">
        <f>IF(OR($A141="",$B141&lt;&gt;"Định kỳ",N($I141)=0),0,IF($AL141="",$I141,IF($AJ141&gt;0,$I141+($AL141+1)*$AJ141,IF($AK141&gt;0,EDATE($I141,($AL141+1)*$AK141),$I141))))</f>
      </c>
      <c r="AY141" s="233">
        <f>IF(OR($A141="",$B141&lt;&gt;"Đột xuất"),0,IF(N($K141)&gt;0,IF(MOD($K141,1)=0,$K141+1-1/1440,$K141),IF(N($J141)=0,0,$J141+IF(N($AU141)&gt;0,$AU141,IFERROR(INDEX(DM_SLA_Gio,MATCH($L141,DM_SLA_Cap,0)),168))/24)))</f>
      </c>
      <c r="AZ141" s="225">
        <f>IF(OR($A141="",TRIM($N141)="",COUNTIF('Phản ánh'!$K$6:$K$505,$N141)&gt;0,COUNTIF($N$6:$N141,$N141)&gt;1),0,1)</f>
      </c>
      <c r="BA141" s="225">
        <f>IF($AZ141=1,SUM($AZ$6:$AZ141),"")</f>
      </c>
      <c r="BB141" s="225">
        <f>IF(OR($AO141=0,N($AW141)=0),0,IF(TDBC&lt;=$AW141,0,MAX(1,MIN(4,IF((TDBC-$AW141)*24&lt;24,1,IF((TDBC-$AW141)*24&lt;72,2,IF((TDBC-$AW141)*24&lt;168,3,4)))+IF($B141="Đột xuất",IFERROR(INDEX({2,1,0,-1},MATCH($L141,{"Khẩn cấp","Cao","Trung bình","Thấp"},0)),0),IF($D141="PCCC và an ninh",1,0))))))</f>
      </c>
    </row>
    <row r="142">
      <c r="A142" s="216"/>
      <c r="B142" s="216"/>
      <c r="C142" s="218"/>
      <c r="D142" s="218"/>
      <c r="E142" s="218"/>
      <c r="F142" s="216"/>
      <c r="G142" s="218"/>
      <c r="H142" s="218"/>
      <c r="I142" s="231"/>
      <c r="J142" s="217"/>
      <c r="K142" s="217"/>
      <c r="L142" s="216"/>
      <c r="M142" s="216"/>
      <c r="N142" s="218"/>
      <c r="O142" s="218"/>
      <c r="P142" s="218"/>
      <c r="Q142" s="218"/>
      <c r="R142" s="219"/>
      <c r="S142" s="216"/>
      <c r="T142" s="232"/>
      <c r="U142" s="232"/>
      <c r="V142" s="218"/>
      <c r="W142" s="218"/>
      <c r="X142" s="220">
        <f>IF($A142="","",IF(OR($B142="Định kỳ",$AA142="Hoàn thành"),MAX(_xlfn.MAXIFS('Nhật ký tiến độ'!$B$6:$B$3005,'Nhật ký tiến độ'!$C$6:$C$3005,$A142,'Nhật ký tiến độ'!$E$6:$E$3005,"Hoàn thành kỳ"),_xlfn.MAXIFS('Nhật ký tiến độ'!$B$6:$B$3005,'Nhật ký tiến độ'!$C$6:$C$3005,$A142,'Nhật ký tiến độ'!$E$6:$E$3005,"Hoàn thành")),0))</f>
      </c>
      <c r="Y142" s="220">
        <f>IF($A142="","",IF($B142="Đột xuất",IF($AY142=0,"",$AY142),IF($AX142=0,"",$AX142)))</f>
      </c>
      <c r="Z142" s="223">
        <f>IF(OR($AO142=0,$AW142=0),"",IF(TDBC&gt;$AW142,"Quá "&amp;IF($B142="Định kỳ",(NgayBC-$AP142)&amp;" ngày",IF(((TDBC-$AW142)*24)&lt;1,MAX(1,ROUND(((TDBC-$AW142)*24)*60,0))&amp;" phút",IF(ROUND(((TDBC-$AW142)*24),0)&lt;24,ROUND(((TDBC-$AW142)*24),0)&amp;" giờ",INT(ROUND(((TDBC-$AW142)*24),0)/24)&amp;" ngày"&amp;IF(MOD(ROUND(((TDBC-$AW142)*24),0),24)&gt;0," "&amp;MOD(ROUND(((TDBC-$AW142)*24),0),24)&amp;" giờ","")))),IF($B142="Định kỳ",IF($AP142=NgayBC,"Hôm nay","Còn "&amp;($AP142-NgayBC)&amp;" ngày"),"Còn "&amp;IF((($AW142-TDBC)*24)&lt;1,MAX(1,ROUND((($AW142-TDBC)*24)*60,0))&amp;" phút",IF(ROUND((($AW142-TDBC)*24),0)&lt;24,ROUND((($AW142-TDBC)*24),0)&amp;" giờ",INT(ROUND((($AW142-TDBC)*24),0)/24)&amp;" ngày"&amp;IF(MOD(ROUND((($AW142-TDBC)*24),0),24)&gt;0," "&amp;MOD(ROUND((($AW142-TDBC)*24),0),24)&amp;" giờ",""))))))</f>
      </c>
      <c r="AA142" s="221">
        <f>IF($A142="","",IF(N($AM142)=0,"Chưa bắt đầu",IF(OR($AN142="Hoàn thành kỳ",$AN142="Hoàn thành"),IF($B142="Định kỳ","Chưa bắt đầu","Hoàn thành"),$AN142)))</f>
      </c>
      <c r="AB142" s="222">
        <f>IF($A142="","",IF($AA142="Hoàn thành",1,IF(OR(N($AM142)=0,$AN142="Hoàn thành kỳ",$AN142="Hoàn thành"),0,N(INDEX('Nhật ký tiến độ'!$D:$D,$AM142)))))</f>
      </c>
      <c r="AC142" s="222">
        <f>IF(OR($A142="",$B142&lt;&gt;"Đột xuất",$AA142="Hoàn thành",N($J142)=0,$AW142=0),"",IF(TDBC&lt;=$J142,0,IF(TDBC&gt;=$AW142,1,(TDBC-$J142)/($AW142-$J142))))</f>
      </c>
      <c r="AD142" s="223">
        <f>IF($A142="","",IF($AA142="Hoàn thành","Hoàn thành",IF($AW142=0,"Chưa đặt hạn",IF(TDBC&gt;$AW142,"Quá hạn",IF(AND($B142="Đột xuất",ROUND((N($AC142)-$AB142)*100,0)&gt;=20),"Chậm tiến độ",IF($AP142=NgayBC,"Đến hạn hôm nay",IF($B142="Đột xuất",IF($AW142-TDBC&lt;=1,"Sắp đến hạn","Đúng tiến độ"),IF($AP142-NgayBC&lt;=3,"Sắp đến hạn","Theo lịch"))))))))</f>
      </c>
      <c r="AE142" s="223">
        <f>IF($AV142="","",IF($B142="Định kỳ","Bình quân "&amp;IF($AV142&lt;1,MAX(1,ROUND($AV142*60,0))&amp;" phút",IF(ROUND($AV142,0)&lt;24,ROUND($AV142,0)&amp;" giờ",INT(ROUND($AV142,0)/24)&amp;" ngày"&amp;IF(MOD(ROUND($AV142,0),24)&gt;0," "&amp;MOD(ROUND($AV142,0),24)&amp;" giờ","")))&amp;" mỗi kỳ",IF($AV142&lt;1,MAX(1,ROUND($AV142*60,0))&amp;" phút",IF(ROUND($AV142,0)&lt;24,ROUND($AV142,0)&amp;" giờ",INT(ROUND($AV142,0)/24)&amp;" ngày"&amp;IF(MOD(ROUND($AV142,0),24)&gt;0," "&amp;MOD(ROUND($AV142,0),24)&amp;" giờ","")))))</f>
      </c>
      <c r="AF142" s="223">
        <f>IF(OR($A142="",N($AU142)=0),"",IF($AV142&lt;&gt;"",IF($AV142&lt;=$AU142,"Trong ước tính","Vượt "&amp;IF(($AV142-$AU142)&lt;1,MAX(1,ROUND(($AV142-$AU142)*60,0))&amp;" phút",IF(ROUND(($AV142-$AU142),0)&lt;24,ROUND(($AV142-$AU142),0)&amp;" giờ",INT(ROUND(($AV142-$AU142),0)/24)&amp;" ngày"&amp;IF(MOD(ROUND(($AV142-$AU142),0),24)&gt;0," "&amp;MOD(ROUND(($AV142-$AU142),0),24)&amp;" giờ","")))),IF(OR($B142&lt;&gt;"Đột xuất",$AA142="Hoàn thành",N($J142)=0),"",IF((TDBC-$J142)*24&gt;$AU142,"Đã vượt ước tính","Đã dùng "&amp;TEXT((TDBC-$J142)*24/$AU142,"0%")))))</f>
      </c>
      <c r="AG142" s="223">
        <f>IF(N($BB142)=0,"",CHOOSE($BB142,"Nhắc nhở","Cảnh báo","Báo động","Báo động đỏ"))</f>
      </c>
      <c r="AH142" s="223">
        <f>IF(OR($B142&lt;&gt;"Đột xuất",$AA142&lt;&gt;"Hoàn thành",N($X142)=0,$AW142=0),"",IF($X142&lt;=$AW142,"Đúng hạn","Trễ hạn"))</f>
      </c>
      <c r="AI142" s="220">
        <f>IF($A142="","",_xlfn.MAXIFS('Nhật ký tiến độ'!$B$6:$B$3005,'Nhật ký tiến độ'!$C$6:$C$3005,$A142))</f>
      </c>
      <c r="AJ142" s="225">
        <f>IF(OR($A142="",$B142&lt;&gt;"Định kỳ"),0,IFERROR(INDEX(DM_TanSuatNgay,MATCH($H142,DM_TanSuat,0)),0))</f>
      </c>
      <c r="AK142" s="225">
        <f>IF(OR($A142="",$B142&lt;&gt;"Định kỳ"),0,IFERROR(INDEX(DM_TanSuatThang,MATCH($H142,DM_TanSuat,0)),0))</f>
      </c>
      <c r="AL142" s="225">
        <f>IF(OR($A142="",$B142&lt;&gt;"Định kỳ",N($X142)=0,N($I142)=0),"",IF(INT($X142)&lt;$I142,0,IF($AJ142&gt;0,ROUND((INT($X142)-$I142)/$AJ142,0),IF($AK142&gt;0,ROUND((DATEDIF($I142,INT($X142),"m")+(INT($X142)-EDATE($I142,DATEDIF($I142,INT($X142),"m")))/(EDATE($I142,DATEDIF($I142,INT($X142),"m")+1)-EDATE($I142,DATEDIF($I142,INT($X142),"m"))))/$AK142,0),0))))</f>
      </c>
      <c r="AM142" s="225">
        <f>IF($A142="","",IF(COUNTIF('Nhật ký tiến độ'!$C$6:$C$3005,$A142)=0,0,_xlfn.MAXIFS('Nhật ký tiến độ'!$N$6:$N$3005,'Nhật ký tiến độ'!$C$6:$C$3005,$A142,'Nhật ký tiến độ'!$B$6:$B$3005,_xlfn.MAXIFS('Nhật ký tiến độ'!$B$6:$B$3005,'Nhật ký tiến độ'!$C$6:$C$3005,$A142))))</f>
      </c>
      <c r="AN142" s="225">
        <f>IF($A142="","",IF(N($AM142)=0,"",INDEX('Nhật ký tiến độ'!$E:$E,$AM142)))</f>
      </c>
      <c r="AO142" s="225">
        <f>IF($A142="",0,IF($AA142="Hoàn thành",0,1))</f>
      </c>
      <c r="AP142" s="225">
        <f>IF($AO142=0,0,INT(N($AW142)))</f>
      </c>
      <c r="AQ142" s="225">
        <f>IF(AND($AO142=1,$AJ142&gt;1),$AJ142,0)</f>
      </c>
      <c r="AR142" s="225">
        <f>IF(AND($AO142=1,$AJ142=1),1,0)</f>
      </c>
      <c r="AS142" s="225">
        <f>IF(OR($AO142=0,AND($AR142=1,N($BB142)=0)),"",IF(N($BB142)&gt;0,5-$BB142,IF($AD142="Chậm tiến độ",6,IF($AD142="Đến hạn hôm nay",7,IF(AND($AP142&gt;0,$AP142-NgayBC&lt;=7),8,"")))))</f>
      </c>
      <c r="AT142" s="225">
        <f>IF($AS142="","",$AS142*100000+$AP142+ROW()/100000)</f>
      </c>
      <c r="AU142" s="224">
        <f>IF(OR($A142="",N($R142)&lt;=0),"",IF($S142="Ngày",$R142*24,$R142))</f>
      </c>
      <c r="AV142" s="224">
        <f>IF($A142="","",IF($B142="Đột xuất",IF(OR($AA142&lt;&gt;"Hoàn thành",N($X142)=0,N($J142)=0),"",IF($X142&lt;$J142,"",($X142-$J142)*24)),IFERROR(AVERAGEIFS('Nhật ký tiến độ'!$H$6:$H$3005,'Nhật ký tiến độ'!$C$6:$C$3005,$A142,'Nhật ký tiến độ'!$H$6:$H$3005,"&gt;0"),"")))</f>
      </c>
      <c r="AW142" s="233">
        <f>IF($A142="",0,IF($B142="Đột xuất",$AY142,IF($AX142=0,0,$AX142+1-1/1440)))</f>
      </c>
      <c r="AX142" s="234">
        <f>IF(OR($A142="",$B142&lt;&gt;"Định kỳ",N($I142)=0),0,IF($AL142="",$I142,IF($AJ142&gt;0,$I142+($AL142+1)*$AJ142,IF($AK142&gt;0,EDATE($I142,($AL142+1)*$AK142),$I142))))</f>
      </c>
      <c r="AY142" s="233">
        <f>IF(OR($A142="",$B142&lt;&gt;"Đột xuất"),0,IF(N($K142)&gt;0,IF(MOD($K142,1)=0,$K142+1-1/1440,$K142),IF(N($J142)=0,0,$J142+IF(N($AU142)&gt;0,$AU142,IFERROR(INDEX(DM_SLA_Gio,MATCH($L142,DM_SLA_Cap,0)),168))/24)))</f>
      </c>
      <c r="AZ142" s="225">
        <f>IF(OR($A142="",TRIM($N142)="",COUNTIF('Phản ánh'!$K$6:$K$505,$N142)&gt;0,COUNTIF($N$6:$N142,$N142)&gt;1),0,1)</f>
      </c>
      <c r="BA142" s="225">
        <f>IF($AZ142=1,SUM($AZ$6:$AZ142),"")</f>
      </c>
      <c r="BB142" s="225">
        <f>IF(OR($AO142=0,N($AW142)=0),0,IF(TDBC&lt;=$AW142,0,MAX(1,MIN(4,IF((TDBC-$AW142)*24&lt;24,1,IF((TDBC-$AW142)*24&lt;72,2,IF((TDBC-$AW142)*24&lt;168,3,4)))+IF($B142="Đột xuất",IFERROR(INDEX({2,1,0,-1},MATCH($L142,{"Khẩn cấp","Cao","Trung bình","Thấp"},0)),0),IF($D142="PCCC và an ninh",1,0))))))</f>
      </c>
    </row>
    <row r="143">
      <c r="A143" s="216"/>
      <c r="B143" s="216"/>
      <c r="C143" s="218"/>
      <c r="D143" s="218"/>
      <c r="E143" s="218"/>
      <c r="F143" s="216"/>
      <c r="G143" s="218"/>
      <c r="H143" s="218"/>
      <c r="I143" s="231"/>
      <c r="J143" s="217"/>
      <c r="K143" s="217"/>
      <c r="L143" s="216"/>
      <c r="M143" s="216"/>
      <c r="N143" s="218"/>
      <c r="O143" s="218"/>
      <c r="P143" s="218"/>
      <c r="Q143" s="218"/>
      <c r="R143" s="219"/>
      <c r="S143" s="216"/>
      <c r="T143" s="232"/>
      <c r="U143" s="232"/>
      <c r="V143" s="218"/>
      <c r="W143" s="218"/>
      <c r="X143" s="220">
        <f>IF($A143="","",IF(OR($B143="Định kỳ",$AA143="Hoàn thành"),MAX(_xlfn.MAXIFS('Nhật ký tiến độ'!$B$6:$B$3005,'Nhật ký tiến độ'!$C$6:$C$3005,$A143,'Nhật ký tiến độ'!$E$6:$E$3005,"Hoàn thành kỳ"),_xlfn.MAXIFS('Nhật ký tiến độ'!$B$6:$B$3005,'Nhật ký tiến độ'!$C$6:$C$3005,$A143,'Nhật ký tiến độ'!$E$6:$E$3005,"Hoàn thành")),0))</f>
      </c>
      <c r="Y143" s="220">
        <f>IF($A143="","",IF($B143="Đột xuất",IF($AY143=0,"",$AY143),IF($AX143=0,"",$AX143)))</f>
      </c>
      <c r="Z143" s="223">
        <f>IF(OR($AO143=0,$AW143=0),"",IF(TDBC&gt;$AW143,"Quá "&amp;IF($B143="Định kỳ",(NgayBC-$AP143)&amp;" ngày",IF(((TDBC-$AW143)*24)&lt;1,MAX(1,ROUND(((TDBC-$AW143)*24)*60,0))&amp;" phút",IF(ROUND(((TDBC-$AW143)*24),0)&lt;24,ROUND(((TDBC-$AW143)*24),0)&amp;" giờ",INT(ROUND(((TDBC-$AW143)*24),0)/24)&amp;" ngày"&amp;IF(MOD(ROUND(((TDBC-$AW143)*24),0),24)&gt;0," "&amp;MOD(ROUND(((TDBC-$AW143)*24),0),24)&amp;" giờ","")))),IF($B143="Định kỳ",IF($AP143=NgayBC,"Hôm nay","Còn "&amp;($AP143-NgayBC)&amp;" ngày"),"Còn "&amp;IF((($AW143-TDBC)*24)&lt;1,MAX(1,ROUND((($AW143-TDBC)*24)*60,0))&amp;" phút",IF(ROUND((($AW143-TDBC)*24),0)&lt;24,ROUND((($AW143-TDBC)*24),0)&amp;" giờ",INT(ROUND((($AW143-TDBC)*24),0)/24)&amp;" ngày"&amp;IF(MOD(ROUND((($AW143-TDBC)*24),0),24)&gt;0," "&amp;MOD(ROUND((($AW143-TDBC)*24),0),24)&amp;" giờ",""))))))</f>
      </c>
      <c r="AA143" s="221">
        <f>IF($A143="","",IF(N($AM143)=0,"Chưa bắt đầu",IF(OR($AN143="Hoàn thành kỳ",$AN143="Hoàn thành"),IF($B143="Định kỳ","Chưa bắt đầu","Hoàn thành"),$AN143)))</f>
      </c>
      <c r="AB143" s="222">
        <f>IF($A143="","",IF($AA143="Hoàn thành",1,IF(OR(N($AM143)=0,$AN143="Hoàn thành kỳ",$AN143="Hoàn thành"),0,N(INDEX('Nhật ký tiến độ'!$D:$D,$AM143)))))</f>
      </c>
      <c r="AC143" s="222">
        <f>IF(OR($A143="",$B143&lt;&gt;"Đột xuất",$AA143="Hoàn thành",N($J143)=0,$AW143=0),"",IF(TDBC&lt;=$J143,0,IF(TDBC&gt;=$AW143,1,(TDBC-$J143)/($AW143-$J143))))</f>
      </c>
      <c r="AD143" s="223">
        <f>IF($A143="","",IF($AA143="Hoàn thành","Hoàn thành",IF($AW143=0,"Chưa đặt hạn",IF(TDBC&gt;$AW143,"Quá hạn",IF(AND($B143="Đột xuất",ROUND((N($AC143)-$AB143)*100,0)&gt;=20),"Chậm tiến độ",IF($AP143=NgayBC,"Đến hạn hôm nay",IF($B143="Đột xuất",IF($AW143-TDBC&lt;=1,"Sắp đến hạn","Đúng tiến độ"),IF($AP143-NgayBC&lt;=3,"Sắp đến hạn","Theo lịch"))))))))</f>
      </c>
      <c r="AE143" s="223">
        <f>IF($AV143="","",IF($B143="Định kỳ","Bình quân "&amp;IF($AV143&lt;1,MAX(1,ROUND($AV143*60,0))&amp;" phút",IF(ROUND($AV143,0)&lt;24,ROUND($AV143,0)&amp;" giờ",INT(ROUND($AV143,0)/24)&amp;" ngày"&amp;IF(MOD(ROUND($AV143,0),24)&gt;0," "&amp;MOD(ROUND($AV143,0),24)&amp;" giờ","")))&amp;" mỗi kỳ",IF($AV143&lt;1,MAX(1,ROUND($AV143*60,0))&amp;" phút",IF(ROUND($AV143,0)&lt;24,ROUND($AV143,0)&amp;" giờ",INT(ROUND($AV143,0)/24)&amp;" ngày"&amp;IF(MOD(ROUND($AV143,0),24)&gt;0," "&amp;MOD(ROUND($AV143,0),24)&amp;" giờ","")))))</f>
      </c>
      <c r="AF143" s="223">
        <f>IF(OR($A143="",N($AU143)=0),"",IF($AV143&lt;&gt;"",IF($AV143&lt;=$AU143,"Trong ước tính","Vượt "&amp;IF(($AV143-$AU143)&lt;1,MAX(1,ROUND(($AV143-$AU143)*60,0))&amp;" phút",IF(ROUND(($AV143-$AU143),0)&lt;24,ROUND(($AV143-$AU143),0)&amp;" giờ",INT(ROUND(($AV143-$AU143),0)/24)&amp;" ngày"&amp;IF(MOD(ROUND(($AV143-$AU143),0),24)&gt;0," "&amp;MOD(ROUND(($AV143-$AU143),0),24)&amp;" giờ","")))),IF(OR($B143&lt;&gt;"Đột xuất",$AA143="Hoàn thành",N($J143)=0),"",IF((TDBC-$J143)*24&gt;$AU143,"Đã vượt ước tính","Đã dùng "&amp;TEXT((TDBC-$J143)*24/$AU143,"0%")))))</f>
      </c>
      <c r="AG143" s="223">
        <f>IF(N($BB143)=0,"",CHOOSE($BB143,"Nhắc nhở","Cảnh báo","Báo động","Báo động đỏ"))</f>
      </c>
      <c r="AH143" s="223">
        <f>IF(OR($B143&lt;&gt;"Đột xuất",$AA143&lt;&gt;"Hoàn thành",N($X143)=0,$AW143=0),"",IF($X143&lt;=$AW143,"Đúng hạn","Trễ hạn"))</f>
      </c>
      <c r="AI143" s="220">
        <f>IF($A143="","",_xlfn.MAXIFS('Nhật ký tiến độ'!$B$6:$B$3005,'Nhật ký tiến độ'!$C$6:$C$3005,$A143))</f>
      </c>
      <c r="AJ143" s="225">
        <f>IF(OR($A143="",$B143&lt;&gt;"Định kỳ"),0,IFERROR(INDEX(DM_TanSuatNgay,MATCH($H143,DM_TanSuat,0)),0))</f>
      </c>
      <c r="AK143" s="225">
        <f>IF(OR($A143="",$B143&lt;&gt;"Định kỳ"),0,IFERROR(INDEX(DM_TanSuatThang,MATCH($H143,DM_TanSuat,0)),0))</f>
      </c>
      <c r="AL143" s="225">
        <f>IF(OR($A143="",$B143&lt;&gt;"Định kỳ",N($X143)=0,N($I143)=0),"",IF(INT($X143)&lt;$I143,0,IF($AJ143&gt;0,ROUND((INT($X143)-$I143)/$AJ143,0),IF($AK143&gt;0,ROUND((DATEDIF($I143,INT($X143),"m")+(INT($X143)-EDATE($I143,DATEDIF($I143,INT($X143),"m")))/(EDATE($I143,DATEDIF($I143,INT($X143),"m")+1)-EDATE($I143,DATEDIF($I143,INT($X143),"m"))))/$AK143,0),0))))</f>
      </c>
      <c r="AM143" s="225">
        <f>IF($A143="","",IF(COUNTIF('Nhật ký tiến độ'!$C$6:$C$3005,$A143)=0,0,_xlfn.MAXIFS('Nhật ký tiến độ'!$N$6:$N$3005,'Nhật ký tiến độ'!$C$6:$C$3005,$A143,'Nhật ký tiến độ'!$B$6:$B$3005,_xlfn.MAXIFS('Nhật ký tiến độ'!$B$6:$B$3005,'Nhật ký tiến độ'!$C$6:$C$3005,$A143))))</f>
      </c>
      <c r="AN143" s="225">
        <f>IF($A143="","",IF(N($AM143)=0,"",INDEX('Nhật ký tiến độ'!$E:$E,$AM143)))</f>
      </c>
      <c r="AO143" s="225">
        <f>IF($A143="",0,IF($AA143="Hoàn thành",0,1))</f>
      </c>
      <c r="AP143" s="225">
        <f>IF($AO143=0,0,INT(N($AW143)))</f>
      </c>
      <c r="AQ143" s="225">
        <f>IF(AND($AO143=1,$AJ143&gt;1),$AJ143,0)</f>
      </c>
      <c r="AR143" s="225">
        <f>IF(AND($AO143=1,$AJ143=1),1,0)</f>
      </c>
      <c r="AS143" s="225">
        <f>IF(OR($AO143=0,AND($AR143=1,N($BB143)=0)),"",IF(N($BB143)&gt;0,5-$BB143,IF($AD143="Chậm tiến độ",6,IF($AD143="Đến hạn hôm nay",7,IF(AND($AP143&gt;0,$AP143-NgayBC&lt;=7),8,"")))))</f>
      </c>
      <c r="AT143" s="225">
        <f>IF($AS143="","",$AS143*100000+$AP143+ROW()/100000)</f>
      </c>
      <c r="AU143" s="224">
        <f>IF(OR($A143="",N($R143)&lt;=0),"",IF($S143="Ngày",$R143*24,$R143))</f>
      </c>
      <c r="AV143" s="224">
        <f>IF($A143="","",IF($B143="Đột xuất",IF(OR($AA143&lt;&gt;"Hoàn thành",N($X143)=0,N($J143)=0),"",IF($X143&lt;$J143,"",($X143-$J143)*24)),IFERROR(AVERAGEIFS('Nhật ký tiến độ'!$H$6:$H$3005,'Nhật ký tiến độ'!$C$6:$C$3005,$A143,'Nhật ký tiến độ'!$H$6:$H$3005,"&gt;0"),"")))</f>
      </c>
      <c r="AW143" s="233">
        <f>IF($A143="",0,IF($B143="Đột xuất",$AY143,IF($AX143=0,0,$AX143+1-1/1440)))</f>
      </c>
      <c r="AX143" s="234">
        <f>IF(OR($A143="",$B143&lt;&gt;"Định kỳ",N($I143)=0),0,IF($AL143="",$I143,IF($AJ143&gt;0,$I143+($AL143+1)*$AJ143,IF($AK143&gt;0,EDATE($I143,($AL143+1)*$AK143),$I143))))</f>
      </c>
      <c r="AY143" s="233">
        <f>IF(OR($A143="",$B143&lt;&gt;"Đột xuất"),0,IF(N($K143)&gt;0,IF(MOD($K143,1)=0,$K143+1-1/1440,$K143),IF(N($J143)=0,0,$J143+IF(N($AU143)&gt;0,$AU143,IFERROR(INDEX(DM_SLA_Gio,MATCH($L143,DM_SLA_Cap,0)),168))/24)))</f>
      </c>
      <c r="AZ143" s="225">
        <f>IF(OR($A143="",TRIM($N143)="",COUNTIF('Phản ánh'!$K$6:$K$505,$N143)&gt;0,COUNTIF($N$6:$N143,$N143)&gt;1),0,1)</f>
      </c>
      <c r="BA143" s="225">
        <f>IF($AZ143=1,SUM($AZ$6:$AZ143),"")</f>
      </c>
      <c r="BB143" s="225">
        <f>IF(OR($AO143=0,N($AW143)=0),0,IF(TDBC&lt;=$AW143,0,MAX(1,MIN(4,IF((TDBC-$AW143)*24&lt;24,1,IF((TDBC-$AW143)*24&lt;72,2,IF((TDBC-$AW143)*24&lt;168,3,4)))+IF($B143="Đột xuất",IFERROR(INDEX({2,1,0,-1},MATCH($L143,{"Khẩn cấp","Cao","Trung bình","Thấp"},0)),0),IF($D143="PCCC và an ninh",1,0))))))</f>
      </c>
    </row>
    <row r="144">
      <c r="A144" s="216"/>
      <c r="B144" s="216"/>
      <c r="C144" s="218"/>
      <c r="D144" s="218"/>
      <c r="E144" s="218"/>
      <c r="F144" s="216"/>
      <c r="G144" s="218"/>
      <c r="H144" s="218"/>
      <c r="I144" s="231"/>
      <c r="J144" s="217"/>
      <c r="K144" s="217"/>
      <c r="L144" s="216"/>
      <c r="M144" s="216"/>
      <c r="N144" s="218"/>
      <c r="O144" s="218"/>
      <c r="P144" s="218"/>
      <c r="Q144" s="218"/>
      <c r="R144" s="219"/>
      <c r="S144" s="216"/>
      <c r="T144" s="232"/>
      <c r="U144" s="232"/>
      <c r="V144" s="218"/>
      <c r="W144" s="218"/>
      <c r="X144" s="220">
        <f>IF($A144="","",IF(OR($B144="Định kỳ",$AA144="Hoàn thành"),MAX(_xlfn.MAXIFS('Nhật ký tiến độ'!$B$6:$B$3005,'Nhật ký tiến độ'!$C$6:$C$3005,$A144,'Nhật ký tiến độ'!$E$6:$E$3005,"Hoàn thành kỳ"),_xlfn.MAXIFS('Nhật ký tiến độ'!$B$6:$B$3005,'Nhật ký tiến độ'!$C$6:$C$3005,$A144,'Nhật ký tiến độ'!$E$6:$E$3005,"Hoàn thành")),0))</f>
      </c>
      <c r="Y144" s="220">
        <f>IF($A144="","",IF($B144="Đột xuất",IF($AY144=0,"",$AY144),IF($AX144=0,"",$AX144)))</f>
      </c>
      <c r="Z144" s="223">
        <f>IF(OR($AO144=0,$AW144=0),"",IF(TDBC&gt;$AW144,"Quá "&amp;IF($B144="Định kỳ",(NgayBC-$AP144)&amp;" ngày",IF(((TDBC-$AW144)*24)&lt;1,MAX(1,ROUND(((TDBC-$AW144)*24)*60,0))&amp;" phút",IF(ROUND(((TDBC-$AW144)*24),0)&lt;24,ROUND(((TDBC-$AW144)*24),0)&amp;" giờ",INT(ROUND(((TDBC-$AW144)*24),0)/24)&amp;" ngày"&amp;IF(MOD(ROUND(((TDBC-$AW144)*24),0),24)&gt;0," "&amp;MOD(ROUND(((TDBC-$AW144)*24),0),24)&amp;" giờ","")))),IF($B144="Định kỳ",IF($AP144=NgayBC,"Hôm nay","Còn "&amp;($AP144-NgayBC)&amp;" ngày"),"Còn "&amp;IF((($AW144-TDBC)*24)&lt;1,MAX(1,ROUND((($AW144-TDBC)*24)*60,0))&amp;" phút",IF(ROUND((($AW144-TDBC)*24),0)&lt;24,ROUND((($AW144-TDBC)*24),0)&amp;" giờ",INT(ROUND((($AW144-TDBC)*24),0)/24)&amp;" ngày"&amp;IF(MOD(ROUND((($AW144-TDBC)*24),0),24)&gt;0," "&amp;MOD(ROUND((($AW144-TDBC)*24),0),24)&amp;" giờ",""))))))</f>
      </c>
      <c r="AA144" s="221">
        <f>IF($A144="","",IF(N($AM144)=0,"Chưa bắt đầu",IF(OR($AN144="Hoàn thành kỳ",$AN144="Hoàn thành"),IF($B144="Định kỳ","Chưa bắt đầu","Hoàn thành"),$AN144)))</f>
      </c>
      <c r="AB144" s="222">
        <f>IF($A144="","",IF($AA144="Hoàn thành",1,IF(OR(N($AM144)=0,$AN144="Hoàn thành kỳ",$AN144="Hoàn thành"),0,N(INDEX('Nhật ký tiến độ'!$D:$D,$AM144)))))</f>
      </c>
      <c r="AC144" s="222">
        <f>IF(OR($A144="",$B144&lt;&gt;"Đột xuất",$AA144="Hoàn thành",N($J144)=0,$AW144=0),"",IF(TDBC&lt;=$J144,0,IF(TDBC&gt;=$AW144,1,(TDBC-$J144)/($AW144-$J144))))</f>
      </c>
      <c r="AD144" s="223">
        <f>IF($A144="","",IF($AA144="Hoàn thành","Hoàn thành",IF($AW144=0,"Chưa đặt hạn",IF(TDBC&gt;$AW144,"Quá hạn",IF(AND($B144="Đột xuất",ROUND((N($AC144)-$AB144)*100,0)&gt;=20),"Chậm tiến độ",IF($AP144=NgayBC,"Đến hạn hôm nay",IF($B144="Đột xuất",IF($AW144-TDBC&lt;=1,"Sắp đến hạn","Đúng tiến độ"),IF($AP144-NgayBC&lt;=3,"Sắp đến hạn","Theo lịch"))))))))</f>
      </c>
      <c r="AE144" s="223">
        <f>IF($AV144="","",IF($B144="Định kỳ","Bình quân "&amp;IF($AV144&lt;1,MAX(1,ROUND($AV144*60,0))&amp;" phút",IF(ROUND($AV144,0)&lt;24,ROUND($AV144,0)&amp;" giờ",INT(ROUND($AV144,0)/24)&amp;" ngày"&amp;IF(MOD(ROUND($AV144,0),24)&gt;0," "&amp;MOD(ROUND($AV144,0),24)&amp;" giờ","")))&amp;" mỗi kỳ",IF($AV144&lt;1,MAX(1,ROUND($AV144*60,0))&amp;" phút",IF(ROUND($AV144,0)&lt;24,ROUND($AV144,0)&amp;" giờ",INT(ROUND($AV144,0)/24)&amp;" ngày"&amp;IF(MOD(ROUND($AV144,0),24)&gt;0," "&amp;MOD(ROUND($AV144,0),24)&amp;" giờ","")))))</f>
      </c>
      <c r="AF144" s="223">
        <f>IF(OR($A144="",N($AU144)=0),"",IF($AV144&lt;&gt;"",IF($AV144&lt;=$AU144,"Trong ước tính","Vượt "&amp;IF(($AV144-$AU144)&lt;1,MAX(1,ROUND(($AV144-$AU144)*60,0))&amp;" phút",IF(ROUND(($AV144-$AU144),0)&lt;24,ROUND(($AV144-$AU144),0)&amp;" giờ",INT(ROUND(($AV144-$AU144),0)/24)&amp;" ngày"&amp;IF(MOD(ROUND(($AV144-$AU144),0),24)&gt;0," "&amp;MOD(ROUND(($AV144-$AU144),0),24)&amp;" giờ","")))),IF(OR($B144&lt;&gt;"Đột xuất",$AA144="Hoàn thành",N($J144)=0),"",IF((TDBC-$J144)*24&gt;$AU144,"Đã vượt ước tính","Đã dùng "&amp;TEXT((TDBC-$J144)*24/$AU144,"0%")))))</f>
      </c>
      <c r="AG144" s="223">
        <f>IF(N($BB144)=0,"",CHOOSE($BB144,"Nhắc nhở","Cảnh báo","Báo động","Báo động đỏ"))</f>
      </c>
      <c r="AH144" s="223">
        <f>IF(OR($B144&lt;&gt;"Đột xuất",$AA144&lt;&gt;"Hoàn thành",N($X144)=0,$AW144=0),"",IF($X144&lt;=$AW144,"Đúng hạn","Trễ hạn"))</f>
      </c>
      <c r="AI144" s="220">
        <f>IF($A144="","",_xlfn.MAXIFS('Nhật ký tiến độ'!$B$6:$B$3005,'Nhật ký tiến độ'!$C$6:$C$3005,$A144))</f>
      </c>
      <c r="AJ144" s="225">
        <f>IF(OR($A144="",$B144&lt;&gt;"Định kỳ"),0,IFERROR(INDEX(DM_TanSuatNgay,MATCH($H144,DM_TanSuat,0)),0))</f>
      </c>
      <c r="AK144" s="225">
        <f>IF(OR($A144="",$B144&lt;&gt;"Định kỳ"),0,IFERROR(INDEX(DM_TanSuatThang,MATCH($H144,DM_TanSuat,0)),0))</f>
      </c>
      <c r="AL144" s="225">
        <f>IF(OR($A144="",$B144&lt;&gt;"Định kỳ",N($X144)=0,N($I144)=0),"",IF(INT($X144)&lt;$I144,0,IF($AJ144&gt;0,ROUND((INT($X144)-$I144)/$AJ144,0),IF($AK144&gt;0,ROUND((DATEDIF($I144,INT($X144),"m")+(INT($X144)-EDATE($I144,DATEDIF($I144,INT($X144),"m")))/(EDATE($I144,DATEDIF($I144,INT($X144),"m")+1)-EDATE($I144,DATEDIF($I144,INT($X144),"m"))))/$AK144,0),0))))</f>
      </c>
      <c r="AM144" s="225">
        <f>IF($A144="","",IF(COUNTIF('Nhật ký tiến độ'!$C$6:$C$3005,$A144)=0,0,_xlfn.MAXIFS('Nhật ký tiến độ'!$N$6:$N$3005,'Nhật ký tiến độ'!$C$6:$C$3005,$A144,'Nhật ký tiến độ'!$B$6:$B$3005,_xlfn.MAXIFS('Nhật ký tiến độ'!$B$6:$B$3005,'Nhật ký tiến độ'!$C$6:$C$3005,$A144))))</f>
      </c>
      <c r="AN144" s="225">
        <f>IF($A144="","",IF(N($AM144)=0,"",INDEX('Nhật ký tiến độ'!$E:$E,$AM144)))</f>
      </c>
      <c r="AO144" s="225">
        <f>IF($A144="",0,IF($AA144="Hoàn thành",0,1))</f>
      </c>
      <c r="AP144" s="225">
        <f>IF($AO144=0,0,INT(N($AW144)))</f>
      </c>
      <c r="AQ144" s="225">
        <f>IF(AND($AO144=1,$AJ144&gt;1),$AJ144,0)</f>
      </c>
      <c r="AR144" s="225">
        <f>IF(AND($AO144=1,$AJ144=1),1,0)</f>
      </c>
      <c r="AS144" s="225">
        <f>IF(OR($AO144=0,AND($AR144=1,N($BB144)=0)),"",IF(N($BB144)&gt;0,5-$BB144,IF($AD144="Chậm tiến độ",6,IF($AD144="Đến hạn hôm nay",7,IF(AND($AP144&gt;0,$AP144-NgayBC&lt;=7),8,"")))))</f>
      </c>
      <c r="AT144" s="225">
        <f>IF($AS144="","",$AS144*100000+$AP144+ROW()/100000)</f>
      </c>
      <c r="AU144" s="224">
        <f>IF(OR($A144="",N($R144)&lt;=0),"",IF($S144="Ngày",$R144*24,$R144))</f>
      </c>
      <c r="AV144" s="224">
        <f>IF($A144="","",IF($B144="Đột xuất",IF(OR($AA144&lt;&gt;"Hoàn thành",N($X144)=0,N($J144)=0),"",IF($X144&lt;$J144,"",($X144-$J144)*24)),IFERROR(AVERAGEIFS('Nhật ký tiến độ'!$H$6:$H$3005,'Nhật ký tiến độ'!$C$6:$C$3005,$A144,'Nhật ký tiến độ'!$H$6:$H$3005,"&gt;0"),"")))</f>
      </c>
      <c r="AW144" s="233">
        <f>IF($A144="",0,IF($B144="Đột xuất",$AY144,IF($AX144=0,0,$AX144+1-1/1440)))</f>
      </c>
      <c r="AX144" s="234">
        <f>IF(OR($A144="",$B144&lt;&gt;"Định kỳ",N($I144)=0),0,IF($AL144="",$I144,IF($AJ144&gt;0,$I144+($AL144+1)*$AJ144,IF($AK144&gt;0,EDATE($I144,($AL144+1)*$AK144),$I144))))</f>
      </c>
      <c r="AY144" s="233">
        <f>IF(OR($A144="",$B144&lt;&gt;"Đột xuất"),0,IF(N($K144)&gt;0,IF(MOD($K144,1)=0,$K144+1-1/1440,$K144),IF(N($J144)=0,0,$J144+IF(N($AU144)&gt;0,$AU144,IFERROR(INDEX(DM_SLA_Gio,MATCH($L144,DM_SLA_Cap,0)),168))/24)))</f>
      </c>
      <c r="AZ144" s="225">
        <f>IF(OR($A144="",TRIM($N144)="",COUNTIF('Phản ánh'!$K$6:$K$505,$N144)&gt;0,COUNTIF($N$6:$N144,$N144)&gt;1),0,1)</f>
      </c>
      <c r="BA144" s="225">
        <f>IF($AZ144=1,SUM($AZ$6:$AZ144),"")</f>
      </c>
      <c r="BB144" s="225">
        <f>IF(OR($AO144=0,N($AW144)=0),0,IF(TDBC&lt;=$AW144,0,MAX(1,MIN(4,IF((TDBC-$AW144)*24&lt;24,1,IF((TDBC-$AW144)*24&lt;72,2,IF((TDBC-$AW144)*24&lt;168,3,4)))+IF($B144="Đột xuất",IFERROR(INDEX({2,1,0,-1},MATCH($L144,{"Khẩn cấp","Cao","Trung bình","Thấp"},0)),0),IF($D144="PCCC và an ninh",1,0))))))</f>
      </c>
    </row>
    <row r="145">
      <c r="A145" s="216"/>
      <c r="B145" s="216"/>
      <c r="C145" s="218"/>
      <c r="D145" s="218"/>
      <c r="E145" s="218"/>
      <c r="F145" s="216"/>
      <c r="G145" s="218"/>
      <c r="H145" s="218"/>
      <c r="I145" s="231"/>
      <c r="J145" s="217"/>
      <c r="K145" s="217"/>
      <c r="L145" s="216"/>
      <c r="M145" s="216"/>
      <c r="N145" s="218"/>
      <c r="O145" s="218"/>
      <c r="P145" s="218"/>
      <c r="Q145" s="218"/>
      <c r="R145" s="219"/>
      <c r="S145" s="216"/>
      <c r="T145" s="232"/>
      <c r="U145" s="232"/>
      <c r="V145" s="218"/>
      <c r="W145" s="218"/>
      <c r="X145" s="220">
        <f>IF($A145="","",IF(OR($B145="Định kỳ",$AA145="Hoàn thành"),MAX(_xlfn.MAXIFS('Nhật ký tiến độ'!$B$6:$B$3005,'Nhật ký tiến độ'!$C$6:$C$3005,$A145,'Nhật ký tiến độ'!$E$6:$E$3005,"Hoàn thành kỳ"),_xlfn.MAXIFS('Nhật ký tiến độ'!$B$6:$B$3005,'Nhật ký tiến độ'!$C$6:$C$3005,$A145,'Nhật ký tiến độ'!$E$6:$E$3005,"Hoàn thành")),0))</f>
      </c>
      <c r="Y145" s="220">
        <f>IF($A145="","",IF($B145="Đột xuất",IF($AY145=0,"",$AY145),IF($AX145=0,"",$AX145)))</f>
      </c>
      <c r="Z145" s="223">
        <f>IF(OR($AO145=0,$AW145=0),"",IF(TDBC&gt;$AW145,"Quá "&amp;IF($B145="Định kỳ",(NgayBC-$AP145)&amp;" ngày",IF(((TDBC-$AW145)*24)&lt;1,MAX(1,ROUND(((TDBC-$AW145)*24)*60,0))&amp;" phút",IF(ROUND(((TDBC-$AW145)*24),0)&lt;24,ROUND(((TDBC-$AW145)*24),0)&amp;" giờ",INT(ROUND(((TDBC-$AW145)*24),0)/24)&amp;" ngày"&amp;IF(MOD(ROUND(((TDBC-$AW145)*24),0),24)&gt;0," "&amp;MOD(ROUND(((TDBC-$AW145)*24),0),24)&amp;" giờ","")))),IF($B145="Định kỳ",IF($AP145=NgayBC,"Hôm nay","Còn "&amp;($AP145-NgayBC)&amp;" ngày"),"Còn "&amp;IF((($AW145-TDBC)*24)&lt;1,MAX(1,ROUND((($AW145-TDBC)*24)*60,0))&amp;" phút",IF(ROUND((($AW145-TDBC)*24),0)&lt;24,ROUND((($AW145-TDBC)*24),0)&amp;" giờ",INT(ROUND((($AW145-TDBC)*24),0)/24)&amp;" ngày"&amp;IF(MOD(ROUND((($AW145-TDBC)*24),0),24)&gt;0," "&amp;MOD(ROUND((($AW145-TDBC)*24),0),24)&amp;" giờ",""))))))</f>
      </c>
      <c r="AA145" s="221">
        <f>IF($A145="","",IF(N($AM145)=0,"Chưa bắt đầu",IF(OR($AN145="Hoàn thành kỳ",$AN145="Hoàn thành"),IF($B145="Định kỳ","Chưa bắt đầu","Hoàn thành"),$AN145)))</f>
      </c>
      <c r="AB145" s="222">
        <f>IF($A145="","",IF($AA145="Hoàn thành",1,IF(OR(N($AM145)=0,$AN145="Hoàn thành kỳ",$AN145="Hoàn thành"),0,N(INDEX('Nhật ký tiến độ'!$D:$D,$AM145)))))</f>
      </c>
      <c r="AC145" s="222">
        <f>IF(OR($A145="",$B145&lt;&gt;"Đột xuất",$AA145="Hoàn thành",N($J145)=0,$AW145=0),"",IF(TDBC&lt;=$J145,0,IF(TDBC&gt;=$AW145,1,(TDBC-$J145)/($AW145-$J145))))</f>
      </c>
      <c r="AD145" s="223">
        <f>IF($A145="","",IF($AA145="Hoàn thành","Hoàn thành",IF($AW145=0,"Chưa đặt hạn",IF(TDBC&gt;$AW145,"Quá hạn",IF(AND($B145="Đột xuất",ROUND((N($AC145)-$AB145)*100,0)&gt;=20),"Chậm tiến độ",IF($AP145=NgayBC,"Đến hạn hôm nay",IF($B145="Đột xuất",IF($AW145-TDBC&lt;=1,"Sắp đến hạn","Đúng tiến độ"),IF($AP145-NgayBC&lt;=3,"Sắp đến hạn","Theo lịch"))))))))</f>
      </c>
      <c r="AE145" s="223">
        <f>IF($AV145="","",IF($B145="Định kỳ","Bình quân "&amp;IF($AV145&lt;1,MAX(1,ROUND($AV145*60,0))&amp;" phút",IF(ROUND($AV145,0)&lt;24,ROUND($AV145,0)&amp;" giờ",INT(ROUND($AV145,0)/24)&amp;" ngày"&amp;IF(MOD(ROUND($AV145,0),24)&gt;0," "&amp;MOD(ROUND($AV145,0),24)&amp;" giờ","")))&amp;" mỗi kỳ",IF($AV145&lt;1,MAX(1,ROUND($AV145*60,0))&amp;" phút",IF(ROUND($AV145,0)&lt;24,ROUND($AV145,0)&amp;" giờ",INT(ROUND($AV145,0)/24)&amp;" ngày"&amp;IF(MOD(ROUND($AV145,0),24)&gt;0," "&amp;MOD(ROUND($AV145,0),24)&amp;" giờ","")))))</f>
      </c>
      <c r="AF145" s="223">
        <f>IF(OR($A145="",N($AU145)=0),"",IF($AV145&lt;&gt;"",IF($AV145&lt;=$AU145,"Trong ước tính","Vượt "&amp;IF(($AV145-$AU145)&lt;1,MAX(1,ROUND(($AV145-$AU145)*60,0))&amp;" phút",IF(ROUND(($AV145-$AU145),0)&lt;24,ROUND(($AV145-$AU145),0)&amp;" giờ",INT(ROUND(($AV145-$AU145),0)/24)&amp;" ngày"&amp;IF(MOD(ROUND(($AV145-$AU145),0),24)&gt;0," "&amp;MOD(ROUND(($AV145-$AU145),0),24)&amp;" giờ","")))),IF(OR($B145&lt;&gt;"Đột xuất",$AA145="Hoàn thành",N($J145)=0),"",IF((TDBC-$J145)*24&gt;$AU145,"Đã vượt ước tính","Đã dùng "&amp;TEXT((TDBC-$J145)*24/$AU145,"0%")))))</f>
      </c>
      <c r="AG145" s="223">
        <f>IF(N($BB145)=0,"",CHOOSE($BB145,"Nhắc nhở","Cảnh báo","Báo động","Báo động đỏ"))</f>
      </c>
      <c r="AH145" s="223">
        <f>IF(OR($B145&lt;&gt;"Đột xuất",$AA145&lt;&gt;"Hoàn thành",N($X145)=0,$AW145=0),"",IF($X145&lt;=$AW145,"Đúng hạn","Trễ hạn"))</f>
      </c>
      <c r="AI145" s="220">
        <f>IF($A145="","",_xlfn.MAXIFS('Nhật ký tiến độ'!$B$6:$B$3005,'Nhật ký tiến độ'!$C$6:$C$3005,$A145))</f>
      </c>
      <c r="AJ145" s="225">
        <f>IF(OR($A145="",$B145&lt;&gt;"Định kỳ"),0,IFERROR(INDEX(DM_TanSuatNgay,MATCH($H145,DM_TanSuat,0)),0))</f>
      </c>
      <c r="AK145" s="225">
        <f>IF(OR($A145="",$B145&lt;&gt;"Định kỳ"),0,IFERROR(INDEX(DM_TanSuatThang,MATCH($H145,DM_TanSuat,0)),0))</f>
      </c>
      <c r="AL145" s="225">
        <f>IF(OR($A145="",$B145&lt;&gt;"Định kỳ",N($X145)=0,N($I145)=0),"",IF(INT($X145)&lt;$I145,0,IF($AJ145&gt;0,ROUND((INT($X145)-$I145)/$AJ145,0),IF($AK145&gt;0,ROUND((DATEDIF($I145,INT($X145),"m")+(INT($X145)-EDATE($I145,DATEDIF($I145,INT($X145),"m")))/(EDATE($I145,DATEDIF($I145,INT($X145),"m")+1)-EDATE($I145,DATEDIF($I145,INT($X145),"m"))))/$AK145,0),0))))</f>
      </c>
      <c r="AM145" s="225">
        <f>IF($A145="","",IF(COUNTIF('Nhật ký tiến độ'!$C$6:$C$3005,$A145)=0,0,_xlfn.MAXIFS('Nhật ký tiến độ'!$N$6:$N$3005,'Nhật ký tiến độ'!$C$6:$C$3005,$A145,'Nhật ký tiến độ'!$B$6:$B$3005,_xlfn.MAXIFS('Nhật ký tiến độ'!$B$6:$B$3005,'Nhật ký tiến độ'!$C$6:$C$3005,$A145))))</f>
      </c>
      <c r="AN145" s="225">
        <f>IF($A145="","",IF(N($AM145)=0,"",INDEX('Nhật ký tiến độ'!$E:$E,$AM145)))</f>
      </c>
      <c r="AO145" s="225">
        <f>IF($A145="",0,IF($AA145="Hoàn thành",0,1))</f>
      </c>
      <c r="AP145" s="225">
        <f>IF($AO145=0,0,INT(N($AW145)))</f>
      </c>
      <c r="AQ145" s="225">
        <f>IF(AND($AO145=1,$AJ145&gt;1),$AJ145,0)</f>
      </c>
      <c r="AR145" s="225">
        <f>IF(AND($AO145=1,$AJ145=1),1,0)</f>
      </c>
      <c r="AS145" s="225">
        <f>IF(OR($AO145=0,AND($AR145=1,N($BB145)=0)),"",IF(N($BB145)&gt;0,5-$BB145,IF($AD145="Chậm tiến độ",6,IF($AD145="Đến hạn hôm nay",7,IF(AND($AP145&gt;0,$AP145-NgayBC&lt;=7),8,"")))))</f>
      </c>
      <c r="AT145" s="225">
        <f>IF($AS145="","",$AS145*100000+$AP145+ROW()/100000)</f>
      </c>
      <c r="AU145" s="224">
        <f>IF(OR($A145="",N($R145)&lt;=0),"",IF($S145="Ngày",$R145*24,$R145))</f>
      </c>
      <c r="AV145" s="224">
        <f>IF($A145="","",IF($B145="Đột xuất",IF(OR($AA145&lt;&gt;"Hoàn thành",N($X145)=0,N($J145)=0),"",IF($X145&lt;$J145,"",($X145-$J145)*24)),IFERROR(AVERAGEIFS('Nhật ký tiến độ'!$H$6:$H$3005,'Nhật ký tiến độ'!$C$6:$C$3005,$A145,'Nhật ký tiến độ'!$H$6:$H$3005,"&gt;0"),"")))</f>
      </c>
      <c r="AW145" s="233">
        <f>IF($A145="",0,IF($B145="Đột xuất",$AY145,IF($AX145=0,0,$AX145+1-1/1440)))</f>
      </c>
      <c r="AX145" s="234">
        <f>IF(OR($A145="",$B145&lt;&gt;"Định kỳ",N($I145)=0),0,IF($AL145="",$I145,IF($AJ145&gt;0,$I145+($AL145+1)*$AJ145,IF($AK145&gt;0,EDATE($I145,($AL145+1)*$AK145),$I145))))</f>
      </c>
      <c r="AY145" s="233">
        <f>IF(OR($A145="",$B145&lt;&gt;"Đột xuất"),0,IF(N($K145)&gt;0,IF(MOD($K145,1)=0,$K145+1-1/1440,$K145),IF(N($J145)=0,0,$J145+IF(N($AU145)&gt;0,$AU145,IFERROR(INDEX(DM_SLA_Gio,MATCH($L145,DM_SLA_Cap,0)),168))/24)))</f>
      </c>
      <c r="AZ145" s="225">
        <f>IF(OR($A145="",TRIM($N145)="",COUNTIF('Phản ánh'!$K$6:$K$505,$N145)&gt;0,COUNTIF($N$6:$N145,$N145)&gt;1),0,1)</f>
      </c>
      <c r="BA145" s="225">
        <f>IF($AZ145=1,SUM($AZ$6:$AZ145),"")</f>
      </c>
      <c r="BB145" s="225">
        <f>IF(OR($AO145=0,N($AW145)=0),0,IF(TDBC&lt;=$AW145,0,MAX(1,MIN(4,IF((TDBC-$AW145)*24&lt;24,1,IF((TDBC-$AW145)*24&lt;72,2,IF((TDBC-$AW145)*24&lt;168,3,4)))+IF($B145="Đột xuất",IFERROR(INDEX({2,1,0,-1},MATCH($L145,{"Khẩn cấp","Cao","Trung bình","Thấp"},0)),0),IF($D145="PCCC và an ninh",1,0))))))</f>
      </c>
    </row>
    <row r="146">
      <c r="A146" s="216"/>
      <c r="B146" s="216"/>
      <c r="C146" s="218"/>
      <c r="D146" s="218"/>
      <c r="E146" s="218"/>
      <c r="F146" s="216"/>
      <c r="G146" s="218"/>
      <c r="H146" s="218"/>
      <c r="I146" s="231"/>
      <c r="J146" s="217"/>
      <c r="K146" s="217"/>
      <c r="L146" s="216"/>
      <c r="M146" s="216"/>
      <c r="N146" s="218"/>
      <c r="O146" s="218"/>
      <c r="P146" s="218"/>
      <c r="Q146" s="218"/>
      <c r="R146" s="219"/>
      <c r="S146" s="216"/>
      <c r="T146" s="232"/>
      <c r="U146" s="232"/>
      <c r="V146" s="218"/>
      <c r="W146" s="218"/>
      <c r="X146" s="220">
        <f>IF($A146="","",IF(OR($B146="Định kỳ",$AA146="Hoàn thành"),MAX(_xlfn.MAXIFS('Nhật ký tiến độ'!$B$6:$B$3005,'Nhật ký tiến độ'!$C$6:$C$3005,$A146,'Nhật ký tiến độ'!$E$6:$E$3005,"Hoàn thành kỳ"),_xlfn.MAXIFS('Nhật ký tiến độ'!$B$6:$B$3005,'Nhật ký tiến độ'!$C$6:$C$3005,$A146,'Nhật ký tiến độ'!$E$6:$E$3005,"Hoàn thành")),0))</f>
      </c>
      <c r="Y146" s="220">
        <f>IF($A146="","",IF($B146="Đột xuất",IF($AY146=0,"",$AY146),IF($AX146=0,"",$AX146)))</f>
      </c>
      <c r="Z146" s="223">
        <f>IF(OR($AO146=0,$AW146=0),"",IF(TDBC&gt;$AW146,"Quá "&amp;IF($B146="Định kỳ",(NgayBC-$AP146)&amp;" ngày",IF(((TDBC-$AW146)*24)&lt;1,MAX(1,ROUND(((TDBC-$AW146)*24)*60,0))&amp;" phút",IF(ROUND(((TDBC-$AW146)*24),0)&lt;24,ROUND(((TDBC-$AW146)*24),0)&amp;" giờ",INT(ROUND(((TDBC-$AW146)*24),0)/24)&amp;" ngày"&amp;IF(MOD(ROUND(((TDBC-$AW146)*24),0),24)&gt;0," "&amp;MOD(ROUND(((TDBC-$AW146)*24),0),24)&amp;" giờ","")))),IF($B146="Định kỳ",IF($AP146=NgayBC,"Hôm nay","Còn "&amp;($AP146-NgayBC)&amp;" ngày"),"Còn "&amp;IF((($AW146-TDBC)*24)&lt;1,MAX(1,ROUND((($AW146-TDBC)*24)*60,0))&amp;" phút",IF(ROUND((($AW146-TDBC)*24),0)&lt;24,ROUND((($AW146-TDBC)*24),0)&amp;" giờ",INT(ROUND((($AW146-TDBC)*24),0)/24)&amp;" ngày"&amp;IF(MOD(ROUND((($AW146-TDBC)*24),0),24)&gt;0," "&amp;MOD(ROUND((($AW146-TDBC)*24),0),24)&amp;" giờ",""))))))</f>
      </c>
      <c r="AA146" s="221">
        <f>IF($A146="","",IF(N($AM146)=0,"Chưa bắt đầu",IF(OR($AN146="Hoàn thành kỳ",$AN146="Hoàn thành"),IF($B146="Định kỳ","Chưa bắt đầu","Hoàn thành"),$AN146)))</f>
      </c>
      <c r="AB146" s="222">
        <f>IF($A146="","",IF($AA146="Hoàn thành",1,IF(OR(N($AM146)=0,$AN146="Hoàn thành kỳ",$AN146="Hoàn thành"),0,N(INDEX('Nhật ký tiến độ'!$D:$D,$AM146)))))</f>
      </c>
      <c r="AC146" s="222">
        <f>IF(OR($A146="",$B146&lt;&gt;"Đột xuất",$AA146="Hoàn thành",N($J146)=0,$AW146=0),"",IF(TDBC&lt;=$J146,0,IF(TDBC&gt;=$AW146,1,(TDBC-$J146)/($AW146-$J146))))</f>
      </c>
      <c r="AD146" s="223">
        <f>IF($A146="","",IF($AA146="Hoàn thành","Hoàn thành",IF($AW146=0,"Chưa đặt hạn",IF(TDBC&gt;$AW146,"Quá hạn",IF(AND($B146="Đột xuất",ROUND((N($AC146)-$AB146)*100,0)&gt;=20),"Chậm tiến độ",IF($AP146=NgayBC,"Đến hạn hôm nay",IF($B146="Đột xuất",IF($AW146-TDBC&lt;=1,"Sắp đến hạn","Đúng tiến độ"),IF($AP146-NgayBC&lt;=3,"Sắp đến hạn","Theo lịch"))))))))</f>
      </c>
      <c r="AE146" s="223">
        <f>IF($AV146="","",IF($B146="Định kỳ","Bình quân "&amp;IF($AV146&lt;1,MAX(1,ROUND($AV146*60,0))&amp;" phút",IF(ROUND($AV146,0)&lt;24,ROUND($AV146,0)&amp;" giờ",INT(ROUND($AV146,0)/24)&amp;" ngày"&amp;IF(MOD(ROUND($AV146,0),24)&gt;0," "&amp;MOD(ROUND($AV146,0),24)&amp;" giờ","")))&amp;" mỗi kỳ",IF($AV146&lt;1,MAX(1,ROUND($AV146*60,0))&amp;" phút",IF(ROUND($AV146,0)&lt;24,ROUND($AV146,0)&amp;" giờ",INT(ROUND($AV146,0)/24)&amp;" ngày"&amp;IF(MOD(ROUND($AV146,0),24)&gt;0," "&amp;MOD(ROUND($AV146,0),24)&amp;" giờ","")))))</f>
      </c>
      <c r="AF146" s="223">
        <f>IF(OR($A146="",N($AU146)=0),"",IF($AV146&lt;&gt;"",IF($AV146&lt;=$AU146,"Trong ước tính","Vượt "&amp;IF(($AV146-$AU146)&lt;1,MAX(1,ROUND(($AV146-$AU146)*60,0))&amp;" phút",IF(ROUND(($AV146-$AU146),0)&lt;24,ROUND(($AV146-$AU146),0)&amp;" giờ",INT(ROUND(($AV146-$AU146),0)/24)&amp;" ngày"&amp;IF(MOD(ROUND(($AV146-$AU146),0),24)&gt;0," "&amp;MOD(ROUND(($AV146-$AU146),0),24)&amp;" giờ","")))),IF(OR($B146&lt;&gt;"Đột xuất",$AA146="Hoàn thành",N($J146)=0),"",IF((TDBC-$J146)*24&gt;$AU146,"Đã vượt ước tính","Đã dùng "&amp;TEXT((TDBC-$J146)*24/$AU146,"0%")))))</f>
      </c>
      <c r="AG146" s="223">
        <f>IF(N($BB146)=0,"",CHOOSE($BB146,"Nhắc nhở","Cảnh báo","Báo động","Báo động đỏ"))</f>
      </c>
      <c r="AH146" s="223">
        <f>IF(OR($B146&lt;&gt;"Đột xuất",$AA146&lt;&gt;"Hoàn thành",N($X146)=0,$AW146=0),"",IF($X146&lt;=$AW146,"Đúng hạn","Trễ hạn"))</f>
      </c>
      <c r="AI146" s="220">
        <f>IF($A146="","",_xlfn.MAXIFS('Nhật ký tiến độ'!$B$6:$B$3005,'Nhật ký tiến độ'!$C$6:$C$3005,$A146))</f>
      </c>
      <c r="AJ146" s="225">
        <f>IF(OR($A146="",$B146&lt;&gt;"Định kỳ"),0,IFERROR(INDEX(DM_TanSuatNgay,MATCH($H146,DM_TanSuat,0)),0))</f>
      </c>
      <c r="AK146" s="225">
        <f>IF(OR($A146="",$B146&lt;&gt;"Định kỳ"),0,IFERROR(INDEX(DM_TanSuatThang,MATCH($H146,DM_TanSuat,0)),0))</f>
      </c>
      <c r="AL146" s="225">
        <f>IF(OR($A146="",$B146&lt;&gt;"Định kỳ",N($X146)=0,N($I146)=0),"",IF(INT($X146)&lt;$I146,0,IF($AJ146&gt;0,ROUND((INT($X146)-$I146)/$AJ146,0),IF($AK146&gt;0,ROUND((DATEDIF($I146,INT($X146),"m")+(INT($X146)-EDATE($I146,DATEDIF($I146,INT($X146),"m")))/(EDATE($I146,DATEDIF($I146,INT($X146),"m")+1)-EDATE($I146,DATEDIF($I146,INT($X146),"m"))))/$AK146,0),0))))</f>
      </c>
      <c r="AM146" s="225">
        <f>IF($A146="","",IF(COUNTIF('Nhật ký tiến độ'!$C$6:$C$3005,$A146)=0,0,_xlfn.MAXIFS('Nhật ký tiến độ'!$N$6:$N$3005,'Nhật ký tiến độ'!$C$6:$C$3005,$A146,'Nhật ký tiến độ'!$B$6:$B$3005,_xlfn.MAXIFS('Nhật ký tiến độ'!$B$6:$B$3005,'Nhật ký tiến độ'!$C$6:$C$3005,$A146))))</f>
      </c>
      <c r="AN146" s="225">
        <f>IF($A146="","",IF(N($AM146)=0,"",INDEX('Nhật ký tiến độ'!$E:$E,$AM146)))</f>
      </c>
      <c r="AO146" s="225">
        <f>IF($A146="",0,IF($AA146="Hoàn thành",0,1))</f>
      </c>
      <c r="AP146" s="225">
        <f>IF($AO146=0,0,INT(N($AW146)))</f>
      </c>
      <c r="AQ146" s="225">
        <f>IF(AND($AO146=1,$AJ146&gt;1),$AJ146,0)</f>
      </c>
      <c r="AR146" s="225">
        <f>IF(AND($AO146=1,$AJ146=1),1,0)</f>
      </c>
      <c r="AS146" s="225">
        <f>IF(OR($AO146=0,AND($AR146=1,N($BB146)=0)),"",IF(N($BB146)&gt;0,5-$BB146,IF($AD146="Chậm tiến độ",6,IF($AD146="Đến hạn hôm nay",7,IF(AND($AP146&gt;0,$AP146-NgayBC&lt;=7),8,"")))))</f>
      </c>
      <c r="AT146" s="225">
        <f>IF($AS146="","",$AS146*100000+$AP146+ROW()/100000)</f>
      </c>
      <c r="AU146" s="224">
        <f>IF(OR($A146="",N($R146)&lt;=0),"",IF($S146="Ngày",$R146*24,$R146))</f>
      </c>
      <c r="AV146" s="224">
        <f>IF($A146="","",IF($B146="Đột xuất",IF(OR($AA146&lt;&gt;"Hoàn thành",N($X146)=0,N($J146)=0),"",IF($X146&lt;$J146,"",($X146-$J146)*24)),IFERROR(AVERAGEIFS('Nhật ký tiến độ'!$H$6:$H$3005,'Nhật ký tiến độ'!$C$6:$C$3005,$A146,'Nhật ký tiến độ'!$H$6:$H$3005,"&gt;0"),"")))</f>
      </c>
      <c r="AW146" s="233">
        <f>IF($A146="",0,IF($B146="Đột xuất",$AY146,IF($AX146=0,0,$AX146+1-1/1440)))</f>
      </c>
      <c r="AX146" s="234">
        <f>IF(OR($A146="",$B146&lt;&gt;"Định kỳ",N($I146)=0),0,IF($AL146="",$I146,IF($AJ146&gt;0,$I146+($AL146+1)*$AJ146,IF($AK146&gt;0,EDATE($I146,($AL146+1)*$AK146),$I146))))</f>
      </c>
      <c r="AY146" s="233">
        <f>IF(OR($A146="",$B146&lt;&gt;"Đột xuất"),0,IF(N($K146)&gt;0,IF(MOD($K146,1)=0,$K146+1-1/1440,$K146),IF(N($J146)=0,0,$J146+IF(N($AU146)&gt;0,$AU146,IFERROR(INDEX(DM_SLA_Gio,MATCH($L146,DM_SLA_Cap,0)),168))/24)))</f>
      </c>
      <c r="AZ146" s="225">
        <f>IF(OR($A146="",TRIM($N146)="",COUNTIF('Phản ánh'!$K$6:$K$505,$N146)&gt;0,COUNTIF($N$6:$N146,$N146)&gt;1),0,1)</f>
      </c>
      <c r="BA146" s="225">
        <f>IF($AZ146=1,SUM($AZ$6:$AZ146),"")</f>
      </c>
      <c r="BB146" s="225">
        <f>IF(OR($AO146=0,N($AW146)=0),0,IF(TDBC&lt;=$AW146,0,MAX(1,MIN(4,IF((TDBC-$AW146)*24&lt;24,1,IF((TDBC-$AW146)*24&lt;72,2,IF((TDBC-$AW146)*24&lt;168,3,4)))+IF($B146="Đột xuất",IFERROR(INDEX({2,1,0,-1},MATCH($L146,{"Khẩn cấp","Cao","Trung bình","Thấp"},0)),0),IF($D146="PCCC và an ninh",1,0))))))</f>
      </c>
    </row>
    <row r="147">
      <c r="A147" s="216"/>
      <c r="B147" s="216"/>
      <c r="C147" s="218"/>
      <c r="D147" s="218"/>
      <c r="E147" s="218"/>
      <c r="F147" s="216"/>
      <c r="G147" s="218"/>
      <c r="H147" s="218"/>
      <c r="I147" s="231"/>
      <c r="J147" s="217"/>
      <c r="K147" s="217"/>
      <c r="L147" s="216"/>
      <c r="M147" s="216"/>
      <c r="N147" s="218"/>
      <c r="O147" s="218"/>
      <c r="P147" s="218"/>
      <c r="Q147" s="218"/>
      <c r="R147" s="219"/>
      <c r="S147" s="216"/>
      <c r="T147" s="232"/>
      <c r="U147" s="232"/>
      <c r="V147" s="218"/>
      <c r="W147" s="218"/>
      <c r="X147" s="220">
        <f>IF($A147="","",IF(OR($B147="Định kỳ",$AA147="Hoàn thành"),MAX(_xlfn.MAXIFS('Nhật ký tiến độ'!$B$6:$B$3005,'Nhật ký tiến độ'!$C$6:$C$3005,$A147,'Nhật ký tiến độ'!$E$6:$E$3005,"Hoàn thành kỳ"),_xlfn.MAXIFS('Nhật ký tiến độ'!$B$6:$B$3005,'Nhật ký tiến độ'!$C$6:$C$3005,$A147,'Nhật ký tiến độ'!$E$6:$E$3005,"Hoàn thành")),0))</f>
      </c>
      <c r="Y147" s="220">
        <f>IF($A147="","",IF($B147="Đột xuất",IF($AY147=0,"",$AY147),IF($AX147=0,"",$AX147)))</f>
      </c>
      <c r="Z147" s="223">
        <f>IF(OR($AO147=0,$AW147=0),"",IF(TDBC&gt;$AW147,"Quá "&amp;IF($B147="Định kỳ",(NgayBC-$AP147)&amp;" ngày",IF(((TDBC-$AW147)*24)&lt;1,MAX(1,ROUND(((TDBC-$AW147)*24)*60,0))&amp;" phút",IF(ROUND(((TDBC-$AW147)*24),0)&lt;24,ROUND(((TDBC-$AW147)*24),0)&amp;" giờ",INT(ROUND(((TDBC-$AW147)*24),0)/24)&amp;" ngày"&amp;IF(MOD(ROUND(((TDBC-$AW147)*24),0),24)&gt;0," "&amp;MOD(ROUND(((TDBC-$AW147)*24),0),24)&amp;" giờ","")))),IF($B147="Định kỳ",IF($AP147=NgayBC,"Hôm nay","Còn "&amp;($AP147-NgayBC)&amp;" ngày"),"Còn "&amp;IF((($AW147-TDBC)*24)&lt;1,MAX(1,ROUND((($AW147-TDBC)*24)*60,0))&amp;" phút",IF(ROUND((($AW147-TDBC)*24),0)&lt;24,ROUND((($AW147-TDBC)*24),0)&amp;" giờ",INT(ROUND((($AW147-TDBC)*24),0)/24)&amp;" ngày"&amp;IF(MOD(ROUND((($AW147-TDBC)*24),0),24)&gt;0," "&amp;MOD(ROUND((($AW147-TDBC)*24),0),24)&amp;" giờ",""))))))</f>
      </c>
      <c r="AA147" s="221">
        <f>IF($A147="","",IF(N($AM147)=0,"Chưa bắt đầu",IF(OR($AN147="Hoàn thành kỳ",$AN147="Hoàn thành"),IF($B147="Định kỳ","Chưa bắt đầu","Hoàn thành"),$AN147)))</f>
      </c>
      <c r="AB147" s="222">
        <f>IF($A147="","",IF($AA147="Hoàn thành",1,IF(OR(N($AM147)=0,$AN147="Hoàn thành kỳ",$AN147="Hoàn thành"),0,N(INDEX('Nhật ký tiến độ'!$D:$D,$AM147)))))</f>
      </c>
      <c r="AC147" s="222">
        <f>IF(OR($A147="",$B147&lt;&gt;"Đột xuất",$AA147="Hoàn thành",N($J147)=0,$AW147=0),"",IF(TDBC&lt;=$J147,0,IF(TDBC&gt;=$AW147,1,(TDBC-$J147)/($AW147-$J147))))</f>
      </c>
      <c r="AD147" s="223">
        <f>IF($A147="","",IF($AA147="Hoàn thành","Hoàn thành",IF($AW147=0,"Chưa đặt hạn",IF(TDBC&gt;$AW147,"Quá hạn",IF(AND($B147="Đột xuất",ROUND((N($AC147)-$AB147)*100,0)&gt;=20),"Chậm tiến độ",IF($AP147=NgayBC,"Đến hạn hôm nay",IF($B147="Đột xuất",IF($AW147-TDBC&lt;=1,"Sắp đến hạn","Đúng tiến độ"),IF($AP147-NgayBC&lt;=3,"Sắp đến hạn","Theo lịch"))))))))</f>
      </c>
      <c r="AE147" s="223">
        <f>IF($AV147="","",IF($B147="Định kỳ","Bình quân "&amp;IF($AV147&lt;1,MAX(1,ROUND($AV147*60,0))&amp;" phút",IF(ROUND($AV147,0)&lt;24,ROUND($AV147,0)&amp;" giờ",INT(ROUND($AV147,0)/24)&amp;" ngày"&amp;IF(MOD(ROUND($AV147,0),24)&gt;0," "&amp;MOD(ROUND($AV147,0),24)&amp;" giờ","")))&amp;" mỗi kỳ",IF($AV147&lt;1,MAX(1,ROUND($AV147*60,0))&amp;" phút",IF(ROUND($AV147,0)&lt;24,ROUND($AV147,0)&amp;" giờ",INT(ROUND($AV147,0)/24)&amp;" ngày"&amp;IF(MOD(ROUND($AV147,0),24)&gt;0," "&amp;MOD(ROUND($AV147,0),24)&amp;" giờ","")))))</f>
      </c>
      <c r="AF147" s="223">
        <f>IF(OR($A147="",N($AU147)=0),"",IF($AV147&lt;&gt;"",IF($AV147&lt;=$AU147,"Trong ước tính","Vượt "&amp;IF(($AV147-$AU147)&lt;1,MAX(1,ROUND(($AV147-$AU147)*60,0))&amp;" phút",IF(ROUND(($AV147-$AU147),0)&lt;24,ROUND(($AV147-$AU147),0)&amp;" giờ",INT(ROUND(($AV147-$AU147),0)/24)&amp;" ngày"&amp;IF(MOD(ROUND(($AV147-$AU147),0),24)&gt;0," "&amp;MOD(ROUND(($AV147-$AU147),0),24)&amp;" giờ","")))),IF(OR($B147&lt;&gt;"Đột xuất",$AA147="Hoàn thành",N($J147)=0),"",IF((TDBC-$J147)*24&gt;$AU147,"Đã vượt ước tính","Đã dùng "&amp;TEXT((TDBC-$J147)*24/$AU147,"0%")))))</f>
      </c>
      <c r="AG147" s="223">
        <f>IF(N($BB147)=0,"",CHOOSE($BB147,"Nhắc nhở","Cảnh báo","Báo động","Báo động đỏ"))</f>
      </c>
      <c r="AH147" s="223">
        <f>IF(OR($B147&lt;&gt;"Đột xuất",$AA147&lt;&gt;"Hoàn thành",N($X147)=0,$AW147=0),"",IF($X147&lt;=$AW147,"Đúng hạn","Trễ hạn"))</f>
      </c>
      <c r="AI147" s="220">
        <f>IF($A147="","",_xlfn.MAXIFS('Nhật ký tiến độ'!$B$6:$B$3005,'Nhật ký tiến độ'!$C$6:$C$3005,$A147))</f>
      </c>
      <c r="AJ147" s="225">
        <f>IF(OR($A147="",$B147&lt;&gt;"Định kỳ"),0,IFERROR(INDEX(DM_TanSuatNgay,MATCH($H147,DM_TanSuat,0)),0))</f>
      </c>
      <c r="AK147" s="225">
        <f>IF(OR($A147="",$B147&lt;&gt;"Định kỳ"),0,IFERROR(INDEX(DM_TanSuatThang,MATCH($H147,DM_TanSuat,0)),0))</f>
      </c>
      <c r="AL147" s="225">
        <f>IF(OR($A147="",$B147&lt;&gt;"Định kỳ",N($X147)=0,N($I147)=0),"",IF(INT($X147)&lt;$I147,0,IF($AJ147&gt;0,ROUND((INT($X147)-$I147)/$AJ147,0),IF($AK147&gt;0,ROUND((DATEDIF($I147,INT($X147),"m")+(INT($X147)-EDATE($I147,DATEDIF($I147,INT($X147),"m")))/(EDATE($I147,DATEDIF($I147,INT($X147),"m")+1)-EDATE($I147,DATEDIF($I147,INT($X147),"m"))))/$AK147,0),0))))</f>
      </c>
      <c r="AM147" s="225">
        <f>IF($A147="","",IF(COUNTIF('Nhật ký tiến độ'!$C$6:$C$3005,$A147)=0,0,_xlfn.MAXIFS('Nhật ký tiến độ'!$N$6:$N$3005,'Nhật ký tiến độ'!$C$6:$C$3005,$A147,'Nhật ký tiến độ'!$B$6:$B$3005,_xlfn.MAXIFS('Nhật ký tiến độ'!$B$6:$B$3005,'Nhật ký tiến độ'!$C$6:$C$3005,$A147))))</f>
      </c>
      <c r="AN147" s="225">
        <f>IF($A147="","",IF(N($AM147)=0,"",INDEX('Nhật ký tiến độ'!$E:$E,$AM147)))</f>
      </c>
      <c r="AO147" s="225">
        <f>IF($A147="",0,IF($AA147="Hoàn thành",0,1))</f>
      </c>
      <c r="AP147" s="225">
        <f>IF($AO147=0,0,INT(N($AW147)))</f>
      </c>
      <c r="AQ147" s="225">
        <f>IF(AND($AO147=1,$AJ147&gt;1),$AJ147,0)</f>
      </c>
      <c r="AR147" s="225">
        <f>IF(AND($AO147=1,$AJ147=1),1,0)</f>
      </c>
      <c r="AS147" s="225">
        <f>IF(OR($AO147=0,AND($AR147=1,N($BB147)=0)),"",IF(N($BB147)&gt;0,5-$BB147,IF($AD147="Chậm tiến độ",6,IF($AD147="Đến hạn hôm nay",7,IF(AND($AP147&gt;0,$AP147-NgayBC&lt;=7),8,"")))))</f>
      </c>
      <c r="AT147" s="225">
        <f>IF($AS147="","",$AS147*100000+$AP147+ROW()/100000)</f>
      </c>
      <c r="AU147" s="224">
        <f>IF(OR($A147="",N($R147)&lt;=0),"",IF($S147="Ngày",$R147*24,$R147))</f>
      </c>
      <c r="AV147" s="224">
        <f>IF($A147="","",IF($B147="Đột xuất",IF(OR($AA147&lt;&gt;"Hoàn thành",N($X147)=0,N($J147)=0),"",IF($X147&lt;$J147,"",($X147-$J147)*24)),IFERROR(AVERAGEIFS('Nhật ký tiến độ'!$H$6:$H$3005,'Nhật ký tiến độ'!$C$6:$C$3005,$A147,'Nhật ký tiến độ'!$H$6:$H$3005,"&gt;0"),"")))</f>
      </c>
      <c r="AW147" s="233">
        <f>IF($A147="",0,IF($B147="Đột xuất",$AY147,IF($AX147=0,0,$AX147+1-1/1440)))</f>
      </c>
      <c r="AX147" s="234">
        <f>IF(OR($A147="",$B147&lt;&gt;"Định kỳ",N($I147)=0),0,IF($AL147="",$I147,IF($AJ147&gt;0,$I147+($AL147+1)*$AJ147,IF($AK147&gt;0,EDATE($I147,($AL147+1)*$AK147),$I147))))</f>
      </c>
      <c r="AY147" s="233">
        <f>IF(OR($A147="",$B147&lt;&gt;"Đột xuất"),0,IF(N($K147)&gt;0,IF(MOD($K147,1)=0,$K147+1-1/1440,$K147),IF(N($J147)=0,0,$J147+IF(N($AU147)&gt;0,$AU147,IFERROR(INDEX(DM_SLA_Gio,MATCH($L147,DM_SLA_Cap,0)),168))/24)))</f>
      </c>
      <c r="AZ147" s="225">
        <f>IF(OR($A147="",TRIM($N147)="",COUNTIF('Phản ánh'!$K$6:$K$505,$N147)&gt;0,COUNTIF($N$6:$N147,$N147)&gt;1),0,1)</f>
      </c>
      <c r="BA147" s="225">
        <f>IF($AZ147=1,SUM($AZ$6:$AZ147),"")</f>
      </c>
      <c r="BB147" s="225">
        <f>IF(OR($AO147=0,N($AW147)=0),0,IF(TDBC&lt;=$AW147,0,MAX(1,MIN(4,IF((TDBC-$AW147)*24&lt;24,1,IF((TDBC-$AW147)*24&lt;72,2,IF((TDBC-$AW147)*24&lt;168,3,4)))+IF($B147="Đột xuất",IFERROR(INDEX({2,1,0,-1},MATCH($L147,{"Khẩn cấp","Cao","Trung bình","Thấp"},0)),0),IF($D147="PCCC và an ninh",1,0))))))</f>
      </c>
    </row>
    <row r="148">
      <c r="A148" s="216"/>
      <c r="B148" s="216"/>
      <c r="C148" s="218"/>
      <c r="D148" s="218"/>
      <c r="E148" s="218"/>
      <c r="F148" s="216"/>
      <c r="G148" s="218"/>
      <c r="H148" s="218"/>
      <c r="I148" s="231"/>
      <c r="J148" s="217"/>
      <c r="K148" s="217"/>
      <c r="L148" s="216"/>
      <c r="M148" s="216"/>
      <c r="N148" s="218"/>
      <c r="O148" s="218"/>
      <c r="P148" s="218"/>
      <c r="Q148" s="218"/>
      <c r="R148" s="219"/>
      <c r="S148" s="216"/>
      <c r="T148" s="232"/>
      <c r="U148" s="232"/>
      <c r="V148" s="218"/>
      <c r="W148" s="218"/>
      <c r="X148" s="220">
        <f>IF($A148="","",IF(OR($B148="Định kỳ",$AA148="Hoàn thành"),MAX(_xlfn.MAXIFS('Nhật ký tiến độ'!$B$6:$B$3005,'Nhật ký tiến độ'!$C$6:$C$3005,$A148,'Nhật ký tiến độ'!$E$6:$E$3005,"Hoàn thành kỳ"),_xlfn.MAXIFS('Nhật ký tiến độ'!$B$6:$B$3005,'Nhật ký tiến độ'!$C$6:$C$3005,$A148,'Nhật ký tiến độ'!$E$6:$E$3005,"Hoàn thành")),0))</f>
      </c>
      <c r="Y148" s="220">
        <f>IF($A148="","",IF($B148="Đột xuất",IF($AY148=0,"",$AY148),IF($AX148=0,"",$AX148)))</f>
      </c>
      <c r="Z148" s="223">
        <f>IF(OR($AO148=0,$AW148=0),"",IF(TDBC&gt;$AW148,"Quá "&amp;IF($B148="Định kỳ",(NgayBC-$AP148)&amp;" ngày",IF(((TDBC-$AW148)*24)&lt;1,MAX(1,ROUND(((TDBC-$AW148)*24)*60,0))&amp;" phút",IF(ROUND(((TDBC-$AW148)*24),0)&lt;24,ROUND(((TDBC-$AW148)*24),0)&amp;" giờ",INT(ROUND(((TDBC-$AW148)*24),0)/24)&amp;" ngày"&amp;IF(MOD(ROUND(((TDBC-$AW148)*24),0),24)&gt;0," "&amp;MOD(ROUND(((TDBC-$AW148)*24),0),24)&amp;" giờ","")))),IF($B148="Định kỳ",IF($AP148=NgayBC,"Hôm nay","Còn "&amp;($AP148-NgayBC)&amp;" ngày"),"Còn "&amp;IF((($AW148-TDBC)*24)&lt;1,MAX(1,ROUND((($AW148-TDBC)*24)*60,0))&amp;" phút",IF(ROUND((($AW148-TDBC)*24),0)&lt;24,ROUND((($AW148-TDBC)*24),0)&amp;" giờ",INT(ROUND((($AW148-TDBC)*24),0)/24)&amp;" ngày"&amp;IF(MOD(ROUND((($AW148-TDBC)*24),0),24)&gt;0," "&amp;MOD(ROUND((($AW148-TDBC)*24),0),24)&amp;" giờ",""))))))</f>
      </c>
      <c r="AA148" s="221">
        <f>IF($A148="","",IF(N($AM148)=0,"Chưa bắt đầu",IF(OR($AN148="Hoàn thành kỳ",$AN148="Hoàn thành"),IF($B148="Định kỳ","Chưa bắt đầu","Hoàn thành"),$AN148)))</f>
      </c>
      <c r="AB148" s="222">
        <f>IF($A148="","",IF($AA148="Hoàn thành",1,IF(OR(N($AM148)=0,$AN148="Hoàn thành kỳ",$AN148="Hoàn thành"),0,N(INDEX('Nhật ký tiến độ'!$D:$D,$AM148)))))</f>
      </c>
      <c r="AC148" s="222">
        <f>IF(OR($A148="",$B148&lt;&gt;"Đột xuất",$AA148="Hoàn thành",N($J148)=0,$AW148=0),"",IF(TDBC&lt;=$J148,0,IF(TDBC&gt;=$AW148,1,(TDBC-$J148)/($AW148-$J148))))</f>
      </c>
      <c r="AD148" s="223">
        <f>IF($A148="","",IF($AA148="Hoàn thành","Hoàn thành",IF($AW148=0,"Chưa đặt hạn",IF(TDBC&gt;$AW148,"Quá hạn",IF(AND($B148="Đột xuất",ROUND((N($AC148)-$AB148)*100,0)&gt;=20),"Chậm tiến độ",IF($AP148=NgayBC,"Đến hạn hôm nay",IF($B148="Đột xuất",IF($AW148-TDBC&lt;=1,"Sắp đến hạn","Đúng tiến độ"),IF($AP148-NgayBC&lt;=3,"Sắp đến hạn","Theo lịch"))))))))</f>
      </c>
      <c r="AE148" s="223">
        <f>IF($AV148="","",IF($B148="Định kỳ","Bình quân "&amp;IF($AV148&lt;1,MAX(1,ROUND($AV148*60,0))&amp;" phút",IF(ROUND($AV148,0)&lt;24,ROUND($AV148,0)&amp;" giờ",INT(ROUND($AV148,0)/24)&amp;" ngày"&amp;IF(MOD(ROUND($AV148,0),24)&gt;0," "&amp;MOD(ROUND($AV148,0),24)&amp;" giờ","")))&amp;" mỗi kỳ",IF($AV148&lt;1,MAX(1,ROUND($AV148*60,0))&amp;" phút",IF(ROUND($AV148,0)&lt;24,ROUND($AV148,0)&amp;" giờ",INT(ROUND($AV148,0)/24)&amp;" ngày"&amp;IF(MOD(ROUND($AV148,0),24)&gt;0," "&amp;MOD(ROUND($AV148,0),24)&amp;" giờ","")))))</f>
      </c>
      <c r="AF148" s="223">
        <f>IF(OR($A148="",N($AU148)=0),"",IF($AV148&lt;&gt;"",IF($AV148&lt;=$AU148,"Trong ước tính","Vượt "&amp;IF(($AV148-$AU148)&lt;1,MAX(1,ROUND(($AV148-$AU148)*60,0))&amp;" phút",IF(ROUND(($AV148-$AU148),0)&lt;24,ROUND(($AV148-$AU148),0)&amp;" giờ",INT(ROUND(($AV148-$AU148),0)/24)&amp;" ngày"&amp;IF(MOD(ROUND(($AV148-$AU148),0),24)&gt;0," "&amp;MOD(ROUND(($AV148-$AU148),0),24)&amp;" giờ","")))),IF(OR($B148&lt;&gt;"Đột xuất",$AA148="Hoàn thành",N($J148)=0),"",IF((TDBC-$J148)*24&gt;$AU148,"Đã vượt ước tính","Đã dùng "&amp;TEXT((TDBC-$J148)*24/$AU148,"0%")))))</f>
      </c>
      <c r="AG148" s="223">
        <f>IF(N($BB148)=0,"",CHOOSE($BB148,"Nhắc nhở","Cảnh báo","Báo động","Báo động đỏ"))</f>
      </c>
      <c r="AH148" s="223">
        <f>IF(OR($B148&lt;&gt;"Đột xuất",$AA148&lt;&gt;"Hoàn thành",N($X148)=0,$AW148=0),"",IF($X148&lt;=$AW148,"Đúng hạn","Trễ hạn"))</f>
      </c>
      <c r="AI148" s="220">
        <f>IF($A148="","",_xlfn.MAXIFS('Nhật ký tiến độ'!$B$6:$B$3005,'Nhật ký tiến độ'!$C$6:$C$3005,$A148))</f>
      </c>
      <c r="AJ148" s="225">
        <f>IF(OR($A148="",$B148&lt;&gt;"Định kỳ"),0,IFERROR(INDEX(DM_TanSuatNgay,MATCH($H148,DM_TanSuat,0)),0))</f>
      </c>
      <c r="AK148" s="225">
        <f>IF(OR($A148="",$B148&lt;&gt;"Định kỳ"),0,IFERROR(INDEX(DM_TanSuatThang,MATCH($H148,DM_TanSuat,0)),0))</f>
      </c>
      <c r="AL148" s="225">
        <f>IF(OR($A148="",$B148&lt;&gt;"Định kỳ",N($X148)=0,N($I148)=0),"",IF(INT($X148)&lt;$I148,0,IF($AJ148&gt;0,ROUND((INT($X148)-$I148)/$AJ148,0),IF($AK148&gt;0,ROUND((DATEDIF($I148,INT($X148),"m")+(INT($X148)-EDATE($I148,DATEDIF($I148,INT($X148),"m")))/(EDATE($I148,DATEDIF($I148,INT($X148),"m")+1)-EDATE($I148,DATEDIF($I148,INT($X148),"m"))))/$AK148,0),0))))</f>
      </c>
      <c r="AM148" s="225">
        <f>IF($A148="","",IF(COUNTIF('Nhật ký tiến độ'!$C$6:$C$3005,$A148)=0,0,_xlfn.MAXIFS('Nhật ký tiến độ'!$N$6:$N$3005,'Nhật ký tiến độ'!$C$6:$C$3005,$A148,'Nhật ký tiến độ'!$B$6:$B$3005,_xlfn.MAXIFS('Nhật ký tiến độ'!$B$6:$B$3005,'Nhật ký tiến độ'!$C$6:$C$3005,$A148))))</f>
      </c>
      <c r="AN148" s="225">
        <f>IF($A148="","",IF(N($AM148)=0,"",INDEX('Nhật ký tiến độ'!$E:$E,$AM148)))</f>
      </c>
      <c r="AO148" s="225">
        <f>IF($A148="",0,IF($AA148="Hoàn thành",0,1))</f>
      </c>
      <c r="AP148" s="225">
        <f>IF($AO148=0,0,INT(N($AW148)))</f>
      </c>
      <c r="AQ148" s="225">
        <f>IF(AND($AO148=1,$AJ148&gt;1),$AJ148,0)</f>
      </c>
      <c r="AR148" s="225">
        <f>IF(AND($AO148=1,$AJ148=1),1,0)</f>
      </c>
      <c r="AS148" s="225">
        <f>IF(OR($AO148=0,AND($AR148=1,N($BB148)=0)),"",IF(N($BB148)&gt;0,5-$BB148,IF($AD148="Chậm tiến độ",6,IF($AD148="Đến hạn hôm nay",7,IF(AND($AP148&gt;0,$AP148-NgayBC&lt;=7),8,"")))))</f>
      </c>
      <c r="AT148" s="225">
        <f>IF($AS148="","",$AS148*100000+$AP148+ROW()/100000)</f>
      </c>
      <c r="AU148" s="224">
        <f>IF(OR($A148="",N($R148)&lt;=0),"",IF($S148="Ngày",$R148*24,$R148))</f>
      </c>
      <c r="AV148" s="224">
        <f>IF($A148="","",IF($B148="Đột xuất",IF(OR($AA148&lt;&gt;"Hoàn thành",N($X148)=0,N($J148)=0),"",IF($X148&lt;$J148,"",($X148-$J148)*24)),IFERROR(AVERAGEIFS('Nhật ký tiến độ'!$H$6:$H$3005,'Nhật ký tiến độ'!$C$6:$C$3005,$A148,'Nhật ký tiến độ'!$H$6:$H$3005,"&gt;0"),"")))</f>
      </c>
      <c r="AW148" s="233">
        <f>IF($A148="",0,IF($B148="Đột xuất",$AY148,IF($AX148=0,0,$AX148+1-1/1440)))</f>
      </c>
      <c r="AX148" s="234">
        <f>IF(OR($A148="",$B148&lt;&gt;"Định kỳ",N($I148)=0),0,IF($AL148="",$I148,IF($AJ148&gt;0,$I148+($AL148+1)*$AJ148,IF($AK148&gt;0,EDATE($I148,($AL148+1)*$AK148),$I148))))</f>
      </c>
      <c r="AY148" s="233">
        <f>IF(OR($A148="",$B148&lt;&gt;"Đột xuất"),0,IF(N($K148)&gt;0,IF(MOD($K148,1)=0,$K148+1-1/1440,$K148),IF(N($J148)=0,0,$J148+IF(N($AU148)&gt;0,$AU148,IFERROR(INDEX(DM_SLA_Gio,MATCH($L148,DM_SLA_Cap,0)),168))/24)))</f>
      </c>
      <c r="AZ148" s="225">
        <f>IF(OR($A148="",TRIM($N148)="",COUNTIF('Phản ánh'!$K$6:$K$505,$N148)&gt;0,COUNTIF($N$6:$N148,$N148)&gt;1),0,1)</f>
      </c>
      <c r="BA148" s="225">
        <f>IF($AZ148=1,SUM($AZ$6:$AZ148),"")</f>
      </c>
      <c r="BB148" s="225">
        <f>IF(OR($AO148=0,N($AW148)=0),0,IF(TDBC&lt;=$AW148,0,MAX(1,MIN(4,IF((TDBC-$AW148)*24&lt;24,1,IF((TDBC-$AW148)*24&lt;72,2,IF((TDBC-$AW148)*24&lt;168,3,4)))+IF($B148="Đột xuất",IFERROR(INDEX({2,1,0,-1},MATCH($L148,{"Khẩn cấp","Cao","Trung bình","Thấp"},0)),0),IF($D148="PCCC và an ninh",1,0))))))</f>
      </c>
    </row>
    <row r="149">
      <c r="A149" s="216"/>
      <c r="B149" s="216"/>
      <c r="C149" s="218"/>
      <c r="D149" s="218"/>
      <c r="E149" s="218"/>
      <c r="F149" s="216"/>
      <c r="G149" s="218"/>
      <c r="H149" s="218"/>
      <c r="I149" s="231"/>
      <c r="J149" s="217"/>
      <c r="K149" s="217"/>
      <c r="L149" s="216"/>
      <c r="M149" s="216"/>
      <c r="N149" s="218"/>
      <c r="O149" s="218"/>
      <c r="P149" s="218"/>
      <c r="Q149" s="218"/>
      <c r="R149" s="219"/>
      <c r="S149" s="216"/>
      <c r="T149" s="232"/>
      <c r="U149" s="232"/>
      <c r="V149" s="218"/>
      <c r="W149" s="218"/>
      <c r="X149" s="220">
        <f>IF($A149="","",IF(OR($B149="Định kỳ",$AA149="Hoàn thành"),MAX(_xlfn.MAXIFS('Nhật ký tiến độ'!$B$6:$B$3005,'Nhật ký tiến độ'!$C$6:$C$3005,$A149,'Nhật ký tiến độ'!$E$6:$E$3005,"Hoàn thành kỳ"),_xlfn.MAXIFS('Nhật ký tiến độ'!$B$6:$B$3005,'Nhật ký tiến độ'!$C$6:$C$3005,$A149,'Nhật ký tiến độ'!$E$6:$E$3005,"Hoàn thành")),0))</f>
      </c>
      <c r="Y149" s="220">
        <f>IF($A149="","",IF($B149="Đột xuất",IF($AY149=0,"",$AY149),IF($AX149=0,"",$AX149)))</f>
      </c>
      <c r="Z149" s="223">
        <f>IF(OR($AO149=0,$AW149=0),"",IF(TDBC&gt;$AW149,"Quá "&amp;IF($B149="Định kỳ",(NgayBC-$AP149)&amp;" ngày",IF(((TDBC-$AW149)*24)&lt;1,MAX(1,ROUND(((TDBC-$AW149)*24)*60,0))&amp;" phút",IF(ROUND(((TDBC-$AW149)*24),0)&lt;24,ROUND(((TDBC-$AW149)*24),0)&amp;" giờ",INT(ROUND(((TDBC-$AW149)*24),0)/24)&amp;" ngày"&amp;IF(MOD(ROUND(((TDBC-$AW149)*24),0),24)&gt;0," "&amp;MOD(ROUND(((TDBC-$AW149)*24),0),24)&amp;" giờ","")))),IF($B149="Định kỳ",IF($AP149=NgayBC,"Hôm nay","Còn "&amp;($AP149-NgayBC)&amp;" ngày"),"Còn "&amp;IF((($AW149-TDBC)*24)&lt;1,MAX(1,ROUND((($AW149-TDBC)*24)*60,0))&amp;" phút",IF(ROUND((($AW149-TDBC)*24),0)&lt;24,ROUND((($AW149-TDBC)*24),0)&amp;" giờ",INT(ROUND((($AW149-TDBC)*24),0)/24)&amp;" ngày"&amp;IF(MOD(ROUND((($AW149-TDBC)*24),0),24)&gt;0," "&amp;MOD(ROUND((($AW149-TDBC)*24),0),24)&amp;" giờ",""))))))</f>
      </c>
      <c r="AA149" s="221">
        <f>IF($A149="","",IF(N($AM149)=0,"Chưa bắt đầu",IF(OR($AN149="Hoàn thành kỳ",$AN149="Hoàn thành"),IF($B149="Định kỳ","Chưa bắt đầu","Hoàn thành"),$AN149)))</f>
      </c>
      <c r="AB149" s="222">
        <f>IF($A149="","",IF($AA149="Hoàn thành",1,IF(OR(N($AM149)=0,$AN149="Hoàn thành kỳ",$AN149="Hoàn thành"),0,N(INDEX('Nhật ký tiến độ'!$D:$D,$AM149)))))</f>
      </c>
      <c r="AC149" s="222">
        <f>IF(OR($A149="",$B149&lt;&gt;"Đột xuất",$AA149="Hoàn thành",N($J149)=0,$AW149=0),"",IF(TDBC&lt;=$J149,0,IF(TDBC&gt;=$AW149,1,(TDBC-$J149)/($AW149-$J149))))</f>
      </c>
      <c r="AD149" s="223">
        <f>IF($A149="","",IF($AA149="Hoàn thành","Hoàn thành",IF($AW149=0,"Chưa đặt hạn",IF(TDBC&gt;$AW149,"Quá hạn",IF(AND($B149="Đột xuất",ROUND((N($AC149)-$AB149)*100,0)&gt;=20),"Chậm tiến độ",IF($AP149=NgayBC,"Đến hạn hôm nay",IF($B149="Đột xuất",IF($AW149-TDBC&lt;=1,"Sắp đến hạn","Đúng tiến độ"),IF($AP149-NgayBC&lt;=3,"Sắp đến hạn","Theo lịch"))))))))</f>
      </c>
      <c r="AE149" s="223">
        <f>IF($AV149="","",IF($B149="Định kỳ","Bình quân "&amp;IF($AV149&lt;1,MAX(1,ROUND($AV149*60,0))&amp;" phút",IF(ROUND($AV149,0)&lt;24,ROUND($AV149,0)&amp;" giờ",INT(ROUND($AV149,0)/24)&amp;" ngày"&amp;IF(MOD(ROUND($AV149,0),24)&gt;0," "&amp;MOD(ROUND($AV149,0),24)&amp;" giờ","")))&amp;" mỗi kỳ",IF($AV149&lt;1,MAX(1,ROUND($AV149*60,0))&amp;" phút",IF(ROUND($AV149,0)&lt;24,ROUND($AV149,0)&amp;" giờ",INT(ROUND($AV149,0)/24)&amp;" ngày"&amp;IF(MOD(ROUND($AV149,0),24)&gt;0," "&amp;MOD(ROUND($AV149,0),24)&amp;" giờ","")))))</f>
      </c>
      <c r="AF149" s="223">
        <f>IF(OR($A149="",N($AU149)=0),"",IF($AV149&lt;&gt;"",IF($AV149&lt;=$AU149,"Trong ước tính","Vượt "&amp;IF(($AV149-$AU149)&lt;1,MAX(1,ROUND(($AV149-$AU149)*60,0))&amp;" phút",IF(ROUND(($AV149-$AU149),0)&lt;24,ROUND(($AV149-$AU149),0)&amp;" giờ",INT(ROUND(($AV149-$AU149),0)/24)&amp;" ngày"&amp;IF(MOD(ROUND(($AV149-$AU149),0),24)&gt;0," "&amp;MOD(ROUND(($AV149-$AU149),0),24)&amp;" giờ","")))),IF(OR($B149&lt;&gt;"Đột xuất",$AA149="Hoàn thành",N($J149)=0),"",IF((TDBC-$J149)*24&gt;$AU149,"Đã vượt ước tính","Đã dùng "&amp;TEXT((TDBC-$J149)*24/$AU149,"0%")))))</f>
      </c>
      <c r="AG149" s="223">
        <f>IF(N($BB149)=0,"",CHOOSE($BB149,"Nhắc nhở","Cảnh báo","Báo động","Báo động đỏ"))</f>
      </c>
      <c r="AH149" s="223">
        <f>IF(OR($B149&lt;&gt;"Đột xuất",$AA149&lt;&gt;"Hoàn thành",N($X149)=0,$AW149=0),"",IF($X149&lt;=$AW149,"Đúng hạn","Trễ hạn"))</f>
      </c>
      <c r="AI149" s="220">
        <f>IF($A149="","",_xlfn.MAXIFS('Nhật ký tiến độ'!$B$6:$B$3005,'Nhật ký tiến độ'!$C$6:$C$3005,$A149))</f>
      </c>
      <c r="AJ149" s="225">
        <f>IF(OR($A149="",$B149&lt;&gt;"Định kỳ"),0,IFERROR(INDEX(DM_TanSuatNgay,MATCH($H149,DM_TanSuat,0)),0))</f>
      </c>
      <c r="AK149" s="225">
        <f>IF(OR($A149="",$B149&lt;&gt;"Định kỳ"),0,IFERROR(INDEX(DM_TanSuatThang,MATCH($H149,DM_TanSuat,0)),0))</f>
      </c>
      <c r="AL149" s="225">
        <f>IF(OR($A149="",$B149&lt;&gt;"Định kỳ",N($X149)=0,N($I149)=0),"",IF(INT($X149)&lt;$I149,0,IF($AJ149&gt;0,ROUND((INT($X149)-$I149)/$AJ149,0),IF($AK149&gt;0,ROUND((DATEDIF($I149,INT($X149),"m")+(INT($X149)-EDATE($I149,DATEDIF($I149,INT($X149),"m")))/(EDATE($I149,DATEDIF($I149,INT($X149),"m")+1)-EDATE($I149,DATEDIF($I149,INT($X149),"m"))))/$AK149,0),0))))</f>
      </c>
      <c r="AM149" s="225">
        <f>IF($A149="","",IF(COUNTIF('Nhật ký tiến độ'!$C$6:$C$3005,$A149)=0,0,_xlfn.MAXIFS('Nhật ký tiến độ'!$N$6:$N$3005,'Nhật ký tiến độ'!$C$6:$C$3005,$A149,'Nhật ký tiến độ'!$B$6:$B$3005,_xlfn.MAXIFS('Nhật ký tiến độ'!$B$6:$B$3005,'Nhật ký tiến độ'!$C$6:$C$3005,$A149))))</f>
      </c>
      <c r="AN149" s="225">
        <f>IF($A149="","",IF(N($AM149)=0,"",INDEX('Nhật ký tiến độ'!$E:$E,$AM149)))</f>
      </c>
      <c r="AO149" s="225">
        <f>IF($A149="",0,IF($AA149="Hoàn thành",0,1))</f>
      </c>
      <c r="AP149" s="225">
        <f>IF($AO149=0,0,INT(N($AW149)))</f>
      </c>
      <c r="AQ149" s="225">
        <f>IF(AND($AO149=1,$AJ149&gt;1),$AJ149,0)</f>
      </c>
      <c r="AR149" s="225">
        <f>IF(AND($AO149=1,$AJ149=1),1,0)</f>
      </c>
      <c r="AS149" s="225">
        <f>IF(OR($AO149=0,AND($AR149=1,N($BB149)=0)),"",IF(N($BB149)&gt;0,5-$BB149,IF($AD149="Chậm tiến độ",6,IF($AD149="Đến hạn hôm nay",7,IF(AND($AP149&gt;0,$AP149-NgayBC&lt;=7),8,"")))))</f>
      </c>
      <c r="AT149" s="225">
        <f>IF($AS149="","",$AS149*100000+$AP149+ROW()/100000)</f>
      </c>
      <c r="AU149" s="224">
        <f>IF(OR($A149="",N($R149)&lt;=0),"",IF($S149="Ngày",$R149*24,$R149))</f>
      </c>
      <c r="AV149" s="224">
        <f>IF($A149="","",IF($B149="Đột xuất",IF(OR($AA149&lt;&gt;"Hoàn thành",N($X149)=0,N($J149)=0),"",IF($X149&lt;$J149,"",($X149-$J149)*24)),IFERROR(AVERAGEIFS('Nhật ký tiến độ'!$H$6:$H$3005,'Nhật ký tiến độ'!$C$6:$C$3005,$A149,'Nhật ký tiến độ'!$H$6:$H$3005,"&gt;0"),"")))</f>
      </c>
      <c r="AW149" s="233">
        <f>IF($A149="",0,IF($B149="Đột xuất",$AY149,IF($AX149=0,0,$AX149+1-1/1440)))</f>
      </c>
      <c r="AX149" s="234">
        <f>IF(OR($A149="",$B149&lt;&gt;"Định kỳ",N($I149)=0),0,IF($AL149="",$I149,IF($AJ149&gt;0,$I149+($AL149+1)*$AJ149,IF($AK149&gt;0,EDATE($I149,($AL149+1)*$AK149),$I149))))</f>
      </c>
      <c r="AY149" s="233">
        <f>IF(OR($A149="",$B149&lt;&gt;"Đột xuất"),0,IF(N($K149)&gt;0,IF(MOD($K149,1)=0,$K149+1-1/1440,$K149),IF(N($J149)=0,0,$J149+IF(N($AU149)&gt;0,$AU149,IFERROR(INDEX(DM_SLA_Gio,MATCH($L149,DM_SLA_Cap,0)),168))/24)))</f>
      </c>
      <c r="AZ149" s="225">
        <f>IF(OR($A149="",TRIM($N149)="",COUNTIF('Phản ánh'!$K$6:$K$505,$N149)&gt;0,COUNTIF($N$6:$N149,$N149)&gt;1),0,1)</f>
      </c>
      <c r="BA149" s="225">
        <f>IF($AZ149=1,SUM($AZ$6:$AZ149),"")</f>
      </c>
      <c r="BB149" s="225">
        <f>IF(OR($AO149=0,N($AW149)=0),0,IF(TDBC&lt;=$AW149,0,MAX(1,MIN(4,IF((TDBC-$AW149)*24&lt;24,1,IF((TDBC-$AW149)*24&lt;72,2,IF((TDBC-$AW149)*24&lt;168,3,4)))+IF($B149="Đột xuất",IFERROR(INDEX({2,1,0,-1},MATCH($L149,{"Khẩn cấp","Cao","Trung bình","Thấp"},0)),0),IF($D149="PCCC và an ninh",1,0))))))</f>
      </c>
    </row>
    <row r="150">
      <c r="A150" s="216"/>
      <c r="B150" s="216"/>
      <c r="C150" s="218"/>
      <c r="D150" s="218"/>
      <c r="E150" s="218"/>
      <c r="F150" s="216"/>
      <c r="G150" s="218"/>
      <c r="H150" s="218"/>
      <c r="I150" s="231"/>
      <c r="J150" s="217"/>
      <c r="K150" s="217"/>
      <c r="L150" s="216"/>
      <c r="M150" s="216"/>
      <c r="N150" s="218"/>
      <c r="O150" s="218"/>
      <c r="P150" s="218"/>
      <c r="Q150" s="218"/>
      <c r="R150" s="219"/>
      <c r="S150" s="216"/>
      <c r="T150" s="232"/>
      <c r="U150" s="232"/>
      <c r="V150" s="218"/>
      <c r="W150" s="218"/>
      <c r="X150" s="220">
        <f>IF($A150="","",IF(OR($B150="Định kỳ",$AA150="Hoàn thành"),MAX(_xlfn.MAXIFS('Nhật ký tiến độ'!$B$6:$B$3005,'Nhật ký tiến độ'!$C$6:$C$3005,$A150,'Nhật ký tiến độ'!$E$6:$E$3005,"Hoàn thành kỳ"),_xlfn.MAXIFS('Nhật ký tiến độ'!$B$6:$B$3005,'Nhật ký tiến độ'!$C$6:$C$3005,$A150,'Nhật ký tiến độ'!$E$6:$E$3005,"Hoàn thành")),0))</f>
      </c>
      <c r="Y150" s="220">
        <f>IF($A150="","",IF($B150="Đột xuất",IF($AY150=0,"",$AY150),IF($AX150=0,"",$AX150)))</f>
      </c>
      <c r="Z150" s="223">
        <f>IF(OR($AO150=0,$AW150=0),"",IF(TDBC&gt;$AW150,"Quá "&amp;IF($B150="Định kỳ",(NgayBC-$AP150)&amp;" ngày",IF(((TDBC-$AW150)*24)&lt;1,MAX(1,ROUND(((TDBC-$AW150)*24)*60,0))&amp;" phút",IF(ROUND(((TDBC-$AW150)*24),0)&lt;24,ROUND(((TDBC-$AW150)*24),0)&amp;" giờ",INT(ROUND(((TDBC-$AW150)*24),0)/24)&amp;" ngày"&amp;IF(MOD(ROUND(((TDBC-$AW150)*24),0),24)&gt;0," "&amp;MOD(ROUND(((TDBC-$AW150)*24),0),24)&amp;" giờ","")))),IF($B150="Định kỳ",IF($AP150=NgayBC,"Hôm nay","Còn "&amp;($AP150-NgayBC)&amp;" ngày"),"Còn "&amp;IF((($AW150-TDBC)*24)&lt;1,MAX(1,ROUND((($AW150-TDBC)*24)*60,0))&amp;" phút",IF(ROUND((($AW150-TDBC)*24),0)&lt;24,ROUND((($AW150-TDBC)*24),0)&amp;" giờ",INT(ROUND((($AW150-TDBC)*24),0)/24)&amp;" ngày"&amp;IF(MOD(ROUND((($AW150-TDBC)*24),0),24)&gt;0," "&amp;MOD(ROUND((($AW150-TDBC)*24),0),24)&amp;" giờ",""))))))</f>
      </c>
      <c r="AA150" s="221">
        <f>IF($A150="","",IF(N($AM150)=0,"Chưa bắt đầu",IF(OR($AN150="Hoàn thành kỳ",$AN150="Hoàn thành"),IF($B150="Định kỳ","Chưa bắt đầu","Hoàn thành"),$AN150)))</f>
      </c>
      <c r="AB150" s="222">
        <f>IF($A150="","",IF($AA150="Hoàn thành",1,IF(OR(N($AM150)=0,$AN150="Hoàn thành kỳ",$AN150="Hoàn thành"),0,N(INDEX('Nhật ký tiến độ'!$D:$D,$AM150)))))</f>
      </c>
      <c r="AC150" s="222">
        <f>IF(OR($A150="",$B150&lt;&gt;"Đột xuất",$AA150="Hoàn thành",N($J150)=0,$AW150=0),"",IF(TDBC&lt;=$J150,0,IF(TDBC&gt;=$AW150,1,(TDBC-$J150)/($AW150-$J150))))</f>
      </c>
      <c r="AD150" s="223">
        <f>IF($A150="","",IF($AA150="Hoàn thành","Hoàn thành",IF($AW150=0,"Chưa đặt hạn",IF(TDBC&gt;$AW150,"Quá hạn",IF(AND($B150="Đột xuất",ROUND((N($AC150)-$AB150)*100,0)&gt;=20),"Chậm tiến độ",IF($AP150=NgayBC,"Đến hạn hôm nay",IF($B150="Đột xuất",IF($AW150-TDBC&lt;=1,"Sắp đến hạn","Đúng tiến độ"),IF($AP150-NgayBC&lt;=3,"Sắp đến hạn","Theo lịch"))))))))</f>
      </c>
      <c r="AE150" s="223">
        <f>IF($AV150="","",IF($B150="Định kỳ","Bình quân "&amp;IF($AV150&lt;1,MAX(1,ROUND($AV150*60,0))&amp;" phút",IF(ROUND($AV150,0)&lt;24,ROUND($AV150,0)&amp;" giờ",INT(ROUND($AV150,0)/24)&amp;" ngày"&amp;IF(MOD(ROUND($AV150,0),24)&gt;0," "&amp;MOD(ROUND($AV150,0),24)&amp;" giờ","")))&amp;" mỗi kỳ",IF($AV150&lt;1,MAX(1,ROUND($AV150*60,0))&amp;" phút",IF(ROUND($AV150,0)&lt;24,ROUND($AV150,0)&amp;" giờ",INT(ROUND($AV150,0)/24)&amp;" ngày"&amp;IF(MOD(ROUND($AV150,0),24)&gt;0," "&amp;MOD(ROUND($AV150,0),24)&amp;" giờ","")))))</f>
      </c>
      <c r="AF150" s="223">
        <f>IF(OR($A150="",N($AU150)=0),"",IF($AV150&lt;&gt;"",IF($AV150&lt;=$AU150,"Trong ước tính","Vượt "&amp;IF(($AV150-$AU150)&lt;1,MAX(1,ROUND(($AV150-$AU150)*60,0))&amp;" phút",IF(ROUND(($AV150-$AU150),0)&lt;24,ROUND(($AV150-$AU150),0)&amp;" giờ",INT(ROUND(($AV150-$AU150),0)/24)&amp;" ngày"&amp;IF(MOD(ROUND(($AV150-$AU150),0),24)&gt;0," "&amp;MOD(ROUND(($AV150-$AU150),0),24)&amp;" giờ","")))),IF(OR($B150&lt;&gt;"Đột xuất",$AA150="Hoàn thành",N($J150)=0),"",IF((TDBC-$J150)*24&gt;$AU150,"Đã vượt ước tính","Đã dùng "&amp;TEXT((TDBC-$J150)*24/$AU150,"0%")))))</f>
      </c>
      <c r="AG150" s="223">
        <f>IF(N($BB150)=0,"",CHOOSE($BB150,"Nhắc nhở","Cảnh báo","Báo động","Báo động đỏ"))</f>
      </c>
      <c r="AH150" s="223">
        <f>IF(OR($B150&lt;&gt;"Đột xuất",$AA150&lt;&gt;"Hoàn thành",N($X150)=0,$AW150=0),"",IF($X150&lt;=$AW150,"Đúng hạn","Trễ hạn"))</f>
      </c>
      <c r="AI150" s="220">
        <f>IF($A150="","",_xlfn.MAXIFS('Nhật ký tiến độ'!$B$6:$B$3005,'Nhật ký tiến độ'!$C$6:$C$3005,$A150))</f>
      </c>
      <c r="AJ150" s="225">
        <f>IF(OR($A150="",$B150&lt;&gt;"Định kỳ"),0,IFERROR(INDEX(DM_TanSuatNgay,MATCH($H150,DM_TanSuat,0)),0))</f>
      </c>
      <c r="AK150" s="225">
        <f>IF(OR($A150="",$B150&lt;&gt;"Định kỳ"),0,IFERROR(INDEX(DM_TanSuatThang,MATCH($H150,DM_TanSuat,0)),0))</f>
      </c>
      <c r="AL150" s="225">
        <f>IF(OR($A150="",$B150&lt;&gt;"Định kỳ",N($X150)=0,N($I150)=0),"",IF(INT($X150)&lt;$I150,0,IF($AJ150&gt;0,ROUND((INT($X150)-$I150)/$AJ150,0),IF($AK150&gt;0,ROUND((DATEDIF($I150,INT($X150),"m")+(INT($X150)-EDATE($I150,DATEDIF($I150,INT($X150),"m")))/(EDATE($I150,DATEDIF($I150,INT($X150),"m")+1)-EDATE($I150,DATEDIF($I150,INT($X150),"m"))))/$AK150,0),0))))</f>
      </c>
      <c r="AM150" s="225">
        <f>IF($A150="","",IF(COUNTIF('Nhật ký tiến độ'!$C$6:$C$3005,$A150)=0,0,_xlfn.MAXIFS('Nhật ký tiến độ'!$N$6:$N$3005,'Nhật ký tiến độ'!$C$6:$C$3005,$A150,'Nhật ký tiến độ'!$B$6:$B$3005,_xlfn.MAXIFS('Nhật ký tiến độ'!$B$6:$B$3005,'Nhật ký tiến độ'!$C$6:$C$3005,$A150))))</f>
      </c>
      <c r="AN150" s="225">
        <f>IF($A150="","",IF(N($AM150)=0,"",INDEX('Nhật ký tiến độ'!$E:$E,$AM150)))</f>
      </c>
      <c r="AO150" s="225">
        <f>IF($A150="",0,IF($AA150="Hoàn thành",0,1))</f>
      </c>
      <c r="AP150" s="225">
        <f>IF($AO150=0,0,INT(N($AW150)))</f>
      </c>
      <c r="AQ150" s="225">
        <f>IF(AND($AO150=1,$AJ150&gt;1),$AJ150,0)</f>
      </c>
      <c r="AR150" s="225">
        <f>IF(AND($AO150=1,$AJ150=1),1,0)</f>
      </c>
      <c r="AS150" s="225">
        <f>IF(OR($AO150=0,AND($AR150=1,N($BB150)=0)),"",IF(N($BB150)&gt;0,5-$BB150,IF($AD150="Chậm tiến độ",6,IF($AD150="Đến hạn hôm nay",7,IF(AND($AP150&gt;0,$AP150-NgayBC&lt;=7),8,"")))))</f>
      </c>
      <c r="AT150" s="225">
        <f>IF($AS150="","",$AS150*100000+$AP150+ROW()/100000)</f>
      </c>
      <c r="AU150" s="224">
        <f>IF(OR($A150="",N($R150)&lt;=0),"",IF($S150="Ngày",$R150*24,$R150))</f>
      </c>
      <c r="AV150" s="224">
        <f>IF($A150="","",IF($B150="Đột xuất",IF(OR($AA150&lt;&gt;"Hoàn thành",N($X150)=0,N($J150)=0),"",IF($X150&lt;$J150,"",($X150-$J150)*24)),IFERROR(AVERAGEIFS('Nhật ký tiến độ'!$H$6:$H$3005,'Nhật ký tiến độ'!$C$6:$C$3005,$A150,'Nhật ký tiến độ'!$H$6:$H$3005,"&gt;0"),"")))</f>
      </c>
      <c r="AW150" s="233">
        <f>IF($A150="",0,IF($B150="Đột xuất",$AY150,IF($AX150=0,0,$AX150+1-1/1440)))</f>
      </c>
      <c r="AX150" s="234">
        <f>IF(OR($A150="",$B150&lt;&gt;"Định kỳ",N($I150)=0),0,IF($AL150="",$I150,IF($AJ150&gt;0,$I150+($AL150+1)*$AJ150,IF($AK150&gt;0,EDATE($I150,($AL150+1)*$AK150),$I150))))</f>
      </c>
      <c r="AY150" s="233">
        <f>IF(OR($A150="",$B150&lt;&gt;"Đột xuất"),0,IF(N($K150)&gt;0,IF(MOD($K150,1)=0,$K150+1-1/1440,$K150),IF(N($J150)=0,0,$J150+IF(N($AU150)&gt;0,$AU150,IFERROR(INDEX(DM_SLA_Gio,MATCH($L150,DM_SLA_Cap,0)),168))/24)))</f>
      </c>
      <c r="AZ150" s="225">
        <f>IF(OR($A150="",TRIM($N150)="",COUNTIF('Phản ánh'!$K$6:$K$505,$N150)&gt;0,COUNTIF($N$6:$N150,$N150)&gt;1),0,1)</f>
      </c>
      <c r="BA150" s="225">
        <f>IF($AZ150=1,SUM($AZ$6:$AZ150),"")</f>
      </c>
      <c r="BB150" s="225">
        <f>IF(OR($AO150=0,N($AW150)=0),0,IF(TDBC&lt;=$AW150,0,MAX(1,MIN(4,IF((TDBC-$AW150)*24&lt;24,1,IF((TDBC-$AW150)*24&lt;72,2,IF((TDBC-$AW150)*24&lt;168,3,4)))+IF($B150="Đột xuất",IFERROR(INDEX({2,1,0,-1},MATCH($L150,{"Khẩn cấp","Cao","Trung bình","Thấp"},0)),0),IF($D150="PCCC và an ninh",1,0))))))</f>
      </c>
    </row>
    <row r="151">
      <c r="A151" s="216"/>
      <c r="B151" s="216"/>
      <c r="C151" s="218"/>
      <c r="D151" s="218"/>
      <c r="E151" s="218"/>
      <c r="F151" s="216"/>
      <c r="G151" s="218"/>
      <c r="H151" s="218"/>
      <c r="I151" s="231"/>
      <c r="J151" s="217"/>
      <c r="K151" s="217"/>
      <c r="L151" s="216"/>
      <c r="M151" s="216"/>
      <c r="N151" s="218"/>
      <c r="O151" s="218"/>
      <c r="P151" s="218"/>
      <c r="Q151" s="218"/>
      <c r="R151" s="219"/>
      <c r="S151" s="216"/>
      <c r="T151" s="232"/>
      <c r="U151" s="232"/>
      <c r="V151" s="218"/>
      <c r="W151" s="218"/>
      <c r="X151" s="220">
        <f>IF($A151="","",IF(OR($B151="Định kỳ",$AA151="Hoàn thành"),MAX(_xlfn.MAXIFS('Nhật ký tiến độ'!$B$6:$B$3005,'Nhật ký tiến độ'!$C$6:$C$3005,$A151,'Nhật ký tiến độ'!$E$6:$E$3005,"Hoàn thành kỳ"),_xlfn.MAXIFS('Nhật ký tiến độ'!$B$6:$B$3005,'Nhật ký tiến độ'!$C$6:$C$3005,$A151,'Nhật ký tiến độ'!$E$6:$E$3005,"Hoàn thành")),0))</f>
      </c>
      <c r="Y151" s="220">
        <f>IF($A151="","",IF($B151="Đột xuất",IF($AY151=0,"",$AY151),IF($AX151=0,"",$AX151)))</f>
      </c>
      <c r="Z151" s="223">
        <f>IF(OR($AO151=0,$AW151=0),"",IF(TDBC&gt;$AW151,"Quá "&amp;IF($B151="Định kỳ",(NgayBC-$AP151)&amp;" ngày",IF(((TDBC-$AW151)*24)&lt;1,MAX(1,ROUND(((TDBC-$AW151)*24)*60,0))&amp;" phút",IF(ROUND(((TDBC-$AW151)*24),0)&lt;24,ROUND(((TDBC-$AW151)*24),0)&amp;" giờ",INT(ROUND(((TDBC-$AW151)*24),0)/24)&amp;" ngày"&amp;IF(MOD(ROUND(((TDBC-$AW151)*24),0),24)&gt;0," "&amp;MOD(ROUND(((TDBC-$AW151)*24),0),24)&amp;" giờ","")))),IF($B151="Định kỳ",IF($AP151=NgayBC,"Hôm nay","Còn "&amp;($AP151-NgayBC)&amp;" ngày"),"Còn "&amp;IF((($AW151-TDBC)*24)&lt;1,MAX(1,ROUND((($AW151-TDBC)*24)*60,0))&amp;" phút",IF(ROUND((($AW151-TDBC)*24),0)&lt;24,ROUND((($AW151-TDBC)*24),0)&amp;" giờ",INT(ROUND((($AW151-TDBC)*24),0)/24)&amp;" ngày"&amp;IF(MOD(ROUND((($AW151-TDBC)*24),0),24)&gt;0," "&amp;MOD(ROUND((($AW151-TDBC)*24),0),24)&amp;" giờ",""))))))</f>
      </c>
      <c r="AA151" s="221">
        <f>IF($A151="","",IF(N($AM151)=0,"Chưa bắt đầu",IF(OR($AN151="Hoàn thành kỳ",$AN151="Hoàn thành"),IF($B151="Định kỳ","Chưa bắt đầu","Hoàn thành"),$AN151)))</f>
      </c>
      <c r="AB151" s="222">
        <f>IF($A151="","",IF($AA151="Hoàn thành",1,IF(OR(N($AM151)=0,$AN151="Hoàn thành kỳ",$AN151="Hoàn thành"),0,N(INDEX('Nhật ký tiến độ'!$D:$D,$AM151)))))</f>
      </c>
      <c r="AC151" s="222">
        <f>IF(OR($A151="",$B151&lt;&gt;"Đột xuất",$AA151="Hoàn thành",N($J151)=0,$AW151=0),"",IF(TDBC&lt;=$J151,0,IF(TDBC&gt;=$AW151,1,(TDBC-$J151)/($AW151-$J151))))</f>
      </c>
      <c r="AD151" s="223">
        <f>IF($A151="","",IF($AA151="Hoàn thành","Hoàn thành",IF($AW151=0,"Chưa đặt hạn",IF(TDBC&gt;$AW151,"Quá hạn",IF(AND($B151="Đột xuất",ROUND((N($AC151)-$AB151)*100,0)&gt;=20),"Chậm tiến độ",IF($AP151=NgayBC,"Đến hạn hôm nay",IF($B151="Đột xuất",IF($AW151-TDBC&lt;=1,"Sắp đến hạn","Đúng tiến độ"),IF($AP151-NgayBC&lt;=3,"Sắp đến hạn","Theo lịch"))))))))</f>
      </c>
      <c r="AE151" s="223">
        <f>IF($AV151="","",IF($B151="Định kỳ","Bình quân "&amp;IF($AV151&lt;1,MAX(1,ROUND($AV151*60,0))&amp;" phút",IF(ROUND($AV151,0)&lt;24,ROUND($AV151,0)&amp;" giờ",INT(ROUND($AV151,0)/24)&amp;" ngày"&amp;IF(MOD(ROUND($AV151,0),24)&gt;0," "&amp;MOD(ROUND($AV151,0),24)&amp;" giờ","")))&amp;" mỗi kỳ",IF($AV151&lt;1,MAX(1,ROUND($AV151*60,0))&amp;" phút",IF(ROUND($AV151,0)&lt;24,ROUND($AV151,0)&amp;" giờ",INT(ROUND($AV151,0)/24)&amp;" ngày"&amp;IF(MOD(ROUND($AV151,0),24)&gt;0," "&amp;MOD(ROUND($AV151,0),24)&amp;" giờ","")))))</f>
      </c>
      <c r="AF151" s="223">
        <f>IF(OR($A151="",N($AU151)=0),"",IF($AV151&lt;&gt;"",IF($AV151&lt;=$AU151,"Trong ước tính","Vượt "&amp;IF(($AV151-$AU151)&lt;1,MAX(1,ROUND(($AV151-$AU151)*60,0))&amp;" phút",IF(ROUND(($AV151-$AU151),0)&lt;24,ROUND(($AV151-$AU151),0)&amp;" giờ",INT(ROUND(($AV151-$AU151),0)/24)&amp;" ngày"&amp;IF(MOD(ROUND(($AV151-$AU151),0),24)&gt;0," "&amp;MOD(ROUND(($AV151-$AU151),0),24)&amp;" giờ","")))),IF(OR($B151&lt;&gt;"Đột xuất",$AA151="Hoàn thành",N($J151)=0),"",IF((TDBC-$J151)*24&gt;$AU151,"Đã vượt ước tính","Đã dùng "&amp;TEXT((TDBC-$J151)*24/$AU151,"0%")))))</f>
      </c>
      <c r="AG151" s="223">
        <f>IF(N($BB151)=0,"",CHOOSE($BB151,"Nhắc nhở","Cảnh báo","Báo động","Báo động đỏ"))</f>
      </c>
      <c r="AH151" s="223">
        <f>IF(OR($B151&lt;&gt;"Đột xuất",$AA151&lt;&gt;"Hoàn thành",N($X151)=0,$AW151=0),"",IF($X151&lt;=$AW151,"Đúng hạn","Trễ hạn"))</f>
      </c>
      <c r="AI151" s="220">
        <f>IF($A151="","",_xlfn.MAXIFS('Nhật ký tiến độ'!$B$6:$B$3005,'Nhật ký tiến độ'!$C$6:$C$3005,$A151))</f>
      </c>
      <c r="AJ151" s="225">
        <f>IF(OR($A151="",$B151&lt;&gt;"Định kỳ"),0,IFERROR(INDEX(DM_TanSuatNgay,MATCH($H151,DM_TanSuat,0)),0))</f>
      </c>
      <c r="AK151" s="225">
        <f>IF(OR($A151="",$B151&lt;&gt;"Định kỳ"),0,IFERROR(INDEX(DM_TanSuatThang,MATCH($H151,DM_TanSuat,0)),0))</f>
      </c>
      <c r="AL151" s="225">
        <f>IF(OR($A151="",$B151&lt;&gt;"Định kỳ",N($X151)=0,N($I151)=0),"",IF(INT($X151)&lt;$I151,0,IF($AJ151&gt;0,ROUND((INT($X151)-$I151)/$AJ151,0),IF($AK151&gt;0,ROUND((DATEDIF($I151,INT($X151),"m")+(INT($X151)-EDATE($I151,DATEDIF($I151,INT($X151),"m")))/(EDATE($I151,DATEDIF($I151,INT($X151),"m")+1)-EDATE($I151,DATEDIF($I151,INT($X151),"m"))))/$AK151,0),0))))</f>
      </c>
      <c r="AM151" s="225">
        <f>IF($A151="","",IF(COUNTIF('Nhật ký tiến độ'!$C$6:$C$3005,$A151)=0,0,_xlfn.MAXIFS('Nhật ký tiến độ'!$N$6:$N$3005,'Nhật ký tiến độ'!$C$6:$C$3005,$A151,'Nhật ký tiến độ'!$B$6:$B$3005,_xlfn.MAXIFS('Nhật ký tiến độ'!$B$6:$B$3005,'Nhật ký tiến độ'!$C$6:$C$3005,$A151))))</f>
      </c>
      <c r="AN151" s="225">
        <f>IF($A151="","",IF(N($AM151)=0,"",INDEX('Nhật ký tiến độ'!$E:$E,$AM151)))</f>
      </c>
      <c r="AO151" s="225">
        <f>IF($A151="",0,IF($AA151="Hoàn thành",0,1))</f>
      </c>
      <c r="AP151" s="225">
        <f>IF($AO151=0,0,INT(N($AW151)))</f>
      </c>
      <c r="AQ151" s="225">
        <f>IF(AND($AO151=1,$AJ151&gt;1),$AJ151,0)</f>
      </c>
      <c r="AR151" s="225">
        <f>IF(AND($AO151=1,$AJ151=1),1,0)</f>
      </c>
      <c r="AS151" s="225">
        <f>IF(OR($AO151=0,AND($AR151=1,N($BB151)=0)),"",IF(N($BB151)&gt;0,5-$BB151,IF($AD151="Chậm tiến độ",6,IF($AD151="Đến hạn hôm nay",7,IF(AND($AP151&gt;0,$AP151-NgayBC&lt;=7),8,"")))))</f>
      </c>
      <c r="AT151" s="225">
        <f>IF($AS151="","",$AS151*100000+$AP151+ROW()/100000)</f>
      </c>
      <c r="AU151" s="224">
        <f>IF(OR($A151="",N($R151)&lt;=0),"",IF($S151="Ngày",$R151*24,$R151))</f>
      </c>
      <c r="AV151" s="224">
        <f>IF($A151="","",IF($B151="Đột xuất",IF(OR($AA151&lt;&gt;"Hoàn thành",N($X151)=0,N($J151)=0),"",IF($X151&lt;$J151,"",($X151-$J151)*24)),IFERROR(AVERAGEIFS('Nhật ký tiến độ'!$H$6:$H$3005,'Nhật ký tiến độ'!$C$6:$C$3005,$A151,'Nhật ký tiến độ'!$H$6:$H$3005,"&gt;0"),"")))</f>
      </c>
      <c r="AW151" s="233">
        <f>IF($A151="",0,IF($B151="Đột xuất",$AY151,IF($AX151=0,0,$AX151+1-1/1440)))</f>
      </c>
      <c r="AX151" s="234">
        <f>IF(OR($A151="",$B151&lt;&gt;"Định kỳ",N($I151)=0),0,IF($AL151="",$I151,IF($AJ151&gt;0,$I151+($AL151+1)*$AJ151,IF($AK151&gt;0,EDATE($I151,($AL151+1)*$AK151),$I151))))</f>
      </c>
      <c r="AY151" s="233">
        <f>IF(OR($A151="",$B151&lt;&gt;"Đột xuất"),0,IF(N($K151)&gt;0,IF(MOD($K151,1)=0,$K151+1-1/1440,$K151),IF(N($J151)=0,0,$J151+IF(N($AU151)&gt;0,$AU151,IFERROR(INDEX(DM_SLA_Gio,MATCH($L151,DM_SLA_Cap,0)),168))/24)))</f>
      </c>
      <c r="AZ151" s="225">
        <f>IF(OR($A151="",TRIM($N151)="",COUNTIF('Phản ánh'!$K$6:$K$505,$N151)&gt;0,COUNTIF($N$6:$N151,$N151)&gt;1),0,1)</f>
      </c>
      <c r="BA151" s="225">
        <f>IF($AZ151=1,SUM($AZ$6:$AZ151),"")</f>
      </c>
      <c r="BB151" s="225">
        <f>IF(OR($AO151=0,N($AW151)=0),0,IF(TDBC&lt;=$AW151,0,MAX(1,MIN(4,IF((TDBC-$AW151)*24&lt;24,1,IF((TDBC-$AW151)*24&lt;72,2,IF((TDBC-$AW151)*24&lt;168,3,4)))+IF($B151="Đột xuất",IFERROR(INDEX({2,1,0,-1},MATCH($L151,{"Khẩn cấp","Cao","Trung bình","Thấp"},0)),0),IF($D151="PCCC và an ninh",1,0))))))</f>
      </c>
    </row>
    <row r="152">
      <c r="A152" s="216"/>
      <c r="B152" s="216"/>
      <c r="C152" s="218"/>
      <c r="D152" s="218"/>
      <c r="E152" s="218"/>
      <c r="F152" s="216"/>
      <c r="G152" s="218"/>
      <c r="H152" s="218"/>
      <c r="I152" s="231"/>
      <c r="J152" s="217"/>
      <c r="K152" s="217"/>
      <c r="L152" s="216"/>
      <c r="M152" s="216"/>
      <c r="N152" s="218"/>
      <c r="O152" s="218"/>
      <c r="P152" s="218"/>
      <c r="Q152" s="218"/>
      <c r="R152" s="219"/>
      <c r="S152" s="216"/>
      <c r="T152" s="232"/>
      <c r="U152" s="232"/>
      <c r="V152" s="218"/>
      <c r="W152" s="218"/>
      <c r="X152" s="220">
        <f>IF($A152="","",IF(OR($B152="Định kỳ",$AA152="Hoàn thành"),MAX(_xlfn.MAXIFS('Nhật ký tiến độ'!$B$6:$B$3005,'Nhật ký tiến độ'!$C$6:$C$3005,$A152,'Nhật ký tiến độ'!$E$6:$E$3005,"Hoàn thành kỳ"),_xlfn.MAXIFS('Nhật ký tiến độ'!$B$6:$B$3005,'Nhật ký tiến độ'!$C$6:$C$3005,$A152,'Nhật ký tiến độ'!$E$6:$E$3005,"Hoàn thành")),0))</f>
      </c>
      <c r="Y152" s="220">
        <f>IF($A152="","",IF($B152="Đột xuất",IF($AY152=0,"",$AY152),IF($AX152=0,"",$AX152)))</f>
      </c>
      <c r="Z152" s="223">
        <f>IF(OR($AO152=0,$AW152=0),"",IF(TDBC&gt;$AW152,"Quá "&amp;IF($B152="Định kỳ",(NgayBC-$AP152)&amp;" ngày",IF(((TDBC-$AW152)*24)&lt;1,MAX(1,ROUND(((TDBC-$AW152)*24)*60,0))&amp;" phút",IF(ROUND(((TDBC-$AW152)*24),0)&lt;24,ROUND(((TDBC-$AW152)*24),0)&amp;" giờ",INT(ROUND(((TDBC-$AW152)*24),0)/24)&amp;" ngày"&amp;IF(MOD(ROUND(((TDBC-$AW152)*24),0),24)&gt;0," "&amp;MOD(ROUND(((TDBC-$AW152)*24),0),24)&amp;" giờ","")))),IF($B152="Định kỳ",IF($AP152=NgayBC,"Hôm nay","Còn "&amp;($AP152-NgayBC)&amp;" ngày"),"Còn "&amp;IF((($AW152-TDBC)*24)&lt;1,MAX(1,ROUND((($AW152-TDBC)*24)*60,0))&amp;" phút",IF(ROUND((($AW152-TDBC)*24),0)&lt;24,ROUND((($AW152-TDBC)*24),0)&amp;" giờ",INT(ROUND((($AW152-TDBC)*24),0)/24)&amp;" ngày"&amp;IF(MOD(ROUND((($AW152-TDBC)*24),0),24)&gt;0," "&amp;MOD(ROUND((($AW152-TDBC)*24),0),24)&amp;" giờ",""))))))</f>
      </c>
      <c r="AA152" s="221">
        <f>IF($A152="","",IF(N($AM152)=0,"Chưa bắt đầu",IF(OR($AN152="Hoàn thành kỳ",$AN152="Hoàn thành"),IF($B152="Định kỳ","Chưa bắt đầu","Hoàn thành"),$AN152)))</f>
      </c>
      <c r="AB152" s="222">
        <f>IF($A152="","",IF($AA152="Hoàn thành",1,IF(OR(N($AM152)=0,$AN152="Hoàn thành kỳ",$AN152="Hoàn thành"),0,N(INDEX('Nhật ký tiến độ'!$D:$D,$AM152)))))</f>
      </c>
      <c r="AC152" s="222">
        <f>IF(OR($A152="",$B152&lt;&gt;"Đột xuất",$AA152="Hoàn thành",N($J152)=0,$AW152=0),"",IF(TDBC&lt;=$J152,0,IF(TDBC&gt;=$AW152,1,(TDBC-$J152)/($AW152-$J152))))</f>
      </c>
      <c r="AD152" s="223">
        <f>IF($A152="","",IF($AA152="Hoàn thành","Hoàn thành",IF($AW152=0,"Chưa đặt hạn",IF(TDBC&gt;$AW152,"Quá hạn",IF(AND($B152="Đột xuất",ROUND((N($AC152)-$AB152)*100,0)&gt;=20),"Chậm tiến độ",IF($AP152=NgayBC,"Đến hạn hôm nay",IF($B152="Đột xuất",IF($AW152-TDBC&lt;=1,"Sắp đến hạn","Đúng tiến độ"),IF($AP152-NgayBC&lt;=3,"Sắp đến hạn","Theo lịch"))))))))</f>
      </c>
      <c r="AE152" s="223">
        <f>IF($AV152="","",IF($B152="Định kỳ","Bình quân "&amp;IF($AV152&lt;1,MAX(1,ROUND($AV152*60,0))&amp;" phút",IF(ROUND($AV152,0)&lt;24,ROUND($AV152,0)&amp;" giờ",INT(ROUND($AV152,0)/24)&amp;" ngày"&amp;IF(MOD(ROUND($AV152,0),24)&gt;0," "&amp;MOD(ROUND($AV152,0),24)&amp;" giờ","")))&amp;" mỗi kỳ",IF($AV152&lt;1,MAX(1,ROUND($AV152*60,0))&amp;" phút",IF(ROUND($AV152,0)&lt;24,ROUND($AV152,0)&amp;" giờ",INT(ROUND($AV152,0)/24)&amp;" ngày"&amp;IF(MOD(ROUND($AV152,0),24)&gt;0," "&amp;MOD(ROUND($AV152,0),24)&amp;" giờ","")))))</f>
      </c>
      <c r="AF152" s="223">
        <f>IF(OR($A152="",N($AU152)=0),"",IF($AV152&lt;&gt;"",IF($AV152&lt;=$AU152,"Trong ước tính","Vượt "&amp;IF(($AV152-$AU152)&lt;1,MAX(1,ROUND(($AV152-$AU152)*60,0))&amp;" phút",IF(ROUND(($AV152-$AU152),0)&lt;24,ROUND(($AV152-$AU152),0)&amp;" giờ",INT(ROUND(($AV152-$AU152),0)/24)&amp;" ngày"&amp;IF(MOD(ROUND(($AV152-$AU152),0),24)&gt;0," "&amp;MOD(ROUND(($AV152-$AU152),0),24)&amp;" giờ","")))),IF(OR($B152&lt;&gt;"Đột xuất",$AA152="Hoàn thành",N($J152)=0),"",IF((TDBC-$J152)*24&gt;$AU152,"Đã vượt ước tính","Đã dùng "&amp;TEXT((TDBC-$J152)*24/$AU152,"0%")))))</f>
      </c>
      <c r="AG152" s="223">
        <f>IF(N($BB152)=0,"",CHOOSE($BB152,"Nhắc nhở","Cảnh báo","Báo động","Báo động đỏ"))</f>
      </c>
      <c r="AH152" s="223">
        <f>IF(OR($B152&lt;&gt;"Đột xuất",$AA152&lt;&gt;"Hoàn thành",N($X152)=0,$AW152=0),"",IF($X152&lt;=$AW152,"Đúng hạn","Trễ hạn"))</f>
      </c>
      <c r="AI152" s="220">
        <f>IF($A152="","",_xlfn.MAXIFS('Nhật ký tiến độ'!$B$6:$B$3005,'Nhật ký tiến độ'!$C$6:$C$3005,$A152))</f>
      </c>
      <c r="AJ152" s="225">
        <f>IF(OR($A152="",$B152&lt;&gt;"Định kỳ"),0,IFERROR(INDEX(DM_TanSuatNgay,MATCH($H152,DM_TanSuat,0)),0))</f>
      </c>
      <c r="AK152" s="225">
        <f>IF(OR($A152="",$B152&lt;&gt;"Định kỳ"),0,IFERROR(INDEX(DM_TanSuatThang,MATCH($H152,DM_TanSuat,0)),0))</f>
      </c>
      <c r="AL152" s="225">
        <f>IF(OR($A152="",$B152&lt;&gt;"Định kỳ",N($X152)=0,N($I152)=0),"",IF(INT($X152)&lt;$I152,0,IF($AJ152&gt;0,ROUND((INT($X152)-$I152)/$AJ152,0),IF($AK152&gt;0,ROUND((DATEDIF($I152,INT($X152),"m")+(INT($X152)-EDATE($I152,DATEDIF($I152,INT($X152),"m")))/(EDATE($I152,DATEDIF($I152,INT($X152),"m")+1)-EDATE($I152,DATEDIF($I152,INT($X152),"m"))))/$AK152,0),0))))</f>
      </c>
      <c r="AM152" s="225">
        <f>IF($A152="","",IF(COUNTIF('Nhật ký tiến độ'!$C$6:$C$3005,$A152)=0,0,_xlfn.MAXIFS('Nhật ký tiến độ'!$N$6:$N$3005,'Nhật ký tiến độ'!$C$6:$C$3005,$A152,'Nhật ký tiến độ'!$B$6:$B$3005,_xlfn.MAXIFS('Nhật ký tiến độ'!$B$6:$B$3005,'Nhật ký tiến độ'!$C$6:$C$3005,$A152))))</f>
      </c>
      <c r="AN152" s="225">
        <f>IF($A152="","",IF(N($AM152)=0,"",INDEX('Nhật ký tiến độ'!$E:$E,$AM152)))</f>
      </c>
      <c r="AO152" s="225">
        <f>IF($A152="",0,IF($AA152="Hoàn thành",0,1))</f>
      </c>
      <c r="AP152" s="225">
        <f>IF($AO152=0,0,INT(N($AW152)))</f>
      </c>
      <c r="AQ152" s="225">
        <f>IF(AND($AO152=1,$AJ152&gt;1),$AJ152,0)</f>
      </c>
      <c r="AR152" s="225">
        <f>IF(AND($AO152=1,$AJ152=1),1,0)</f>
      </c>
      <c r="AS152" s="225">
        <f>IF(OR($AO152=0,AND($AR152=1,N($BB152)=0)),"",IF(N($BB152)&gt;0,5-$BB152,IF($AD152="Chậm tiến độ",6,IF($AD152="Đến hạn hôm nay",7,IF(AND($AP152&gt;0,$AP152-NgayBC&lt;=7),8,"")))))</f>
      </c>
      <c r="AT152" s="225">
        <f>IF($AS152="","",$AS152*100000+$AP152+ROW()/100000)</f>
      </c>
      <c r="AU152" s="224">
        <f>IF(OR($A152="",N($R152)&lt;=0),"",IF($S152="Ngày",$R152*24,$R152))</f>
      </c>
      <c r="AV152" s="224">
        <f>IF($A152="","",IF($B152="Đột xuất",IF(OR($AA152&lt;&gt;"Hoàn thành",N($X152)=0,N($J152)=0),"",IF($X152&lt;$J152,"",($X152-$J152)*24)),IFERROR(AVERAGEIFS('Nhật ký tiến độ'!$H$6:$H$3005,'Nhật ký tiến độ'!$C$6:$C$3005,$A152,'Nhật ký tiến độ'!$H$6:$H$3005,"&gt;0"),"")))</f>
      </c>
      <c r="AW152" s="233">
        <f>IF($A152="",0,IF($B152="Đột xuất",$AY152,IF($AX152=0,0,$AX152+1-1/1440)))</f>
      </c>
      <c r="AX152" s="234">
        <f>IF(OR($A152="",$B152&lt;&gt;"Định kỳ",N($I152)=0),0,IF($AL152="",$I152,IF($AJ152&gt;0,$I152+($AL152+1)*$AJ152,IF($AK152&gt;0,EDATE($I152,($AL152+1)*$AK152),$I152))))</f>
      </c>
      <c r="AY152" s="233">
        <f>IF(OR($A152="",$B152&lt;&gt;"Đột xuất"),0,IF(N($K152)&gt;0,IF(MOD($K152,1)=0,$K152+1-1/1440,$K152),IF(N($J152)=0,0,$J152+IF(N($AU152)&gt;0,$AU152,IFERROR(INDEX(DM_SLA_Gio,MATCH($L152,DM_SLA_Cap,0)),168))/24)))</f>
      </c>
      <c r="AZ152" s="225">
        <f>IF(OR($A152="",TRIM($N152)="",COUNTIF('Phản ánh'!$K$6:$K$505,$N152)&gt;0,COUNTIF($N$6:$N152,$N152)&gt;1),0,1)</f>
      </c>
      <c r="BA152" s="225">
        <f>IF($AZ152=1,SUM($AZ$6:$AZ152),"")</f>
      </c>
      <c r="BB152" s="225">
        <f>IF(OR($AO152=0,N($AW152)=0),0,IF(TDBC&lt;=$AW152,0,MAX(1,MIN(4,IF((TDBC-$AW152)*24&lt;24,1,IF((TDBC-$AW152)*24&lt;72,2,IF((TDBC-$AW152)*24&lt;168,3,4)))+IF($B152="Đột xuất",IFERROR(INDEX({2,1,0,-1},MATCH($L152,{"Khẩn cấp","Cao","Trung bình","Thấp"},0)),0),IF($D152="PCCC và an ninh",1,0))))))</f>
      </c>
    </row>
    <row r="153">
      <c r="A153" s="216"/>
      <c r="B153" s="216"/>
      <c r="C153" s="218"/>
      <c r="D153" s="218"/>
      <c r="E153" s="218"/>
      <c r="F153" s="216"/>
      <c r="G153" s="218"/>
      <c r="H153" s="218"/>
      <c r="I153" s="231"/>
      <c r="J153" s="217"/>
      <c r="K153" s="217"/>
      <c r="L153" s="216"/>
      <c r="M153" s="216"/>
      <c r="N153" s="218"/>
      <c r="O153" s="218"/>
      <c r="P153" s="218"/>
      <c r="Q153" s="218"/>
      <c r="R153" s="219"/>
      <c r="S153" s="216"/>
      <c r="T153" s="232"/>
      <c r="U153" s="232"/>
      <c r="V153" s="218"/>
      <c r="W153" s="218"/>
      <c r="X153" s="220">
        <f>IF($A153="","",IF(OR($B153="Định kỳ",$AA153="Hoàn thành"),MAX(_xlfn.MAXIFS('Nhật ký tiến độ'!$B$6:$B$3005,'Nhật ký tiến độ'!$C$6:$C$3005,$A153,'Nhật ký tiến độ'!$E$6:$E$3005,"Hoàn thành kỳ"),_xlfn.MAXIFS('Nhật ký tiến độ'!$B$6:$B$3005,'Nhật ký tiến độ'!$C$6:$C$3005,$A153,'Nhật ký tiến độ'!$E$6:$E$3005,"Hoàn thành")),0))</f>
      </c>
      <c r="Y153" s="220">
        <f>IF($A153="","",IF($B153="Đột xuất",IF($AY153=0,"",$AY153),IF($AX153=0,"",$AX153)))</f>
      </c>
      <c r="Z153" s="223">
        <f>IF(OR($AO153=0,$AW153=0),"",IF(TDBC&gt;$AW153,"Quá "&amp;IF($B153="Định kỳ",(NgayBC-$AP153)&amp;" ngày",IF(((TDBC-$AW153)*24)&lt;1,MAX(1,ROUND(((TDBC-$AW153)*24)*60,0))&amp;" phút",IF(ROUND(((TDBC-$AW153)*24),0)&lt;24,ROUND(((TDBC-$AW153)*24),0)&amp;" giờ",INT(ROUND(((TDBC-$AW153)*24),0)/24)&amp;" ngày"&amp;IF(MOD(ROUND(((TDBC-$AW153)*24),0),24)&gt;0," "&amp;MOD(ROUND(((TDBC-$AW153)*24),0),24)&amp;" giờ","")))),IF($B153="Định kỳ",IF($AP153=NgayBC,"Hôm nay","Còn "&amp;($AP153-NgayBC)&amp;" ngày"),"Còn "&amp;IF((($AW153-TDBC)*24)&lt;1,MAX(1,ROUND((($AW153-TDBC)*24)*60,0))&amp;" phút",IF(ROUND((($AW153-TDBC)*24),0)&lt;24,ROUND((($AW153-TDBC)*24),0)&amp;" giờ",INT(ROUND((($AW153-TDBC)*24),0)/24)&amp;" ngày"&amp;IF(MOD(ROUND((($AW153-TDBC)*24),0),24)&gt;0," "&amp;MOD(ROUND((($AW153-TDBC)*24),0),24)&amp;" giờ",""))))))</f>
      </c>
      <c r="AA153" s="221">
        <f>IF($A153="","",IF(N($AM153)=0,"Chưa bắt đầu",IF(OR($AN153="Hoàn thành kỳ",$AN153="Hoàn thành"),IF($B153="Định kỳ","Chưa bắt đầu","Hoàn thành"),$AN153)))</f>
      </c>
      <c r="AB153" s="222">
        <f>IF($A153="","",IF($AA153="Hoàn thành",1,IF(OR(N($AM153)=0,$AN153="Hoàn thành kỳ",$AN153="Hoàn thành"),0,N(INDEX('Nhật ký tiến độ'!$D:$D,$AM153)))))</f>
      </c>
      <c r="AC153" s="222">
        <f>IF(OR($A153="",$B153&lt;&gt;"Đột xuất",$AA153="Hoàn thành",N($J153)=0,$AW153=0),"",IF(TDBC&lt;=$J153,0,IF(TDBC&gt;=$AW153,1,(TDBC-$J153)/($AW153-$J153))))</f>
      </c>
      <c r="AD153" s="223">
        <f>IF($A153="","",IF($AA153="Hoàn thành","Hoàn thành",IF($AW153=0,"Chưa đặt hạn",IF(TDBC&gt;$AW153,"Quá hạn",IF(AND($B153="Đột xuất",ROUND((N($AC153)-$AB153)*100,0)&gt;=20),"Chậm tiến độ",IF($AP153=NgayBC,"Đến hạn hôm nay",IF($B153="Đột xuất",IF($AW153-TDBC&lt;=1,"Sắp đến hạn","Đúng tiến độ"),IF($AP153-NgayBC&lt;=3,"Sắp đến hạn","Theo lịch"))))))))</f>
      </c>
      <c r="AE153" s="223">
        <f>IF($AV153="","",IF($B153="Định kỳ","Bình quân "&amp;IF($AV153&lt;1,MAX(1,ROUND($AV153*60,0))&amp;" phút",IF(ROUND($AV153,0)&lt;24,ROUND($AV153,0)&amp;" giờ",INT(ROUND($AV153,0)/24)&amp;" ngày"&amp;IF(MOD(ROUND($AV153,0),24)&gt;0," "&amp;MOD(ROUND($AV153,0),24)&amp;" giờ","")))&amp;" mỗi kỳ",IF($AV153&lt;1,MAX(1,ROUND($AV153*60,0))&amp;" phút",IF(ROUND($AV153,0)&lt;24,ROUND($AV153,0)&amp;" giờ",INT(ROUND($AV153,0)/24)&amp;" ngày"&amp;IF(MOD(ROUND($AV153,0),24)&gt;0," "&amp;MOD(ROUND($AV153,0),24)&amp;" giờ","")))))</f>
      </c>
      <c r="AF153" s="223">
        <f>IF(OR($A153="",N($AU153)=0),"",IF($AV153&lt;&gt;"",IF($AV153&lt;=$AU153,"Trong ước tính","Vượt "&amp;IF(($AV153-$AU153)&lt;1,MAX(1,ROUND(($AV153-$AU153)*60,0))&amp;" phút",IF(ROUND(($AV153-$AU153),0)&lt;24,ROUND(($AV153-$AU153),0)&amp;" giờ",INT(ROUND(($AV153-$AU153),0)/24)&amp;" ngày"&amp;IF(MOD(ROUND(($AV153-$AU153),0),24)&gt;0," "&amp;MOD(ROUND(($AV153-$AU153),0),24)&amp;" giờ","")))),IF(OR($B153&lt;&gt;"Đột xuất",$AA153="Hoàn thành",N($J153)=0),"",IF((TDBC-$J153)*24&gt;$AU153,"Đã vượt ước tính","Đã dùng "&amp;TEXT((TDBC-$J153)*24/$AU153,"0%")))))</f>
      </c>
      <c r="AG153" s="223">
        <f>IF(N($BB153)=0,"",CHOOSE($BB153,"Nhắc nhở","Cảnh báo","Báo động","Báo động đỏ"))</f>
      </c>
      <c r="AH153" s="223">
        <f>IF(OR($B153&lt;&gt;"Đột xuất",$AA153&lt;&gt;"Hoàn thành",N($X153)=0,$AW153=0),"",IF($X153&lt;=$AW153,"Đúng hạn","Trễ hạn"))</f>
      </c>
      <c r="AI153" s="220">
        <f>IF($A153="","",_xlfn.MAXIFS('Nhật ký tiến độ'!$B$6:$B$3005,'Nhật ký tiến độ'!$C$6:$C$3005,$A153))</f>
      </c>
      <c r="AJ153" s="225">
        <f>IF(OR($A153="",$B153&lt;&gt;"Định kỳ"),0,IFERROR(INDEX(DM_TanSuatNgay,MATCH($H153,DM_TanSuat,0)),0))</f>
      </c>
      <c r="AK153" s="225">
        <f>IF(OR($A153="",$B153&lt;&gt;"Định kỳ"),0,IFERROR(INDEX(DM_TanSuatThang,MATCH($H153,DM_TanSuat,0)),0))</f>
      </c>
      <c r="AL153" s="225">
        <f>IF(OR($A153="",$B153&lt;&gt;"Định kỳ",N($X153)=0,N($I153)=0),"",IF(INT($X153)&lt;$I153,0,IF($AJ153&gt;0,ROUND((INT($X153)-$I153)/$AJ153,0),IF($AK153&gt;0,ROUND((DATEDIF($I153,INT($X153),"m")+(INT($X153)-EDATE($I153,DATEDIF($I153,INT($X153),"m")))/(EDATE($I153,DATEDIF($I153,INT($X153),"m")+1)-EDATE($I153,DATEDIF($I153,INT($X153),"m"))))/$AK153,0),0))))</f>
      </c>
      <c r="AM153" s="225">
        <f>IF($A153="","",IF(COUNTIF('Nhật ký tiến độ'!$C$6:$C$3005,$A153)=0,0,_xlfn.MAXIFS('Nhật ký tiến độ'!$N$6:$N$3005,'Nhật ký tiến độ'!$C$6:$C$3005,$A153,'Nhật ký tiến độ'!$B$6:$B$3005,_xlfn.MAXIFS('Nhật ký tiến độ'!$B$6:$B$3005,'Nhật ký tiến độ'!$C$6:$C$3005,$A153))))</f>
      </c>
      <c r="AN153" s="225">
        <f>IF($A153="","",IF(N($AM153)=0,"",INDEX('Nhật ký tiến độ'!$E:$E,$AM153)))</f>
      </c>
      <c r="AO153" s="225">
        <f>IF($A153="",0,IF($AA153="Hoàn thành",0,1))</f>
      </c>
      <c r="AP153" s="225">
        <f>IF($AO153=0,0,INT(N($AW153)))</f>
      </c>
      <c r="AQ153" s="225">
        <f>IF(AND($AO153=1,$AJ153&gt;1),$AJ153,0)</f>
      </c>
      <c r="AR153" s="225">
        <f>IF(AND($AO153=1,$AJ153=1),1,0)</f>
      </c>
      <c r="AS153" s="225">
        <f>IF(OR($AO153=0,AND($AR153=1,N($BB153)=0)),"",IF(N($BB153)&gt;0,5-$BB153,IF($AD153="Chậm tiến độ",6,IF($AD153="Đến hạn hôm nay",7,IF(AND($AP153&gt;0,$AP153-NgayBC&lt;=7),8,"")))))</f>
      </c>
      <c r="AT153" s="225">
        <f>IF($AS153="","",$AS153*100000+$AP153+ROW()/100000)</f>
      </c>
      <c r="AU153" s="224">
        <f>IF(OR($A153="",N($R153)&lt;=0),"",IF($S153="Ngày",$R153*24,$R153))</f>
      </c>
      <c r="AV153" s="224">
        <f>IF($A153="","",IF($B153="Đột xuất",IF(OR($AA153&lt;&gt;"Hoàn thành",N($X153)=0,N($J153)=0),"",IF($X153&lt;$J153,"",($X153-$J153)*24)),IFERROR(AVERAGEIFS('Nhật ký tiến độ'!$H$6:$H$3005,'Nhật ký tiến độ'!$C$6:$C$3005,$A153,'Nhật ký tiến độ'!$H$6:$H$3005,"&gt;0"),"")))</f>
      </c>
      <c r="AW153" s="233">
        <f>IF($A153="",0,IF($B153="Đột xuất",$AY153,IF($AX153=0,0,$AX153+1-1/1440)))</f>
      </c>
      <c r="AX153" s="234">
        <f>IF(OR($A153="",$B153&lt;&gt;"Định kỳ",N($I153)=0),0,IF($AL153="",$I153,IF($AJ153&gt;0,$I153+($AL153+1)*$AJ153,IF($AK153&gt;0,EDATE($I153,($AL153+1)*$AK153),$I153))))</f>
      </c>
      <c r="AY153" s="233">
        <f>IF(OR($A153="",$B153&lt;&gt;"Đột xuất"),0,IF(N($K153)&gt;0,IF(MOD($K153,1)=0,$K153+1-1/1440,$K153),IF(N($J153)=0,0,$J153+IF(N($AU153)&gt;0,$AU153,IFERROR(INDEX(DM_SLA_Gio,MATCH($L153,DM_SLA_Cap,0)),168))/24)))</f>
      </c>
      <c r="AZ153" s="225">
        <f>IF(OR($A153="",TRIM($N153)="",COUNTIF('Phản ánh'!$K$6:$K$505,$N153)&gt;0,COUNTIF($N$6:$N153,$N153)&gt;1),0,1)</f>
      </c>
      <c r="BA153" s="225">
        <f>IF($AZ153=1,SUM($AZ$6:$AZ153),"")</f>
      </c>
      <c r="BB153" s="225">
        <f>IF(OR($AO153=0,N($AW153)=0),0,IF(TDBC&lt;=$AW153,0,MAX(1,MIN(4,IF((TDBC-$AW153)*24&lt;24,1,IF((TDBC-$AW153)*24&lt;72,2,IF((TDBC-$AW153)*24&lt;168,3,4)))+IF($B153="Đột xuất",IFERROR(INDEX({2,1,0,-1},MATCH($L153,{"Khẩn cấp","Cao","Trung bình","Thấp"},0)),0),IF($D153="PCCC và an ninh",1,0))))))</f>
      </c>
    </row>
    <row r="154">
      <c r="A154" s="216"/>
      <c r="B154" s="216"/>
      <c r="C154" s="218"/>
      <c r="D154" s="218"/>
      <c r="E154" s="218"/>
      <c r="F154" s="216"/>
      <c r="G154" s="218"/>
      <c r="H154" s="218"/>
      <c r="I154" s="231"/>
      <c r="J154" s="217"/>
      <c r="K154" s="217"/>
      <c r="L154" s="216"/>
      <c r="M154" s="216"/>
      <c r="N154" s="218"/>
      <c r="O154" s="218"/>
      <c r="P154" s="218"/>
      <c r="Q154" s="218"/>
      <c r="R154" s="219"/>
      <c r="S154" s="216"/>
      <c r="T154" s="232"/>
      <c r="U154" s="232"/>
      <c r="V154" s="218"/>
      <c r="W154" s="218"/>
      <c r="X154" s="220">
        <f>IF($A154="","",IF(OR($B154="Định kỳ",$AA154="Hoàn thành"),MAX(_xlfn.MAXIFS('Nhật ký tiến độ'!$B$6:$B$3005,'Nhật ký tiến độ'!$C$6:$C$3005,$A154,'Nhật ký tiến độ'!$E$6:$E$3005,"Hoàn thành kỳ"),_xlfn.MAXIFS('Nhật ký tiến độ'!$B$6:$B$3005,'Nhật ký tiến độ'!$C$6:$C$3005,$A154,'Nhật ký tiến độ'!$E$6:$E$3005,"Hoàn thành")),0))</f>
      </c>
      <c r="Y154" s="220">
        <f>IF($A154="","",IF($B154="Đột xuất",IF($AY154=0,"",$AY154),IF($AX154=0,"",$AX154)))</f>
      </c>
      <c r="Z154" s="223">
        <f>IF(OR($AO154=0,$AW154=0),"",IF(TDBC&gt;$AW154,"Quá "&amp;IF($B154="Định kỳ",(NgayBC-$AP154)&amp;" ngày",IF(((TDBC-$AW154)*24)&lt;1,MAX(1,ROUND(((TDBC-$AW154)*24)*60,0))&amp;" phút",IF(ROUND(((TDBC-$AW154)*24),0)&lt;24,ROUND(((TDBC-$AW154)*24),0)&amp;" giờ",INT(ROUND(((TDBC-$AW154)*24),0)/24)&amp;" ngày"&amp;IF(MOD(ROUND(((TDBC-$AW154)*24),0),24)&gt;0," "&amp;MOD(ROUND(((TDBC-$AW154)*24),0),24)&amp;" giờ","")))),IF($B154="Định kỳ",IF($AP154=NgayBC,"Hôm nay","Còn "&amp;($AP154-NgayBC)&amp;" ngày"),"Còn "&amp;IF((($AW154-TDBC)*24)&lt;1,MAX(1,ROUND((($AW154-TDBC)*24)*60,0))&amp;" phút",IF(ROUND((($AW154-TDBC)*24),0)&lt;24,ROUND((($AW154-TDBC)*24),0)&amp;" giờ",INT(ROUND((($AW154-TDBC)*24),0)/24)&amp;" ngày"&amp;IF(MOD(ROUND((($AW154-TDBC)*24),0),24)&gt;0," "&amp;MOD(ROUND((($AW154-TDBC)*24),0),24)&amp;" giờ",""))))))</f>
      </c>
      <c r="AA154" s="221">
        <f>IF($A154="","",IF(N($AM154)=0,"Chưa bắt đầu",IF(OR($AN154="Hoàn thành kỳ",$AN154="Hoàn thành"),IF($B154="Định kỳ","Chưa bắt đầu","Hoàn thành"),$AN154)))</f>
      </c>
      <c r="AB154" s="222">
        <f>IF($A154="","",IF($AA154="Hoàn thành",1,IF(OR(N($AM154)=0,$AN154="Hoàn thành kỳ",$AN154="Hoàn thành"),0,N(INDEX('Nhật ký tiến độ'!$D:$D,$AM154)))))</f>
      </c>
      <c r="AC154" s="222">
        <f>IF(OR($A154="",$B154&lt;&gt;"Đột xuất",$AA154="Hoàn thành",N($J154)=0,$AW154=0),"",IF(TDBC&lt;=$J154,0,IF(TDBC&gt;=$AW154,1,(TDBC-$J154)/($AW154-$J154))))</f>
      </c>
      <c r="AD154" s="223">
        <f>IF($A154="","",IF($AA154="Hoàn thành","Hoàn thành",IF($AW154=0,"Chưa đặt hạn",IF(TDBC&gt;$AW154,"Quá hạn",IF(AND($B154="Đột xuất",ROUND((N($AC154)-$AB154)*100,0)&gt;=20),"Chậm tiến độ",IF($AP154=NgayBC,"Đến hạn hôm nay",IF($B154="Đột xuất",IF($AW154-TDBC&lt;=1,"Sắp đến hạn","Đúng tiến độ"),IF($AP154-NgayBC&lt;=3,"Sắp đến hạn","Theo lịch"))))))))</f>
      </c>
      <c r="AE154" s="223">
        <f>IF($AV154="","",IF($B154="Định kỳ","Bình quân "&amp;IF($AV154&lt;1,MAX(1,ROUND($AV154*60,0))&amp;" phút",IF(ROUND($AV154,0)&lt;24,ROUND($AV154,0)&amp;" giờ",INT(ROUND($AV154,0)/24)&amp;" ngày"&amp;IF(MOD(ROUND($AV154,0),24)&gt;0," "&amp;MOD(ROUND($AV154,0),24)&amp;" giờ","")))&amp;" mỗi kỳ",IF($AV154&lt;1,MAX(1,ROUND($AV154*60,0))&amp;" phút",IF(ROUND($AV154,0)&lt;24,ROUND($AV154,0)&amp;" giờ",INT(ROUND($AV154,0)/24)&amp;" ngày"&amp;IF(MOD(ROUND($AV154,0),24)&gt;0," "&amp;MOD(ROUND($AV154,0),24)&amp;" giờ","")))))</f>
      </c>
      <c r="AF154" s="223">
        <f>IF(OR($A154="",N($AU154)=0),"",IF($AV154&lt;&gt;"",IF($AV154&lt;=$AU154,"Trong ước tính","Vượt "&amp;IF(($AV154-$AU154)&lt;1,MAX(1,ROUND(($AV154-$AU154)*60,0))&amp;" phút",IF(ROUND(($AV154-$AU154),0)&lt;24,ROUND(($AV154-$AU154),0)&amp;" giờ",INT(ROUND(($AV154-$AU154),0)/24)&amp;" ngày"&amp;IF(MOD(ROUND(($AV154-$AU154),0),24)&gt;0," "&amp;MOD(ROUND(($AV154-$AU154),0),24)&amp;" giờ","")))),IF(OR($B154&lt;&gt;"Đột xuất",$AA154="Hoàn thành",N($J154)=0),"",IF((TDBC-$J154)*24&gt;$AU154,"Đã vượt ước tính","Đã dùng "&amp;TEXT((TDBC-$J154)*24/$AU154,"0%")))))</f>
      </c>
      <c r="AG154" s="223">
        <f>IF(N($BB154)=0,"",CHOOSE($BB154,"Nhắc nhở","Cảnh báo","Báo động","Báo động đỏ"))</f>
      </c>
      <c r="AH154" s="223">
        <f>IF(OR($B154&lt;&gt;"Đột xuất",$AA154&lt;&gt;"Hoàn thành",N($X154)=0,$AW154=0),"",IF($X154&lt;=$AW154,"Đúng hạn","Trễ hạn"))</f>
      </c>
      <c r="AI154" s="220">
        <f>IF($A154="","",_xlfn.MAXIFS('Nhật ký tiến độ'!$B$6:$B$3005,'Nhật ký tiến độ'!$C$6:$C$3005,$A154))</f>
      </c>
      <c r="AJ154" s="225">
        <f>IF(OR($A154="",$B154&lt;&gt;"Định kỳ"),0,IFERROR(INDEX(DM_TanSuatNgay,MATCH($H154,DM_TanSuat,0)),0))</f>
      </c>
      <c r="AK154" s="225">
        <f>IF(OR($A154="",$B154&lt;&gt;"Định kỳ"),0,IFERROR(INDEX(DM_TanSuatThang,MATCH($H154,DM_TanSuat,0)),0))</f>
      </c>
      <c r="AL154" s="225">
        <f>IF(OR($A154="",$B154&lt;&gt;"Định kỳ",N($X154)=0,N($I154)=0),"",IF(INT($X154)&lt;$I154,0,IF($AJ154&gt;0,ROUND((INT($X154)-$I154)/$AJ154,0),IF($AK154&gt;0,ROUND((DATEDIF($I154,INT($X154),"m")+(INT($X154)-EDATE($I154,DATEDIF($I154,INT($X154),"m")))/(EDATE($I154,DATEDIF($I154,INT($X154),"m")+1)-EDATE($I154,DATEDIF($I154,INT($X154),"m"))))/$AK154,0),0))))</f>
      </c>
      <c r="AM154" s="225">
        <f>IF($A154="","",IF(COUNTIF('Nhật ký tiến độ'!$C$6:$C$3005,$A154)=0,0,_xlfn.MAXIFS('Nhật ký tiến độ'!$N$6:$N$3005,'Nhật ký tiến độ'!$C$6:$C$3005,$A154,'Nhật ký tiến độ'!$B$6:$B$3005,_xlfn.MAXIFS('Nhật ký tiến độ'!$B$6:$B$3005,'Nhật ký tiến độ'!$C$6:$C$3005,$A154))))</f>
      </c>
      <c r="AN154" s="225">
        <f>IF($A154="","",IF(N($AM154)=0,"",INDEX('Nhật ký tiến độ'!$E:$E,$AM154)))</f>
      </c>
      <c r="AO154" s="225">
        <f>IF($A154="",0,IF($AA154="Hoàn thành",0,1))</f>
      </c>
      <c r="AP154" s="225">
        <f>IF($AO154=0,0,INT(N($AW154)))</f>
      </c>
      <c r="AQ154" s="225">
        <f>IF(AND($AO154=1,$AJ154&gt;1),$AJ154,0)</f>
      </c>
      <c r="AR154" s="225">
        <f>IF(AND($AO154=1,$AJ154=1),1,0)</f>
      </c>
      <c r="AS154" s="225">
        <f>IF(OR($AO154=0,AND($AR154=1,N($BB154)=0)),"",IF(N($BB154)&gt;0,5-$BB154,IF($AD154="Chậm tiến độ",6,IF($AD154="Đến hạn hôm nay",7,IF(AND($AP154&gt;0,$AP154-NgayBC&lt;=7),8,"")))))</f>
      </c>
      <c r="AT154" s="225">
        <f>IF($AS154="","",$AS154*100000+$AP154+ROW()/100000)</f>
      </c>
      <c r="AU154" s="224">
        <f>IF(OR($A154="",N($R154)&lt;=0),"",IF($S154="Ngày",$R154*24,$R154))</f>
      </c>
      <c r="AV154" s="224">
        <f>IF($A154="","",IF($B154="Đột xuất",IF(OR($AA154&lt;&gt;"Hoàn thành",N($X154)=0,N($J154)=0),"",IF($X154&lt;$J154,"",($X154-$J154)*24)),IFERROR(AVERAGEIFS('Nhật ký tiến độ'!$H$6:$H$3005,'Nhật ký tiến độ'!$C$6:$C$3005,$A154,'Nhật ký tiến độ'!$H$6:$H$3005,"&gt;0"),"")))</f>
      </c>
      <c r="AW154" s="233">
        <f>IF($A154="",0,IF($B154="Đột xuất",$AY154,IF($AX154=0,0,$AX154+1-1/1440)))</f>
      </c>
      <c r="AX154" s="234">
        <f>IF(OR($A154="",$B154&lt;&gt;"Định kỳ",N($I154)=0),0,IF($AL154="",$I154,IF($AJ154&gt;0,$I154+($AL154+1)*$AJ154,IF($AK154&gt;0,EDATE($I154,($AL154+1)*$AK154),$I154))))</f>
      </c>
      <c r="AY154" s="233">
        <f>IF(OR($A154="",$B154&lt;&gt;"Đột xuất"),0,IF(N($K154)&gt;0,IF(MOD($K154,1)=0,$K154+1-1/1440,$K154),IF(N($J154)=0,0,$J154+IF(N($AU154)&gt;0,$AU154,IFERROR(INDEX(DM_SLA_Gio,MATCH($L154,DM_SLA_Cap,0)),168))/24)))</f>
      </c>
      <c r="AZ154" s="225">
        <f>IF(OR($A154="",TRIM($N154)="",COUNTIF('Phản ánh'!$K$6:$K$505,$N154)&gt;0,COUNTIF($N$6:$N154,$N154)&gt;1),0,1)</f>
      </c>
      <c r="BA154" s="225">
        <f>IF($AZ154=1,SUM($AZ$6:$AZ154),"")</f>
      </c>
      <c r="BB154" s="225">
        <f>IF(OR($AO154=0,N($AW154)=0),0,IF(TDBC&lt;=$AW154,0,MAX(1,MIN(4,IF((TDBC-$AW154)*24&lt;24,1,IF((TDBC-$AW154)*24&lt;72,2,IF((TDBC-$AW154)*24&lt;168,3,4)))+IF($B154="Đột xuất",IFERROR(INDEX({2,1,0,-1},MATCH($L154,{"Khẩn cấp","Cao","Trung bình","Thấp"},0)),0),IF($D154="PCCC và an ninh",1,0))))))</f>
      </c>
    </row>
    <row r="155">
      <c r="A155" s="216"/>
      <c r="B155" s="216"/>
      <c r="C155" s="218"/>
      <c r="D155" s="218"/>
      <c r="E155" s="218"/>
      <c r="F155" s="216"/>
      <c r="G155" s="218"/>
      <c r="H155" s="218"/>
      <c r="I155" s="231"/>
      <c r="J155" s="217"/>
      <c r="K155" s="217"/>
      <c r="L155" s="216"/>
      <c r="M155" s="216"/>
      <c r="N155" s="218"/>
      <c r="O155" s="218"/>
      <c r="P155" s="218"/>
      <c r="Q155" s="218"/>
      <c r="R155" s="219"/>
      <c r="S155" s="216"/>
      <c r="T155" s="232"/>
      <c r="U155" s="232"/>
      <c r="V155" s="218"/>
      <c r="W155" s="218"/>
      <c r="X155" s="220">
        <f>IF($A155="","",IF(OR($B155="Định kỳ",$AA155="Hoàn thành"),MAX(_xlfn.MAXIFS('Nhật ký tiến độ'!$B$6:$B$3005,'Nhật ký tiến độ'!$C$6:$C$3005,$A155,'Nhật ký tiến độ'!$E$6:$E$3005,"Hoàn thành kỳ"),_xlfn.MAXIFS('Nhật ký tiến độ'!$B$6:$B$3005,'Nhật ký tiến độ'!$C$6:$C$3005,$A155,'Nhật ký tiến độ'!$E$6:$E$3005,"Hoàn thành")),0))</f>
      </c>
      <c r="Y155" s="220">
        <f>IF($A155="","",IF($B155="Đột xuất",IF($AY155=0,"",$AY155),IF($AX155=0,"",$AX155)))</f>
      </c>
      <c r="Z155" s="223">
        <f>IF(OR($AO155=0,$AW155=0),"",IF(TDBC&gt;$AW155,"Quá "&amp;IF($B155="Định kỳ",(NgayBC-$AP155)&amp;" ngày",IF(((TDBC-$AW155)*24)&lt;1,MAX(1,ROUND(((TDBC-$AW155)*24)*60,0))&amp;" phút",IF(ROUND(((TDBC-$AW155)*24),0)&lt;24,ROUND(((TDBC-$AW155)*24),0)&amp;" giờ",INT(ROUND(((TDBC-$AW155)*24),0)/24)&amp;" ngày"&amp;IF(MOD(ROUND(((TDBC-$AW155)*24),0),24)&gt;0," "&amp;MOD(ROUND(((TDBC-$AW155)*24),0),24)&amp;" giờ","")))),IF($B155="Định kỳ",IF($AP155=NgayBC,"Hôm nay","Còn "&amp;($AP155-NgayBC)&amp;" ngày"),"Còn "&amp;IF((($AW155-TDBC)*24)&lt;1,MAX(1,ROUND((($AW155-TDBC)*24)*60,0))&amp;" phút",IF(ROUND((($AW155-TDBC)*24),0)&lt;24,ROUND((($AW155-TDBC)*24),0)&amp;" giờ",INT(ROUND((($AW155-TDBC)*24),0)/24)&amp;" ngày"&amp;IF(MOD(ROUND((($AW155-TDBC)*24),0),24)&gt;0," "&amp;MOD(ROUND((($AW155-TDBC)*24),0),24)&amp;" giờ",""))))))</f>
      </c>
      <c r="AA155" s="221">
        <f>IF($A155="","",IF(N($AM155)=0,"Chưa bắt đầu",IF(OR($AN155="Hoàn thành kỳ",$AN155="Hoàn thành"),IF($B155="Định kỳ","Chưa bắt đầu","Hoàn thành"),$AN155)))</f>
      </c>
      <c r="AB155" s="222">
        <f>IF($A155="","",IF($AA155="Hoàn thành",1,IF(OR(N($AM155)=0,$AN155="Hoàn thành kỳ",$AN155="Hoàn thành"),0,N(INDEX('Nhật ký tiến độ'!$D:$D,$AM155)))))</f>
      </c>
      <c r="AC155" s="222">
        <f>IF(OR($A155="",$B155&lt;&gt;"Đột xuất",$AA155="Hoàn thành",N($J155)=0,$AW155=0),"",IF(TDBC&lt;=$J155,0,IF(TDBC&gt;=$AW155,1,(TDBC-$J155)/($AW155-$J155))))</f>
      </c>
      <c r="AD155" s="223">
        <f>IF($A155="","",IF($AA155="Hoàn thành","Hoàn thành",IF($AW155=0,"Chưa đặt hạn",IF(TDBC&gt;$AW155,"Quá hạn",IF(AND($B155="Đột xuất",ROUND((N($AC155)-$AB155)*100,0)&gt;=20),"Chậm tiến độ",IF($AP155=NgayBC,"Đến hạn hôm nay",IF($B155="Đột xuất",IF($AW155-TDBC&lt;=1,"Sắp đến hạn","Đúng tiến độ"),IF($AP155-NgayBC&lt;=3,"Sắp đến hạn","Theo lịch"))))))))</f>
      </c>
      <c r="AE155" s="223">
        <f>IF($AV155="","",IF($B155="Định kỳ","Bình quân "&amp;IF($AV155&lt;1,MAX(1,ROUND($AV155*60,0))&amp;" phút",IF(ROUND($AV155,0)&lt;24,ROUND($AV155,0)&amp;" giờ",INT(ROUND($AV155,0)/24)&amp;" ngày"&amp;IF(MOD(ROUND($AV155,0),24)&gt;0," "&amp;MOD(ROUND($AV155,0),24)&amp;" giờ","")))&amp;" mỗi kỳ",IF($AV155&lt;1,MAX(1,ROUND($AV155*60,0))&amp;" phút",IF(ROUND($AV155,0)&lt;24,ROUND($AV155,0)&amp;" giờ",INT(ROUND($AV155,0)/24)&amp;" ngày"&amp;IF(MOD(ROUND($AV155,0),24)&gt;0," "&amp;MOD(ROUND($AV155,0),24)&amp;" giờ","")))))</f>
      </c>
      <c r="AF155" s="223">
        <f>IF(OR($A155="",N($AU155)=0),"",IF($AV155&lt;&gt;"",IF($AV155&lt;=$AU155,"Trong ước tính","Vượt "&amp;IF(($AV155-$AU155)&lt;1,MAX(1,ROUND(($AV155-$AU155)*60,0))&amp;" phút",IF(ROUND(($AV155-$AU155),0)&lt;24,ROUND(($AV155-$AU155),0)&amp;" giờ",INT(ROUND(($AV155-$AU155),0)/24)&amp;" ngày"&amp;IF(MOD(ROUND(($AV155-$AU155),0),24)&gt;0," "&amp;MOD(ROUND(($AV155-$AU155),0),24)&amp;" giờ","")))),IF(OR($B155&lt;&gt;"Đột xuất",$AA155="Hoàn thành",N($J155)=0),"",IF((TDBC-$J155)*24&gt;$AU155,"Đã vượt ước tính","Đã dùng "&amp;TEXT((TDBC-$J155)*24/$AU155,"0%")))))</f>
      </c>
      <c r="AG155" s="223">
        <f>IF(N($BB155)=0,"",CHOOSE($BB155,"Nhắc nhở","Cảnh báo","Báo động","Báo động đỏ"))</f>
      </c>
      <c r="AH155" s="223">
        <f>IF(OR($B155&lt;&gt;"Đột xuất",$AA155&lt;&gt;"Hoàn thành",N($X155)=0,$AW155=0),"",IF($X155&lt;=$AW155,"Đúng hạn","Trễ hạn"))</f>
      </c>
      <c r="AI155" s="220">
        <f>IF($A155="","",_xlfn.MAXIFS('Nhật ký tiến độ'!$B$6:$B$3005,'Nhật ký tiến độ'!$C$6:$C$3005,$A155))</f>
      </c>
      <c r="AJ155" s="225">
        <f>IF(OR($A155="",$B155&lt;&gt;"Định kỳ"),0,IFERROR(INDEX(DM_TanSuatNgay,MATCH($H155,DM_TanSuat,0)),0))</f>
      </c>
      <c r="AK155" s="225">
        <f>IF(OR($A155="",$B155&lt;&gt;"Định kỳ"),0,IFERROR(INDEX(DM_TanSuatThang,MATCH($H155,DM_TanSuat,0)),0))</f>
      </c>
      <c r="AL155" s="225">
        <f>IF(OR($A155="",$B155&lt;&gt;"Định kỳ",N($X155)=0,N($I155)=0),"",IF(INT($X155)&lt;$I155,0,IF($AJ155&gt;0,ROUND((INT($X155)-$I155)/$AJ155,0),IF($AK155&gt;0,ROUND((DATEDIF($I155,INT($X155),"m")+(INT($X155)-EDATE($I155,DATEDIF($I155,INT($X155),"m")))/(EDATE($I155,DATEDIF($I155,INT($X155),"m")+1)-EDATE($I155,DATEDIF($I155,INT($X155),"m"))))/$AK155,0),0))))</f>
      </c>
      <c r="AM155" s="225">
        <f>IF($A155="","",IF(COUNTIF('Nhật ký tiến độ'!$C$6:$C$3005,$A155)=0,0,_xlfn.MAXIFS('Nhật ký tiến độ'!$N$6:$N$3005,'Nhật ký tiến độ'!$C$6:$C$3005,$A155,'Nhật ký tiến độ'!$B$6:$B$3005,_xlfn.MAXIFS('Nhật ký tiến độ'!$B$6:$B$3005,'Nhật ký tiến độ'!$C$6:$C$3005,$A155))))</f>
      </c>
      <c r="AN155" s="225">
        <f>IF($A155="","",IF(N($AM155)=0,"",INDEX('Nhật ký tiến độ'!$E:$E,$AM155)))</f>
      </c>
      <c r="AO155" s="225">
        <f>IF($A155="",0,IF($AA155="Hoàn thành",0,1))</f>
      </c>
      <c r="AP155" s="225">
        <f>IF($AO155=0,0,INT(N($AW155)))</f>
      </c>
      <c r="AQ155" s="225">
        <f>IF(AND($AO155=1,$AJ155&gt;1),$AJ155,0)</f>
      </c>
      <c r="AR155" s="225">
        <f>IF(AND($AO155=1,$AJ155=1),1,0)</f>
      </c>
      <c r="AS155" s="225">
        <f>IF(OR($AO155=0,AND($AR155=1,N($BB155)=0)),"",IF(N($BB155)&gt;0,5-$BB155,IF($AD155="Chậm tiến độ",6,IF($AD155="Đến hạn hôm nay",7,IF(AND($AP155&gt;0,$AP155-NgayBC&lt;=7),8,"")))))</f>
      </c>
      <c r="AT155" s="225">
        <f>IF($AS155="","",$AS155*100000+$AP155+ROW()/100000)</f>
      </c>
      <c r="AU155" s="224">
        <f>IF(OR($A155="",N($R155)&lt;=0),"",IF($S155="Ngày",$R155*24,$R155))</f>
      </c>
      <c r="AV155" s="224">
        <f>IF($A155="","",IF($B155="Đột xuất",IF(OR($AA155&lt;&gt;"Hoàn thành",N($X155)=0,N($J155)=0),"",IF($X155&lt;$J155,"",($X155-$J155)*24)),IFERROR(AVERAGEIFS('Nhật ký tiến độ'!$H$6:$H$3005,'Nhật ký tiến độ'!$C$6:$C$3005,$A155,'Nhật ký tiến độ'!$H$6:$H$3005,"&gt;0"),"")))</f>
      </c>
      <c r="AW155" s="233">
        <f>IF($A155="",0,IF($B155="Đột xuất",$AY155,IF($AX155=0,0,$AX155+1-1/1440)))</f>
      </c>
      <c r="AX155" s="234">
        <f>IF(OR($A155="",$B155&lt;&gt;"Định kỳ",N($I155)=0),0,IF($AL155="",$I155,IF($AJ155&gt;0,$I155+($AL155+1)*$AJ155,IF($AK155&gt;0,EDATE($I155,($AL155+1)*$AK155),$I155))))</f>
      </c>
      <c r="AY155" s="233">
        <f>IF(OR($A155="",$B155&lt;&gt;"Đột xuất"),0,IF(N($K155)&gt;0,IF(MOD($K155,1)=0,$K155+1-1/1440,$K155),IF(N($J155)=0,0,$J155+IF(N($AU155)&gt;0,$AU155,IFERROR(INDEX(DM_SLA_Gio,MATCH($L155,DM_SLA_Cap,0)),168))/24)))</f>
      </c>
      <c r="AZ155" s="225">
        <f>IF(OR($A155="",TRIM($N155)="",COUNTIF('Phản ánh'!$K$6:$K$505,$N155)&gt;0,COUNTIF($N$6:$N155,$N155)&gt;1),0,1)</f>
      </c>
      <c r="BA155" s="225">
        <f>IF($AZ155=1,SUM($AZ$6:$AZ155),"")</f>
      </c>
      <c r="BB155" s="225">
        <f>IF(OR($AO155=0,N($AW155)=0),0,IF(TDBC&lt;=$AW155,0,MAX(1,MIN(4,IF((TDBC-$AW155)*24&lt;24,1,IF((TDBC-$AW155)*24&lt;72,2,IF((TDBC-$AW155)*24&lt;168,3,4)))+IF($B155="Đột xuất",IFERROR(INDEX({2,1,0,-1},MATCH($L155,{"Khẩn cấp","Cao","Trung bình","Thấp"},0)),0),IF($D155="PCCC và an ninh",1,0))))))</f>
      </c>
    </row>
    <row r="156">
      <c r="A156" s="216"/>
      <c r="B156" s="216"/>
      <c r="C156" s="218"/>
      <c r="D156" s="218"/>
      <c r="E156" s="218"/>
      <c r="F156" s="216"/>
      <c r="G156" s="218"/>
      <c r="H156" s="218"/>
      <c r="I156" s="231"/>
      <c r="J156" s="217"/>
      <c r="K156" s="217"/>
      <c r="L156" s="216"/>
      <c r="M156" s="216"/>
      <c r="N156" s="218"/>
      <c r="O156" s="218"/>
      <c r="P156" s="218"/>
      <c r="Q156" s="218"/>
      <c r="R156" s="219"/>
      <c r="S156" s="216"/>
      <c r="T156" s="232"/>
      <c r="U156" s="232"/>
      <c r="V156" s="218"/>
      <c r="W156" s="218"/>
      <c r="X156" s="220">
        <f>IF($A156="","",IF(OR($B156="Định kỳ",$AA156="Hoàn thành"),MAX(_xlfn.MAXIFS('Nhật ký tiến độ'!$B$6:$B$3005,'Nhật ký tiến độ'!$C$6:$C$3005,$A156,'Nhật ký tiến độ'!$E$6:$E$3005,"Hoàn thành kỳ"),_xlfn.MAXIFS('Nhật ký tiến độ'!$B$6:$B$3005,'Nhật ký tiến độ'!$C$6:$C$3005,$A156,'Nhật ký tiến độ'!$E$6:$E$3005,"Hoàn thành")),0))</f>
      </c>
      <c r="Y156" s="220">
        <f>IF($A156="","",IF($B156="Đột xuất",IF($AY156=0,"",$AY156),IF($AX156=0,"",$AX156)))</f>
      </c>
      <c r="Z156" s="223">
        <f>IF(OR($AO156=0,$AW156=0),"",IF(TDBC&gt;$AW156,"Quá "&amp;IF($B156="Định kỳ",(NgayBC-$AP156)&amp;" ngày",IF(((TDBC-$AW156)*24)&lt;1,MAX(1,ROUND(((TDBC-$AW156)*24)*60,0))&amp;" phút",IF(ROUND(((TDBC-$AW156)*24),0)&lt;24,ROUND(((TDBC-$AW156)*24),0)&amp;" giờ",INT(ROUND(((TDBC-$AW156)*24),0)/24)&amp;" ngày"&amp;IF(MOD(ROUND(((TDBC-$AW156)*24),0),24)&gt;0," "&amp;MOD(ROUND(((TDBC-$AW156)*24),0),24)&amp;" giờ","")))),IF($B156="Định kỳ",IF($AP156=NgayBC,"Hôm nay","Còn "&amp;($AP156-NgayBC)&amp;" ngày"),"Còn "&amp;IF((($AW156-TDBC)*24)&lt;1,MAX(1,ROUND((($AW156-TDBC)*24)*60,0))&amp;" phút",IF(ROUND((($AW156-TDBC)*24),0)&lt;24,ROUND((($AW156-TDBC)*24),0)&amp;" giờ",INT(ROUND((($AW156-TDBC)*24),0)/24)&amp;" ngày"&amp;IF(MOD(ROUND((($AW156-TDBC)*24),0),24)&gt;0," "&amp;MOD(ROUND((($AW156-TDBC)*24),0),24)&amp;" giờ",""))))))</f>
      </c>
      <c r="AA156" s="221">
        <f>IF($A156="","",IF(N($AM156)=0,"Chưa bắt đầu",IF(OR($AN156="Hoàn thành kỳ",$AN156="Hoàn thành"),IF($B156="Định kỳ","Chưa bắt đầu","Hoàn thành"),$AN156)))</f>
      </c>
      <c r="AB156" s="222">
        <f>IF($A156="","",IF($AA156="Hoàn thành",1,IF(OR(N($AM156)=0,$AN156="Hoàn thành kỳ",$AN156="Hoàn thành"),0,N(INDEX('Nhật ký tiến độ'!$D:$D,$AM156)))))</f>
      </c>
      <c r="AC156" s="222">
        <f>IF(OR($A156="",$B156&lt;&gt;"Đột xuất",$AA156="Hoàn thành",N($J156)=0,$AW156=0),"",IF(TDBC&lt;=$J156,0,IF(TDBC&gt;=$AW156,1,(TDBC-$J156)/($AW156-$J156))))</f>
      </c>
      <c r="AD156" s="223">
        <f>IF($A156="","",IF($AA156="Hoàn thành","Hoàn thành",IF($AW156=0,"Chưa đặt hạn",IF(TDBC&gt;$AW156,"Quá hạn",IF(AND($B156="Đột xuất",ROUND((N($AC156)-$AB156)*100,0)&gt;=20),"Chậm tiến độ",IF($AP156=NgayBC,"Đến hạn hôm nay",IF($B156="Đột xuất",IF($AW156-TDBC&lt;=1,"Sắp đến hạn","Đúng tiến độ"),IF($AP156-NgayBC&lt;=3,"Sắp đến hạn","Theo lịch"))))))))</f>
      </c>
      <c r="AE156" s="223">
        <f>IF($AV156="","",IF($B156="Định kỳ","Bình quân "&amp;IF($AV156&lt;1,MAX(1,ROUND($AV156*60,0))&amp;" phút",IF(ROUND($AV156,0)&lt;24,ROUND($AV156,0)&amp;" giờ",INT(ROUND($AV156,0)/24)&amp;" ngày"&amp;IF(MOD(ROUND($AV156,0),24)&gt;0," "&amp;MOD(ROUND($AV156,0),24)&amp;" giờ","")))&amp;" mỗi kỳ",IF($AV156&lt;1,MAX(1,ROUND($AV156*60,0))&amp;" phút",IF(ROUND($AV156,0)&lt;24,ROUND($AV156,0)&amp;" giờ",INT(ROUND($AV156,0)/24)&amp;" ngày"&amp;IF(MOD(ROUND($AV156,0),24)&gt;0," "&amp;MOD(ROUND($AV156,0),24)&amp;" giờ","")))))</f>
      </c>
      <c r="AF156" s="223">
        <f>IF(OR($A156="",N($AU156)=0),"",IF($AV156&lt;&gt;"",IF($AV156&lt;=$AU156,"Trong ước tính","Vượt "&amp;IF(($AV156-$AU156)&lt;1,MAX(1,ROUND(($AV156-$AU156)*60,0))&amp;" phút",IF(ROUND(($AV156-$AU156),0)&lt;24,ROUND(($AV156-$AU156),0)&amp;" giờ",INT(ROUND(($AV156-$AU156),0)/24)&amp;" ngày"&amp;IF(MOD(ROUND(($AV156-$AU156),0),24)&gt;0," "&amp;MOD(ROUND(($AV156-$AU156),0),24)&amp;" giờ","")))),IF(OR($B156&lt;&gt;"Đột xuất",$AA156="Hoàn thành",N($J156)=0),"",IF((TDBC-$J156)*24&gt;$AU156,"Đã vượt ước tính","Đã dùng "&amp;TEXT((TDBC-$J156)*24/$AU156,"0%")))))</f>
      </c>
      <c r="AG156" s="223">
        <f>IF(N($BB156)=0,"",CHOOSE($BB156,"Nhắc nhở","Cảnh báo","Báo động","Báo động đỏ"))</f>
      </c>
      <c r="AH156" s="223">
        <f>IF(OR($B156&lt;&gt;"Đột xuất",$AA156&lt;&gt;"Hoàn thành",N($X156)=0,$AW156=0),"",IF($X156&lt;=$AW156,"Đúng hạn","Trễ hạn"))</f>
      </c>
      <c r="AI156" s="220">
        <f>IF($A156="","",_xlfn.MAXIFS('Nhật ký tiến độ'!$B$6:$B$3005,'Nhật ký tiến độ'!$C$6:$C$3005,$A156))</f>
      </c>
      <c r="AJ156" s="225">
        <f>IF(OR($A156="",$B156&lt;&gt;"Định kỳ"),0,IFERROR(INDEX(DM_TanSuatNgay,MATCH($H156,DM_TanSuat,0)),0))</f>
      </c>
      <c r="AK156" s="225">
        <f>IF(OR($A156="",$B156&lt;&gt;"Định kỳ"),0,IFERROR(INDEX(DM_TanSuatThang,MATCH($H156,DM_TanSuat,0)),0))</f>
      </c>
      <c r="AL156" s="225">
        <f>IF(OR($A156="",$B156&lt;&gt;"Định kỳ",N($X156)=0,N($I156)=0),"",IF(INT($X156)&lt;$I156,0,IF($AJ156&gt;0,ROUND((INT($X156)-$I156)/$AJ156,0),IF($AK156&gt;0,ROUND((DATEDIF($I156,INT($X156),"m")+(INT($X156)-EDATE($I156,DATEDIF($I156,INT($X156),"m")))/(EDATE($I156,DATEDIF($I156,INT($X156),"m")+1)-EDATE($I156,DATEDIF($I156,INT($X156),"m"))))/$AK156,0),0))))</f>
      </c>
      <c r="AM156" s="225">
        <f>IF($A156="","",IF(COUNTIF('Nhật ký tiến độ'!$C$6:$C$3005,$A156)=0,0,_xlfn.MAXIFS('Nhật ký tiến độ'!$N$6:$N$3005,'Nhật ký tiến độ'!$C$6:$C$3005,$A156,'Nhật ký tiến độ'!$B$6:$B$3005,_xlfn.MAXIFS('Nhật ký tiến độ'!$B$6:$B$3005,'Nhật ký tiến độ'!$C$6:$C$3005,$A156))))</f>
      </c>
      <c r="AN156" s="225">
        <f>IF($A156="","",IF(N($AM156)=0,"",INDEX('Nhật ký tiến độ'!$E:$E,$AM156)))</f>
      </c>
      <c r="AO156" s="225">
        <f>IF($A156="",0,IF($AA156="Hoàn thành",0,1))</f>
      </c>
      <c r="AP156" s="225">
        <f>IF($AO156=0,0,INT(N($AW156)))</f>
      </c>
      <c r="AQ156" s="225">
        <f>IF(AND($AO156=1,$AJ156&gt;1),$AJ156,0)</f>
      </c>
      <c r="AR156" s="225">
        <f>IF(AND($AO156=1,$AJ156=1),1,0)</f>
      </c>
      <c r="AS156" s="225">
        <f>IF(OR($AO156=0,AND($AR156=1,N($BB156)=0)),"",IF(N($BB156)&gt;0,5-$BB156,IF($AD156="Chậm tiến độ",6,IF($AD156="Đến hạn hôm nay",7,IF(AND($AP156&gt;0,$AP156-NgayBC&lt;=7),8,"")))))</f>
      </c>
      <c r="AT156" s="225">
        <f>IF($AS156="","",$AS156*100000+$AP156+ROW()/100000)</f>
      </c>
      <c r="AU156" s="224">
        <f>IF(OR($A156="",N($R156)&lt;=0),"",IF($S156="Ngày",$R156*24,$R156))</f>
      </c>
      <c r="AV156" s="224">
        <f>IF($A156="","",IF($B156="Đột xuất",IF(OR($AA156&lt;&gt;"Hoàn thành",N($X156)=0,N($J156)=0),"",IF($X156&lt;$J156,"",($X156-$J156)*24)),IFERROR(AVERAGEIFS('Nhật ký tiến độ'!$H$6:$H$3005,'Nhật ký tiến độ'!$C$6:$C$3005,$A156,'Nhật ký tiến độ'!$H$6:$H$3005,"&gt;0"),"")))</f>
      </c>
      <c r="AW156" s="233">
        <f>IF($A156="",0,IF($B156="Đột xuất",$AY156,IF($AX156=0,0,$AX156+1-1/1440)))</f>
      </c>
      <c r="AX156" s="234">
        <f>IF(OR($A156="",$B156&lt;&gt;"Định kỳ",N($I156)=0),0,IF($AL156="",$I156,IF($AJ156&gt;0,$I156+($AL156+1)*$AJ156,IF($AK156&gt;0,EDATE($I156,($AL156+1)*$AK156),$I156))))</f>
      </c>
      <c r="AY156" s="233">
        <f>IF(OR($A156="",$B156&lt;&gt;"Đột xuất"),0,IF(N($K156)&gt;0,IF(MOD($K156,1)=0,$K156+1-1/1440,$K156),IF(N($J156)=0,0,$J156+IF(N($AU156)&gt;0,$AU156,IFERROR(INDEX(DM_SLA_Gio,MATCH($L156,DM_SLA_Cap,0)),168))/24)))</f>
      </c>
      <c r="AZ156" s="225">
        <f>IF(OR($A156="",TRIM($N156)="",COUNTIF('Phản ánh'!$K$6:$K$505,$N156)&gt;0,COUNTIF($N$6:$N156,$N156)&gt;1),0,1)</f>
      </c>
      <c r="BA156" s="225">
        <f>IF($AZ156=1,SUM($AZ$6:$AZ156),"")</f>
      </c>
      <c r="BB156" s="225">
        <f>IF(OR($AO156=0,N($AW156)=0),0,IF(TDBC&lt;=$AW156,0,MAX(1,MIN(4,IF((TDBC-$AW156)*24&lt;24,1,IF((TDBC-$AW156)*24&lt;72,2,IF((TDBC-$AW156)*24&lt;168,3,4)))+IF($B156="Đột xuất",IFERROR(INDEX({2,1,0,-1},MATCH($L156,{"Khẩn cấp","Cao","Trung bình","Thấp"},0)),0),IF($D156="PCCC và an ninh",1,0))))))</f>
      </c>
    </row>
    <row r="157">
      <c r="A157" s="216"/>
      <c r="B157" s="216"/>
      <c r="C157" s="218"/>
      <c r="D157" s="218"/>
      <c r="E157" s="218"/>
      <c r="F157" s="216"/>
      <c r="G157" s="218"/>
      <c r="H157" s="218"/>
      <c r="I157" s="231"/>
      <c r="J157" s="217"/>
      <c r="K157" s="217"/>
      <c r="L157" s="216"/>
      <c r="M157" s="216"/>
      <c r="N157" s="218"/>
      <c r="O157" s="218"/>
      <c r="P157" s="218"/>
      <c r="Q157" s="218"/>
      <c r="R157" s="219"/>
      <c r="S157" s="216"/>
      <c r="T157" s="232"/>
      <c r="U157" s="232"/>
      <c r="V157" s="218"/>
      <c r="W157" s="218"/>
      <c r="X157" s="220">
        <f>IF($A157="","",IF(OR($B157="Định kỳ",$AA157="Hoàn thành"),MAX(_xlfn.MAXIFS('Nhật ký tiến độ'!$B$6:$B$3005,'Nhật ký tiến độ'!$C$6:$C$3005,$A157,'Nhật ký tiến độ'!$E$6:$E$3005,"Hoàn thành kỳ"),_xlfn.MAXIFS('Nhật ký tiến độ'!$B$6:$B$3005,'Nhật ký tiến độ'!$C$6:$C$3005,$A157,'Nhật ký tiến độ'!$E$6:$E$3005,"Hoàn thành")),0))</f>
      </c>
      <c r="Y157" s="220">
        <f>IF($A157="","",IF($B157="Đột xuất",IF($AY157=0,"",$AY157),IF($AX157=0,"",$AX157)))</f>
      </c>
      <c r="Z157" s="223">
        <f>IF(OR($AO157=0,$AW157=0),"",IF(TDBC&gt;$AW157,"Quá "&amp;IF($B157="Định kỳ",(NgayBC-$AP157)&amp;" ngày",IF(((TDBC-$AW157)*24)&lt;1,MAX(1,ROUND(((TDBC-$AW157)*24)*60,0))&amp;" phút",IF(ROUND(((TDBC-$AW157)*24),0)&lt;24,ROUND(((TDBC-$AW157)*24),0)&amp;" giờ",INT(ROUND(((TDBC-$AW157)*24),0)/24)&amp;" ngày"&amp;IF(MOD(ROUND(((TDBC-$AW157)*24),0),24)&gt;0," "&amp;MOD(ROUND(((TDBC-$AW157)*24),0),24)&amp;" giờ","")))),IF($B157="Định kỳ",IF($AP157=NgayBC,"Hôm nay","Còn "&amp;($AP157-NgayBC)&amp;" ngày"),"Còn "&amp;IF((($AW157-TDBC)*24)&lt;1,MAX(1,ROUND((($AW157-TDBC)*24)*60,0))&amp;" phút",IF(ROUND((($AW157-TDBC)*24),0)&lt;24,ROUND((($AW157-TDBC)*24),0)&amp;" giờ",INT(ROUND((($AW157-TDBC)*24),0)/24)&amp;" ngày"&amp;IF(MOD(ROUND((($AW157-TDBC)*24),0),24)&gt;0," "&amp;MOD(ROUND((($AW157-TDBC)*24),0),24)&amp;" giờ",""))))))</f>
      </c>
      <c r="AA157" s="221">
        <f>IF($A157="","",IF(N($AM157)=0,"Chưa bắt đầu",IF(OR($AN157="Hoàn thành kỳ",$AN157="Hoàn thành"),IF($B157="Định kỳ","Chưa bắt đầu","Hoàn thành"),$AN157)))</f>
      </c>
      <c r="AB157" s="222">
        <f>IF($A157="","",IF($AA157="Hoàn thành",1,IF(OR(N($AM157)=0,$AN157="Hoàn thành kỳ",$AN157="Hoàn thành"),0,N(INDEX('Nhật ký tiến độ'!$D:$D,$AM157)))))</f>
      </c>
      <c r="AC157" s="222">
        <f>IF(OR($A157="",$B157&lt;&gt;"Đột xuất",$AA157="Hoàn thành",N($J157)=0,$AW157=0),"",IF(TDBC&lt;=$J157,0,IF(TDBC&gt;=$AW157,1,(TDBC-$J157)/($AW157-$J157))))</f>
      </c>
      <c r="AD157" s="223">
        <f>IF($A157="","",IF($AA157="Hoàn thành","Hoàn thành",IF($AW157=0,"Chưa đặt hạn",IF(TDBC&gt;$AW157,"Quá hạn",IF(AND($B157="Đột xuất",ROUND((N($AC157)-$AB157)*100,0)&gt;=20),"Chậm tiến độ",IF($AP157=NgayBC,"Đến hạn hôm nay",IF($B157="Đột xuất",IF($AW157-TDBC&lt;=1,"Sắp đến hạn","Đúng tiến độ"),IF($AP157-NgayBC&lt;=3,"Sắp đến hạn","Theo lịch"))))))))</f>
      </c>
      <c r="AE157" s="223">
        <f>IF($AV157="","",IF($B157="Định kỳ","Bình quân "&amp;IF($AV157&lt;1,MAX(1,ROUND($AV157*60,0))&amp;" phút",IF(ROUND($AV157,0)&lt;24,ROUND($AV157,0)&amp;" giờ",INT(ROUND($AV157,0)/24)&amp;" ngày"&amp;IF(MOD(ROUND($AV157,0),24)&gt;0," "&amp;MOD(ROUND($AV157,0),24)&amp;" giờ","")))&amp;" mỗi kỳ",IF($AV157&lt;1,MAX(1,ROUND($AV157*60,0))&amp;" phút",IF(ROUND($AV157,0)&lt;24,ROUND($AV157,0)&amp;" giờ",INT(ROUND($AV157,0)/24)&amp;" ngày"&amp;IF(MOD(ROUND($AV157,0),24)&gt;0," "&amp;MOD(ROUND($AV157,0),24)&amp;" giờ","")))))</f>
      </c>
      <c r="AF157" s="223">
        <f>IF(OR($A157="",N($AU157)=0),"",IF($AV157&lt;&gt;"",IF($AV157&lt;=$AU157,"Trong ước tính","Vượt "&amp;IF(($AV157-$AU157)&lt;1,MAX(1,ROUND(($AV157-$AU157)*60,0))&amp;" phút",IF(ROUND(($AV157-$AU157),0)&lt;24,ROUND(($AV157-$AU157),0)&amp;" giờ",INT(ROUND(($AV157-$AU157),0)/24)&amp;" ngày"&amp;IF(MOD(ROUND(($AV157-$AU157),0),24)&gt;0," "&amp;MOD(ROUND(($AV157-$AU157),0),24)&amp;" giờ","")))),IF(OR($B157&lt;&gt;"Đột xuất",$AA157="Hoàn thành",N($J157)=0),"",IF((TDBC-$J157)*24&gt;$AU157,"Đã vượt ước tính","Đã dùng "&amp;TEXT((TDBC-$J157)*24/$AU157,"0%")))))</f>
      </c>
      <c r="AG157" s="223">
        <f>IF(N($BB157)=0,"",CHOOSE($BB157,"Nhắc nhở","Cảnh báo","Báo động","Báo động đỏ"))</f>
      </c>
      <c r="AH157" s="223">
        <f>IF(OR($B157&lt;&gt;"Đột xuất",$AA157&lt;&gt;"Hoàn thành",N($X157)=0,$AW157=0),"",IF($X157&lt;=$AW157,"Đúng hạn","Trễ hạn"))</f>
      </c>
      <c r="AI157" s="220">
        <f>IF($A157="","",_xlfn.MAXIFS('Nhật ký tiến độ'!$B$6:$B$3005,'Nhật ký tiến độ'!$C$6:$C$3005,$A157))</f>
      </c>
      <c r="AJ157" s="225">
        <f>IF(OR($A157="",$B157&lt;&gt;"Định kỳ"),0,IFERROR(INDEX(DM_TanSuatNgay,MATCH($H157,DM_TanSuat,0)),0))</f>
      </c>
      <c r="AK157" s="225">
        <f>IF(OR($A157="",$B157&lt;&gt;"Định kỳ"),0,IFERROR(INDEX(DM_TanSuatThang,MATCH($H157,DM_TanSuat,0)),0))</f>
      </c>
      <c r="AL157" s="225">
        <f>IF(OR($A157="",$B157&lt;&gt;"Định kỳ",N($X157)=0,N($I157)=0),"",IF(INT($X157)&lt;$I157,0,IF($AJ157&gt;0,ROUND((INT($X157)-$I157)/$AJ157,0),IF($AK157&gt;0,ROUND((DATEDIF($I157,INT($X157),"m")+(INT($X157)-EDATE($I157,DATEDIF($I157,INT($X157),"m")))/(EDATE($I157,DATEDIF($I157,INT($X157),"m")+1)-EDATE($I157,DATEDIF($I157,INT($X157),"m"))))/$AK157,0),0))))</f>
      </c>
      <c r="AM157" s="225">
        <f>IF($A157="","",IF(COUNTIF('Nhật ký tiến độ'!$C$6:$C$3005,$A157)=0,0,_xlfn.MAXIFS('Nhật ký tiến độ'!$N$6:$N$3005,'Nhật ký tiến độ'!$C$6:$C$3005,$A157,'Nhật ký tiến độ'!$B$6:$B$3005,_xlfn.MAXIFS('Nhật ký tiến độ'!$B$6:$B$3005,'Nhật ký tiến độ'!$C$6:$C$3005,$A157))))</f>
      </c>
      <c r="AN157" s="225">
        <f>IF($A157="","",IF(N($AM157)=0,"",INDEX('Nhật ký tiến độ'!$E:$E,$AM157)))</f>
      </c>
      <c r="AO157" s="225">
        <f>IF($A157="",0,IF($AA157="Hoàn thành",0,1))</f>
      </c>
      <c r="AP157" s="225">
        <f>IF($AO157=0,0,INT(N($AW157)))</f>
      </c>
      <c r="AQ157" s="225">
        <f>IF(AND($AO157=1,$AJ157&gt;1),$AJ157,0)</f>
      </c>
      <c r="AR157" s="225">
        <f>IF(AND($AO157=1,$AJ157=1),1,0)</f>
      </c>
      <c r="AS157" s="225">
        <f>IF(OR($AO157=0,AND($AR157=1,N($BB157)=0)),"",IF(N($BB157)&gt;0,5-$BB157,IF($AD157="Chậm tiến độ",6,IF($AD157="Đến hạn hôm nay",7,IF(AND($AP157&gt;0,$AP157-NgayBC&lt;=7),8,"")))))</f>
      </c>
      <c r="AT157" s="225">
        <f>IF($AS157="","",$AS157*100000+$AP157+ROW()/100000)</f>
      </c>
      <c r="AU157" s="224">
        <f>IF(OR($A157="",N($R157)&lt;=0),"",IF($S157="Ngày",$R157*24,$R157))</f>
      </c>
      <c r="AV157" s="224">
        <f>IF($A157="","",IF($B157="Đột xuất",IF(OR($AA157&lt;&gt;"Hoàn thành",N($X157)=0,N($J157)=0),"",IF($X157&lt;$J157,"",($X157-$J157)*24)),IFERROR(AVERAGEIFS('Nhật ký tiến độ'!$H$6:$H$3005,'Nhật ký tiến độ'!$C$6:$C$3005,$A157,'Nhật ký tiến độ'!$H$6:$H$3005,"&gt;0"),"")))</f>
      </c>
      <c r="AW157" s="233">
        <f>IF($A157="",0,IF($B157="Đột xuất",$AY157,IF($AX157=0,0,$AX157+1-1/1440)))</f>
      </c>
      <c r="AX157" s="234">
        <f>IF(OR($A157="",$B157&lt;&gt;"Định kỳ",N($I157)=0),0,IF($AL157="",$I157,IF($AJ157&gt;0,$I157+($AL157+1)*$AJ157,IF($AK157&gt;0,EDATE($I157,($AL157+1)*$AK157),$I157))))</f>
      </c>
      <c r="AY157" s="233">
        <f>IF(OR($A157="",$B157&lt;&gt;"Đột xuất"),0,IF(N($K157)&gt;0,IF(MOD($K157,1)=0,$K157+1-1/1440,$K157),IF(N($J157)=0,0,$J157+IF(N($AU157)&gt;0,$AU157,IFERROR(INDEX(DM_SLA_Gio,MATCH($L157,DM_SLA_Cap,0)),168))/24)))</f>
      </c>
      <c r="AZ157" s="225">
        <f>IF(OR($A157="",TRIM($N157)="",COUNTIF('Phản ánh'!$K$6:$K$505,$N157)&gt;0,COUNTIF($N$6:$N157,$N157)&gt;1),0,1)</f>
      </c>
      <c r="BA157" s="225">
        <f>IF($AZ157=1,SUM($AZ$6:$AZ157),"")</f>
      </c>
      <c r="BB157" s="225">
        <f>IF(OR($AO157=0,N($AW157)=0),0,IF(TDBC&lt;=$AW157,0,MAX(1,MIN(4,IF((TDBC-$AW157)*24&lt;24,1,IF((TDBC-$AW157)*24&lt;72,2,IF((TDBC-$AW157)*24&lt;168,3,4)))+IF($B157="Đột xuất",IFERROR(INDEX({2,1,0,-1},MATCH($L157,{"Khẩn cấp","Cao","Trung bình","Thấp"},0)),0),IF($D157="PCCC và an ninh",1,0))))))</f>
      </c>
    </row>
    <row r="158">
      <c r="A158" s="216"/>
      <c r="B158" s="216"/>
      <c r="C158" s="218"/>
      <c r="D158" s="218"/>
      <c r="E158" s="218"/>
      <c r="F158" s="216"/>
      <c r="G158" s="218"/>
      <c r="H158" s="218"/>
      <c r="I158" s="231"/>
      <c r="J158" s="217"/>
      <c r="K158" s="217"/>
      <c r="L158" s="216"/>
      <c r="M158" s="216"/>
      <c r="N158" s="218"/>
      <c r="O158" s="218"/>
      <c r="P158" s="218"/>
      <c r="Q158" s="218"/>
      <c r="R158" s="219"/>
      <c r="S158" s="216"/>
      <c r="T158" s="232"/>
      <c r="U158" s="232"/>
      <c r="V158" s="218"/>
      <c r="W158" s="218"/>
      <c r="X158" s="220">
        <f>IF($A158="","",IF(OR($B158="Định kỳ",$AA158="Hoàn thành"),MAX(_xlfn.MAXIFS('Nhật ký tiến độ'!$B$6:$B$3005,'Nhật ký tiến độ'!$C$6:$C$3005,$A158,'Nhật ký tiến độ'!$E$6:$E$3005,"Hoàn thành kỳ"),_xlfn.MAXIFS('Nhật ký tiến độ'!$B$6:$B$3005,'Nhật ký tiến độ'!$C$6:$C$3005,$A158,'Nhật ký tiến độ'!$E$6:$E$3005,"Hoàn thành")),0))</f>
      </c>
      <c r="Y158" s="220">
        <f>IF($A158="","",IF($B158="Đột xuất",IF($AY158=0,"",$AY158),IF($AX158=0,"",$AX158)))</f>
      </c>
      <c r="Z158" s="223">
        <f>IF(OR($AO158=0,$AW158=0),"",IF(TDBC&gt;$AW158,"Quá "&amp;IF($B158="Định kỳ",(NgayBC-$AP158)&amp;" ngày",IF(((TDBC-$AW158)*24)&lt;1,MAX(1,ROUND(((TDBC-$AW158)*24)*60,0))&amp;" phút",IF(ROUND(((TDBC-$AW158)*24),0)&lt;24,ROUND(((TDBC-$AW158)*24),0)&amp;" giờ",INT(ROUND(((TDBC-$AW158)*24),0)/24)&amp;" ngày"&amp;IF(MOD(ROUND(((TDBC-$AW158)*24),0),24)&gt;0," "&amp;MOD(ROUND(((TDBC-$AW158)*24),0),24)&amp;" giờ","")))),IF($B158="Định kỳ",IF($AP158=NgayBC,"Hôm nay","Còn "&amp;($AP158-NgayBC)&amp;" ngày"),"Còn "&amp;IF((($AW158-TDBC)*24)&lt;1,MAX(1,ROUND((($AW158-TDBC)*24)*60,0))&amp;" phút",IF(ROUND((($AW158-TDBC)*24),0)&lt;24,ROUND((($AW158-TDBC)*24),0)&amp;" giờ",INT(ROUND((($AW158-TDBC)*24),0)/24)&amp;" ngày"&amp;IF(MOD(ROUND((($AW158-TDBC)*24),0),24)&gt;0," "&amp;MOD(ROUND((($AW158-TDBC)*24),0),24)&amp;" giờ",""))))))</f>
      </c>
      <c r="AA158" s="221">
        <f>IF($A158="","",IF(N($AM158)=0,"Chưa bắt đầu",IF(OR($AN158="Hoàn thành kỳ",$AN158="Hoàn thành"),IF($B158="Định kỳ","Chưa bắt đầu","Hoàn thành"),$AN158)))</f>
      </c>
      <c r="AB158" s="222">
        <f>IF($A158="","",IF($AA158="Hoàn thành",1,IF(OR(N($AM158)=0,$AN158="Hoàn thành kỳ",$AN158="Hoàn thành"),0,N(INDEX('Nhật ký tiến độ'!$D:$D,$AM158)))))</f>
      </c>
      <c r="AC158" s="222">
        <f>IF(OR($A158="",$B158&lt;&gt;"Đột xuất",$AA158="Hoàn thành",N($J158)=0,$AW158=0),"",IF(TDBC&lt;=$J158,0,IF(TDBC&gt;=$AW158,1,(TDBC-$J158)/($AW158-$J158))))</f>
      </c>
      <c r="AD158" s="223">
        <f>IF($A158="","",IF($AA158="Hoàn thành","Hoàn thành",IF($AW158=0,"Chưa đặt hạn",IF(TDBC&gt;$AW158,"Quá hạn",IF(AND($B158="Đột xuất",ROUND((N($AC158)-$AB158)*100,0)&gt;=20),"Chậm tiến độ",IF($AP158=NgayBC,"Đến hạn hôm nay",IF($B158="Đột xuất",IF($AW158-TDBC&lt;=1,"Sắp đến hạn","Đúng tiến độ"),IF($AP158-NgayBC&lt;=3,"Sắp đến hạn","Theo lịch"))))))))</f>
      </c>
      <c r="AE158" s="223">
        <f>IF($AV158="","",IF($B158="Định kỳ","Bình quân "&amp;IF($AV158&lt;1,MAX(1,ROUND($AV158*60,0))&amp;" phút",IF(ROUND($AV158,0)&lt;24,ROUND($AV158,0)&amp;" giờ",INT(ROUND($AV158,0)/24)&amp;" ngày"&amp;IF(MOD(ROUND($AV158,0),24)&gt;0," "&amp;MOD(ROUND($AV158,0),24)&amp;" giờ","")))&amp;" mỗi kỳ",IF($AV158&lt;1,MAX(1,ROUND($AV158*60,0))&amp;" phút",IF(ROUND($AV158,0)&lt;24,ROUND($AV158,0)&amp;" giờ",INT(ROUND($AV158,0)/24)&amp;" ngày"&amp;IF(MOD(ROUND($AV158,0),24)&gt;0," "&amp;MOD(ROUND($AV158,0),24)&amp;" giờ","")))))</f>
      </c>
      <c r="AF158" s="223">
        <f>IF(OR($A158="",N($AU158)=0),"",IF($AV158&lt;&gt;"",IF($AV158&lt;=$AU158,"Trong ước tính","Vượt "&amp;IF(($AV158-$AU158)&lt;1,MAX(1,ROUND(($AV158-$AU158)*60,0))&amp;" phút",IF(ROUND(($AV158-$AU158),0)&lt;24,ROUND(($AV158-$AU158),0)&amp;" giờ",INT(ROUND(($AV158-$AU158),0)/24)&amp;" ngày"&amp;IF(MOD(ROUND(($AV158-$AU158),0),24)&gt;0," "&amp;MOD(ROUND(($AV158-$AU158),0),24)&amp;" giờ","")))),IF(OR($B158&lt;&gt;"Đột xuất",$AA158="Hoàn thành",N($J158)=0),"",IF((TDBC-$J158)*24&gt;$AU158,"Đã vượt ước tính","Đã dùng "&amp;TEXT((TDBC-$J158)*24/$AU158,"0%")))))</f>
      </c>
      <c r="AG158" s="223">
        <f>IF(N($BB158)=0,"",CHOOSE($BB158,"Nhắc nhở","Cảnh báo","Báo động","Báo động đỏ"))</f>
      </c>
      <c r="AH158" s="223">
        <f>IF(OR($B158&lt;&gt;"Đột xuất",$AA158&lt;&gt;"Hoàn thành",N($X158)=0,$AW158=0),"",IF($X158&lt;=$AW158,"Đúng hạn","Trễ hạn"))</f>
      </c>
      <c r="AI158" s="220">
        <f>IF($A158="","",_xlfn.MAXIFS('Nhật ký tiến độ'!$B$6:$B$3005,'Nhật ký tiến độ'!$C$6:$C$3005,$A158))</f>
      </c>
      <c r="AJ158" s="225">
        <f>IF(OR($A158="",$B158&lt;&gt;"Định kỳ"),0,IFERROR(INDEX(DM_TanSuatNgay,MATCH($H158,DM_TanSuat,0)),0))</f>
      </c>
      <c r="AK158" s="225">
        <f>IF(OR($A158="",$B158&lt;&gt;"Định kỳ"),0,IFERROR(INDEX(DM_TanSuatThang,MATCH($H158,DM_TanSuat,0)),0))</f>
      </c>
      <c r="AL158" s="225">
        <f>IF(OR($A158="",$B158&lt;&gt;"Định kỳ",N($X158)=0,N($I158)=0),"",IF(INT($X158)&lt;$I158,0,IF($AJ158&gt;0,ROUND((INT($X158)-$I158)/$AJ158,0),IF($AK158&gt;0,ROUND((DATEDIF($I158,INT($X158),"m")+(INT($X158)-EDATE($I158,DATEDIF($I158,INT($X158),"m")))/(EDATE($I158,DATEDIF($I158,INT($X158),"m")+1)-EDATE($I158,DATEDIF($I158,INT($X158),"m"))))/$AK158,0),0))))</f>
      </c>
      <c r="AM158" s="225">
        <f>IF($A158="","",IF(COUNTIF('Nhật ký tiến độ'!$C$6:$C$3005,$A158)=0,0,_xlfn.MAXIFS('Nhật ký tiến độ'!$N$6:$N$3005,'Nhật ký tiến độ'!$C$6:$C$3005,$A158,'Nhật ký tiến độ'!$B$6:$B$3005,_xlfn.MAXIFS('Nhật ký tiến độ'!$B$6:$B$3005,'Nhật ký tiến độ'!$C$6:$C$3005,$A158))))</f>
      </c>
      <c r="AN158" s="225">
        <f>IF($A158="","",IF(N($AM158)=0,"",INDEX('Nhật ký tiến độ'!$E:$E,$AM158)))</f>
      </c>
      <c r="AO158" s="225">
        <f>IF($A158="",0,IF($AA158="Hoàn thành",0,1))</f>
      </c>
      <c r="AP158" s="225">
        <f>IF($AO158=0,0,INT(N($AW158)))</f>
      </c>
      <c r="AQ158" s="225">
        <f>IF(AND($AO158=1,$AJ158&gt;1),$AJ158,0)</f>
      </c>
      <c r="AR158" s="225">
        <f>IF(AND($AO158=1,$AJ158=1),1,0)</f>
      </c>
      <c r="AS158" s="225">
        <f>IF(OR($AO158=0,AND($AR158=1,N($BB158)=0)),"",IF(N($BB158)&gt;0,5-$BB158,IF($AD158="Chậm tiến độ",6,IF($AD158="Đến hạn hôm nay",7,IF(AND($AP158&gt;0,$AP158-NgayBC&lt;=7),8,"")))))</f>
      </c>
      <c r="AT158" s="225">
        <f>IF($AS158="","",$AS158*100000+$AP158+ROW()/100000)</f>
      </c>
      <c r="AU158" s="224">
        <f>IF(OR($A158="",N($R158)&lt;=0),"",IF($S158="Ngày",$R158*24,$R158))</f>
      </c>
      <c r="AV158" s="224">
        <f>IF($A158="","",IF($B158="Đột xuất",IF(OR($AA158&lt;&gt;"Hoàn thành",N($X158)=0,N($J158)=0),"",IF($X158&lt;$J158,"",($X158-$J158)*24)),IFERROR(AVERAGEIFS('Nhật ký tiến độ'!$H$6:$H$3005,'Nhật ký tiến độ'!$C$6:$C$3005,$A158,'Nhật ký tiến độ'!$H$6:$H$3005,"&gt;0"),"")))</f>
      </c>
      <c r="AW158" s="233">
        <f>IF($A158="",0,IF($B158="Đột xuất",$AY158,IF($AX158=0,0,$AX158+1-1/1440)))</f>
      </c>
      <c r="AX158" s="234">
        <f>IF(OR($A158="",$B158&lt;&gt;"Định kỳ",N($I158)=0),0,IF($AL158="",$I158,IF($AJ158&gt;0,$I158+($AL158+1)*$AJ158,IF($AK158&gt;0,EDATE($I158,($AL158+1)*$AK158),$I158))))</f>
      </c>
      <c r="AY158" s="233">
        <f>IF(OR($A158="",$B158&lt;&gt;"Đột xuất"),0,IF(N($K158)&gt;0,IF(MOD($K158,1)=0,$K158+1-1/1440,$K158),IF(N($J158)=0,0,$J158+IF(N($AU158)&gt;0,$AU158,IFERROR(INDEX(DM_SLA_Gio,MATCH($L158,DM_SLA_Cap,0)),168))/24)))</f>
      </c>
      <c r="AZ158" s="225">
        <f>IF(OR($A158="",TRIM($N158)="",COUNTIF('Phản ánh'!$K$6:$K$505,$N158)&gt;0,COUNTIF($N$6:$N158,$N158)&gt;1),0,1)</f>
      </c>
      <c r="BA158" s="225">
        <f>IF($AZ158=1,SUM($AZ$6:$AZ158),"")</f>
      </c>
      <c r="BB158" s="225">
        <f>IF(OR($AO158=0,N($AW158)=0),0,IF(TDBC&lt;=$AW158,0,MAX(1,MIN(4,IF((TDBC-$AW158)*24&lt;24,1,IF((TDBC-$AW158)*24&lt;72,2,IF((TDBC-$AW158)*24&lt;168,3,4)))+IF($B158="Đột xuất",IFERROR(INDEX({2,1,0,-1},MATCH($L158,{"Khẩn cấp","Cao","Trung bình","Thấp"},0)),0),IF($D158="PCCC và an ninh",1,0))))))</f>
      </c>
    </row>
    <row r="159">
      <c r="A159" s="216"/>
      <c r="B159" s="216"/>
      <c r="C159" s="218"/>
      <c r="D159" s="218"/>
      <c r="E159" s="218"/>
      <c r="F159" s="216"/>
      <c r="G159" s="218"/>
      <c r="H159" s="218"/>
      <c r="I159" s="231"/>
      <c r="J159" s="217"/>
      <c r="K159" s="217"/>
      <c r="L159" s="216"/>
      <c r="M159" s="216"/>
      <c r="N159" s="218"/>
      <c r="O159" s="218"/>
      <c r="P159" s="218"/>
      <c r="Q159" s="218"/>
      <c r="R159" s="219"/>
      <c r="S159" s="216"/>
      <c r="T159" s="232"/>
      <c r="U159" s="232"/>
      <c r="V159" s="218"/>
      <c r="W159" s="218"/>
      <c r="X159" s="220">
        <f>IF($A159="","",IF(OR($B159="Định kỳ",$AA159="Hoàn thành"),MAX(_xlfn.MAXIFS('Nhật ký tiến độ'!$B$6:$B$3005,'Nhật ký tiến độ'!$C$6:$C$3005,$A159,'Nhật ký tiến độ'!$E$6:$E$3005,"Hoàn thành kỳ"),_xlfn.MAXIFS('Nhật ký tiến độ'!$B$6:$B$3005,'Nhật ký tiến độ'!$C$6:$C$3005,$A159,'Nhật ký tiến độ'!$E$6:$E$3005,"Hoàn thành")),0))</f>
      </c>
      <c r="Y159" s="220">
        <f>IF($A159="","",IF($B159="Đột xuất",IF($AY159=0,"",$AY159),IF($AX159=0,"",$AX159)))</f>
      </c>
      <c r="Z159" s="223">
        <f>IF(OR($AO159=0,$AW159=0),"",IF(TDBC&gt;$AW159,"Quá "&amp;IF($B159="Định kỳ",(NgayBC-$AP159)&amp;" ngày",IF(((TDBC-$AW159)*24)&lt;1,MAX(1,ROUND(((TDBC-$AW159)*24)*60,0))&amp;" phút",IF(ROUND(((TDBC-$AW159)*24),0)&lt;24,ROUND(((TDBC-$AW159)*24),0)&amp;" giờ",INT(ROUND(((TDBC-$AW159)*24),0)/24)&amp;" ngày"&amp;IF(MOD(ROUND(((TDBC-$AW159)*24),0),24)&gt;0," "&amp;MOD(ROUND(((TDBC-$AW159)*24),0),24)&amp;" giờ","")))),IF($B159="Định kỳ",IF($AP159=NgayBC,"Hôm nay","Còn "&amp;($AP159-NgayBC)&amp;" ngày"),"Còn "&amp;IF((($AW159-TDBC)*24)&lt;1,MAX(1,ROUND((($AW159-TDBC)*24)*60,0))&amp;" phút",IF(ROUND((($AW159-TDBC)*24),0)&lt;24,ROUND((($AW159-TDBC)*24),0)&amp;" giờ",INT(ROUND((($AW159-TDBC)*24),0)/24)&amp;" ngày"&amp;IF(MOD(ROUND((($AW159-TDBC)*24),0),24)&gt;0," "&amp;MOD(ROUND((($AW159-TDBC)*24),0),24)&amp;" giờ",""))))))</f>
      </c>
      <c r="AA159" s="221">
        <f>IF($A159="","",IF(N($AM159)=0,"Chưa bắt đầu",IF(OR($AN159="Hoàn thành kỳ",$AN159="Hoàn thành"),IF($B159="Định kỳ","Chưa bắt đầu","Hoàn thành"),$AN159)))</f>
      </c>
      <c r="AB159" s="222">
        <f>IF($A159="","",IF($AA159="Hoàn thành",1,IF(OR(N($AM159)=0,$AN159="Hoàn thành kỳ",$AN159="Hoàn thành"),0,N(INDEX('Nhật ký tiến độ'!$D:$D,$AM159)))))</f>
      </c>
      <c r="AC159" s="222">
        <f>IF(OR($A159="",$B159&lt;&gt;"Đột xuất",$AA159="Hoàn thành",N($J159)=0,$AW159=0),"",IF(TDBC&lt;=$J159,0,IF(TDBC&gt;=$AW159,1,(TDBC-$J159)/($AW159-$J159))))</f>
      </c>
      <c r="AD159" s="223">
        <f>IF($A159="","",IF($AA159="Hoàn thành","Hoàn thành",IF($AW159=0,"Chưa đặt hạn",IF(TDBC&gt;$AW159,"Quá hạn",IF(AND($B159="Đột xuất",ROUND((N($AC159)-$AB159)*100,0)&gt;=20),"Chậm tiến độ",IF($AP159=NgayBC,"Đến hạn hôm nay",IF($B159="Đột xuất",IF($AW159-TDBC&lt;=1,"Sắp đến hạn","Đúng tiến độ"),IF($AP159-NgayBC&lt;=3,"Sắp đến hạn","Theo lịch"))))))))</f>
      </c>
      <c r="AE159" s="223">
        <f>IF($AV159="","",IF($B159="Định kỳ","Bình quân "&amp;IF($AV159&lt;1,MAX(1,ROUND($AV159*60,0))&amp;" phút",IF(ROUND($AV159,0)&lt;24,ROUND($AV159,0)&amp;" giờ",INT(ROUND($AV159,0)/24)&amp;" ngày"&amp;IF(MOD(ROUND($AV159,0),24)&gt;0," "&amp;MOD(ROUND($AV159,0),24)&amp;" giờ","")))&amp;" mỗi kỳ",IF($AV159&lt;1,MAX(1,ROUND($AV159*60,0))&amp;" phút",IF(ROUND($AV159,0)&lt;24,ROUND($AV159,0)&amp;" giờ",INT(ROUND($AV159,0)/24)&amp;" ngày"&amp;IF(MOD(ROUND($AV159,0),24)&gt;0," "&amp;MOD(ROUND($AV159,0),24)&amp;" giờ","")))))</f>
      </c>
      <c r="AF159" s="223">
        <f>IF(OR($A159="",N($AU159)=0),"",IF($AV159&lt;&gt;"",IF($AV159&lt;=$AU159,"Trong ước tính","Vượt "&amp;IF(($AV159-$AU159)&lt;1,MAX(1,ROUND(($AV159-$AU159)*60,0))&amp;" phút",IF(ROUND(($AV159-$AU159),0)&lt;24,ROUND(($AV159-$AU159),0)&amp;" giờ",INT(ROUND(($AV159-$AU159),0)/24)&amp;" ngày"&amp;IF(MOD(ROUND(($AV159-$AU159),0),24)&gt;0," "&amp;MOD(ROUND(($AV159-$AU159),0),24)&amp;" giờ","")))),IF(OR($B159&lt;&gt;"Đột xuất",$AA159="Hoàn thành",N($J159)=0),"",IF((TDBC-$J159)*24&gt;$AU159,"Đã vượt ước tính","Đã dùng "&amp;TEXT((TDBC-$J159)*24/$AU159,"0%")))))</f>
      </c>
      <c r="AG159" s="223">
        <f>IF(N($BB159)=0,"",CHOOSE($BB159,"Nhắc nhở","Cảnh báo","Báo động","Báo động đỏ"))</f>
      </c>
      <c r="AH159" s="223">
        <f>IF(OR($B159&lt;&gt;"Đột xuất",$AA159&lt;&gt;"Hoàn thành",N($X159)=0,$AW159=0),"",IF($X159&lt;=$AW159,"Đúng hạn","Trễ hạn"))</f>
      </c>
      <c r="AI159" s="220">
        <f>IF($A159="","",_xlfn.MAXIFS('Nhật ký tiến độ'!$B$6:$B$3005,'Nhật ký tiến độ'!$C$6:$C$3005,$A159))</f>
      </c>
      <c r="AJ159" s="225">
        <f>IF(OR($A159="",$B159&lt;&gt;"Định kỳ"),0,IFERROR(INDEX(DM_TanSuatNgay,MATCH($H159,DM_TanSuat,0)),0))</f>
      </c>
      <c r="AK159" s="225">
        <f>IF(OR($A159="",$B159&lt;&gt;"Định kỳ"),0,IFERROR(INDEX(DM_TanSuatThang,MATCH($H159,DM_TanSuat,0)),0))</f>
      </c>
      <c r="AL159" s="225">
        <f>IF(OR($A159="",$B159&lt;&gt;"Định kỳ",N($X159)=0,N($I159)=0),"",IF(INT($X159)&lt;$I159,0,IF($AJ159&gt;0,ROUND((INT($X159)-$I159)/$AJ159,0),IF($AK159&gt;0,ROUND((DATEDIF($I159,INT($X159),"m")+(INT($X159)-EDATE($I159,DATEDIF($I159,INT($X159),"m")))/(EDATE($I159,DATEDIF($I159,INT($X159),"m")+1)-EDATE($I159,DATEDIF($I159,INT($X159),"m"))))/$AK159,0),0))))</f>
      </c>
      <c r="AM159" s="225">
        <f>IF($A159="","",IF(COUNTIF('Nhật ký tiến độ'!$C$6:$C$3005,$A159)=0,0,_xlfn.MAXIFS('Nhật ký tiến độ'!$N$6:$N$3005,'Nhật ký tiến độ'!$C$6:$C$3005,$A159,'Nhật ký tiến độ'!$B$6:$B$3005,_xlfn.MAXIFS('Nhật ký tiến độ'!$B$6:$B$3005,'Nhật ký tiến độ'!$C$6:$C$3005,$A159))))</f>
      </c>
      <c r="AN159" s="225">
        <f>IF($A159="","",IF(N($AM159)=0,"",INDEX('Nhật ký tiến độ'!$E:$E,$AM159)))</f>
      </c>
      <c r="AO159" s="225">
        <f>IF($A159="",0,IF($AA159="Hoàn thành",0,1))</f>
      </c>
      <c r="AP159" s="225">
        <f>IF($AO159=0,0,INT(N($AW159)))</f>
      </c>
      <c r="AQ159" s="225">
        <f>IF(AND($AO159=1,$AJ159&gt;1),$AJ159,0)</f>
      </c>
      <c r="AR159" s="225">
        <f>IF(AND($AO159=1,$AJ159=1),1,0)</f>
      </c>
      <c r="AS159" s="225">
        <f>IF(OR($AO159=0,AND($AR159=1,N($BB159)=0)),"",IF(N($BB159)&gt;0,5-$BB159,IF($AD159="Chậm tiến độ",6,IF($AD159="Đến hạn hôm nay",7,IF(AND($AP159&gt;0,$AP159-NgayBC&lt;=7),8,"")))))</f>
      </c>
      <c r="AT159" s="225">
        <f>IF($AS159="","",$AS159*100000+$AP159+ROW()/100000)</f>
      </c>
      <c r="AU159" s="224">
        <f>IF(OR($A159="",N($R159)&lt;=0),"",IF($S159="Ngày",$R159*24,$R159))</f>
      </c>
      <c r="AV159" s="224">
        <f>IF($A159="","",IF($B159="Đột xuất",IF(OR($AA159&lt;&gt;"Hoàn thành",N($X159)=0,N($J159)=0),"",IF($X159&lt;$J159,"",($X159-$J159)*24)),IFERROR(AVERAGEIFS('Nhật ký tiến độ'!$H$6:$H$3005,'Nhật ký tiến độ'!$C$6:$C$3005,$A159,'Nhật ký tiến độ'!$H$6:$H$3005,"&gt;0"),"")))</f>
      </c>
      <c r="AW159" s="233">
        <f>IF($A159="",0,IF($B159="Đột xuất",$AY159,IF($AX159=0,0,$AX159+1-1/1440)))</f>
      </c>
      <c r="AX159" s="234">
        <f>IF(OR($A159="",$B159&lt;&gt;"Định kỳ",N($I159)=0),0,IF($AL159="",$I159,IF($AJ159&gt;0,$I159+($AL159+1)*$AJ159,IF($AK159&gt;0,EDATE($I159,($AL159+1)*$AK159),$I159))))</f>
      </c>
      <c r="AY159" s="233">
        <f>IF(OR($A159="",$B159&lt;&gt;"Đột xuất"),0,IF(N($K159)&gt;0,IF(MOD($K159,1)=0,$K159+1-1/1440,$K159),IF(N($J159)=0,0,$J159+IF(N($AU159)&gt;0,$AU159,IFERROR(INDEX(DM_SLA_Gio,MATCH($L159,DM_SLA_Cap,0)),168))/24)))</f>
      </c>
      <c r="AZ159" s="225">
        <f>IF(OR($A159="",TRIM($N159)="",COUNTIF('Phản ánh'!$K$6:$K$505,$N159)&gt;0,COUNTIF($N$6:$N159,$N159)&gt;1),0,1)</f>
      </c>
      <c r="BA159" s="225">
        <f>IF($AZ159=1,SUM($AZ$6:$AZ159),"")</f>
      </c>
      <c r="BB159" s="225">
        <f>IF(OR($AO159=0,N($AW159)=0),0,IF(TDBC&lt;=$AW159,0,MAX(1,MIN(4,IF((TDBC-$AW159)*24&lt;24,1,IF((TDBC-$AW159)*24&lt;72,2,IF((TDBC-$AW159)*24&lt;168,3,4)))+IF($B159="Đột xuất",IFERROR(INDEX({2,1,0,-1},MATCH($L159,{"Khẩn cấp","Cao","Trung bình","Thấp"},0)),0),IF($D159="PCCC và an ninh",1,0))))))</f>
      </c>
    </row>
    <row r="160">
      <c r="A160" s="216"/>
      <c r="B160" s="216"/>
      <c r="C160" s="218"/>
      <c r="D160" s="218"/>
      <c r="E160" s="218"/>
      <c r="F160" s="216"/>
      <c r="G160" s="218"/>
      <c r="H160" s="218"/>
      <c r="I160" s="231"/>
      <c r="J160" s="217"/>
      <c r="K160" s="217"/>
      <c r="L160" s="216"/>
      <c r="M160" s="216"/>
      <c r="N160" s="218"/>
      <c r="O160" s="218"/>
      <c r="P160" s="218"/>
      <c r="Q160" s="218"/>
      <c r="R160" s="219"/>
      <c r="S160" s="216"/>
      <c r="T160" s="232"/>
      <c r="U160" s="232"/>
      <c r="V160" s="218"/>
      <c r="W160" s="218"/>
      <c r="X160" s="220">
        <f>IF($A160="","",IF(OR($B160="Định kỳ",$AA160="Hoàn thành"),MAX(_xlfn.MAXIFS('Nhật ký tiến độ'!$B$6:$B$3005,'Nhật ký tiến độ'!$C$6:$C$3005,$A160,'Nhật ký tiến độ'!$E$6:$E$3005,"Hoàn thành kỳ"),_xlfn.MAXIFS('Nhật ký tiến độ'!$B$6:$B$3005,'Nhật ký tiến độ'!$C$6:$C$3005,$A160,'Nhật ký tiến độ'!$E$6:$E$3005,"Hoàn thành")),0))</f>
      </c>
      <c r="Y160" s="220">
        <f>IF($A160="","",IF($B160="Đột xuất",IF($AY160=0,"",$AY160),IF($AX160=0,"",$AX160)))</f>
      </c>
      <c r="Z160" s="223">
        <f>IF(OR($AO160=0,$AW160=0),"",IF(TDBC&gt;$AW160,"Quá "&amp;IF($B160="Định kỳ",(NgayBC-$AP160)&amp;" ngày",IF(((TDBC-$AW160)*24)&lt;1,MAX(1,ROUND(((TDBC-$AW160)*24)*60,0))&amp;" phút",IF(ROUND(((TDBC-$AW160)*24),0)&lt;24,ROUND(((TDBC-$AW160)*24),0)&amp;" giờ",INT(ROUND(((TDBC-$AW160)*24),0)/24)&amp;" ngày"&amp;IF(MOD(ROUND(((TDBC-$AW160)*24),0),24)&gt;0," "&amp;MOD(ROUND(((TDBC-$AW160)*24),0),24)&amp;" giờ","")))),IF($B160="Định kỳ",IF($AP160=NgayBC,"Hôm nay","Còn "&amp;($AP160-NgayBC)&amp;" ngày"),"Còn "&amp;IF((($AW160-TDBC)*24)&lt;1,MAX(1,ROUND((($AW160-TDBC)*24)*60,0))&amp;" phút",IF(ROUND((($AW160-TDBC)*24),0)&lt;24,ROUND((($AW160-TDBC)*24),0)&amp;" giờ",INT(ROUND((($AW160-TDBC)*24),0)/24)&amp;" ngày"&amp;IF(MOD(ROUND((($AW160-TDBC)*24),0),24)&gt;0," "&amp;MOD(ROUND((($AW160-TDBC)*24),0),24)&amp;" giờ",""))))))</f>
      </c>
      <c r="AA160" s="221">
        <f>IF($A160="","",IF(N($AM160)=0,"Chưa bắt đầu",IF(OR($AN160="Hoàn thành kỳ",$AN160="Hoàn thành"),IF($B160="Định kỳ","Chưa bắt đầu","Hoàn thành"),$AN160)))</f>
      </c>
      <c r="AB160" s="222">
        <f>IF($A160="","",IF($AA160="Hoàn thành",1,IF(OR(N($AM160)=0,$AN160="Hoàn thành kỳ",$AN160="Hoàn thành"),0,N(INDEX('Nhật ký tiến độ'!$D:$D,$AM160)))))</f>
      </c>
      <c r="AC160" s="222">
        <f>IF(OR($A160="",$B160&lt;&gt;"Đột xuất",$AA160="Hoàn thành",N($J160)=0,$AW160=0),"",IF(TDBC&lt;=$J160,0,IF(TDBC&gt;=$AW160,1,(TDBC-$J160)/($AW160-$J160))))</f>
      </c>
      <c r="AD160" s="223">
        <f>IF($A160="","",IF($AA160="Hoàn thành","Hoàn thành",IF($AW160=0,"Chưa đặt hạn",IF(TDBC&gt;$AW160,"Quá hạn",IF(AND($B160="Đột xuất",ROUND((N($AC160)-$AB160)*100,0)&gt;=20),"Chậm tiến độ",IF($AP160=NgayBC,"Đến hạn hôm nay",IF($B160="Đột xuất",IF($AW160-TDBC&lt;=1,"Sắp đến hạn","Đúng tiến độ"),IF($AP160-NgayBC&lt;=3,"Sắp đến hạn","Theo lịch"))))))))</f>
      </c>
      <c r="AE160" s="223">
        <f>IF($AV160="","",IF($B160="Định kỳ","Bình quân "&amp;IF($AV160&lt;1,MAX(1,ROUND($AV160*60,0))&amp;" phút",IF(ROUND($AV160,0)&lt;24,ROUND($AV160,0)&amp;" giờ",INT(ROUND($AV160,0)/24)&amp;" ngày"&amp;IF(MOD(ROUND($AV160,0),24)&gt;0," "&amp;MOD(ROUND($AV160,0),24)&amp;" giờ","")))&amp;" mỗi kỳ",IF($AV160&lt;1,MAX(1,ROUND($AV160*60,0))&amp;" phút",IF(ROUND($AV160,0)&lt;24,ROUND($AV160,0)&amp;" giờ",INT(ROUND($AV160,0)/24)&amp;" ngày"&amp;IF(MOD(ROUND($AV160,0),24)&gt;0," "&amp;MOD(ROUND($AV160,0),24)&amp;" giờ","")))))</f>
      </c>
      <c r="AF160" s="223">
        <f>IF(OR($A160="",N($AU160)=0),"",IF($AV160&lt;&gt;"",IF($AV160&lt;=$AU160,"Trong ước tính","Vượt "&amp;IF(($AV160-$AU160)&lt;1,MAX(1,ROUND(($AV160-$AU160)*60,0))&amp;" phút",IF(ROUND(($AV160-$AU160),0)&lt;24,ROUND(($AV160-$AU160),0)&amp;" giờ",INT(ROUND(($AV160-$AU160),0)/24)&amp;" ngày"&amp;IF(MOD(ROUND(($AV160-$AU160),0),24)&gt;0," "&amp;MOD(ROUND(($AV160-$AU160),0),24)&amp;" giờ","")))),IF(OR($B160&lt;&gt;"Đột xuất",$AA160="Hoàn thành",N($J160)=0),"",IF((TDBC-$J160)*24&gt;$AU160,"Đã vượt ước tính","Đã dùng "&amp;TEXT((TDBC-$J160)*24/$AU160,"0%")))))</f>
      </c>
      <c r="AG160" s="223">
        <f>IF(N($BB160)=0,"",CHOOSE($BB160,"Nhắc nhở","Cảnh báo","Báo động","Báo động đỏ"))</f>
      </c>
      <c r="AH160" s="223">
        <f>IF(OR($B160&lt;&gt;"Đột xuất",$AA160&lt;&gt;"Hoàn thành",N($X160)=0,$AW160=0),"",IF($X160&lt;=$AW160,"Đúng hạn","Trễ hạn"))</f>
      </c>
      <c r="AI160" s="220">
        <f>IF($A160="","",_xlfn.MAXIFS('Nhật ký tiến độ'!$B$6:$B$3005,'Nhật ký tiến độ'!$C$6:$C$3005,$A160))</f>
      </c>
      <c r="AJ160" s="225">
        <f>IF(OR($A160="",$B160&lt;&gt;"Định kỳ"),0,IFERROR(INDEX(DM_TanSuatNgay,MATCH($H160,DM_TanSuat,0)),0))</f>
      </c>
      <c r="AK160" s="225">
        <f>IF(OR($A160="",$B160&lt;&gt;"Định kỳ"),0,IFERROR(INDEX(DM_TanSuatThang,MATCH($H160,DM_TanSuat,0)),0))</f>
      </c>
      <c r="AL160" s="225">
        <f>IF(OR($A160="",$B160&lt;&gt;"Định kỳ",N($X160)=0,N($I160)=0),"",IF(INT($X160)&lt;$I160,0,IF($AJ160&gt;0,ROUND((INT($X160)-$I160)/$AJ160,0),IF($AK160&gt;0,ROUND((DATEDIF($I160,INT($X160),"m")+(INT($X160)-EDATE($I160,DATEDIF($I160,INT($X160),"m")))/(EDATE($I160,DATEDIF($I160,INT($X160),"m")+1)-EDATE($I160,DATEDIF($I160,INT($X160),"m"))))/$AK160,0),0))))</f>
      </c>
      <c r="AM160" s="225">
        <f>IF($A160="","",IF(COUNTIF('Nhật ký tiến độ'!$C$6:$C$3005,$A160)=0,0,_xlfn.MAXIFS('Nhật ký tiến độ'!$N$6:$N$3005,'Nhật ký tiến độ'!$C$6:$C$3005,$A160,'Nhật ký tiến độ'!$B$6:$B$3005,_xlfn.MAXIFS('Nhật ký tiến độ'!$B$6:$B$3005,'Nhật ký tiến độ'!$C$6:$C$3005,$A160))))</f>
      </c>
      <c r="AN160" s="225">
        <f>IF($A160="","",IF(N($AM160)=0,"",INDEX('Nhật ký tiến độ'!$E:$E,$AM160)))</f>
      </c>
      <c r="AO160" s="225">
        <f>IF($A160="",0,IF($AA160="Hoàn thành",0,1))</f>
      </c>
      <c r="AP160" s="225">
        <f>IF($AO160=0,0,INT(N($AW160)))</f>
      </c>
      <c r="AQ160" s="225">
        <f>IF(AND($AO160=1,$AJ160&gt;1),$AJ160,0)</f>
      </c>
      <c r="AR160" s="225">
        <f>IF(AND($AO160=1,$AJ160=1),1,0)</f>
      </c>
      <c r="AS160" s="225">
        <f>IF(OR($AO160=0,AND($AR160=1,N($BB160)=0)),"",IF(N($BB160)&gt;0,5-$BB160,IF($AD160="Chậm tiến độ",6,IF($AD160="Đến hạn hôm nay",7,IF(AND($AP160&gt;0,$AP160-NgayBC&lt;=7),8,"")))))</f>
      </c>
      <c r="AT160" s="225">
        <f>IF($AS160="","",$AS160*100000+$AP160+ROW()/100000)</f>
      </c>
      <c r="AU160" s="224">
        <f>IF(OR($A160="",N($R160)&lt;=0),"",IF($S160="Ngày",$R160*24,$R160))</f>
      </c>
      <c r="AV160" s="224">
        <f>IF($A160="","",IF($B160="Đột xuất",IF(OR($AA160&lt;&gt;"Hoàn thành",N($X160)=0,N($J160)=0),"",IF($X160&lt;$J160,"",($X160-$J160)*24)),IFERROR(AVERAGEIFS('Nhật ký tiến độ'!$H$6:$H$3005,'Nhật ký tiến độ'!$C$6:$C$3005,$A160,'Nhật ký tiến độ'!$H$6:$H$3005,"&gt;0"),"")))</f>
      </c>
      <c r="AW160" s="233">
        <f>IF($A160="",0,IF($B160="Đột xuất",$AY160,IF($AX160=0,0,$AX160+1-1/1440)))</f>
      </c>
      <c r="AX160" s="234">
        <f>IF(OR($A160="",$B160&lt;&gt;"Định kỳ",N($I160)=0),0,IF($AL160="",$I160,IF($AJ160&gt;0,$I160+($AL160+1)*$AJ160,IF($AK160&gt;0,EDATE($I160,($AL160+1)*$AK160),$I160))))</f>
      </c>
      <c r="AY160" s="233">
        <f>IF(OR($A160="",$B160&lt;&gt;"Đột xuất"),0,IF(N($K160)&gt;0,IF(MOD($K160,1)=0,$K160+1-1/1440,$K160),IF(N($J160)=0,0,$J160+IF(N($AU160)&gt;0,$AU160,IFERROR(INDEX(DM_SLA_Gio,MATCH($L160,DM_SLA_Cap,0)),168))/24)))</f>
      </c>
      <c r="AZ160" s="225">
        <f>IF(OR($A160="",TRIM($N160)="",COUNTIF('Phản ánh'!$K$6:$K$505,$N160)&gt;0,COUNTIF($N$6:$N160,$N160)&gt;1),0,1)</f>
      </c>
      <c r="BA160" s="225">
        <f>IF($AZ160=1,SUM($AZ$6:$AZ160),"")</f>
      </c>
      <c r="BB160" s="225">
        <f>IF(OR($AO160=0,N($AW160)=0),0,IF(TDBC&lt;=$AW160,0,MAX(1,MIN(4,IF((TDBC-$AW160)*24&lt;24,1,IF((TDBC-$AW160)*24&lt;72,2,IF((TDBC-$AW160)*24&lt;168,3,4)))+IF($B160="Đột xuất",IFERROR(INDEX({2,1,0,-1},MATCH($L160,{"Khẩn cấp","Cao","Trung bình","Thấp"},0)),0),IF($D160="PCCC và an ninh",1,0))))))</f>
      </c>
    </row>
    <row r="161">
      <c r="A161" s="216"/>
      <c r="B161" s="216"/>
      <c r="C161" s="218"/>
      <c r="D161" s="218"/>
      <c r="E161" s="218"/>
      <c r="F161" s="216"/>
      <c r="G161" s="218"/>
      <c r="H161" s="218"/>
      <c r="I161" s="231"/>
      <c r="J161" s="217"/>
      <c r="K161" s="217"/>
      <c r="L161" s="216"/>
      <c r="M161" s="216"/>
      <c r="N161" s="218"/>
      <c r="O161" s="218"/>
      <c r="P161" s="218"/>
      <c r="Q161" s="218"/>
      <c r="R161" s="219"/>
      <c r="S161" s="216"/>
      <c r="T161" s="232"/>
      <c r="U161" s="232"/>
      <c r="V161" s="218"/>
      <c r="W161" s="218"/>
      <c r="X161" s="220">
        <f>IF($A161="","",IF(OR($B161="Định kỳ",$AA161="Hoàn thành"),MAX(_xlfn.MAXIFS('Nhật ký tiến độ'!$B$6:$B$3005,'Nhật ký tiến độ'!$C$6:$C$3005,$A161,'Nhật ký tiến độ'!$E$6:$E$3005,"Hoàn thành kỳ"),_xlfn.MAXIFS('Nhật ký tiến độ'!$B$6:$B$3005,'Nhật ký tiến độ'!$C$6:$C$3005,$A161,'Nhật ký tiến độ'!$E$6:$E$3005,"Hoàn thành")),0))</f>
      </c>
      <c r="Y161" s="220">
        <f>IF($A161="","",IF($B161="Đột xuất",IF($AY161=0,"",$AY161),IF($AX161=0,"",$AX161)))</f>
      </c>
      <c r="Z161" s="223">
        <f>IF(OR($AO161=0,$AW161=0),"",IF(TDBC&gt;$AW161,"Quá "&amp;IF($B161="Định kỳ",(NgayBC-$AP161)&amp;" ngày",IF(((TDBC-$AW161)*24)&lt;1,MAX(1,ROUND(((TDBC-$AW161)*24)*60,0))&amp;" phút",IF(ROUND(((TDBC-$AW161)*24),0)&lt;24,ROUND(((TDBC-$AW161)*24),0)&amp;" giờ",INT(ROUND(((TDBC-$AW161)*24),0)/24)&amp;" ngày"&amp;IF(MOD(ROUND(((TDBC-$AW161)*24),0),24)&gt;0," "&amp;MOD(ROUND(((TDBC-$AW161)*24),0),24)&amp;" giờ","")))),IF($B161="Định kỳ",IF($AP161=NgayBC,"Hôm nay","Còn "&amp;($AP161-NgayBC)&amp;" ngày"),"Còn "&amp;IF((($AW161-TDBC)*24)&lt;1,MAX(1,ROUND((($AW161-TDBC)*24)*60,0))&amp;" phút",IF(ROUND((($AW161-TDBC)*24),0)&lt;24,ROUND((($AW161-TDBC)*24),0)&amp;" giờ",INT(ROUND((($AW161-TDBC)*24),0)/24)&amp;" ngày"&amp;IF(MOD(ROUND((($AW161-TDBC)*24),0),24)&gt;0," "&amp;MOD(ROUND((($AW161-TDBC)*24),0),24)&amp;" giờ",""))))))</f>
      </c>
      <c r="AA161" s="221">
        <f>IF($A161="","",IF(N($AM161)=0,"Chưa bắt đầu",IF(OR($AN161="Hoàn thành kỳ",$AN161="Hoàn thành"),IF($B161="Định kỳ","Chưa bắt đầu","Hoàn thành"),$AN161)))</f>
      </c>
      <c r="AB161" s="222">
        <f>IF($A161="","",IF($AA161="Hoàn thành",1,IF(OR(N($AM161)=0,$AN161="Hoàn thành kỳ",$AN161="Hoàn thành"),0,N(INDEX('Nhật ký tiến độ'!$D:$D,$AM161)))))</f>
      </c>
      <c r="AC161" s="222">
        <f>IF(OR($A161="",$B161&lt;&gt;"Đột xuất",$AA161="Hoàn thành",N($J161)=0,$AW161=0),"",IF(TDBC&lt;=$J161,0,IF(TDBC&gt;=$AW161,1,(TDBC-$J161)/($AW161-$J161))))</f>
      </c>
      <c r="AD161" s="223">
        <f>IF($A161="","",IF($AA161="Hoàn thành","Hoàn thành",IF($AW161=0,"Chưa đặt hạn",IF(TDBC&gt;$AW161,"Quá hạn",IF(AND($B161="Đột xuất",ROUND((N($AC161)-$AB161)*100,0)&gt;=20),"Chậm tiến độ",IF($AP161=NgayBC,"Đến hạn hôm nay",IF($B161="Đột xuất",IF($AW161-TDBC&lt;=1,"Sắp đến hạn","Đúng tiến độ"),IF($AP161-NgayBC&lt;=3,"Sắp đến hạn","Theo lịch"))))))))</f>
      </c>
      <c r="AE161" s="223">
        <f>IF($AV161="","",IF($B161="Định kỳ","Bình quân "&amp;IF($AV161&lt;1,MAX(1,ROUND($AV161*60,0))&amp;" phút",IF(ROUND($AV161,0)&lt;24,ROUND($AV161,0)&amp;" giờ",INT(ROUND($AV161,0)/24)&amp;" ngày"&amp;IF(MOD(ROUND($AV161,0),24)&gt;0," "&amp;MOD(ROUND($AV161,0),24)&amp;" giờ","")))&amp;" mỗi kỳ",IF($AV161&lt;1,MAX(1,ROUND($AV161*60,0))&amp;" phút",IF(ROUND($AV161,0)&lt;24,ROUND($AV161,0)&amp;" giờ",INT(ROUND($AV161,0)/24)&amp;" ngày"&amp;IF(MOD(ROUND($AV161,0),24)&gt;0," "&amp;MOD(ROUND($AV161,0),24)&amp;" giờ","")))))</f>
      </c>
      <c r="AF161" s="223">
        <f>IF(OR($A161="",N($AU161)=0),"",IF($AV161&lt;&gt;"",IF($AV161&lt;=$AU161,"Trong ước tính","Vượt "&amp;IF(($AV161-$AU161)&lt;1,MAX(1,ROUND(($AV161-$AU161)*60,0))&amp;" phút",IF(ROUND(($AV161-$AU161),0)&lt;24,ROUND(($AV161-$AU161),0)&amp;" giờ",INT(ROUND(($AV161-$AU161),0)/24)&amp;" ngày"&amp;IF(MOD(ROUND(($AV161-$AU161),0),24)&gt;0," "&amp;MOD(ROUND(($AV161-$AU161),0),24)&amp;" giờ","")))),IF(OR($B161&lt;&gt;"Đột xuất",$AA161="Hoàn thành",N($J161)=0),"",IF((TDBC-$J161)*24&gt;$AU161,"Đã vượt ước tính","Đã dùng "&amp;TEXT((TDBC-$J161)*24/$AU161,"0%")))))</f>
      </c>
      <c r="AG161" s="223">
        <f>IF(N($BB161)=0,"",CHOOSE($BB161,"Nhắc nhở","Cảnh báo","Báo động","Báo động đỏ"))</f>
      </c>
      <c r="AH161" s="223">
        <f>IF(OR($B161&lt;&gt;"Đột xuất",$AA161&lt;&gt;"Hoàn thành",N($X161)=0,$AW161=0),"",IF($X161&lt;=$AW161,"Đúng hạn","Trễ hạn"))</f>
      </c>
      <c r="AI161" s="220">
        <f>IF($A161="","",_xlfn.MAXIFS('Nhật ký tiến độ'!$B$6:$B$3005,'Nhật ký tiến độ'!$C$6:$C$3005,$A161))</f>
      </c>
      <c r="AJ161" s="225">
        <f>IF(OR($A161="",$B161&lt;&gt;"Định kỳ"),0,IFERROR(INDEX(DM_TanSuatNgay,MATCH($H161,DM_TanSuat,0)),0))</f>
      </c>
      <c r="AK161" s="225">
        <f>IF(OR($A161="",$B161&lt;&gt;"Định kỳ"),0,IFERROR(INDEX(DM_TanSuatThang,MATCH($H161,DM_TanSuat,0)),0))</f>
      </c>
      <c r="AL161" s="225">
        <f>IF(OR($A161="",$B161&lt;&gt;"Định kỳ",N($X161)=0,N($I161)=0),"",IF(INT($X161)&lt;$I161,0,IF($AJ161&gt;0,ROUND((INT($X161)-$I161)/$AJ161,0),IF($AK161&gt;0,ROUND((DATEDIF($I161,INT($X161),"m")+(INT($X161)-EDATE($I161,DATEDIF($I161,INT($X161),"m")))/(EDATE($I161,DATEDIF($I161,INT($X161),"m")+1)-EDATE($I161,DATEDIF($I161,INT($X161),"m"))))/$AK161,0),0))))</f>
      </c>
      <c r="AM161" s="225">
        <f>IF($A161="","",IF(COUNTIF('Nhật ký tiến độ'!$C$6:$C$3005,$A161)=0,0,_xlfn.MAXIFS('Nhật ký tiến độ'!$N$6:$N$3005,'Nhật ký tiến độ'!$C$6:$C$3005,$A161,'Nhật ký tiến độ'!$B$6:$B$3005,_xlfn.MAXIFS('Nhật ký tiến độ'!$B$6:$B$3005,'Nhật ký tiến độ'!$C$6:$C$3005,$A161))))</f>
      </c>
      <c r="AN161" s="225">
        <f>IF($A161="","",IF(N($AM161)=0,"",INDEX('Nhật ký tiến độ'!$E:$E,$AM161)))</f>
      </c>
      <c r="AO161" s="225">
        <f>IF($A161="",0,IF($AA161="Hoàn thành",0,1))</f>
      </c>
      <c r="AP161" s="225">
        <f>IF($AO161=0,0,INT(N($AW161)))</f>
      </c>
      <c r="AQ161" s="225">
        <f>IF(AND($AO161=1,$AJ161&gt;1),$AJ161,0)</f>
      </c>
      <c r="AR161" s="225">
        <f>IF(AND($AO161=1,$AJ161=1),1,0)</f>
      </c>
      <c r="AS161" s="225">
        <f>IF(OR($AO161=0,AND($AR161=1,N($BB161)=0)),"",IF(N($BB161)&gt;0,5-$BB161,IF($AD161="Chậm tiến độ",6,IF($AD161="Đến hạn hôm nay",7,IF(AND($AP161&gt;0,$AP161-NgayBC&lt;=7),8,"")))))</f>
      </c>
      <c r="AT161" s="225">
        <f>IF($AS161="","",$AS161*100000+$AP161+ROW()/100000)</f>
      </c>
      <c r="AU161" s="224">
        <f>IF(OR($A161="",N($R161)&lt;=0),"",IF($S161="Ngày",$R161*24,$R161))</f>
      </c>
      <c r="AV161" s="224">
        <f>IF($A161="","",IF($B161="Đột xuất",IF(OR($AA161&lt;&gt;"Hoàn thành",N($X161)=0,N($J161)=0),"",IF($X161&lt;$J161,"",($X161-$J161)*24)),IFERROR(AVERAGEIFS('Nhật ký tiến độ'!$H$6:$H$3005,'Nhật ký tiến độ'!$C$6:$C$3005,$A161,'Nhật ký tiến độ'!$H$6:$H$3005,"&gt;0"),"")))</f>
      </c>
      <c r="AW161" s="233">
        <f>IF($A161="",0,IF($B161="Đột xuất",$AY161,IF($AX161=0,0,$AX161+1-1/1440)))</f>
      </c>
      <c r="AX161" s="234">
        <f>IF(OR($A161="",$B161&lt;&gt;"Định kỳ",N($I161)=0),0,IF($AL161="",$I161,IF($AJ161&gt;0,$I161+($AL161+1)*$AJ161,IF($AK161&gt;0,EDATE($I161,($AL161+1)*$AK161),$I161))))</f>
      </c>
      <c r="AY161" s="233">
        <f>IF(OR($A161="",$B161&lt;&gt;"Đột xuất"),0,IF(N($K161)&gt;0,IF(MOD($K161,1)=0,$K161+1-1/1440,$K161),IF(N($J161)=0,0,$J161+IF(N($AU161)&gt;0,$AU161,IFERROR(INDEX(DM_SLA_Gio,MATCH($L161,DM_SLA_Cap,0)),168))/24)))</f>
      </c>
      <c r="AZ161" s="225">
        <f>IF(OR($A161="",TRIM($N161)="",COUNTIF('Phản ánh'!$K$6:$K$505,$N161)&gt;0,COUNTIF($N$6:$N161,$N161)&gt;1),0,1)</f>
      </c>
      <c r="BA161" s="225">
        <f>IF($AZ161=1,SUM($AZ$6:$AZ161),"")</f>
      </c>
      <c r="BB161" s="225">
        <f>IF(OR($AO161=0,N($AW161)=0),0,IF(TDBC&lt;=$AW161,0,MAX(1,MIN(4,IF((TDBC-$AW161)*24&lt;24,1,IF((TDBC-$AW161)*24&lt;72,2,IF((TDBC-$AW161)*24&lt;168,3,4)))+IF($B161="Đột xuất",IFERROR(INDEX({2,1,0,-1},MATCH($L161,{"Khẩn cấp","Cao","Trung bình","Thấp"},0)),0),IF($D161="PCCC và an ninh",1,0))))))</f>
      </c>
    </row>
    <row r="162">
      <c r="A162" s="216"/>
      <c r="B162" s="216"/>
      <c r="C162" s="218"/>
      <c r="D162" s="218"/>
      <c r="E162" s="218"/>
      <c r="F162" s="216"/>
      <c r="G162" s="218"/>
      <c r="H162" s="218"/>
      <c r="I162" s="231"/>
      <c r="J162" s="217"/>
      <c r="K162" s="217"/>
      <c r="L162" s="216"/>
      <c r="M162" s="216"/>
      <c r="N162" s="218"/>
      <c r="O162" s="218"/>
      <c r="P162" s="218"/>
      <c r="Q162" s="218"/>
      <c r="R162" s="219"/>
      <c r="S162" s="216"/>
      <c r="T162" s="232"/>
      <c r="U162" s="232"/>
      <c r="V162" s="218"/>
      <c r="W162" s="218"/>
      <c r="X162" s="220">
        <f>IF($A162="","",IF(OR($B162="Định kỳ",$AA162="Hoàn thành"),MAX(_xlfn.MAXIFS('Nhật ký tiến độ'!$B$6:$B$3005,'Nhật ký tiến độ'!$C$6:$C$3005,$A162,'Nhật ký tiến độ'!$E$6:$E$3005,"Hoàn thành kỳ"),_xlfn.MAXIFS('Nhật ký tiến độ'!$B$6:$B$3005,'Nhật ký tiến độ'!$C$6:$C$3005,$A162,'Nhật ký tiến độ'!$E$6:$E$3005,"Hoàn thành")),0))</f>
      </c>
      <c r="Y162" s="220">
        <f>IF($A162="","",IF($B162="Đột xuất",IF($AY162=0,"",$AY162),IF($AX162=0,"",$AX162)))</f>
      </c>
      <c r="Z162" s="223">
        <f>IF(OR($AO162=0,$AW162=0),"",IF(TDBC&gt;$AW162,"Quá "&amp;IF($B162="Định kỳ",(NgayBC-$AP162)&amp;" ngày",IF(((TDBC-$AW162)*24)&lt;1,MAX(1,ROUND(((TDBC-$AW162)*24)*60,0))&amp;" phút",IF(ROUND(((TDBC-$AW162)*24),0)&lt;24,ROUND(((TDBC-$AW162)*24),0)&amp;" giờ",INT(ROUND(((TDBC-$AW162)*24),0)/24)&amp;" ngày"&amp;IF(MOD(ROUND(((TDBC-$AW162)*24),0),24)&gt;0," "&amp;MOD(ROUND(((TDBC-$AW162)*24),0),24)&amp;" giờ","")))),IF($B162="Định kỳ",IF($AP162=NgayBC,"Hôm nay","Còn "&amp;($AP162-NgayBC)&amp;" ngày"),"Còn "&amp;IF((($AW162-TDBC)*24)&lt;1,MAX(1,ROUND((($AW162-TDBC)*24)*60,0))&amp;" phút",IF(ROUND((($AW162-TDBC)*24),0)&lt;24,ROUND((($AW162-TDBC)*24),0)&amp;" giờ",INT(ROUND((($AW162-TDBC)*24),0)/24)&amp;" ngày"&amp;IF(MOD(ROUND((($AW162-TDBC)*24),0),24)&gt;0," "&amp;MOD(ROUND((($AW162-TDBC)*24),0),24)&amp;" giờ",""))))))</f>
      </c>
      <c r="AA162" s="221">
        <f>IF($A162="","",IF(N($AM162)=0,"Chưa bắt đầu",IF(OR($AN162="Hoàn thành kỳ",$AN162="Hoàn thành"),IF($B162="Định kỳ","Chưa bắt đầu","Hoàn thành"),$AN162)))</f>
      </c>
      <c r="AB162" s="222">
        <f>IF($A162="","",IF($AA162="Hoàn thành",1,IF(OR(N($AM162)=0,$AN162="Hoàn thành kỳ",$AN162="Hoàn thành"),0,N(INDEX('Nhật ký tiến độ'!$D:$D,$AM162)))))</f>
      </c>
      <c r="AC162" s="222">
        <f>IF(OR($A162="",$B162&lt;&gt;"Đột xuất",$AA162="Hoàn thành",N($J162)=0,$AW162=0),"",IF(TDBC&lt;=$J162,0,IF(TDBC&gt;=$AW162,1,(TDBC-$J162)/($AW162-$J162))))</f>
      </c>
      <c r="AD162" s="223">
        <f>IF($A162="","",IF($AA162="Hoàn thành","Hoàn thành",IF($AW162=0,"Chưa đặt hạn",IF(TDBC&gt;$AW162,"Quá hạn",IF(AND($B162="Đột xuất",ROUND((N($AC162)-$AB162)*100,0)&gt;=20),"Chậm tiến độ",IF($AP162=NgayBC,"Đến hạn hôm nay",IF($B162="Đột xuất",IF($AW162-TDBC&lt;=1,"Sắp đến hạn","Đúng tiến độ"),IF($AP162-NgayBC&lt;=3,"Sắp đến hạn","Theo lịch"))))))))</f>
      </c>
      <c r="AE162" s="223">
        <f>IF($AV162="","",IF($B162="Định kỳ","Bình quân "&amp;IF($AV162&lt;1,MAX(1,ROUND($AV162*60,0))&amp;" phút",IF(ROUND($AV162,0)&lt;24,ROUND($AV162,0)&amp;" giờ",INT(ROUND($AV162,0)/24)&amp;" ngày"&amp;IF(MOD(ROUND($AV162,0),24)&gt;0," "&amp;MOD(ROUND($AV162,0),24)&amp;" giờ","")))&amp;" mỗi kỳ",IF($AV162&lt;1,MAX(1,ROUND($AV162*60,0))&amp;" phút",IF(ROUND($AV162,0)&lt;24,ROUND($AV162,0)&amp;" giờ",INT(ROUND($AV162,0)/24)&amp;" ngày"&amp;IF(MOD(ROUND($AV162,0),24)&gt;0," "&amp;MOD(ROUND($AV162,0),24)&amp;" giờ","")))))</f>
      </c>
      <c r="AF162" s="223">
        <f>IF(OR($A162="",N($AU162)=0),"",IF($AV162&lt;&gt;"",IF($AV162&lt;=$AU162,"Trong ước tính","Vượt "&amp;IF(($AV162-$AU162)&lt;1,MAX(1,ROUND(($AV162-$AU162)*60,0))&amp;" phút",IF(ROUND(($AV162-$AU162),0)&lt;24,ROUND(($AV162-$AU162),0)&amp;" giờ",INT(ROUND(($AV162-$AU162),0)/24)&amp;" ngày"&amp;IF(MOD(ROUND(($AV162-$AU162),0),24)&gt;0," "&amp;MOD(ROUND(($AV162-$AU162),0),24)&amp;" giờ","")))),IF(OR($B162&lt;&gt;"Đột xuất",$AA162="Hoàn thành",N($J162)=0),"",IF((TDBC-$J162)*24&gt;$AU162,"Đã vượt ước tính","Đã dùng "&amp;TEXT((TDBC-$J162)*24/$AU162,"0%")))))</f>
      </c>
      <c r="AG162" s="223">
        <f>IF(N($BB162)=0,"",CHOOSE($BB162,"Nhắc nhở","Cảnh báo","Báo động","Báo động đỏ"))</f>
      </c>
      <c r="AH162" s="223">
        <f>IF(OR($B162&lt;&gt;"Đột xuất",$AA162&lt;&gt;"Hoàn thành",N($X162)=0,$AW162=0),"",IF($X162&lt;=$AW162,"Đúng hạn","Trễ hạn"))</f>
      </c>
      <c r="AI162" s="220">
        <f>IF($A162="","",_xlfn.MAXIFS('Nhật ký tiến độ'!$B$6:$B$3005,'Nhật ký tiến độ'!$C$6:$C$3005,$A162))</f>
      </c>
      <c r="AJ162" s="225">
        <f>IF(OR($A162="",$B162&lt;&gt;"Định kỳ"),0,IFERROR(INDEX(DM_TanSuatNgay,MATCH($H162,DM_TanSuat,0)),0))</f>
      </c>
      <c r="AK162" s="225">
        <f>IF(OR($A162="",$B162&lt;&gt;"Định kỳ"),0,IFERROR(INDEX(DM_TanSuatThang,MATCH($H162,DM_TanSuat,0)),0))</f>
      </c>
      <c r="AL162" s="225">
        <f>IF(OR($A162="",$B162&lt;&gt;"Định kỳ",N($X162)=0,N($I162)=0),"",IF(INT($X162)&lt;$I162,0,IF($AJ162&gt;0,ROUND((INT($X162)-$I162)/$AJ162,0),IF($AK162&gt;0,ROUND((DATEDIF($I162,INT($X162),"m")+(INT($X162)-EDATE($I162,DATEDIF($I162,INT($X162),"m")))/(EDATE($I162,DATEDIF($I162,INT($X162),"m")+1)-EDATE($I162,DATEDIF($I162,INT($X162),"m"))))/$AK162,0),0))))</f>
      </c>
      <c r="AM162" s="225">
        <f>IF($A162="","",IF(COUNTIF('Nhật ký tiến độ'!$C$6:$C$3005,$A162)=0,0,_xlfn.MAXIFS('Nhật ký tiến độ'!$N$6:$N$3005,'Nhật ký tiến độ'!$C$6:$C$3005,$A162,'Nhật ký tiến độ'!$B$6:$B$3005,_xlfn.MAXIFS('Nhật ký tiến độ'!$B$6:$B$3005,'Nhật ký tiến độ'!$C$6:$C$3005,$A162))))</f>
      </c>
      <c r="AN162" s="225">
        <f>IF($A162="","",IF(N($AM162)=0,"",INDEX('Nhật ký tiến độ'!$E:$E,$AM162)))</f>
      </c>
      <c r="AO162" s="225">
        <f>IF($A162="",0,IF($AA162="Hoàn thành",0,1))</f>
      </c>
      <c r="AP162" s="225">
        <f>IF($AO162=0,0,INT(N($AW162)))</f>
      </c>
      <c r="AQ162" s="225">
        <f>IF(AND($AO162=1,$AJ162&gt;1),$AJ162,0)</f>
      </c>
      <c r="AR162" s="225">
        <f>IF(AND($AO162=1,$AJ162=1),1,0)</f>
      </c>
      <c r="AS162" s="225">
        <f>IF(OR($AO162=0,AND($AR162=1,N($BB162)=0)),"",IF(N($BB162)&gt;0,5-$BB162,IF($AD162="Chậm tiến độ",6,IF($AD162="Đến hạn hôm nay",7,IF(AND($AP162&gt;0,$AP162-NgayBC&lt;=7),8,"")))))</f>
      </c>
      <c r="AT162" s="225">
        <f>IF($AS162="","",$AS162*100000+$AP162+ROW()/100000)</f>
      </c>
      <c r="AU162" s="224">
        <f>IF(OR($A162="",N($R162)&lt;=0),"",IF($S162="Ngày",$R162*24,$R162))</f>
      </c>
      <c r="AV162" s="224">
        <f>IF($A162="","",IF($B162="Đột xuất",IF(OR($AA162&lt;&gt;"Hoàn thành",N($X162)=0,N($J162)=0),"",IF($X162&lt;$J162,"",($X162-$J162)*24)),IFERROR(AVERAGEIFS('Nhật ký tiến độ'!$H$6:$H$3005,'Nhật ký tiến độ'!$C$6:$C$3005,$A162,'Nhật ký tiến độ'!$H$6:$H$3005,"&gt;0"),"")))</f>
      </c>
      <c r="AW162" s="233">
        <f>IF($A162="",0,IF($B162="Đột xuất",$AY162,IF($AX162=0,0,$AX162+1-1/1440)))</f>
      </c>
      <c r="AX162" s="234">
        <f>IF(OR($A162="",$B162&lt;&gt;"Định kỳ",N($I162)=0),0,IF($AL162="",$I162,IF($AJ162&gt;0,$I162+($AL162+1)*$AJ162,IF($AK162&gt;0,EDATE($I162,($AL162+1)*$AK162),$I162))))</f>
      </c>
      <c r="AY162" s="233">
        <f>IF(OR($A162="",$B162&lt;&gt;"Đột xuất"),0,IF(N($K162)&gt;0,IF(MOD($K162,1)=0,$K162+1-1/1440,$K162),IF(N($J162)=0,0,$J162+IF(N($AU162)&gt;0,$AU162,IFERROR(INDEX(DM_SLA_Gio,MATCH($L162,DM_SLA_Cap,0)),168))/24)))</f>
      </c>
      <c r="AZ162" s="225">
        <f>IF(OR($A162="",TRIM($N162)="",COUNTIF('Phản ánh'!$K$6:$K$505,$N162)&gt;0,COUNTIF($N$6:$N162,$N162)&gt;1),0,1)</f>
      </c>
      <c r="BA162" s="225">
        <f>IF($AZ162=1,SUM($AZ$6:$AZ162),"")</f>
      </c>
      <c r="BB162" s="225">
        <f>IF(OR($AO162=0,N($AW162)=0),0,IF(TDBC&lt;=$AW162,0,MAX(1,MIN(4,IF((TDBC-$AW162)*24&lt;24,1,IF((TDBC-$AW162)*24&lt;72,2,IF((TDBC-$AW162)*24&lt;168,3,4)))+IF($B162="Đột xuất",IFERROR(INDEX({2,1,0,-1},MATCH($L162,{"Khẩn cấp","Cao","Trung bình","Thấp"},0)),0),IF($D162="PCCC và an ninh",1,0))))))</f>
      </c>
    </row>
    <row r="163">
      <c r="A163" s="216"/>
      <c r="B163" s="216"/>
      <c r="C163" s="218"/>
      <c r="D163" s="218"/>
      <c r="E163" s="218"/>
      <c r="F163" s="216"/>
      <c r="G163" s="218"/>
      <c r="H163" s="218"/>
      <c r="I163" s="231"/>
      <c r="J163" s="217"/>
      <c r="K163" s="217"/>
      <c r="L163" s="216"/>
      <c r="M163" s="216"/>
      <c r="N163" s="218"/>
      <c r="O163" s="218"/>
      <c r="P163" s="218"/>
      <c r="Q163" s="218"/>
      <c r="R163" s="219"/>
      <c r="S163" s="216"/>
      <c r="T163" s="232"/>
      <c r="U163" s="232"/>
      <c r="V163" s="218"/>
      <c r="W163" s="218"/>
      <c r="X163" s="220">
        <f>IF($A163="","",IF(OR($B163="Định kỳ",$AA163="Hoàn thành"),MAX(_xlfn.MAXIFS('Nhật ký tiến độ'!$B$6:$B$3005,'Nhật ký tiến độ'!$C$6:$C$3005,$A163,'Nhật ký tiến độ'!$E$6:$E$3005,"Hoàn thành kỳ"),_xlfn.MAXIFS('Nhật ký tiến độ'!$B$6:$B$3005,'Nhật ký tiến độ'!$C$6:$C$3005,$A163,'Nhật ký tiến độ'!$E$6:$E$3005,"Hoàn thành")),0))</f>
      </c>
      <c r="Y163" s="220">
        <f>IF($A163="","",IF($B163="Đột xuất",IF($AY163=0,"",$AY163),IF($AX163=0,"",$AX163)))</f>
      </c>
      <c r="Z163" s="223">
        <f>IF(OR($AO163=0,$AW163=0),"",IF(TDBC&gt;$AW163,"Quá "&amp;IF($B163="Định kỳ",(NgayBC-$AP163)&amp;" ngày",IF(((TDBC-$AW163)*24)&lt;1,MAX(1,ROUND(((TDBC-$AW163)*24)*60,0))&amp;" phút",IF(ROUND(((TDBC-$AW163)*24),0)&lt;24,ROUND(((TDBC-$AW163)*24),0)&amp;" giờ",INT(ROUND(((TDBC-$AW163)*24),0)/24)&amp;" ngày"&amp;IF(MOD(ROUND(((TDBC-$AW163)*24),0),24)&gt;0," "&amp;MOD(ROUND(((TDBC-$AW163)*24),0),24)&amp;" giờ","")))),IF($B163="Định kỳ",IF($AP163=NgayBC,"Hôm nay","Còn "&amp;($AP163-NgayBC)&amp;" ngày"),"Còn "&amp;IF((($AW163-TDBC)*24)&lt;1,MAX(1,ROUND((($AW163-TDBC)*24)*60,0))&amp;" phút",IF(ROUND((($AW163-TDBC)*24),0)&lt;24,ROUND((($AW163-TDBC)*24),0)&amp;" giờ",INT(ROUND((($AW163-TDBC)*24),0)/24)&amp;" ngày"&amp;IF(MOD(ROUND((($AW163-TDBC)*24),0),24)&gt;0," "&amp;MOD(ROUND((($AW163-TDBC)*24),0),24)&amp;" giờ",""))))))</f>
      </c>
      <c r="AA163" s="221">
        <f>IF($A163="","",IF(N($AM163)=0,"Chưa bắt đầu",IF(OR($AN163="Hoàn thành kỳ",$AN163="Hoàn thành"),IF($B163="Định kỳ","Chưa bắt đầu","Hoàn thành"),$AN163)))</f>
      </c>
      <c r="AB163" s="222">
        <f>IF($A163="","",IF($AA163="Hoàn thành",1,IF(OR(N($AM163)=0,$AN163="Hoàn thành kỳ",$AN163="Hoàn thành"),0,N(INDEX('Nhật ký tiến độ'!$D:$D,$AM163)))))</f>
      </c>
      <c r="AC163" s="222">
        <f>IF(OR($A163="",$B163&lt;&gt;"Đột xuất",$AA163="Hoàn thành",N($J163)=0,$AW163=0),"",IF(TDBC&lt;=$J163,0,IF(TDBC&gt;=$AW163,1,(TDBC-$J163)/($AW163-$J163))))</f>
      </c>
      <c r="AD163" s="223">
        <f>IF($A163="","",IF($AA163="Hoàn thành","Hoàn thành",IF($AW163=0,"Chưa đặt hạn",IF(TDBC&gt;$AW163,"Quá hạn",IF(AND($B163="Đột xuất",ROUND((N($AC163)-$AB163)*100,0)&gt;=20),"Chậm tiến độ",IF($AP163=NgayBC,"Đến hạn hôm nay",IF($B163="Đột xuất",IF($AW163-TDBC&lt;=1,"Sắp đến hạn","Đúng tiến độ"),IF($AP163-NgayBC&lt;=3,"Sắp đến hạn","Theo lịch"))))))))</f>
      </c>
      <c r="AE163" s="223">
        <f>IF($AV163="","",IF($B163="Định kỳ","Bình quân "&amp;IF($AV163&lt;1,MAX(1,ROUND($AV163*60,0))&amp;" phút",IF(ROUND($AV163,0)&lt;24,ROUND($AV163,0)&amp;" giờ",INT(ROUND($AV163,0)/24)&amp;" ngày"&amp;IF(MOD(ROUND($AV163,0),24)&gt;0," "&amp;MOD(ROUND($AV163,0),24)&amp;" giờ","")))&amp;" mỗi kỳ",IF($AV163&lt;1,MAX(1,ROUND($AV163*60,0))&amp;" phút",IF(ROUND($AV163,0)&lt;24,ROUND($AV163,0)&amp;" giờ",INT(ROUND($AV163,0)/24)&amp;" ngày"&amp;IF(MOD(ROUND($AV163,0),24)&gt;0," "&amp;MOD(ROUND($AV163,0),24)&amp;" giờ","")))))</f>
      </c>
      <c r="AF163" s="223">
        <f>IF(OR($A163="",N($AU163)=0),"",IF($AV163&lt;&gt;"",IF($AV163&lt;=$AU163,"Trong ước tính","Vượt "&amp;IF(($AV163-$AU163)&lt;1,MAX(1,ROUND(($AV163-$AU163)*60,0))&amp;" phút",IF(ROUND(($AV163-$AU163),0)&lt;24,ROUND(($AV163-$AU163),0)&amp;" giờ",INT(ROUND(($AV163-$AU163),0)/24)&amp;" ngày"&amp;IF(MOD(ROUND(($AV163-$AU163),0),24)&gt;0," "&amp;MOD(ROUND(($AV163-$AU163),0),24)&amp;" giờ","")))),IF(OR($B163&lt;&gt;"Đột xuất",$AA163="Hoàn thành",N($J163)=0),"",IF((TDBC-$J163)*24&gt;$AU163,"Đã vượt ước tính","Đã dùng "&amp;TEXT((TDBC-$J163)*24/$AU163,"0%")))))</f>
      </c>
      <c r="AG163" s="223">
        <f>IF(N($BB163)=0,"",CHOOSE($BB163,"Nhắc nhở","Cảnh báo","Báo động","Báo động đỏ"))</f>
      </c>
      <c r="AH163" s="223">
        <f>IF(OR($B163&lt;&gt;"Đột xuất",$AA163&lt;&gt;"Hoàn thành",N($X163)=0,$AW163=0),"",IF($X163&lt;=$AW163,"Đúng hạn","Trễ hạn"))</f>
      </c>
      <c r="AI163" s="220">
        <f>IF($A163="","",_xlfn.MAXIFS('Nhật ký tiến độ'!$B$6:$B$3005,'Nhật ký tiến độ'!$C$6:$C$3005,$A163))</f>
      </c>
      <c r="AJ163" s="225">
        <f>IF(OR($A163="",$B163&lt;&gt;"Định kỳ"),0,IFERROR(INDEX(DM_TanSuatNgay,MATCH($H163,DM_TanSuat,0)),0))</f>
      </c>
      <c r="AK163" s="225">
        <f>IF(OR($A163="",$B163&lt;&gt;"Định kỳ"),0,IFERROR(INDEX(DM_TanSuatThang,MATCH($H163,DM_TanSuat,0)),0))</f>
      </c>
      <c r="AL163" s="225">
        <f>IF(OR($A163="",$B163&lt;&gt;"Định kỳ",N($X163)=0,N($I163)=0),"",IF(INT($X163)&lt;$I163,0,IF($AJ163&gt;0,ROUND((INT($X163)-$I163)/$AJ163,0),IF($AK163&gt;0,ROUND((DATEDIF($I163,INT($X163),"m")+(INT($X163)-EDATE($I163,DATEDIF($I163,INT($X163),"m")))/(EDATE($I163,DATEDIF($I163,INT($X163),"m")+1)-EDATE($I163,DATEDIF($I163,INT($X163),"m"))))/$AK163,0),0))))</f>
      </c>
      <c r="AM163" s="225">
        <f>IF($A163="","",IF(COUNTIF('Nhật ký tiến độ'!$C$6:$C$3005,$A163)=0,0,_xlfn.MAXIFS('Nhật ký tiến độ'!$N$6:$N$3005,'Nhật ký tiến độ'!$C$6:$C$3005,$A163,'Nhật ký tiến độ'!$B$6:$B$3005,_xlfn.MAXIFS('Nhật ký tiến độ'!$B$6:$B$3005,'Nhật ký tiến độ'!$C$6:$C$3005,$A163))))</f>
      </c>
      <c r="AN163" s="225">
        <f>IF($A163="","",IF(N($AM163)=0,"",INDEX('Nhật ký tiến độ'!$E:$E,$AM163)))</f>
      </c>
      <c r="AO163" s="225">
        <f>IF($A163="",0,IF($AA163="Hoàn thành",0,1))</f>
      </c>
      <c r="AP163" s="225">
        <f>IF($AO163=0,0,INT(N($AW163)))</f>
      </c>
      <c r="AQ163" s="225">
        <f>IF(AND($AO163=1,$AJ163&gt;1),$AJ163,0)</f>
      </c>
      <c r="AR163" s="225">
        <f>IF(AND($AO163=1,$AJ163=1),1,0)</f>
      </c>
      <c r="AS163" s="225">
        <f>IF(OR($AO163=0,AND($AR163=1,N($BB163)=0)),"",IF(N($BB163)&gt;0,5-$BB163,IF($AD163="Chậm tiến độ",6,IF($AD163="Đến hạn hôm nay",7,IF(AND($AP163&gt;0,$AP163-NgayBC&lt;=7),8,"")))))</f>
      </c>
      <c r="AT163" s="225">
        <f>IF($AS163="","",$AS163*100000+$AP163+ROW()/100000)</f>
      </c>
      <c r="AU163" s="224">
        <f>IF(OR($A163="",N($R163)&lt;=0),"",IF($S163="Ngày",$R163*24,$R163))</f>
      </c>
      <c r="AV163" s="224">
        <f>IF($A163="","",IF($B163="Đột xuất",IF(OR($AA163&lt;&gt;"Hoàn thành",N($X163)=0,N($J163)=0),"",IF($X163&lt;$J163,"",($X163-$J163)*24)),IFERROR(AVERAGEIFS('Nhật ký tiến độ'!$H$6:$H$3005,'Nhật ký tiến độ'!$C$6:$C$3005,$A163,'Nhật ký tiến độ'!$H$6:$H$3005,"&gt;0"),"")))</f>
      </c>
      <c r="AW163" s="233">
        <f>IF($A163="",0,IF($B163="Đột xuất",$AY163,IF($AX163=0,0,$AX163+1-1/1440)))</f>
      </c>
      <c r="AX163" s="234">
        <f>IF(OR($A163="",$B163&lt;&gt;"Định kỳ",N($I163)=0),0,IF($AL163="",$I163,IF($AJ163&gt;0,$I163+($AL163+1)*$AJ163,IF($AK163&gt;0,EDATE($I163,($AL163+1)*$AK163),$I163))))</f>
      </c>
      <c r="AY163" s="233">
        <f>IF(OR($A163="",$B163&lt;&gt;"Đột xuất"),0,IF(N($K163)&gt;0,IF(MOD($K163,1)=0,$K163+1-1/1440,$K163),IF(N($J163)=0,0,$J163+IF(N($AU163)&gt;0,$AU163,IFERROR(INDEX(DM_SLA_Gio,MATCH($L163,DM_SLA_Cap,0)),168))/24)))</f>
      </c>
      <c r="AZ163" s="225">
        <f>IF(OR($A163="",TRIM($N163)="",COUNTIF('Phản ánh'!$K$6:$K$505,$N163)&gt;0,COUNTIF($N$6:$N163,$N163)&gt;1),0,1)</f>
      </c>
      <c r="BA163" s="225">
        <f>IF($AZ163=1,SUM($AZ$6:$AZ163),"")</f>
      </c>
      <c r="BB163" s="225">
        <f>IF(OR($AO163=0,N($AW163)=0),0,IF(TDBC&lt;=$AW163,0,MAX(1,MIN(4,IF((TDBC-$AW163)*24&lt;24,1,IF((TDBC-$AW163)*24&lt;72,2,IF((TDBC-$AW163)*24&lt;168,3,4)))+IF($B163="Đột xuất",IFERROR(INDEX({2,1,0,-1},MATCH($L163,{"Khẩn cấp","Cao","Trung bình","Thấp"},0)),0),IF($D163="PCCC và an ninh",1,0))))))</f>
      </c>
    </row>
    <row r="164">
      <c r="A164" s="216"/>
      <c r="B164" s="216"/>
      <c r="C164" s="218"/>
      <c r="D164" s="218"/>
      <c r="E164" s="218"/>
      <c r="F164" s="216"/>
      <c r="G164" s="218"/>
      <c r="H164" s="218"/>
      <c r="I164" s="231"/>
      <c r="J164" s="217"/>
      <c r="K164" s="217"/>
      <c r="L164" s="216"/>
      <c r="M164" s="216"/>
      <c r="N164" s="218"/>
      <c r="O164" s="218"/>
      <c r="P164" s="218"/>
      <c r="Q164" s="218"/>
      <c r="R164" s="219"/>
      <c r="S164" s="216"/>
      <c r="T164" s="232"/>
      <c r="U164" s="232"/>
      <c r="V164" s="218"/>
      <c r="W164" s="218"/>
      <c r="X164" s="220">
        <f>IF($A164="","",IF(OR($B164="Định kỳ",$AA164="Hoàn thành"),MAX(_xlfn.MAXIFS('Nhật ký tiến độ'!$B$6:$B$3005,'Nhật ký tiến độ'!$C$6:$C$3005,$A164,'Nhật ký tiến độ'!$E$6:$E$3005,"Hoàn thành kỳ"),_xlfn.MAXIFS('Nhật ký tiến độ'!$B$6:$B$3005,'Nhật ký tiến độ'!$C$6:$C$3005,$A164,'Nhật ký tiến độ'!$E$6:$E$3005,"Hoàn thành")),0))</f>
      </c>
      <c r="Y164" s="220">
        <f>IF($A164="","",IF($B164="Đột xuất",IF($AY164=0,"",$AY164),IF($AX164=0,"",$AX164)))</f>
      </c>
      <c r="Z164" s="223">
        <f>IF(OR($AO164=0,$AW164=0),"",IF(TDBC&gt;$AW164,"Quá "&amp;IF($B164="Định kỳ",(NgayBC-$AP164)&amp;" ngày",IF(((TDBC-$AW164)*24)&lt;1,MAX(1,ROUND(((TDBC-$AW164)*24)*60,0))&amp;" phút",IF(ROUND(((TDBC-$AW164)*24),0)&lt;24,ROUND(((TDBC-$AW164)*24),0)&amp;" giờ",INT(ROUND(((TDBC-$AW164)*24),0)/24)&amp;" ngày"&amp;IF(MOD(ROUND(((TDBC-$AW164)*24),0),24)&gt;0," "&amp;MOD(ROUND(((TDBC-$AW164)*24),0),24)&amp;" giờ","")))),IF($B164="Định kỳ",IF($AP164=NgayBC,"Hôm nay","Còn "&amp;($AP164-NgayBC)&amp;" ngày"),"Còn "&amp;IF((($AW164-TDBC)*24)&lt;1,MAX(1,ROUND((($AW164-TDBC)*24)*60,0))&amp;" phút",IF(ROUND((($AW164-TDBC)*24),0)&lt;24,ROUND((($AW164-TDBC)*24),0)&amp;" giờ",INT(ROUND((($AW164-TDBC)*24),0)/24)&amp;" ngày"&amp;IF(MOD(ROUND((($AW164-TDBC)*24),0),24)&gt;0," "&amp;MOD(ROUND((($AW164-TDBC)*24),0),24)&amp;" giờ",""))))))</f>
      </c>
      <c r="AA164" s="221">
        <f>IF($A164="","",IF(N($AM164)=0,"Chưa bắt đầu",IF(OR($AN164="Hoàn thành kỳ",$AN164="Hoàn thành"),IF($B164="Định kỳ","Chưa bắt đầu","Hoàn thành"),$AN164)))</f>
      </c>
      <c r="AB164" s="222">
        <f>IF($A164="","",IF($AA164="Hoàn thành",1,IF(OR(N($AM164)=0,$AN164="Hoàn thành kỳ",$AN164="Hoàn thành"),0,N(INDEX('Nhật ký tiến độ'!$D:$D,$AM164)))))</f>
      </c>
      <c r="AC164" s="222">
        <f>IF(OR($A164="",$B164&lt;&gt;"Đột xuất",$AA164="Hoàn thành",N($J164)=0,$AW164=0),"",IF(TDBC&lt;=$J164,0,IF(TDBC&gt;=$AW164,1,(TDBC-$J164)/($AW164-$J164))))</f>
      </c>
      <c r="AD164" s="223">
        <f>IF($A164="","",IF($AA164="Hoàn thành","Hoàn thành",IF($AW164=0,"Chưa đặt hạn",IF(TDBC&gt;$AW164,"Quá hạn",IF(AND($B164="Đột xuất",ROUND((N($AC164)-$AB164)*100,0)&gt;=20),"Chậm tiến độ",IF($AP164=NgayBC,"Đến hạn hôm nay",IF($B164="Đột xuất",IF($AW164-TDBC&lt;=1,"Sắp đến hạn","Đúng tiến độ"),IF($AP164-NgayBC&lt;=3,"Sắp đến hạn","Theo lịch"))))))))</f>
      </c>
      <c r="AE164" s="223">
        <f>IF($AV164="","",IF($B164="Định kỳ","Bình quân "&amp;IF($AV164&lt;1,MAX(1,ROUND($AV164*60,0))&amp;" phút",IF(ROUND($AV164,0)&lt;24,ROUND($AV164,0)&amp;" giờ",INT(ROUND($AV164,0)/24)&amp;" ngày"&amp;IF(MOD(ROUND($AV164,0),24)&gt;0," "&amp;MOD(ROUND($AV164,0),24)&amp;" giờ","")))&amp;" mỗi kỳ",IF($AV164&lt;1,MAX(1,ROUND($AV164*60,0))&amp;" phút",IF(ROUND($AV164,0)&lt;24,ROUND($AV164,0)&amp;" giờ",INT(ROUND($AV164,0)/24)&amp;" ngày"&amp;IF(MOD(ROUND($AV164,0),24)&gt;0," "&amp;MOD(ROUND($AV164,0),24)&amp;" giờ","")))))</f>
      </c>
      <c r="AF164" s="223">
        <f>IF(OR($A164="",N($AU164)=0),"",IF($AV164&lt;&gt;"",IF($AV164&lt;=$AU164,"Trong ước tính","Vượt "&amp;IF(($AV164-$AU164)&lt;1,MAX(1,ROUND(($AV164-$AU164)*60,0))&amp;" phút",IF(ROUND(($AV164-$AU164),0)&lt;24,ROUND(($AV164-$AU164),0)&amp;" giờ",INT(ROUND(($AV164-$AU164),0)/24)&amp;" ngày"&amp;IF(MOD(ROUND(($AV164-$AU164),0),24)&gt;0," "&amp;MOD(ROUND(($AV164-$AU164),0),24)&amp;" giờ","")))),IF(OR($B164&lt;&gt;"Đột xuất",$AA164="Hoàn thành",N($J164)=0),"",IF((TDBC-$J164)*24&gt;$AU164,"Đã vượt ước tính","Đã dùng "&amp;TEXT((TDBC-$J164)*24/$AU164,"0%")))))</f>
      </c>
      <c r="AG164" s="223">
        <f>IF(N($BB164)=0,"",CHOOSE($BB164,"Nhắc nhở","Cảnh báo","Báo động","Báo động đỏ"))</f>
      </c>
      <c r="AH164" s="223">
        <f>IF(OR($B164&lt;&gt;"Đột xuất",$AA164&lt;&gt;"Hoàn thành",N($X164)=0,$AW164=0),"",IF($X164&lt;=$AW164,"Đúng hạn","Trễ hạn"))</f>
      </c>
      <c r="AI164" s="220">
        <f>IF($A164="","",_xlfn.MAXIFS('Nhật ký tiến độ'!$B$6:$B$3005,'Nhật ký tiến độ'!$C$6:$C$3005,$A164))</f>
      </c>
      <c r="AJ164" s="225">
        <f>IF(OR($A164="",$B164&lt;&gt;"Định kỳ"),0,IFERROR(INDEX(DM_TanSuatNgay,MATCH($H164,DM_TanSuat,0)),0))</f>
      </c>
      <c r="AK164" s="225">
        <f>IF(OR($A164="",$B164&lt;&gt;"Định kỳ"),0,IFERROR(INDEX(DM_TanSuatThang,MATCH($H164,DM_TanSuat,0)),0))</f>
      </c>
      <c r="AL164" s="225">
        <f>IF(OR($A164="",$B164&lt;&gt;"Định kỳ",N($X164)=0,N($I164)=0),"",IF(INT($X164)&lt;$I164,0,IF($AJ164&gt;0,ROUND((INT($X164)-$I164)/$AJ164,0),IF($AK164&gt;0,ROUND((DATEDIF($I164,INT($X164),"m")+(INT($X164)-EDATE($I164,DATEDIF($I164,INT($X164),"m")))/(EDATE($I164,DATEDIF($I164,INT($X164),"m")+1)-EDATE($I164,DATEDIF($I164,INT($X164),"m"))))/$AK164,0),0))))</f>
      </c>
      <c r="AM164" s="225">
        <f>IF($A164="","",IF(COUNTIF('Nhật ký tiến độ'!$C$6:$C$3005,$A164)=0,0,_xlfn.MAXIFS('Nhật ký tiến độ'!$N$6:$N$3005,'Nhật ký tiến độ'!$C$6:$C$3005,$A164,'Nhật ký tiến độ'!$B$6:$B$3005,_xlfn.MAXIFS('Nhật ký tiến độ'!$B$6:$B$3005,'Nhật ký tiến độ'!$C$6:$C$3005,$A164))))</f>
      </c>
      <c r="AN164" s="225">
        <f>IF($A164="","",IF(N($AM164)=0,"",INDEX('Nhật ký tiến độ'!$E:$E,$AM164)))</f>
      </c>
      <c r="AO164" s="225">
        <f>IF($A164="",0,IF($AA164="Hoàn thành",0,1))</f>
      </c>
      <c r="AP164" s="225">
        <f>IF($AO164=0,0,INT(N($AW164)))</f>
      </c>
      <c r="AQ164" s="225">
        <f>IF(AND($AO164=1,$AJ164&gt;1),$AJ164,0)</f>
      </c>
      <c r="AR164" s="225">
        <f>IF(AND($AO164=1,$AJ164=1),1,0)</f>
      </c>
      <c r="AS164" s="225">
        <f>IF(OR($AO164=0,AND($AR164=1,N($BB164)=0)),"",IF(N($BB164)&gt;0,5-$BB164,IF($AD164="Chậm tiến độ",6,IF($AD164="Đến hạn hôm nay",7,IF(AND($AP164&gt;0,$AP164-NgayBC&lt;=7),8,"")))))</f>
      </c>
      <c r="AT164" s="225">
        <f>IF($AS164="","",$AS164*100000+$AP164+ROW()/100000)</f>
      </c>
      <c r="AU164" s="224">
        <f>IF(OR($A164="",N($R164)&lt;=0),"",IF($S164="Ngày",$R164*24,$R164))</f>
      </c>
      <c r="AV164" s="224">
        <f>IF($A164="","",IF($B164="Đột xuất",IF(OR($AA164&lt;&gt;"Hoàn thành",N($X164)=0,N($J164)=0),"",IF($X164&lt;$J164,"",($X164-$J164)*24)),IFERROR(AVERAGEIFS('Nhật ký tiến độ'!$H$6:$H$3005,'Nhật ký tiến độ'!$C$6:$C$3005,$A164,'Nhật ký tiến độ'!$H$6:$H$3005,"&gt;0"),"")))</f>
      </c>
      <c r="AW164" s="233">
        <f>IF($A164="",0,IF($B164="Đột xuất",$AY164,IF($AX164=0,0,$AX164+1-1/1440)))</f>
      </c>
      <c r="AX164" s="234">
        <f>IF(OR($A164="",$B164&lt;&gt;"Định kỳ",N($I164)=0),0,IF($AL164="",$I164,IF($AJ164&gt;0,$I164+($AL164+1)*$AJ164,IF($AK164&gt;0,EDATE($I164,($AL164+1)*$AK164),$I164))))</f>
      </c>
      <c r="AY164" s="233">
        <f>IF(OR($A164="",$B164&lt;&gt;"Đột xuất"),0,IF(N($K164)&gt;0,IF(MOD($K164,1)=0,$K164+1-1/1440,$K164),IF(N($J164)=0,0,$J164+IF(N($AU164)&gt;0,$AU164,IFERROR(INDEX(DM_SLA_Gio,MATCH($L164,DM_SLA_Cap,0)),168))/24)))</f>
      </c>
      <c r="AZ164" s="225">
        <f>IF(OR($A164="",TRIM($N164)="",COUNTIF('Phản ánh'!$K$6:$K$505,$N164)&gt;0,COUNTIF($N$6:$N164,$N164)&gt;1),0,1)</f>
      </c>
      <c r="BA164" s="225">
        <f>IF($AZ164=1,SUM($AZ$6:$AZ164),"")</f>
      </c>
      <c r="BB164" s="225">
        <f>IF(OR($AO164=0,N($AW164)=0),0,IF(TDBC&lt;=$AW164,0,MAX(1,MIN(4,IF((TDBC-$AW164)*24&lt;24,1,IF((TDBC-$AW164)*24&lt;72,2,IF((TDBC-$AW164)*24&lt;168,3,4)))+IF($B164="Đột xuất",IFERROR(INDEX({2,1,0,-1},MATCH($L164,{"Khẩn cấp","Cao","Trung bình","Thấp"},0)),0),IF($D164="PCCC và an ninh",1,0))))))</f>
      </c>
    </row>
    <row r="165">
      <c r="A165" s="216"/>
      <c r="B165" s="216"/>
      <c r="C165" s="218"/>
      <c r="D165" s="218"/>
      <c r="E165" s="218"/>
      <c r="F165" s="216"/>
      <c r="G165" s="218"/>
      <c r="H165" s="218"/>
      <c r="I165" s="231"/>
      <c r="J165" s="217"/>
      <c r="K165" s="217"/>
      <c r="L165" s="216"/>
      <c r="M165" s="216"/>
      <c r="N165" s="218"/>
      <c r="O165" s="218"/>
      <c r="P165" s="218"/>
      <c r="Q165" s="218"/>
      <c r="R165" s="219"/>
      <c r="S165" s="216"/>
      <c r="T165" s="232"/>
      <c r="U165" s="232"/>
      <c r="V165" s="218"/>
      <c r="W165" s="218"/>
      <c r="X165" s="220">
        <f>IF($A165="","",IF(OR($B165="Định kỳ",$AA165="Hoàn thành"),MAX(_xlfn.MAXIFS('Nhật ký tiến độ'!$B$6:$B$3005,'Nhật ký tiến độ'!$C$6:$C$3005,$A165,'Nhật ký tiến độ'!$E$6:$E$3005,"Hoàn thành kỳ"),_xlfn.MAXIFS('Nhật ký tiến độ'!$B$6:$B$3005,'Nhật ký tiến độ'!$C$6:$C$3005,$A165,'Nhật ký tiến độ'!$E$6:$E$3005,"Hoàn thành")),0))</f>
      </c>
      <c r="Y165" s="220">
        <f>IF($A165="","",IF($B165="Đột xuất",IF($AY165=0,"",$AY165),IF($AX165=0,"",$AX165)))</f>
      </c>
      <c r="Z165" s="223">
        <f>IF(OR($AO165=0,$AW165=0),"",IF(TDBC&gt;$AW165,"Quá "&amp;IF($B165="Định kỳ",(NgayBC-$AP165)&amp;" ngày",IF(((TDBC-$AW165)*24)&lt;1,MAX(1,ROUND(((TDBC-$AW165)*24)*60,0))&amp;" phút",IF(ROUND(((TDBC-$AW165)*24),0)&lt;24,ROUND(((TDBC-$AW165)*24),0)&amp;" giờ",INT(ROUND(((TDBC-$AW165)*24),0)/24)&amp;" ngày"&amp;IF(MOD(ROUND(((TDBC-$AW165)*24),0),24)&gt;0," "&amp;MOD(ROUND(((TDBC-$AW165)*24),0),24)&amp;" giờ","")))),IF($B165="Định kỳ",IF($AP165=NgayBC,"Hôm nay","Còn "&amp;($AP165-NgayBC)&amp;" ngày"),"Còn "&amp;IF((($AW165-TDBC)*24)&lt;1,MAX(1,ROUND((($AW165-TDBC)*24)*60,0))&amp;" phút",IF(ROUND((($AW165-TDBC)*24),0)&lt;24,ROUND((($AW165-TDBC)*24),0)&amp;" giờ",INT(ROUND((($AW165-TDBC)*24),0)/24)&amp;" ngày"&amp;IF(MOD(ROUND((($AW165-TDBC)*24),0),24)&gt;0," "&amp;MOD(ROUND((($AW165-TDBC)*24),0),24)&amp;" giờ",""))))))</f>
      </c>
      <c r="AA165" s="221">
        <f>IF($A165="","",IF(N($AM165)=0,"Chưa bắt đầu",IF(OR($AN165="Hoàn thành kỳ",$AN165="Hoàn thành"),IF($B165="Định kỳ","Chưa bắt đầu","Hoàn thành"),$AN165)))</f>
      </c>
      <c r="AB165" s="222">
        <f>IF($A165="","",IF($AA165="Hoàn thành",1,IF(OR(N($AM165)=0,$AN165="Hoàn thành kỳ",$AN165="Hoàn thành"),0,N(INDEX('Nhật ký tiến độ'!$D:$D,$AM165)))))</f>
      </c>
      <c r="AC165" s="222">
        <f>IF(OR($A165="",$B165&lt;&gt;"Đột xuất",$AA165="Hoàn thành",N($J165)=0,$AW165=0),"",IF(TDBC&lt;=$J165,0,IF(TDBC&gt;=$AW165,1,(TDBC-$J165)/($AW165-$J165))))</f>
      </c>
      <c r="AD165" s="223">
        <f>IF($A165="","",IF($AA165="Hoàn thành","Hoàn thành",IF($AW165=0,"Chưa đặt hạn",IF(TDBC&gt;$AW165,"Quá hạn",IF(AND($B165="Đột xuất",ROUND((N($AC165)-$AB165)*100,0)&gt;=20),"Chậm tiến độ",IF($AP165=NgayBC,"Đến hạn hôm nay",IF($B165="Đột xuất",IF($AW165-TDBC&lt;=1,"Sắp đến hạn","Đúng tiến độ"),IF($AP165-NgayBC&lt;=3,"Sắp đến hạn","Theo lịch"))))))))</f>
      </c>
      <c r="AE165" s="223">
        <f>IF($AV165="","",IF($B165="Định kỳ","Bình quân "&amp;IF($AV165&lt;1,MAX(1,ROUND($AV165*60,0))&amp;" phút",IF(ROUND($AV165,0)&lt;24,ROUND($AV165,0)&amp;" giờ",INT(ROUND($AV165,0)/24)&amp;" ngày"&amp;IF(MOD(ROUND($AV165,0),24)&gt;0," "&amp;MOD(ROUND($AV165,0),24)&amp;" giờ","")))&amp;" mỗi kỳ",IF($AV165&lt;1,MAX(1,ROUND($AV165*60,0))&amp;" phút",IF(ROUND($AV165,0)&lt;24,ROUND($AV165,0)&amp;" giờ",INT(ROUND($AV165,0)/24)&amp;" ngày"&amp;IF(MOD(ROUND($AV165,0),24)&gt;0," "&amp;MOD(ROUND($AV165,0),24)&amp;" giờ","")))))</f>
      </c>
      <c r="AF165" s="223">
        <f>IF(OR($A165="",N($AU165)=0),"",IF($AV165&lt;&gt;"",IF($AV165&lt;=$AU165,"Trong ước tính","Vượt "&amp;IF(($AV165-$AU165)&lt;1,MAX(1,ROUND(($AV165-$AU165)*60,0))&amp;" phút",IF(ROUND(($AV165-$AU165),0)&lt;24,ROUND(($AV165-$AU165),0)&amp;" giờ",INT(ROUND(($AV165-$AU165),0)/24)&amp;" ngày"&amp;IF(MOD(ROUND(($AV165-$AU165),0),24)&gt;0," "&amp;MOD(ROUND(($AV165-$AU165),0),24)&amp;" giờ","")))),IF(OR($B165&lt;&gt;"Đột xuất",$AA165="Hoàn thành",N($J165)=0),"",IF((TDBC-$J165)*24&gt;$AU165,"Đã vượt ước tính","Đã dùng "&amp;TEXT((TDBC-$J165)*24/$AU165,"0%")))))</f>
      </c>
      <c r="AG165" s="223">
        <f>IF(N($BB165)=0,"",CHOOSE($BB165,"Nhắc nhở","Cảnh báo","Báo động","Báo động đỏ"))</f>
      </c>
      <c r="AH165" s="223">
        <f>IF(OR($B165&lt;&gt;"Đột xuất",$AA165&lt;&gt;"Hoàn thành",N($X165)=0,$AW165=0),"",IF($X165&lt;=$AW165,"Đúng hạn","Trễ hạn"))</f>
      </c>
      <c r="AI165" s="220">
        <f>IF($A165="","",_xlfn.MAXIFS('Nhật ký tiến độ'!$B$6:$B$3005,'Nhật ký tiến độ'!$C$6:$C$3005,$A165))</f>
      </c>
      <c r="AJ165" s="225">
        <f>IF(OR($A165="",$B165&lt;&gt;"Định kỳ"),0,IFERROR(INDEX(DM_TanSuatNgay,MATCH($H165,DM_TanSuat,0)),0))</f>
      </c>
      <c r="AK165" s="225">
        <f>IF(OR($A165="",$B165&lt;&gt;"Định kỳ"),0,IFERROR(INDEX(DM_TanSuatThang,MATCH($H165,DM_TanSuat,0)),0))</f>
      </c>
      <c r="AL165" s="225">
        <f>IF(OR($A165="",$B165&lt;&gt;"Định kỳ",N($X165)=0,N($I165)=0),"",IF(INT($X165)&lt;$I165,0,IF($AJ165&gt;0,ROUND((INT($X165)-$I165)/$AJ165,0),IF($AK165&gt;0,ROUND((DATEDIF($I165,INT($X165),"m")+(INT($X165)-EDATE($I165,DATEDIF($I165,INT($X165),"m")))/(EDATE($I165,DATEDIF($I165,INT($X165),"m")+1)-EDATE($I165,DATEDIF($I165,INT($X165),"m"))))/$AK165,0),0))))</f>
      </c>
      <c r="AM165" s="225">
        <f>IF($A165="","",IF(COUNTIF('Nhật ký tiến độ'!$C$6:$C$3005,$A165)=0,0,_xlfn.MAXIFS('Nhật ký tiến độ'!$N$6:$N$3005,'Nhật ký tiến độ'!$C$6:$C$3005,$A165,'Nhật ký tiến độ'!$B$6:$B$3005,_xlfn.MAXIFS('Nhật ký tiến độ'!$B$6:$B$3005,'Nhật ký tiến độ'!$C$6:$C$3005,$A165))))</f>
      </c>
      <c r="AN165" s="225">
        <f>IF($A165="","",IF(N($AM165)=0,"",INDEX('Nhật ký tiến độ'!$E:$E,$AM165)))</f>
      </c>
      <c r="AO165" s="225">
        <f>IF($A165="",0,IF($AA165="Hoàn thành",0,1))</f>
      </c>
      <c r="AP165" s="225">
        <f>IF($AO165=0,0,INT(N($AW165)))</f>
      </c>
      <c r="AQ165" s="225">
        <f>IF(AND($AO165=1,$AJ165&gt;1),$AJ165,0)</f>
      </c>
      <c r="AR165" s="225">
        <f>IF(AND($AO165=1,$AJ165=1),1,0)</f>
      </c>
      <c r="AS165" s="225">
        <f>IF(OR($AO165=0,AND($AR165=1,N($BB165)=0)),"",IF(N($BB165)&gt;0,5-$BB165,IF($AD165="Chậm tiến độ",6,IF($AD165="Đến hạn hôm nay",7,IF(AND($AP165&gt;0,$AP165-NgayBC&lt;=7),8,"")))))</f>
      </c>
      <c r="AT165" s="225">
        <f>IF($AS165="","",$AS165*100000+$AP165+ROW()/100000)</f>
      </c>
      <c r="AU165" s="224">
        <f>IF(OR($A165="",N($R165)&lt;=0),"",IF($S165="Ngày",$R165*24,$R165))</f>
      </c>
      <c r="AV165" s="224">
        <f>IF($A165="","",IF($B165="Đột xuất",IF(OR($AA165&lt;&gt;"Hoàn thành",N($X165)=0,N($J165)=0),"",IF($X165&lt;$J165,"",($X165-$J165)*24)),IFERROR(AVERAGEIFS('Nhật ký tiến độ'!$H$6:$H$3005,'Nhật ký tiến độ'!$C$6:$C$3005,$A165,'Nhật ký tiến độ'!$H$6:$H$3005,"&gt;0"),"")))</f>
      </c>
      <c r="AW165" s="233">
        <f>IF($A165="",0,IF($B165="Đột xuất",$AY165,IF($AX165=0,0,$AX165+1-1/1440)))</f>
      </c>
      <c r="AX165" s="234">
        <f>IF(OR($A165="",$B165&lt;&gt;"Định kỳ",N($I165)=0),0,IF($AL165="",$I165,IF($AJ165&gt;0,$I165+($AL165+1)*$AJ165,IF($AK165&gt;0,EDATE($I165,($AL165+1)*$AK165),$I165))))</f>
      </c>
      <c r="AY165" s="233">
        <f>IF(OR($A165="",$B165&lt;&gt;"Đột xuất"),0,IF(N($K165)&gt;0,IF(MOD($K165,1)=0,$K165+1-1/1440,$K165),IF(N($J165)=0,0,$J165+IF(N($AU165)&gt;0,$AU165,IFERROR(INDEX(DM_SLA_Gio,MATCH($L165,DM_SLA_Cap,0)),168))/24)))</f>
      </c>
      <c r="AZ165" s="225">
        <f>IF(OR($A165="",TRIM($N165)="",COUNTIF('Phản ánh'!$K$6:$K$505,$N165)&gt;0,COUNTIF($N$6:$N165,$N165)&gt;1),0,1)</f>
      </c>
      <c r="BA165" s="225">
        <f>IF($AZ165=1,SUM($AZ$6:$AZ165),"")</f>
      </c>
      <c r="BB165" s="225">
        <f>IF(OR($AO165=0,N($AW165)=0),0,IF(TDBC&lt;=$AW165,0,MAX(1,MIN(4,IF((TDBC-$AW165)*24&lt;24,1,IF((TDBC-$AW165)*24&lt;72,2,IF((TDBC-$AW165)*24&lt;168,3,4)))+IF($B165="Đột xuất",IFERROR(INDEX({2,1,0,-1},MATCH($L165,{"Khẩn cấp","Cao","Trung bình","Thấp"},0)),0),IF($D165="PCCC và an ninh",1,0))))))</f>
      </c>
    </row>
    <row r="166">
      <c r="A166" s="216"/>
      <c r="B166" s="216"/>
      <c r="C166" s="218"/>
      <c r="D166" s="218"/>
      <c r="E166" s="218"/>
      <c r="F166" s="216"/>
      <c r="G166" s="218"/>
      <c r="H166" s="218"/>
      <c r="I166" s="231"/>
      <c r="J166" s="217"/>
      <c r="K166" s="217"/>
      <c r="L166" s="216"/>
      <c r="M166" s="216"/>
      <c r="N166" s="218"/>
      <c r="O166" s="218"/>
      <c r="P166" s="218"/>
      <c r="Q166" s="218"/>
      <c r="R166" s="219"/>
      <c r="S166" s="216"/>
      <c r="T166" s="232"/>
      <c r="U166" s="232"/>
      <c r="V166" s="218"/>
      <c r="W166" s="218"/>
      <c r="X166" s="220">
        <f>IF($A166="","",IF(OR($B166="Định kỳ",$AA166="Hoàn thành"),MAX(_xlfn.MAXIFS('Nhật ký tiến độ'!$B$6:$B$3005,'Nhật ký tiến độ'!$C$6:$C$3005,$A166,'Nhật ký tiến độ'!$E$6:$E$3005,"Hoàn thành kỳ"),_xlfn.MAXIFS('Nhật ký tiến độ'!$B$6:$B$3005,'Nhật ký tiến độ'!$C$6:$C$3005,$A166,'Nhật ký tiến độ'!$E$6:$E$3005,"Hoàn thành")),0))</f>
      </c>
      <c r="Y166" s="220">
        <f>IF($A166="","",IF($B166="Đột xuất",IF($AY166=0,"",$AY166),IF($AX166=0,"",$AX166)))</f>
      </c>
      <c r="Z166" s="223">
        <f>IF(OR($AO166=0,$AW166=0),"",IF(TDBC&gt;$AW166,"Quá "&amp;IF($B166="Định kỳ",(NgayBC-$AP166)&amp;" ngày",IF(((TDBC-$AW166)*24)&lt;1,MAX(1,ROUND(((TDBC-$AW166)*24)*60,0))&amp;" phút",IF(ROUND(((TDBC-$AW166)*24),0)&lt;24,ROUND(((TDBC-$AW166)*24),0)&amp;" giờ",INT(ROUND(((TDBC-$AW166)*24),0)/24)&amp;" ngày"&amp;IF(MOD(ROUND(((TDBC-$AW166)*24),0),24)&gt;0," "&amp;MOD(ROUND(((TDBC-$AW166)*24),0),24)&amp;" giờ","")))),IF($B166="Định kỳ",IF($AP166=NgayBC,"Hôm nay","Còn "&amp;($AP166-NgayBC)&amp;" ngày"),"Còn "&amp;IF((($AW166-TDBC)*24)&lt;1,MAX(1,ROUND((($AW166-TDBC)*24)*60,0))&amp;" phút",IF(ROUND((($AW166-TDBC)*24),0)&lt;24,ROUND((($AW166-TDBC)*24),0)&amp;" giờ",INT(ROUND((($AW166-TDBC)*24),0)/24)&amp;" ngày"&amp;IF(MOD(ROUND((($AW166-TDBC)*24),0),24)&gt;0," "&amp;MOD(ROUND((($AW166-TDBC)*24),0),24)&amp;" giờ",""))))))</f>
      </c>
      <c r="AA166" s="221">
        <f>IF($A166="","",IF(N($AM166)=0,"Chưa bắt đầu",IF(OR($AN166="Hoàn thành kỳ",$AN166="Hoàn thành"),IF($B166="Định kỳ","Chưa bắt đầu","Hoàn thành"),$AN166)))</f>
      </c>
      <c r="AB166" s="222">
        <f>IF($A166="","",IF($AA166="Hoàn thành",1,IF(OR(N($AM166)=0,$AN166="Hoàn thành kỳ",$AN166="Hoàn thành"),0,N(INDEX('Nhật ký tiến độ'!$D:$D,$AM166)))))</f>
      </c>
      <c r="AC166" s="222">
        <f>IF(OR($A166="",$B166&lt;&gt;"Đột xuất",$AA166="Hoàn thành",N($J166)=0,$AW166=0),"",IF(TDBC&lt;=$J166,0,IF(TDBC&gt;=$AW166,1,(TDBC-$J166)/($AW166-$J166))))</f>
      </c>
      <c r="AD166" s="223">
        <f>IF($A166="","",IF($AA166="Hoàn thành","Hoàn thành",IF($AW166=0,"Chưa đặt hạn",IF(TDBC&gt;$AW166,"Quá hạn",IF(AND($B166="Đột xuất",ROUND((N($AC166)-$AB166)*100,0)&gt;=20),"Chậm tiến độ",IF($AP166=NgayBC,"Đến hạn hôm nay",IF($B166="Đột xuất",IF($AW166-TDBC&lt;=1,"Sắp đến hạn","Đúng tiến độ"),IF($AP166-NgayBC&lt;=3,"Sắp đến hạn","Theo lịch"))))))))</f>
      </c>
      <c r="AE166" s="223">
        <f>IF($AV166="","",IF($B166="Định kỳ","Bình quân "&amp;IF($AV166&lt;1,MAX(1,ROUND($AV166*60,0))&amp;" phút",IF(ROUND($AV166,0)&lt;24,ROUND($AV166,0)&amp;" giờ",INT(ROUND($AV166,0)/24)&amp;" ngày"&amp;IF(MOD(ROUND($AV166,0),24)&gt;0," "&amp;MOD(ROUND($AV166,0),24)&amp;" giờ","")))&amp;" mỗi kỳ",IF($AV166&lt;1,MAX(1,ROUND($AV166*60,0))&amp;" phút",IF(ROUND($AV166,0)&lt;24,ROUND($AV166,0)&amp;" giờ",INT(ROUND($AV166,0)/24)&amp;" ngày"&amp;IF(MOD(ROUND($AV166,0),24)&gt;0," "&amp;MOD(ROUND($AV166,0),24)&amp;" giờ","")))))</f>
      </c>
      <c r="AF166" s="223">
        <f>IF(OR($A166="",N($AU166)=0),"",IF($AV166&lt;&gt;"",IF($AV166&lt;=$AU166,"Trong ước tính","Vượt "&amp;IF(($AV166-$AU166)&lt;1,MAX(1,ROUND(($AV166-$AU166)*60,0))&amp;" phút",IF(ROUND(($AV166-$AU166),0)&lt;24,ROUND(($AV166-$AU166),0)&amp;" giờ",INT(ROUND(($AV166-$AU166),0)/24)&amp;" ngày"&amp;IF(MOD(ROUND(($AV166-$AU166),0),24)&gt;0," "&amp;MOD(ROUND(($AV166-$AU166),0),24)&amp;" giờ","")))),IF(OR($B166&lt;&gt;"Đột xuất",$AA166="Hoàn thành",N($J166)=0),"",IF((TDBC-$J166)*24&gt;$AU166,"Đã vượt ước tính","Đã dùng "&amp;TEXT((TDBC-$J166)*24/$AU166,"0%")))))</f>
      </c>
      <c r="AG166" s="223">
        <f>IF(N($BB166)=0,"",CHOOSE($BB166,"Nhắc nhở","Cảnh báo","Báo động","Báo động đỏ"))</f>
      </c>
      <c r="AH166" s="223">
        <f>IF(OR($B166&lt;&gt;"Đột xuất",$AA166&lt;&gt;"Hoàn thành",N($X166)=0,$AW166=0),"",IF($X166&lt;=$AW166,"Đúng hạn","Trễ hạn"))</f>
      </c>
      <c r="AI166" s="220">
        <f>IF($A166="","",_xlfn.MAXIFS('Nhật ký tiến độ'!$B$6:$B$3005,'Nhật ký tiến độ'!$C$6:$C$3005,$A166))</f>
      </c>
      <c r="AJ166" s="225">
        <f>IF(OR($A166="",$B166&lt;&gt;"Định kỳ"),0,IFERROR(INDEX(DM_TanSuatNgay,MATCH($H166,DM_TanSuat,0)),0))</f>
      </c>
      <c r="AK166" s="225">
        <f>IF(OR($A166="",$B166&lt;&gt;"Định kỳ"),0,IFERROR(INDEX(DM_TanSuatThang,MATCH($H166,DM_TanSuat,0)),0))</f>
      </c>
      <c r="AL166" s="225">
        <f>IF(OR($A166="",$B166&lt;&gt;"Định kỳ",N($X166)=0,N($I166)=0),"",IF(INT($X166)&lt;$I166,0,IF($AJ166&gt;0,ROUND((INT($X166)-$I166)/$AJ166,0),IF($AK166&gt;0,ROUND((DATEDIF($I166,INT($X166),"m")+(INT($X166)-EDATE($I166,DATEDIF($I166,INT($X166),"m")))/(EDATE($I166,DATEDIF($I166,INT($X166),"m")+1)-EDATE($I166,DATEDIF($I166,INT($X166),"m"))))/$AK166,0),0))))</f>
      </c>
      <c r="AM166" s="225">
        <f>IF($A166="","",IF(COUNTIF('Nhật ký tiến độ'!$C$6:$C$3005,$A166)=0,0,_xlfn.MAXIFS('Nhật ký tiến độ'!$N$6:$N$3005,'Nhật ký tiến độ'!$C$6:$C$3005,$A166,'Nhật ký tiến độ'!$B$6:$B$3005,_xlfn.MAXIFS('Nhật ký tiến độ'!$B$6:$B$3005,'Nhật ký tiến độ'!$C$6:$C$3005,$A166))))</f>
      </c>
      <c r="AN166" s="225">
        <f>IF($A166="","",IF(N($AM166)=0,"",INDEX('Nhật ký tiến độ'!$E:$E,$AM166)))</f>
      </c>
      <c r="AO166" s="225">
        <f>IF($A166="",0,IF($AA166="Hoàn thành",0,1))</f>
      </c>
      <c r="AP166" s="225">
        <f>IF($AO166=0,0,INT(N($AW166)))</f>
      </c>
      <c r="AQ166" s="225">
        <f>IF(AND($AO166=1,$AJ166&gt;1),$AJ166,0)</f>
      </c>
      <c r="AR166" s="225">
        <f>IF(AND($AO166=1,$AJ166=1),1,0)</f>
      </c>
      <c r="AS166" s="225">
        <f>IF(OR($AO166=0,AND($AR166=1,N($BB166)=0)),"",IF(N($BB166)&gt;0,5-$BB166,IF($AD166="Chậm tiến độ",6,IF($AD166="Đến hạn hôm nay",7,IF(AND($AP166&gt;0,$AP166-NgayBC&lt;=7),8,"")))))</f>
      </c>
      <c r="AT166" s="225">
        <f>IF($AS166="","",$AS166*100000+$AP166+ROW()/100000)</f>
      </c>
      <c r="AU166" s="224">
        <f>IF(OR($A166="",N($R166)&lt;=0),"",IF($S166="Ngày",$R166*24,$R166))</f>
      </c>
      <c r="AV166" s="224">
        <f>IF($A166="","",IF($B166="Đột xuất",IF(OR($AA166&lt;&gt;"Hoàn thành",N($X166)=0,N($J166)=0),"",IF($X166&lt;$J166,"",($X166-$J166)*24)),IFERROR(AVERAGEIFS('Nhật ký tiến độ'!$H$6:$H$3005,'Nhật ký tiến độ'!$C$6:$C$3005,$A166,'Nhật ký tiến độ'!$H$6:$H$3005,"&gt;0"),"")))</f>
      </c>
      <c r="AW166" s="233">
        <f>IF($A166="",0,IF($B166="Đột xuất",$AY166,IF($AX166=0,0,$AX166+1-1/1440)))</f>
      </c>
      <c r="AX166" s="234">
        <f>IF(OR($A166="",$B166&lt;&gt;"Định kỳ",N($I166)=0),0,IF($AL166="",$I166,IF($AJ166&gt;0,$I166+($AL166+1)*$AJ166,IF($AK166&gt;0,EDATE($I166,($AL166+1)*$AK166),$I166))))</f>
      </c>
      <c r="AY166" s="233">
        <f>IF(OR($A166="",$B166&lt;&gt;"Đột xuất"),0,IF(N($K166)&gt;0,IF(MOD($K166,1)=0,$K166+1-1/1440,$K166),IF(N($J166)=0,0,$J166+IF(N($AU166)&gt;0,$AU166,IFERROR(INDEX(DM_SLA_Gio,MATCH($L166,DM_SLA_Cap,0)),168))/24)))</f>
      </c>
      <c r="AZ166" s="225">
        <f>IF(OR($A166="",TRIM($N166)="",COUNTIF('Phản ánh'!$K$6:$K$505,$N166)&gt;0,COUNTIF($N$6:$N166,$N166)&gt;1),0,1)</f>
      </c>
      <c r="BA166" s="225">
        <f>IF($AZ166=1,SUM($AZ$6:$AZ166),"")</f>
      </c>
      <c r="BB166" s="225">
        <f>IF(OR($AO166=0,N($AW166)=0),0,IF(TDBC&lt;=$AW166,0,MAX(1,MIN(4,IF((TDBC-$AW166)*24&lt;24,1,IF((TDBC-$AW166)*24&lt;72,2,IF((TDBC-$AW166)*24&lt;168,3,4)))+IF($B166="Đột xuất",IFERROR(INDEX({2,1,0,-1},MATCH($L166,{"Khẩn cấp","Cao","Trung bình","Thấp"},0)),0),IF($D166="PCCC và an ninh",1,0))))))</f>
      </c>
    </row>
    <row r="167">
      <c r="A167" s="216"/>
      <c r="B167" s="216"/>
      <c r="C167" s="218"/>
      <c r="D167" s="218"/>
      <c r="E167" s="218"/>
      <c r="F167" s="216"/>
      <c r="G167" s="218"/>
      <c r="H167" s="218"/>
      <c r="I167" s="231"/>
      <c r="J167" s="217"/>
      <c r="K167" s="217"/>
      <c r="L167" s="216"/>
      <c r="M167" s="216"/>
      <c r="N167" s="218"/>
      <c r="O167" s="218"/>
      <c r="P167" s="218"/>
      <c r="Q167" s="218"/>
      <c r="R167" s="219"/>
      <c r="S167" s="216"/>
      <c r="T167" s="232"/>
      <c r="U167" s="232"/>
      <c r="V167" s="218"/>
      <c r="W167" s="218"/>
      <c r="X167" s="220">
        <f>IF($A167="","",IF(OR($B167="Định kỳ",$AA167="Hoàn thành"),MAX(_xlfn.MAXIFS('Nhật ký tiến độ'!$B$6:$B$3005,'Nhật ký tiến độ'!$C$6:$C$3005,$A167,'Nhật ký tiến độ'!$E$6:$E$3005,"Hoàn thành kỳ"),_xlfn.MAXIFS('Nhật ký tiến độ'!$B$6:$B$3005,'Nhật ký tiến độ'!$C$6:$C$3005,$A167,'Nhật ký tiến độ'!$E$6:$E$3005,"Hoàn thành")),0))</f>
      </c>
      <c r="Y167" s="220">
        <f>IF($A167="","",IF($B167="Đột xuất",IF($AY167=0,"",$AY167),IF($AX167=0,"",$AX167)))</f>
      </c>
      <c r="Z167" s="223">
        <f>IF(OR($AO167=0,$AW167=0),"",IF(TDBC&gt;$AW167,"Quá "&amp;IF($B167="Định kỳ",(NgayBC-$AP167)&amp;" ngày",IF(((TDBC-$AW167)*24)&lt;1,MAX(1,ROUND(((TDBC-$AW167)*24)*60,0))&amp;" phút",IF(ROUND(((TDBC-$AW167)*24),0)&lt;24,ROUND(((TDBC-$AW167)*24),0)&amp;" giờ",INT(ROUND(((TDBC-$AW167)*24),0)/24)&amp;" ngày"&amp;IF(MOD(ROUND(((TDBC-$AW167)*24),0),24)&gt;0," "&amp;MOD(ROUND(((TDBC-$AW167)*24),0),24)&amp;" giờ","")))),IF($B167="Định kỳ",IF($AP167=NgayBC,"Hôm nay","Còn "&amp;($AP167-NgayBC)&amp;" ngày"),"Còn "&amp;IF((($AW167-TDBC)*24)&lt;1,MAX(1,ROUND((($AW167-TDBC)*24)*60,0))&amp;" phút",IF(ROUND((($AW167-TDBC)*24),0)&lt;24,ROUND((($AW167-TDBC)*24),0)&amp;" giờ",INT(ROUND((($AW167-TDBC)*24),0)/24)&amp;" ngày"&amp;IF(MOD(ROUND((($AW167-TDBC)*24),0),24)&gt;0," "&amp;MOD(ROUND((($AW167-TDBC)*24),0),24)&amp;" giờ",""))))))</f>
      </c>
      <c r="AA167" s="221">
        <f>IF($A167="","",IF(N($AM167)=0,"Chưa bắt đầu",IF(OR($AN167="Hoàn thành kỳ",$AN167="Hoàn thành"),IF($B167="Định kỳ","Chưa bắt đầu","Hoàn thành"),$AN167)))</f>
      </c>
      <c r="AB167" s="222">
        <f>IF($A167="","",IF($AA167="Hoàn thành",1,IF(OR(N($AM167)=0,$AN167="Hoàn thành kỳ",$AN167="Hoàn thành"),0,N(INDEX('Nhật ký tiến độ'!$D:$D,$AM167)))))</f>
      </c>
      <c r="AC167" s="222">
        <f>IF(OR($A167="",$B167&lt;&gt;"Đột xuất",$AA167="Hoàn thành",N($J167)=0,$AW167=0),"",IF(TDBC&lt;=$J167,0,IF(TDBC&gt;=$AW167,1,(TDBC-$J167)/($AW167-$J167))))</f>
      </c>
      <c r="AD167" s="223">
        <f>IF($A167="","",IF($AA167="Hoàn thành","Hoàn thành",IF($AW167=0,"Chưa đặt hạn",IF(TDBC&gt;$AW167,"Quá hạn",IF(AND($B167="Đột xuất",ROUND((N($AC167)-$AB167)*100,0)&gt;=20),"Chậm tiến độ",IF($AP167=NgayBC,"Đến hạn hôm nay",IF($B167="Đột xuất",IF($AW167-TDBC&lt;=1,"Sắp đến hạn","Đúng tiến độ"),IF($AP167-NgayBC&lt;=3,"Sắp đến hạn","Theo lịch"))))))))</f>
      </c>
      <c r="AE167" s="223">
        <f>IF($AV167="","",IF($B167="Định kỳ","Bình quân "&amp;IF($AV167&lt;1,MAX(1,ROUND($AV167*60,0))&amp;" phút",IF(ROUND($AV167,0)&lt;24,ROUND($AV167,0)&amp;" giờ",INT(ROUND($AV167,0)/24)&amp;" ngày"&amp;IF(MOD(ROUND($AV167,0),24)&gt;0," "&amp;MOD(ROUND($AV167,0),24)&amp;" giờ","")))&amp;" mỗi kỳ",IF($AV167&lt;1,MAX(1,ROUND($AV167*60,0))&amp;" phút",IF(ROUND($AV167,0)&lt;24,ROUND($AV167,0)&amp;" giờ",INT(ROUND($AV167,0)/24)&amp;" ngày"&amp;IF(MOD(ROUND($AV167,0),24)&gt;0," "&amp;MOD(ROUND($AV167,0),24)&amp;" giờ","")))))</f>
      </c>
      <c r="AF167" s="223">
        <f>IF(OR($A167="",N($AU167)=0),"",IF($AV167&lt;&gt;"",IF($AV167&lt;=$AU167,"Trong ước tính","Vượt "&amp;IF(($AV167-$AU167)&lt;1,MAX(1,ROUND(($AV167-$AU167)*60,0))&amp;" phút",IF(ROUND(($AV167-$AU167),0)&lt;24,ROUND(($AV167-$AU167),0)&amp;" giờ",INT(ROUND(($AV167-$AU167),0)/24)&amp;" ngày"&amp;IF(MOD(ROUND(($AV167-$AU167),0),24)&gt;0," "&amp;MOD(ROUND(($AV167-$AU167),0),24)&amp;" giờ","")))),IF(OR($B167&lt;&gt;"Đột xuất",$AA167="Hoàn thành",N($J167)=0),"",IF((TDBC-$J167)*24&gt;$AU167,"Đã vượt ước tính","Đã dùng "&amp;TEXT((TDBC-$J167)*24/$AU167,"0%")))))</f>
      </c>
      <c r="AG167" s="223">
        <f>IF(N($BB167)=0,"",CHOOSE($BB167,"Nhắc nhở","Cảnh báo","Báo động","Báo động đỏ"))</f>
      </c>
      <c r="AH167" s="223">
        <f>IF(OR($B167&lt;&gt;"Đột xuất",$AA167&lt;&gt;"Hoàn thành",N($X167)=0,$AW167=0),"",IF($X167&lt;=$AW167,"Đúng hạn","Trễ hạn"))</f>
      </c>
      <c r="AI167" s="220">
        <f>IF($A167="","",_xlfn.MAXIFS('Nhật ký tiến độ'!$B$6:$B$3005,'Nhật ký tiến độ'!$C$6:$C$3005,$A167))</f>
      </c>
      <c r="AJ167" s="225">
        <f>IF(OR($A167="",$B167&lt;&gt;"Định kỳ"),0,IFERROR(INDEX(DM_TanSuatNgay,MATCH($H167,DM_TanSuat,0)),0))</f>
      </c>
      <c r="AK167" s="225">
        <f>IF(OR($A167="",$B167&lt;&gt;"Định kỳ"),0,IFERROR(INDEX(DM_TanSuatThang,MATCH($H167,DM_TanSuat,0)),0))</f>
      </c>
      <c r="AL167" s="225">
        <f>IF(OR($A167="",$B167&lt;&gt;"Định kỳ",N($X167)=0,N($I167)=0),"",IF(INT($X167)&lt;$I167,0,IF($AJ167&gt;0,ROUND((INT($X167)-$I167)/$AJ167,0),IF($AK167&gt;0,ROUND((DATEDIF($I167,INT($X167),"m")+(INT($X167)-EDATE($I167,DATEDIF($I167,INT($X167),"m")))/(EDATE($I167,DATEDIF($I167,INT($X167),"m")+1)-EDATE($I167,DATEDIF($I167,INT($X167),"m"))))/$AK167,0),0))))</f>
      </c>
      <c r="AM167" s="225">
        <f>IF($A167="","",IF(COUNTIF('Nhật ký tiến độ'!$C$6:$C$3005,$A167)=0,0,_xlfn.MAXIFS('Nhật ký tiến độ'!$N$6:$N$3005,'Nhật ký tiến độ'!$C$6:$C$3005,$A167,'Nhật ký tiến độ'!$B$6:$B$3005,_xlfn.MAXIFS('Nhật ký tiến độ'!$B$6:$B$3005,'Nhật ký tiến độ'!$C$6:$C$3005,$A167))))</f>
      </c>
      <c r="AN167" s="225">
        <f>IF($A167="","",IF(N($AM167)=0,"",INDEX('Nhật ký tiến độ'!$E:$E,$AM167)))</f>
      </c>
      <c r="AO167" s="225">
        <f>IF($A167="",0,IF($AA167="Hoàn thành",0,1))</f>
      </c>
      <c r="AP167" s="225">
        <f>IF($AO167=0,0,INT(N($AW167)))</f>
      </c>
      <c r="AQ167" s="225">
        <f>IF(AND($AO167=1,$AJ167&gt;1),$AJ167,0)</f>
      </c>
      <c r="AR167" s="225">
        <f>IF(AND($AO167=1,$AJ167=1),1,0)</f>
      </c>
      <c r="AS167" s="225">
        <f>IF(OR($AO167=0,AND($AR167=1,N($BB167)=0)),"",IF(N($BB167)&gt;0,5-$BB167,IF($AD167="Chậm tiến độ",6,IF($AD167="Đến hạn hôm nay",7,IF(AND($AP167&gt;0,$AP167-NgayBC&lt;=7),8,"")))))</f>
      </c>
      <c r="AT167" s="225">
        <f>IF($AS167="","",$AS167*100000+$AP167+ROW()/100000)</f>
      </c>
      <c r="AU167" s="224">
        <f>IF(OR($A167="",N($R167)&lt;=0),"",IF($S167="Ngày",$R167*24,$R167))</f>
      </c>
      <c r="AV167" s="224">
        <f>IF($A167="","",IF($B167="Đột xuất",IF(OR($AA167&lt;&gt;"Hoàn thành",N($X167)=0,N($J167)=0),"",IF($X167&lt;$J167,"",($X167-$J167)*24)),IFERROR(AVERAGEIFS('Nhật ký tiến độ'!$H$6:$H$3005,'Nhật ký tiến độ'!$C$6:$C$3005,$A167,'Nhật ký tiến độ'!$H$6:$H$3005,"&gt;0"),"")))</f>
      </c>
      <c r="AW167" s="233">
        <f>IF($A167="",0,IF($B167="Đột xuất",$AY167,IF($AX167=0,0,$AX167+1-1/1440)))</f>
      </c>
      <c r="AX167" s="234">
        <f>IF(OR($A167="",$B167&lt;&gt;"Định kỳ",N($I167)=0),0,IF($AL167="",$I167,IF($AJ167&gt;0,$I167+($AL167+1)*$AJ167,IF($AK167&gt;0,EDATE($I167,($AL167+1)*$AK167),$I167))))</f>
      </c>
      <c r="AY167" s="233">
        <f>IF(OR($A167="",$B167&lt;&gt;"Đột xuất"),0,IF(N($K167)&gt;0,IF(MOD($K167,1)=0,$K167+1-1/1440,$K167),IF(N($J167)=0,0,$J167+IF(N($AU167)&gt;0,$AU167,IFERROR(INDEX(DM_SLA_Gio,MATCH($L167,DM_SLA_Cap,0)),168))/24)))</f>
      </c>
      <c r="AZ167" s="225">
        <f>IF(OR($A167="",TRIM($N167)="",COUNTIF('Phản ánh'!$K$6:$K$505,$N167)&gt;0,COUNTIF($N$6:$N167,$N167)&gt;1),0,1)</f>
      </c>
      <c r="BA167" s="225">
        <f>IF($AZ167=1,SUM($AZ$6:$AZ167),"")</f>
      </c>
      <c r="BB167" s="225">
        <f>IF(OR($AO167=0,N($AW167)=0),0,IF(TDBC&lt;=$AW167,0,MAX(1,MIN(4,IF((TDBC-$AW167)*24&lt;24,1,IF((TDBC-$AW167)*24&lt;72,2,IF((TDBC-$AW167)*24&lt;168,3,4)))+IF($B167="Đột xuất",IFERROR(INDEX({2,1,0,-1},MATCH($L167,{"Khẩn cấp","Cao","Trung bình","Thấp"},0)),0),IF($D167="PCCC và an ninh",1,0))))))</f>
      </c>
    </row>
    <row r="168">
      <c r="A168" s="216"/>
      <c r="B168" s="216"/>
      <c r="C168" s="218"/>
      <c r="D168" s="218"/>
      <c r="E168" s="218"/>
      <c r="F168" s="216"/>
      <c r="G168" s="218"/>
      <c r="H168" s="218"/>
      <c r="I168" s="231"/>
      <c r="J168" s="217"/>
      <c r="K168" s="217"/>
      <c r="L168" s="216"/>
      <c r="M168" s="216"/>
      <c r="N168" s="218"/>
      <c r="O168" s="218"/>
      <c r="P168" s="218"/>
      <c r="Q168" s="218"/>
      <c r="R168" s="219"/>
      <c r="S168" s="216"/>
      <c r="T168" s="232"/>
      <c r="U168" s="232"/>
      <c r="V168" s="218"/>
      <c r="W168" s="218"/>
      <c r="X168" s="220">
        <f>IF($A168="","",IF(OR($B168="Định kỳ",$AA168="Hoàn thành"),MAX(_xlfn.MAXIFS('Nhật ký tiến độ'!$B$6:$B$3005,'Nhật ký tiến độ'!$C$6:$C$3005,$A168,'Nhật ký tiến độ'!$E$6:$E$3005,"Hoàn thành kỳ"),_xlfn.MAXIFS('Nhật ký tiến độ'!$B$6:$B$3005,'Nhật ký tiến độ'!$C$6:$C$3005,$A168,'Nhật ký tiến độ'!$E$6:$E$3005,"Hoàn thành")),0))</f>
      </c>
      <c r="Y168" s="220">
        <f>IF($A168="","",IF($B168="Đột xuất",IF($AY168=0,"",$AY168),IF($AX168=0,"",$AX168)))</f>
      </c>
      <c r="Z168" s="223">
        <f>IF(OR($AO168=0,$AW168=0),"",IF(TDBC&gt;$AW168,"Quá "&amp;IF($B168="Định kỳ",(NgayBC-$AP168)&amp;" ngày",IF(((TDBC-$AW168)*24)&lt;1,MAX(1,ROUND(((TDBC-$AW168)*24)*60,0))&amp;" phút",IF(ROUND(((TDBC-$AW168)*24),0)&lt;24,ROUND(((TDBC-$AW168)*24),0)&amp;" giờ",INT(ROUND(((TDBC-$AW168)*24),0)/24)&amp;" ngày"&amp;IF(MOD(ROUND(((TDBC-$AW168)*24),0),24)&gt;0," "&amp;MOD(ROUND(((TDBC-$AW168)*24),0),24)&amp;" giờ","")))),IF($B168="Định kỳ",IF($AP168=NgayBC,"Hôm nay","Còn "&amp;($AP168-NgayBC)&amp;" ngày"),"Còn "&amp;IF((($AW168-TDBC)*24)&lt;1,MAX(1,ROUND((($AW168-TDBC)*24)*60,0))&amp;" phút",IF(ROUND((($AW168-TDBC)*24),0)&lt;24,ROUND((($AW168-TDBC)*24),0)&amp;" giờ",INT(ROUND((($AW168-TDBC)*24),0)/24)&amp;" ngày"&amp;IF(MOD(ROUND((($AW168-TDBC)*24),0),24)&gt;0," "&amp;MOD(ROUND((($AW168-TDBC)*24),0),24)&amp;" giờ",""))))))</f>
      </c>
      <c r="AA168" s="221">
        <f>IF($A168="","",IF(N($AM168)=0,"Chưa bắt đầu",IF(OR($AN168="Hoàn thành kỳ",$AN168="Hoàn thành"),IF($B168="Định kỳ","Chưa bắt đầu","Hoàn thành"),$AN168)))</f>
      </c>
      <c r="AB168" s="222">
        <f>IF($A168="","",IF($AA168="Hoàn thành",1,IF(OR(N($AM168)=0,$AN168="Hoàn thành kỳ",$AN168="Hoàn thành"),0,N(INDEX('Nhật ký tiến độ'!$D:$D,$AM168)))))</f>
      </c>
      <c r="AC168" s="222">
        <f>IF(OR($A168="",$B168&lt;&gt;"Đột xuất",$AA168="Hoàn thành",N($J168)=0,$AW168=0),"",IF(TDBC&lt;=$J168,0,IF(TDBC&gt;=$AW168,1,(TDBC-$J168)/($AW168-$J168))))</f>
      </c>
      <c r="AD168" s="223">
        <f>IF($A168="","",IF($AA168="Hoàn thành","Hoàn thành",IF($AW168=0,"Chưa đặt hạn",IF(TDBC&gt;$AW168,"Quá hạn",IF(AND($B168="Đột xuất",ROUND((N($AC168)-$AB168)*100,0)&gt;=20),"Chậm tiến độ",IF($AP168=NgayBC,"Đến hạn hôm nay",IF($B168="Đột xuất",IF($AW168-TDBC&lt;=1,"Sắp đến hạn","Đúng tiến độ"),IF($AP168-NgayBC&lt;=3,"Sắp đến hạn","Theo lịch"))))))))</f>
      </c>
      <c r="AE168" s="223">
        <f>IF($AV168="","",IF($B168="Định kỳ","Bình quân "&amp;IF($AV168&lt;1,MAX(1,ROUND($AV168*60,0))&amp;" phút",IF(ROUND($AV168,0)&lt;24,ROUND($AV168,0)&amp;" giờ",INT(ROUND($AV168,0)/24)&amp;" ngày"&amp;IF(MOD(ROUND($AV168,0),24)&gt;0," "&amp;MOD(ROUND($AV168,0),24)&amp;" giờ","")))&amp;" mỗi kỳ",IF($AV168&lt;1,MAX(1,ROUND($AV168*60,0))&amp;" phút",IF(ROUND($AV168,0)&lt;24,ROUND($AV168,0)&amp;" giờ",INT(ROUND($AV168,0)/24)&amp;" ngày"&amp;IF(MOD(ROUND($AV168,0),24)&gt;0," "&amp;MOD(ROUND($AV168,0),24)&amp;" giờ","")))))</f>
      </c>
      <c r="AF168" s="223">
        <f>IF(OR($A168="",N($AU168)=0),"",IF($AV168&lt;&gt;"",IF($AV168&lt;=$AU168,"Trong ước tính","Vượt "&amp;IF(($AV168-$AU168)&lt;1,MAX(1,ROUND(($AV168-$AU168)*60,0))&amp;" phút",IF(ROUND(($AV168-$AU168),0)&lt;24,ROUND(($AV168-$AU168),0)&amp;" giờ",INT(ROUND(($AV168-$AU168),0)/24)&amp;" ngày"&amp;IF(MOD(ROUND(($AV168-$AU168),0),24)&gt;0," "&amp;MOD(ROUND(($AV168-$AU168),0),24)&amp;" giờ","")))),IF(OR($B168&lt;&gt;"Đột xuất",$AA168="Hoàn thành",N($J168)=0),"",IF((TDBC-$J168)*24&gt;$AU168,"Đã vượt ước tính","Đã dùng "&amp;TEXT((TDBC-$J168)*24/$AU168,"0%")))))</f>
      </c>
      <c r="AG168" s="223">
        <f>IF(N($BB168)=0,"",CHOOSE($BB168,"Nhắc nhở","Cảnh báo","Báo động","Báo động đỏ"))</f>
      </c>
      <c r="AH168" s="223">
        <f>IF(OR($B168&lt;&gt;"Đột xuất",$AA168&lt;&gt;"Hoàn thành",N($X168)=0,$AW168=0),"",IF($X168&lt;=$AW168,"Đúng hạn","Trễ hạn"))</f>
      </c>
      <c r="AI168" s="220">
        <f>IF($A168="","",_xlfn.MAXIFS('Nhật ký tiến độ'!$B$6:$B$3005,'Nhật ký tiến độ'!$C$6:$C$3005,$A168))</f>
      </c>
      <c r="AJ168" s="225">
        <f>IF(OR($A168="",$B168&lt;&gt;"Định kỳ"),0,IFERROR(INDEX(DM_TanSuatNgay,MATCH($H168,DM_TanSuat,0)),0))</f>
      </c>
      <c r="AK168" s="225">
        <f>IF(OR($A168="",$B168&lt;&gt;"Định kỳ"),0,IFERROR(INDEX(DM_TanSuatThang,MATCH($H168,DM_TanSuat,0)),0))</f>
      </c>
      <c r="AL168" s="225">
        <f>IF(OR($A168="",$B168&lt;&gt;"Định kỳ",N($X168)=0,N($I168)=0),"",IF(INT($X168)&lt;$I168,0,IF($AJ168&gt;0,ROUND((INT($X168)-$I168)/$AJ168,0),IF($AK168&gt;0,ROUND((DATEDIF($I168,INT($X168),"m")+(INT($X168)-EDATE($I168,DATEDIF($I168,INT($X168),"m")))/(EDATE($I168,DATEDIF($I168,INT($X168),"m")+1)-EDATE($I168,DATEDIF($I168,INT($X168),"m"))))/$AK168,0),0))))</f>
      </c>
      <c r="AM168" s="225">
        <f>IF($A168="","",IF(COUNTIF('Nhật ký tiến độ'!$C$6:$C$3005,$A168)=0,0,_xlfn.MAXIFS('Nhật ký tiến độ'!$N$6:$N$3005,'Nhật ký tiến độ'!$C$6:$C$3005,$A168,'Nhật ký tiến độ'!$B$6:$B$3005,_xlfn.MAXIFS('Nhật ký tiến độ'!$B$6:$B$3005,'Nhật ký tiến độ'!$C$6:$C$3005,$A168))))</f>
      </c>
      <c r="AN168" s="225">
        <f>IF($A168="","",IF(N($AM168)=0,"",INDEX('Nhật ký tiến độ'!$E:$E,$AM168)))</f>
      </c>
      <c r="AO168" s="225">
        <f>IF($A168="",0,IF($AA168="Hoàn thành",0,1))</f>
      </c>
      <c r="AP168" s="225">
        <f>IF($AO168=0,0,INT(N($AW168)))</f>
      </c>
      <c r="AQ168" s="225">
        <f>IF(AND($AO168=1,$AJ168&gt;1),$AJ168,0)</f>
      </c>
      <c r="AR168" s="225">
        <f>IF(AND($AO168=1,$AJ168=1),1,0)</f>
      </c>
      <c r="AS168" s="225">
        <f>IF(OR($AO168=0,AND($AR168=1,N($BB168)=0)),"",IF(N($BB168)&gt;0,5-$BB168,IF($AD168="Chậm tiến độ",6,IF($AD168="Đến hạn hôm nay",7,IF(AND($AP168&gt;0,$AP168-NgayBC&lt;=7),8,"")))))</f>
      </c>
      <c r="AT168" s="225">
        <f>IF($AS168="","",$AS168*100000+$AP168+ROW()/100000)</f>
      </c>
      <c r="AU168" s="224">
        <f>IF(OR($A168="",N($R168)&lt;=0),"",IF($S168="Ngày",$R168*24,$R168))</f>
      </c>
      <c r="AV168" s="224">
        <f>IF($A168="","",IF($B168="Đột xuất",IF(OR($AA168&lt;&gt;"Hoàn thành",N($X168)=0,N($J168)=0),"",IF($X168&lt;$J168,"",($X168-$J168)*24)),IFERROR(AVERAGEIFS('Nhật ký tiến độ'!$H$6:$H$3005,'Nhật ký tiến độ'!$C$6:$C$3005,$A168,'Nhật ký tiến độ'!$H$6:$H$3005,"&gt;0"),"")))</f>
      </c>
      <c r="AW168" s="233">
        <f>IF($A168="",0,IF($B168="Đột xuất",$AY168,IF($AX168=0,0,$AX168+1-1/1440)))</f>
      </c>
      <c r="AX168" s="234">
        <f>IF(OR($A168="",$B168&lt;&gt;"Định kỳ",N($I168)=0),0,IF($AL168="",$I168,IF($AJ168&gt;0,$I168+($AL168+1)*$AJ168,IF($AK168&gt;0,EDATE($I168,($AL168+1)*$AK168),$I168))))</f>
      </c>
      <c r="AY168" s="233">
        <f>IF(OR($A168="",$B168&lt;&gt;"Đột xuất"),0,IF(N($K168)&gt;0,IF(MOD($K168,1)=0,$K168+1-1/1440,$K168),IF(N($J168)=0,0,$J168+IF(N($AU168)&gt;0,$AU168,IFERROR(INDEX(DM_SLA_Gio,MATCH($L168,DM_SLA_Cap,0)),168))/24)))</f>
      </c>
      <c r="AZ168" s="225">
        <f>IF(OR($A168="",TRIM($N168)="",COUNTIF('Phản ánh'!$K$6:$K$505,$N168)&gt;0,COUNTIF($N$6:$N168,$N168)&gt;1),0,1)</f>
      </c>
      <c r="BA168" s="225">
        <f>IF($AZ168=1,SUM($AZ$6:$AZ168),"")</f>
      </c>
      <c r="BB168" s="225">
        <f>IF(OR($AO168=0,N($AW168)=0),0,IF(TDBC&lt;=$AW168,0,MAX(1,MIN(4,IF((TDBC-$AW168)*24&lt;24,1,IF((TDBC-$AW168)*24&lt;72,2,IF((TDBC-$AW168)*24&lt;168,3,4)))+IF($B168="Đột xuất",IFERROR(INDEX({2,1,0,-1},MATCH($L168,{"Khẩn cấp","Cao","Trung bình","Thấp"},0)),0),IF($D168="PCCC và an ninh",1,0))))))</f>
      </c>
    </row>
    <row r="169">
      <c r="A169" s="216"/>
      <c r="B169" s="216"/>
      <c r="C169" s="218"/>
      <c r="D169" s="218"/>
      <c r="E169" s="218"/>
      <c r="F169" s="216"/>
      <c r="G169" s="218"/>
      <c r="H169" s="218"/>
      <c r="I169" s="231"/>
      <c r="J169" s="217"/>
      <c r="K169" s="217"/>
      <c r="L169" s="216"/>
      <c r="M169" s="216"/>
      <c r="N169" s="218"/>
      <c r="O169" s="218"/>
      <c r="P169" s="218"/>
      <c r="Q169" s="218"/>
      <c r="R169" s="219"/>
      <c r="S169" s="216"/>
      <c r="T169" s="232"/>
      <c r="U169" s="232"/>
      <c r="V169" s="218"/>
      <c r="W169" s="218"/>
      <c r="X169" s="220">
        <f>IF($A169="","",IF(OR($B169="Định kỳ",$AA169="Hoàn thành"),MAX(_xlfn.MAXIFS('Nhật ký tiến độ'!$B$6:$B$3005,'Nhật ký tiến độ'!$C$6:$C$3005,$A169,'Nhật ký tiến độ'!$E$6:$E$3005,"Hoàn thành kỳ"),_xlfn.MAXIFS('Nhật ký tiến độ'!$B$6:$B$3005,'Nhật ký tiến độ'!$C$6:$C$3005,$A169,'Nhật ký tiến độ'!$E$6:$E$3005,"Hoàn thành")),0))</f>
      </c>
      <c r="Y169" s="220">
        <f>IF($A169="","",IF($B169="Đột xuất",IF($AY169=0,"",$AY169),IF($AX169=0,"",$AX169)))</f>
      </c>
      <c r="Z169" s="223">
        <f>IF(OR($AO169=0,$AW169=0),"",IF(TDBC&gt;$AW169,"Quá "&amp;IF($B169="Định kỳ",(NgayBC-$AP169)&amp;" ngày",IF(((TDBC-$AW169)*24)&lt;1,MAX(1,ROUND(((TDBC-$AW169)*24)*60,0))&amp;" phút",IF(ROUND(((TDBC-$AW169)*24),0)&lt;24,ROUND(((TDBC-$AW169)*24),0)&amp;" giờ",INT(ROUND(((TDBC-$AW169)*24),0)/24)&amp;" ngày"&amp;IF(MOD(ROUND(((TDBC-$AW169)*24),0),24)&gt;0," "&amp;MOD(ROUND(((TDBC-$AW169)*24),0),24)&amp;" giờ","")))),IF($B169="Định kỳ",IF($AP169=NgayBC,"Hôm nay","Còn "&amp;($AP169-NgayBC)&amp;" ngày"),"Còn "&amp;IF((($AW169-TDBC)*24)&lt;1,MAX(1,ROUND((($AW169-TDBC)*24)*60,0))&amp;" phút",IF(ROUND((($AW169-TDBC)*24),0)&lt;24,ROUND((($AW169-TDBC)*24),0)&amp;" giờ",INT(ROUND((($AW169-TDBC)*24),0)/24)&amp;" ngày"&amp;IF(MOD(ROUND((($AW169-TDBC)*24),0),24)&gt;0," "&amp;MOD(ROUND((($AW169-TDBC)*24),0),24)&amp;" giờ",""))))))</f>
      </c>
      <c r="AA169" s="221">
        <f>IF($A169="","",IF(N($AM169)=0,"Chưa bắt đầu",IF(OR($AN169="Hoàn thành kỳ",$AN169="Hoàn thành"),IF($B169="Định kỳ","Chưa bắt đầu","Hoàn thành"),$AN169)))</f>
      </c>
      <c r="AB169" s="222">
        <f>IF($A169="","",IF($AA169="Hoàn thành",1,IF(OR(N($AM169)=0,$AN169="Hoàn thành kỳ",$AN169="Hoàn thành"),0,N(INDEX('Nhật ký tiến độ'!$D:$D,$AM169)))))</f>
      </c>
      <c r="AC169" s="222">
        <f>IF(OR($A169="",$B169&lt;&gt;"Đột xuất",$AA169="Hoàn thành",N($J169)=0,$AW169=0),"",IF(TDBC&lt;=$J169,0,IF(TDBC&gt;=$AW169,1,(TDBC-$J169)/($AW169-$J169))))</f>
      </c>
      <c r="AD169" s="223">
        <f>IF($A169="","",IF($AA169="Hoàn thành","Hoàn thành",IF($AW169=0,"Chưa đặt hạn",IF(TDBC&gt;$AW169,"Quá hạn",IF(AND($B169="Đột xuất",ROUND((N($AC169)-$AB169)*100,0)&gt;=20),"Chậm tiến độ",IF($AP169=NgayBC,"Đến hạn hôm nay",IF($B169="Đột xuất",IF($AW169-TDBC&lt;=1,"Sắp đến hạn","Đúng tiến độ"),IF($AP169-NgayBC&lt;=3,"Sắp đến hạn","Theo lịch"))))))))</f>
      </c>
      <c r="AE169" s="223">
        <f>IF($AV169="","",IF($B169="Định kỳ","Bình quân "&amp;IF($AV169&lt;1,MAX(1,ROUND($AV169*60,0))&amp;" phút",IF(ROUND($AV169,0)&lt;24,ROUND($AV169,0)&amp;" giờ",INT(ROUND($AV169,0)/24)&amp;" ngày"&amp;IF(MOD(ROUND($AV169,0),24)&gt;0," "&amp;MOD(ROUND($AV169,0),24)&amp;" giờ","")))&amp;" mỗi kỳ",IF($AV169&lt;1,MAX(1,ROUND($AV169*60,0))&amp;" phút",IF(ROUND($AV169,0)&lt;24,ROUND($AV169,0)&amp;" giờ",INT(ROUND($AV169,0)/24)&amp;" ngày"&amp;IF(MOD(ROUND($AV169,0),24)&gt;0," "&amp;MOD(ROUND($AV169,0),24)&amp;" giờ","")))))</f>
      </c>
      <c r="AF169" s="223">
        <f>IF(OR($A169="",N($AU169)=0),"",IF($AV169&lt;&gt;"",IF($AV169&lt;=$AU169,"Trong ước tính","Vượt "&amp;IF(($AV169-$AU169)&lt;1,MAX(1,ROUND(($AV169-$AU169)*60,0))&amp;" phút",IF(ROUND(($AV169-$AU169),0)&lt;24,ROUND(($AV169-$AU169),0)&amp;" giờ",INT(ROUND(($AV169-$AU169),0)/24)&amp;" ngày"&amp;IF(MOD(ROUND(($AV169-$AU169),0),24)&gt;0," "&amp;MOD(ROUND(($AV169-$AU169),0),24)&amp;" giờ","")))),IF(OR($B169&lt;&gt;"Đột xuất",$AA169="Hoàn thành",N($J169)=0),"",IF((TDBC-$J169)*24&gt;$AU169,"Đã vượt ước tính","Đã dùng "&amp;TEXT((TDBC-$J169)*24/$AU169,"0%")))))</f>
      </c>
      <c r="AG169" s="223">
        <f>IF(N($BB169)=0,"",CHOOSE($BB169,"Nhắc nhở","Cảnh báo","Báo động","Báo động đỏ"))</f>
      </c>
      <c r="AH169" s="223">
        <f>IF(OR($B169&lt;&gt;"Đột xuất",$AA169&lt;&gt;"Hoàn thành",N($X169)=0,$AW169=0),"",IF($X169&lt;=$AW169,"Đúng hạn","Trễ hạn"))</f>
      </c>
      <c r="AI169" s="220">
        <f>IF($A169="","",_xlfn.MAXIFS('Nhật ký tiến độ'!$B$6:$B$3005,'Nhật ký tiến độ'!$C$6:$C$3005,$A169))</f>
      </c>
      <c r="AJ169" s="225">
        <f>IF(OR($A169="",$B169&lt;&gt;"Định kỳ"),0,IFERROR(INDEX(DM_TanSuatNgay,MATCH($H169,DM_TanSuat,0)),0))</f>
      </c>
      <c r="AK169" s="225">
        <f>IF(OR($A169="",$B169&lt;&gt;"Định kỳ"),0,IFERROR(INDEX(DM_TanSuatThang,MATCH($H169,DM_TanSuat,0)),0))</f>
      </c>
      <c r="AL169" s="225">
        <f>IF(OR($A169="",$B169&lt;&gt;"Định kỳ",N($X169)=0,N($I169)=0),"",IF(INT($X169)&lt;$I169,0,IF($AJ169&gt;0,ROUND((INT($X169)-$I169)/$AJ169,0),IF($AK169&gt;0,ROUND((DATEDIF($I169,INT($X169),"m")+(INT($X169)-EDATE($I169,DATEDIF($I169,INT($X169),"m")))/(EDATE($I169,DATEDIF($I169,INT($X169),"m")+1)-EDATE($I169,DATEDIF($I169,INT($X169),"m"))))/$AK169,0),0))))</f>
      </c>
      <c r="AM169" s="225">
        <f>IF($A169="","",IF(COUNTIF('Nhật ký tiến độ'!$C$6:$C$3005,$A169)=0,0,_xlfn.MAXIFS('Nhật ký tiến độ'!$N$6:$N$3005,'Nhật ký tiến độ'!$C$6:$C$3005,$A169,'Nhật ký tiến độ'!$B$6:$B$3005,_xlfn.MAXIFS('Nhật ký tiến độ'!$B$6:$B$3005,'Nhật ký tiến độ'!$C$6:$C$3005,$A169))))</f>
      </c>
      <c r="AN169" s="225">
        <f>IF($A169="","",IF(N($AM169)=0,"",INDEX('Nhật ký tiến độ'!$E:$E,$AM169)))</f>
      </c>
      <c r="AO169" s="225">
        <f>IF($A169="",0,IF($AA169="Hoàn thành",0,1))</f>
      </c>
      <c r="AP169" s="225">
        <f>IF($AO169=0,0,INT(N($AW169)))</f>
      </c>
      <c r="AQ169" s="225">
        <f>IF(AND($AO169=1,$AJ169&gt;1),$AJ169,0)</f>
      </c>
      <c r="AR169" s="225">
        <f>IF(AND($AO169=1,$AJ169=1),1,0)</f>
      </c>
      <c r="AS169" s="225">
        <f>IF(OR($AO169=0,AND($AR169=1,N($BB169)=0)),"",IF(N($BB169)&gt;0,5-$BB169,IF($AD169="Chậm tiến độ",6,IF($AD169="Đến hạn hôm nay",7,IF(AND($AP169&gt;0,$AP169-NgayBC&lt;=7),8,"")))))</f>
      </c>
      <c r="AT169" s="225">
        <f>IF($AS169="","",$AS169*100000+$AP169+ROW()/100000)</f>
      </c>
      <c r="AU169" s="224">
        <f>IF(OR($A169="",N($R169)&lt;=0),"",IF($S169="Ngày",$R169*24,$R169))</f>
      </c>
      <c r="AV169" s="224">
        <f>IF($A169="","",IF($B169="Đột xuất",IF(OR($AA169&lt;&gt;"Hoàn thành",N($X169)=0,N($J169)=0),"",IF($X169&lt;$J169,"",($X169-$J169)*24)),IFERROR(AVERAGEIFS('Nhật ký tiến độ'!$H$6:$H$3005,'Nhật ký tiến độ'!$C$6:$C$3005,$A169,'Nhật ký tiến độ'!$H$6:$H$3005,"&gt;0"),"")))</f>
      </c>
      <c r="AW169" s="233">
        <f>IF($A169="",0,IF($B169="Đột xuất",$AY169,IF($AX169=0,0,$AX169+1-1/1440)))</f>
      </c>
      <c r="AX169" s="234">
        <f>IF(OR($A169="",$B169&lt;&gt;"Định kỳ",N($I169)=0),0,IF($AL169="",$I169,IF($AJ169&gt;0,$I169+($AL169+1)*$AJ169,IF($AK169&gt;0,EDATE($I169,($AL169+1)*$AK169),$I169))))</f>
      </c>
      <c r="AY169" s="233">
        <f>IF(OR($A169="",$B169&lt;&gt;"Đột xuất"),0,IF(N($K169)&gt;0,IF(MOD($K169,1)=0,$K169+1-1/1440,$K169),IF(N($J169)=0,0,$J169+IF(N($AU169)&gt;0,$AU169,IFERROR(INDEX(DM_SLA_Gio,MATCH($L169,DM_SLA_Cap,0)),168))/24)))</f>
      </c>
      <c r="AZ169" s="225">
        <f>IF(OR($A169="",TRIM($N169)="",COUNTIF('Phản ánh'!$K$6:$K$505,$N169)&gt;0,COUNTIF($N$6:$N169,$N169)&gt;1),0,1)</f>
      </c>
      <c r="BA169" s="225">
        <f>IF($AZ169=1,SUM($AZ$6:$AZ169),"")</f>
      </c>
      <c r="BB169" s="225">
        <f>IF(OR($AO169=0,N($AW169)=0),0,IF(TDBC&lt;=$AW169,0,MAX(1,MIN(4,IF((TDBC-$AW169)*24&lt;24,1,IF((TDBC-$AW169)*24&lt;72,2,IF((TDBC-$AW169)*24&lt;168,3,4)))+IF($B169="Đột xuất",IFERROR(INDEX({2,1,0,-1},MATCH($L169,{"Khẩn cấp","Cao","Trung bình","Thấp"},0)),0),IF($D169="PCCC và an ninh",1,0))))))</f>
      </c>
    </row>
    <row r="170">
      <c r="A170" s="216"/>
      <c r="B170" s="216"/>
      <c r="C170" s="218"/>
      <c r="D170" s="218"/>
      <c r="E170" s="218"/>
      <c r="F170" s="216"/>
      <c r="G170" s="218"/>
      <c r="H170" s="218"/>
      <c r="I170" s="231"/>
      <c r="J170" s="217"/>
      <c r="K170" s="217"/>
      <c r="L170" s="216"/>
      <c r="M170" s="216"/>
      <c r="N170" s="218"/>
      <c r="O170" s="218"/>
      <c r="P170" s="218"/>
      <c r="Q170" s="218"/>
      <c r="R170" s="219"/>
      <c r="S170" s="216"/>
      <c r="T170" s="232"/>
      <c r="U170" s="232"/>
      <c r="V170" s="218"/>
      <c r="W170" s="218"/>
      <c r="X170" s="220">
        <f>IF($A170="","",IF(OR($B170="Định kỳ",$AA170="Hoàn thành"),MAX(_xlfn.MAXIFS('Nhật ký tiến độ'!$B$6:$B$3005,'Nhật ký tiến độ'!$C$6:$C$3005,$A170,'Nhật ký tiến độ'!$E$6:$E$3005,"Hoàn thành kỳ"),_xlfn.MAXIFS('Nhật ký tiến độ'!$B$6:$B$3005,'Nhật ký tiến độ'!$C$6:$C$3005,$A170,'Nhật ký tiến độ'!$E$6:$E$3005,"Hoàn thành")),0))</f>
      </c>
      <c r="Y170" s="220">
        <f>IF($A170="","",IF($B170="Đột xuất",IF($AY170=0,"",$AY170),IF($AX170=0,"",$AX170)))</f>
      </c>
      <c r="Z170" s="223">
        <f>IF(OR($AO170=0,$AW170=0),"",IF(TDBC&gt;$AW170,"Quá "&amp;IF($B170="Định kỳ",(NgayBC-$AP170)&amp;" ngày",IF(((TDBC-$AW170)*24)&lt;1,MAX(1,ROUND(((TDBC-$AW170)*24)*60,0))&amp;" phút",IF(ROUND(((TDBC-$AW170)*24),0)&lt;24,ROUND(((TDBC-$AW170)*24),0)&amp;" giờ",INT(ROUND(((TDBC-$AW170)*24),0)/24)&amp;" ngày"&amp;IF(MOD(ROUND(((TDBC-$AW170)*24),0),24)&gt;0," "&amp;MOD(ROUND(((TDBC-$AW170)*24),0),24)&amp;" giờ","")))),IF($B170="Định kỳ",IF($AP170=NgayBC,"Hôm nay","Còn "&amp;($AP170-NgayBC)&amp;" ngày"),"Còn "&amp;IF((($AW170-TDBC)*24)&lt;1,MAX(1,ROUND((($AW170-TDBC)*24)*60,0))&amp;" phút",IF(ROUND((($AW170-TDBC)*24),0)&lt;24,ROUND((($AW170-TDBC)*24),0)&amp;" giờ",INT(ROUND((($AW170-TDBC)*24),0)/24)&amp;" ngày"&amp;IF(MOD(ROUND((($AW170-TDBC)*24),0),24)&gt;0," "&amp;MOD(ROUND((($AW170-TDBC)*24),0),24)&amp;" giờ",""))))))</f>
      </c>
      <c r="AA170" s="221">
        <f>IF($A170="","",IF(N($AM170)=0,"Chưa bắt đầu",IF(OR($AN170="Hoàn thành kỳ",$AN170="Hoàn thành"),IF($B170="Định kỳ","Chưa bắt đầu","Hoàn thành"),$AN170)))</f>
      </c>
      <c r="AB170" s="222">
        <f>IF($A170="","",IF($AA170="Hoàn thành",1,IF(OR(N($AM170)=0,$AN170="Hoàn thành kỳ",$AN170="Hoàn thành"),0,N(INDEX('Nhật ký tiến độ'!$D:$D,$AM170)))))</f>
      </c>
      <c r="AC170" s="222">
        <f>IF(OR($A170="",$B170&lt;&gt;"Đột xuất",$AA170="Hoàn thành",N($J170)=0,$AW170=0),"",IF(TDBC&lt;=$J170,0,IF(TDBC&gt;=$AW170,1,(TDBC-$J170)/($AW170-$J170))))</f>
      </c>
      <c r="AD170" s="223">
        <f>IF($A170="","",IF($AA170="Hoàn thành","Hoàn thành",IF($AW170=0,"Chưa đặt hạn",IF(TDBC&gt;$AW170,"Quá hạn",IF(AND($B170="Đột xuất",ROUND((N($AC170)-$AB170)*100,0)&gt;=20),"Chậm tiến độ",IF($AP170=NgayBC,"Đến hạn hôm nay",IF($B170="Đột xuất",IF($AW170-TDBC&lt;=1,"Sắp đến hạn","Đúng tiến độ"),IF($AP170-NgayBC&lt;=3,"Sắp đến hạn","Theo lịch"))))))))</f>
      </c>
      <c r="AE170" s="223">
        <f>IF($AV170="","",IF($B170="Định kỳ","Bình quân "&amp;IF($AV170&lt;1,MAX(1,ROUND($AV170*60,0))&amp;" phút",IF(ROUND($AV170,0)&lt;24,ROUND($AV170,0)&amp;" giờ",INT(ROUND($AV170,0)/24)&amp;" ngày"&amp;IF(MOD(ROUND($AV170,0),24)&gt;0," "&amp;MOD(ROUND($AV170,0),24)&amp;" giờ","")))&amp;" mỗi kỳ",IF($AV170&lt;1,MAX(1,ROUND($AV170*60,0))&amp;" phút",IF(ROUND($AV170,0)&lt;24,ROUND($AV170,0)&amp;" giờ",INT(ROUND($AV170,0)/24)&amp;" ngày"&amp;IF(MOD(ROUND($AV170,0),24)&gt;0," "&amp;MOD(ROUND($AV170,0),24)&amp;" giờ","")))))</f>
      </c>
      <c r="AF170" s="223">
        <f>IF(OR($A170="",N($AU170)=0),"",IF($AV170&lt;&gt;"",IF($AV170&lt;=$AU170,"Trong ước tính","Vượt "&amp;IF(($AV170-$AU170)&lt;1,MAX(1,ROUND(($AV170-$AU170)*60,0))&amp;" phút",IF(ROUND(($AV170-$AU170),0)&lt;24,ROUND(($AV170-$AU170),0)&amp;" giờ",INT(ROUND(($AV170-$AU170),0)/24)&amp;" ngày"&amp;IF(MOD(ROUND(($AV170-$AU170),0),24)&gt;0," "&amp;MOD(ROUND(($AV170-$AU170),0),24)&amp;" giờ","")))),IF(OR($B170&lt;&gt;"Đột xuất",$AA170="Hoàn thành",N($J170)=0),"",IF((TDBC-$J170)*24&gt;$AU170,"Đã vượt ước tính","Đã dùng "&amp;TEXT((TDBC-$J170)*24/$AU170,"0%")))))</f>
      </c>
      <c r="AG170" s="223">
        <f>IF(N($BB170)=0,"",CHOOSE($BB170,"Nhắc nhở","Cảnh báo","Báo động","Báo động đỏ"))</f>
      </c>
      <c r="AH170" s="223">
        <f>IF(OR($B170&lt;&gt;"Đột xuất",$AA170&lt;&gt;"Hoàn thành",N($X170)=0,$AW170=0),"",IF($X170&lt;=$AW170,"Đúng hạn","Trễ hạn"))</f>
      </c>
      <c r="AI170" s="220">
        <f>IF($A170="","",_xlfn.MAXIFS('Nhật ký tiến độ'!$B$6:$B$3005,'Nhật ký tiến độ'!$C$6:$C$3005,$A170))</f>
      </c>
      <c r="AJ170" s="225">
        <f>IF(OR($A170="",$B170&lt;&gt;"Định kỳ"),0,IFERROR(INDEX(DM_TanSuatNgay,MATCH($H170,DM_TanSuat,0)),0))</f>
      </c>
      <c r="AK170" s="225">
        <f>IF(OR($A170="",$B170&lt;&gt;"Định kỳ"),0,IFERROR(INDEX(DM_TanSuatThang,MATCH($H170,DM_TanSuat,0)),0))</f>
      </c>
      <c r="AL170" s="225">
        <f>IF(OR($A170="",$B170&lt;&gt;"Định kỳ",N($X170)=0,N($I170)=0),"",IF(INT($X170)&lt;$I170,0,IF($AJ170&gt;0,ROUND((INT($X170)-$I170)/$AJ170,0),IF($AK170&gt;0,ROUND((DATEDIF($I170,INT($X170),"m")+(INT($X170)-EDATE($I170,DATEDIF($I170,INT($X170),"m")))/(EDATE($I170,DATEDIF($I170,INT($X170),"m")+1)-EDATE($I170,DATEDIF($I170,INT($X170),"m"))))/$AK170,0),0))))</f>
      </c>
      <c r="AM170" s="225">
        <f>IF($A170="","",IF(COUNTIF('Nhật ký tiến độ'!$C$6:$C$3005,$A170)=0,0,_xlfn.MAXIFS('Nhật ký tiến độ'!$N$6:$N$3005,'Nhật ký tiến độ'!$C$6:$C$3005,$A170,'Nhật ký tiến độ'!$B$6:$B$3005,_xlfn.MAXIFS('Nhật ký tiến độ'!$B$6:$B$3005,'Nhật ký tiến độ'!$C$6:$C$3005,$A170))))</f>
      </c>
      <c r="AN170" s="225">
        <f>IF($A170="","",IF(N($AM170)=0,"",INDEX('Nhật ký tiến độ'!$E:$E,$AM170)))</f>
      </c>
      <c r="AO170" s="225">
        <f>IF($A170="",0,IF($AA170="Hoàn thành",0,1))</f>
      </c>
      <c r="AP170" s="225">
        <f>IF($AO170=0,0,INT(N($AW170)))</f>
      </c>
      <c r="AQ170" s="225">
        <f>IF(AND($AO170=1,$AJ170&gt;1),$AJ170,0)</f>
      </c>
      <c r="AR170" s="225">
        <f>IF(AND($AO170=1,$AJ170=1),1,0)</f>
      </c>
      <c r="AS170" s="225">
        <f>IF(OR($AO170=0,AND($AR170=1,N($BB170)=0)),"",IF(N($BB170)&gt;0,5-$BB170,IF($AD170="Chậm tiến độ",6,IF($AD170="Đến hạn hôm nay",7,IF(AND($AP170&gt;0,$AP170-NgayBC&lt;=7),8,"")))))</f>
      </c>
      <c r="AT170" s="225">
        <f>IF($AS170="","",$AS170*100000+$AP170+ROW()/100000)</f>
      </c>
      <c r="AU170" s="224">
        <f>IF(OR($A170="",N($R170)&lt;=0),"",IF($S170="Ngày",$R170*24,$R170))</f>
      </c>
      <c r="AV170" s="224">
        <f>IF($A170="","",IF($B170="Đột xuất",IF(OR($AA170&lt;&gt;"Hoàn thành",N($X170)=0,N($J170)=0),"",IF($X170&lt;$J170,"",($X170-$J170)*24)),IFERROR(AVERAGEIFS('Nhật ký tiến độ'!$H$6:$H$3005,'Nhật ký tiến độ'!$C$6:$C$3005,$A170,'Nhật ký tiến độ'!$H$6:$H$3005,"&gt;0"),"")))</f>
      </c>
      <c r="AW170" s="233">
        <f>IF($A170="",0,IF($B170="Đột xuất",$AY170,IF($AX170=0,0,$AX170+1-1/1440)))</f>
      </c>
      <c r="AX170" s="234">
        <f>IF(OR($A170="",$B170&lt;&gt;"Định kỳ",N($I170)=0),0,IF($AL170="",$I170,IF($AJ170&gt;0,$I170+($AL170+1)*$AJ170,IF($AK170&gt;0,EDATE($I170,($AL170+1)*$AK170),$I170))))</f>
      </c>
      <c r="AY170" s="233">
        <f>IF(OR($A170="",$B170&lt;&gt;"Đột xuất"),0,IF(N($K170)&gt;0,IF(MOD($K170,1)=0,$K170+1-1/1440,$K170),IF(N($J170)=0,0,$J170+IF(N($AU170)&gt;0,$AU170,IFERROR(INDEX(DM_SLA_Gio,MATCH($L170,DM_SLA_Cap,0)),168))/24)))</f>
      </c>
      <c r="AZ170" s="225">
        <f>IF(OR($A170="",TRIM($N170)="",COUNTIF('Phản ánh'!$K$6:$K$505,$N170)&gt;0,COUNTIF($N$6:$N170,$N170)&gt;1),0,1)</f>
      </c>
      <c r="BA170" s="225">
        <f>IF($AZ170=1,SUM($AZ$6:$AZ170),"")</f>
      </c>
      <c r="BB170" s="225">
        <f>IF(OR($AO170=0,N($AW170)=0),0,IF(TDBC&lt;=$AW170,0,MAX(1,MIN(4,IF((TDBC-$AW170)*24&lt;24,1,IF((TDBC-$AW170)*24&lt;72,2,IF((TDBC-$AW170)*24&lt;168,3,4)))+IF($B170="Đột xuất",IFERROR(INDEX({2,1,0,-1},MATCH($L170,{"Khẩn cấp","Cao","Trung bình","Thấp"},0)),0),IF($D170="PCCC và an ninh",1,0))))))</f>
      </c>
    </row>
    <row r="171">
      <c r="A171" s="216"/>
      <c r="B171" s="216"/>
      <c r="C171" s="218"/>
      <c r="D171" s="218"/>
      <c r="E171" s="218"/>
      <c r="F171" s="216"/>
      <c r="G171" s="218"/>
      <c r="H171" s="218"/>
      <c r="I171" s="231"/>
      <c r="J171" s="217"/>
      <c r="K171" s="217"/>
      <c r="L171" s="216"/>
      <c r="M171" s="216"/>
      <c r="N171" s="218"/>
      <c r="O171" s="218"/>
      <c r="P171" s="218"/>
      <c r="Q171" s="218"/>
      <c r="R171" s="219"/>
      <c r="S171" s="216"/>
      <c r="T171" s="232"/>
      <c r="U171" s="232"/>
      <c r="V171" s="218"/>
      <c r="W171" s="218"/>
      <c r="X171" s="220">
        <f>IF($A171="","",IF(OR($B171="Định kỳ",$AA171="Hoàn thành"),MAX(_xlfn.MAXIFS('Nhật ký tiến độ'!$B$6:$B$3005,'Nhật ký tiến độ'!$C$6:$C$3005,$A171,'Nhật ký tiến độ'!$E$6:$E$3005,"Hoàn thành kỳ"),_xlfn.MAXIFS('Nhật ký tiến độ'!$B$6:$B$3005,'Nhật ký tiến độ'!$C$6:$C$3005,$A171,'Nhật ký tiến độ'!$E$6:$E$3005,"Hoàn thành")),0))</f>
      </c>
      <c r="Y171" s="220">
        <f>IF($A171="","",IF($B171="Đột xuất",IF($AY171=0,"",$AY171),IF($AX171=0,"",$AX171)))</f>
      </c>
      <c r="Z171" s="223">
        <f>IF(OR($AO171=0,$AW171=0),"",IF(TDBC&gt;$AW171,"Quá "&amp;IF($B171="Định kỳ",(NgayBC-$AP171)&amp;" ngày",IF(((TDBC-$AW171)*24)&lt;1,MAX(1,ROUND(((TDBC-$AW171)*24)*60,0))&amp;" phút",IF(ROUND(((TDBC-$AW171)*24),0)&lt;24,ROUND(((TDBC-$AW171)*24),0)&amp;" giờ",INT(ROUND(((TDBC-$AW171)*24),0)/24)&amp;" ngày"&amp;IF(MOD(ROUND(((TDBC-$AW171)*24),0),24)&gt;0," "&amp;MOD(ROUND(((TDBC-$AW171)*24),0),24)&amp;" giờ","")))),IF($B171="Định kỳ",IF($AP171=NgayBC,"Hôm nay","Còn "&amp;($AP171-NgayBC)&amp;" ngày"),"Còn "&amp;IF((($AW171-TDBC)*24)&lt;1,MAX(1,ROUND((($AW171-TDBC)*24)*60,0))&amp;" phút",IF(ROUND((($AW171-TDBC)*24),0)&lt;24,ROUND((($AW171-TDBC)*24),0)&amp;" giờ",INT(ROUND((($AW171-TDBC)*24),0)/24)&amp;" ngày"&amp;IF(MOD(ROUND((($AW171-TDBC)*24),0),24)&gt;0," "&amp;MOD(ROUND((($AW171-TDBC)*24),0),24)&amp;" giờ",""))))))</f>
      </c>
      <c r="AA171" s="221">
        <f>IF($A171="","",IF(N($AM171)=0,"Chưa bắt đầu",IF(OR($AN171="Hoàn thành kỳ",$AN171="Hoàn thành"),IF($B171="Định kỳ","Chưa bắt đầu","Hoàn thành"),$AN171)))</f>
      </c>
      <c r="AB171" s="222">
        <f>IF($A171="","",IF($AA171="Hoàn thành",1,IF(OR(N($AM171)=0,$AN171="Hoàn thành kỳ",$AN171="Hoàn thành"),0,N(INDEX('Nhật ký tiến độ'!$D:$D,$AM171)))))</f>
      </c>
      <c r="AC171" s="222">
        <f>IF(OR($A171="",$B171&lt;&gt;"Đột xuất",$AA171="Hoàn thành",N($J171)=0,$AW171=0),"",IF(TDBC&lt;=$J171,0,IF(TDBC&gt;=$AW171,1,(TDBC-$J171)/($AW171-$J171))))</f>
      </c>
      <c r="AD171" s="223">
        <f>IF($A171="","",IF($AA171="Hoàn thành","Hoàn thành",IF($AW171=0,"Chưa đặt hạn",IF(TDBC&gt;$AW171,"Quá hạn",IF(AND($B171="Đột xuất",ROUND((N($AC171)-$AB171)*100,0)&gt;=20),"Chậm tiến độ",IF($AP171=NgayBC,"Đến hạn hôm nay",IF($B171="Đột xuất",IF($AW171-TDBC&lt;=1,"Sắp đến hạn","Đúng tiến độ"),IF($AP171-NgayBC&lt;=3,"Sắp đến hạn","Theo lịch"))))))))</f>
      </c>
      <c r="AE171" s="223">
        <f>IF($AV171="","",IF($B171="Định kỳ","Bình quân "&amp;IF($AV171&lt;1,MAX(1,ROUND($AV171*60,0))&amp;" phút",IF(ROUND($AV171,0)&lt;24,ROUND($AV171,0)&amp;" giờ",INT(ROUND($AV171,0)/24)&amp;" ngày"&amp;IF(MOD(ROUND($AV171,0),24)&gt;0," "&amp;MOD(ROUND($AV171,0),24)&amp;" giờ","")))&amp;" mỗi kỳ",IF($AV171&lt;1,MAX(1,ROUND($AV171*60,0))&amp;" phút",IF(ROUND($AV171,0)&lt;24,ROUND($AV171,0)&amp;" giờ",INT(ROUND($AV171,0)/24)&amp;" ngày"&amp;IF(MOD(ROUND($AV171,0),24)&gt;0," "&amp;MOD(ROUND($AV171,0),24)&amp;" giờ","")))))</f>
      </c>
      <c r="AF171" s="223">
        <f>IF(OR($A171="",N($AU171)=0),"",IF($AV171&lt;&gt;"",IF($AV171&lt;=$AU171,"Trong ước tính","Vượt "&amp;IF(($AV171-$AU171)&lt;1,MAX(1,ROUND(($AV171-$AU171)*60,0))&amp;" phút",IF(ROUND(($AV171-$AU171),0)&lt;24,ROUND(($AV171-$AU171),0)&amp;" giờ",INT(ROUND(($AV171-$AU171),0)/24)&amp;" ngày"&amp;IF(MOD(ROUND(($AV171-$AU171),0),24)&gt;0," "&amp;MOD(ROUND(($AV171-$AU171),0),24)&amp;" giờ","")))),IF(OR($B171&lt;&gt;"Đột xuất",$AA171="Hoàn thành",N($J171)=0),"",IF((TDBC-$J171)*24&gt;$AU171,"Đã vượt ước tính","Đã dùng "&amp;TEXT((TDBC-$J171)*24/$AU171,"0%")))))</f>
      </c>
      <c r="AG171" s="223">
        <f>IF(N($BB171)=0,"",CHOOSE($BB171,"Nhắc nhở","Cảnh báo","Báo động","Báo động đỏ"))</f>
      </c>
      <c r="AH171" s="223">
        <f>IF(OR($B171&lt;&gt;"Đột xuất",$AA171&lt;&gt;"Hoàn thành",N($X171)=0,$AW171=0),"",IF($X171&lt;=$AW171,"Đúng hạn","Trễ hạn"))</f>
      </c>
      <c r="AI171" s="220">
        <f>IF($A171="","",_xlfn.MAXIFS('Nhật ký tiến độ'!$B$6:$B$3005,'Nhật ký tiến độ'!$C$6:$C$3005,$A171))</f>
      </c>
      <c r="AJ171" s="225">
        <f>IF(OR($A171="",$B171&lt;&gt;"Định kỳ"),0,IFERROR(INDEX(DM_TanSuatNgay,MATCH($H171,DM_TanSuat,0)),0))</f>
      </c>
      <c r="AK171" s="225">
        <f>IF(OR($A171="",$B171&lt;&gt;"Định kỳ"),0,IFERROR(INDEX(DM_TanSuatThang,MATCH($H171,DM_TanSuat,0)),0))</f>
      </c>
      <c r="AL171" s="225">
        <f>IF(OR($A171="",$B171&lt;&gt;"Định kỳ",N($X171)=0,N($I171)=0),"",IF(INT($X171)&lt;$I171,0,IF($AJ171&gt;0,ROUND((INT($X171)-$I171)/$AJ171,0),IF($AK171&gt;0,ROUND((DATEDIF($I171,INT($X171),"m")+(INT($X171)-EDATE($I171,DATEDIF($I171,INT($X171),"m")))/(EDATE($I171,DATEDIF($I171,INT($X171),"m")+1)-EDATE($I171,DATEDIF($I171,INT($X171),"m"))))/$AK171,0),0))))</f>
      </c>
      <c r="AM171" s="225">
        <f>IF($A171="","",IF(COUNTIF('Nhật ký tiến độ'!$C$6:$C$3005,$A171)=0,0,_xlfn.MAXIFS('Nhật ký tiến độ'!$N$6:$N$3005,'Nhật ký tiến độ'!$C$6:$C$3005,$A171,'Nhật ký tiến độ'!$B$6:$B$3005,_xlfn.MAXIFS('Nhật ký tiến độ'!$B$6:$B$3005,'Nhật ký tiến độ'!$C$6:$C$3005,$A171))))</f>
      </c>
      <c r="AN171" s="225">
        <f>IF($A171="","",IF(N($AM171)=0,"",INDEX('Nhật ký tiến độ'!$E:$E,$AM171)))</f>
      </c>
      <c r="AO171" s="225">
        <f>IF($A171="",0,IF($AA171="Hoàn thành",0,1))</f>
      </c>
      <c r="AP171" s="225">
        <f>IF($AO171=0,0,INT(N($AW171)))</f>
      </c>
      <c r="AQ171" s="225">
        <f>IF(AND($AO171=1,$AJ171&gt;1),$AJ171,0)</f>
      </c>
      <c r="AR171" s="225">
        <f>IF(AND($AO171=1,$AJ171=1),1,0)</f>
      </c>
      <c r="AS171" s="225">
        <f>IF(OR($AO171=0,AND($AR171=1,N($BB171)=0)),"",IF(N($BB171)&gt;0,5-$BB171,IF($AD171="Chậm tiến độ",6,IF($AD171="Đến hạn hôm nay",7,IF(AND($AP171&gt;0,$AP171-NgayBC&lt;=7),8,"")))))</f>
      </c>
      <c r="AT171" s="225">
        <f>IF($AS171="","",$AS171*100000+$AP171+ROW()/100000)</f>
      </c>
      <c r="AU171" s="224">
        <f>IF(OR($A171="",N($R171)&lt;=0),"",IF($S171="Ngày",$R171*24,$R171))</f>
      </c>
      <c r="AV171" s="224">
        <f>IF($A171="","",IF($B171="Đột xuất",IF(OR($AA171&lt;&gt;"Hoàn thành",N($X171)=0,N($J171)=0),"",IF($X171&lt;$J171,"",($X171-$J171)*24)),IFERROR(AVERAGEIFS('Nhật ký tiến độ'!$H$6:$H$3005,'Nhật ký tiến độ'!$C$6:$C$3005,$A171,'Nhật ký tiến độ'!$H$6:$H$3005,"&gt;0"),"")))</f>
      </c>
      <c r="AW171" s="233">
        <f>IF($A171="",0,IF($B171="Đột xuất",$AY171,IF($AX171=0,0,$AX171+1-1/1440)))</f>
      </c>
      <c r="AX171" s="234">
        <f>IF(OR($A171="",$B171&lt;&gt;"Định kỳ",N($I171)=0),0,IF($AL171="",$I171,IF($AJ171&gt;0,$I171+($AL171+1)*$AJ171,IF($AK171&gt;0,EDATE($I171,($AL171+1)*$AK171),$I171))))</f>
      </c>
      <c r="AY171" s="233">
        <f>IF(OR($A171="",$B171&lt;&gt;"Đột xuất"),0,IF(N($K171)&gt;0,IF(MOD($K171,1)=0,$K171+1-1/1440,$K171),IF(N($J171)=0,0,$J171+IF(N($AU171)&gt;0,$AU171,IFERROR(INDEX(DM_SLA_Gio,MATCH($L171,DM_SLA_Cap,0)),168))/24)))</f>
      </c>
      <c r="AZ171" s="225">
        <f>IF(OR($A171="",TRIM($N171)="",COUNTIF('Phản ánh'!$K$6:$K$505,$N171)&gt;0,COUNTIF($N$6:$N171,$N171)&gt;1),0,1)</f>
      </c>
      <c r="BA171" s="225">
        <f>IF($AZ171=1,SUM($AZ$6:$AZ171),"")</f>
      </c>
      <c r="BB171" s="225">
        <f>IF(OR($AO171=0,N($AW171)=0),0,IF(TDBC&lt;=$AW171,0,MAX(1,MIN(4,IF((TDBC-$AW171)*24&lt;24,1,IF((TDBC-$AW171)*24&lt;72,2,IF((TDBC-$AW171)*24&lt;168,3,4)))+IF($B171="Đột xuất",IFERROR(INDEX({2,1,0,-1},MATCH($L171,{"Khẩn cấp","Cao","Trung bình","Thấp"},0)),0),IF($D171="PCCC và an ninh",1,0))))))</f>
      </c>
    </row>
    <row r="172">
      <c r="A172" s="216"/>
      <c r="B172" s="216"/>
      <c r="C172" s="218"/>
      <c r="D172" s="218"/>
      <c r="E172" s="218"/>
      <c r="F172" s="216"/>
      <c r="G172" s="218"/>
      <c r="H172" s="218"/>
      <c r="I172" s="231"/>
      <c r="J172" s="217"/>
      <c r="K172" s="217"/>
      <c r="L172" s="216"/>
      <c r="M172" s="216"/>
      <c r="N172" s="218"/>
      <c r="O172" s="218"/>
      <c r="P172" s="218"/>
      <c r="Q172" s="218"/>
      <c r="R172" s="219"/>
      <c r="S172" s="216"/>
      <c r="T172" s="232"/>
      <c r="U172" s="232"/>
      <c r="V172" s="218"/>
      <c r="W172" s="218"/>
      <c r="X172" s="220">
        <f>IF($A172="","",IF(OR($B172="Định kỳ",$AA172="Hoàn thành"),MAX(_xlfn.MAXIFS('Nhật ký tiến độ'!$B$6:$B$3005,'Nhật ký tiến độ'!$C$6:$C$3005,$A172,'Nhật ký tiến độ'!$E$6:$E$3005,"Hoàn thành kỳ"),_xlfn.MAXIFS('Nhật ký tiến độ'!$B$6:$B$3005,'Nhật ký tiến độ'!$C$6:$C$3005,$A172,'Nhật ký tiến độ'!$E$6:$E$3005,"Hoàn thành")),0))</f>
      </c>
      <c r="Y172" s="220">
        <f>IF($A172="","",IF($B172="Đột xuất",IF($AY172=0,"",$AY172),IF($AX172=0,"",$AX172)))</f>
      </c>
      <c r="Z172" s="223">
        <f>IF(OR($AO172=0,$AW172=0),"",IF(TDBC&gt;$AW172,"Quá "&amp;IF($B172="Định kỳ",(NgayBC-$AP172)&amp;" ngày",IF(((TDBC-$AW172)*24)&lt;1,MAX(1,ROUND(((TDBC-$AW172)*24)*60,0))&amp;" phút",IF(ROUND(((TDBC-$AW172)*24),0)&lt;24,ROUND(((TDBC-$AW172)*24),0)&amp;" giờ",INT(ROUND(((TDBC-$AW172)*24),0)/24)&amp;" ngày"&amp;IF(MOD(ROUND(((TDBC-$AW172)*24),0),24)&gt;0," "&amp;MOD(ROUND(((TDBC-$AW172)*24),0),24)&amp;" giờ","")))),IF($B172="Định kỳ",IF($AP172=NgayBC,"Hôm nay","Còn "&amp;($AP172-NgayBC)&amp;" ngày"),"Còn "&amp;IF((($AW172-TDBC)*24)&lt;1,MAX(1,ROUND((($AW172-TDBC)*24)*60,0))&amp;" phút",IF(ROUND((($AW172-TDBC)*24),0)&lt;24,ROUND((($AW172-TDBC)*24),0)&amp;" giờ",INT(ROUND((($AW172-TDBC)*24),0)/24)&amp;" ngày"&amp;IF(MOD(ROUND((($AW172-TDBC)*24),0),24)&gt;0," "&amp;MOD(ROUND((($AW172-TDBC)*24),0),24)&amp;" giờ",""))))))</f>
      </c>
      <c r="AA172" s="221">
        <f>IF($A172="","",IF(N($AM172)=0,"Chưa bắt đầu",IF(OR($AN172="Hoàn thành kỳ",$AN172="Hoàn thành"),IF($B172="Định kỳ","Chưa bắt đầu","Hoàn thành"),$AN172)))</f>
      </c>
      <c r="AB172" s="222">
        <f>IF($A172="","",IF($AA172="Hoàn thành",1,IF(OR(N($AM172)=0,$AN172="Hoàn thành kỳ",$AN172="Hoàn thành"),0,N(INDEX('Nhật ký tiến độ'!$D:$D,$AM172)))))</f>
      </c>
      <c r="AC172" s="222">
        <f>IF(OR($A172="",$B172&lt;&gt;"Đột xuất",$AA172="Hoàn thành",N($J172)=0,$AW172=0),"",IF(TDBC&lt;=$J172,0,IF(TDBC&gt;=$AW172,1,(TDBC-$J172)/($AW172-$J172))))</f>
      </c>
      <c r="AD172" s="223">
        <f>IF($A172="","",IF($AA172="Hoàn thành","Hoàn thành",IF($AW172=0,"Chưa đặt hạn",IF(TDBC&gt;$AW172,"Quá hạn",IF(AND($B172="Đột xuất",ROUND((N($AC172)-$AB172)*100,0)&gt;=20),"Chậm tiến độ",IF($AP172=NgayBC,"Đến hạn hôm nay",IF($B172="Đột xuất",IF($AW172-TDBC&lt;=1,"Sắp đến hạn","Đúng tiến độ"),IF($AP172-NgayBC&lt;=3,"Sắp đến hạn","Theo lịch"))))))))</f>
      </c>
      <c r="AE172" s="223">
        <f>IF($AV172="","",IF($B172="Định kỳ","Bình quân "&amp;IF($AV172&lt;1,MAX(1,ROUND($AV172*60,0))&amp;" phút",IF(ROUND($AV172,0)&lt;24,ROUND($AV172,0)&amp;" giờ",INT(ROUND($AV172,0)/24)&amp;" ngày"&amp;IF(MOD(ROUND($AV172,0),24)&gt;0," "&amp;MOD(ROUND($AV172,0),24)&amp;" giờ","")))&amp;" mỗi kỳ",IF($AV172&lt;1,MAX(1,ROUND($AV172*60,0))&amp;" phút",IF(ROUND($AV172,0)&lt;24,ROUND($AV172,0)&amp;" giờ",INT(ROUND($AV172,0)/24)&amp;" ngày"&amp;IF(MOD(ROUND($AV172,0),24)&gt;0," "&amp;MOD(ROUND($AV172,0),24)&amp;" giờ","")))))</f>
      </c>
      <c r="AF172" s="223">
        <f>IF(OR($A172="",N($AU172)=0),"",IF($AV172&lt;&gt;"",IF($AV172&lt;=$AU172,"Trong ước tính","Vượt "&amp;IF(($AV172-$AU172)&lt;1,MAX(1,ROUND(($AV172-$AU172)*60,0))&amp;" phút",IF(ROUND(($AV172-$AU172),0)&lt;24,ROUND(($AV172-$AU172),0)&amp;" giờ",INT(ROUND(($AV172-$AU172),0)/24)&amp;" ngày"&amp;IF(MOD(ROUND(($AV172-$AU172),0),24)&gt;0," "&amp;MOD(ROUND(($AV172-$AU172),0),24)&amp;" giờ","")))),IF(OR($B172&lt;&gt;"Đột xuất",$AA172="Hoàn thành",N($J172)=0),"",IF((TDBC-$J172)*24&gt;$AU172,"Đã vượt ước tính","Đã dùng "&amp;TEXT((TDBC-$J172)*24/$AU172,"0%")))))</f>
      </c>
      <c r="AG172" s="223">
        <f>IF(N($BB172)=0,"",CHOOSE($BB172,"Nhắc nhở","Cảnh báo","Báo động","Báo động đỏ"))</f>
      </c>
      <c r="AH172" s="223">
        <f>IF(OR($B172&lt;&gt;"Đột xuất",$AA172&lt;&gt;"Hoàn thành",N($X172)=0,$AW172=0),"",IF($X172&lt;=$AW172,"Đúng hạn","Trễ hạn"))</f>
      </c>
      <c r="AI172" s="220">
        <f>IF($A172="","",_xlfn.MAXIFS('Nhật ký tiến độ'!$B$6:$B$3005,'Nhật ký tiến độ'!$C$6:$C$3005,$A172))</f>
      </c>
      <c r="AJ172" s="225">
        <f>IF(OR($A172="",$B172&lt;&gt;"Định kỳ"),0,IFERROR(INDEX(DM_TanSuatNgay,MATCH($H172,DM_TanSuat,0)),0))</f>
      </c>
      <c r="AK172" s="225">
        <f>IF(OR($A172="",$B172&lt;&gt;"Định kỳ"),0,IFERROR(INDEX(DM_TanSuatThang,MATCH($H172,DM_TanSuat,0)),0))</f>
      </c>
      <c r="AL172" s="225">
        <f>IF(OR($A172="",$B172&lt;&gt;"Định kỳ",N($X172)=0,N($I172)=0),"",IF(INT($X172)&lt;$I172,0,IF($AJ172&gt;0,ROUND((INT($X172)-$I172)/$AJ172,0),IF($AK172&gt;0,ROUND((DATEDIF($I172,INT($X172),"m")+(INT($X172)-EDATE($I172,DATEDIF($I172,INT($X172),"m")))/(EDATE($I172,DATEDIF($I172,INT($X172),"m")+1)-EDATE($I172,DATEDIF($I172,INT($X172),"m"))))/$AK172,0),0))))</f>
      </c>
      <c r="AM172" s="225">
        <f>IF($A172="","",IF(COUNTIF('Nhật ký tiến độ'!$C$6:$C$3005,$A172)=0,0,_xlfn.MAXIFS('Nhật ký tiến độ'!$N$6:$N$3005,'Nhật ký tiến độ'!$C$6:$C$3005,$A172,'Nhật ký tiến độ'!$B$6:$B$3005,_xlfn.MAXIFS('Nhật ký tiến độ'!$B$6:$B$3005,'Nhật ký tiến độ'!$C$6:$C$3005,$A172))))</f>
      </c>
      <c r="AN172" s="225">
        <f>IF($A172="","",IF(N($AM172)=0,"",INDEX('Nhật ký tiến độ'!$E:$E,$AM172)))</f>
      </c>
      <c r="AO172" s="225">
        <f>IF($A172="",0,IF($AA172="Hoàn thành",0,1))</f>
      </c>
      <c r="AP172" s="225">
        <f>IF($AO172=0,0,INT(N($AW172)))</f>
      </c>
      <c r="AQ172" s="225">
        <f>IF(AND($AO172=1,$AJ172&gt;1),$AJ172,0)</f>
      </c>
      <c r="AR172" s="225">
        <f>IF(AND($AO172=1,$AJ172=1),1,0)</f>
      </c>
      <c r="AS172" s="225">
        <f>IF(OR($AO172=0,AND($AR172=1,N($BB172)=0)),"",IF(N($BB172)&gt;0,5-$BB172,IF($AD172="Chậm tiến độ",6,IF($AD172="Đến hạn hôm nay",7,IF(AND($AP172&gt;0,$AP172-NgayBC&lt;=7),8,"")))))</f>
      </c>
      <c r="AT172" s="225">
        <f>IF($AS172="","",$AS172*100000+$AP172+ROW()/100000)</f>
      </c>
      <c r="AU172" s="224">
        <f>IF(OR($A172="",N($R172)&lt;=0),"",IF($S172="Ngày",$R172*24,$R172))</f>
      </c>
      <c r="AV172" s="224">
        <f>IF($A172="","",IF($B172="Đột xuất",IF(OR($AA172&lt;&gt;"Hoàn thành",N($X172)=0,N($J172)=0),"",IF($X172&lt;$J172,"",($X172-$J172)*24)),IFERROR(AVERAGEIFS('Nhật ký tiến độ'!$H$6:$H$3005,'Nhật ký tiến độ'!$C$6:$C$3005,$A172,'Nhật ký tiến độ'!$H$6:$H$3005,"&gt;0"),"")))</f>
      </c>
      <c r="AW172" s="233">
        <f>IF($A172="",0,IF($B172="Đột xuất",$AY172,IF($AX172=0,0,$AX172+1-1/1440)))</f>
      </c>
      <c r="AX172" s="234">
        <f>IF(OR($A172="",$B172&lt;&gt;"Định kỳ",N($I172)=0),0,IF($AL172="",$I172,IF($AJ172&gt;0,$I172+($AL172+1)*$AJ172,IF($AK172&gt;0,EDATE($I172,($AL172+1)*$AK172),$I172))))</f>
      </c>
      <c r="AY172" s="233">
        <f>IF(OR($A172="",$B172&lt;&gt;"Đột xuất"),0,IF(N($K172)&gt;0,IF(MOD($K172,1)=0,$K172+1-1/1440,$K172),IF(N($J172)=0,0,$J172+IF(N($AU172)&gt;0,$AU172,IFERROR(INDEX(DM_SLA_Gio,MATCH($L172,DM_SLA_Cap,0)),168))/24)))</f>
      </c>
      <c r="AZ172" s="225">
        <f>IF(OR($A172="",TRIM($N172)="",COUNTIF('Phản ánh'!$K$6:$K$505,$N172)&gt;0,COUNTIF($N$6:$N172,$N172)&gt;1),0,1)</f>
      </c>
      <c r="BA172" s="225">
        <f>IF($AZ172=1,SUM($AZ$6:$AZ172),"")</f>
      </c>
      <c r="BB172" s="225">
        <f>IF(OR($AO172=0,N($AW172)=0),0,IF(TDBC&lt;=$AW172,0,MAX(1,MIN(4,IF((TDBC-$AW172)*24&lt;24,1,IF((TDBC-$AW172)*24&lt;72,2,IF((TDBC-$AW172)*24&lt;168,3,4)))+IF($B172="Đột xuất",IFERROR(INDEX({2,1,0,-1},MATCH($L172,{"Khẩn cấp","Cao","Trung bình","Thấp"},0)),0),IF($D172="PCCC và an ninh",1,0))))))</f>
      </c>
    </row>
    <row r="173">
      <c r="A173" s="216"/>
      <c r="B173" s="216"/>
      <c r="C173" s="218"/>
      <c r="D173" s="218"/>
      <c r="E173" s="218"/>
      <c r="F173" s="216"/>
      <c r="G173" s="218"/>
      <c r="H173" s="218"/>
      <c r="I173" s="231"/>
      <c r="J173" s="217"/>
      <c r="K173" s="217"/>
      <c r="L173" s="216"/>
      <c r="M173" s="216"/>
      <c r="N173" s="218"/>
      <c r="O173" s="218"/>
      <c r="P173" s="218"/>
      <c r="Q173" s="218"/>
      <c r="R173" s="219"/>
      <c r="S173" s="216"/>
      <c r="T173" s="232"/>
      <c r="U173" s="232"/>
      <c r="V173" s="218"/>
      <c r="W173" s="218"/>
      <c r="X173" s="220">
        <f>IF($A173="","",IF(OR($B173="Định kỳ",$AA173="Hoàn thành"),MAX(_xlfn.MAXIFS('Nhật ký tiến độ'!$B$6:$B$3005,'Nhật ký tiến độ'!$C$6:$C$3005,$A173,'Nhật ký tiến độ'!$E$6:$E$3005,"Hoàn thành kỳ"),_xlfn.MAXIFS('Nhật ký tiến độ'!$B$6:$B$3005,'Nhật ký tiến độ'!$C$6:$C$3005,$A173,'Nhật ký tiến độ'!$E$6:$E$3005,"Hoàn thành")),0))</f>
      </c>
      <c r="Y173" s="220">
        <f>IF($A173="","",IF($B173="Đột xuất",IF($AY173=0,"",$AY173),IF($AX173=0,"",$AX173)))</f>
      </c>
      <c r="Z173" s="223">
        <f>IF(OR($AO173=0,$AW173=0),"",IF(TDBC&gt;$AW173,"Quá "&amp;IF($B173="Định kỳ",(NgayBC-$AP173)&amp;" ngày",IF(((TDBC-$AW173)*24)&lt;1,MAX(1,ROUND(((TDBC-$AW173)*24)*60,0))&amp;" phút",IF(ROUND(((TDBC-$AW173)*24),0)&lt;24,ROUND(((TDBC-$AW173)*24),0)&amp;" giờ",INT(ROUND(((TDBC-$AW173)*24),0)/24)&amp;" ngày"&amp;IF(MOD(ROUND(((TDBC-$AW173)*24),0),24)&gt;0," "&amp;MOD(ROUND(((TDBC-$AW173)*24),0),24)&amp;" giờ","")))),IF($B173="Định kỳ",IF($AP173=NgayBC,"Hôm nay","Còn "&amp;($AP173-NgayBC)&amp;" ngày"),"Còn "&amp;IF((($AW173-TDBC)*24)&lt;1,MAX(1,ROUND((($AW173-TDBC)*24)*60,0))&amp;" phút",IF(ROUND((($AW173-TDBC)*24),0)&lt;24,ROUND((($AW173-TDBC)*24),0)&amp;" giờ",INT(ROUND((($AW173-TDBC)*24),0)/24)&amp;" ngày"&amp;IF(MOD(ROUND((($AW173-TDBC)*24),0),24)&gt;0," "&amp;MOD(ROUND((($AW173-TDBC)*24),0),24)&amp;" giờ",""))))))</f>
      </c>
      <c r="AA173" s="221">
        <f>IF($A173="","",IF(N($AM173)=0,"Chưa bắt đầu",IF(OR($AN173="Hoàn thành kỳ",$AN173="Hoàn thành"),IF($B173="Định kỳ","Chưa bắt đầu","Hoàn thành"),$AN173)))</f>
      </c>
      <c r="AB173" s="222">
        <f>IF($A173="","",IF($AA173="Hoàn thành",1,IF(OR(N($AM173)=0,$AN173="Hoàn thành kỳ",$AN173="Hoàn thành"),0,N(INDEX('Nhật ký tiến độ'!$D:$D,$AM173)))))</f>
      </c>
      <c r="AC173" s="222">
        <f>IF(OR($A173="",$B173&lt;&gt;"Đột xuất",$AA173="Hoàn thành",N($J173)=0,$AW173=0),"",IF(TDBC&lt;=$J173,0,IF(TDBC&gt;=$AW173,1,(TDBC-$J173)/($AW173-$J173))))</f>
      </c>
      <c r="AD173" s="223">
        <f>IF($A173="","",IF($AA173="Hoàn thành","Hoàn thành",IF($AW173=0,"Chưa đặt hạn",IF(TDBC&gt;$AW173,"Quá hạn",IF(AND($B173="Đột xuất",ROUND((N($AC173)-$AB173)*100,0)&gt;=20),"Chậm tiến độ",IF($AP173=NgayBC,"Đến hạn hôm nay",IF($B173="Đột xuất",IF($AW173-TDBC&lt;=1,"Sắp đến hạn","Đúng tiến độ"),IF($AP173-NgayBC&lt;=3,"Sắp đến hạn","Theo lịch"))))))))</f>
      </c>
      <c r="AE173" s="223">
        <f>IF($AV173="","",IF($B173="Định kỳ","Bình quân "&amp;IF($AV173&lt;1,MAX(1,ROUND($AV173*60,0))&amp;" phút",IF(ROUND($AV173,0)&lt;24,ROUND($AV173,0)&amp;" giờ",INT(ROUND($AV173,0)/24)&amp;" ngày"&amp;IF(MOD(ROUND($AV173,0),24)&gt;0," "&amp;MOD(ROUND($AV173,0),24)&amp;" giờ","")))&amp;" mỗi kỳ",IF($AV173&lt;1,MAX(1,ROUND($AV173*60,0))&amp;" phút",IF(ROUND($AV173,0)&lt;24,ROUND($AV173,0)&amp;" giờ",INT(ROUND($AV173,0)/24)&amp;" ngày"&amp;IF(MOD(ROUND($AV173,0),24)&gt;0," "&amp;MOD(ROUND($AV173,0),24)&amp;" giờ","")))))</f>
      </c>
      <c r="AF173" s="223">
        <f>IF(OR($A173="",N($AU173)=0),"",IF($AV173&lt;&gt;"",IF($AV173&lt;=$AU173,"Trong ước tính","Vượt "&amp;IF(($AV173-$AU173)&lt;1,MAX(1,ROUND(($AV173-$AU173)*60,0))&amp;" phút",IF(ROUND(($AV173-$AU173),0)&lt;24,ROUND(($AV173-$AU173),0)&amp;" giờ",INT(ROUND(($AV173-$AU173),0)/24)&amp;" ngày"&amp;IF(MOD(ROUND(($AV173-$AU173),0),24)&gt;0," "&amp;MOD(ROUND(($AV173-$AU173),0),24)&amp;" giờ","")))),IF(OR($B173&lt;&gt;"Đột xuất",$AA173="Hoàn thành",N($J173)=0),"",IF((TDBC-$J173)*24&gt;$AU173,"Đã vượt ước tính","Đã dùng "&amp;TEXT((TDBC-$J173)*24/$AU173,"0%")))))</f>
      </c>
      <c r="AG173" s="223">
        <f>IF(N($BB173)=0,"",CHOOSE($BB173,"Nhắc nhở","Cảnh báo","Báo động","Báo động đỏ"))</f>
      </c>
      <c r="AH173" s="223">
        <f>IF(OR($B173&lt;&gt;"Đột xuất",$AA173&lt;&gt;"Hoàn thành",N($X173)=0,$AW173=0),"",IF($X173&lt;=$AW173,"Đúng hạn","Trễ hạn"))</f>
      </c>
      <c r="AI173" s="220">
        <f>IF($A173="","",_xlfn.MAXIFS('Nhật ký tiến độ'!$B$6:$B$3005,'Nhật ký tiến độ'!$C$6:$C$3005,$A173))</f>
      </c>
      <c r="AJ173" s="225">
        <f>IF(OR($A173="",$B173&lt;&gt;"Định kỳ"),0,IFERROR(INDEX(DM_TanSuatNgay,MATCH($H173,DM_TanSuat,0)),0))</f>
      </c>
      <c r="AK173" s="225">
        <f>IF(OR($A173="",$B173&lt;&gt;"Định kỳ"),0,IFERROR(INDEX(DM_TanSuatThang,MATCH($H173,DM_TanSuat,0)),0))</f>
      </c>
      <c r="AL173" s="225">
        <f>IF(OR($A173="",$B173&lt;&gt;"Định kỳ",N($X173)=0,N($I173)=0),"",IF(INT($X173)&lt;$I173,0,IF($AJ173&gt;0,ROUND((INT($X173)-$I173)/$AJ173,0),IF($AK173&gt;0,ROUND((DATEDIF($I173,INT($X173),"m")+(INT($X173)-EDATE($I173,DATEDIF($I173,INT($X173),"m")))/(EDATE($I173,DATEDIF($I173,INT($X173),"m")+1)-EDATE($I173,DATEDIF($I173,INT($X173),"m"))))/$AK173,0),0))))</f>
      </c>
      <c r="AM173" s="225">
        <f>IF($A173="","",IF(COUNTIF('Nhật ký tiến độ'!$C$6:$C$3005,$A173)=0,0,_xlfn.MAXIFS('Nhật ký tiến độ'!$N$6:$N$3005,'Nhật ký tiến độ'!$C$6:$C$3005,$A173,'Nhật ký tiến độ'!$B$6:$B$3005,_xlfn.MAXIFS('Nhật ký tiến độ'!$B$6:$B$3005,'Nhật ký tiến độ'!$C$6:$C$3005,$A173))))</f>
      </c>
      <c r="AN173" s="225">
        <f>IF($A173="","",IF(N($AM173)=0,"",INDEX('Nhật ký tiến độ'!$E:$E,$AM173)))</f>
      </c>
      <c r="AO173" s="225">
        <f>IF($A173="",0,IF($AA173="Hoàn thành",0,1))</f>
      </c>
      <c r="AP173" s="225">
        <f>IF($AO173=0,0,INT(N($AW173)))</f>
      </c>
      <c r="AQ173" s="225">
        <f>IF(AND($AO173=1,$AJ173&gt;1),$AJ173,0)</f>
      </c>
      <c r="AR173" s="225">
        <f>IF(AND($AO173=1,$AJ173=1),1,0)</f>
      </c>
      <c r="AS173" s="225">
        <f>IF(OR($AO173=0,AND($AR173=1,N($BB173)=0)),"",IF(N($BB173)&gt;0,5-$BB173,IF($AD173="Chậm tiến độ",6,IF($AD173="Đến hạn hôm nay",7,IF(AND($AP173&gt;0,$AP173-NgayBC&lt;=7),8,"")))))</f>
      </c>
      <c r="AT173" s="225">
        <f>IF($AS173="","",$AS173*100000+$AP173+ROW()/100000)</f>
      </c>
      <c r="AU173" s="224">
        <f>IF(OR($A173="",N($R173)&lt;=0),"",IF($S173="Ngày",$R173*24,$R173))</f>
      </c>
      <c r="AV173" s="224">
        <f>IF($A173="","",IF($B173="Đột xuất",IF(OR($AA173&lt;&gt;"Hoàn thành",N($X173)=0,N($J173)=0),"",IF($X173&lt;$J173,"",($X173-$J173)*24)),IFERROR(AVERAGEIFS('Nhật ký tiến độ'!$H$6:$H$3005,'Nhật ký tiến độ'!$C$6:$C$3005,$A173,'Nhật ký tiến độ'!$H$6:$H$3005,"&gt;0"),"")))</f>
      </c>
      <c r="AW173" s="233">
        <f>IF($A173="",0,IF($B173="Đột xuất",$AY173,IF($AX173=0,0,$AX173+1-1/1440)))</f>
      </c>
      <c r="AX173" s="234">
        <f>IF(OR($A173="",$B173&lt;&gt;"Định kỳ",N($I173)=0),0,IF($AL173="",$I173,IF($AJ173&gt;0,$I173+($AL173+1)*$AJ173,IF($AK173&gt;0,EDATE($I173,($AL173+1)*$AK173),$I173))))</f>
      </c>
      <c r="AY173" s="233">
        <f>IF(OR($A173="",$B173&lt;&gt;"Đột xuất"),0,IF(N($K173)&gt;0,IF(MOD($K173,1)=0,$K173+1-1/1440,$K173),IF(N($J173)=0,0,$J173+IF(N($AU173)&gt;0,$AU173,IFERROR(INDEX(DM_SLA_Gio,MATCH($L173,DM_SLA_Cap,0)),168))/24)))</f>
      </c>
      <c r="AZ173" s="225">
        <f>IF(OR($A173="",TRIM($N173)="",COUNTIF('Phản ánh'!$K$6:$K$505,$N173)&gt;0,COUNTIF($N$6:$N173,$N173)&gt;1),0,1)</f>
      </c>
      <c r="BA173" s="225">
        <f>IF($AZ173=1,SUM($AZ$6:$AZ173),"")</f>
      </c>
      <c r="BB173" s="225">
        <f>IF(OR($AO173=0,N($AW173)=0),0,IF(TDBC&lt;=$AW173,0,MAX(1,MIN(4,IF((TDBC-$AW173)*24&lt;24,1,IF((TDBC-$AW173)*24&lt;72,2,IF((TDBC-$AW173)*24&lt;168,3,4)))+IF($B173="Đột xuất",IFERROR(INDEX({2,1,0,-1},MATCH($L173,{"Khẩn cấp","Cao","Trung bình","Thấp"},0)),0),IF($D173="PCCC và an ninh",1,0))))))</f>
      </c>
    </row>
    <row r="174">
      <c r="A174" s="216"/>
      <c r="B174" s="216"/>
      <c r="C174" s="218"/>
      <c r="D174" s="218"/>
      <c r="E174" s="218"/>
      <c r="F174" s="216"/>
      <c r="G174" s="218"/>
      <c r="H174" s="218"/>
      <c r="I174" s="231"/>
      <c r="J174" s="217"/>
      <c r="K174" s="217"/>
      <c r="L174" s="216"/>
      <c r="M174" s="216"/>
      <c r="N174" s="218"/>
      <c r="O174" s="218"/>
      <c r="P174" s="218"/>
      <c r="Q174" s="218"/>
      <c r="R174" s="219"/>
      <c r="S174" s="216"/>
      <c r="T174" s="232"/>
      <c r="U174" s="232"/>
      <c r="V174" s="218"/>
      <c r="W174" s="218"/>
      <c r="X174" s="220">
        <f>IF($A174="","",IF(OR($B174="Định kỳ",$AA174="Hoàn thành"),MAX(_xlfn.MAXIFS('Nhật ký tiến độ'!$B$6:$B$3005,'Nhật ký tiến độ'!$C$6:$C$3005,$A174,'Nhật ký tiến độ'!$E$6:$E$3005,"Hoàn thành kỳ"),_xlfn.MAXIFS('Nhật ký tiến độ'!$B$6:$B$3005,'Nhật ký tiến độ'!$C$6:$C$3005,$A174,'Nhật ký tiến độ'!$E$6:$E$3005,"Hoàn thành")),0))</f>
      </c>
      <c r="Y174" s="220">
        <f>IF($A174="","",IF($B174="Đột xuất",IF($AY174=0,"",$AY174),IF($AX174=0,"",$AX174)))</f>
      </c>
      <c r="Z174" s="223">
        <f>IF(OR($AO174=0,$AW174=0),"",IF(TDBC&gt;$AW174,"Quá "&amp;IF($B174="Định kỳ",(NgayBC-$AP174)&amp;" ngày",IF(((TDBC-$AW174)*24)&lt;1,MAX(1,ROUND(((TDBC-$AW174)*24)*60,0))&amp;" phút",IF(ROUND(((TDBC-$AW174)*24),0)&lt;24,ROUND(((TDBC-$AW174)*24),0)&amp;" giờ",INT(ROUND(((TDBC-$AW174)*24),0)/24)&amp;" ngày"&amp;IF(MOD(ROUND(((TDBC-$AW174)*24),0),24)&gt;0," "&amp;MOD(ROUND(((TDBC-$AW174)*24),0),24)&amp;" giờ","")))),IF($B174="Định kỳ",IF($AP174=NgayBC,"Hôm nay","Còn "&amp;($AP174-NgayBC)&amp;" ngày"),"Còn "&amp;IF((($AW174-TDBC)*24)&lt;1,MAX(1,ROUND((($AW174-TDBC)*24)*60,0))&amp;" phút",IF(ROUND((($AW174-TDBC)*24),0)&lt;24,ROUND((($AW174-TDBC)*24),0)&amp;" giờ",INT(ROUND((($AW174-TDBC)*24),0)/24)&amp;" ngày"&amp;IF(MOD(ROUND((($AW174-TDBC)*24),0),24)&gt;0," "&amp;MOD(ROUND((($AW174-TDBC)*24),0),24)&amp;" giờ",""))))))</f>
      </c>
      <c r="AA174" s="221">
        <f>IF($A174="","",IF(N($AM174)=0,"Chưa bắt đầu",IF(OR($AN174="Hoàn thành kỳ",$AN174="Hoàn thành"),IF($B174="Định kỳ","Chưa bắt đầu","Hoàn thành"),$AN174)))</f>
      </c>
      <c r="AB174" s="222">
        <f>IF($A174="","",IF($AA174="Hoàn thành",1,IF(OR(N($AM174)=0,$AN174="Hoàn thành kỳ",$AN174="Hoàn thành"),0,N(INDEX('Nhật ký tiến độ'!$D:$D,$AM174)))))</f>
      </c>
      <c r="AC174" s="222">
        <f>IF(OR($A174="",$B174&lt;&gt;"Đột xuất",$AA174="Hoàn thành",N($J174)=0,$AW174=0),"",IF(TDBC&lt;=$J174,0,IF(TDBC&gt;=$AW174,1,(TDBC-$J174)/($AW174-$J174))))</f>
      </c>
      <c r="AD174" s="223">
        <f>IF($A174="","",IF($AA174="Hoàn thành","Hoàn thành",IF($AW174=0,"Chưa đặt hạn",IF(TDBC&gt;$AW174,"Quá hạn",IF(AND($B174="Đột xuất",ROUND((N($AC174)-$AB174)*100,0)&gt;=20),"Chậm tiến độ",IF($AP174=NgayBC,"Đến hạn hôm nay",IF($B174="Đột xuất",IF($AW174-TDBC&lt;=1,"Sắp đến hạn","Đúng tiến độ"),IF($AP174-NgayBC&lt;=3,"Sắp đến hạn","Theo lịch"))))))))</f>
      </c>
      <c r="AE174" s="223">
        <f>IF($AV174="","",IF($B174="Định kỳ","Bình quân "&amp;IF($AV174&lt;1,MAX(1,ROUND($AV174*60,0))&amp;" phút",IF(ROUND($AV174,0)&lt;24,ROUND($AV174,0)&amp;" giờ",INT(ROUND($AV174,0)/24)&amp;" ngày"&amp;IF(MOD(ROUND($AV174,0),24)&gt;0," "&amp;MOD(ROUND($AV174,0),24)&amp;" giờ","")))&amp;" mỗi kỳ",IF($AV174&lt;1,MAX(1,ROUND($AV174*60,0))&amp;" phút",IF(ROUND($AV174,0)&lt;24,ROUND($AV174,0)&amp;" giờ",INT(ROUND($AV174,0)/24)&amp;" ngày"&amp;IF(MOD(ROUND($AV174,0),24)&gt;0," "&amp;MOD(ROUND($AV174,0),24)&amp;" giờ","")))))</f>
      </c>
      <c r="AF174" s="223">
        <f>IF(OR($A174="",N($AU174)=0),"",IF($AV174&lt;&gt;"",IF($AV174&lt;=$AU174,"Trong ước tính","Vượt "&amp;IF(($AV174-$AU174)&lt;1,MAX(1,ROUND(($AV174-$AU174)*60,0))&amp;" phút",IF(ROUND(($AV174-$AU174),0)&lt;24,ROUND(($AV174-$AU174),0)&amp;" giờ",INT(ROUND(($AV174-$AU174),0)/24)&amp;" ngày"&amp;IF(MOD(ROUND(($AV174-$AU174),0),24)&gt;0," "&amp;MOD(ROUND(($AV174-$AU174),0),24)&amp;" giờ","")))),IF(OR($B174&lt;&gt;"Đột xuất",$AA174="Hoàn thành",N($J174)=0),"",IF((TDBC-$J174)*24&gt;$AU174,"Đã vượt ước tính","Đã dùng "&amp;TEXT((TDBC-$J174)*24/$AU174,"0%")))))</f>
      </c>
      <c r="AG174" s="223">
        <f>IF(N($BB174)=0,"",CHOOSE($BB174,"Nhắc nhở","Cảnh báo","Báo động","Báo động đỏ"))</f>
      </c>
      <c r="AH174" s="223">
        <f>IF(OR($B174&lt;&gt;"Đột xuất",$AA174&lt;&gt;"Hoàn thành",N($X174)=0,$AW174=0),"",IF($X174&lt;=$AW174,"Đúng hạn","Trễ hạn"))</f>
      </c>
      <c r="AI174" s="220">
        <f>IF($A174="","",_xlfn.MAXIFS('Nhật ký tiến độ'!$B$6:$B$3005,'Nhật ký tiến độ'!$C$6:$C$3005,$A174))</f>
      </c>
      <c r="AJ174" s="225">
        <f>IF(OR($A174="",$B174&lt;&gt;"Định kỳ"),0,IFERROR(INDEX(DM_TanSuatNgay,MATCH($H174,DM_TanSuat,0)),0))</f>
      </c>
      <c r="AK174" s="225">
        <f>IF(OR($A174="",$B174&lt;&gt;"Định kỳ"),0,IFERROR(INDEX(DM_TanSuatThang,MATCH($H174,DM_TanSuat,0)),0))</f>
      </c>
      <c r="AL174" s="225">
        <f>IF(OR($A174="",$B174&lt;&gt;"Định kỳ",N($X174)=0,N($I174)=0),"",IF(INT($X174)&lt;$I174,0,IF($AJ174&gt;0,ROUND((INT($X174)-$I174)/$AJ174,0),IF($AK174&gt;0,ROUND((DATEDIF($I174,INT($X174),"m")+(INT($X174)-EDATE($I174,DATEDIF($I174,INT($X174),"m")))/(EDATE($I174,DATEDIF($I174,INT($X174),"m")+1)-EDATE($I174,DATEDIF($I174,INT($X174),"m"))))/$AK174,0),0))))</f>
      </c>
      <c r="AM174" s="225">
        <f>IF($A174="","",IF(COUNTIF('Nhật ký tiến độ'!$C$6:$C$3005,$A174)=0,0,_xlfn.MAXIFS('Nhật ký tiến độ'!$N$6:$N$3005,'Nhật ký tiến độ'!$C$6:$C$3005,$A174,'Nhật ký tiến độ'!$B$6:$B$3005,_xlfn.MAXIFS('Nhật ký tiến độ'!$B$6:$B$3005,'Nhật ký tiến độ'!$C$6:$C$3005,$A174))))</f>
      </c>
      <c r="AN174" s="225">
        <f>IF($A174="","",IF(N($AM174)=0,"",INDEX('Nhật ký tiến độ'!$E:$E,$AM174)))</f>
      </c>
      <c r="AO174" s="225">
        <f>IF($A174="",0,IF($AA174="Hoàn thành",0,1))</f>
      </c>
      <c r="AP174" s="225">
        <f>IF($AO174=0,0,INT(N($AW174)))</f>
      </c>
      <c r="AQ174" s="225">
        <f>IF(AND($AO174=1,$AJ174&gt;1),$AJ174,0)</f>
      </c>
      <c r="AR174" s="225">
        <f>IF(AND($AO174=1,$AJ174=1),1,0)</f>
      </c>
      <c r="AS174" s="225">
        <f>IF(OR($AO174=0,AND($AR174=1,N($BB174)=0)),"",IF(N($BB174)&gt;0,5-$BB174,IF($AD174="Chậm tiến độ",6,IF($AD174="Đến hạn hôm nay",7,IF(AND($AP174&gt;0,$AP174-NgayBC&lt;=7),8,"")))))</f>
      </c>
      <c r="AT174" s="225">
        <f>IF($AS174="","",$AS174*100000+$AP174+ROW()/100000)</f>
      </c>
      <c r="AU174" s="224">
        <f>IF(OR($A174="",N($R174)&lt;=0),"",IF($S174="Ngày",$R174*24,$R174))</f>
      </c>
      <c r="AV174" s="224">
        <f>IF($A174="","",IF($B174="Đột xuất",IF(OR($AA174&lt;&gt;"Hoàn thành",N($X174)=0,N($J174)=0),"",IF($X174&lt;$J174,"",($X174-$J174)*24)),IFERROR(AVERAGEIFS('Nhật ký tiến độ'!$H$6:$H$3005,'Nhật ký tiến độ'!$C$6:$C$3005,$A174,'Nhật ký tiến độ'!$H$6:$H$3005,"&gt;0"),"")))</f>
      </c>
      <c r="AW174" s="233">
        <f>IF($A174="",0,IF($B174="Đột xuất",$AY174,IF($AX174=0,0,$AX174+1-1/1440)))</f>
      </c>
      <c r="AX174" s="234">
        <f>IF(OR($A174="",$B174&lt;&gt;"Định kỳ",N($I174)=0),0,IF($AL174="",$I174,IF($AJ174&gt;0,$I174+($AL174+1)*$AJ174,IF($AK174&gt;0,EDATE($I174,($AL174+1)*$AK174),$I174))))</f>
      </c>
      <c r="AY174" s="233">
        <f>IF(OR($A174="",$B174&lt;&gt;"Đột xuất"),0,IF(N($K174)&gt;0,IF(MOD($K174,1)=0,$K174+1-1/1440,$K174),IF(N($J174)=0,0,$J174+IF(N($AU174)&gt;0,$AU174,IFERROR(INDEX(DM_SLA_Gio,MATCH($L174,DM_SLA_Cap,0)),168))/24)))</f>
      </c>
      <c r="AZ174" s="225">
        <f>IF(OR($A174="",TRIM($N174)="",COUNTIF('Phản ánh'!$K$6:$K$505,$N174)&gt;0,COUNTIF($N$6:$N174,$N174)&gt;1),0,1)</f>
      </c>
      <c r="BA174" s="225">
        <f>IF($AZ174=1,SUM($AZ$6:$AZ174),"")</f>
      </c>
      <c r="BB174" s="225">
        <f>IF(OR($AO174=0,N($AW174)=0),0,IF(TDBC&lt;=$AW174,0,MAX(1,MIN(4,IF((TDBC-$AW174)*24&lt;24,1,IF((TDBC-$AW174)*24&lt;72,2,IF((TDBC-$AW174)*24&lt;168,3,4)))+IF($B174="Đột xuất",IFERROR(INDEX({2,1,0,-1},MATCH($L174,{"Khẩn cấp","Cao","Trung bình","Thấp"},0)),0),IF($D174="PCCC và an ninh",1,0))))))</f>
      </c>
    </row>
    <row r="175">
      <c r="A175" s="216"/>
      <c r="B175" s="216"/>
      <c r="C175" s="218"/>
      <c r="D175" s="218"/>
      <c r="E175" s="218"/>
      <c r="F175" s="216"/>
      <c r="G175" s="218"/>
      <c r="H175" s="218"/>
      <c r="I175" s="231"/>
      <c r="J175" s="217"/>
      <c r="K175" s="217"/>
      <c r="L175" s="216"/>
      <c r="M175" s="216"/>
      <c r="N175" s="218"/>
      <c r="O175" s="218"/>
      <c r="P175" s="218"/>
      <c r="Q175" s="218"/>
      <c r="R175" s="219"/>
      <c r="S175" s="216"/>
      <c r="T175" s="232"/>
      <c r="U175" s="232"/>
      <c r="V175" s="218"/>
      <c r="W175" s="218"/>
      <c r="X175" s="220">
        <f>IF($A175="","",IF(OR($B175="Định kỳ",$AA175="Hoàn thành"),MAX(_xlfn.MAXIFS('Nhật ký tiến độ'!$B$6:$B$3005,'Nhật ký tiến độ'!$C$6:$C$3005,$A175,'Nhật ký tiến độ'!$E$6:$E$3005,"Hoàn thành kỳ"),_xlfn.MAXIFS('Nhật ký tiến độ'!$B$6:$B$3005,'Nhật ký tiến độ'!$C$6:$C$3005,$A175,'Nhật ký tiến độ'!$E$6:$E$3005,"Hoàn thành")),0))</f>
      </c>
      <c r="Y175" s="220">
        <f>IF($A175="","",IF($B175="Đột xuất",IF($AY175=0,"",$AY175),IF($AX175=0,"",$AX175)))</f>
      </c>
      <c r="Z175" s="223">
        <f>IF(OR($AO175=0,$AW175=0),"",IF(TDBC&gt;$AW175,"Quá "&amp;IF($B175="Định kỳ",(NgayBC-$AP175)&amp;" ngày",IF(((TDBC-$AW175)*24)&lt;1,MAX(1,ROUND(((TDBC-$AW175)*24)*60,0))&amp;" phút",IF(ROUND(((TDBC-$AW175)*24),0)&lt;24,ROUND(((TDBC-$AW175)*24),0)&amp;" giờ",INT(ROUND(((TDBC-$AW175)*24),0)/24)&amp;" ngày"&amp;IF(MOD(ROUND(((TDBC-$AW175)*24),0),24)&gt;0," "&amp;MOD(ROUND(((TDBC-$AW175)*24),0),24)&amp;" giờ","")))),IF($B175="Định kỳ",IF($AP175=NgayBC,"Hôm nay","Còn "&amp;($AP175-NgayBC)&amp;" ngày"),"Còn "&amp;IF((($AW175-TDBC)*24)&lt;1,MAX(1,ROUND((($AW175-TDBC)*24)*60,0))&amp;" phút",IF(ROUND((($AW175-TDBC)*24),0)&lt;24,ROUND((($AW175-TDBC)*24),0)&amp;" giờ",INT(ROUND((($AW175-TDBC)*24),0)/24)&amp;" ngày"&amp;IF(MOD(ROUND((($AW175-TDBC)*24),0),24)&gt;0," "&amp;MOD(ROUND((($AW175-TDBC)*24),0),24)&amp;" giờ",""))))))</f>
      </c>
      <c r="AA175" s="221">
        <f>IF($A175="","",IF(N($AM175)=0,"Chưa bắt đầu",IF(OR($AN175="Hoàn thành kỳ",$AN175="Hoàn thành"),IF($B175="Định kỳ","Chưa bắt đầu","Hoàn thành"),$AN175)))</f>
      </c>
      <c r="AB175" s="222">
        <f>IF($A175="","",IF($AA175="Hoàn thành",1,IF(OR(N($AM175)=0,$AN175="Hoàn thành kỳ",$AN175="Hoàn thành"),0,N(INDEX('Nhật ký tiến độ'!$D:$D,$AM175)))))</f>
      </c>
      <c r="AC175" s="222">
        <f>IF(OR($A175="",$B175&lt;&gt;"Đột xuất",$AA175="Hoàn thành",N($J175)=0,$AW175=0),"",IF(TDBC&lt;=$J175,0,IF(TDBC&gt;=$AW175,1,(TDBC-$J175)/($AW175-$J175))))</f>
      </c>
      <c r="AD175" s="223">
        <f>IF($A175="","",IF($AA175="Hoàn thành","Hoàn thành",IF($AW175=0,"Chưa đặt hạn",IF(TDBC&gt;$AW175,"Quá hạn",IF(AND($B175="Đột xuất",ROUND((N($AC175)-$AB175)*100,0)&gt;=20),"Chậm tiến độ",IF($AP175=NgayBC,"Đến hạn hôm nay",IF($B175="Đột xuất",IF($AW175-TDBC&lt;=1,"Sắp đến hạn","Đúng tiến độ"),IF($AP175-NgayBC&lt;=3,"Sắp đến hạn","Theo lịch"))))))))</f>
      </c>
      <c r="AE175" s="223">
        <f>IF($AV175="","",IF($B175="Định kỳ","Bình quân "&amp;IF($AV175&lt;1,MAX(1,ROUND($AV175*60,0))&amp;" phút",IF(ROUND($AV175,0)&lt;24,ROUND($AV175,0)&amp;" giờ",INT(ROUND($AV175,0)/24)&amp;" ngày"&amp;IF(MOD(ROUND($AV175,0),24)&gt;0," "&amp;MOD(ROUND($AV175,0),24)&amp;" giờ","")))&amp;" mỗi kỳ",IF($AV175&lt;1,MAX(1,ROUND($AV175*60,0))&amp;" phút",IF(ROUND($AV175,0)&lt;24,ROUND($AV175,0)&amp;" giờ",INT(ROUND($AV175,0)/24)&amp;" ngày"&amp;IF(MOD(ROUND($AV175,0),24)&gt;0," "&amp;MOD(ROUND($AV175,0),24)&amp;" giờ","")))))</f>
      </c>
      <c r="AF175" s="223">
        <f>IF(OR($A175="",N($AU175)=0),"",IF($AV175&lt;&gt;"",IF($AV175&lt;=$AU175,"Trong ước tính","Vượt "&amp;IF(($AV175-$AU175)&lt;1,MAX(1,ROUND(($AV175-$AU175)*60,0))&amp;" phút",IF(ROUND(($AV175-$AU175),0)&lt;24,ROUND(($AV175-$AU175),0)&amp;" giờ",INT(ROUND(($AV175-$AU175),0)/24)&amp;" ngày"&amp;IF(MOD(ROUND(($AV175-$AU175),0),24)&gt;0," "&amp;MOD(ROUND(($AV175-$AU175),0),24)&amp;" giờ","")))),IF(OR($B175&lt;&gt;"Đột xuất",$AA175="Hoàn thành",N($J175)=0),"",IF((TDBC-$J175)*24&gt;$AU175,"Đã vượt ước tính","Đã dùng "&amp;TEXT((TDBC-$J175)*24/$AU175,"0%")))))</f>
      </c>
      <c r="AG175" s="223">
        <f>IF(N($BB175)=0,"",CHOOSE($BB175,"Nhắc nhở","Cảnh báo","Báo động","Báo động đỏ"))</f>
      </c>
      <c r="AH175" s="223">
        <f>IF(OR($B175&lt;&gt;"Đột xuất",$AA175&lt;&gt;"Hoàn thành",N($X175)=0,$AW175=0),"",IF($X175&lt;=$AW175,"Đúng hạn","Trễ hạn"))</f>
      </c>
      <c r="AI175" s="220">
        <f>IF($A175="","",_xlfn.MAXIFS('Nhật ký tiến độ'!$B$6:$B$3005,'Nhật ký tiến độ'!$C$6:$C$3005,$A175))</f>
      </c>
      <c r="AJ175" s="225">
        <f>IF(OR($A175="",$B175&lt;&gt;"Định kỳ"),0,IFERROR(INDEX(DM_TanSuatNgay,MATCH($H175,DM_TanSuat,0)),0))</f>
      </c>
      <c r="AK175" s="225">
        <f>IF(OR($A175="",$B175&lt;&gt;"Định kỳ"),0,IFERROR(INDEX(DM_TanSuatThang,MATCH($H175,DM_TanSuat,0)),0))</f>
      </c>
      <c r="AL175" s="225">
        <f>IF(OR($A175="",$B175&lt;&gt;"Định kỳ",N($X175)=0,N($I175)=0),"",IF(INT($X175)&lt;$I175,0,IF($AJ175&gt;0,ROUND((INT($X175)-$I175)/$AJ175,0),IF($AK175&gt;0,ROUND((DATEDIF($I175,INT($X175),"m")+(INT($X175)-EDATE($I175,DATEDIF($I175,INT($X175),"m")))/(EDATE($I175,DATEDIF($I175,INT($X175),"m")+1)-EDATE($I175,DATEDIF($I175,INT($X175),"m"))))/$AK175,0),0))))</f>
      </c>
      <c r="AM175" s="225">
        <f>IF($A175="","",IF(COUNTIF('Nhật ký tiến độ'!$C$6:$C$3005,$A175)=0,0,_xlfn.MAXIFS('Nhật ký tiến độ'!$N$6:$N$3005,'Nhật ký tiến độ'!$C$6:$C$3005,$A175,'Nhật ký tiến độ'!$B$6:$B$3005,_xlfn.MAXIFS('Nhật ký tiến độ'!$B$6:$B$3005,'Nhật ký tiến độ'!$C$6:$C$3005,$A175))))</f>
      </c>
      <c r="AN175" s="225">
        <f>IF($A175="","",IF(N($AM175)=0,"",INDEX('Nhật ký tiến độ'!$E:$E,$AM175)))</f>
      </c>
      <c r="AO175" s="225">
        <f>IF($A175="",0,IF($AA175="Hoàn thành",0,1))</f>
      </c>
      <c r="AP175" s="225">
        <f>IF($AO175=0,0,INT(N($AW175)))</f>
      </c>
      <c r="AQ175" s="225">
        <f>IF(AND($AO175=1,$AJ175&gt;1),$AJ175,0)</f>
      </c>
      <c r="AR175" s="225">
        <f>IF(AND($AO175=1,$AJ175=1),1,0)</f>
      </c>
      <c r="AS175" s="225">
        <f>IF(OR($AO175=0,AND($AR175=1,N($BB175)=0)),"",IF(N($BB175)&gt;0,5-$BB175,IF($AD175="Chậm tiến độ",6,IF($AD175="Đến hạn hôm nay",7,IF(AND($AP175&gt;0,$AP175-NgayBC&lt;=7),8,"")))))</f>
      </c>
      <c r="AT175" s="225">
        <f>IF($AS175="","",$AS175*100000+$AP175+ROW()/100000)</f>
      </c>
      <c r="AU175" s="224">
        <f>IF(OR($A175="",N($R175)&lt;=0),"",IF($S175="Ngày",$R175*24,$R175))</f>
      </c>
      <c r="AV175" s="224">
        <f>IF($A175="","",IF($B175="Đột xuất",IF(OR($AA175&lt;&gt;"Hoàn thành",N($X175)=0,N($J175)=0),"",IF($X175&lt;$J175,"",($X175-$J175)*24)),IFERROR(AVERAGEIFS('Nhật ký tiến độ'!$H$6:$H$3005,'Nhật ký tiến độ'!$C$6:$C$3005,$A175,'Nhật ký tiến độ'!$H$6:$H$3005,"&gt;0"),"")))</f>
      </c>
      <c r="AW175" s="233">
        <f>IF($A175="",0,IF($B175="Đột xuất",$AY175,IF($AX175=0,0,$AX175+1-1/1440)))</f>
      </c>
      <c r="AX175" s="234">
        <f>IF(OR($A175="",$B175&lt;&gt;"Định kỳ",N($I175)=0),0,IF($AL175="",$I175,IF($AJ175&gt;0,$I175+($AL175+1)*$AJ175,IF($AK175&gt;0,EDATE($I175,($AL175+1)*$AK175),$I175))))</f>
      </c>
      <c r="AY175" s="233">
        <f>IF(OR($A175="",$B175&lt;&gt;"Đột xuất"),0,IF(N($K175)&gt;0,IF(MOD($K175,1)=0,$K175+1-1/1440,$K175),IF(N($J175)=0,0,$J175+IF(N($AU175)&gt;0,$AU175,IFERROR(INDEX(DM_SLA_Gio,MATCH($L175,DM_SLA_Cap,0)),168))/24)))</f>
      </c>
      <c r="AZ175" s="225">
        <f>IF(OR($A175="",TRIM($N175)="",COUNTIF('Phản ánh'!$K$6:$K$505,$N175)&gt;0,COUNTIF($N$6:$N175,$N175)&gt;1),0,1)</f>
      </c>
      <c r="BA175" s="225">
        <f>IF($AZ175=1,SUM($AZ$6:$AZ175),"")</f>
      </c>
      <c r="BB175" s="225">
        <f>IF(OR($AO175=0,N($AW175)=0),0,IF(TDBC&lt;=$AW175,0,MAX(1,MIN(4,IF((TDBC-$AW175)*24&lt;24,1,IF((TDBC-$AW175)*24&lt;72,2,IF((TDBC-$AW175)*24&lt;168,3,4)))+IF($B175="Đột xuất",IFERROR(INDEX({2,1,0,-1},MATCH($L175,{"Khẩn cấp","Cao","Trung bình","Thấp"},0)),0),IF($D175="PCCC và an ninh",1,0))))))</f>
      </c>
    </row>
    <row r="176">
      <c r="A176" s="216"/>
      <c r="B176" s="216"/>
      <c r="C176" s="218"/>
      <c r="D176" s="218"/>
      <c r="E176" s="218"/>
      <c r="F176" s="216"/>
      <c r="G176" s="218"/>
      <c r="H176" s="218"/>
      <c r="I176" s="231"/>
      <c r="J176" s="217"/>
      <c r="K176" s="217"/>
      <c r="L176" s="216"/>
      <c r="M176" s="216"/>
      <c r="N176" s="218"/>
      <c r="O176" s="218"/>
      <c r="P176" s="218"/>
      <c r="Q176" s="218"/>
      <c r="R176" s="219"/>
      <c r="S176" s="216"/>
      <c r="T176" s="232"/>
      <c r="U176" s="232"/>
      <c r="V176" s="218"/>
      <c r="W176" s="218"/>
      <c r="X176" s="220">
        <f>IF($A176="","",IF(OR($B176="Định kỳ",$AA176="Hoàn thành"),MAX(_xlfn.MAXIFS('Nhật ký tiến độ'!$B$6:$B$3005,'Nhật ký tiến độ'!$C$6:$C$3005,$A176,'Nhật ký tiến độ'!$E$6:$E$3005,"Hoàn thành kỳ"),_xlfn.MAXIFS('Nhật ký tiến độ'!$B$6:$B$3005,'Nhật ký tiến độ'!$C$6:$C$3005,$A176,'Nhật ký tiến độ'!$E$6:$E$3005,"Hoàn thành")),0))</f>
      </c>
      <c r="Y176" s="220">
        <f>IF($A176="","",IF($B176="Đột xuất",IF($AY176=0,"",$AY176),IF($AX176=0,"",$AX176)))</f>
      </c>
      <c r="Z176" s="223">
        <f>IF(OR($AO176=0,$AW176=0),"",IF(TDBC&gt;$AW176,"Quá "&amp;IF($B176="Định kỳ",(NgayBC-$AP176)&amp;" ngày",IF(((TDBC-$AW176)*24)&lt;1,MAX(1,ROUND(((TDBC-$AW176)*24)*60,0))&amp;" phút",IF(ROUND(((TDBC-$AW176)*24),0)&lt;24,ROUND(((TDBC-$AW176)*24),0)&amp;" giờ",INT(ROUND(((TDBC-$AW176)*24),0)/24)&amp;" ngày"&amp;IF(MOD(ROUND(((TDBC-$AW176)*24),0),24)&gt;0," "&amp;MOD(ROUND(((TDBC-$AW176)*24),0),24)&amp;" giờ","")))),IF($B176="Định kỳ",IF($AP176=NgayBC,"Hôm nay","Còn "&amp;($AP176-NgayBC)&amp;" ngày"),"Còn "&amp;IF((($AW176-TDBC)*24)&lt;1,MAX(1,ROUND((($AW176-TDBC)*24)*60,0))&amp;" phút",IF(ROUND((($AW176-TDBC)*24),0)&lt;24,ROUND((($AW176-TDBC)*24),0)&amp;" giờ",INT(ROUND((($AW176-TDBC)*24),0)/24)&amp;" ngày"&amp;IF(MOD(ROUND((($AW176-TDBC)*24),0),24)&gt;0," "&amp;MOD(ROUND((($AW176-TDBC)*24),0),24)&amp;" giờ",""))))))</f>
      </c>
      <c r="AA176" s="221">
        <f>IF($A176="","",IF(N($AM176)=0,"Chưa bắt đầu",IF(OR($AN176="Hoàn thành kỳ",$AN176="Hoàn thành"),IF($B176="Định kỳ","Chưa bắt đầu","Hoàn thành"),$AN176)))</f>
      </c>
      <c r="AB176" s="222">
        <f>IF($A176="","",IF($AA176="Hoàn thành",1,IF(OR(N($AM176)=0,$AN176="Hoàn thành kỳ",$AN176="Hoàn thành"),0,N(INDEX('Nhật ký tiến độ'!$D:$D,$AM176)))))</f>
      </c>
      <c r="AC176" s="222">
        <f>IF(OR($A176="",$B176&lt;&gt;"Đột xuất",$AA176="Hoàn thành",N($J176)=0,$AW176=0),"",IF(TDBC&lt;=$J176,0,IF(TDBC&gt;=$AW176,1,(TDBC-$J176)/($AW176-$J176))))</f>
      </c>
      <c r="AD176" s="223">
        <f>IF($A176="","",IF($AA176="Hoàn thành","Hoàn thành",IF($AW176=0,"Chưa đặt hạn",IF(TDBC&gt;$AW176,"Quá hạn",IF(AND($B176="Đột xuất",ROUND((N($AC176)-$AB176)*100,0)&gt;=20),"Chậm tiến độ",IF($AP176=NgayBC,"Đến hạn hôm nay",IF($B176="Đột xuất",IF($AW176-TDBC&lt;=1,"Sắp đến hạn","Đúng tiến độ"),IF($AP176-NgayBC&lt;=3,"Sắp đến hạn","Theo lịch"))))))))</f>
      </c>
      <c r="AE176" s="223">
        <f>IF($AV176="","",IF($B176="Định kỳ","Bình quân "&amp;IF($AV176&lt;1,MAX(1,ROUND($AV176*60,0))&amp;" phút",IF(ROUND($AV176,0)&lt;24,ROUND($AV176,0)&amp;" giờ",INT(ROUND($AV176,0)/24)&amp;" ngày"&amp;IF(MOD(ROUND($AV176,0),24)&gt;0," "&amp;MOD(ROUND($AV176,0),24)&amp;" giờ","")))&amp;" mỗi kỳ",IF($AV176&lt;1,MAX(1,ROUND($AV176*60,0))&amp;" phút",IF(ROUND($AV176,0)&lt;24,ROUND($AV176,0)&amp;" giờ",INT(ROUND($AV176,0)/24)&amp;" ngày"&amp;IF(MOD(ROUND($AV176,0),24)&gt;0," "&amp;MOD(ROUND($AV176,0),24)&amp;" giờ","")))))</f>
      </c>
      <c r="AF176" s="223">
        <f>IF(OR($A176="",N($AU176)=0),"",IF($AV176&lt;&gt;"",IF($AV176&lt;=$AU176,"Trong ước tính","Vượt "&amp;IF(($AV176-$AU176)&lt;1,MAX(1,ROUND(($AV176-$AU176)*60,0))&amp;" phút",IF(ROUND(($AV176-$AU176),0)&lt;24,ROUND(($AV176-$AU176),0)&amp;" giờ",INT(ROUND(($AV176-$AU176),0)/24)&amp;" ngày"&amp;IF(MOD(ROUND(($AV176-$AU176),0),24)&gt;0," "&amp;MOD(ROUND(($AV176-$AU176),0),24)&amp;" giờ","")))),IF(OR($B176&lt;&gt;"Đột xuất",$AA176="Hoàn thành",N($J176)=0),"",IF((TDBC-$J176)*24&gt;$AU176,"Đã vượt ước tính","Đã dùng "&amp;TEXT((TDBC-$J176)*24/$AU176,"0%")))))</f>
      </c>
      <c r="AG176" s="223">
        <f>IF(N($BB176)=0,"",CHOOSE($BB176,"Nhắc nhở","Cảnh báo","Báo động","Báo động đỏ"))</f>
      </c>
      <c r="AH176" s="223">
        <f>IF(OR($B176&lt;&gt;"Đột xuất",$AA176&lt;&gt;"Hoàn thành",N($X176)=0,$AW176=0),"",IF($X176&lt;=$AW176,"Đúng hạn","Trễ hạn"))</f>
      </c>
      <c r="AI176" s="220">
        <f>IF($A176="","",_xlfn.MAXIFS('Nhật ký tiến độ'!$B$6:$B$3005,'Nhật ký tiến độ'!$C$6:$C$3005,$A176))</f>
      </c>
      <c r="AJ176" s="225">
        <f>IF(OR($A176="",$B176&lt;&gt;"Định kỳ"),0,IFERROR(INDEX(DM_TanSuatNgay,MATCH($H176,DM_TanSuat,0)),0))</f>
      </c>
      <c r="AK176" s="225">
        <f>IF(OR($A176="",$B176&lt;&gt;"Định kỳ"),0,IFERROR(INDEX(DM_TanSuatThang,MATCH($H176,DM_TanSuat,0)),0))</f>
      </c>
      <c r="AL176" s="225">
        <f>IF(OR($A176="",$B176&lt;&gt;"Định kỳ",N($X176)=0,N($I176)=0),"",IF(INT($X176)&lt;$I176,0,IF($AJ176&gt;0,ROUND((INT($X176)-$I176)/$AJ176,0),IF($AK176&gt;0,ROUND((DATEDIF($I176,INT($X176),"m")+(INT($X176)-EDATE($I176,DATEDIF($I176,INT($X176),"m")))/(EDATE($I176,DATEDIF($I176,INT($X176),"m")+1)-EDATE($I176,DATEDIF($I176,INT($X176),"m"))))/$AK176,0),0))))</f>
      </c>
      <c r="AM176" s="225">
        <f>IF($A176="","",IF(COUNTIF('Nhật ký tiến độ'!$C$6:$C$3005,$A176)=0,0,_xlfn.MAXIFS('Nhật ký tiến độ'!$N$6:$N$3005,'Nhật ký tiến độ'!$C$6:$C$3005,$A176,'Nhật ký tiến độ'!$B$6:$B$3005,_xlfn.MAXIFS('Nhật ký tiến độ'!$B$6:$B$3005,'Nhật ký tiến độ'!$C$6:$C$3005,$A176))))</f>
      </c>
      <c r="AN176" s="225">
        <f>IF($A176="","",IF(N($AM176)=0,"",INDEX('Nhật ký tiến độ'!$E:$E,$AM176)))</f>
      </c>
      <c r="AO176" s="225">
        <f>IF($A176="",0,IF($AA176="Hoàn thành",0,1))</f>
      </c>
      <c r="AP176" s="225">
        <f>IF($AO176=0,0,INT(N($AW176)))</f>
      </c>
      <c r="AQ176" s="225">
        <f>IF(AND($AO176=1,$AJ176&gt;1),$AJ176,0)</f>
      </c>
      <c r="AR176" s="225">
        <f>IF(AND($AO176=1,$AJ176=1),1,0)</f>
      </c>
      <c r="AS176" s="225">
        <f>IF(OR($AO176=0,AND($AR176=1,N($BB176)=0)),"",IF(N($BB176)&gt;0,5-$BB176,IF($AD176="Chậm tiến độ",6,IF($AD176="Đến hạn hôm nay",7,IF(AND($AP176&gt;0,$AP176-NgayBC&lt;=7),8,"")))))</f>
      </c>
      <c r="AT176" s="225">
        <f>IF($AS176="","",$AS176*100000+$AP176+ROW()/100000)</f>
      </c>
      <c r="AU176" s="224">
        <f>IF(OR($A176="",N($R176)&lt;=0),"",IF($S176="Ngày",$R176*24,$R176))</f>
      </c>
      <c r="AV176" s="224">
        <f>IF($A176="","",IF($B176="Đột xuất",IF(OR($AA176&lt;&gt;"Hoàn thành",N($X176)=0,N($J176)=0),"",IF($X176&lt;$J176,"",($X176-$J176)*24)),IFERROR(AVERAGEIFS('Nhật ký tiến độ'!$H$6:$H$3005,'Nhật ký tiến độ'!$C$6:$C$3005,$A176,'Nhật ký tiến độ'!$H$6:$H$3005,"&gt;0"),"")))</f>
      </c>
      <c r="AW176" s="233">
        <f>IF($A176="",0,IF($B176="Đột xuất",$AY176,IF($AX176=0,0,$AX176+1-1/1440)))</f>
      </c>
      <c r="AX176" s="234">
        <f>IF(OR($A176="",$B176&lt;&gt;"Định kỳ",N($I176)=0),0,IF($AL176="",$I176,IF($AJ176&gt;0,$I176+($AL176+1)*$AJ176,IF($AK176&gt;0,EDATE($I176,($AL176+1)*$AK176),$I176))))</f>
      </c>
      <c r="AY176" s="233">
        <f>IF(OR($A176="",$B176&lt;&gt;"Đột xuất"),0,IF(N($K176)&gt;0,IF(MOD($K176,1)=0,$K176+1-1/1440,$K176),IF(N($J176)=0,0,$J176+IF(N($AU176)&gt;0,$AU176,IFERROR(INDEX(DM_SLA_Gio,MATCH($L176,DM_SLA_Cap,0)),168))/24)))</f>
      </c>
      <c r="AZ176" s="225">
        <f>IF(OR($A176="",TRIM($N176)="",COUNTIF('Phản ánh'!$K$6:$K$505,$N176)&gt;0,COUNTIF($N$6:$N176,$N176)&gt;1),0,1)</f>
      </c>
      <c r="BA176" s="225">
        <f>IF($AZ176=1,SUM($AZ$6:$AZ176),"")</f>
      </c>
      <c r="BB176" s="225">
        <f>IF(OR($AO176=0,N($AW176)=0),0,IF(TDBC&lt;=$AW176,0,MAX(1,MIN(4,IF((TDBC-$AW176)*24&lt;24,1,IF((TDBC-$AW176)*24&lt;72,2,IF((TDBC-$AW176)*24&lt;168,3,4)))+IF($B176="Đột xuất",IFERROR(INDEX({2,1,0,-1},MATCH($L176,{"Khẩn cấp","Cao","Trung bình","Thấp"},0)),0),IF($D176="PCCC và an ninh",1,0))))))</f>
      </c>
    </row>
    <row r="177">
      <c r="A177" s="216"/>
      <c r="B177" s="216"/>
      <c r="C177" s="218"/>
      <c r="D177" s="218"/>
      <c r="E177" s="218"/>
      <c r="F177" s="216"/>
      <c r="G177" s="218"/>
      <c r="H177" s="218"/>
      <c r="I177" s="231"/>
      <c r="J177" s="217"/>
      <c r="K177" s="217"/>
      <c r="L177" s="216"/>
      <c r="M177" s="216"/>
      <c r="N177" s="218"/>
      <c r="O177" s="218"/>
      <c r="P177" s="218"/>
      <c r="Q177" s="218"/>
      <c r="R177" s="219"/>
      <c r="S177" s="216"/>
      <c r="T177" s="232"/>
      <c r="U177" s="232"/>
      <c r="V177" s="218"/>
      <c r="W177" s="218"/>
      <c r="X177" s="220">
        <f>IF($A177="","",IF(OR($B177="Định kỳ",$AA177="Hoàn thành"),MAX(_xlfn.MAXIFS('Nhật ký tiến độ'!$B$6:$B$3005,'Nhật ký tiến độ'!$C$6:$C$3005,$A177,'Nhật ký tiến độ'!$E$6:$E$3005,"Hoàn thành kỳ"),_xlfn.MAXIFS('Nhật ký tiến độ'!$B$6:$B$3005,'Nhật ký tiến độ'!$C$6:$C$3005,$A177,'Nhật ký tiến độ'!$E$6:$E$3005,"Hoàn thành")),0))</f>
      </c>
      <c r="Y177" s="220">
        <f>IF($A177="","",IF($B177="Đột xuất",IF($AY177=0,"",$AY177),IF($AX177=0,"",$AX177)))</f>
      </c>
      <c r="Z177" s="223">
        <f>IF(OR($AO177=0,$AW177=0),"",IF(TDBC&gt;$AW177,"Quá "&amp;IF($B177="Định kỳ",(NgayBC-$AP177)&amp;" ngày",IF(((TDBC-$AW177)*24)&lt;1,MAX(1,ROUND(((TDBC-$AW177)*24)*60,0))&amp;" phút",IF(ROUND(((TDBC-$AW177)*24),0)&lt;24,ROUND(((TDBC-$AW177)*24),0)&amp;" giờ",INT(ROUND(((TDBC-$AW177)*24),0)/24)&amp;" ngày"&amp;IF(MOD(ROUND(((TDBC-$AW177)*24),0),24)&gt;0," "&amp;MOD(ROUND(((TDBC-$AW177)*24),0),24)&amp;" giờ","")))),IF($B177="Định kỳ",IF($AP177=NgayBC,"Hôm nay","Còn "&amp;($AP177-NgayBC)&amp;" ngày"),"Còn "&amp;IF((($AW177-TDBC)*24)&lt;1,MAX(1,ROUND((($AW177-TDBC)*24)*60,0))&amp;" phút",IF(ROUND((($AW177-TDBC)*24),0)&lt;24,ROUND((($AW177-TDBC)*24),0)&amp;" giờ",INT(ROUND((($AW177-TDBC)*24),0)/24)&amp;" ngày"&amp;IF(MOD(ROUND((($AW177-TDBC)*24),0),24)&gt;0," "&amp;MOD(ROUND((($AW177-TDBC)*24),0),24)&amp;" giờ",""))))))</f>
      </c>
      <c r="AA177" s="221">
        <f>IF($A177="","",IF(N($AM177)=0,"Chưa bắt đầu",IF(OR($AN177="Hoàn thành kỳ",$AN177="Hoàn thành"),IF($B177="Định kỳ","Chưa bắt đầu","Hoàn thành"),$AN177)))</f>
      </c>
      <c r="AB177" s="222">
        <f>IF($A177="","",IF($AA177="Hoàn thành",1,IF(OR(N($AM177)=0,$AN177="Hoàn thành kỳ",$AN177="Hoàn thành"),0,N(INDEX('Nhật ký tiến độ'!$D:$D,$AM177)))))</f>
      </c>
      <c r="AC177" s="222">
        <f>IF(OR($A177="",$B177&lt;&gt;"Đột xuất",$AA177="Hoàn thành",N($J177)=0,$AW177=0),"",IF(TDBC&lt;=$J177,0,IF(TDBC&gt;=$AW177,1,(TDBC-$J177)/($AW177-$J177))))</f>
      </c>
      <c r="AD177" s="223">
        <f>IF($A177="","",IF($AA177="Hoàn thành","Hoàn thành",IF($AW177=0,"Chưa đặt hạn",IF(TDBC&gt;$AW177,"Quá hạn",IF(AND($B177="Đột xuất",ROUND((N($AC177)-$AB177)*100,0)&gt;=20),"Chậm tiến độ",IF($AP177=NgayBC,"Đến hạn hôm nay",IF($B177="Đột xuất",IF($AW177-TDBC&lt;=1,"Sắp đến hạn","Đúng tiến độ"),IF($AP177-NgayBC&lt;=3,"Sắp đến hạn","Theo lịch"))))))))</f>
      </c>
      <c r="AE177" s="223">
        <f>IF($AV177="","",IF($B177="Định kỳ","Bình quân "&amp;IF($AV177&lt;1,MAX(1,ROUND($AV177*60,0))&amp;" phút",IF(ROUND($AV177,0)&lt;24,ROUND($AV177,0)&amp;" giờ",INT(ROUND($AV177,0)/24)&amp;" ngày"&amp;IF(MOD(ROUND($AV177,0),24)&gt;0," "&amp;MOD(ROUND($AV177,0),24)&amp;" giờ","")))&amp;" mỗi kỳ",IF($AV177&lt;1,MAX(1,ROUND($AV177*60,0))&amp;" phút",IF(ROUND($AV177,0)&lt;24,ROUND($AV177,0)&amp;" giờ",INT(ROUND($AV177,0)/24)&amp;" ngày"&amp;IF(MOD(ROUND($AV177,0),24)&gt;0," "&amp;MOD(ROUND($AV177,0),24)&amp;" giờ","")))))</f>
      </c>
      <c r="AF177" s="223">
        <f>IF(OR($A177="",N($AU177)=0),"",IF($AV177&lt;&gt;"",IF($AV177&lt;=$AU177,"Trong ước tính","Vượt "&amp;IF(($AV177-$AU177)&lt;1,MAX(1,ROUND(($AV177-$AU177)*60,0))&amp;" phút",IF(ROUND(($AV177-$AU177),0)&lt;24,ROUND(($AV177-$AU177),0)&amp;" giờ",INT(ROUND(($AV177-$AU177),0)/24)&amp;" ngày"&amp;IF(MOD(ROUND(($AV177-$AU177),0),24)&gt;0," "&amp;MOD(ROUND(($AV177-$AU177),0),24)&amp;" giờ","")))),IF(OR($B177&lt;&gt;"Đột xuất",$AA177="Hoàn thành",N($J177)=0),"",IF((TDBC-$J177)*24&gt;$AU177,"Đã vượt ước tính","Đã dùng "&amp;TEXT((TDBC-$J177)*24/$AU177,"0%")))))</f>
      </c>
      <c r="AG177" s="223">
        <f>IF(N($BB177)=0,"",CHOOSE($BB177,"Nhắc nhở","Cảnh báo","Báo động","Báo động đỏ"))</f>
      </c>
      <c r="AH177" s="223">
        <f>IF(OR($B177&lt;&gt;"Đột xuất",$AA177&lt;&gt;"Hoàn thành",N($X177)=0,$AW177=0),"",IF($X177&lt;=$AW177,"Đúng hạn","Trễ hạn"))</f>
      </c>
      <c r="AI177" s="220">
        <f>IF($A177="","",_xlfn.MAXIFS('Nhật ký tiến độ'!$B$6:$B$3005,'Nhật ký tiến độ'!$C$6:$C$3005,$A177))</f>
      </c>
      <c r="AJ177" s="225">
        <f>IF(OR($A177="",$B177&lt;&gt;"Định kỳ"),0,IFERROR(INDEX(DM_TanSuatNgay,MATCH($H177,DM_TanSuat,0)),0))</f>
      </c>
      <c r="AK177" s="225">
        <f>IF(OR($A177="",$B177&lt;&gt;"Định kỳ"),0,IFERROR(INDEX(DM_TanSuatThang,MATCH($H177,DM_TanSuat,0)),0))</f>
      </c>
      <c r="AL177" s="225">
        <f>IF(OR($A177="",$B177&lt;&gt;"Định kỳ",N($X177)=0,N($I177)=0),"",IF(INT($X177)&lt;$I177,0,IF($AJ177&gt;0,ROUND((INT($X177)-$I177)/$AJ177,0),IF($AK177&gt;0,ROUND((DATEDIF($I177,INT($X177),"m")+(INT($X177)-EDATE($I177,DATEDIF($I177,INT($X177),"m")))/(EDATE($I177,DATEDIF($I177,INT($X177),"m")+1)-EDATE($I177,DATEDIF($I177,INT($X177),"m"))))/$AK177,0),0))))</f>
      </c>
      <c r="AM177" s="225">
        <f>IF($A177="","",IF(COUNTIF('Nhật ký tiến độ'!$C$6:$C$3005,$A177)=0,0,_xlfn.MAXIFS('Nhật ký tiến độ'!$N$6:$N$3005,'Nhật ký tiến độ'!$C$6:$C$3005,$A177,'Nhật ký tiến độ'!$B$6:$B$3005,_xlfn.MAXIFS('Nhật ký tiến độ'!$B$6:$B$3005,'Nhật ký tiến độ'!$C$6:$C$3005,$A177))))</f>
      </c>
      <c r="AN177" s="225">
        <f>IF($A177="","",IF(N($AM177)=0,"",INDEX('Nhật ký tiến độ'!$E:$E,$AM177)))</f>
      </c>
      <c r="AO177" s="225">
        <f>IF($A177="",0,IF($AA177="Hoàn thành",0,1))</f>
      </c>
      <c r="AP177" s="225">
        <f>IF($AO177=0,0,INT(N($AW177)))</f>
      </c>
      <c r="AQ177" s="225">
        <f>IF(AND($AO177=1,$AJ177&gt;1),$AJ177,0)</f>
      </c>
      <c r="AR177" s="225">
        <f>IF(AND($AO177=1,$AJ177=1),1,0)</f>
      </c>
      <c r="AS177" s="225">
        <f>IF(OR($AO177=0,AND($AR177=1,N($BB177)=0)),"",IF(N($BB177)&gt;0,5-$BB177,IF($AD177="Chậm tiến độ",6,IF($AD177="Đến hạn hôm nay",7,IF(AND($AP177&gt;0,$AP177-NgayBC&lt;=7),8,"")))))</f>
      </c>
      <c r="AT177" s="225">
        <f>IF($AS177="","",$AS177*100000+$AP177+ROW()/100000)</f>
      </c>
      <c r="AU177" s="224">
        <f>IF(OR($A177="",N($R177)&lt;=0),"",IF($S177="Ngày",$R177*24,$R177))</f>
      </c>
      <c r="AV177" s="224">
        <f>IF($A177="","",IF($B177="Đột xuất",IF(OR($AA177&lt;&gt;"Hoàn thành",N($X177)=0,N($J177)=0),"",IF($X177&lt;$J177,"",($X177-$J177)*24)),IFERROR(AVERAGEIFS('Nhật ký tiến độ'!$H$6:$H$3005,'Nhật ký tiến độ'!$C$6:$C$3005,$A177,'Nhật ký tiến độ'!$H$6:$H$3005,"&gt;0"),"")))</f>
      </c>
      <c r="AW177" s="233">
        <f>IF($A177="",0,IF($B177="Đột xuất",$AY177,IF($AX177=0,0,$AX177+1-1/1440)))</f>
      </c>
      <c r="AX177" s="234">
        <f>IF(OR($A177="",$B177&lt;&gt;"Định kỳ",N($I177)=0),0,IF($AL177="",$I177,IF($AJ177&gt;0,$I177+($AL177+1)*$AJ177,IF($AK177&gt;0,EDATE($I177,($AL177+1)*$AK177),$I177))))</f>
      </c>
      <c r="AY177" s="233">
        <f>IF(OR($A177="",$B177&lt;&gt;"Đột xuất"),0,IF(N($K177)&gt;0,IF(MOD($K177,1)=0,$K177+1-1/1440,$K177),IF(N($J177)=0,0,$J177+IF(N($AU177)&gt;0,$AU177,IFERROR(INDEX(DM_SLA_Gio,MATCH($L177,DM_SLA_Cap,0)),168))/24)))</f>
      </c>
      <c r="AZ177" s="225">
        <f>IF(OR($A177="",TRIM($N177)="",COUNTIF('Phản ánh'!$K$6:$K$505,$N177)&gt;0,COUNTIF($N$6:$N177,$N177)&gt;1),0,1)</f>
      </c>
      <c r="BA177" s="225">
        <f>IF($AZ177=1,SUM($AZ$6:$AZ177),"")</f>
      </c>
      <c r="BB177" s="225">
        <f>IF(OR($AO177=0,N($AW177)=0),0,IF(TDBC&lt;=$AW177,0,MAX(1,MIN(4,IF((TDBC-$AW177)*24&lt;24,1,IF((TDBC-$AW177)*24&lt;72,2,IF((TDBC-$AW177)*24&lt;168,3,4)))+IF($B177="Đột xuất",IFERROR(INDEX({2,1,0,-1},MATCH($L177,{"Khẩn cấp","Cao","Trung bình","Thấp"},0)),0),IF($D177="PCCC và an ninh",1,0))))))</f>
      </c>
    </row>
    <row r="178">
      <c r="A178" s="216"/>
      <c r="B178" s="216"/>
      <c r="C178" s="218"/>
      <c r="D178" s="218"/>
      <c r="E178" s="218"/>
      <c r="F178" s="216"/>
      <c r="G178" s="218"/>
      <c r="H178" s="218"/>
      <c r="I178" s="231"/>
      <c r="J178" s="217"/>
      <c r="K178" s="217"/>
      <c r="L178" s="216"/>
      <c r="M178" s="216"/>
      <c r="N178" s="218"/>
      <c r="O178" s="218"/>
      <c r="P178" s="218"/>
      <c r="Q178" s="218"/>
      <c r="R178" s="219"/>
      <c r="S178" s="216"/>
      <c r="T178" s="232"/>
      <c r="U178" s="232"/>
      <c r="V178" s="218"/>
      <c r="W178" s="218"/>
      <c r="X178" s="220">
        <f>IF($A178="","",IF(OR($B178="Định kỳ",$AA178="Hoàn thành"),MAX(_xlfn.MAXIFS('Nhật ký tiến độ'!$B$6:$B$3005,'Nhật ký tiến độ'!$C$6:$C$3005,$A178,'Nhật ký tiến độ'!$E$6:$E$3005,"Hoàn thành kỳ"),_xlfn.MAXIFS('Nhật ký tiến độ'!$B$6:$B$3005,'Nhật ký tiến độ'!$C$6:$C$3005,$A178,'Nhật ký tiến độ'!$E$6:$E$3005,"Hoàn thành")),0))</f>
      </c>
      <c r="Y178" s="220">
        <f>IF($A178="","",IF($B178="Đột xuất",IF($AY178=0,"",$AY178),IF($AX178=0,"",$AX178)))</f>
      </c>
      <c r="Z178" s="223">
        <f>IF(OR($AO178=0,$AW178=0),"",IF(TDBC&gt;$AW178,"Quá "&amp;IF($B178="Định kỳ",(NgayBC-$AP178)&amp;" ngày",IF(((TDBC-$AW178)*24)&lt;1,MAX(1,ROUND(((TDBC-$AW178)*24)*60,0))&amp;" phút",IF(ROUND(((TDBC-$AW178)*24),0)&lt;24,ROUND(((TDBC-$AW178)*24),0)&amp;" giờ",INT(ROUND(((TDBC-$AW178)*24),0)/24)&amp;" ngày"&amp;IF(MOD(ROUND(((TDBC-$AW178)*24),0),24)&gt;0," "&amp;MOD(ROUND(((TDBC-$AW178)*24),0),24)&amp;" giờ","")))),IF($B178="Định kỳ",IF($AP178=NgayBC,"Hôm nay","Còn "&amp;($AP178-NgayBC)&amp;" ngày"),"Còn "&amp;IF((($AW178-TDBC)*24)&lt;1,MAX(1,ROUND((($AW178-TDBC)*24)*60,0))&amp;" phút",IF(ROUND((($AW178-TDBC)*24),0)&lt;24,ROUND((($AW178-TDBC)*24),0)&amp;" giờ",INT(ROUND((($AW178-TDBC)*24),0)/24)&amp;" ngày"&amp;IF(MOD(ROUND((($AW178-TDBC)*24),0),24)&gt;0," "&amp;MOD(ROUND((($AW178-TDBC)*24),0),24)&amp;" giờ",""))))))</f>
      </c>
      <c r="AA178" s="221">
        <f>IF($A178="","",IF(N($AM178)=0,"Chưa bắt đầu",IF(OR($AN178="Hoàn thành kỳ",$AN178="Hoàn thành"),IF($B178="Định kỳ","Chưa bắt đầu","Hoàn thành"),$AN178)))</f>
      </c>
      <c r="AB178" s="222">
        <f>IF($A178="","",IF($AA178="Hoàn thành",1,IF(OR(N($AM178)=0,$AN178="Hoàn thành kỳ",$AN178="Hoàn thành"),0,N(INDEX('Nhật ký tiến độ'!$D:$D,$AM178)))))</f>
      </c>
      <c r="AC178" s="222">
        <f>IF(OR($A178="",$B178&lt;&gt;"Đột xuất",$AA178="Hoàn thành",N($J178)=0,$AW178=0),"",IF(TDBC&lt;=$J178,0,IF(TDBC&gt;=$AW178,1,(TDBC-$J178)/($AW178-$J178))))</f>
      </c>
      <c r="AD178" s="223">
        <f>IF($A178="","",IF($AA178="Hoàn thành","Hoàn thành",IF($AW178=0,"Chưa đặt hạn",IF(TDBC&gt;$AW178,"Quá hạn",IF(AND($B178="Đột xuất",ROUND((N($AC178)-$AB178)*100,0)&gt;=20),"Chậm tiến độ",IF($AP178=NgayBC,"Đến hạn hôm nay",IF($B178="Đột xuất",IF($AW178-TDBC&lt;=1,"Sắp đến hạn","Đúng tiến độ"),IF($AP178-NgayBC&lt;=3,"Sắp đến hạn","Theo lịch"))))))))</f>
      </c>
      <c r="AE178" s="223">
        <f>IF($AV178="","",IF($B178="Định kỳ","Bình quân "&amp;IF($AV178&lt;1,MAX(1,ROUND($AV178*60,0))&amp;" phút",IF(ROUND($AV178,0)&lt;24,ROUND($AV178,0)&amp;" giờ",INT(ROUND($AV178,0)/24)&amp;" ngày"&amp;IF(MOD(ROUND($AV178,0),24)&gt;0," "&amp;MOD(ROUND($AV178,0),24)&amp;" giờ","")))&amp;" mỗi kỳ",IF($AV178&lt;1,MAX(1,ROUND($AV178*60,0))&amp;" phút",IF(ROUND($AV178,0)&lt;24,ROUND($AV178,0)&amp;" giờ",INT(ROUND($AV178,0)/24)&amp;" ngày"&amp;IF(MOD(ROUND($AV178,0),24)&gt;0," "&amp;MOD(ROUND($AV178,0),24)&amp;" giờ","")))))</f>
      </c>
      <c r="AF178" s="223">
        <f>IF(OR($A178="",N($AU178)=0),"",IF($AV178&lt;&gt;"",IF($AV178&lt;=$AU178,"Trong ước tính","Vượt "&amp;IF(($AV178-$AU178)&lt;1,MAX(1,ROUND(($AV178-$AU178)*60,0))&amp;" phút",IF(ROUND(($AV178-$AU178),0)&lt;24,ROUND(($AV178-$AU178),0)&amp;" giờ",INT(ROUND(($AV178-$AU178),0)/24)&amp;" ngày"&amp;IF(MOD(ROUND(($AV178-$AU178),0),24)&gt;0," "&amp;MOD(ROUND(($AV178-$AU178),0),24)&amp;" giờ","")))),IF(OR($B178&lt;&gt;"Đột xuất",$AA178="Hoàn thành",N($J178)=0),"",IF((TDBC-$J178)*24&gt;$AU178,"Đã vượt ước tính","Đã dùng "&amp;TEXT((TDBC-$J178)*24/$AU178,"0%")))))</f>
      </c>
      <c r="AG178" s="223">
        <f>IF(N($BB178)=0,"",CHOOSE($BB178,"Nhắc nhở","Cảnh báo","Báo động","Báo động đỏ"))</f>
      </c>
      <c r="AH178" s="223">
        <f>IF(OR($B178&lt;&gt;"Đột xuất",$AA178&lt;&gt;"Hoàn thành",N($X178)=0,$AW178=0),"",IF($X178&lt;=$AW178,"Đúng hạn","Trễ hạn"))</f>
      </c>
      <c r="AI178" s="220">
        <f>IF($A178="","",_xlfn.MAXIFS('Nhật ký tiến độ'!$B$6:$B$3005,'Nhật ký tiến độ'!$C$6:$C$3005,$A178))</f>
      </c>
      <c r="AJ178" s="225">
        <f>IF(OR($A178="",$B178&lt;&gt;"Định kỳ"),0,IFERROR(INDEX(DM_TanSuatNgay,MATCH($H178,DM_TanSuat,0)),0))</f>
      </c>
      <c r="AK178" s="225">
        <f>IF(OR($A178="",$B178&lt;&gt;"Định kỳ"),0,IFERROR(INDEX(DM_TanSuatThang,MATCH($H178,DM_TanSuat,0)),0))</f>
      </c>
      <c r="AL178" s="225">
        <f>IF(OR($A178="",$B178&lt;&gt;"Định kỳ",N($X178)=0,N($I178)=0),"",IF(INT($X178)&lt;$I178,0,IF($AJ178&gt;0,ROUND((INT($X178)-$I178)/$AJ178,0),IF($AK178&gt;0,ROUND((DATEDIF($I178,INT($X178),"m")+(INT($X178)-EDATE($I178,DATEDIF($I178,INT($X178),"m")))/(EDATE($I178,DATEDIF($I178,INT($X178),"m")+1)-EDATE($I178,DATEDIF($I178,INT($X178),"m"))))/$AK178,0),0))))</f>
      </c>
      <c r="AM178" s="225">
        <f>IF($A178="","",IF(COUNTIF('Nhật ký tiến độ'!$C$6:$C$3005,$A178)=0,0,_xlfn.MAXIFS('Nhật ký tiến độ'!$N$6:$N$3005,'Nhật ký tiến độ'!$C$6:$C$3005,$A178,'Nhật ký tiến độ'!$B$6:$B$3005,_xlfn.MAXIFS('Nhật ký tiến độ'!$B$6:$B$3005,'Nhật ký tiến độ'!$C$6:$C$3005,$A178))))</f>
      </c>
      <c r="AN178" s="225">
        <f>IF($A178="","",IF(N($AM178)=0,"",INDEX('Nhật ký tiến độ'!$E:$E,$AM178)))</f>
      </c>
      <c r="AO178" s="225">
        <f>IF($A178="",0,IF($AA178="Hoàn thành",0,1))</f>
      </c>
      <c r="AP178" s="225">
        <f>IF($AO178=0,0,INT(N($AW178)))</f>
      </c>
      <c r="AQ178" s="225">
        <f>IF(AND($AO178=1,$AJ178&gt;1),$AJ178,0)</f>
      </c>
      <c r="AR178" s="225">
        <f>IF(AND($AO178=1,$AJ178=1),1,0)</f>
      </c>
      <c r="AS178" s="225">
        <f>IF(OR($AO178=0,AND($AR178=1,N($BB178)=0)),"",IF(N($BB178)&gt;0,5-$BB178,IF($AD178="Chậm tiến độ",6,IF($AD178="Đến hạn hôm nay",7,IF(AND($AP178&gt;0,$AP178-NgayBC&lt;=7),8,"")))))</f>
      </c>
      <c r="AT178" s="225">
        <f>IF($AS178="","",$AS178*100000+$AP178+ROW()/100000)</f>
      </c>
      <c r="AU178" s="224">
        <f>IF(OR($A178="",N($R178)&lt;=0),"",IF($S178="Ngày",$R178*24,$R178))</f>
      </c>
      <c r="AV178" s="224">
        <f>IF($A178="","",IF($B178="Đột xuất",IF(OR($AA178&lt;&gt;"Hoàn thành",N($X178)=0,N($J178)=0),"",IF($X178&lt;$J178,"",($X178-$J178)*24)),IFERROR(AVERAGEIFS('Nhật ký tiến độ'!$H$6:$H$3005,'Nhật ký tiến độ'!$C$6:$C$3005,$A178,'Nhật ký tiến độ'!$H$6:$H$3005,"&gt;0"),"")))</f>
      </c>
      <c r="AW178" s="233">
        <f>IF($A178="",0,IF($B178="Đột xuất",$AY178,IF($AX178=0,0,$AX178+1-1/1440)))</f>
      </c>
      <c r="AX178" s="234">
        <f>IF(OR($A178="",$B178&lt;&gt;"Định kỳ",N($I178)=0),0,IF($AL178="",$I178,IF($AJ178&gt;0,$I178+($AL178+1)*$AJ178,IF($AK178&gt;0,EDATE($I178,($AL178+1)*$AK178),$I178))))</f>
      </c>
      <c r="AY178" s="233">
        <f>IF(OR($A178="",$B178&lt;&gt;"Đột xuất"),0,IF(N($K178)&gt;0,IF(MOD($K178,1)=0,$K178+1-1/1440,$K178),IF(N($J178)=0,0,$J178+IF(N($AU178)&gt;0,$AU178,IFERROR(INDEX(DM_SLA_Gio,MATCH($L178,DM_SLA_Cap,0)),168))/24)))</f>
      </c>
      <c r="AZ178" s="225">
        <f>IF(OR($A178="",TRIM($N178)="",COUNTIF('Phản ánh'!$K$6:$K$505,$N178)&gt;0,COUNTIF($N$6:$N178,$N178)&gt;1),0,1)</f>
      </c>
      <c r="BA178" s="225">
        <f>IF($AZ178=1,SUM($AZ$6:$AZ178),"")</f>
      </c>
      <c r="BB178" s="225">
        <f>IF(OR($AO178=0,N($AW178)=0),0,IF(TDBC&lt;=$AW178,0,MAX(1,MIN(4,IF((TDBC-$AW178)*24&lt;24,1,IF((TDBC-$AW178)*24&lt;72,2,IF((TDBC-$AW178)*24&lt;168,3,4)))+IF($B178="Đột xuất",IFERROR(INDEX({2,1,0,-1},MATCH($L178,{"Khẩn cấp","Cao","Trung bình","Thấp"},0)),0),IF($D178="PCCC và an ninh",1,0))))))</f>
      </c>
    </row>
    <row r="179">
      <c r="A179" s="216"/>
      <c r="B179" s="216"/>
      <c r="C179" s="218"/>
      <c r="D179" s="218"/>
      <c r="E179" s="218"/>
      <c r="F179" s="216"/>
      <c r="G179" s="218"/>
      <c r="H179" s="218"/>
      <c r="I179" s="231"/>
      <c r="J179" s="217"/>
      <c r="K179" s="217"/>
      <c r="L179" s="216"/>
      <c r="M179" s="216"/>
      <c r="N179" s="218"/>
      <c r="O179" s="218"/>
      <c r="P179" s="218"/>
      <c r="Q179" s="218"/>
      <c r="R179" s="219"/>
      <c r="S179" s="216"/>
      <c r="T179" s="232"/>
      <c r="U179" s="232"/>
      <c r="V179" s="218"/>
      <c r="W179" s="218"/>
      <c r="X179" s="220">
        <f>IF($A179="","",IF(OR($B179="Định kỳ",$AA179="Hoàn thành"),MAX(_xlfn.MAXIFS('Nhật ký tiến độ'!$B$6:$B$3005,'Nhật ký tiến độ'!$C$6:$C$3005,$A179,'Nhật ký tiến độ'!$E$6:$E$3005,"Hoàn thành kỳ"),_xlfn.MAXIFS('Nhật ký tiến độ'!$B$6:$B$3005,'Nhật ký tiến độ'!$C$6:$C$3005,$A179,'Nhật ký tiến độ'!$E$6:$E$3005,"Hoàn thành")),0))</f>
      </c>
      <c r="Y179" s="220">
        <f>IF($A179="","",IF($B179="Đột xuất",IF($AY179=0,"",$AY179),IF($AX179=0,"",$AX179)))</f>
      </c>
      <c r="Z179" s="223">
        <f>IF(OR($AO179=0,$AW179=0),"",IF(TDBC&gt;$AW179,"Quá "&amp;IF($B179="Định kỳ",(NgayBC-$AP179)&amp;" ngày",IF(((TDBC-$AW179)*24)&lt;1,MAX(1,ROUND(((TDBC-$AW179)*24)*60,0))&amp;" phút",IF(ROUND(((TDBC-$AW179)*24),0)&lt;24,ROUND(((TDBC-$AW179)*24),0)&amp;" giờ",INT(ROUND(((TDBC-$AW179)*24),0)/24)&amp;" ngày"&amp;IF(MOD(ROUND(((TDBC-$AW179)*24),0),24)&gt;0," "&amp;MOD(ROUND(((TDBC-$AW179)*24),0),24)&amp;" giờ","")))),IF($B179="Định kỳ",IF($AP179=NgayBC,"Hôm nay","Còn "&amp;($AP179-NgayBC)&amp;" ngày"),"Còn "&amp;IF((($AW179-TDBC)*24)&lt;1,MAX(1,ROUND((($AW179-TDBC)*24)*60,0))&amp;" phút",IF(ROUND((($AW179-TDBC)*24),0)&lt;24,ROUND((($AW179-TDBC)*24),0)&amp;" giờ",INT(ROUND((($AW179-TDBC)*24),0)/24)&amp;" ngày"&amp;IF(MOD(ROUND((($AW179-TDBC)*24),0),24)&gt;0," "&amp;MOD(ROUND((($AW179-TDBC)*24),0),24)&amp;" giờ",""))))))</f>
      </c>
      <c r="AA179" s="221">
        <f>IF($A179="","",IF(N($AM179)=0,"Chưa bắt đầu",IF(OR($AN179="Hoàn thành kỳ",$AN179="Hoàn thành"),IF($B179="Định kỳ","Chưa bắt đầu","Hoàn thành"),$AN179)))</f>
      </c>
      <c r="AB179" s="222">
        <f>IF($A179="","",IF($AA179="Hoàn thành",1,IF(OR(N($AM179)=0,$AN179="Hoàn thành kỳ",$AN179="Hoàn thành"),0,N(INDEX('Nhật ký tiến độ'!$D:$D,$AM179)))))</f>
      </c>
      <c r="AC179" s="222">
        <f>IF(OR($A179="",$B179&lt;&gt;"Đột xuất",$AA179="Hoàn thành",N($J179)=0,$AW179=0),"",IF(TDBC&lt;=$J179,0,IF(TDBC&gt;=$AW179,1,(TDBC-$J179)/($AW179-$J179))))</f>
      </c>
      <c r="AD179" s="223">
        <f>IF($A179="","",IF($AA179="Hoàn thành","Hoàn thành",IF($AW179=0,"Chưa đặt hạn",IF(TDBC&gt;$AW179,"Quá hạn",IF(AND($B179="Đột xuất",ROUND((N($AC179)-$AB179)*100,0)&gt;=20),"Chậm tiến độ",IF($AP179=NgayBC,"Đến hạn hôm nay",IF($B179="Đột xuất",IF($AW179-TDBC&lt;=1,"Sắp đến hạn","Đúng tiến độ"),IF($AP179-NgayBC&lt;=3,"Sắp đến hạn","Theo lịch"))))))))</f>
      </c>
      <c r="AE179" s="223">
        <f>IF($AV179="","",IF($B179="Định kỳ","Bình quân "&amp;IF($AV179&lt;1,MAX(1,ROUND($AV179*60,0))&amp;" phút",IF(ROUND($AV179,0)&lt;24,ROUND($AV179,0)&amp;" giờ",INT(ROUND($AV179,0)/24)&amp;" ngày"&amp;IF(MOD(ROUND($AV179,0),24)&gt;0," "&amp;MOD(ROUND($AV179,0),24)&amp;" giờ","")))&amp;" mỗi kỳ",IF($AV179&lt;1,MAX(1,ROUND($AV179*60,0))&amp;" phút",IF(ROUND($AV179,0)&lt;24,ROUND($AV179,0)&amp;" giờ",INT(ROUND($AV179,0)/24)&amp;" ngày"&amp;IF(MOD(ROUND($AV179,0),24)&gt;0," "&amp;MOD(ROUND($AV179,0),24)&amp;" giờ","")))))</f>
      </c>
      <c r="AF179" s="223">
        <f>IF(OR($A179="",N($AU179)=0),"",IF($AV179&lt;&gt;"",IF($AV179&lt;=$AU179,"Trong ước tính","Vượt "&amp;IF(($AV179-$AU179)&lt;1,MAX(1,ROUND(($AV179-$AU179)*60,0))&amp;" phút",IF(ROUND(($AV179-$AU179),0)&lt;24,ROUND(($AV179-$AU179),0)&amp;" giờ",INT(ROUND(($AV179-$AU179),0)/24)&amp;" ngày"&amp;IF(MOD(ROUND(($AV179-$AU179),0),24)&gt;0," "&amp;MOD(ROUND(($AV179-$AU179),0),24)&amp;" giờ","")))),IF(OR($B179&lt;&gt;"Đột xuất",$AA179="Hoàn thành",N($J179)=0),"",IF((TDBC-$J179)*24&gt;$AU179,"Đã vượt ước tính","Đã dùng "&amp;TEXT((TDBC-$J179)*24/$AU179,"0%")))))</f>
      </c>
      <c r="AG179" s="223">
        <f>IF(N($BB179)=0,"",CHOOSE($BB179,"Nhắc nhở","Cảnh báo","Báo động","Báo động đỏ"))</f>
      </c>
      <c r="AH179" s="223">
        <f>IF(OR($B179&lt;&gt;"Đột xuất",$AA179&lt;&gt;"Hoàn thành",N($X179)=0,$AW179=0),"",IF($X179&lt;=$AW179,"Đúng hạn","Trễ hạn"))</f>
      </c>
      <c r="AI179" s="220">
        <f>IF($A179="","",_xlfn.MAXIFS('Nhật ký tiến độ'!$B$6:$B$3005,'Nhật ký tiến độ'!$C$6:$C$3005,$A179))</f>
      </c>
      <c r="AJ179" s="225">
        <f>IF(OR($A179="",$B179&lt;&gt;"Định kỳ"),0,IFERROR(INDEX(DM_TanSuatNgay,MATCH($H179,DM_TanSuat,0)),0))</f>
      </c>
      <c r="AK179" s="225">
        <f>IF(OR($A179="",$B179&lt;&gt;"Định kỳ"),0,IFERROR(INDEX(DM_TanSuatThang,MATCH($H179,DM_TanSuat,0)),0))</f>
      </c>
      <c r="AL179" s="225">
        <f>IF(OR($A179="",$B179&lt;&gt;"Định kỳ",N($X179)=0,N($I179)=0),"",IF(INT($X179)&lt;$I179,0,IF($AJ179&gt;0,ROUND((INT($X179)-$I179)/$AJ179,0),IF($AK179&gt;0,ROUND((DATEDIF($I179,INT($X179),"m")+(INT($X179)-EDATE($I179,DATEDIF($I179,INT($X179),"m")))/(EDATE($I179,DATEDIF($I179,INT($X179),"m")+1)-EDATE($I179,DATEDIF($I179,INT($X179),"m"))))/$AK179,0),0))))</f>
      </c>
      <c r="AM179" s="225">
        <f>IF($A179="","",IF(COUNTIF('Nhật ký tiến độ'!$C$6:$C$3005,$A179)=0,0,_xlfn.MAXIFS('Nhật ký tiến độ'!$N$6:$N$3005,'Nhật ký tiến độ'!$C$6:$C$3005,$A179,'Nhật ký tiến độ'!$B$6:$B$3005,_xlfn.MAXIFS('Nhật ký tiến độ'!$B$6:$B$3005,'Nhật ký tiến độ'!$C$6:$C$3005,$A179))))</f>
      </c>
      <c r="AN179" s="225">
        <f>IF($A179="","",IF(N($AM179)=0,"",INDEX('Nhật ký tiến độ'!$E:$E,$AM179)))</f>
      </c>
      <c r="AO179" s="225">
        <f>IF($A179="",0,IF($AA179="Hoàn thành",0,1))</f>
      </c>
      <c r="AP179" s="225">
        <f>IF($AO179=0,0,INT(N($AW179)))</f>
      </c>
      <c r="AQ179" s="225">
        <f>IF(AND($AO179=1,$AJ179&gt;1),$AJ179,0)</f>
      </c>
      <c r="AR179" s="225">
        <f>IF(AND($AO179=1,$AJ179=1),1,0)</f>
      </c>
      <c r="AS179" s="225">
        <f>IF(OR($AO179=0,AND($AR179=1,N($BB179)=0)),"",IF(N($BB179)&gt;0,5-$BB179,IF($AD179="Chậm tiến độ",6,IF($AD179="Đến hạn hôm nay",7,IF(AND($AP179&gt;0,$AP179-NgayBC&lt;=7),8,"")))))</f>
      </c>
      <c r="AT179" s="225">
        <f>IF($AS179="","",$AS179*100000+$AP179+ROW()/100000)</f>
      </c>
      <c r="AU179" s="224">
        <f>IF(OR($A179="",N($R179)&lt;=0),"",IF($S179="Ngày",$R179*24,$R179))</f>
      </c>
      <c r="AV179" s="224">
        <f>IF($A179="","",IF($B179="Đột xuất",IF(OR($AA179&lt;&gt;"Hoàn thành",N($X179)=0,N($J179)=0),"",IF($X179&lt;$J179,"",($X179-$J179)*24)),IFERROR(AVERAGEIFS('Nhật ký tiến độ'!$H$6:$H$3005,'Nhật ký tiến độ'!$C$6:$C$3005,$A179,'Nhật ký tiến độ'!$H$6:$H$3005,"&gt;0"),"")))</f>
      </c>
      <c r="AW179" s="233">
        <f>IF($A179="",0,IF($B179="Đột xuất",$AY179,IF($AX179=0,0,$AX179+1-1/1440)))</f>
      </c>
      <c r="AX179" s="234">
        <f>IF(OR($A179="",$B179&lt;&gt;"Định kỳ",N($I179)=0),0,IF($AL179="",$I179,IF($AJ179&gt;0,$I179+($AL179+1)*$AJ179,IF($AK179&gt;0,EDATE($I179,($AL179+1)*$AK179),$I179))))</f>
      </c>
      <c r="AY179" s="233">
        <f>IF(OR($A179="",$B179&lt;&gt;"Đột xuất"),0,IF(N($K179)&gt;0,IF(MOD($K179,1)=0,$K179+1-1/1440,$K179),IF(N($J179)=0,0,$J179+IF(N($AU179)&gt;0,$AU179,IFERROR(INDEX(DM_SLA_Gio,MATCH($L179,DM_SLA_Cap,0)),168))/24)))</f>
      </c>
      <c r="AZ179" s="225">
        <f>IF(OR($A179="",TRIM($N179)="",COUNTIF('Phản ánh'!$K$6:$K$505,$N179)&gt;0,COUNTIF($N$6:$N179,$N179)&gt;1),0,1)</f>
      </c>
      <c r="BA179" s="225">
        <f>IF($AZ179=1,SUM($AZ$6:$AZ179),"")</f>
      </c>
      <c r="BB179" s="225">
        <f>IF(OR($AO179=0,N($AW179)=0),0,IF(TDBC&lt;=$AW179,0,MAX(1,MIN(4,IF((TDBC-$AW179)*24&lt;24,1,IF((TDBC-$AW179)*24&lt;72,2,IF((TDBC-$AW179)*24&lt;168,3,4)))+IF($B179="Đột xuất",IFERROR(INDEX({2,1,0,-1},MATCH($L179,{"Khẩn cấp","Cao","Trung bình","Thấp"},0)),0),IF($D179="PCCC và an ninh",1,0))))))</f>
      </c>
    </row>
    <row r="180">
      <c r="A180" s="216"/>
      <c r="B180" s="216"/>
      <c r="C180" s="218"/>
      <c r="D180" s="218"/>
      <c r="E180" s="218"/>
      <c r="F180" s="216"/>
      <c r="G180" s="218"/>
      <c r="H180" s="218"/>
      <c r="I180" s="231"/>
      <c r="J180" s="217"/>
      <c r="K180" s="217"/>
      <c r="L180" s="216"/>
      <c r="M180" s="216"/>
      <c r="N180" s="218"/>
      <c r="O180" s="218"/>
      <c r="P180" s="218"/>
      <c r="Q180" s="218"/>
      <c r="R180" s="219"/>
      <c r="S180" s="216"/>
      <c r="T180" s="232"/>
      <c r="U180" s="232"/>
      <c r="V180" s="218"/>
      <c r="W180" s="218"/>
      <c r="X180" s="220">
        <f>IF($A180="","",IF(OR($B180="Định kỳ",$AA180="Hoàn thành"),MAX(_xlfn.MAXIFS('Nhật ký tiến độ'!$B$6:$B$3005,'Nhật ký tiến độ'!$C$6:$C$3005,$A180,'Nhật ký tiến độ'!$E$6:$E$3005,"Hoàn thành kỳ"),_xlfn.MAXIFS('Nhật ký tiến độ'!$B$6:$B$3005,'Nhật ký tiến độ'!$C$6:$C$3005,$A180,'Nhật ký tiến độ'!$E$6:$E$3005,"Hoàn thành")),0))</f>
      </c>
      <c r="Y180" s="220">
        <f>IF($A180="","",IF($B180="Đột xuất",IF($AY180=0,"",$AY180),IF($AX180=0,"",$AX180)))</f>
      </c>
      <c r="Z180" s="223">
        <f>IF(OR($AO180=0,$AW180=0),"",IF(TDBC&gt;$AW180,"Quá "&amp;IF($B180="Định kỳ",(NgayBC-$AP180)&amp;" ngày",IF(((TDBC-$AW180)*24)&lt;1,MAX(1,ROUND(((TDBC-$AW180)*24)*60,0))&amp;" phút",IF(ROUND(((TDBC-$AW180)*24),0)&lt;24,ROUND(((TDBC-$AW180)*24),0)&amp;" giờ",INT(ROUND(((TDBC-$AW180)*24),0)/24)&amp;" ngày"&amp;IF(MOD(ROUND(((TDBC-$AW180)*24),0),24)&gt;0," "&amp;MOD(ROUND(((TDBC-$AW180)*24),0),24)&amp;" giờ","")))),IF($B180="Định kỳ",IF($AP180=NgayBC,"Hôm nay","Còn "&amp;($AP180-NgayBC)&amp;" ngày"),"Còn "&amp;IF((($AW180-TDBC)*24)&lt;1,MAX(1,ROUND((($AW180-TDBC)*24)*60,0))&amp;" phút",IF(ROUND((($AW180-TDBC)*24),0)&lt;24,ROUND((($AW180-TDBC)*24),0)&amp;" giờ",INT(ROUND((($AW180-TDBC)*24),0)/24)&amp;" ngày"&amp;IF(MOD(ROUND((($AW180-TDBC)*24),0),24)&gt;0," "&amp;MOD(ROUND((($AW180-TDBC)*24),0),24)&amp;" giờ",""))))))</f>
      </c>
      <c r="AA180" s="221">
        <f>IF($A180="","",IF(N($AM180)=0,"Chưa bắt đầu",IF(OR($AN180="Hoàn thành kỳ",$AN180="Hoàn thành"),IF($B180="Định kỳ","Chưa bắt đầu","Hoàn thành"),$AN180)))</f>
      </c>
      <c r="AB180" s="222">
        <f>IF($A180="","",IF($AA180="Hoàn thành",1,IF(OR(N($AM180)=0,$AN180="Hoàn thành kỳ",$AN180="Hoàn thành"),0,N(INDEX('Nhật ký tiến độ'!$D:$D,$AM180)))))</f>
      </c>
      <c r="AC180" s="222">
        <f>IF(OR($A180="",$B180&lt;&gt;"Đột xuất",$AA180="Hoàn thành",N($J180)=0,$AW180=0),"",IF(TDBC&lt;=$J180,0,IF(TDBC&gt;=$AW180,1,(TDBC-$J180)/($AW180-$J180))))</f>
      </c>
      <c r="AD180" s="223">
        <f>IF($A180="","",IF($AA180="Hoàn thành","Hoàn thành",IF($AW180=0,"Chưa đặt hạn",IF(TDBC&gt;$AW180,"Quá hạn",IF(AND($B180="Đột xuất",ROUND((N($AC180)-$AB180)*100,0)&gt;=20),"Chậm tiến độ",IF($AP180=NgayBC,"Đến hạn hôm nay",IF($B180="Đột xuất",IF($AW180-TDBC&lt;=1,"Sắp đến hạn","Đúng tiến độ"),IF($AP180-NgayBC&lt;=3,"Sắp đến hạn","Theo lịch"))))))))</f>
      </c>
      <c r="AE180" s="223">
        <f>IF($AV180="","",IF($B180="Định kỳ","Bình quân "&amp;IF($AV180&lt;1,MAX(1,ROUND($AV180*60,0))&amp;" phút",IF(ROUND($AV180,0)&lt;24,ROUND($AV180,0)&amp;" giờ",INT(ROUND($AV180,0)/24)&amp;" ngày"&amp;IF(MOD(ROUND($AV180,0),24)&gt;0," "&amp;MOD(ROUND($AV180,0),24)&amp;" giờ","")))&amp;" mỗi kỳ",IF($AV180&lt;1,MAX(1,ROUND($AV180*60,0))&amp;" phút",IF(ROUND($AV180,0)&lt;24,ROUND($AV180,0)&amp;" giờ",INT(ROUND($AV180,0)/24)&amp;" ngày"&amp;IF(MOD(ROUND($AV180,0),24)&gt;0," "&amp;MOD(ROUND($AV180,0),24)&amp;" giờ","")))))</f>
      </c>
      <c r="AF180" s="223">
        <f>IF(OR($A180="",N($AU180)=0),"",IF($AV180&lt;&gt;"",IF($AV180&lt;=$AU180,"Trong ước tính","Vượt "&amp;IF(($AV180-$AU180)&lt;1,MAX(1,ROUND(($AV180-$AU180)*60,0))&amp;" phút",IF(ROUND(($AV180-$AU180),0)&lt;24,ROUND(($AV180-$AU180),0)&amp;" giờ",INT(ROUND(($AV180-$AU180),0)/24)&amp;" ngày"&amp;IF(MOD(ROUND(($AV180-$AU180),0),24)&gt;0," "&amp;MOD(ROUND(($AV180-$AU180),0),24)&amp;" giờ","")))),IF(OR($B180&lt;&gt;"Đột xuất",$AA180="Hoàn thành",N($J180)=0),"",IF((TDBC-$J180)*24&gt;$AU180,"Đã vượt ước tính","Đã dùng "&amp;TEXT((TDBC-$J180)*24/$AU180,"0%")))))</f>
      </c>
      <c r="AG180" s="223">
        <f>IF(N($BB180)=0,"",CHOOSE($BB180,"Nhắc nhở","Cảnh báo","Báo động","Báo động đỏ"))</f>
      </c>
      <c r="AH180" s="223">
        <f>IF(OR($B180&lt;&gt;"Đột xuất",$AA180&lt;&gt;"Hoàn thành",N($X180)=0,$AW180=0),"",IF($X180&lt;=$AW180,"Đúng hạn","Trễ hạn"))</f>
      </c>
      <c r="AI180" s="220">
        <f>IF($A180="","",_xlfn.MAXIFS('Nhật ký tiến độ'!$B$6:$B$3005,'Nhật ký tiến độ'!$C$6:$C$3005,$A180))</f>
      </c>
      <c r="AJ180" s="225">
        <f>IF(OR($A180="",$B180&lt;&gt;"Định kỳ"),0,IFERROR(INDEX(DM_TanSuatNgay,MATCH($H180,DM_TanSuat,0)),0))</f>
      </c>
      <c r="AK180" s="225">
        <f>IF(OR($A180="",$B180&lt;&gt;"Định kỳ"),0,IFERROR(INDEX(DM_TanSuatThang,MATCH($H180,DM_TanSuat,0)),0))</f>
      </c>
      <c r="AL180" s="225">
        <f>IF(OR($A180="",$B180&lt;&gt;"Định kỳ",N($X180)=0,N($I180)=0),"",IF(INT($X180)&lt;$I180,0,IF($AJ180&gt;0,ROUND((INT($X180)-$I180)/$AJ180,0),IF($AK180&gt;0,ROUND((DATEDIF($I180,INT($X180),"m")+(INT($X180)-EDATE($I180,DATEDIF($I180,INT($X180),"m")))/(EDATE($I180,DATEDIF($I180,INT($X180),"m")+1)-EDATE($I180,DATEDIF($I180,INT($X180),"m"))))/$AK180,0),0))))</f>
      </c>
      <c r="AM180" s="225">
        <f>IF($A180="","",IF(COUNTIF('Nhật ký tiến độ'!$C$6:$C$3005,$A180)=0,0,_xlfn.MAXIFS('Nhật ký tiến độ'!$N$6:$N$3005,'Nhật ký tiến độ'!$C$6:$C$3005,$A180,'Nhật ký tiến độ'!$B$6:$B$3005,_xlfn.MAXIFS('Nhật ký tiến độ'!$B$6:$B$3005,'Nhật ký tiến độ'!$C$6:$C$3005,$A180))))</f>
      </c>
      <c r="AN180" s="225">
        <f>IF($A180="","",IF(N($AM180)=0,"",INDEX('Nhật ký tiến độ'!$E:$E,$AM180)))</f>
      </c>
      <c r="AO180" s="225">
        <f>IF($A180="",0,IF($AA180="Hoàn thành",0,1))</f>
      </c>
      <c r="AP180" s="225">
        <f>IF($AO180=0,0,INT(N($AW180)))</f>
      </c>
      <c r="AQ180" s="225">
        <f>IF(AND($AO180=1,$AJ180&gt;1),$AJ180,0)</f>
      </c>
      <c r="AR180" s="225">
        <f>IF(AND($AO180=1,$AJ180=1),1,0)</f>
      </c>
      <c r="AS180" s="225">
        <f>IF(OR($AO180=0,AND($AR180=1,N($BB180)=0)),"",IF(N($BB180)&gt;0,5-$BB180,IF($AD180="Chậm tiến độ",6,IF($AD180="Đến hạn hôm nay",7,IF(AND($AP180&gt;0,$AP180-NgayBC&lt;=7),8,"")))))</f>
      </c>
      <c r="AT180" s="225">
        <f>IF($AS180="","",$AS180*100000+$AP180+ROW()/100000)</f>
      </c>
      <c r="AU180" s="224">
        <f>IF(OR($A180="",N($R180)&lt;=0),"",IF($S180="Ngày",$R180*24,$R180))</f>
      </c>
      <c r="AV180" s="224">
        <f>IF($A180="","",IF($B180="Đột xuất",IF(OR($AA180&lt;&gt;"Hoàn thành",N($X180)=0,N($J180)=0),"",IF($X180&lt;$J180,"",($X180-$J180)*24)),IFERROR(AVERAGEIFS('Nhật ký tiến độ'!$H$6:$H$3005,'Nhật ký tiến độ'!$C$6:$C$3005,$A180,'Nhật ký tiến độ'!$H$6:$H$3005,"&gt;0"),"")))</f>
      </c>
      <c r="AW180" s="233">
        <f>IF($A180="",0,IF($B180="Đột xuất",$AY180,IF($AX180=0,0,$AX180+1-1/1440)))</f>
      </c>
      <c r="AX180" s="234">
        <f>IF(OR($A180="",$B180&lt;&gt;"Định kỳ",N($I180)=0),0,IF($AL180="",$I180,IF($AJ180&gt;0,$I180+($AL180+1)*$AJ180,IF($AK180&gt;0,EDATE($I180,($AL180+1)*$AK180),$I180))))</f>
      </c>
      <c r="AY180" s="233">
        <f>IF(OR($A180="",$B180&lt;&gt;"Đột xuất"),0,IF(N($K180)&gt;0,IF(MOD($K180,1)=0,$K180+1-1/1440,$K180),IF(N($J180)=0,0,$J180+IF(N($AU180)&gt;0,$AU180,IFERROR(INDEX(DM_SLA_Gio,MATCH($L180,DM_SLA_Cap,0)),168))/24)))</f>
      </c>
      <c r="AZ180" s="225">
        <f>IF(OR($A180="",TRIM($N180)="",COUNTIF('Phản ánh'!$K$6:$K$505,$N180)&gt;0,COUNTIF($N$6:$N180,$N180)&gt;1),0,1)</f>
      </c>
      <c r="BA180" s="225">
        <f>IF($AZ180=1,SUM($AZ$6:$AZ180),"")</f>
      </c>
      <c r="BB180" s="225">
        <f>IF(OR($AO180=0,N($AW180)=0),0,IF(TDBC&lt;=$AW180,0,MAX(1,MIN(4,IF((TDBC-$AW180)*24&lt;24,1,IF((TDBC-$AW180)*24&lt;72,2,IF((TDBC-$AW180)*24&lt;168,3,4)))+IF($B180="Đột xuất",IFERROR(INDEX({2,1,0,-1},MATCH($L180,{"Khẩn cấp","Cao","Trung bình","Thấp"},0)),0),IF($D180="PCCC và an ninh",1,0))))))</f>
      </c>
    </row>
    <row r="181">
      <c r="A181" s="216"/>
      <c r="B181" s="216"/>
      <c r="C181" s="218"/>
      <c r="D181" s="218"/>
      <c r="E181" s="218"/>
      <c r="F181" s="216"/>
      <c r="G181" s="218"/>
      <c r="H181" s="218"/>
      <c r="I181" s="231"/>
      <c r="J181" s="217"/>
      <c r="K181" s="217"/>
      <c r="L181" s="216"/>
      <c r="M181" s="216"/>
      <c r="N181" s="218"/>
      <c r="O181" s="218"/>
      <c r="P181" s="218"/>
      <c r="Q181" s="218"/>
      <c r="R181" s="219"/>
      <c r="S181" s="216"/>
      <c r="T181" s="232"/>
      <c r="U181" s="232"/>
      <c r="V181" s="218"/>
      <c r="W181" s="218"/>
      <c r="X181" s="220">
        <f>IF($A181="","",IF(OR($B181="Định kỳ",$AA181="Hoàn thành"),MAX(_xlfn.MAXIFS('Nhật ký tiến độ'!$B$6:$B$3005,'Nhật ký tiến độ'!$C$6:$C$3005,$A181,'Nhật ký tiến độ'!$E$6:$E$3005,"Hoàn thành kỳ"),_xlfn.MAXIFS('Nhật ký tiến độ'!$B$6:$B$3005,'Nhật ký tiến độ'!$C$6:$C$3005,$A181,'Nhật ký tiến độ'!$E$6:$E$3005,"Hoàn thành")),0))</f>
      </c>
      <c r="Y181" s="220">
        <f>IF($A181="","",IF($B181="Đột xuất",IF($AY181=0,"",$AY181),IF($AX181=0,"",$AX181)))</f>
      </c>
      <c r="Z181" s="223">
        <f>IF(OR($AO181=0,$AW181=0),"",IF(TDBC&gt;$AW181,"Quá "&amp;IF($B181="Định kỳ",(NgayBC-$AP181)&amp;" ngày",IF(((TDBC-$AW181)*24)&lt;1,MAX(1,ROUND(((TDBC-$AW181)*24)*60,0))&amp;" phút",IF(ROUND(((TDBC-$AW181)*24),0)&lt;24,ROUND(((TDBC-$AW181)*24),0)&amp;" giờ",INT(ROUND(((TDBC-$AW181)*24),0)/24)&amp;" ngày"&amp;IF(MOD(ROUND(((TDBC-$AW181)*24),0),24)&gt;0," "&amp;MOD(ROUND(((TDBC-$AW181)*24),0),24)&amp;" giờ","")))),IF($B181="Định kỳ",IF($AP181=NgayBC,"Hôm nay","Còn "&amp;($AP181-NgayBC)&amp;" ngày"),"Còn "&amp;IF((($AW181-TDBC)*24)&lt;1,MAX(1,ROUND((($AW181-TDBC)*24)*60,0))&amp;" phút",IF(ROUND((($AW181-TDBC)*24),0)&lt;24,ROUND((($AW181-TDBC)*24),0)&amp;" giờ",INT(ROUND((($AW181-TDBC)*24),0)/24)&amp;" ngày"&amp;IF(MOD(ROUND((($AW181-TDBC)*24),0),24)&gt;0," "&amp;MOD(ROUND((($AW181-TDBC)*24),0),24)&amp;" giờ",""))))))</f>
      </c>
      <c r="AA181" s="221">
        <f>IF($A181="","",IF(N($AM181)=0,"Chưa bắt đầu",IF(OR($AN181="Hoàn thành kỳ",$AN181="Hoàn thành"),IF($B181="Định kỳ","Chưa bắt đầu","Hoàn thành"),$AN181)))</f>
      </c>
      <c r="AB181" s="222">
        <f>IF($A181="","",IF($AA181="Hoàn thành",1,IF(OR(N($AM181)=0,$AN181="Hoàn thành kỳ",$AN181="Hoàn thành"),0,N(INDEX('Nhật ký tiến độ'!$D:$D,$AM181)))))</f>
      </c>
      <c r="AC181" s="222">
        <f>IF(OR($A181="",$B181&lt;&gt;"Đột xuất",$AA181="Hoàn thành",N($J181)=0,$AW181=0),"",IF(TDBC&lt;=$J181,0,IF(TDBC&gt;=$AW181,1,(TDBC-$J181)/($AW181-$J181))))</f>
      </c>
      <c r="AD181" s="223">
        <f>IF($A181="","",IF($AA181="Hoàn thành","Hoàn thành",IF($AW181=0,"Chưa đặt hạn",IF(TDBC&gt;$AW181,"Quá hạn",IF(AND($B181="Đột xuất",ROUND((N($AC181)-$AB181)*100,0)&gt;=20),"Chậm tiến độ",IF($AP181=NgayBC,"Đến hạn hôm nay",IF($B181="Đột xuất",IF($AW181-TDBC&lt;=1,"Sắp đến hạn","Đúng tiến độ"),IF($AP181-NgayBC&lt;=3,"Sắp đến hạn","Theo lịch"))))))))</f>
      </c>
      <c r="AE181" s="223">
        <f>IF($AV181="","",IF($B181="Định kỳ","Bình quân "&amp;IF($AV181&lt;1,MAX(1,ROUND($AV181*60,0))&amp;" phút",IF(ROUND($AV181,0)&lt;24,ROUND($AV181,0)&amp;" giờ",INT(ROUND($AV181,0)/24)&amp;" ngày"&amp;IF(MOD(ROUND($AV181,0),24)&gt;0," "&amp;MOD(ROUND($AV181,0),24)&amp;" giờ","")))&amp;" mỗi kỳ",IF($AV181&lt;1,MAX(1,ROUND($AV181*60,0))&amp;" phút",IF(ROUND($AV181,0)&lt;24,ROUND($AV181,0)&amp;" giờ",INT(ROUND($AV181,0)/24)&amp;" ngày"&amp;IF(MOD(ROUND($AV181,0),24)&gt;0," "&amp;MOD(ROUND($AV181,0),24)&amp;" giờ","")))))</f>
      </c>
      <c r="AF181" s="223">
        <f>IF(OR($A181="",N($AU181)=0),"",IF($AV181&lt;&gt;"",IF($AV181&lt;=$AU181,"Trong ước tính","Vượt "&amp;IF(($AV181-$AU181)&lt;1,MAX(1,ROUND(($AV181-$AU181)*60,0))&amp;" phút",IF(ROUND(($AV181-$AU181),0)&lt;24,ROUND(($AV181-$AU181),0)&amp;" giờ",INT(ROUND(($AV181-$AU181),0)/24)&amp;" ngày"&amp;IF(MOD(ROUND(($AV181-$AU181),0),24)&gt;0," "&amp;MOD(ROUND(($AV181-$AU181),0),24)&amp;" giờ","")))),IF(OR($B181&lt;&gt;"Đột xuất",$AA181="Hoàn thành",N($J181)=0),"",IF((TDBC-$J181)*24&gt;$AU181,"Đã vượt ước tính","Đã dùng "&amp;TEXT((TDBC-$J181)*24/$AU181,"0%")))))</f>
      </c>
      <c r="AG181" s="223">
        <f>IF(N($BB181)=0,"",CHOOSE($BB181,"Nhắc nhở","Cảnh báo","Báo động","Báo động đỏ"))</f>
      </c>
      <c r="AH181" s="223">
        <f>IF(OR($B181&lt;&gt;"Đột xuất",$AA181&lt;&gt;"Hoàn thành",N($X181)=0,$AW181=0),"",IF($X181&lt;=$AW181,"Đúng hạn","Trễ hạn"))</f>
      </c>
      <c r="AI181" s="220">
        <f>IF($A181="","",_xlfn.MAXIFS('Nhật ký tiến độ'!$B$6:$B$3005,'Nhật ký tiến độ'!$C$6:$C$3005,$A181))</f>
      </c>
      <c r="AJ181" s="225">
        <f>IF(OR($A181="",$B181&lt;&gt;"Định kỳ"),0,IFERROR(INDEX(DM_TanSuatNgay,MATCH($H181,DM_TanSuat,0)),0))</f>
      </c>
      <c r="AK181" s="225">
        <f>IF(OR($A181="",$B181&lt;&gt;"Định kỳ"),0,IFERROR(INDEX(DM_TanSuatThang,MATCH($H181,DM_TanSuat,0)),0))</f>
      </c>
      <c r="AL181" s="225">
        <f>IF(OR($A181="",$B181&lt;&gt;"Định kỳ",N($X181)=0,N($I181)=0),"",IF(INT($X181)&lt;$I181,0,IF($AJ181&gt;0,ROUND((INT($X181)-$I181)/$AJ181,0),IF($AK181&gt;0,ROUND((DATEDIF($I181,INT($X181),"m")+(INT($X181)-EDATE($I181,DATEDIF($I181,INT($X181),"m")))/(EDATE($I181,DATEDIF($I181,INT($X181),"m")+1)-EDATE($I181,DATEDIF($I181,INT($X181),"m"))))/$AK181,0),0))))</f>
      </c>
      <c r="AM181" s="225">
        <f>IF($A181="","",IF(COUNTIF('Nhật ký tiến độ'!$C$6:$C$3005,$A181)=0,0,_xlfn.MAXIFS('Nhật ký tiến độ'!$N$6:$N$3005,'Nhật ký tiến độ'!$C$6:$C$3005,$A181,'Nhật ký tiến độ'!$B$6:$B$3005,_xlfn.MAXIFS('Nhật ký tiến độ'!$B$6:$B$3005,'Nhật ký tiến độ'!$C$6:$C$3005,$A181))))</f>
      </c>
      <c r="AN181" s="225">
        <f>IF($A181="","",IF(N($AM181)=0,"",INDEX('Nhật ký tiến độ'!$E:$E,$AM181)))</f>
      </c>
      <c r="AO181" s="225">
        <f>IF($A181="",0,IF($AA181="Hoàn thành",0,1))</f>
      </c>
      <c r="AP181" s="225">
        <f>IF($AO181=0,0,INT(N($AW181)))</f>
      </c>
      <c r="AQ181" s="225">
        <f>IF(AND($AO181=1,$AJ181&gt;1),$AJ181,0)</f>
      </c>
      <c r="AR181" s="225">
        <f>IF(AND($AO181=1,$AJ181=1),1,0)</f>
      </c>
      <c r="AS181" s="225">
        <f>IF(OR($AO181=0,AND($AR181=1,N($BB181)=0)),"",IF(N($BB181)&gt;0,5-$BB181,IF($AD181="Chậm tiến độ",6,IF($AD181="Đến hạn hôm nay",7,IF(AND($AP181&gt;0,$AP181-NgayBC&lt;=7),8,"")))))</f>
      </c>
      <c r="AT181" s="225">
        <f>IF($AS181="","",$AS181*100000+$AP181+ROW()/100000)</f>
      </c>
      <c r="AU181" s="224">
        <f>IF(OR($A181="",N($R181)&lt;=0),"",IF($S181="Ngày",$R181*24,$R181))</f>
      </c>
      <c r="AV181" s="224">
        <f>IF($A181="","",IF($B181="Đột xuất",IF(OR($AA181&lt;&gt;"Hoàn thành",N($X181)=0,N($J181)=0),"",IF($X181&lt;$J181,"",($X181-$J181)*24)),IFERROR(AVERAGEIFS('Nhật ký tiến độ'!$H$6:$H$3005,'Nhật ký tiến độ'!$C$6:$C$3005,$A181,'Nhật ký tiến độ'!$H$6:$H$3005,"&gt;0"),"")))</f>
      </c>
      <c r="AW181" s="233">
        <f>IF($A181="",0,IF($B181="Đột xuất",$AY181,IF($AX181=0,0,$AX181+1-1/1440)))</f>
      </c>
      <c r="AX181" s="234">
        <f>IF(OR($A181="",$B181&lt;&gt;"Định kỳ",N($I181)=0),0,IF($AL181="",$I181,IF($AJ181&gt;0,$I181+($AL181+1)*$AJ181,IF($AK181&gt;0,EDATE($I181,($AL181+1)*$AK181),$I181))))</f>
      </c>
      <c r="AY181" s="233">
        <f>IF(OR($A181="",$B181&lt;&gt;"Đột xuất"),0,IF(N($K181)&gt;0,IF(MOD($K181,1)=0,$K181+1-1/1440,$K181),IF(N($J181)=0,0,$J181+IF(N($AU181)&gt;0,$AU181,IFERROR(INDEX(DM_SLA_Gio,MATCH($L181,DM_SLA_Cap,0)),168))/24)))</f>
      </c>
      <c r="AZ181" s="225">
        <f>IF(OR($A181="",TRIM($N181)="",COUNTIF('Phản ánh'!$K$6:$K$505,$N181)&gt;0,COUNTIF($N$6:$N181,$N181)&gt;1),0,1)</f>
      </c>
      <c r="BA181" s="225">
        <f>IF($AZ181=1,SUM($AZ$6:$AZ181),"")</f>
      </c>
      <c r="BB181" s="225">
        <f>IF(OR($AO181=0,N($AW181)=0),0,IF(TDBC&lt;=$AW181,0,MAX(1,MIN(4,IF((TDBC-$AW181)*24&lt;24,1,IF((TDBC-$AW181)*24&lt;72,2,IF((TDBC-$AW181)*24&lt;168,3,4)))+IF($B181="Đột xuất",IFERROR(INDEX({2,1,0,-1},MATCH($L181,{"Khẩn cấp","Cao","Trung bình","Thấp"},0)),0),IF($D181="PCCC và an ninh",1,0))))))</f>
      </c>
    </row>
    <row r="182">
      <c r="A182" s="216"/>
      <c r="B182" s="216"/>
      <c r="C182" s="218"/>
      <c r="D182" s="218"/>
      <c r="E182" s="218"/>
      <c r="F182" s="216"/>
      <c r="G182" s="218"/>
      <c r="H182" s="218"/>
      <c r="I182" s="231"/>
      <c r="J182" s="217"/>
      <c r="K182" s="217"/>
      <c r="L182" s="216"/>
      <c r="M182" s="216"/>
      <c r="N182" s="218"/>
      <c r="O182" s="218"/>
      <c r="P182" s="218"/>
      <c r="Q182" s="218"/>
      <c r="R182" s="219"/>
      <c r="S182" s="216"/>
      <c r="T182" s="232"/>
      <c r="U182" s="232"/>
      <c r="V182" s="218"/>
      <c r="W182" s="218"/>
      <c r="X182" s="220">
        <f>IF($A182="","",IF(OR($B182="Định kỳ",$AA182="Hoàn thành"),MAX(_xlfn.MAXIFS('Nhật ký tiến độ'!$B$6:$B$3005,'Nhật ký tiến độ'!$C$6:$C$3005,$A182,'Nhật ký tiến độ'!$E$6:$E$3005,"Hoàn thành kỳ"),_xlfn.MAXIFS('Nhật ký tiến độ'!$B$6:$B$3005,'Nhật ký tiến độ'!$C$6:$C$3005,$A182,'Nhật ký tiến độ'!$E$6:$E$3005,"Hoàn thành")),0))</f>
      </c>
      <c r="Y182" s="220">
        <f>IF($A182="","",IF($B182="Đột xuất",IF($AY182=0,"",$AY182),IF($AX182=0,"",$AX182)))</f>
      </c>
      <c r="Z182" s="223">
        <f>IF(OR($AO182=0,$AW182=0),"",IF(TDBC&gt;$AW182,"Quá "&amp;IF($B182="Định kỳ",(NgayBC-$AP182)&amp;" ngày",IF(((TDBC-$AW182)*24)&lt;1,MAX(1,ROUND(((TDBC-$AW182)*24)*60,0))&amp;" phút",IF(ROUND(((TDBC-$AW182)*24),0)&lt;24,ROUND(((TDBC-$AW182)*24),0)&amp;" giờ",INT(ROUND(((TDBC-$AW182)*24),0)/24)&amp;" ngày"&amp;IF(MOD(ROUND(((TDBC-$AW182)*24),0),24)&gt;0," "&amp;MOD(ROUND(((TDBC-$AW182)*24),0),24)&amp;" giờ","")))),IF($B182="Định kỳ",IF($AP182=NgayBC,"Hôm nay","Còn "&amp;($AP182-NgayBC)&amp;" ngày"),"Còn "&amp;IF((($AW182-TDBC)*24)&lt;1,MAX(1,ROUND((($AW182-TDBC)*24)*60,0))&amp;" phút",IF(ROUND((($AW182-TDBC)*24),0)&lt;24,ROUND((($AW182-TDBC)*24),0)&amp;" giờ",INT(ROUND((($AW182-TDBC)*24),0)/24)&amp;" ngày"&amp;IF(MOD(ROUND((($AW182-TDBC)*24),0),24)&gt;0," "&amp;MOD(ROUND((($AW182-TDBC)*24),0),24)&amp;" giờ",""))))))</f>
      </c>
      <c r="AA182" s="221">
        <f>IF($A182="","",IF(N($AM182)=0,"Chưa bắt đầu",IF(OR($AN182="Hoàn thành kỳ",$AN182="Hoàn thành"),IF($B182="Định kỳ","Chưa bắt đầu","Hoàn thành"),$AN182)))</f>
      </c>
      <c r="AB182" s="222">
        <f>IF($A182="","",IF($AA182="Hoàn thành",1,IF(OR(N($AM182)=0,$AN182="Hoàn thành kỳ",$AN182="Hoàn thành"),0,N(INDEX('Nhật ký tiến độ'!$D:$D,$AM182)))))</f>
      </c>
      <c r="AC182" s="222">
        <f>IF(OR($A182="",$B182&lt;&gt;"Đột xuất",$AA182="Hoàn thành",N($J182)=0,$AW182=0),"",IF(TDBC&lt;=$J182,0,IF(TDBC&gt;=$AW182,1,(TDBC-$J182)/($AW182-$J182))))</f>
      </c>
      <c r="AD182" s="223">
        <f>IF($A182="","",IF($AA182="Hoàn thành","Hoàn thành",IF($AW182=0,"Chưa đặt hạn",IF(TDBC&gt;$AW182,"Quá hạn",IF(AND($B182="Đột xuất",ROUND((N($AC182)-$AB182)*100,0)&gt;=20),"Chậm tiến độ",IF($AP182=NgayBC,"Đến hạn hôm nay",IF($B182="Đột xuất",IF($AW182-TDBC&lt;=1,"Sắp đến hạn","Đúng tiến độ"),IF($AP182-NgayBC&lt;=3,"Sắp đến hạn","Theo lịch"))))))))</f>
      </c>
      <c r="AE182" s="223">
        <f>IF($AV182="","",IF($B182="Định kỳ","Bình quân "&amp;IF($AV182&lt;1,MAX(1,ROUND($AV182*60,0))&amp;" phút",IF(ROUND($AV182,0)&lt;24,ROUND($AV182,0)&amp;" giờ",INT(ROUND($AV182,0)/24)&amp;" ngày"&amp;IF(MOD(ROUND($AV182,0),24)&gt;0," "&amp;MOD(ROUND($AV182,0),24)&amp;" giờ","")))&amp;" mỗi kỳ",IF($AV182&lt;1,MAX(1,ROUND($AV182*60,0))&amp;" phút",IF(ROUND($AV182,0)&lt;24,ROUND($AV182,0)&amp;" giờ",INT(ROUND($AV182,0)/24)&amp;" ngày"&amp;IF(MOD(ROUND($AV182,0),24)&gt;0," "&amp;MOD(ROUND($AV182,0),24)&amp;" giờ","")))))</f>
      </c>
      <c r="AF182" s="223">
        <f>IF(OR($A182="",N($AU182)=0),"",IF($AV182&lt;&gt;"",IF($AV182&lt;=$AU182,"Trong ước tính","Vượt "&amp;IF(($AV182-$AU182)&lt;1,MAX(1,ROUND(($AV182-$AU182)*60,0))&amp;" phút",IF(ROUND(($AV182-$AU182),0)&lt;24,ROUND(($AV182-$AU182),0)&amp;" giờ",INT(ROUND(($AV182-$AU182),0)/24)&amp;" ngày"&amp;IF(MOD(ROUND(($AV182-$AU182),0),24)&gt;0," "&amp;MOD(ROUND(($AV182-$AU182),0),24)&amp;" giờ","")))),IF(OR($B182&lt;&gt;"Đột xuất",$AA182="Hoàn thành",N($J182)=0),"",IF((TDBC-$J182)*24&gt;$AU182,"Đã vượt ước tính","Đã dùng "&amp;TEXT((TDBC-$J182)*24/$AU182,"0%")))))</f>
      </c>
      <c r="AG182" s="223">
        <f>IF(N($BB182)=0,"",CHOOSE($BB182,"Nhắc nhở","Cảnh báo","Báo động","Báo động đỏ"))</f>
      </c>
      <c r="AH182" s="223">
        <f>IF(OR($B182&lt;&gt;"Đột xuất",$AA182&lt;&gt;"Hoàn thành",N($X182)=0,$AW182=0),"",IF($X182&lt;=$AW182,"Đúng hạn","Trễ hạn"))</f>
      </c>
      <c r="AI182" s="220">
        <f>IF($A182="","",_xlfn.MAXIFS('Nhật ký tiến độ'!$B$6:$B$3005,'Nhật ký tiến độ'!$C$6:$C$3005,$A182))</f>
      </c>
      <c r="AJ182" s="225">
        <f>IF(OR($A182="",$B182&lt;&gt;"Định kỳ"),0,IFERROR(INDEX(DM_TanSuatNgay,MATCH($H182,DM_TanSuat,0)),0))</f>
      </c>
      <c r="AK182" s="225">
        <f>IF(OR($A182="",$B182&lt;&gt;"Định kỳ"),0,IFERROR(INDEX(DM_TanSuatThang,MATCH($H182,DM_TanSuat,0)),0))</f>
      </c>
      <c r="AL182" s="225">
        <f>IF(OR($A182="",$B182&lt;&gt;"Định kỳ",N($X182)=0,N($I182)=0),"",IF(INT($X182)&lt;$I182,0,IF($AJ182&gt;0,ROUND((INT($X182)-$I182)/$AJ182,0),IF($AK182&gt;0,ROUND((DATEDIF($I182,INT($X182),"m")+(INT($X182)-EDATE($I182,DATEDIF($I182,INT($X182),"m")))/(EDATE($I182,DATEDIF($I182,INT($X182),"m")+1)-EDATE($I182,DATEDIF($I182,INT($X182),"m"))))/$AK182,0),0))))</f>
      </c>
      <c r="AM182" s="225">
        <f>IF($A182="","",IF(COUNTIF('Nhật ký tiến độ'!$C$6:$C$3005,$A182)=0,0,_xlfn.MAXIFS('Nhật ký tiến độ'!$N$6:$N$3005,'Nhật ký tiến độ'!$C$6:$C$3005,$A182,'Nhật ký tiến độ'!$B$6:$B$3005,_xlfn.MAXIFS('Nhật ký tiến độ'!$B$6:$B$3005,'Nhật ký tiến độ'!$C$6:$C$3005,$A182))))</f>
      </c>
      <c r="AN182" s="225">
        <f>IF($A182="","",IF(N($AM182)=0,"",INDEX('Nhật ký tiến độ'!$E:$E,$AM182)))</f>
      </c>
      <c r="AO182" s="225">
        <f>IF($A182="",0,IF($AA182="Hoàn thành",0,1))</f>
      </c>
      <c r="AP182" s="225">
        <f>IF($AO182=0,0,INT(N($AW182)))</f>
      </c>
      <c r="AQ182" s="225">
        <f>IF(AND($AO182=1,$AJ182&gt;1),$AJ182,0)</f>
      </c>
      <c r="AR182" s="225">
        <f>IF(AND($AO182=1,$AJ182=1),1,0)</f>
      </c>
      <c r="AS182" s="225">
        <f>IF(OR($AO182=0,AND($AR182=1,N($BB182)=0)),"",IF(N($BB182)&gt;0,5-$BB182,IF($AD182="Chậm tiến độ",6,IF($AD182="Đến hạn hôm nay",7,IF(AND($AP182&gt;0,$AP182-NgayBC&lt;=7),8,"")))))</f>
      </c>
      <c r="AT182" s="225">
        <f>IF($AS182="","",$AS182*100000+$AP182+ROW()/100000)</f>
      </c>
      <c r="AU182" s="224">
        <f>IF(OR($A182="",N($R182)&lt;=0),"",IF($S182="Ngày",$R182*24,$R182))</f>
      </c>
      <c r="AV182" s="224">
        <f>IF($A182="","",IF($B182="Đột xuất",IF(OR($AA182&lt;&gt;"Hoàn thành",N($X182)=0,N($J182)=0),"",IF($X182&lt;$J182,"",($X182-$J182)*24)),IFERROR(AVERAGEIFS('Nhật ký tiến độ'!$H$6:$H$3005,'Nhật ký tiến độ'!$C$6:$C$3005,$A182,'Nhật ký tiến độ'!$H$6:$H$3005,"&gt;0"),"")))</f>
      </c>
      <c r="AW182" s="233">
        <f>IF($A182="",0,IF($B182="Đột xuất",$AY182,IF($AX182=0,0,$AX182+1-1/1440)))</f>
      </c>
      <c r="AX182" s="234">
        <f>IF(OR($A182="",$B182&lt;&gt;"Định kỳ",N($I182)=0),0,IF($AL182="",$I182,IF($AJ182&gt;0,$I182+($AL182+1)*$AJ182,IF($AK182&gt;0,EDATE($I182,($AL182+1)*$AK182),$I182))))</f>
      </c>
      <c r="AY182" s="233">
        <f>IF(OR($A182="",$B182&lt;&gt;"Đột xuất"),0,IF(N($K182)&gt;0,IF(MOD($K182,1)=0,$K182+1-1/1440,$K182),IF(N($J182)=0,0,$J182+IF(N($AU182)&gt;0,$AU182,IFERROR(INDEX(DM_SLA_Gio,MATCH($L182,DM_SLA_Cap,0)),168))/24)))</f>
      </c>
      <c r="AZ182" s="225">
        <f>IF(OR($A182="",TRIM($N182)="",COUNTIF('Phản ánh'!$K$6:$K$505,$N182)&gt;0,COUNTIF($N$6:$N182,$N182)&gt;1),0,1)</f>
      </c>
      <c r="BA182" s="225">
        <f>IF($AZ182=1,SUM($AZ$6:$AZ182),"")</f>
      </c>
      <c r="BB182" s="225">
        <f>IF(OR($AO182=0,N($AW182)=0),0,IF(TDBC&lt;=$AW182,0,MAX(1,MIN(4,IF((TDBC-$AW182)*24&lt;24,1,IF((TDBC-$AW182)*24&lt;72,2,IF((TDBC-$AW182)*24&lt;168,3,4)))+IF($B182="Đột xuất",IFERROR(INDEX({2,1,0,-1},MATCH($L182,{"Khẩn cấp","Cao","Trung bình","Thấp"},0)),0),IF($D182="PCCC và an ninh",1,0))))))</f>
      </c>
    </row>
    <row r="183">
      <c r="A183" s="216"/>
      <c r="B183" s="216"/>
      <c r="C183" s="218"/>
      <c r="D183" s="218"/>
      <c r="E183" s="218"/>
      <c r="F183" s="216"/>
      <c r="G183" s="218"/>
      <c r="H183" s="218"/>
      <c r="I183" s="231"/>
      <c r="J183" s="217"/>
      <c r="K183" s="217"/>
      <c r="L183" s="216"/>
      <c r="M183" s="216"/>
      <c r="N183" s="218"/>
      <c r="O183" s="218"/>
      <c r="P183" s="218"/>
      <c r="Q183" s="218"/>
      <c r="R183" s="219"/>
      <c r="S183" s="216"/>
      <c r="T183" s="232"/>
      <c r="U183" s="232"/>
      <c r="V183" s="218"/>
      <c r="W183" s="218"/>
      <c r="X183" s="220">
        <f>IF($A183="","",IF(OR($B183="Định kỳ",$AA183="Hoàn thành"),MAX(_xlfn.MAXIFS('Nhật ký tiến độ'!$B$6:$B$3005,'Nhật ký tiến độ'!$C$6:$C$3005,$A183,'Nhật ký tiến độ'!$E$6:$E$3005,"Hoàn thành kỳ"),_xlfn.MAXIFS('Nhật ký tiến độ'!$B$6:$B$3005,'Nhật ký tiến độ'!$C$6:$C$3005,$A183,'Nhật ký tiến độ'!$E$6:$E$3005,"Hoàn thành")),0))</f>
      </c>
      <c r="Y183" s="220">
        <f>IF($A183="","",IF($B183="Đột xuất",IF($AY183=0,"",$AY183),IF($AX183=0,"",$AX183)))</f>
      </c>
      <c r="Z183" s="223">
        <f>IF(OR($AO183=0,$AW183=0),"",IF(TDBC&gt;$AW183,"Quá "&amp;IF($B183="Định kỳ",(NgayBC-$AP183)&amp;" ngày",IF(((TDBC-$AW183)*24)&lt;1,MAX(1,ROUND(((TDBC-$AW183)*24)*60,0))&amp;" phút",IF(ROUND(((TDBC-$AW183)*24),0)&lt;24,ROUND(((TDBC-$AW183)*24),0)&amp;" giờ",INT(ROUND(((TDBC-$AW183)*24),0)/24)&amp;" ngày"&amp;IF(MOD(ROUND(((TDBC-$AW183)*24),0),24)&gt;0," "&amp;MOD(ROUND(((TDBC-$AW183)*24),0),24)&amp;" giờ","")))),IF($B183="Định kỳ",IF($AP183=NgayBC,"Hôm nay","Còn "&amp;($AP183-NgayBC)&amp;" ngày"),"Còn "&amp;IF((($AW183-TDBC)*24)&lt;1,MAX(1,ROUND((($AW183-TDBC)*24)*60,0))&amp;" phút",IF(ROUND((($AW183-TDBC)*24),0)&lt;24,ROUND((($AW183-TDBC)*24),0)&amp;" giờ",INT(ROUND((($AW183-TDBC)*24),0)/24)&amp;" ngày"&amp;IF(MOD(ROUND((($AW183-TDBC)*24),0),24)&gt;0," "&amp;MOD(ROUND((($AW183-TDBC)*24),0),24)&amp;" giờ",""))))))</f>
      </c>
      <c r="AA183" s="221">
        <f>IF($A183="","",IF(N($AM183)=0,"Chưa bắt đầu",IF(OR($AN183="Hoàn thành kỳ",$AN183="Hoàn thành"),IF($B183="Định kỳ","Chưa bắt đầu","Hoàn thành"),$AN183)))</f>
      </c>
      <c r="AB183" s="222">
        <f>IF($A183="","",IF($AA183="Hoàn thành",1,IF(OR(N($AM183)=0,$AN183="Hoàn thành kỳ",$AN183="Hoàn thành"),0,N(INDEX('Nhật ký tiến độ'!$D:$D,$AM183)))))</f>
      </c>
      <c r="AC183" s="222">
        <f>IF(OR($A183="",$B183&lt;&gt;"Đột xuất",$AA183="Hoàn thành",N($J183)=0,$AW183=0),"",IF(TDBC&lt;=$J183,0,IF(TDBC&gt;=$AW183,1,(TDBC-$J183)/($AW183-$J183))))</f>
      </c>
      <c r="AD183" s="223">
        <f>IF($A183="","",IF($AA183="Hoàn thành","Hoàn thành",IF($AW183=0,"Chưa đặt hạn",IF(TDBC&gt;$AW183,"Quá hạn",IF(AND($B183="Đột xuất",ROUND((N($AC183)-$AB183)*100,0)&gt;=20),"Chậm tiến độ",IF($AP183=NgayBC,"Đến hạn hôm nay",IF($B183="Đột xuất",IF($AW183-TDBC&lt;=1,"Sắp đến hạn","Đúng tiến độ"),IF($AP183-NgayBC&lt;=3,"Sắp đến hạn","Theo lịch"))))))))</f>
      </c>
      <c r="AE183" s="223">
        <f>IF($AV183="","",IF($B183="Định kỳ","Bình quân "&amp;IF($AV183&lt;1,MAX(1,ROUND($AV183*60,0))&amp;" phút",IF(ROUND($AV183,0)&lt;24,ROUND($AV183,0)&amp;" giờ",INT(ROUND($AV183,0)/24)&amp;" ngày"&amp;IF(MOD(ROUND($AV183,0),24)&gt;0," "&amp;MOD(ROUND($AV183,0),24)&amp;" giờ","")))&amp;" mỗi kỳ",IF($AV183&lt;1,MAX(1,ROUND($AV183*60,0))&amp;" phút",IF(ROUND($AV183,0)&lt;24,ROUND($AV183,0)&amp;" giờ",INT(ROUND($AV183,0)/24)&amp;" ngày"&amp;IF(MOD(ROUND($AV183,0),24)&gt;0," "&amp;MOD(ROUND($AV183,0),24)&amp;" giờ","")))))</f>
      </c>
      <c r="AF183" s="223">
        <f>IF(OR($A183="",N($AU183)=0),"",IF($AV183&lt;&gt;"",IF($AV183&lt;=$AU183,"Trong ước tính","Vượt "&amp;IF(($AV183-$AU183)&lt;1,MAX(1,ROUND(($AV183-$AU183)*60,0))&amp;" phút",IF(ROUND(($AV183-$AU183),0)&lt;24,ROUND(($AV183-$AU183),0)&amp;" giờ",INT(ROUND(($AV183-$AU183),0)/24)&amp;" ngày"&amp;IF(MOD(ROUND(($AV183-$AU183),0),24)&gt;0," "&amp;MOD(ROUND(($AV183-$AU183),0),24)&amp;" giờ","")))),IF(OR($B183&lt;&gt;"Đột xuất",$AA183="Hoàn thành",N($J183)=0),"",IF((TDBC-$J183)*24&gt;$AU183,"Đã vượt ước tính","Đã dùng "&amp;TEXT((TDBC-$J183)*24/$AU183,"0%")))))</f>
      </c>
      <c r="AG183" s="223">
        <f>IF(N($BB183)=0,"",CHOOSE($BB183,"Nhắc nhở","Cảnh báo","Báo động","Báo động đỏ"))</f>
      </c>
      <c r="AH183" s="223">
        <f>IF(OR($B183&lt;&gt;"Đột xuất",$AA183&lt;&gt;"Hoàn thành",N($X183)=0,$AW183=0),"",IF($X183&lt;=$AW183,"Đúng hạn","Trễ hạn"))</f>
      </c>
      <c r="AI183" s="220">
        <f>IF($A183="","",_xlfn.MAXIFS('Nhật ký tiến độ'!$B$6:$B$3005,'Nhật ký tiến độ'!$C$6:$C$3005,$A183))</f>
      </c>
      <c r="AJ183" s="225">
        <f>IF(OR($A183="",$B183&lt;&gt;"Định kỳ"),0,IFERROR(INDEX(DM_TanSuatNgay,MATCH($H183,DM_TanSuat,0)),0))</f>
      </c>
      <c r="AK183" s="225">
        <f>IF(OR($A183="",$B183&lt;&gt;"Định kỳ"),0,IFERROR(INDEX(DM_TanSuatThang,MATCH($H183,DM_TanSuat,0)),0))</f>
      </c>
      <c r="AL183" s="225">
        <f>IF(OR($A183="",$B183&lt;&gt;"Định kỳ",N($X183)=0,N($I183)=0),"",IF(INT($X183)&lt;$I183,0,IF($AJ183&gt;0,ROUND((INT($X183)-$I183)/$AJ183,0),IF($AK183&gt;0,ROUND((DATEDIF($I183,INT($X183),"m")+(INT($X183)-EDATE($I183,DATEDIF($I183,INT($X183),"m")))/(EDATE($I183,DATEDIF($I183,INT($X183),"m")+1)-EDATE($I183,DATEDIF($I183,INT($X183),"m"))))/$AK183,0),0))))</f>
      </c>
      <c r="AM183" s="225">
        <f>IF($A183="","",IF(COUNTIF('Nhật ký tiến độ'!$C$6:$C$3005,$A183)=0,0,_xlfn.MAXIFS('Nhật ký tiến độ'!$N$6:$N$3005,'Nhật ký tiến độ'!$C$6:$C$3005,$A183,'Nhật ký tiến độ'!$B$6:$B$3005,_xlfn.MAXIFS('Nhật ký tiến độ'!$B$6:$B$3005,'Nhật ký tiến độ'!$C$6:$C$3005,$A183))))</f>
      </c>
      <c r="AN183" s="225">
        <f>IF($A183="","",IF(N($AM183)=0,"",INDEX('Nhật ký tiến độ'!$E:$E,$AM183)))</f>
      </c>
      <c r="AO183" s="225">
        <f>IF($A183="",0,IF($AA183="Hoàn thành",0,1))</f>
      </c>
      <c r="AP183" s="225">
        <f>IF($AO183=0,0,INT(N($AW183)))</f>
      </c>
      <c r="AQ183" s="225">
        <f>IF(AND($AO183=1,$AJ183&gt;1),$AJ183,0)</f>
      </c>
      <c r="AR183" s="225">
        <f>IF(AND($AO183=1,$AJ183=1),1,0)</f>
      </c>
      <c r="AS183" s="225">
        <f>IF(OR($AO183=0,AND($AR183=1,N($BB183)=0)),"",IF(N($BB183)&gt;0,5-$BB183,IF($AD183="Chậm tiến độ",6,IF($AD183="Đến hạn hôm nay",7,IF(AND($AP183&gt;0,$AP183-NgayBC&lt;=7),8,"")))))</f>
      </c>
      <c r="AT183" s="225">
        <f>IF($AS183="","",$AS183*100000+$AP183+ROW()/100000)</f>
      </c>
      <c r="AU183" s="224">
        <f>IF(OR($A183="",N($R183)&lt;=0),"",IF($S183="Ngày",$R183*24,$R183))</f>
      </c>
      <c r="AV183" s="224">
        <f>IF($A183="","",IF($B183="Đột xuất",IF(OR($AA183&lt;&gt;"Hoàn thành",N($X183)=0,N($J183)=0),"",IF($X183&lt;$J183,"",($X183-$J183)*24)),IFERROR(AVERAGEIFS('Nhật ký tiến độ'!$H$6:$H$3005,'Nhật ký tiến độ'!$C$6:$C$3005,$A183,'Nhật ký tiến độ'!$H$6:$H$3005,"&gt;0"),"")))</f>
      </c>
      <c r="AW183" s="233">
        <f>IF($A183="",0,IF($B183="Đột xuất",$AY183,IF($AX183=0,0,$AX183+1-1/1440)))</f>
      </c>
      <c r="AX183" s="234">
        <f>IF(OR($A183="",$B183&lt;&gt;"Định kỳ",N($I183)=0),0,IF($AL183="",$I183,IF($AJ183&gt;0,$I183+($AL183+1)*$AJ183,IF($AK183&gt;0,EDATE($I183,($AL183+1)*$AK183),$I183))))</f>
      </c>
      <c r="AY183" s="233">
        <f>IF(OR($A183="",$B183&lt;&gt;"Đột xuất"),0,IF(N($K183)&gt;0,IF(MOD($K183,1)=0,$K183+1-1/1440,$K183),IF(N($J183)=0,0,$J183+IF(N($AU183)&gt;0,$AU183,IFERROR(INDEX(DM_SLA_Gio,MATCH($L183,DM_SLA_Cap,0)),168))/24)))</f>
      </c>
      <c r="AZ183" s="225">
        <f>IF(OR($A183="",TRIM($N183)="",COUNTIF('Phản ánh'!$K$6:$K$505,$N183)&gt;0,COUNTIF($N$6:$N183,$N183)&gt;1),0,1)</f>
      </c>
      <c r="BA183" s="225">
        <f>IF($AZ183=1,SUM($AZ$6:$AZ183),"")</f>
      </c>
      <c r="BB183" s="225">
        <f>IF(OR($AO183=0,N($AW183)=0),0,IF(TDBC&lt;=$AW183,0,MAX(1,MIN(4,IF((TDBC-$AW183)*24&lt;24,1,IF((TDBC-$AW183)*24&lt;72,2,IF((TDBC-$AW183)*24&lt;168,3,4)))+IF($B183="Đột xuất",IFERROR(INDEX({2,1,0,-1},MATCH($L183,{"Khẩn cấp","Cao","Trung bình","Thấp"},0)),0),IF($D183="PCCC và an ninh",1,0))))))</f>
      </c>
    </row>
    <row r="184">
      <c r="A184" s="216"/>
      <c r="B184" s="216"/>
      <c r="C184" s="218"/>
      <c r="D184" s="218"/>
      <c r="E184" s="218"/>
      <c r="F184" s="216"/>
      <c r="G184" s="218"/>
      <c r="H184" s="218"/>
      <c r="I184" s="231"/>
      <c r="J184" s="217"/>
      <c r="K184" s="217"/>
      <c r="L184" s="216"/>
      <c r="M184" s="216"/>
      <c r="N184" s="218"/>
      <c r="O184" s="218"/>
      <c r="P184" s="218"/>
      <c r="Q184" s="218"/>
      <c r="R184" s="219"/>
      <c r="S184" s="216"/>
      <c r="T184" s="232"/>
      <c r="U184" s="232"/>
      <c r="V184" s="218"/>
      <c r="W184" s="218"/>
      <c r="X184" s="220">
        <f>IF($A184="","",IF(OR($B184="Định kỳ",$AA184="Hoàn thành"),MAX(_xlfn.MAXIFS('Nhật ký tiến độ'!$B$6:$B$3005,'Nhật ký tiến độ'!$C$6:$C$3005,$A184,'Nhật ký tiến độ'!$E$6:$E$3005,"Hoàn thành kỳ"),_xlfn.MAXIFS('Nhật ký tiến độ'!$B$6:$B$3005,'Nhật ký tiến độ'!$C$6:$C$3005,$A184,'Nhật ký tiến độ'!$E$6:$E$3005,"Hoàn thành")),0))</f>
      </c>
      <c r="Y184" s="220">
        <f>IF($A184="","",IF($B184="Đột xuất",IF($AY184=0,"",$AY184),IF($AX184=0,"",$AX184)))</f>
      </c>
      <c r="Z184" s="223">
        <f>IF(OR($AO184=0,$AW184=0),"",IF(TDBC&gt;$AW184,"Quá "&amp;IF($B184="Định kỳ",(NgayBC-$AP184)&amp;" ngày",IF(((TDBC-$AW184)*24)&lt;1,MAX(1,ROUND(((TDBC-$AW184)*24)*60,0))&amp;" phút",IF(ROUND(((TDBC-$AW184)*24),0)&lt;24,ROUND(((TDBC-$AW184)*24),0)&amp;" giờ",INT(ROUND(((TDBC-$AW184)*24),0)/24)&amp;" ngày"&amp;IF(MOD(ROUND(((TDBC-$AW184)*24),0),24)&gt;0," "&amp;MOD(ROUND(((TDBC-$AW184)*24),0),24)&amp;" giờ","")))),IF($B184="Định kỳ",IF($AP184=NgayBC,"Hôm nay","Còn "&amp;($AP184-NgayBC)&amp;" ngày"),"Còn "&amp;IF((($AW184-TDBC)*24)&lt;1,MAX(1,ROUND((($AW184-TDBC)*24)*60,0))&amp;" phút",IF(ROUND((($AW184-TDBC)*24),0)&lt;24,ROUND((($AW184-TDBC)*24),0)&amp;" giờ",INT(ROUND((($AW184-TDBC)*24),0)/24)&amp;" ngày"&amp;IF(MOD(ROUND((($AW184-TDBC)*24),0),24)&gt;0," "&amp;MOD(ROUND((($AW184-TDBC)*24),0),24)&amp;" giờ",""))))))</f>
      </c>
      <c r="AA184" s="221">
        <f>IF($A184="","",IF(N($AM184)=0,"Chưa bắt đầu",IF(OR($AN184="Hoàn thành kỳ",$AN184="Hoàn thành"),IF($B184="Định kỳ","Chưa bắt đầu","Hoàn thành"),$AN184)))</f>
      </c>
      <c r="AB184" s="222">
        <f>IF($A184="","",IF($AA184="Hoàn thành",1,IF(OR(N($AM184)=0,$AN184="Hoàn thành kỳ",$AN184="Hoàn thành"),0,N(INDEX('Nhật ký tiến độ'!$D:$D,$AM184)))))</f>
      </c>
      <c r="AC184" s="222">
        <f>IF(OR($A184="",$B184&lt;&gt;"Đột xuất",$AA184="Hoàn thành",N($J184)=0,$AW184=0),"",IF(TDBC&lt;=$J184,0,IF(TDBC&gt;=$AW184,1,(TDBC-$J184)/($AW184-$J184))))</f>
      </c>
      <c r="AD184" s="223">
        <f>IF($A184="","",IF($AA184="Hoàn thành","Hoàn thành",IF($AW184=0,"Chưa đặt hạn",IF(TDBC&gt;$AW184,"Quá hạn",IF(AND($B184="Đột xuất",ROUND((N($AC184)-$AB184)*100,0)&gt;=20),"Chậm tiến độ",IF($AP184=NgayBC,"Đến hạn hôm nay",IF($B184="Đột xuất",IF($AW184-TDBC&lt;=1,"Sắp đến hạn","Đúng tiến độ"),IF($AP184-NgayBC&lt;=3,"Sắp đến hạn","Theo lịch"))))))))</f>
      </c>
      <c r="AE184" s="223">
        <f>IF($AV184="","",IF($B184="Định kỳ","Bình quân "&amp;IF($AV184&lt;1,MAX(1,ROUND($AV184*60,0))&amp;" phút",IF(ROUND($AV184,0)&lt;24,ROUND($AV184,0)&amp;" giờ",INT(ROUND($AV184,0)/24)&amp;" ngày"&amp;IF(MOD(ROUND($AV184,0),24)&gt;0," "&amp;MOD(ROUND($AV184,0),24)&amp;" giờ","")))&amp;" mỗi kỳ",IF($AV184&lt;1,MAX(1,ROUND($AV184*60,0))&amp;" phút",IF(ROUND($AV184,0)&lt;24,ROUND($AV184,0)&amp;" giờ",INT(ROUND($AV184,0)/24)&amp;" ngày"&amp;IF(MOD(ROUND($AV184,0),24)&gt;0," "&amp;MOD(ROUND($AV184,0),24)&amp;" giờ","")))))</f>
      </c>
      <c r="AF184" s="223">
        <f>IF(OR($A184="",N($AU184)=0),"",IF($AV184&lt;&gt;"",IF($AV184&lt;=$AU184,"Trong ước tính","Vượt "&amp;IF(($AV184-$AU184)&lt;1,MAX(1,ROUND(($AV184-$AU184)*60,0))&amp;" phút",IF(ROUND(($AV184-$AU184),0)&lt;24,ROUND(($AV184-$AU184),0)&amp;" giờ",INT(ROUND(($AV184-$AU184),0)/24)&amp;" ngày"&amp;IF(MOD(ROUND(($AV184-$AU184),0),24)&gt;0," "&amp;MOD(ROUND(($AV184-$AU184),0),24)&amp;" giờ","")))),IF(OR($B184&lt;&gt;"Đột xuất",$AA184="Hoàn thành",N($J184)=0),"",IF((TDBC-$J184)*24&gt;$AU184,"Đã vượt ước tính","Đã dùng "&amp;TEXT((TDBC-$J184)*24/$AU184,"0%")))))</f>
      </c>
      <c r="AG184" s="223">
        <f>IF(N($BB184)=0,"",CHOOSE($BB184,"Nhắc nhở","Cảnh báo","Báo động","Báo động đỏ"))</f>
      </c>
      <c r="AH184" s="223">
        <f>IF(OR($B184&lt;&gt;"Đột xuất",$AA184&lt;&gt;"Hoàn thành",N($X184)=0,$AW184=0),"",IF($X184&lt;=$AW184,"Đúng hạn","Trễ hạn"))</f>
      </c>
      <c r="AI184" s="220">
        <f>IF($A184="","",_xlfn.MAXIFS('Nhật ký tiến độ'!$B$6:$B$3005,'Nhật ký tiến độ'!$C$6:$C$3005,$A184))</f>
      </c>
      <c r="AJ184" s="225">
        <f>IF(OR($A184="",$B184&lt;&gt;"Định kỳ"),0,IFERROR(INDEX(DM_TanSuatNgay,MATCH($H184,DM_TanSuat,0)),0))</f>
      </c>
      <c r="AK184" s="225">
        <f>IF(OR($A184="",$B184&lt;&gt;"Định kỳ"),0,IFERROR(INDEX(DM_TanSuatThang,MATCH($H184,DM_TanSuat,0)),0))</f>
      </c>
      <c r="AL184" s="225">
        <f>IF(OR($A184="",$B184&lt;&gt;"Định kỳ",N($X184)=0,N($I184)=0),"",IF(INT($X184)&lt;$I184,0,IF($AJ184&gt;0,ROUND((INT($X184)-$I184)/$AJ184,0),IF($AK184&gt;0,ROUND((DATEDIF($I184,INT($X184),"m")+(INT($X184)-EDATE($I184,DATEDIF($I184,INT($X184),"m")))/(EDATE($I184,DATEDIF($I184,INT($X184),"m")+1)-EDATE($I184,DATEDIF($I184,INT($X184),"m"))))/$AK184,0),0))))</f>
      </c>
      <c r="AM184" s="225">
        <f>IF($A184="","",IF(COUNTIF('Nhật ký tiến độ'!$C$6:$C$3005,$A184)=0,0,_xlfn.MAXIFS('Nhật ký tiến độ'!$N$6:$N$3005,'Nhật ký tiến độ'!$C$6:$C$3005,$A184,'Nhật ký tiến độ'!$B$6:$B$3005,_xlfn.MAXIFS('Nhật ký tiến độ'!$B$6:$B$3005,'Nhật ký tiến độ'!$C$6:$C$3005,$A184))))</f>
      </c>
      <c r="AN184" s="225">
        <f>IF($A184="","",IF(N($AM184)=0,"",INDEX('Nhật ký tiến độ'!$E:$E,$AM184)))</f>
      </c>
      <c r="AO184" s="225">
        <f>IF($A184="",0,IF($AA184="Hoàn thành",0,1))</f>
      </c>
      <c r="AP184" s="225">
        <f>IF($AO184=0,0,INT(N($AW184)))</f>
      </c>
      <c r="AQ184" s="225">
        <f>IF(AND($AO184=1,$AJ184&gt;1),$AJ184,0)</f>
      </c>
      <c r="AR184" s="225">
        <f>IF(AND($AO184=1,$AJ184=1),1,0)</f>
      </c>
      <c r="AS184" s="225">
        <f>IF(OR($AO184=0,AND($AR184=1,N($BB184)=0)),"",IF(N($BB184)&gt;0,5-$BB184,IF($AD184="Chậm tiến độ",6,IF($AD184="Đến hạn hôm nay",7,IF(AND($AP184&gt;0,$AP184-NgayBC&lt;=7),8,"")))))</f>
      </c>
      <c r="AT184" s="225">
        <f>IF($AS184="","",$AS184*100000+$AP184+ROW()/100000)</f>
      </c>
      <c r="AU184" s="224">
        <f>IF(OR($A184="",N($R184)&lt;=0),"",IF($S184="Ngày",$R184*24,$R184))</f>
      </c>
      <c r="AV184" s="224">
        <f>IF($A184="","",IF($B184="Đột xuất",IF(OR($AA184&lt;&gt;"Hoàn thành",N($X184)=0,N($J184)=0),"",IF($X184&lt;$J184,"",($X184-$J184)*24)),IFERROR(AVERAGEIFS('Nhật ký tiến độ'!$H$6:$H$3005,'Nhật ký tiến độ'!$C$6:$C$3005,$A184,'Nhật ký tiến độ'!$H$6:$H$3005,"&gt;0"),"")))</f>
      </c>
      <c r="AW184" s="233">
        <f>IF($A184="",0,IF($B184="Đột xuất",$AY184,IF($AX184=0,0,$AX184+1-1/1440)))</f>
      </c>
      <c r="AX184" s="234">
        <f>IF(OR($A184="",$B184&lt;&gt;"Định kỳ",N($I184)=0),0,IF($AL184="",$I184,IF($AJ184&gt;0,$I184+($AL184+1)*$AJ184,IF($AK184&gt;0,EDATE($I184,($AL184+1)*$AK184),$I184))))</f>
      </c>
      <c r="AY184" s="233">
        <f>IF(OR($A184="",$B184&lt;&gt;"Đột xuất"),0,IF(N($K184)&gt;0,IF(MOD($K184,1)=0,$K184+1-1/1440,$K184),IF(N($J184)=0,0,$J184+IF(N($AU184)&gt;0,$AU184,IFERROR(INDEX(DM_SLA_Gio,MATCH($L184,DM_SLA_Cap,0)),168))/24)))</f>
      </c>
      <c r="AZ184" s="225">
        <f>IF(OR($A184="",TRIM($N184)="",COUNTIF('Phản ánh'!$K$6:$K$505,$N184)&gt;0,COUNTIF($N$6:$N184,$N184)&gt;1),0,1)</f>
      </c>
      <c r="BA184" s="225">
        <f>IF($AZ184=1,SUM($AZ$6:$AZ184),"")</f>
      </c>
      <c r="BB184" s="225">
        <f>IF(OR($AO184=0,N($AW184)=0),0,IF(TDBC&lt;=$AW184,0,MAX(1,MIN(4,IF((TDBC-$AW184)*24&lt;24,1,IF((TDBC-$AW184)*24&lt;72,2,IF((TDBC-$AW184)*24&lt;168,3,4)))+IF($B184="Đột xuất",IFERROR(INDEX({2,1,0,-1},MATCH($L184,{"Khẩn cấp","Cao","Trung bình","Thấp"},0)),0),IF($D184="PCCC và an ninh",1,0))))))</f>
      </c>
    </row>
    <row r="185">
      <c r="A185" s="216"/>
      <c r="B185" s="216"/>
      <c r="C185" s="218"/>
      <c r="D185" s="218"/>
      <c r="E185" s="218"/>
      <c r="F185" s="216"/>
      <c r="G185" s="218"/>
      <c r="H185" s="218"/>
      <c r="I185" s="231"/>
      <c r="J185" s="217"/>
      <c r="K185" s="217"/>
      <c r="L185" s="216"/>
      <c r="M185" s="216"/>
      <c r="N185" s="218"/>
      <c r="O185" s="218"/>
      <c r="P185" s="218"/>
      <c r="Q185" s="218"/>
      <c r="R185" s="219"/>
      <c r="S185" s="216"/>
      <c r="T185" s="232"/>
      <c r="U185" s="232"/>
      <c r="V185" s="218"/>
      <c r="W185" s="218"/>
      <c r="X185" s="220">
        <f>IF($A185="","",IF(OR($B185="Định kỳ",$AA185="Hoàn thành"),MAX(_xlfn.MAXIFS('Nhật ký tiến độ'!$B$6:$B$3005,'Nhật ký tiến độ'!$C$6:$C$3005,$A185,'Nhật ký tiến độ'!$E$6:$E$3005,"Hoàn thành kỳ"),_xlfn.MAXIFS('Nhật ký tiến độ'!$B$6:$B$3005,'Nhật ký tiến độ'!$C$6:$C$3005,$A185,'Nhật ký tiến độ'!$E$6:$E$3005,"Hoàn thành")),0))</f>
      </c>
      <c r="Y185" s="220">
        <f>IF($A185="","",IF($B185="Đột xuất",IF($AY185=0,"",$AY185),IF($AX185=0,"",$AX185)))</f>
      </c>
      <c r="Z185" s="223">
        <f>IF(OR($AO185=0,$AW185=0),"",IF(TDBC&gt;$AW185,"Quá "&amp;IF($B185="Định kỳ",(NgayBC-$AP185)&amp;" ngày",IF(((TDBC-$AW185)*24)&lt;1,MAX(1,ROUND(((TDBC-$AW185)*24)*60,0))&amp;" phút",IF(ROUND(((TDBC-$AW185)*24),0)&lt;24,ROUND(((TDBC-$AW185)*24),0)&amp;" giờ",INT(ROUND(((TDBC-$AW185)*24),0)/24)&amp;" ngày"&amp;IF(MOD(ROUND(((TDBC-$AW185)*24),0),24)&gt;0," "&amp;MOD(ROUND(((TDBC-$AW185)*24),0),24)&amp;" giờ","")))),IF($B185="Định kỳ",IF($AP185=NgayBC,"Hôm nay","Còn "&amp;($AP185-NgayBC)&amp;" ngày"),"Còn "&amp;IF((($AW185-TDBC)*24)&lt;1,MAX(1,ROUND((($AW185-TDBC)*24)*60,0))&amp;" phút",IF(ROUND((($AW185-TDBC)*24),0)&lt;24,ROUND((($AW185-TDBC)*24),0)&amp;" giờ",INT(ROUND((($AW185-TDBC)*24),0)/24)&amp;" ngày"&amp;IF(MOD(ROUND((($AW185-TDBC)*24),0),24)&gt;0," "&amp;MOD(ROUND((($AW185-TDBC)*24),0),24)&amp;" giờ",""))))))</f>
      </c>
      <c r="AA185" s="221">
        <f>IF($A185="","",IF(N($AM185)=0,"Chưa bắt đầu",IF(OR($AN185="Hoàn thành kỳ",$AN185="Hoàn thành"),IF($B185="Định kỳ","Chưa bắt đầu","Hoàn thành"),$AN185)))</f>
      </c>
      <c r="AB185" s="222">
        <f>IF($A185="","",IF($AA185="Hoàn thành",1,IF(OR(N($AM185)=0,$AN185="Hoàn thành kỳ",$AN185="Hoàn thành"),0,N(INDEX('Nhật ký tiến độ'!$D:$D,$AM185)))))</f>
      </c>
      <c r="AC185" s="222">
        <f>IF(OR($A185="",$B185&lt;&gt;"Đột xuất",$AA185="Hoàn thành",N($J185)=0,$AW185=0),"",IF(TDBC&lt;=$J185,0,IF(TDBC&gt;=$AW185,1,(TDBC-$J185)/($AW185-$J185))))</f>
      </c>
      <c r="AD185" s="223">
        <f>IF($A185="","",IF($AA185="Hoàn thành","Hoàn thành",IF($AW185=0,"Chưa đặt hạn",IF(TDBC&gt;$AW185,"Quá hạn",IF(AND($B185="Đột xuất",ROUND((N($AC185)-$AB185)*100,0)&gt;=20),"Chậm tiến độ",IF($AP185=NgayBC,"Đến hạn hôm nay",IF($B185="Đột xuất",IF($AW185-TDBC&lt;=1,"Sắp đến hạn","Đúng tiến độ"),IF($AP185-NgayBC&lt;=3,"Sắp đến hạn","Theo lịch"))))))))</f>
      </c>
      <c r="AE185" s="223">
        <f>IF($AV185="","",IF($B185="Định kỳ","Bình quân "&amp;IF($AV185&lt;1,MAX(1,ROUND($AV185*60,0))&amp;" phút",IF(ROUND($AV185,0)&lt;24,ROUND($AV185,0)&amp;" giờ",INT(ROUND($AV185,0)/24)&amp;" ngày"&amp;IF(MOD(ROUND($AV185,0),24)&gt;0," "&amp;MOD(ROUND($AV185,0),24)&amp;" giờ","")))&amp;" mỗi kỳ",IF($AV185&lt;1,MAX(1,ROUND($AV185*60,0))&amp;" phút",IF(ROUND($AV185,0)&lt;24,ROUND($AV185,0)&amp;" giờ",INT(ROUND($AV185,0)/24)&amp;" ngày"&amp;IF(MOD(ROUND($AV185,0),24)&gt;0," "&amp;MOD(ROUND($AV185,0),24)&amp;" giờ","")))))</f>
      </c>
      <c r="AF185" s="223">
        <f>IF(OR($A185="",N($AU185)=0),"",IF($AV185&lt;&gt;"",IF($AV185&lt;=$AU185,"Trong ước tính","Vượt "&amp;IF(($AV185-$AU185)&lt;1,MAX(1,ROUND(($AV185-$AU185)*60,0))&amp;" phút",IF(ROUND(($AV185-$AU185),0)&lt;24,ROUND(($AV185-$AU185),0)&amp;" giờ",INT(ROUND(($AV185-$AU185),0)/24)&amp;" ngày"&amp;IF(MOD(ROUND(($AV185-$AU185),0),24)&gt;0," "&amp;MOD(ROUND(($AV185-$AU185),0),24)&amp;" giờ","")))),IF(OR($B185&lt;&gt;"Đột xuất",$AA185="Hoàn thành",N($J185)=0),"",IF((TDBC-$J185)*24&gt;$AU185,"Đã vượt ước tính","Đã dùng "&amp;TEXT((TDBC-$J185)*24/$AU185,"0%")))))</f>
      </c>
      <c r="AG185" s="223">
        <f>IF(N($BB185)=0,"",CHOOSE($BB185,"Nhắc nhở","Cảnh báo","Báo động","Báo động đỏ"))</f>
      </c>
      <c r="AH185" s="223">
        <f>IF(OR($B185&lt;&gt;"Đột xuất",$AA185&lt;&gt;"Hoàn thành",N($X185)=0,$AW185=0),"",IF($X185&lt;=$AW185,"Đúng hạn","Trễ hạn"))</f>
      </c>
      <c r="AI185" s="220">
        <f>IF($A185="","",_xlfn.MAXIFS('Nhật ký tiến độ'!$B$6:$B$3005,'Nhật ký tiến độ'!$C$6:$C$3005,$A185))</f>
      </c>
      <c r="AJ185" s="225">
        <f>IF(OR($A185="",$B185&lt;&gt;"Định kỳ"),0,IFERROR(INDEX(DM_TanSuatNgay,MATCH($H185,DM_TanSuat,0)),0))</f>
      </c>
      <c r="AK185" s="225">
        <f>IF(OR($A185="",$B185&lt;&gt;"Định kỳ"),0,IFERROR(INDEX(DM_TanSuatThang,MATCH($H185,DM_TanSuat,0)),0))</f>
      </c>
      <c r="AL185" s="225">
        <f>IF(OR($A185="",$B185&lt;&gt;"Định kỳ",N($X185)=0,N($I185)=0),"",IF(INT($X185)&lt;$I185,0,IF($AJ185&gt;0,ROUND((INT($X185)-$I185)/$AJ185,0),IF($AK185&gt;0,ROUND((DATEDIF($I185,INT($X185),"m")+(INT($X185)-EDATE($I185,DATEDIF($I185,INT($X185),"m")))/(EDATE($I185,DATEDIF($I185,INT($X185),"m")+1)-EDATE($I185,DATEDIF($I185,INT($X185),"m"))))/$AK185,0),0))))</f>
      </c>
      <c r="AM185" s="225">
        <f>IF($A185="","",IF(COUNTIF('Nhật ký tiến độ'!$C$6:$C$3005,$A185)=0,0,_xlfn.MAXIFS('Nhật ký tiến độ'!$N$6:$N$3005,'Nhật ký tiến độ'!$C$6:$C$3005,$A185,'Nhật ký tiến độ'!$B$6:$B$3005,_xlfn.MAXIFS('Nhật ký tiến độ'!$B$6:$B$3005,'Nhật ký tiến độ'!$C$6:$C$3005,$A185))))</f>
      </c>
      <c r="AN185" s="225">
        <f>IF($A185="","",IF(N($AM185)=0,"",INDEX('Nhật ký tiến độ'!$E:$E,$AM185)))</f>
      </c>
      <c r="AO185" s="225">
        <f>IF($A185="",0,IF($AA185="Hoàn thành",0,1))</f>
      </c>
      <c r="AP185" s="225">
        <f>IF($AO185=0,0,INT(N($AW185)))</f>
      </c>
      <c r="AQ185" s="225">
        <f>IF(AND($AO185=1,$AJ185&gt;1),$AJ185,0)</f>
      </c>
      <c r="AR185" s="225">
        <f>IF(AND($AO185=1,$AJ185=1),1,0)</f>
      </c>
      <c r="AS185" s="225">
        <f>IF(OR($AO185=0,AND($AR185=1,N($BB185)=0)),"",IF(N($BB185)&gt;0,5-$BB185,IF($AD185="Chậm tiến độ",6,IF($AD185="Đến hạn hôm nay",7,IF(AND($AP185&gt;0,$AP185-NgayBC&lt;=7),8,"")))))</f>
      </c>
      <c r="AT185" s="225">
        <f>IF($AS185="","",$AS185*100000+$AP185+ROW()/100000)</f>
      </c>
      <c r="AU185" s="224">
        <f>IF(OR($A185="",N($R185)&lt;=0),"",IF($S185="Ngày",$R185*24,$R185))</f>
      </c>
      <c r="AV185" s="224">
        <f>IF($A185="","",IF($B185="Đột xuất",IF(OR($AA185&lt;&gt;"Hoàn thành",N($X185)=0,N($J185)=0),"",IF($X185&lt;$J185,"",($X185-$J185)*24)),IFERROR(AVERAGEIFS('Nhật ký tiến độ'!$H$6:$H$3005,'Nhật ký tiến độ'!$C$6:$C$3005,$A185,'Nhật ký tiến độ'!$H$6:$H$3005,"&gt;0"),"")))</f>
      </c>
      <c r="AW185" s="233">
        <f>IF($A185="",0,IF($B185="Đột xuất",$AY185,IF($AX185=0,0,$AX185+1-1/1440)))</f>
      </c>
      <c r="AX185" s="234">
        <f>IF(OR($A185="",$B185&lt;&gt;"Định kỳ",N($I185)=0),0,IF($AL185="",$I185,IF($AJ185&gt;0,$I185+($AL185+1)*$AJ185,IF($AK185&gt;0,EDATE($I185,($AL185+1)*$AK185),$I185))))</f>
      </c>
      <c r="AY185" s="233">
        <f>IF(OR($A185="",$B185&lt;&gt;"Đột xuất"),0,IF(N($K185)&gt;0,IF(MOD($K185,1)=0,$K185+1-1/1440,$K185),IF(N($J185)=0,0,$J185+IF(N($AU185)&gt;0,$AU185,IFERROR(INDEX(DM_SLA_Gio,MATCH($L185,DM_SLA_Cap,0)),168))/24)))</f>
      </c>
      <c r="AZ185" s="225">
        <f>IF(OR($A185="",TRIM($N185)="",COUNTIF('Phản ánh'!$K$6:$K$505,$N185)&gt;0,COUNTIF($N$6:$N185,$N185)&gt;1),0,1)</f>
      </c>
      <c r="BA185" s="225">
        <f>IF($AZ185=1,SUM($AZ$6:$AZ185),"")</f>
      </c>
      <c r="BB185" s="225">
        <f>IF(OR($AO185=0,N($AW185)=0),0,IF(TDBC&lt;=$AW185,0,MAX(1,MIN(4,IF((TDBC-$AW185)*24&lt;24,1,IF((TDBC-$AW185)*24&lt;72,2,IF((TDBC-$AW185)*24&lt;168,3,4)))+IF($B185="Đột xuất",IFERROR(INDEX({2,1,0,-1},MATCH($L185,{"Khẩn cấp","Cao","Trung bình","Thấp"},0)),0),IF($D185="PCCC và an ninh",1,0))))))</f>
      </c>
    </row>
    <row r="186">
      <c r="A186" s="216"/>
      <c r="B186" s="216"/>
      <c r="C186" s="218"/>
      <c r="D186" s="218"/>
      <c r="E186" s="218"/>
      <c r="F186" s="216"/>
      <c r="G186" s="218"/>
      <c r="H186" s="218"/>
      <c r="I186" s="231"/>
      <c r="J186" s="217"/>
      <c r="K186" s="217"/>
      <c r="L186" s="216"/>
      <c r="M186" s="216"/>
      <c r="N186" s="218"/>
      <c r="O186" s="218"/>
      <c r="P186" s="218"/>
      <c r="Q186" s="218"/>
      <c r="R186" s="219"/>
      <c r="S186" s="216"/>
      <c r="T186" s="232"/>
      <c r="U186" s="232"/>
      <c r="V186" s="218"/>
      <c r="W186" s="218"/>
      <c r="X186" s="220">
        <f>IF($A186="","",IF(OR($B186="Định kỳ",$AA186="Hoàn thành"),MAX(_xlfn.MAXIFS('Nhật ký tiến độ'!$B$6:$B$3005,'Nhật ký tiến độ'!$C$6:$C$3005,$A186,'Nhật ký tiến độ'!$E$6:$E$3005,"Hoàn thành kỳ"),_xlfn.MAXIFS('Nhật ký tiến độ'!$B$6:$B$3005,'Nhật ký tiến độ'!$C$6:$C$3005,$A186,'Nhật ký tiến độ'!$E$6:$E$3005,"Hoàn thành")),0))</f>
      </c>
      <c r="Y186" s="220">
        <f>IF($A186="","",IF($B186="Đột xuất",IF($AY186=0,"",$AY186),IF($AX186=0,"",$AX186)))</f>
      </c>
      <c r="Z186" s="223">
        <f>IF(OR($AO186=0,$AW186=0),"",IF(TDBC&gt;$AW186,"Quá "&amp;IF($B186="Định kỳ",(NgayBC-$AP186)&amp;" ngày",IF(((TDBC-$AW186)*24)&lt;1,MAX(1,ROUND(((TDBC-$AW186)*24)*60,0))&amp;" phút",IF(ROUND(((TDBC-$AW186)*24),0)&lt;24,ROUND(((TDBC-$AW186)*24),0)&amp;" giờ",INT(ROUND(((TDBC-$AW186)*24),0)/24)&amp;" ngày"&amp;IF(MOD(ROUND(((TDBC-$AW186)*24),0),24)&gt;0," "&amp;MOD(ROUND(((TDBC-$AW186)*24),0),24)&amp;" giờ","")))),IF($B186="Định kỳ",IF($AP186=NgayBC,"Hôm nay","Còn "&amp;($AP186-NgayBC)&amp;" ngày"),"Còn "&amp;IF((($AW186-TDBC)*24)&lt;1,MAX(1,ROUND((($AW186-TDBC)*24)*60,0))&amp;" phút",IF(ROUND((($AW186-TDBC)*24),0)&lt;24,ROUND((($AW186-TDBC)*24),0)&amp;" giờ",INT(ROUND((($AW186-TDBC)*24),0)/24)&amp;" ngày"&amp;IF(MOD(ROUND((($AW186-TDBC)*24),0),24)&gt;0," "&amp;MOD(ROUND((($AW186-TDBC)*24),0),24)&amp;" giờ",""))))))</f>
      </c>
      <c r="AA186" s="221">
        <f>IF($A186="","",IF(N($AM186)=0,"Chưa bắt đầu",IF(OR($AN186="Hoàn thành kỳ",$AN186="Hoàn thành"),IF($B186="Định kỳ","Chưa bắt đầu","Hoàn thành"),$AN186)))</f>
      </c>
      <c r="AB186" s="222">
        <f>IF($A186="","",IF($AA186="Hoàn thành",1,IF(OR(N($AM186)=0,$AN186="Hoàn thành kỳ",$AN186="Hoàn thành"),0,N(INDEX('Nhật ký tiến độ'!$D:$D,$AM186)))))</f>
      </c>
      <c r="AC186" s="222">
        <f>IF(OR($A186="",$B186&lt;&gt;"Đột xuất",$AA186="Hoàn thành",N($J186)=0,$AW186=0),"",IF(TDBC&lt;=$J186,0,IF(TDBC&gt;=$AW186,1,(TDBC-$J186)/($AW186-$J186))))</f>
      </c>
      <c r="AD186" s="223">
        <f>IF($A186="","",IF($AA186="Hoàn thành","Hoàn thành",IF($AW186=0,"Chưa đặt hạn",IF(TDBC&gt;$AW186,"Quá hạn",IF(AND($B186="Đột xuất",ROUND((N($AC186)-$AB186)*100,0)&gt;=20),"Chậm tiến độ",IF($AP186=NgayBC,"Đến hạn hôm nay",IF($B186="Đột xuất",IF($AW186-TDBC&lt;=1,"Sắp đến hạn","Đúng tiến độ"),IF($AP186-NgayBC&lt;=3,"Sắp đến hạn","Theo lịch"))))))))</f>
      </c>
      <c r="AE186" s="223">
        <f>IF($AV186="","",IF($B186="Định kỳ","Bình quân "&amp;IF($AV186&lt;1,MAX(1,ROUND($AV186*60,0))&amp;" phút",IF(ROUND($AV186,0)&lt;24,ROUND($AV186,0)&amp;" giờ",INT(ROUND($AV186,0)/24)&amp;" ngày"&amp;IF(MOD(ROUND($AV186,0),24)&gt;0," "&amp;MOD(ROUND($AV186,0),24)&amp;" giờ","")))&amp;" mỗi kỳ",IF($AV186&lt;1,MAX(1,ROUND($AV186*60,0))&amp;" phút",IF(ROUND($AV186,0)&lt;24,ROUND($AV186,0)&amp;" giờ",INT(ROUND($AV186,0)/24)&amp;" ngày"&amp;IF(MOD(ROUND($AV186,0),24)&gt;0," "&amp;MOD(ROUND($AV186,0),24)&amp;" giờ","")))))</f>
      </c>
      <c r="AF186" s="223">
        <f>IF(OR($A186="",N($AU186)=0),"",IF($AV186&lt;&gt;"",IF($AV186&lt;=$AU186,"Trong ước tính","Vượt "&amp;IF(($AV186-$AU186)&lt;1,MAX(1,ROUND(($AV186-$AU186)*60,0))&amp;" phút",IF(ROUND(($AV186-$AU186),0)&lt;24,ROUND(($AV186-$AU186),0)&amp;" giờ",INT(ROUND(($AV186-$AU186),0)/24)&amp;" ngày"&amp;IF(MOD(ROUND(($AV186-$AU186),0),24)&gt;0," "&amp;MOD(ROUND(($AV186-$AU186),0),24)&amp;" giờ","")))),IF(OR($B186&lt;&gt;"Đột xuất",$AA186="Hoàn thành",N($J186)=0),"",IF((TDBC-$J186)*24&gt;$AU186,"Đã vượt ước tính","Đã dùng "&amp;TEXT((TDBC-$J186)*24/$AU186,"0%")))))</f>
      </c>
      <c r="AG186" s="223">
        <f>IF(N($BB186)=0,"",CHOOSE($BB186,"Nhắc nhở","Cảnh báo","Báo động","Báo động đỏ"))</f>
      </c>
      <c r="AH186" s="223">
        <f>IF(OR($B186&lt;&gt;"Đột xuất",$AA186&lt;&gt;"Hoàn thành",N($X186)=0,$AW186=0),"",IF($X186&lt;=$AW186,"Đúng hạn","Trễ hạn"))</f>
      </c>
      <c r="AI186" s="220">
        <f>IF($A186="","",_xlfn.MAXIFS('Nhật ký tiến độ'!$B$6:$B$3005,'Nhật ký tiến độ'!$C$6:$C$3005,$A186))</f>
      </c>
      <c r="AJ186" s="225">
        <f>IF(OR($A186="",$B186&lt;&gt;"Định kỳ"),0,IFERROR(INDEX(DM_TanSuatNgay,MATCH($H186,DM_TanSuat,0)),0))</f>
      </c>
      <c r="AK186" s="225">
        <f>IF(OR($A186="",$B186&lt;&gt;"Định kỳ"),0,IFERROR(INDEX(DM_TanSuatThang,MATCH($H186,DM_TanSuat,0)),0))</f>
      </c>
      <c r="AL186" s="225">
        <f>IF(OR($A186="",$B186&lt;&gt;"Định kỳ",N($X186)=0,N($I186)=0),"",IF(INT($X186)&lt;$I186,0,IF($AJ186&gt;0,ROUND((INT($X186)-$I186)/$AJ186,0),IF($AK186&gt;0,ROUND((DATEDIF($I186,INT($X186),"m")+(INT($X186)-EDATE($I186,DATEDIF($I186,INT($X186),"m")))/(EDATE($I186,DATEDIF($I186,INT($X186),"m")+1)-EDATE($I186,DATEDIF($I186,INT($X186),"m"))))/$AK186,0),0))))</f>
      </c>
      <c r="AM186" s="225">
        <f>IF($A186="","",IF(COUNTIF('Nhật ký tiến độ'!$C$6:$C$3005,$A186)=0,0,_xlfn.MAXIFS('Nhật ký tiến độ'!$N$6:$N$3005,'Nhật ký tiến độ'!$C$6:$C$3005,$A186,'Nhật ký tiến độ'!$B$6:$B$3005,_xlfn.MAXIFS('Nhật ký tiến độ'!$B$6:$B$3005,'Nhật ký tiến độ'!$C$6:$C$3005,$A186))))</f>
      </c>
      <c r="AN186" s="225">
        <f>IF($A186="","",IF(N($AM186)=0,"",INDEX('Nhật ký tiến độ'!$E:$E,$AM186)))</f>
      </c>
      <c r="AO186" s="225">
        <f>IF($A186="",0,IF($AA186="Hoàn thành",0,1))</f>
      </c>
      <c r="AP186" s="225">
        <f>IF($AO186=0,0,INT(N($AW186)))</f>
      </c>
      <c r="AQ186" s="225">
        <f>IF(AND($AO186=1,$AJ186&gt;1),$AJ186,0)</f>
      </c>
      <c r="AR186" s="225">
        <f>IF(AND($AO186=1,$AJ186=1),1,0)</f>
      </c>
      <c r="AS186" s="225">
        <f>IF(OR($AO186=0,AND($AR186=1,N($BB186)=0)),"",IF(N($BB186)&gt;0,5-$BB186,IF($AD186="Chậm tiến độ",6,IF($AD186="Đến hạn hôm nay",7,IF(AND($AP186&gt;0,$AP186-NgayBC&lt;=7),8,"")))))</f>
      </c>
      <c r="AT186" s="225">
        <f>IF($AS186="","",$AS186*100000+$AP186+ROW()/100000)</f>
      </c>
      <c r="AU186" s="224">
        <f>IF(OR($A186="",N($R186)&lt;=0),"",IF($S186="Ngày",$R186*24,$R186))</f>
      </c>
      <c r="AV186" s="224">
        <f>IF($A186="","",IF($B186="Đột xuất",IF(OR($AA186&lt;&gt;"Hoàn thành",N($X186)=0,N($J186)=0),"",IF($X186&lt;$J186,"",($X186-$J186)*24)),IFERROR(AVERAGEIFS('Nhật ký tiến độ'!$H$6:$H$3005,'Nhật ký tiến độ'!$C$6:$C$3005,$A186,'Nhật ký tiến độ'!$H$6:$H$3005,"&gt;0"),"")))</f>
      </c>
      <c r="AW186" s="233">
        <f>IF($A186="",0,IF($B186="Đột xuất",$AY186,IF($AX186=0,0,$AX186+1-1/1440)))</f>
      </c>
      <c r="AX186" s="234">
        <f>IF(OR($A186="",$B186&lt;&gt;"Định kỳ",N($I186)=0),0,IF($AL186="",$I186,IF($AJ186&gt;0,$I186+($AL186+1)*$AJ186,IF($AK186&gt;0,EDATE($I186,($AL186+1)*$AK186),$I186))))</f>
      </c>
      <c r="AY186" s="233">
        <f>IF(OR($A186="",$B186&lt;&gt;"Đột xuất"),0,IF(N($K186)&gt;0,IF(MOD($K186,1)=0,$K186+1-1/1440,$K186),IF(N($J186)=0,0,$J186+IF(N($AU186)&gt;0,$AU186,IFERROR(INDEX(DM_SLA_Gio,MATCH($L186,DM_SLA_Cap,0)),168))/24)))</f>
      </c>
      <c r="AZ186" s="225">
        <f>IF(OR($A186="",TRIM($N186)="",COUNTIF('Phản ánh'!$K$6:$K$505,$N186)&gt;0,COUNTIF($N$6:$N186,$N186)&gt;1),0,1)</f>
      </c>
      <c r="BA186" s="225">
        <f>IF($AZ186=1,SUM($AZ$6:$AZ186),"")</f>
      </c>
      <c r="BB186" s="225">
        <f>IF(OR($AO186=0,N($AW186)=0),0,IF(TDBC&lt;=$AW186,0,MAX(1,MIN(4,IF((TDBC-$AW186)*24&lt;24,1,IF((TDBC-$AW186)*24&lt;72,2,IF((TDBC-$AW186)*24&lt;168,3,4)))+IF($B186="Đột xuất",IFERROR(INDEX({2,1,0,-1},MATCH($L186,{"Khẩn cấp","Cao","Trung bình","Thấp"},0)),0),IF($D186="PCCC và an ninh",1,0))))))</f>
      </c>
    </row>
    <row r="187">
      <c r="A187" s="216"/>
      <c r="B187" s="216"/>
      <c r="C187" s="218"/>
      <c r="D187" s="218"/>
      <c r="E187" s="218"/>
      <c r="F187" s="216"/>
      <c r="G187" s="218"/>
      <c r="H187" s="218"/>
      <c r="I187" s="231"/>
      <c r="J187" s="217"/>
      <c r="K187" s="217"/>
      <c r="L187" s="216"/>
      <c r="M187" s="216"/>
      <c r="N187" s="218"/>
      <c r="O187" s="218"/>
      <c r="P187" s="218"/>
      <c r="Q187" s="218"/>
      <c r="R187" s="219"/>
      <c r="S187" s="216"/>
      <c r="T187" s="232"/>
      <c r="U187" s="232"/>
      <c r="V187" s="218"/>
      <c r="W187" s="218"/>
      <c r="X187" s="220">
        <f>IF($A187="","",IF(OR($B187="Định kỳ",$AA187="Hoàn thành"),MAX(_xlfn.MAXIFS('Nhật ký tiến độ'!$B$6:$B$3005,'Nhật ký tiến độ'!$C$6:$C$3005,$A187,'Nhật ký tiến độ'!$E$6:$E$3005,"Hoàn thành kỳ"),_xlfn.MAXIFS('Nhật ký tiến độ'!$B$6:$B$3005,'Nhật ký tiến độ'!$C$6:$C$3005,$A187,'Nhật ký tiến độ'!$E$6:$E$3005,"Hoàn thành")),0))</f>
      </c>
      <c r="Y187" s="220">
        <f>IF($A187="","",IF($B187="Đột xuất",IF($AY187=0,"",$AY187),IF($AX187=0,"",$AX187)))</f>
      </c>
      <c r="Z187" s="223">
        <f>IF(OR($AO187=0,$AW187=0),"",IF(TDBC&gt;$AW187,"Quá "&amp;IF($B187="Định kỳ",(NgayBC-$AP187)&amp;" ngày",IF(((TDBC-$AW187)*24)&lt;1,MAX(1,ROUND(((TDBC-$AW187)*24)*60,0))&amp;" phút",IF(ROUND(((TDBC-$AW187)*24),0)&lt;24,ROUND(((TDBC-$AW187)*24),0)&amp;" giờ",INT(ROUND(((TDBC-$AW187)*24),0)/24)&amp;" ngày"&amp;IF(MOD(ROUND(((TDBC-$AW187)*24),0),24)&gt;0," "&amp;MOD(ROUND(((TDBC-$AW187)*24),0),24)&amp;" giờ","")))),IF($B187="Định kỳ",IF($AP187=NgayBC,"Hôm nay","Còn "&amp;($AP187-NgayBC)&amp;" ngày"),"Còn "&amp;IF((($AW187-TDBC)*24)&lt;1,MAX(1,ROUND((($AW187-TDBC)*24)*60,0))&amp;" phút",IF(ROUND((($AW187-TDBC)*24),0)&lt;24,ROUND((($AW187-TDBC)*24),0)&amp;" giờ",INT(ROUND((($AW187-TDBC)*24),0)/24)&amp;" ngày"&amp;IF(MOD(ROUND((($AW187-TDBC)*24),0),24)&gt;0," "&amp;MOD(ROUND((($AW187-TDBC)*24),0),24)&amp;" giờ",""))))))</f>
      </c>
      <c r="AA187" s="221">
        <f>IF($A187="","",IF(N($AM187)=0,"Chưa bắt đầu",IF(OR($AN187="Hoàn thành kỳ",$AN187="Hoàn thành"),IF($B187="Định kỳ","Chưa bắt đầu","Hoàn thành"),$AN187)))</f>
      </c>
      <c r="AB187" s="222">
        <f>IF($A187="","",IF($AA187="Hoàn thành",1,IF(OR(N($AM187)=0,$AN187="Hoàn thành kỳ",$AN187="Hoàn thành"),0,N(INDEX('Nhật ký tiến độ'!$D:$D,$AM187)))))</f>
      </c>
      <c r="AC187" s="222">
        <f>IF(OR($A187="",$B187&lt;&gt;"Đột xuất",$AA187="Hoàn thành",N($J187)=0,$AW187=0),"",IF(TDBC&lt;=$J187,0,IF(TDBC&gt;=$AW187,1,(TDBC-$J187)/($AW187-$J187))))</f>
      </c>
      <c r="AD187" s="223">
        <f>IF($A187="","",IF($AA187="Hoàn thành","Hoàn thành",IF($AW187=0,"Chưa đặt hạn",IF(TDBC&gt;$AW187,"Quá hạn",IF(AND($B187="Đột xuất",ROUND((N($AC187)-$AB187)*100,0)&gt;=20),"Chậm tiến độ",IF($AP187=NgayBC,"Đến hạn hôm nay",IF($B187="Đột xuất",IF($AW187-TDBC&lt;=1,"Sắp đến hạn","Đúng tiến độ"),IF($AP187-NgayBC&lt;=3,"Sắp đến hạn","Theo lịch"))))))))</f>
      </c>
      <c r="AE187" s="223">
        <f>IF($AV187="","",IF($B187="Định kỳ","Bình quân "&amp;IF($AV187&lt;1,MAX(1,ROUND($AV187*60,0))&amp;" phút",IF(ROUND($AV187,0)&lt;24,ROUND($AV187,0)&amp;" giờ",INT(ROUND($AV187,0)/24)&amp;" ngày"&amp;IF(MOD(ROUND($AV187,0),24)&gt;0," "&amp;MOD(ROUND($AV187,0),24)&amp;" giờ","")))&amp;" mỗi kỳ",IF($AV187&lt;1,MAX(1,ROUND($AV187*60,0))&amp;" phút",IF(ROUND($AV187,0)&lt;24,ROUND($AV187,0)&amp;" giờ",INT(ROUND($AV187,0)/24)&amp;" ngày"&amp;IF(MOD(ROUND($AV187,0),24)&gt;0," "&amp;MOD(ROUND($AV187,0),24)&amp;" giờ","")))))</f>
      </c>
      <c r="AF187" s="223">
        <f>IF(OR($A187="",N($AU187)=0),"",IF($AV187&lt;&gt;"",IF($AV187&lt;=$AU187,"Trong ước tính","Vượt "&amp;IF(($AV187-$AU187)&lt;1,MAX(1,ROUND(($AV187-$AU187)*60,0))&amp;" phút",IF(ROUND(($AV187-$AU187),0)&lt;24,ROUND(($AV187-$AU187),0)&amp;" giờ",INT(ROUND(($AV187-$AU187),0)/24)&amp;" ngày"&amp;IF(MOD(ROUND(($AV187-$AU187),0),24)&gt;0," "&amp;MOD(ROUND(($AV187-$AU187),0),24)&amp;" giờ","")))),IF(OR($B187&lt;&gt;"Đột xuất",$AA187="Hoàn thành",N($J187)=0),"",IF((TDBC-$J187)*24&gt;$AU187,"Đã vượt ước tính","Đã dùng "&amp;TEXT((TDBC-$J187)*24/$AU187,"0%")))))</f>
      </c>
      <c r="AG187" s="223">
        <f>IF(N($BB187)=0,"",CHOOSE($BB187,"Nhắc nhở","Cảnh báo","Báo động","Báo động đỏ"))</f>
      </c>
      <c r="AH187" s="223">
        <f>IF(OR($B187&lt;&gt;"Đột xuất",$AA187&lt;&gt;"Hoàn thành",N($X187)=0,$AW187=0),"",IF($X187&lt;=$AW187,"Đúng hạn","Trễ hạn"))</f>
      </c>
      <c r="AI187" s="220">
        <f>IF($A187="","",_xlfn.MAXIFS('Nhật ký tiến độ'!$B$6:$B$3005,'Nhật ký tiến độ'!$C$6:$C$3005,$A187))</f>
      </c>
      <c r="AJ187" s="225">
        <f>IF(OR($A187="",$B187&lt;&gt;"Định kỳ"),0,IFERROR(INDEX(DM_TanSuatNgay,MATCH($H187,DM_TanSuat,0)),0))</f>
      </c>
      <c r="AK187" s="225">
        <f>IF(OR($A187="",$B187&lt;&gt;"Định kỳ"),0,IFERROR(INDEX(DM_TanSuatThang,MATCH($H187,DM_TanSuat,0)),0))</f>
      </c>
      <c r="AL187" s="225">
        <f>IF(OR($A187="",$B187&lt;&gt;"Định kỳ",N($X187)=0,N($I187)=0),"",IF(INT($X187)&lt;$I187,0,IF($AJ187&gt;0,ROUND((INT($X187)-$I187)/$AJ187,0),IF($AK187&gt;0,ROUND((DATEDIF($I187,INT($X187),"m")+(INT($X187)-EDATE($I187,DATEDIF($I187,INT($X187),"m")))/(EDATE($I187,DATEDIF($I187,INT($X187),"m")+1)-EDATE($I187,DATEDIF($I187,INT($X187),"m"))))/$AK187,0),0))))</f>
      </c>
      <c r="AM187" s="225">
        <f>IF($A187="","",IF(COUNTIF('Nhật ký tiến độ'!$C$6:$C$3005,$A187)=0,0,_xlfn.MAXIFS('Nhật ký tiến độ'!$N$6:$N$3005,'Nhật ký tiến độ'!$C$6:$C$3005,$A187,'Nhật ký tiến độ'!$B$6:$B$3005,_xlfn.MAXIFS('Nhật ký tiến độ'!$B$6:$B$3005,'Nhật ký tiến độ'!$C$6:$C$3005,$A187))))</f>
      </c>
      <c r="AN187" s="225">
        <f>IF($A187="","",IF(N($AM187)=0,"",INDEX('Nhật ký tiến độ'!$E:$E,$AM187)))</f>
      </c>
      <c r="AO187" s="225">
        <f>IF($A187="",0,IF($AA187="Hoàn thành",0,1))</f>
      </c>
      <c r="AP187" s="225">
        <f>IF($AO187=0,0,INT(N($AW187)))</f>
      </c>
      <c r="AQ187" s="225">
        <f>IF(AND($AO187=1,$AJ187&gt;1),$AJ187,0)</f>
      </c>
      <c r="AR187" s="225">
        <f>IF(AND($AO187=1,$AJ187=1),1,0)</f>
      </c>
      <c r="AS187" s="225">
        <f>IF(OR($AO187=0,AND($AR187=1,N($BB187)=0)),"",IF(N($BB187)&gt;0,5-$BB187,IF($AD187="Chậm tiến độ",6,IF($AD187="Đến hạn hôm nay",7,IF(AND($AP187&gt;0,$AP187-NgayBC&lt;=7),8,"")))))</f>
      </c>
      <c r="AT187" s="225">
        <f>IF($AS187="","",$AS187*100000+$AP187+ROW()/100000)</f>
      </c>
      <c r="AU187" s="224">
        <f>IF(OR($A187="",N($R187)&lt;=0),"",IF($S187="Ngày",$R187*24,$R187))</f>
      </c>
      <c r="AV187" s="224">
        <f>IF($A187="","",IF($B187="Đột xuất",IF(OR($AA187&lt;&gt;"Hoàn thành",N($X187)=0,N($J187)=0),"",IF($X187&lt;$J187,"",($X187-$J187)*24)),IFERROR(AVERAGEIFS('Nhật ký tiến độ'!$H$6:$H$3005,'Nhật ký tiến độ'!$C$6:$C$3005,$A187,'Nhật ký tiến độ'!$H$6:$H$3005,"&gt;0"),"")))</f>
      </c>
      <c r="AW187" s="233">
        <f>IF($A187="",0,IF($B187="Đột xuất",$AY187,IF($AX187=0,0,$AX187+1-1/1440)))</f>
      </c>
      <c r="AX187" s="234">
        <f>IF(OR($A187="",$B187&lt;&gt;"Định kỳ",N($I187)=0),0,IF($AL187="",$I187,IF($AJ187&gt;0,$I187+($AL187+1)*$AJ187,IF($AK187&gt;0,EDATE($I187,($AL187+1)*$AK187),$I187))))</f>
      </c>
      <c r="AY187" s="233">
        <f>IF(OR($A187="",$B187&lt;&gt;"Đột xuất"),0,IF(N($K187)&gt;0,IF(MOD($K187,1)=0,$K187+1-1/1440,$K187),IF(N($J187)=0,0,$J187+IF(N($AU187)&gt;0,$AU187,IFERROR(INDEX(DM_SLA_Gio,MATCH($L187,DM_SLA_Cap,0)),168))/24)))</f>
      </c>
      <c r="AZ187" s="225">
        <f>IF(OR($A187="",TRIM($N187)="",COUNTIF('Phản ánh'!$K$6:$K$505,$N187)&gt;0,COUNTIF($N$6:$N187,$N187)&gt;1),0,1)</f>
      </c>
      <c r="BA187" s="225">
        <f>IF($AZ187=1,SUM($AZ$6:$AZ187),"")</f>
      </c>
      <c r="BB187" s="225">
        <f>IF(OR($AO187=0,N($AW187)=0),0,IF(TDBC&lt;=$AW187,0,MAX(1,MIN(4,IF((TDBC-$AW187)*24&lt;24,1,IF((TDBC-$AW187)*24&lt;72,2,IF((TDBC-$AW187)*24&lt;168,3,4)))+IF($B187="Đột xuất",IFERROR(INDEX({2,1,0,-1},MATCH($L187,{"Khẩn cấp","Cao","Trung bình","Thấp"},0)),0),IF($D187="PCCC và an ninh",1,0))))))</f>
      </c>
    </row>
    <row r="188">
      <c r="A188" s="216"/>
      <c r="B188" s="216"/>
      <c r="C188" s="218"/>
      <c r="D188" s="218"/>
      <c r="E188" s="218"/>
      <c r="F188" s="216"/>
      <c r="G188" s="218"/>
      <c r="H188" s="218"/>
      <c r="I188" s="231"/>
      <c r="J188" s="217"/>
      <c r="K188" s="217"/>
      <c r="L188" s="216"/>
      <c r="M188" s="216"/>
      <c r="N188" s="218"/>
      <c r="O188" s="218"/>
      <c r="P188" s="218"/>
      <c r="Q188" s="218"/>
      <c r="R188" s="219"/>
      <c r="S188" s="216"/>
      <c r="T188" s="232"/>
      <c r="U188" s="232"/>
      <c r="V188" s="218"/>
      <c r="W188" s="218"/>
      <c r="X188" s="220">
        <f>IF($A188="","",IF(OR($B188="Định kỳ",$AA188="Hoàn thành"),MAX(_xlfn.MAXIFS('Nhật ký tiến độ'!$B$6:$B$3005,'Nhật ký tiến độ'!$C$6:$C$3005,$A188,'Nhật ký tiến độ'!$E$6:$E$3005,"Hoàn thành kỳ"),_xlfn.MAXIFS('Nhật ký tiến độ'!$B$6:$B$3005,'Nhật ký tiến độ'!$C$6:$C$3005,$A188,'Nhật ký tiến độ'!$E$6:$E$3005,"Hoàn thành")),0))</f>
      </c>
      <c r="Y188" s="220">
        <f>IF($A188="","",IF($B188="Đột xuất",IF($AY188=0,"",$AY188),IF($AX188=0,"",$AX188)))</f>
      </c>
      <c r="Z188" s="223">
        <f>IF(OR($AO188=0,$AW188=0),"",IF(TDBC&gt;$AW188,"Quá "&amp;IF($B188="Định kỳ",(NgayBC-$AP188)&amp;" ngày",IF(((TDBC-$AW188)*24)&lt;1,MAX(1,ROUND(((TDBC-$AW188)*24)*60,0))&amp;" phút",IF(ROUND(((TDBC-$AW188)*24),0)&lt;24,ROUND(((TDBC-$AW188)*24),0)&amp;" giờ",INT(ROUND(((TDBC-$AW188)*24),0)/24)&amp;" ngày"&amp;IF(MOD(ROUND(((TDBC-$AW188)*24),0),24)&gt;0," "&amp;MOD(ROUND(((TDBC-$AW188)*24),0),24)&amp;" giờ","")))),IF($B188="Định kỳ",IF($AP188=NgayBC,"Hôm nay","Còn "&amp;($AP188-NgayBC)&amp;" ngày"),"Còn "&amp;IF((($AW188-TDBC)*24)&lt;1,MAX(1,ROUND((($AW188-TDBC)*24)*60,0))&amp;" phút",IF(ROUND((($AW188-TDBC)*24),0)&lt;24,ROUND((($AW188-TDBC)*24),0)&amp;" giờ",INT(ROUND((($AW188-TDBC)*24),0)/24)&amp;" ngày"&amp;IF(MOD(ROUND((($AW188-TDBC)*24),0),24)&gt;0," "&amp;MOD(ROUND((($AW188-TDBC)*24),0),24)&amp;" giờ",""))))))</f>
      </c>
      <c r="AA188" s="221">
        <f>IF($A188="","",IF(N($AM188)=0,"Chưa bắt đầu",IF(OR($AN188="Hoàn thành kỳ",$AN188="Hoàn thành"),IF($B188="Định kỳ","Chưa bắt đầu","Hoàn thành"),$AN188)))</f>
      </c>
      <c r="AB188" s="222">
        <f>IF($A188="","",IF($AA188="Hoàn thành",1,IF(OR(N($AM188)=0,$AN188="Hoàn thành kỳ",$AN188="Hoàn thành"),0,N(INDEX('Nhật ký tiến độ'!$D:$D,$AM188)))))</f>
      </c>
      <c r="AC188" s="222">
        <f>IF(OR($A188="",$B188&lt;&gt;"Đột xuất",$AA188="Hoàn thành",N($J188)=0,$AW188=0),"",IF(TDBC&lt;=$J188,0,IF(TDBC&gt;=$AW188,1,(TDBC-$J188)/($AW188-$J188))))</f>
      </c>
      <c r="AD188" s="223">
        <f>IF($A188="","",IF($AA188="Hoàn thành","Hoàn thành",IF($AW188=0,"Chưa đặt hạn",IF(TDBC&gt;$AW188,"Quá hạn",IF(AND($B188="Đột xuất",ROUND((N($AC188)-$AB188)*100,0)&gt;=20),"Chậm tiến độ",IF($AP188=NgayBC,"Đến hạn hôm nay",IF($B188="Đột xuất",IF($AW188-TDBC&lt;=1,"Sắp đến hạn","Đúng tiến độ"),IF($AP188-NgayBC&lt;=3,"Sắp đến hạn","Theo lịch"))))))))</f>
      </c>
      <c r="AE188" s="223">
        <f>IF($AV188="","",IF($B188="Định kỳ","Bình quân "&amp;IF($AV188&lt;1,MAX(1,ROUND($AV188*60,0))&amp;" phút",IF(ROUND($AV188,0)&lt;24,ROUND($AV188,0)&amp;" giờ",INT(ROUND($AV188,0)/24)&amp;" ngày"&amp;IF(MOD(ROUND($AV188,0),24)&gt;0," "&amp;MOD(ROUND($AV188,0),24)&amp;" giờ","")))&amp;" mỗi kỳ",IF($AV188&lt;1,MAX(1,ROUND($AV188*60,0))&amp;" phút",IF(ROUND($AV188,0)&lt;24,ROUND($AV188,0)&amp;" giờ",INT(ROUND($AV188,0)/24)&amp;" ngày"&amp;IF(MOD(ROUND($AV188,0),24)&gt;0," "&amp;MOD(ROUND($AV188,0),24)&amp;" giờ","")))))</f>
      </c>
      <c r="AF188" s="223">
        <f>IF(OR($A188="",N($AU188)=0),"",IF($AV188&lt;&gt;"",IF($AV188&lt;=$AU188,"Trong ước tính","Vượt "&amp;IF(($AV188-$AU188)&lt;1,MAX(1,ROUND(($AV188-$AU188)*60,0))&amp;" phút",IF(ROUND(($AV188-$AU188),0)&lt;24,ROUND(($AV188-$AU188),0)&amp;" giờ",INT(ROUND(($AV188-$AU188),0)/24)&amp;" ngày"&amp;IF(MOD(ROUND(($AV188-$AU188),0),24)&gt;0," "&amp;MOD(ROUND(($AV188-$AU188),0),24)&amp;" giờ","")))),IF(OR($B188&lt;&gt;"Đột xuất",$AA188="Hoàn thành",N($J188)=0),"",IF((TDBC-$J188)*24&gt;$AU188,"Đã vượt ước tính","Đã dùng "&amp;TEXT((TDBC-$J188)*24/$AU188,"0%")))))</f>
      </c>
      <c r="AG188" s="223">
        <f>IF(N($BB188)=0,"",CHOOSE($BB188,"Nhắc nhở","Cảnh báo","Báo động","Báo động đỏ"))</f>
      </c>
      <c r="AH188" s="223">
        <f>IF(OR($B188&lt;&gt;"Đột xuất",$AA188&lt;&gt;"Hoàn thành",N($X188)=0,$AW188=0),"",IF($X188&lt;=$AW188,"Đúng hạn","Trễ hạn"))</f>
      </c>
      <c r="AI188" s="220">
        <f>IF($A188="","",_xlfn.MAXIFS('Nhật ký tiến độ'!$B$6:$B$3005,'Nhật ký tiến độ'!$C$6:$C$3005,$A188))</f>
      </c>
      <c r="AJ188" s="225">
        <f>IF(OR($A188="",$B188&lt;&gt;"Định kỳ"),0,IFERROR(INDEX(DM_TanSuatNgay,MATCH($H188,DM_TanSuat,0)),0))</f>
      </c>
      <c r="AK188" s="225">
        <f>IF(OR($A188="",$B188&lt;&gt;"Định kỳ"),0,IFERROR(INDEX(DM_TanSuatThang,MATCH($H188,DM_TanSuat,0)),0))</f>
      </c>
      <c r="AL188" s="225">
        <f>IF(OR($A188="",$B188&lt;&gt;"Định kỳ",N($X188)=0,N($I188)=0),"",IF(INT($X188)&lt;$I188,0,IF($AJ188&gt;0,ROUND((INT($X188)-$I188)/$AJ188,0),IF($AK188&gt;0,ROUND((DATEDIF($I188,INT($X188),"m")+(INT($X188)-EDATE($I188,DATEDIF($I188,INT($X188),"m")))/(EDATE($I188,DATEDIF($I188,INT($X188),"m")+1)-EDATE($I188,DATEDIF($I188,INT($X188),"m"))))/$AK188,0),0))))</f>
      </c>
      <c r="AM188" s="225">
        <f>IF($A188="","",IF(COUNTIF('Nhật ký tiến độ'!$C$6:$C$3005,$A188)=0,0,_xlfn.MAXIFS('Nhật ký tiến độ'!$N$6:$N$3005,'Nhật ký tiến độ'!$C$6:$C$3005,$A188,'Nhật ký tiến độ'!$B$6:$B$3005,_xlfn.MAXIFS('Nhật ký tiến độ'!$B$6:$B$3005,'Nhật ký tiến độ'!$C$6:$C$3005,$A188))))</f>
      </c>
      <c r="AN188" s="225">
        <f>IF($A188="","",IF(N($AM188)=0,"",INDEX('Nhật ký tiến độ'!$E:$E,$AM188)))</f>
      </c>
      <c r="AO188" s="225">
        <f>IF($A188="",0,IF($AA188="Hoàn thành",0,1))</f>
      </c>
      <c r="AP188" s="225">
        <f>IF($AO188=0,0,INT(N($AW188)))</f>
      </c>
      <c r="AQ188" s="225">
        <f>IF(AND($AO188=1,$AJ188&gt;1),$AJ188,0)</f>
      </c>
      <c r="AR188" s="225">
        <f>IF(AND($AO188=1,$AJ188=1),1,0)</f>
      </c>
      <c r="AS188" s="225">
        <f>IF(OR($AO188=0,AND($AR188=1,N($BB188)=0)),"",IF(N($BB188)&gt;0,5-$BB188,IF($AD188="Chậm tiến độ",6,IF($AD188="Đến hạn hôm nay",7,IF(AND($AP188&gt;0,$AP188-NgayBC&lt;=7),8,"")))))</f>
      </c>
      <c r="AT188" s="225">
        <f>IF($AS188="","",$AS188*100000+$AP188+ROW()/100000)</f>
      </c>
      <c r="AU188" s="224">
        <f>IF(OR($A188="",N($R188)&lt;=0),"",IF($S188="Ngày",$R188*24,$R188))</f>
      </c>
      <c r="AV188" s="224">
        <f>IF($A188="","",IF($B188="Đột xuất",IF(OR($AA188&lt;&gt;"Hoàn thành",N($X188)=0,N($J188)=0),"",IF($X188&lt;$J188,"",($X188-$J188)*24)),IFERROR(AVERAGEIFS('Nhật ký tiến độ'!$H$6:$H$3005,'Nhật ký tiến độ'!$C$6:$C$3005,$A188,'Nhật ký tiến độ'!$H$6:$H$3005,"&gt;0"),"")))</f>
      </c>
      <c r="AW188" s="233">
        <f>IF($A188="",0,IF($B188="Đột xuất",$AY188,IF($AX188=0,0,$AX188+1-1/1440)))</f>
      </c>
      <c r="AX188" s="234">
        <f>IF(OR($A188="",$B188&lt;&gt;"Định kỳ",N($I188)=0),0,IF($AL188="",$I188,IF($AJ188&gt;0,$I188+($AL188+1)*$AJ188,IF($AK188&gt;0,EDATE($I188,($AL188+1)*$AK188),$I188))))</f>
      </c>
      <c r="AY188" s="233">
        <f>IF(OR($A188="",$B188&lt;&gt;"Đột xuất"),0,IF(N($K188)&gt;0,IF(MOD($K188,1)=0,$K188+1-1/1440,$K188),IF(N($J188)=0,0,$J188+IF(N($AU188)&gt;0,$AU188,IFERROR(INDEX(DM_SLA_Gio,MATCH($L188,DM_SLA_Cap,0)),168))/24)))</f>
      </c>
      <c r="AZ188" s="225">
        <f>IF(OR($A188="",TRIM($N188)="",COUNTIF('Phản ánh'!$K$6:$K$505,$N188)&gt;0,COUNTIF($N$6:$N188,$N188)&gt;1),0,1)</f>
      </c>
      <c r="BA188" s="225">
        <f>IF($AZ188=1,SUM($AZ$6:$AZ188),"")</f>
      </c>
      <c r="BB188" s="225">
        <f>IF(OR($AO188=0,N($AW188)=0),0,IF(TDBC&lt;=$AW188,0,MAX(1,MIN(4,IF((TDBC-$AW188)*24&lt;24,1,IF((TDBC-$AW188)*24&lt;72,2,IF((TDBC-$AW188)*24&lt;168,3,4)))+IF($B188="Đột xuất",IFERROR(INDEX({2,1,0,-1},MATCH($L188,{"Khẩn cấp","Cao","Trung bình","Thấp"},0)),0),IF($D188="PCCC và an ninh",1,0))))))</f>
      </c>
    </row>
    <row r="189">
      <c r="A189" s="216"/>
      <c r="B189" s="216"/>
      <c r="C189" s="218"/>
      <c r="D189" s="218"/>
      <c r="E189" s="218"/>
      <c r="F189" s="216"/>
      <c r="G189" s="218"/>
      <c r="H189" s="218"/>
      <c r="I189" s="231"/>
      <c r="J189" s="217"/>
      <c r="K189" s="217"/>
      <c r="L189" s="216"/>
      <c r="M189" s="216"/>
      <c r="N189" s="218"/>
      <c r="O189" s="218"/>
      <c r="P189" s="218"/>
      <c r="Q189" s="218"/>
      <c r="R189" s="219"/>
      <c r="S189" s="216"/>
      <c r="T189" s="232"/>
      <c r="U189" s="232"/>
      <c r="V189" s="218"/>
      <c r="W189" s="218"/>
      <c r="X189" s="220">
        <f>IF($A189="","",IF(OR($B189="Định kỳ",$AA189="Hoàn thành"),MAX(_xlfn.MAXIFS('Nhật ký tiến độ'!$B$6:$B$3005,'Nhật ký tiến độ'!$C$6:$C$3005,$A189,'Nhật ký tiến độ'!$E$6:$E$3005,"Hoàn thành kỳ"),_xlfn.MAXIFS('Nhật ký tiến độ'!$B$6:$B$3005,'Nhật ký tiến độ'!$C$6:$C$3005,$A189,'Nhật ký tiến độ'!$E$6:$E$3005,"Hoàn thành")),0))</f>
      </c>
      <c r="Y189" s="220">
        <f>IF($A189="","",IF($B189="Đột xuất",IF($AY189=0,"",$AY189),IF($AX189=0,"",$AX189)))</f>
      </c>
      <c r="Z189" s="223">
        <f>IF(OR($AO189=0,$AW189=0),"",IF(TDBC&gt;$AW189,"Quá "&amp;IF($B189="Định kỳ",(NgayBC-$AP189)&amp;" ngày",IF(((TDBC-$AW189)*24)&lt;1,MAX(1,ROUND(((TDBC-$AW189)*24)*60,0))&amp;" phút",IF(ROUND(((TDBC-$AW189)*24),0)&lt;24,ROUND(((TDBC-$AW189)*24),0)&amp;" giờ",INT(ROUND(((TDBC-$AW189)*24),0)/24)&amp;" ngày"&amp;IF(MOD(ROUND(((TDBC-$AW189)*24),0),24)&gt;0," "&amp;MOD(ROUND(((TDBC-$AW189)*24),0),24)&amp;" giờ","")))),IF($B189="Định kỳ",IF($AP189=NgayBC,"Hôm nay","Còn "&amp;($AP189-NgayBC)&amp;" ngày"),"Còn "&amp;IF((($AW189-TDBC)*24)&lt;1,MAX(1,ROUND((($AW189-TDBC)*24)*60,0))&amp;" phút",IF(ROUND((($AW189-TDBC)*24),0)&lt;24,ROUND((($AW189-TDBC)*24),0)&amp;" giờ",INT(ROUND((($AW189-TDBC)*24),0)/24)&amp;" ngày"&amp;IF(MOD(ROUND((($AW189-TDBC)*24),0),24)&gt;0," "&amp;MOD(ROUND((($AW189-TDBC)*24),0),24)&amp;" giờ",""))))))</f>
      </c>
      <c r="AA189" s="221">
        <f>IF($A189="","",IF(N($AM189)=0,"Chưa bắt đầu",IF(OR($AN189="Hoàn thành kỳ",$AN189="Hoàn thành"),IF($B189="Định kỳ","Chưa bắt đầu","Hoàn thành"),$AN189)))</f>
      </c>
      <c r="AB189" s="222">
        <f>IF($A189="","",IF($AA189="Hoàn thành",1,IF(OR(N($AM189)=0,$AN189="Hoàn thành kỳ",$AN189="Hoàn thành"),0,N(INDEX('Nhật ký tiến độ'!$D:$D,$AM189)))))</f>
      </c>
      <c r="AC189" s="222">
        <f>IF(OR($A189="",$B189&lt;&gt;"Đột xuất",$AA189="Hoàn thành",N($J189)=0,$AW189=0),"",IF(TDBC&lt;=$J189,0,IF(TDBC&gt;=$AW189,1,(TDBC-$J189)/($AW189-$J189))))</f>
      </c>
      <c r="AD189" s="223">
        <f>IF($A189="","",IF($AA189="Hoàn thành","Hoàn thành",IF($AW189=0,"Chưa đặt hạn",IF(TDBC&gt;$AW189,"Quá hạn",IF(AND($B189="Đột xuất",ROUND((N($AC189)-$AB189)*100,0)&gt;=20),"Chậm tiến độ",IF($AP189=NgayBC,"Đến hạn hôm nay",IF($B189="Đột xuất",IF($AW189-TDBC&lt;=1,"Sắp đến hạn","Đúng tiến độ"),IF($AP189-NgayBC&lt;=3,"Sắp đến hạn","Theo lịch"))))))))</f>
      </c>
      <c r="AE189" s="223">
        <f>IF($AV189="","",IF($B189="Định kỳ","Bình quân "&amp;IF($AV189&lt;1,MAX(1,ROUND($AV189*60,0))&amp;" phút",IF(ROUND($AV189,0)&lt;24,ROUND($AV189,0)&amp;" giờ",INT(ROUND($AV189,0)/24)&amp;" ngày"&amp;IF(MOD(ROUND($AV189,0),24)&gt;0," "&amp;MOD(ROUND($AV189,0),24)&amp;" giờ","")))&amp;" mỗi kỳ",IF($AV189&lt;1,MAX(1,ROUND($AV189*60,0))&amp;" phút",IF(ROUND($AV189,0)&lt;24,ROUND($AV189,0)&amp;" giờ",INT(ROUND($AV189,0)/24)&amp;" ngày"&amp;IF(MOD(ROUND($AV189,0),24)&gt;0," "&amp;MOD(ROUND($AV189,0),24)&amp;" giờ","")))))</f>
      </c>
      <c r="AF189" s="223">
        <f>IF(OR($A189="",N($AU189)=0),"",IF($AV189&lt;&gt;"",IF($AV189&lt;=$AU189,"Trong ước tính","Vượt "&amp;IF(($AV189-$AU189)&lt;1,MAX(1,ROUND(($AV189-$AU189)*60,0))&amp;" phút",IF(ROUND(($AV189-$AU189),0)&lt;24,ROUND(($AV189-$AU189),0)&amp;" giờ",INT(ROUND(($AV189-$AU189),0)/24)&amp;" ngày"&amp;IF(MOD(ROUND(($AV189-$AU189),0),24)&gt;0," "&amp;MOD(ROUND(($AV189-$AU189),0),24)&amp;" giờ","")))),IF(OR($B189&lt;&gt;"Đột xuất",$AA189="Hoàn thành",N($J189)=0),"",IF((TDBC-$J189)*24&gt;$AU189,"Đã vượt ước tính","Đã dùng "&amp;TEXT((TDBC-$J189)*24/$AU189,"0%")))))</f>
      </c>
      <c r="AG189" s="223">
        <f>IF(N($BB189)=0,"",CHOOSE($BB189,"Nhắc nhở","Cảnh báo","Báo động","Báo động đỏ"))</f>
      </c>
      <c r="AH189" s="223">
        <f>IF(OR($B189&lt;&gt;"Đột xuất",$AA189&lt;&gt;"Hoàn thành",N($X189)=0,$AW189=0),"",IF($X189&lt;=$AW189,"Đúng hạn","Trễ hạn"))</f>
      </c>
      <c r="AI189" s="220">
        <f>IF($A189="","",_xlfn.MAXIFS('Nhật ký tiến độ'!$B$6:$B$3005,'Nhật ký tiến độ'!$C$6:$C$3005,$A189))</f>
      </c>
      <c r="AJ189" s="225">
        <f>IF(OR($A189="",$B189&lt;&gt;"Định kỳ"),0,IFERROR(INDEX(DM_TanSuatNgay,MATCH($H189,DM_TanSuat,0)),0))</f>
      </c>
      <c r="AK189" s="225">
        <f>IF(OR($A189="",$B189&lt;&gt;"Định kỳ"),0,IFERROR(INDEX(DM_TanSuatThang,MATCH($H189,DM_TanSuat,0)),0))</f>
      </c>
      <c r="AL189" s="225">
        <f>IF(OR($A189="",$B189&lt;&gt;"Định kỳ",N($X189)=0,N($I189)=0),"",IF(INT($X189)&lt;$I189,0,IF($AJ189&gt;0,ROUND((INT($X189)-$I189)/$AJ189,0),IF($AK189&gt;0,ROUND((DATEDIF($I189,INT($X189),"m")+(INT($X189)-EDATE($I189,DATEDIF($I189,INT($X189),"m")))/(EDATE($I189,DATEDIF($I189,INT($X189),"m")+1)-EDATE($I189,DATEDIF($I189,INT($X189),"m"))))/$AK189,0),0))))</f>
      </c>
      <c r="AM189" s="225">
        <f>IF($A189="","",IF(COUNTIF('Nhật ký tiến độ'!$C$6:$C$3005,$A189)=0,0,_xlfn.MAXIFS('Nhật ký tiến độ'!$N$6:$N$3005,'Nhật ký tiến độ'!$C$6:$C$3005,$A189,'Nhật ký tiến độ'!$B$6:$B$3005,_xlfn.MAXIFS('Nhật ký tiến độ'!$B$6:$B$3005,'Nhật ký tiến độ'!$C$6:$C$3005,$A189))))</f>
      </c>
      <c r="AN189" s="225">
        <f>IF($A189="","",IF(N($AM189)=0,"",INDEX('Nhật ký tiến độ'!$E:$E,$AM189)))</f>
      </c>
      <c r="AO189" s="225">
        <f>IF($A189="",0,IF($AA189="Hoàn thành",0,1))</f>
      </c>
      <c r="AP189" s="225">
        <f>IF($AO189=0,0,INT(N($AW189)))</f>
      </c>
      <c r="AQ189" s="225">
        <f>IF(AND($AO189=1,$AJ189&gt;1),$AJ189,0)</f>
      </c>
      <c r="AR189" s="225">
        <f>IF(AND($AO189=1,$AJ189=1),1,0)</f>
      </c>
      <c r="AS189" s="225">
        <f>IF(OR($AO189=0,AND($AR189=1,N($BB189)=0)),"",IF(N($BB189)&gt;0,5-$BB189,IF($AD189="Chậm tiến độ",6,IF($AD189="Đến hạn hôm nay",7,IF(AND($AP189&gt;0,$AP189-NgayBC&lt;=7),8,"")))))</f>
      </c>
      <c r="AT189" s="225">
        <f>IF($AS189="","",$AS189*100000+$AP189+ROW()/100000)</f>
      </c>
      <c r="AU189" s="224">
        <f>IF(OR($A189="",N($R189)&lt;=0),"",IF($S189="Ngày",$R189*24,$R189))</f>
      </c>
      <c r="AV189" s="224">
        <f>IF($A189="","",IF($B189="Đột xuất",IF(OR($AA189&lt;&gt;"Hoàn thành",N($X189)=0,N($J189)=0),"",IF($X189&lt;$J189,"",($X189-$J189)*24)),IFERROR(AVERAGEIFS('Nhật ký tiến độ'!$H$6:$H$3005,'Nhật ký tiến độ'!$C$6:$C$3005,$A189,'Nhật ký tiến độ'!$H$6:$H$3005,"&gt;0"),"")))</f>
      </c>
      <c r="AW189" s="233">
        <f>IF($A189="",0,IF($B189="Đột xuất",$AY189,IF($AX189=0,0,$AX189+1-1/1440)))</f>
      </c>
      <c r="AX189" s="234">
        <f>IF(OR($A189="",$B189&lt;&gt;"Định kỳ",N($I189)=0),0,IF($AL189="",$I189,IF($AJ189&gt;0,$I189+($AL189+1)*$AJ189,IF($AK189&gt;0,EDATE($I189,($AL189+1)*$AK189),$I189))))</f>
      </c>
      <c r="AY189" s="233">
        <f>IF(OR($A189="",$B189&lt;&gt;"Đột xuất"),0,IF(N($K189)&gt;0,IF(MOD($K189,1)=0,$K189+1-1/1440,$K189),IF(N($J189)=0,0,$J189+IF(N($AU189)&gt;0,$AU189,IFERROR(INDEX(DM_SLA_Gio,MATCH($L189,DM_SLA_Cap,0)),168))/24)))</f>
      </c>
      <c r="AZ189" s="225">
        <f>IF(OR($A189="",TRIM($N189)="",COUNTIF('Phản ánh'!$K$6:$K$505,$N189)&gt;0,COUNTIF($N$6:$N189,$N189)&gt;1),0,1)</f>
      </c>
      <c r="BA189" s="225">
        <f>IF($AZ189=1,SUM($AZ$6:$AZ189),"")</f>
      </c>
      <c r="BB189" s="225">
        <f>IF(OR($AO189=0,N($AW189)=0),0,IF(TDBC&lt;=$AW189,0,MAX(1,MIN(4,IF((TDBC-$AW189)*24&lt;24,1,IF((TDBC-$AW189)*24&lt;72,2,IF((TDBC-$AW189)*24&lt;168,3,4)))+IF($B189="Đột xuất",IFERROR(INDEX({2,1,0,-1},MATCH($L189,{"Khẩn cấp","Cao","Trung bình","Thấp"},0)),0),IF($D189="PCCC và an ninh",1,0))))))</f>
      </c>
    </row>
    <row r="190">
      <c r="A190" s="216"/>
      <c r="B190" s="216"/>
      <c r="C190" s="218"/>
      <c r="D190" s="218"/>
      <c r="E190" s="218"/>
      <c r="F190" s="216"/>
      <c r="G190" s="218"/>
      <c r="H190" s="218"/>
      <c r="I190" s="231"/>
      <c r="J190" s="217"/>
      <c r="K190" s="217"/>
      <c r="L190" s="216"/>
      <c r="M190" s="216"/>
      <c r="N190" s="218"/>
      <c r="O190" s="218"/>
      <c r="P190" s="218"/>
      <c r="Q190" s="218"/>
      <c r="R190" s="219"/>
      <c r="S190" s="216"/>
      <c r="T190" s="232"/>
      <c r="U190" s="232"/>
      <c r="V190" s="218"/>
      <c r="W190" s="218"/>
      <c r="X190" s="220">
        <f>IF($A190="","",IF(OR($B190="Định kỳ",$AA190="Hoàn thành"),MAX(_xlfn.MAXIFS('Nhật ký tiến độ'!$B$6:$B$3005,'Nhật ký tiến độ'!$C$6:$C$3005,$A190,'Nhật ký tiến độ'!$E$6:$E$3005,"Hoàn thành kỳ"),_xlfn.MAXIFS('Nhật ký tiến độ'!$B$6:$B$3005,'Nhật ký tiến độ'!$C$6:$C$3005,$A190,'Nhật ký tiến độ'!$E$6:$E$3005,"Hoàn thành")),0))</f>
      </c>
      <c r="Y190" s="220">
        <f>IF($A190="","",IF($B190="Đột xuất",IF($AY190=0,"",$AY190),IF($AX190=0,"",$AX190)))</f>
      </c>
      <c r="Z190" s="223">
        <f>IF(OR($AO190=0,$AW190=0),"",IF(TDBC&gt;$AW190,"Quá "&amp;IF($B190="Định kỳ",(NgayBC-$AP190)&amp;" ngày",IF(((TDBC-$AW190)*24)&lt;1,MAX(1,ROUND(((TDBC-$AW190)*24)*60,0))&amp;" phút",IF(ROUND(((TDBC-$AW190)*24),0)&lt;24,ROUND(((TDBC-$AW190)*24),0)&amp;" giờ",INT(ROUND(((TDBC-$AW190)*24),0)/24)&amp;" ngày"&amp;IF(MOD(ROUND(((TDBC-$AW190)*24),0),24)&gt;0," "&amp;MOD(ROUND(((TDBC-$AW190)*24),0),24)&amp;" giờ","")))),IF($B190="Định kỳ",IF($AP190=NgayBC,"Hôm nay","Còn "&amp;($AP190-NgayBC)&amp;" ngày"),"Còn "&amp;IF((($AW190-TDBC)*24)&lt;1,MAX(1,ROUND((($AW190-TDBC)*24)*60,0))&amp;" phút",IF(ROUND((($AW190-TDBC)*24),0)&lt;24,ROUND((($AW190-TDBC)*24),0)&amp;" giờ",INT(ROUND((($AW190-TDBC)*24),0)/24)&amp;" ngày"&amp;IF(MOD(ROUND((($AW190-TDBC)*24),0),24)&gt;0," "&amp;MOD(ROUND((($AW190-TDBC)*24),0),24)&amp;" giờ",""))))))</f>
      </c>
      <c r="AA190" s="221">
        <f>IF($A190="","",IF(N($AM190)=0,"Chưa bắt đầu",IF(OR($AN190="Hoàn thành kỳ",$AN190="Hoàn thành"),IF($B190="Định kỳ","Chưa bắt đầu","Hoàn thành"),$AN190)))</f>
      </c>
      <c r="AB190" s="222">
        <f>IF($A190="","",IF($AA190="Hoàn thành",1,IF(OR(N($AM190)=0,$AN190="Hoàn thành kỳ",$AN190="Hoàn thành"),0,N(INDEX('Nhật ký tiến độ'!$D:$D,$AM190)))))</f>
      </c>
      <c r="AC190" s="222">
        <f>IF(OR($A190="",$B190&lt;&gt;"Đột xuất",$AA190="Hoàn thành",N($J190)=0,$AW190=0),"",IF(TDBC&lt;=$J190,0,IF(TDBC&gt;=$AW190,1,(TDBC-$J190)/($AW190-$J190))))</f>
      </c>
      <c r="AD190" s="223">
        <f>IF($A190="","",IF($AA190="Hoàn thành","Hoàn thành",IF($AW190=0,"Chưa đặt hạn",IF(TDBC&gt;$AW190,"Quá hạn",IF(AND($B190="Đột xuất",ROUND((N($AC190)-$AB190)*100,0)&gt;=20),"Chậm tiến độ",IF($AP190=NgayBC,"Đến hạn hôm nay",IF($B190="Đột xuất",IF($AW190-TDBC&lt;=1,"Sắp đến hạn","Đúng tiến độ"),IF($AP190-NgayBC&lt;=3,"Sắp đến hạn","Theo lịch"))))))))</f>
      </c>
      <c r="AE190" s="223">
        <f>IF($AV190="","",IF($B190="Định kỳ","Bình quân "&amp;IF($AV190&lt;1,MAX(1,ROUND($AV190*60,0))&amp;" phút",IF(ROUND($AV190,0)&lt;24,ROUND($AV190,0)&amp;" giờ",INT(ROUND($AV190,0)/24)&amp;" ngày"&amp;IF(MOD(ROUND($AV190,0),24)&gt;0," "&amp;MOD(ROUND($AV190,0),24)&amp;" giờ","")))&amp;" mỗi kỳ",IF($AV190&lt;1,MAX(1,ROUND($AV190*60,0))&amp;" phút",IF(ROUND($AV190,0)&lt;24,ROUND($AV190,0)&amp;" giờ",INT(ROUND($AV190,0)/24)&amp;" ngày"&amp;IF(MOD(ROUND($AV190,0),24)&gt;0," "&amp;MOD(ROUND($AV190,0),24)&amp;" giờ","")))))</f>
      </c>
      <c r="AF190" s="223">
        <f>IF(OR($A190="",N($AU190)=0),"",IF($AV190&lt;&gt;"",IF($AV190&lt;=$AU190,"Trong ước tính","Vượt "&amp;IF(($AV190-$AU190)&lt;1,MAX(1,ROUND(($AV190-$AU190)*60,0))&amp;" phút",IF(ROUND(($AV190-$AU190),0)&lt;24,ROUND(($AV190-$AU190),0)&amp;" giờ",INT(ROUND(($AV190-$AU190),0)/24)&amp;" ngày"&amp;IF(MOD(ROUND(($AV190-$AU190),0),24)&gt;0," "&amp;MOD(ROUND(($AV190-$AU190),0),24)&amp;" giờ","")))),IF(OR($B190&lt;&gt;"Đột xuất",$AA190="Hoàn thành",N($J190)=0),"",IF((TDBC-$J190)*24&gt;$AU190,"Đã vượt ước tính","Đã dùng "&amp;TEXT((TDBC-$J190)*24/$AU190,"0%")))))</f>
      </c>
      <c r="AG190" s="223">
        <f>IF(N($BB190)=0,"",CHOOSE($BB190,"Nhắc nhở","Cảnh báo","Báo động","Báo động đỏ"))</f>
      </c>
      <c r="AH190" s="223">
        <f>IF(OR($B190&lt;&gt;"Đột xuất",$AA190&lt;&gt;"Hoàn thành",N($X190)=0,$AW190=0),"",IF($X190&lt;=$AW190,"Đúng hạn","Trễ hạn"))</f>
      </c>
      <c r="AI190" s="220">
        <f>IF($A190="","",_xlfn.MAXIFS('Nhật ký tiến độ'!$B$6:$B$3005,'Nhật ký tiến độ'!$C$6:$C$3005,$A190))</f>
      </c>
      <c r="AJ190" s="225">
        <f>IF(OR($A190="",$B190&lt;&gt;"Định kỳ"),0,IFERROR(INDEX(DM_TanSuatNgay,MATCH($H190,DM_TanSuat,0)),0))</f>
      </c>
      <c r="AK190" s="225">
        <f>IF(OR($A190="",$B190&lt;&gt;"Định kỳ"),0,IFERROR(INDEX(DM_TanSuatThang,MATCH($H190,DM_TanSuat,0)),0))</f>
      </c>
      <c r="AL190" s="225">
        <f>IF(OR($A190="",$B190&lt;&gt;"Định kỳ",N($X190)=0,N($I190)=0),"",IF(INT($X190)&lt;$I190,0,IF($AJ190&gt;0,ROUND((INT($X190)-$I190)/$AJ190,0),IF($AK190&gt;0,ROUND((DATEDIF($I190,INT($X190),"m")+(INT($X190)-EDATE($I190,DATEDIF($I190,INT($X190),"m")))/(EDATE($I190,DATEDIF($I190,INT($X190),"m")+1)-EDATE($I190,DATEDIF($I190,INT($X190),"m"))))/$AK190,0),0))))</f>
      </c>
      <c r="AM190" s="225">
        <f>IF($A190="","",IF(COUNTIF('Nhật ký tiến độ'!$C$6:$C$3005,$A190)=0,0,_xlfn.MAXIFS('Nhật ký tiến độ'!$N$6:$N$3005,'Nhật ký tiến độ'!$C$6:$C$3005,$A190,'Nhật ký tiến độ'!$B$6:$B$3005,_xlfn.MAXIFS('Nhật ký tiến độ'!$B$6:$B$3005,'Nhật ký tiến độ'!$C$6:$C$3005,$A190))))</f>
      </c>
      <c r="AN190" s="225">
        <f>IF($A190="","",IF(N($AM190)=0,"",INDEX('Nhật ký tiến độ'!$E:$E,$AM190)))</f>
      </c>
      <c r="AO190" s="225">
        <f>IF($A190="",0,IF($AA190="Hoàn thành",0,1))</f>
      </c>
      <c r="AP190" s="225">
        <f>IF($AO190=0,0,INT(N($AW190)))</f>
      </c>
      <c r="AQ190" s="225">
        <f>IF(AND($AO190=1,$AJ190&gt;1),$AJ190,0)</f>
      </c>
      <c r="AR190" s="225">
        <f>IF(AND($AO190=1,$AJ190=1),1,0)</f>
      </c>
      <c r="AS190" s="225">
        <f>IF(OR($AO190=0,AND($AR190=1,N($BB190)=0)),"",IF(N($BB190)&gt;0,5-$BB190,IF($AD190="Chậm tiến độ",6,IF($AD190="Đến hạn hôm nay",7,IF(AND($AP190&gt;0,$AP190-NgayBC&lt;=7),8,"")))))</f>
      </c>
      <c r="AT190" s="225">
        <f>IF($AS190="","",$AS190*100000+$AP190+ROW()/100000)</f>
      </c>
      <c r="AU190" s="224">
        <f>IF(OR($A190="",N($R190)&lt;=0),"",IF($S190="Ngày",$R190*24,$R190))</f>
      </c>
      <c r="AV190" s="224">
        <f>IF($A190="","",IF($B190="Đột xuất",IF(OR($AA190&lt;&gt;"Hoàn thành",N($X190)=0,N($J190)=0),"",IF($X190&lt;$J190,"",($X190-$J190)*24)),IFERROR(AVERAGEIFS('Nhật ký tiến độ'!$H$6:$H$3005,'Nhật ký tiến độ'!$C$6:$C$3005,$A190,'Nhật ký tiến độ'!$H$6:$H$3005,"&gt;0"),"")))</f>
      </c>
      <c r="AW190" s="233">
        <f>IF($A190="",0,IF($B190="Đột xuất",$AY190,IF($AX190=0,0,$AX190+1-1/1440)))</f>
      </c>
      <c r="AX190" s="234">
        <f>IF(OR($A190="",$B190&lt;&gt;"Định kỳ",N($I190)=0),0,IF($AL190="",$I190,IF($AJ190&gt;0,$I190+($AL190+1)*$AJ190,IF($AK190&gt;0,EDATE($I190,($AL190+1)*$AK190),$I190))))</f>
      </c>
      <c r="AY190" s="233">
        <f>IF(OR($A190="",$B190&lt;&gt;"Đột xuất"),0,IF(N($K190)&gt;0,IF(MOD($K190,1)=0,$K190+1-1/1440,$K190),IF(N($J190)=0,0,$J190+IF(N($AU190)&gt;0,$AU190,IFERROR(INDEX(DM_SLA_Gio,MATCH($L190,DM_SLA_Cap,0)),168))/24)))</f>
      </c>
      <c r="AZ190" s="225">
        <f>IF(OR($A190="",TRIM($N190)="",COUNTIF('Phản ánh'!$K$6:$K$505,$N190)&gt;0,COUNTIF($N$6:$N190,$N190)&gt;1),0,1)</f>
      </c>
      <c r="BA190" s="225">
        <f>IF($AZ190=1,SUM($AZ$6:$AZ190),"")</f>
      </c>
      <c r="BB190" s="225">
        <f>IF(OR($AO190=0,N($AW190)=0),0,IF(TDBC&lt;=$AW190,0,MAX(1,MIN(4,IF((TDBC-$AW190)*24&lt;24,1,IF((TDBC-$AW190)*24&lt;72,2,IF((TDBC-$AW190)*24&lt;168,3,4)))+IF($B190="Đột xuất",IFERROR(INDEX({2,1,0,-1},MATCH($L190,{"Khẩn cấp","Cao","Trung bình","Thấp"},0)),0),IF($D190="PCCC và an ninh",1,0))))))</f>
      </c>
    </row>
    <row r="191">
      <c r="A191" s="216"/>
      <c r="B191" s="216"/>
      <c r="C191" s="218"/>
      <c r="D191" s="218"/>
      <c r="E191" s="218"/>
      <c r="F191" s="216"/>
      <c r="G191" s="218"/>
      <c r="H191" s="218"/>
      <c r="I191" s="231"/>
      <c r="J191" s="217"/>
      <c r="K191" s="217"/>
      <c r="L191" s="216"/>
      <c r="M191" s="216"/>
      <c r="N191" s="218"/>
      <c r="O191" s="218"/>
      <c r="P191" s="218"/>
      <c r="Q191" s="218"/>
      <c r="R191" s="219"/>
      <c r="S191" s="216"/>
      <c r="T191" s="232"/>
      <c r="U191" s="232"/>
      <c r="V191" s="218"/>
      <c r="W191" s="218"/>
      <c r="X191" s="220">
        <f>IF($A191="","",IF(OR($B191="Định kỳ",$AA191="Hoàn thành"),MAX(_xlfn.MAXIFS('Nhật ký tiến độ'!$B$6:$B$3005,'Nhật ký tiến độ'!$C$6:$C$3005,$A191,'Nhật ký tiến độ'!$E$6:$E$3005,"Hoàn thành kỳ"),_xlfn.MAXIFS('Nhật ký tiến độ'!$B$6:$B$3005,'Nhật ký tiến độ'!$C$6:$C$3005,$A191,'Nhật ký tiến độ'!$E$6:$E$3005,"Hoàn thành")),0))</f>
      </c>
      <c r="Y191" s="220">
        <f>IF($A191="","",IF($B191="Đột xuất",IF($AY191=0,"",$AY191),IF($AX191=0,"",$AX191)))</f>
      </c>
      <c r="Z191" s="223">
        <f>IF(OR($AO191=0,$AW191=0),"",IF(TDBC&gt;$AW191,"Quá "&amp;IF($B191="Định kỳ",(NgayBC-$AP191)&amp;" ngày",IF(((TDBC-$AW191)*24)&lt;1,MAX(1,ROUND(((TDBC-$AW191)*24)*60,0))&amp;" phút",IF(ROUND(((TDBC-$AW191)*24),0)&lt;24,ROUND(((TDBC-$AW191)*24),0)&amp;" giờ",INT(ROUND(((TDBC-$AW191)*24),0)/24)&amp;" ngày"&amp;IF(MOD(ROUND(((TDBC-$AW191)*24),0),24)&gt;0," "&amp;MOD(ROUND(((TDBC-$AW191)*24),0),24)&amp;" giờ","")))),IF($B191="Định kỳ",IF($AP191=NgayBC,"Hôm nay","Còn "&amp;($AP191-NgayBC)&amp;" ngày"),"Còn "&amp;IF((($AW191-TDBC)*24)&lt;1,MAX(1,ROUND((($AW191-TDBC)*24)*60,0))&amp;" phút",IF(ROUND((($AW191-TDBC)*24),0)&lt;24,ROUND((($AW191-TDBC)*24),0)&amp;" giờ",INT(ROUND((($AW191-TDBC)*24),0)/24)&amp;" ngày"&amp;IF(MOD(ROUND((($AW191-TDBC)*24),0),24)&gt;0," "&amp;MOD(ROUND((($AW191-TDBC)*24),0),24)&amp;" giờ",""))))))</f>
      </c>
      <c r="AA191" s="221">
        <f>IF($A191="","",IF(N($AM191)=0,"Chưa bắt đầu",IF(OR($AN191="Hoàn thành kỳ",$AN191="Hoàn thành"),IF($B191="Định kỳ","Chưa bắt đầu","Hoàn thành"),$AN191)))</f>
      </c>
      <c r="AB191" s="222">
        <f>IF($A191="","",IF($AA191="Hoàn thành",1,IF(OR(N($AM191)=0,$AN191="Hoàn thành kỳ",$AN191="Hoàn thành"),0,N(INDEX('Nhật ký tiến độ'!$D:$D,$AM191)))))</f>
      </c>
      <c r="AC191" s="222">
        <f>IF(OR($A191="",$B191&lt;&gt;"Đột xuất",$AA191="Hoàn thành",N($J191)=0,$AW191=0),"",IF(TDBC&lt;=$J191,0,IF(TDBC&gt;=$AW191,1,(TDBC-$J191)/($AW191-$J191))))</f>
      </c>
      <c r="AD191" s="223">
        <f>IF($A191="","",IF($AA191="Hoàn thành","Hoàn thành",IF($AW191=0,"Chưa đặt hạn",IF(TDBC&gt;$AW191,"Quá hạn",IF(AND($B191="Đột xuất",ROUND((N($AC191)-$AB191)*100,0)&gt;=20),"Chậm tiến độ",IF($AP191=NgayBC,"Đến hạn hôm nay",IF($B191="Đột xuất",IF($AW191-TDBC&lt;=1,"Sắp đến hạn","Đúng tiến độ"),IF($AP191-NgayBC&lt;=3,"Sắp đến hạn","Theo lịch"))))))))</f>
      </c>
      <c r="AE191" s="223">
        <f>IF($AV191="","",IF($B191="Định kỳ","Bình quân "&amp;IF($AV191&lt;1,MAX(1,ROUND($AV191*60,0))&amp;" phút",IF(ROUND($AV191,0)&lt;24,ROUND($AV191,0)&amp;" giờ",INT(ROUND($AV191,0)/24)&amp;" ngày"&amp;IF(MOD(ROUND($AV191,0),24)&gt;0," "&amp;MOD(ROUND($AV191,0),24)&amp;" giờ","")))&amp;" mỗi kỳ",IF($AV191&lt;1,MAX(1,ROUND($AV191*60,0))&amp;" phút",IF(ROUND($AV191,0)&lt;24,ROUND($AV191,0)&amp;" giờ",INT(ROUND($AV191,0)/24)&amp;" ngày"&amp;IF(MOD(ROUND($AV191,0),24)&gt;0," "&amp;MOD(ROUND($AV191,0),24)&amp;" giờ","")))))</f>
      </c>
      <c r="AF191" s="223">
        <f>IF(OR($A191="",N($AU191)=0),"",IF($AV191&lt;&gt;"",IF($AV191&lt;=$AU191,"Trong ước tính","Vượt "&amp;IF(($AV191-$AU191)&lt;1,MAX(1,ROUND(($AV191-$AU191)*60,0))&amp;" phút",IF(ROUND(($AV191-$AU191),0)&lt;24,ROUND(($AV191-$AU191),0)&amp;" giờ",INT(ROUND(($AV191-$AU191),0)/24)&amp;" ngày"&amp;IF(MOD(ROUND(($AV191-$AU191),0),24)&gt;0," "&amp;MOD(ROUND(($AV191-$AU191),0),24)&amp;" giờ","")))),IF(OR($B191&lt;&gt;"Đột xuất",$AA191="Hoàn thành",N($J191)=0),"",IF((TDBC-$J191)*24&gt;$AU191,"Đã vượt ước tính","Đã dùng "&amp;TEXT((TDBC-$J191)*24/$AU191,"0%")))))</f>
      </c>
      <c r="AG191" s="223">
        <f>IF(N($BB191)=0,"",CHOOSE($BB191,"Nhắc nhở","Cảnh báo","Báo động","Báo động đỏ"))</f>
      </c>
      <c r="AH191" s="223">
        <f>IF(OR($B191&lt;&gt;"Đột xuất",$AA191&lt;&gt;"Hoàn thành",N($X191)=0,$AW191=0),"",IF($X191&lt;=$AW191,"Đúng hạn","Trễ hạn"))</f>
      </c>
      <c r="AI191" s="220">
        <f>IF($A191="","",_xlfn.MAXIFS('Nhật ký tiến độ'!$B$6:$B$3005,'Nhật ký tiến độ'!$C$6:$C$3005,$A191))</f>
      </c>
      <c r="AJ191" s="225">
        <f>IF(OR($A191="",$B191&lt;&gt;"Định kỳ"),0,IFERROR(INDEX(DM_TanSuatNgay,MATCH($H191,DM_TanSuat,0)),0))</f>
      </c>
      <c r="AK191" s="225">
        <f>IF(OR($A191="",$B191&lt;&gt;"Định kỳ"),0,IFERROR(INDEX(DM_TanSuatThang,MATCH($H191,DM_TanSuat,0)),0))</f>
      </c>
      <c r="AL191" s="225">
        <f>IF(OR($A191="",$B191&lt;&gt;"Định kỳ",N($X191)=0,N($I191)=0),"",IF(INT($X191)&lt;$I191,0,IF($AJ191&gt;0,ROUND((INT($X191)-$I191)/$AJ191,0),IF($AK191&gt;0,ROUND((DATEDIF($I191,INT($X191),"m")+(INT($X191)-EDATE($I191,DATEDIF($I191,INT($X191),"m")))/(EDATE($I191,DATEDIF($I191,INT($X191),"m")+1)-EDATE($I191,DATEDIF($I191,INT($X191),"m"))))/$AK191,0),0))))</f>
      </c>
      <c r="AM191" s="225">
        <f>IF($A191="","",IF(COUNTIF('Nhật ký tiến độ'!$C$6:$C$3005,$A191)=0,0,_xlfn.MAXIFS('Nhật ký tiến độ'!$N$6:$N$3005,'Nhật ký tiến độ'!$C$6:$C$3005,$A191,'Nhật ký tiến độ'!$B$6:$B$3005,_xlfn.MAXIFS('Nhật ký tiến độ'!$B$6:$B$3005,'Nhật ký tiến độ'!$C$6:$C$3005,$A191))))</f>
      </c>
      <c r="AN191" s="225">
        <f>IF($A191="","",IF(N($AM191)=0,"",INDEX('Nhật ký tiến độ'!$E:$E,$AM191)))</f>
      </c>
      <c r="AO191" s="225">
        <f>IF($A191="",0,IF($AA191="Hoàn thành",0,1))</f>
      </c>
      <c r="AP191" s="225">
        <f>IF($AO191=0,0,INT(N($AW191)))</f>
      </c>
      <c r="AQ191" s="225">
        <f>IF(AND($AO191=1,$AJ191&gt;1),$AJ191,0)</f>
      </c>
      <c r="AR191" s="225">
        <f>IF(AND($AO191=1,$AJ191=1),1,0)</f>
      </c>
      <c r="AS191" s="225">
        <f>IF(OR($AO191=0,AND($AR191=1,N($BB191)=0)),"",IF(N($BB191)&gt;0,5-$BB191,IF($AD191="Chậm tiến độ",6,IF($AD191="Đến hạn hôm nay",7,IF(AND($AP191&gt;0,$AP191-NgayBC&lt;=7),8,"")))))</f>
      </c>
      <c r="AT191" s="225">
        <f>IF($AS191="","",$AS191*100000+$AP191+ROW()/100000)</f>
      </c>
      <c r="AU191" s="224">
        <f>IF(OR($A191="",N($R191)&lt;=0),"",IF($S191="Ngày",$R191*24,$R191))</f>
      </c>
      <c r="AV191" s="224">
        <f>IF($A191="","",IF($B191="Đột xuất",IF(OR($AA191&lt;&gt;"Hoàn thành",N($X191)=0,N($J191)=0),"",IF($X191&lt;$J191,"",($X191-$J191)*24)),IFERROR(AVERAGEIFS('Nhật ký tiến độ'!$H$6:$H$3005,'Nhật ký tiến độ'!$C$6:$C$3005,$A191,'Nhật ký tiến độ'!$H$6:$H$3005,"&gt;0"),"")))</f>
      </c>
      <c r="AW191" s="233">
        <f>IF($A191="",0,IF($B191="Đột xuất",$AY191,IF($AX191=0,0,$AX191+1-1/1440)))</f>
      </c>
      <c r="AX191" s="234">
        <f>IF(OR($A191="",$B191&lt;&gt;"Định kỳ",N($I191)=0),0,IF($AL191="",$I191,IF($AJ191&gt;0,$I191+($AL191+1)*$AJ191,IF($AK191&gt;0,EDATE($I191,($AL191+1)*$AK191),$I191))))</f>
      </c>
      <c r="AY191" s="233">
        <f>IF(OR($A191="",$B191&lt;&gt;"Đột xuất"),0,IF(N($K191)&gt;0,IF(MOD($K191,1)=0,$K191+1-1/1440,$K191),IF(N($J191)=0,0,$J191+IF(N($AU191)&gt;0,$AU191,IFERROR(INDEX(DM_SLA_Gio,MATCH($L191,DM_SLA_Cap,0)),168))/24)))</f>
      </c>
      <c r="AZ191" s="225">
        <f>IF(OR($A191="",TRIM($N191)="",COUNTIF('Phản ánh'!$K$6:$K$505,$N191)&gt;0,COUNTIF($N$6:$N191,$N191)&gt;1),0,1)</f>
      </c>
      <c r="BA191" s="225">
        <f>IF($AZ191=1,SUM($AZ$6:$AZ191),"")</f>
      </c>
      <c r="BB191" s="225">
        <f>IF(OR($AO191=0,N($AW191)=0),0,IF(TDBC&lt;=$AW191,0,MAX(1,MIN(4,IF((TDBC-$AW191)*24&lt;24,1,IF((TDBC-$AW191)*24&lt;72,2,IF((TDBC-$AW191)*24&lt;168,3,4)))+IF($B191="Đột xuất",IFERROR(INDEX({2,1,0,-1},MATCH($L191,{"Khẩn cấp","Cao","Trung bình","Thấp"},0)),0),IF($D191="PCCC và an ninh",1,0))))))</f>
      </c>
    </row>
    <row r="192">
      <c r="A192" s="216"/>
      <c r="B192" s="216"/>
      <c r="C192" s="218"/>
      <c r="D192" s="218"/>
      <c r="E192" s="218"/>
      <c r="F192" s="216"/>
      <c r="G192" s="218"/>
      <c r="H192" s="218"/>
      <c r="I192" s="231"/>
      <c r="J192" s="217"/>
      <c r="K192" s="217"/>
      <c r="L192" s="216"/>
      <c r="M192" s="216"/>
      <c r="N192" s="218"/>
      <c r="O192" s="218"/>
      <c r="P192" s="218"/>
      <c r="Q192" s="218"/>
      <c r="R192" s="219"/>
      <c r="S192" s="216"/>
      <c r="T192" s="232"/>
      <c r="U192" s="232"/>
      <c r="V192" s="218"/>
      <c r="W192" s="218"/>
      <c r="X192" s="220">
        <f>IF($A192="","",IF(OR($B192="Định kỳ",$AA192="Hoàn thành"),MAX(_xlfn.MAXIFS('Nhật ký tiến độ'!$B$6:$B$3005,'Nhật ký tiến độ'!$C$6:$C$3005,$A192,'Nhật ký tiến độ'!$E$6:$E$3005,"Hoàn thành kỳ"),_xlfn.MAXIFS('Nhật ký tiến độ'!$B$6:$B$3005,'Nhật ký tiến độ'!$C$6:$C$3005,$A192,'Nhật ký tiến độ'!$E$6:$E$3005,"Hoàn thành")),0))</f>
      </c>
      <c r="Y192" s="220">
        <f>IF($A192="","",IF($B192="Đột xuất",IF($AY192=0,"",$AY192),IF($AX192=0,"",$AX192)))</f>
      </c>
      <c r="Z192" s="223">
        <f>IF(OR($AO192=0,$AW192=0),"",IF(TDBC&gt;$AW192,"Quá "&amp;IF($B192="Định kỳ",(NgayBC-$AP192)&amp;" ngày",IF(((TDBC-$AW192)*24)&lt;1,MAX(1,ROUND(((TDBC-$AW192)*24)*60,0))&amp;" phút",IF(ROUND(((TDBC-$AW192)*24),0)&lt;24,ROUND(((TDBC-$AW192)*24),0)&amp;" giờ",INT(ROUND(((TDBC-$AW192)*24),0)/24)&amp;" ngày"&amp;IF(MOD(ROUND(((TDBC-$AW192)*24),0),24)&gt;0," "&amp;MOD(ROUND(((TDBC-$AW192)*24),0),24)&amp;" giờ","")))),IF($B192="Định kỳ",IF($AP192=NgayBC,"Hôm nay","Còn "&amp;($AP192-NgayBC)&amp;" ngày"),"Còn "&amp;IF((($AW192-TDBC)*24)&lt;1,MAX(1,ROUND((($AW192-TDBC)*24)*60,0))&amp;" phút",IF(ROUND((($AW192-TDBC)*24),0)&lt;24,ROUND((($AW192-TDBC)*24),0)&amp;" giờ",INT(ROUND((($AW192-TDBC)*24),0)/24)&amp;" ngày"&amp;IF(MOD(ROUND((($AW192-TDBC)*24),0),24)&gt;0," "&amp;MOD(ROUND((($AW192-TDBC)*24),0),24)&amp;" giờ",""))))))</f>
      </c>
      <c r="AA192" s="221">
        <f>IF($A192="","",IF(N($AM192)=0,"Chưa bắt đầu",IF(OR($AN192="Hoàn thành kỳ",$AN192="Hoàn thành"),IF($B192="Định kỳ","Chưa bắt đầu","Hoàn thành"),$AN192)))</f>
      </c>
      <c r="AB192" s="222">
        <f>IF($A192="","",IF($AA192="Hoàn thành",1,IF(OR(N($AM192)=0,$AN192="Hoàn thành kỳ",$AN192="Hoàn thành"),0,N(INDEX('Nhật ký tiến độ'!$D:$D,$AM192)))))</f>
      </c>
      <c r="AC192" s="222">
        <f>IF(OR($A192="",$B192&lt;&gt;"Đột xuất",$AA192="Hoàn thành",N($J192)=0,$AW192=0),"",IF(TDBC&lt;=$J192,0,IF(TDBC&gt;=$AW192,1,(TDBC-$J192)/($AW192-$J192))))</f>
      </c>
      <c r="AD192" s="223">
        <f>IF($A192="","",IF($AA192="Hoàn thành","Hoàn thành",IF($AW192=0,"Chưa đặt hạn",IF(TDBC&gt;$AW192,"Quá hạn",IF(AND($B192="Đột xuất",ROUND((N($AC192)-$AB192)*100,0)&gt;=20),"Chậm tiến độ",IF($AP192=NgayBC,"Đến hạn hôm nay",IF($B192="Đột xuất",IF($AW192-TDBC&lt;=1,"Sắp đến hạn","Đúng tiến độ"),IF($AP192-NgayBC&lt;=3,"Sắp đến hạn","Theo lịch"))))))))</f>
      </c>
      <c r="AE192" s="223">
        <f>IF($AV192="","",IF($B192="Định kỳ","Bình quân "&amp;IF($AV192&lt;1,MAX(1,ROUND($AV192*60,0))&amp;" phút",IF(ROUND($AV192,0)&lt;24,ROUND($AV192,0)&amp;" giờ",INT(ROUND($AV192,0)/24)&amp;" ngày"&amp;IF(MOD(ROUND($AV192,0),24)&gt;0," "&amp;MOD(ROUND($AV192,0),24)&amp;" giờ","")))&amp;" mỗi kỳ",IF($AV192&lt;1,MAX(1,ROUND($AV192*60,0))&amp;" phút",IF(ROUND($AV192,0)&lt;24,ROUND($AV192,0)&amp;" giờ",INT(ROUND($AV192,0)/24)&amp;" ngày"&amp;IF(MOD(ROUND($AV192,0),24)&gt;0," "&amp;MOD(ROUND($AV192,0),24)&amp;" giờ","")))))</f>
      </c>
      <c r="AF192" s="223">
        <f>IF(OR($A192="",N($AU192)=0),"",IF($AV192&lt;&gt;"",IF($AV192&lt;=$AU192,"Trong ước tính","Vượt "&amp;IF(($AV192-$AU192)&lt;1,MAX(1,ROUND(($AV192-$AU192)*60,0))&amp;" phút",IF(ROUND(($AV192-$AU192),0)&lt;24,ROUND(($AV192-$AU192),0)&amp;" giờ",INT(ROUND(($AV192-$AU192),0)/24)&amp;" ngày"&amp;IF(MOD(ROUND(($AV192-$AU192),0),24)&gt;0," "&amp;MOD(ROUND(($AV192-$AU192),0),24)&amp;" giờ","")))),IF(OR($B192&lt;&gt;"Đột xuất",$AA192="Hoàn thành",N($J192)=0),"",IF((TDBC-$J192)*24&gt;$AU192,"Đã vượt ước tính","Đã dùng "&amp;TEXT((TDBC-$J192)*24/$AU192,"0%")))))</f>
      </c>
      <c r="AG192" s="223">
        <f>IF(N($BB192)=0,"",CHOOSE($BB192,"Nhắc nhở","Cảnh báo","Báo động","Báo động đỏ"))</f>
      </c>
      <c r="AH192" s="223">
        <f>IF(OR($B192&lt;&gt;"Đột xuất",$AA192&lt;&gt;"Hoàn thành",N($X192)=0,$AW192=0),"",IF($X192&lt;=$AW192,"Đúng hạn","Trễ hạn"))</f>
      </c>
      <c r="AI192" s="220">
        <f>IF($A192="","",_xlfn.MAXIFS('Nhật ký tiến độ'!$B$6:$B$3005,'Nhật ký tiến độ'!$C$6:$C$3005,$A192))</f>
      </c>
      <c r="AJ192" s="225">
        <f>IF(OR($A192="",$B192&lt;&gt;"Định kỳ"),0,IFERROR(INDEX(DM_TanSuatNgay,MATCH($H192,DM_TanSuat,0)),0))</f>
      </c>
      <c r="AK192" s="225">
        <f>IF(OR($A192="",$B192&lt;&gt;"Định kỳ"),0,IFERROR(INDEX(DM_TanSuatThang,MATCH($H192,DM_TanSuat,0)),0))</f>
      </c>
      <c r="AL192" s="225">
        <f>IF(OR($A192="",$B192&lt;&gt;"Định kỳ",N($X192)=0,N($I192)=0),"",IF(INT($X192)&lt;$I192,0,IF($AJ192&gt;0,ROUND((INT($X192)-$I192)/$AJ192,0),IF($AK192&gt;0,ROUND((DATEDIF($I192,INT($X192),"m")+(INT($X192)-EDATE($I192,DATEDIF($I192,INT($X192),"m")))/(EDATE($I192,DATEDIF($I192,INT($X192),"m")+1)-EDATE($I192,DATEDIF($I192,INT($X192),"m"))))/$AK192,0),0))))</f>
      </c>
      <c r="AM192" s="225">
        <f>IF($A192="","",IF(COUNTIF('Nhật ký tiến độ'!$C$6:$C$3005,$A192)=0,0,_xlfn.MAXIFS('Nhật ký tiến độ'!$N$6:$N$3005,'Nhật ký tiến độ'!$C$6:$C$3005,$A192,'Nhật ký tiến độ'!$B$6:$B$3005,_xlfn.MAXIFS('Nhật ký tiến độ'!$B$6:$B$3005,'Nhật ký tiến độ'!$C$6:$C$3005,$A192))))</f>
      </c>
      <c r="AN192" s="225">
        <f>IF($A192="","",IF(N($AM192)=0,"",INDEX('Nhật ký tiến độ'!$E:$E,$AM192)))</f>
      </c>
      <c r="AO192" s="225">
        <f>IF($A192="",0,IF($AA192="Hoàn thành",0,1))</f>
      </c>
      <c r="AP192" s="225">
        <f>IF($AO192=0,0,INT(N($AW192)))</f>
      </c>
      <c r="AQ192" s="225">
        <f>IF(AND($AO192=1,$AJ192&gt;1),$AJ192,0)</f>
      </c>
      <c r="AR192" s="225">
        <f>IF(AND($AO192=1,$AJ192=1),1,0)</f>
      </c>
      <c r="AS192" s="225">
        <f>IF(OR($AO192=0,AND($AR192=1,N($BB192)=0)),"",IF(N($BB192)&gt;0,5-$BB192,IF($AD192="Chậm tiến độ",6,IF($AD192="Đến hạn hôm nay",7,IF(AND($AP192&gt;0,$AP192-NgayBC&lt;=7),8,"")))))</f>
      </c>
      <c r="AT192" s="225">
        <f>IF($AS192="","",$AS192*100000+$AP192+ROW()/100000)</f>
      </c>
      <c r="AU192" s="224">
        <f>IF(OR($A192="",N($R192)&lt;=0),"",IF($S192="Ngày",$R192*24,$R192))</f>
      </c>
      <c r="AV192" s="224">
        <f>IF($A192="","",IF($B192="Đột xuất",IF(OR($AA192&lt;&gt;"Hoàn thành",N($X192)=0,N($J192)=0),"",IF($X192&lt;$J192,"",($X192-$J192)*24)),IFERROR(AVERAGEIFS('Nhật ký tiến độ'!$H$6:$H$3005,'Nhật ký tiến độ'!$C$6:$C$3005,$A192,'Nhật ký tiến độ'!$H$6:$H$3005,"&gt;0"),"")))</f>
      </c>
      <c r="AW192" s="233">
        <f>IF($A192="",0,IF($B192="Đột xuất",$AY192,IF($AX192=0,0,$AX192+1-1/1440)))</f>
      </c>
      <c r="AX192" s="234">
        <f>IF(OR($A192="",$B192&lt;&gt;"Định kỳ",N($I192)=0),0,IF($AL192="",$I192,IF($AJ192&gt;0,$I192+($AL192+1)*$AJ192,IF($AK192&gt;0,EDATE($I192,($AL192+1)*$AK192),$I192))))</f>
      </c>
      <c r="AY192" s="233">
        <f>IF(OR($A192="",$B192&lt;&gt;"Đột xuất"),0,IF(N($K192)&gt;0,IF(MOD($K192,1)=0,$K192+1-1/1440,$K192),IF(N($J192)=0,0,$J192+IF(N($AU192)&gt;0,$AU192,IFERROR(INDEX(DM_SLA_Gio,MATCH($L192,DM_SLA_Cap,0)),168))/24)))</f>
      </c>
      <c r="AZ192" s="225">
        <f>IF(OR($A192="",TRIM($N192)="",COUNTIF('Phản ánh'!$K$6:$K$505,$N192)&gt;0,COUNTIF($N$6:$N192,$N192)&gt;1),0,1)</f>
      </c>
      <c r="BA192" s="225">
        <f>IF($AZ192=1,SUM($AZ$6:$AZ192),"")</f>
      </c>
      <c r="BB192" s="225">
        <f>IF(OR($AO192=0,N($AW192)=0),0,IF(TDBC&lt;=$AW192,0,MAX(1,MIN(4,IF((TDBC-$AW192)*24&lt;24,1,IF((TDBC-$AW192)*24&lt;72,2,IF((TDBC-$AW192)*24&lt;168,3,4)))+IF($B192="Đột xuất",IFERROR(INDEX({2,1,0,-1},MATCH($L192,{"Khẩn cấp","Cao","Trung bình","Thấp"},0)),0),IF($D192="PCCC và an ninh",1,0))))))</f>
      </c>
    </row>
    <row r="193">
      <c r="A193" s="216"/>
      <c r="B193" s="216"/>
      <c r="C193" s="218"/>
      <c r="D193" s="218"/>
      <c r="E193" s="218"/>
      <c r="F193" s="216"/>
      <c r="G193" s="218"/>
      <c r="H193" s="218"/>
      <c r="I193" s="231"/>
      <c r="J193" s="217"/>
      <c r="K193" s="217"/>
      <c r="L193" s="216"/>
      <c r="M193" s="216"/>
      <c r="N193" s="218"/>
      <c r="O193" s="218"/>
      <c r="P193" s="218"/>
      <c r="Q193" s="218"/>
      <c r="R193" s="219"/>
      <c r="S193" s="216"/>
      <c r="T193" s="232"/>
      <c r="U193" s="232"/>
      <c r="V193" s="218"/>
      <c r="W193" s="218"/>
      <c r="X193" s="220">
        <f>IF($A193="","",IF(OR($B193="Định kỳ",$AA193="Hoàn thành"),MAX(_xlfn.MAXIFS('Nhật ký tiến độ'!$B$6:$B$3005,'Nhật ký tiến độ'!$C$6:$C$3005,$A193,'Nhật ký tiến độ'!$E$6:$E$3005,"Hoàn thành kỳ"),_xlfn.MAXIFS('Nhật ký tiến độ'!$B$6:$B$3005,'Nhật ký tiến độ'!$C$6:$C$3005,$A193,'Nhật ký tiến độ'!$E$6:$E$3005,"Hoàn thành")),0))</f>
      </c>
      <c r="Y193" s="220">
        <f>IF($A193="","",IF($B193="Đột xuất",IF($AY193=0,"",$AY193),IF($AX193=0,"",$AX193)))</f>
      </c>
      <c r="Z193" s="223">
        <f>IF(OR($AO193=0,$AW193=0),"",IF(TDBC&gt;$AW193,"Quá "&amp;IF($B193="Định kỳ",(NgayBC-$AP193)&amp;" ngày",IF(((TDBC-$AW193)*24)&lt;1,MAX(1,ROUND(((TDBC-$AW193)*24)*60,0))&amp;" phút",IF(ROUND(((TDBC-$AW193)*24),0)&lt;24,ROUND(((TDBC-$AW193)*24),0)&amp;" giờ",INT(ROUND(((TDBC-$AW193)*24),0)/24)&amp;" ngày"&amp;IF(MOD(ROUND(((TDBC-$AW193)*24),0),24)&gt;0," "&amp;MOD(ROUND(((TDBC-$AW193)*24),0),24)&amp;" giờ","")))),IF($B193="Định kỳ",IF($AP193=NgayBC,"Hôm nay","Còn "&amp;($AP193-NgayBC)&amp;" ngày"),"Còn "&amp;IF((($AW193-TDBC)*24)&lt;1,MAX(1,ROUND((($AW193-TDBC)*24)*60,0))&amp;" phút",IF(ROUND((($AW193-TDBC)*24),0)&lt;24,ROUND((($AW193-TDBC)*24),0)&amp;" giờ",INT(ROUND((($AW193-TDBC)*24),0)/24)&amp;" ngày"&amp;IF(MOD(ROUND((($AW193-TDBC)*24),0),24)&gt;0," "&amp;MOD(ROUND((($AW193-TDBC)*24),0),24)&amp;" giờ",""))))))</f>
      </c>
      <c r="AA193" s="221">
        <f>IF($A193="","",IF(N($AM193)=0,"Chưa bắt đầu",IF(OR($AN193="Hoàn thành kỳ",$AN193="Hoàn thành"),IF($B193="Định kỳ","Chưa bắt đầu","Hoàn thành"),$AN193)))</f>
      </c>
      <c r="AB193" s="222">
        <f>IF($A193="","",IF($AA193="Hoàn thành",1,IF(OR(N($AM193)=0,$AN193="Hoàn thành kỳ",$AN193="Hoàn thành"),0,N(INDEX('Nhật ký tiến độ'!$D:$D,$AM193)))))</f>
      </c>
      <c r="AC193" s="222">
        <f>IF(OR($A193="",$B193&lt;&gt;"Đột xuất",$AA193="Hoàn thành",N($J193)=0,$AW193=0),"",IF(TDBC&lt;=$J193,0,IF(TDBC&gt;=$AW193,1,(TDBC-$J193)/($AW193-$J193))))</f>
      </c>
      <c r="AD193" s="223">
        <f>IF($A193="","",IF($AA193="Hoàn thành","Hoàn thành",IF($AW193=0,"Chưa đặt hạn",IF(TDBC&gt;$AW193,"Quá hạn",IF(AND($B193="Đột xuất",ROUND((N($AC193)-$AB193)*100,0)&gt;=20),"Chậm tiến độ",IF($AP193=NgayBC,"Đến hạn hôm nay",IF($B193="Đột xuất",IF($AW193-TDBC&lt;=1,"Sắp đến hạn","Đúng tiến độ"),IF($AP193-NgayBC&lt;=3,"Sắp đến hạn","Theo lịch"))))))))</f>
      </c>
      <c r="AE193" s="223">
        <f>IF($AV193="","",IF($B193="Định kỳ","Bình quân "&amp;IF($AV193&lt;1,MAX(1,ROUND($AV193*60,0))&amp;" phút",IF(ROUND($AV193,0)&lt;24,ROUND($AV193,0)&amp;" giờ",INT(ROUND($AV193,0)/24)&amp;" ngày"&amp;IF(MOD(ROUND($AV193,0),24)&gt;0," "&amp;MOD(ROUND($AV193,0),24)&amp;" giờ","")))&amp;" mỗi kỳ",IF($AV193&lt;1,MAX(1,ROUND($AV193*60,0))&amp;" phút",IF(ROUND($AV193,0)&lt;24,ROUND($AV193,0)&amp;" giờ",INT(ROUND($AV193,0)/24)&amp;" ngày"&amp;IF(MOD(ROUND($AV193,0),24)&gt;0," "&amp;MOD(ROUND($AV193,0),24)&amp;" giờ","")))))</f>
      </c>
      <c r="AF193" s="223">
        <f>IF(OR($A193="",N($AU193)=0),"",IF($AV193&lt;&gt;"",IF($AV193&lt;=$AU193,"Trong ước tính","Vượt "&amp;IF(($AV193-$AU193)&lt;1,MAX(1,ROUND(($AV193-$AU193)*60,0))&amp;" phút",IF(ROUND(($AV193-$AU193),0)&lt;24,ROUND(($AV193-$AU193),0)&amp;" giờ",INT(ROUND(($AV193-$AU193),0)/24)&amp;" ngày"&amp;IF(MOD(ROUND(($AV193-$AU193),0),24)&gt;0," "&amp;MOD(ROUND(($AV193-$AU193),0),24)&amp;" giờ","")))),IF(OR($B193&lt;&gt;"Đột xuất",$AA193="Hoàn thành",N($J193)=0),"",IF((TDBC-$J193)*24&gt;$AU193,"Đã vượt ước tính","Đã dùng "&amp;TEXT((TDBC-$J193)*24/$AU193,"0%")))))</f>
      </c>
      <c r="AG193" s="223">
        <f>IF(N($BB193)=0,"",CHOOSE($BB193,"Nhắc nhở","Cảnh báo","Báo động","Báo động đỏ"))</f>
      </c>
      <c r="AH193" s="223">
        <f>IF(OR($B193&lt;&gt;"Đột xuất",$AA193&lt;&gt;"Hoàn thành",N($X193)=0,$AW193=0),"",IF($X193&lt;=$AW193,"Đúng hạn","Trễ hạn"))</f>
      </c>
      <c r="AI193" s="220">
        <f>IF($A193="","",_xlfn.MAXIFS('Nhật ký tiến độ'!$B$6:$B$3005,'Nhật ký tiến độ'!$C$6:$C$3005,$A193))</f>
      </c>
      <c r="AJ193" s="225">
        <f>IF(OR($A193="",$B193&lt;&gt;"Định kỳ"),0,IFERROR(INDEX(DM_TanSuatNgay,MATCH($H193,DM_TanSuat,0)),0))</f>
      </c>
      <c r="AK193" s="225">
        <f>IF(OR($A193="",$B193&lt;&gt;"Định kỳ"),0,IFERROR(INDEX(DM_TanSuatThang,MATCH($H193,DM_TanSuat,0)),0))</f>
      </c>
      <c r="AL193" s="225">
        <f>IF(OR($A193="",$B193&lt;&gt;"Định kỳ",N($X193)=0,N($I193)=0),"",IF(INT($X193)&lt;$I193,0,IF($AJ193&gt;0,ROUND((INT($X193)-$I193)/$AJ193,0),IF($AK193&gt;0,ROUND((DATEDIF($I193,INT($X193),"m")+(INT($X193)-EDATE($I193,DATEDIF($I193,INT($X193),"m")))/(EDATE($I193,DATEDIF($I193,INT($X193),"m")+1)-EDATE($I193,DATEDIF($I193,INT($X193),"m"))))/$AK193,0),0))))</f>
      </c>
      <c r="AM193" s="225">
        <f>IF($A193="","",IF(COUNTIF('Nhật ký tiến độ'!$C$6:$C$3005,$A193)=0,0,_xlfn.MAXIFS('Nhật ký tiến độ'!$N$6:$N$3005,'Nhật ký tiến độ'!$C$6:$C$3005,$A193,'Nhật ký tiến độ'!$B$6:$B$3005,_xlfn.MAXIFS('Nhật ký tiến độ'!$B$6:$B$3005,'Nhật ký tiến độ'!$C$6:$C$3005,$A193))))</f>
      </c>
      <c r="AN193" s="225">
        <f>IF($A193="","",IF(N($AM193)=0,"",INDEX('Nhật ký tiến độ'!$E:$E,$AM193)))</f>
      </c>
      <c r="AO193" s="225">
        <f>IF($A193="",0,IF($AA193="Hoàn thành",0,1))</f>
      </c>
      <c r="AP193" s="225">
        <f>IF($AO193=0,0,INT(N($AW193)))</f>
      </c>
      <c r="AQ193" s="225">
        <f>IF(AND($AO193=1,$AJ193&gt;1),$AJ193,0)</f>
      </c>
      <c r="AR193" s="225">
        <f>IF(AND($AO193=1,$AJ193=1),1,0)</f>
      </c>
      <c r="AS193" s="225">
        <f>IF(OR($AO193=0,AND($AR193=1,N($BB193)=0)),"",IF(N($BB193)&gt;0,5-$BB193,IF($AD193="Chậm tiến độ",6,IF($AD193="Đến hạn hôm nay",7,IF(AND($AP193&gt;0,$AP193-NgayBC&lt;=7),8,"")))))</f>
      </c>
      <c r="AT193" s="225">
        <f>IF($AS193="","",$AS193*100000+$AP193+ROW()/100000)</f>
      </c>
      <c r="AU193" s="224">
        <f>IF(OR($A193="",N($R193)&lt;=0),"",IF($S193="Ngày",$R193*24,$R193))</f>
      </c>
      <c r="AV193" s="224">
        <f>IF($A193="","",IF($B193="Đột xuất",IF(OR($AA193&lt;&gt;"Hoàn thành",N($X193)=0,N($J193)=0),"",IF($X193&lt;$J193,"",($X193-$J193)*24)),IFERROR(AVERAGEIFS('Nhật ký tiến độ'!$H$6:$H$3005,'Nhật ký tiến độ'!$C$6:$C$3005,$A193,'Nhật ký tiến độ'!$H$6:$H$3005,"&gt;0"),"")))</f>
      </c>
      <c r="AW193" s="233">
        <f>IF($A193="",0,IF($B193="Đột xuất",$AY193,IF($AX193=0,0,$AX193+1-1/1440)))</f>
      </c>
      <c r="AX193" s="234">
        <f>IF(OR($A193="",$B193&lt;&gt;"Định kỳ",N($I193)=0),0,IF($AL193="",$I193,IF($AJ193&gt;0,$I193+($AL193+1)*$AJ193,IF($AK193&gt;0,EDATE($I193,($AL193+1)*$AK193),$I193))))</f>
      </c>
      <c r="AY193" s="233">
        <f>IF(OR($A193="",$B193&lt;&gt;"Đột xuất"),0,IF(N($K193)&gt;0,IF(MOD($K193,1)=0,$K193+1-1/1440,$K193),IF(N($J193)=0,0,$J193+IF(N($AU193)&gt;0,$AU193,IFERROR(INDEX(DM_SLA_Gio,MATCH($L193,DM_SLA_Cap,0)),168))/24)))</f>
      </c>
      <c r="AZ193" s="225">
        <f>IF(OR($A193="",TRIM($N193)="",COUNTIF('Phản ánh'!$K$6:$K$505,$N193)&gt;0,COUNTIF($N$6:$N193,$N193)&gt;1),0,1)</f>
      </c>
      <c r="BA193" s="225">
        <f>IF($AZ193=1,SUM($AZ$6:$AZ193),"")</f>
      </c>
      <c r="BB193" s="225">
        <f>IF(OR($AO193=0,N($AW193)=0),0,IF(TDBC&lt;=$AW193,0,MAX(1,MIN(4,IF((TDBC-$AW193)*24&lt;24,1,IF((TDBC-$AW193)*24&lt;72,2,IF((TDBC-$AW193)*24&lt;168,3,4)))+IF($B193="Đột xuất",IFERROR(INDEX({2,1,0,-1},MATCH($L193,{"Khẩn cấp","Cao","Trung bình","Thấp"},0)),0),IF($D193="PCCC và an ninh",1,0))))))</f>
      </c>
    </row>
    <row r="194">
      <c r="A194" s="216"/>
      <c r="B194" s="216"/>
      <c r="C194" s="218"/>
      <c r="D194" s="218"/>
      <c r="E194" s="218"/>
      <c r="F194" s="216"/>
      <c r="G194" s="218"/>
      <c r="H194" s="218"/>
      <c r="I194" s="231"/>
      <c r="J194" s="217"/>
      <c r="K194" s="217"/>
      <c r="L194" s="216"/>
      <c r="M194" s="216"/>
      <c r="N194" s="218"/>
      <c r="O194" s="218"/>
      <c r="P194" s="218"/>
      <c r="Q194" s="218"/>
      <c r="R194" s="219"/>
      <c r="S194" s="216"/>
      <c r="T194" s="232"/>
      <c r="U194" s="232"/>
      <c r="V194" s="218"/>
      <c r="W194" s="218"/>
      <c r="X194" s="220">
        <f>IF($A194="","",IF(OR($B194="Định kỳ",$AA194="Hoàn thành"),MAX(_xlfn.MAXIFS('Nhật ký tiến độ'!$B$6:$B$3005,'Nhật ký tiến độ'!$C$6:$C$3005,$A194,'Nhật ký tiến độ'!$E$6:$E$3005,"Hoàn thành kỳ"),_xlfn.MAXIFS('Nhật ký tiến độ'!$B$6:$B$3005,'Nhật ký tiến độ'!$C$6:$C$3005,$A194,'Nhật ký tiến độ'!$E$6:$E$3005,"Hoàn thành")),0))</f>
      </c>
      <c r="Y194" s="220">
        <f>IF($A194="","",IF($B194="Đột xuất",IF($AY194=0,"",$AY194),IF($AX194=0,"",$AX194)))</f>
      </c>
      <c r="Z194" s="223">
        <f>IF(OR($AO194=0,$AW194=0),"",IF(TDBC&gt;$AW194,"Quá "&amp;IF($B194="Định kỳ",(NgayBC-$AP194)&amp;" ngày",IF(((TDBC-$AW194)*24)&lt;1,MAX(1,ROUND(((TDBC-$AW194)*24)*60,0))&amp;" phút",IF(ROUND(((TDBC-$AW194)*24),0)&lt;24,ROUND(((TDBC-$AW194)*24),0)&amp;" giờ",INT(ROUND(((TDBC-$AW194)*24),0)/24)&amp;" ngày"&amp;IF(MOD(ROUND(((TDBC-$AW194)*24),0),24)&gt;0," "&amp;MOD(ROUND(((TDBC-$AW194)*24),0),24)&amp;" giờ","")))),IF($B194="Định kỳ",IF($AP194=NgayBC,"Hôm nay","Còn "&amp;($AP194-NgayBC)&amp;" ngày"),"Còn "&amp;IF((($AW194-TDBC)*24)&lt;1,MAX(1,ROUND((($AW194-TDBC)*24)*60,0))&amp;" phút",IF(ROUND((($AW194-TDBC)*24),0)&lt;24,ROUND((($AW194-TDBC)*24),0)&amp;" giờ",INT(ROUND((($AW194-TDBC)*24),0)/24)&amp;" ngày"&amp;IF(MOD(ROUND((($AW194-TDBC)*24),0),24)&gt;0," "&amp;MOD(ROUND((($AW194-TDBC)*24),0),24)&amp;" giờ",""))))))</f>
      </c>
      <c r="AA194" s="221">
        <f>IF($A194="","",IF(N($AM194)=0,"Chưa bắt đầu",IF(OR($AN194="Hoàn thành kỳ",$AN194="Hoàn thành"),IF($B194="Định kỳ","Chưa bắt đầu","Hoàn thành"),$AN194)))</f>
      </c>
      <c r="AB194" s="222">
        <f>IF($A194="","",IF($AA194="Hoàn thành",1,IF(OR(N($AM194)=0,$AN194="Hoàn thành kỳ",$AN194="Hoàn thành"),0,N(INDEX('Nhật ký tiến độ'!$D:$D,$AM194)))))</f>
      </c>
      <c r="AC194" s="222">
        <f>IF(OR($A194="",$B194&lt;&gt;"Đột xuất",$AA194="Hoàn thành",N($J194)=0,$AW194=0),"",IF(TDBC&lt;=$J194,0,IF(TDBC&gt;=$AW194,1,(TDBC-$J194)/($AW194-$J194))))</f>
      </c>
      <c r="AD194" s="223">
        <f>IF($A194="","",IF($AA194="Hoàn thành","Hoàn thành",IF($AW194=0,"Chưa đặt hạn",IF(TDBC&gt;$AW194,"Quá hạn",IF(AND($B194="Đột xuất",ROUND((N($AC194)-$AB194)*100,0)&gt;=20),"Chậm tiến độ",IF($AP194=NgayBC,"Đến hạn hôm nay",IF($B194="Đột xuất",IF($AW194-TDBC&lt;=1,"Sắp đến hạn","Đúng tiến độ"),IF($AP194-NgayBC&lt;=3,"Sắp đến hạn","Theo lịch"))))))))</f>
      </c>
      <c r="AE194" s="223">
        <f>IF($AV194="","",IF($B194="Định kỳ","Bình quân "&amp;IF($AV194&lt;1,MAX(1,ROUND($AV194*60,0))&amp;" phút",IF(ROUND($AV194,0)&lt;24,ROUND($AV194,0)&amp;" giờ",INT(ROUND($AV194,0)/24)&amp;" ngày"&amp;IF(MOD(ROUND($AV194,0),24)&gt;0," "&amp;MOD(ROUND($AV194,0),24)&amp;" giờ","")))&amp;" mỗi kỳ",IF($AV194&lt;1,MAX(1,ROUND($AV194*60,0))&amp;" phút",IF(ROUND($AV194,0)&lt;24,ROUND($AV194,0)&amp;" giờ",INT(ROUND($AV194,0)/24)&amp;" ngày"&amp;IF(MOD(ROUND($AV194,0),24)&gt;0," "&amp;MOD(ROUND($AV194,0),24)&amp;" giờ","")))))</f>
      </c>
      <c r="AF194" s="223">
        <f>IF(OR($A194="",N($AU194)=0),"",IF($AV194&lt;&gt;"",IF($AV194&lt;=$AU194,"Trong ước tính","Vượt "&amp;IF(($AV194-$AU194)&lt;1,MAX(1,ROUND(($AV194-$AU194)*60,0))&amp;" phút",IF(ROUND(($AV194-$AU194),0)&lt;24,ROUND(($AV194-$AU194),0)&amp;" giờ",INT(ROUND(($AV194-$AU194),0)/24)&amp;" ngày"&amp;IF(MOD(ROUND(($AV194-$AU194),0),24)&gt;0," "&amp;MOD(ROUND(($AV194-$AU194),0),24)&amp;" giờ","")))),IF(OR($B194&lt;&gt;"Đột xuất",$AA194="Hoàn thành",N($J194)=0),"",IF((TDBC-$J194)*24&gt;$AU194,"Đã vượt ước tính","Đã dùng "&amp;TEXT((TDBC-$J194)*24/$AU194,"0%")))))</f>
      </c>
      <c r="AG194" s="223">
        <f>IF(N($BB194)=0,"",CHOOSE($BB194,"Nhắc nhở","Cảnh báo","Báo động","Báo động đỏ"))</f>
      </c>
      <c r="AH194" s="223">
        <f>IF(OR($B194&lt;&gt;"Đột xuất",$AA194&lt;&gt;"Hoàn thành",N($X194)=0,$AW194=0),"",IF($X194&lt;=$AW194,"Đúng hạn","Trễ hạn"))</f>
      </c>
      <c r="AI194" s="220">
        <f>IF($A194="","",_xlfn.MAXIFS('Nhật ký tiến độ'!$B$6:$B$3005,'Nhật ký tiến độ'!$C$6:$C$3005,$A194))</f>
      </c>
      <c r="AJ194" s="225">
        <f>IF(OR($A194="",$B194&lt;&gt;"Định kỳ"),0,IFERROR(INDEX(DM_TanSuatNgay,MATCH($H194,DM_TanSuat,0)),0))</f>
      </c>
      <c r="AK194" s="225">
        <f>IF(OR($A194="",$B194&lt;&gt;"Định kỳ"),0,IFERROR(INDEX(DM_TanSuatThang,MATCH($H194,DM_TanSuat,0)),0))</f>
      </c>
      <c r="AL194" s="225">
        <f>IF(OR($A194="",$B194&lt;&gt;"Định kỳ",N($X194)=0,N($I194)=0),"",IF(INT($X194)&lt;$I194,0,IF($AJ194&gt;0,ROUND((INT($X194)-$I194)/$AJ194,0),IF($AK194&gt;0,ROUND((DATEDIF($I194,INT($X194),"m")+(INT($X194)-EDATE($I194,DATEDIF($I194,INT($X194),"m")))/(EDATE($I194,DATEDIF($I194,INT($X194),"m")+1)-EDATE($I194,DATEDIF($I194,INT($X194),"m"))))/$AK194,0),0))))</f>
      </c>
      <c r="AM194" s="225">
        <f>IF($A194="","",IF(COUNTIF('Nhật ký tiến độ'!$C$6:$C$3005,$A194)=0,0,_xlfn.MAXIFS('Nhật ký tiến độ'!$N$6:$N$3005,'Nhật ký tiến độ'!$C$6:$C$3005,$A194,'Nhật ký tiến độ'!$B$6:$B$3005,_xlfn.MAXIFS('Nhật ký tiến độ'!$B$6:$B$3005,'Nhật ký tiến độ'!$C$6:$C$3005,$A194))))</f>
      </c>
      <c r="AN194" s="225">
        <f>IF($A194="","",IF(N($AM194)=0,"",INDEX('Nhật ký tiến độ'!$E:$E,$AM194)))</f>
      </c>
      <c r="AO194" s="225">
        <f>IF($A194="",0,IF($AA194="Hoàn thành",0,1))</f>
      </c>
      <c r="AP194" s="225">
        <f>IF($AO194=0,0,INT(N($AW194)))</f>
      </c>
      <c r="AQ194" s="225">
        <f>IF(AND($AO194=1,$AJ194&gt;1),$AJ194,0)</f>
      </c>
      <c r="AR194" s="225">
        <f>IF(AND($AO194=1,$AJ194=1),1,0)</f>
      </c>
      <c r="AS194" s="225">
        <f>IF(OR($AO194=0,AND($AR194=1,N($BB194)=0)),"",IF(N($BB194)&gt;0,5-$BB194,IF($AD194="Chậm tiến độ",6,IF($AD194="Đến hạn hôm nay",7,IF(AND($AP194&gt;0,$AP194-NgayBC&lt;=7),8,"")))))</f>
      </c>
      <c r="AT194" s="225">
        <f>IF($AS194="","",$AS194*100000+$AP194+ROW()/100000)</f>
      </c>
      <c r="AU194" s="224">
        <f>IF(OR($A194="",N($R194)&lt;=0),"",IF($S194="Ngày",$R194*24,$R194))</f>
      </c>
      <c r="AV194" s="224">
        <f>IF($A194="","",IF($B194="Đột xuất",IF(OR($AA194&lt;&gt;"Hoàn thành",N($X194)=0,N($J194)=0),"",IF($X194&lt;$J194,"",($X194-$J194)*24)),IFERROR(AVERAGEIFS('Nhật ký tiến độ'!$H$6:$H$3005,'Nhật ký tiến độ'!$C$6:$C$3005,$A194,'Nhật ký tiến độ'!$H$6:$H$3005,"&gt;0"),"")))</f>
      </c>
      <c r="AW194" s="233">
        <f>IF($A194="",0,IF($B194="Đột xuất",$AY194,IF($AX194=0,0,$AX194+1-1/1440)))</f>
      </c>
      <c r="AX194" s="234">
        <f>IF(OR($A194="",$B194&lt;&gt;"Định kỳ",N($I194)=0),0,IF($AL194="",$I194,IF($AJ194&gt;0,$I194+($AL194+1)*$AJ194,IF($AK194&gt;0,EDATE($I194,($AL194+1)*$AK194),$I194))))</f>
      </c>
      <c r="AY194" s="233">
        <f>IF(OR($A194="",$B194&lt;&gt;"Đột xuất"),0,IF(N($K194)&gt;0,IF(MOD($K194,1)=0,$K194+1-1/1440,$K194),IF(N($J194)=0,0,$J194+IF(N($AU194)&gt;0,$AU194,IFERROR(INDEX(DM_SLA_Gio,MATCH($L194,DM_SLA_Cap,0)),168))/24)))</f>
      </c>
      <c r="AZ194" s="225">
        <f>IF(OR($A194="",TRIM($N194)="",COUNTIF('Phản ánh'!$K$6:$K$505,$N194)&gt;0,COUNTIF($N$6:$N194,$N194)&gt;1),0,1)</f>
      </c>
      <c r="BA194" s="225">
        <f>IF($AZ194=1,SUM($AZ$6:$AZ194),"")</f>
      </c>
      <c r="BB194" s="225">
        <f>IF(OR($AO194=0,N($AW194)=0),0,IF(TDBC&lt;=$AW194,0,MAX(1,MIN(4,IF((TDBC-$AW194)*24&lt;24,1,IF((TDBC-$AW194)*24&lt;72,2,IF((TDBC-$AW194)*24&lt;168,3,4)))+IF($B194="Đột xuất",IFERROR(INDEX({2,1,0,-1},MATCH($L194,{"Khẩn cấp","Cao","Trung bình","Thấp"},0)),0),IF($D194="PCCC và an ninh",1,0))))))</f>
      </c>
    </row>
    <row r="195">
      <c r="A195" s="216"/>
      <c r="B195" s="216"/>
      <c r="C195" s="218"/>
      <c r="D195" s="218"/>
      <c r="E195" s="218"/>
      <c r="F195" s="216"/>
      <c r="G195" s="218"/>
      <c r="H195" s="218"/>
      <c r="I195" s="231"/>
      <c r="J195" s="217"/>
      <c r="K195" s="217"/>
      <c r="L195" s="216"/>
      <c r="M195" s="216"/>
      <c r="N195" s="218"/>
      <c r="O195" s="218"/>
      <c r="P195" s="218"/>
      <c r="Q195" s="218"/>
      <c r="R195" s="219"/>
      <c r="S195" s="216"/>
      <c r="T195" s="232"/>
      <c r="U195" s="232"/>
      <c r="V195" s="218"/>
      <c r="W195" s="218"/>
      <c r="X195" s="220">
        <f>IF($A195="","",IF(OR($B195="Định kỳ",$AA195="Hoàn thành"),MAX(_xlfn.MAXIFS('Nhật ký tiến độ'!$B$6:$B$3005,'Nhật ký tiến độ'!$C$6:$C$3005,$A195,'Nhật ký tiến độ'!$E$6:$E$3005,"Hoàn thành kỳ"),_xlfn.MAXIFS('Nhật ký tiến độ'!$B$6:$B$3005,'Nhật ký tiến độ'!$C$6:$C$3005,$A195,'Nhật ký tiến độ'!$E$6:$E$3005,"Hoàn thành")),0))</f>
      </c>
      <c r="Y195" s="220">
        <f>IF($A195="","",IF($B195="Đột xuất",IF($AY195=0,"",$AY195),IF($AX195=0,"",$AX195)))</f>
      </c>
      <c r="Z195" s="223">
        <f>IF(OR($AO195=0,$AW195=0),"",IF(TDBC&gt;$AW195,"Quá "&amp;IF($B195="Định kỳ",(NgayBC-$AP195)&amp;" ngày",IF(((TDBC-$AW195)*24)&lt;1,MAX(1,ROUND(((TDBC-$AW195)*24)*60,0))&amp;" phút",IF(ROUND(((TDBC-$AW195)*24),0)&lt;24,ROUND(((TDBC-$AW195)*24),0)&amp;" giờ",INT(ROUND(((TDBC-$AW195)*24),0)/24)&amp;" ngày"&amp;IF(MOD(ROUND(((TDBC-$AW195)*24),0),24)&gt;0," "&amp;MOD(ROUND(((TDBC-$AW195)*24),0),24)&amp;" giờ","")))),IF($B195="Định kỳ",IF($AP195=NgayBC,"Hôm nay","Còn "&amp;($AP195-NgayBC)&amp;" ngày"),"Còn "&amp;IF((($AW195-TDBC)*24)&lt;1,MAX(1,ROUND((($AW195-TDBC)*24)*60,0))&amp;" phút",IF(ROUND((($AW195-TDBC)*24),0)&lt;24,ROUND((($AW195-TDBC)*24),0)&amp;" giờ",INT(ROUND((($AW195-TDBC)*24),0)/24)&amp;" ngày"&amp;IF(MOD(ROUND((($AW195-TDBC)*24),0),24)&gt;0," "&amp;MOD(ROUND((($AW195-TDBC)*24),0),24)&amp;" giờ",""))))))</f>
      </c>
      <c r="AA195" s="221">
        <f>IF($A195="","",IF(N($AM195)=0,"Chưa bắt đầu",IF(OR($AN195="Hoàn thành kỳ",$AN195="Hoàn thành"),IF($B195="Định kỳ","Chưa bắt đầu","Hoàn thành"),$AN195)))</f>
      </c>
      <c r="AB195" s="222">
        <f>IF($A195="","",IF($AA195="Hoàn thành",1,IF(OR(N($AM195)=0,$AN195="Hoàn thành kỳ",$AN195="Hoàn thành"),0,N(INDEX('Nhật ký tiến độ'!$D:$D,$AM195)))))</f>
      </c>
      <c r="AC195" s="222">
        <f>IF(OR($A195="",$B195&lt;&gt;"Đột xuất",$AA195="Hoàn thành",N($J195)=0,$AW195=0),"",IF(TDBC&lt;=$J195,0,IF(TDBC&gt;=$AW195,1,(TDBC-$J195)/($AW195-$J195))))</f>
      </c>
      <c r="AD195" s="223">
        <f>IF($A195="","",IF($AA195="Hoàn thành","Hoàn thành",IF($AW195=0,"Chưa đặt hạn",IF(TDBC&gt;$AW195,"Quá hạn",IF(AND($B195="Đột xuất",ROUND((N($AC195)-$AB195)*100,0)&gt;=20),"Chậm tiến độ",IF($AP195=NgayBC,"Đến hạn hôm nay",IF($B195="Đột xuất",IF($AW195-TDBC&lt;=1,"Sắp đến hạn","Đúng tiến độ"),IF($AP195-NgayBC&lt;=3,"Sắp đến hạn","Theo lịch"))))))))</f>
      </c>
      <c r="AE195" s="223">
        <f>IF($AV195="","",IF($B195="Định kỳ","Bình quân "&amp;IF($AV195&lt;1,MAX(1,ROUND($AV195*60,0))&amp;" phút",IF(ROUND($AV195,0)&lt;24,ROUND($AV195,0)&amp;" giờ",INT(ROUND($AV195,0)/24)&amp;" ngày"&amp;IF(MOD(ROUND($AV195,0),24)&gt;0," "&amp;MOD(ROUND($AV195,0),24)&amp;" giờ","")))&amp;" mỗi kỳ",IF($AV195&lt;1,MAX(1,ROUND($AV195*60,0))&amp;" phút",IF(ROUND($AV195,0)&lt;24,ROUND($AV195,0)&amp;" giờ",INT(ROUND($AV195,0)/24)&amp;" ngày"&amp;IF(MOD(ROUND($AV195,0),24)&gt;0," "&amp;MOD(ROUND($AV195,0),24)&amp;" giờ","")))))</f>
      </c>
      <c r="AF195" s="223">
        <f>IF(OR($A195="",N($AU195)=0),"",IF($AV195&lt;&gt;"",IF($AV195&lt;=$AU195,"Trong ước tính","Vượt "&amp;IF(($AV195-$AU195)&lt;1,MAX(1,ROUND(($AV195-$AU195)*60,0))&amp;" phút",IF(ROUND(($AV195-$AU195),0)&lt;24,ROUND(($AV195-$AU195),0)&amp;" giờ",INT(ROUND(($AV195-$AU195),0)/24)&amp;" ngày"&amp;IF(MOD(ROUND(($AV195-$AU195),0),24)&gt;0," "&amp;MOD(ROUND(($AV195-$AU195),0),24)&amp;" giờ","")))),IF(OR($B195&lt;&gt;"Đột xuất",$AA195="Hoàn thành",N($J195)=0),"",IF((TDBC-$J195)*24&gt;$AU195,"Đã vượt ước tính","Đã dùng "&amp;TEXT((TDBC-$J195)*24/$AU195,"0%")))))</f>
      </c>
      <c r="AG195" s="223">
        <f>IF(N($BB195)=0,"",CHOOSE($BB195,"Nhắc nhở","Cảnh báo","Báo động","Báo động đỏ"))</f>
      </c>
      <c r="AH195" s="223">
        <f>IF(OR($B195&lt;&gt;"Đột xuất",$AA195&lt;&gt;"Hoàn thành",N($X195)=0,$AW195=0),"",IF($X195&lt;=$AW195,"Đúng hạn","Trễ hạn"))</f>
      </c>
      <c r="AI195" s="220">
        <f>IF($A195="","",_xlfn.MAXIFS('Nhật ký tiến độ'!$B$6:$B$3005,'Nhật ký tiến độ'!$C$6:$C$3005,$A195))</f>
      </c>
      <c r="AJ195" s="225">
        <f>IF(OR($A195="",$B195&lt;&gt;"Định kỳ"),0,IFERROR(INDEX(DM_TanSuatNgay,MATCH($H195,DM_TanSuat,0)),0))</f>
      </c>
      <c r="AK195" s="225">
        <f>IF(OR($A195="",$B195&lt;&gt;"Định kỳ"),0,IFERROR(INDEX(DM_TanSuatThang,MATCH($H195,DM_TanSuat,0)),0))</f>
      </c>
      <c r="AL195" s="225">
        <f>IF(OR($A195="",$B195&lt;&gt;"Định kỳ",N($X195)=0,N($I195)=0),"",IF(INT($X195)&lt;$I195,0,IF($AJ195&gt;0,ROUND((INT($X195)-$I195)/$AJ195,0),IF($AK195&gt;0,ROUND((DATEDIF($I195,INT($X195),"m")+(INT($X195)-EDATE($I195,DATEDIF($I195,INT($X195),"m")))/(EDATE($I195,DATEDIF($I195,INT($X195),"m")+1)-EDATE($I195,DATEDIF($I195,INT($X195),"m"))))/$AK195,0),0))))</f>
      </c>
      <c r="AM195" s="225">
        <f>IF($A195="","",IF(COUNTIF('Nhật ký tiến độ'!$C$6:$C$3005,$A195)=0,0,_xlfn.MAXIFS('Nhật ký tiến độ'!$N$6:$N$3005,'Nhật ký tiến độ'!$C$6:$C$3005,$A195,'Nhật ký tiến độ'!$B$6:$B$3005,_xlfn.MAXIFS('Nhật ký tiến độ'!$B$6:$B$3005,'Nhật ký tiến độ'!$C$6:$C$3005,$A195))))</f>
      </c>
      <c r="AN195" s="225">
        <f>IF($A195="","",IF(N($AM195)=0,"",INDEX('Nhật ký tiến độ'!$E:$E,$AM195)))</f>
      </c>
      <c r="AO195" s="225">
        <f>IF($A195="",0,IF($AA195="Hoàn thành",0,1))</f>
      </c>
      <c r="AP195" s="225">
        <f>IF($AO195=0,0,INT(N($AW195)))</f>
      </c>
      <c r="AQ195" s="225">
        <f>IF(AND($AO195=1,$AJ195&gt;1),$AJ195,0)</f>
      </c>
      <c r="AR195" s="225">
        <f>IF(AND($AO195=1,$AJ195=1),1,0)</f>
      </c>
      <c r="AS195" s="225">
        <f>IF(OR($AO195=0,AND($AR195=1,N($BB195)=0)),"",IF(N($BB195)&gt;0,5-$BB195,IF($AD195="Chậm tiến độ",6,IF($AD195="Đến hạn hôm nay",7,IF(AND($AP195&gt;0,$AP195-NgayBC&lt;=7),8,"")))))</f>
      </c>
      <c r="AT195" s="225">
        <f>IF($AS195="","",$AS195*100000+$AP195+ROW()/100000)</f>
      </c>
      <c r="AU195" s="224">
        <f>IF(OR($A195="",N($R195)&lt;=0),"",IF($S195="Ngày",$R195*24,$R195))</f>
      </c>
      <c r="AV195" s="224">
        <f>IF($A195="","",IF($B195="Đột xuất",IF(OR($AA195&lt;&gt;"Hoàn thành",N($X195)=0,N($J195)=0),"",IF($X195&lt;$J195,"",($X195-$J195)*24)),IFERROR(AVERAGEIFS('Nhật ký tiến độ'!$H$6:$H$3005,'Nhật ký tiến độ'!$C$6:$C$3005,$A195,'Nhật ký tiến độ'!$H$6:$H$3005,"&gt;0"),"")))</f>
      </c>
      <c r="AW195" s="233">
        <f>IF($A195="",0,IF($B195="Đột xuất",$AY195,IF($AX195=0,0,$AX195+1-1/1440)))</f>
      </c>
      <c r="AX195" s="234">
        <f>IF(OR($A195="",$B195&lt;&gt;"Định kỳ",N($I195)=0),0,IF($AL195="",$I195,IF($AJ195&gt;0,$I195+($AL195+1)*$AJ195,IF($AK195&gt;0,EDATE($I195,($AL195+1)*$AK195),$I195))))</f>
      </c>
      <c r="AY195" s="233">
        <f>IF(OR($A195="",$B195&lt;&gt;"Đột xuất"),0,IF(N($K195)&gt;0,IF(MOD($K195,1)=0,$K195+1-1/1440,$K195),IF(N($J195)=0,0,$J195+IF(N($AU195)&gt;0,$AU195,IFERROR(INDEX(DM_SLA_Gio,MATCH($L195,DM_SLA_Cap,0)),168))/24)))</f>
      </c>
      <c r="AZ195" s="225">
        <f>IF(OR($A195="",TRIM($N195)="",COUNTIF('Phản ánh'!$K$6:$K$505,$N195)&gt;0,COUNTIF($N$6:$N195,$N195)&gt;1),0,1)</f>
      </c>
      <c r="BA195" s="225">
        <f>IF($AZ195=1,SUM($AZ$6:$AZ195),"")</f>
      </c>
      <c r="BB195" s="225">
        <f>IF(OR($AO195=0,N($AW195)=0),0,IF(TDBC&lt;=$AW195,0,MAX(1,MIN(4,IF((TDBC-$AW195)*24&lt;24,1,IF((TDBC-$AW195)*24&lt;72,2,IF((TDBC-$AW195)*24&lt;168,3,4)))+IF($B195="Đột xuất",IFERROR(INDEX({2,1,0,-1},MATCH($L195,{"Khẩn cấp","Cao","Trung bình","Thấp"},0)),0),IF($D195="PCCC và an ninh",1,0))))))</f>
      </c>
    </row>
    <row r="196">
      <c r="A196" s="216"/>
      <c r="B196" s="216"/>
      <c r="C196" s="218"/>
      <c r="D196" s="218"/>
      <c r="E196" s="218"/>
      <c r="F196" s="216"/>
      <c r="G196" s="218"/>
      <c r="H196" s="218"/>
      <c r="I196" s="231"/>
      <c r="J196" s="217"/>
      <c r="K196" s="217"/>
      <c r="L196" s="216"/>
      <c r="M196" s="216"/>
      <c r="N196" s="218"/>
      <c r="O196" s="218"/>
      <c r="P196" s="218"/>
      <c r="Q196" s="218"/>
      <c r="R196" s="219"/>
      <c r="S196" s="216"/>
      <c r="T196" s="232"/>
      <c r="U196" s="232"/>
      <c r="V196" s="218"/>
      <c r="W196" s="218"/>
      <c r="X196" s="220">
        <f>IF($A196="","",IF(OR($B196="Định kỳ",$AA196="Hoàn thành"),MAX(_xlfn.MAXIFS('Nhật ký tiến độ'!$B$6:$B$3005,'Nhật ký tiến độ'!$C$6:$C$3005,$A196,'Nhật ký tiến độ'!$E$6:$E$3005,"Hoàn thành kỳ"),_xlfn.MAXIFS('Nhật ký tiến độ'!$B$6:$B$3005,'Nhật ký tiến độ'!$C$6:$C$3005,$A196,'Nhật ký tiến độ'!$E$6:$E$3005,"Hoàn thành")),0))</f>
      </c>
      <c r="Y196" s="220">
        <f>IF($A196="","",IF($B196="Đột xuất",IF($AY196=0,"",$AY196),IF($AX196=0,"",$AX196)))</f>
      </c>
      <c r="Z196" s="223">
        <f>IF(OR($AO196=0,$AW196=0),"",IF(TDBC&gt;$AW196,"Quá "&amp;IF($B196="Định kỳ",(NgayBC-$AP196)&amp;" ngày",IF(((TDBC-$AW196)*24)&lt;1,MAX(1,ROUND(((TDBC-$AW196)*24)*60,0))&amp;" phút",IF(ROUND(((TDBC-$AW196)*24),0)&lt;24,ROUND(((TDBC-$AW196)*24),0)&amp;" giờ",INT(ROUND(((TDBC-$AW196)*24),0)/24)&amp;" ngày"&amp;IF(MOD(ROUND(((TDBC-$AW196)*24),0),24)&gt;0," "&amp;MOD(ROUND(((TDBC-$AW196)*24),0),24)&amp;" giờ","")))),IF($B196="Định kỳ",IF($AP196=NgayBC,"Hôm nay","Còn "&amp;($AP196-NgayBC)&amp;" ngày"),"Còn "&amp;IF((($AW196-TDBC)*24)&lt;1,MAX(1,ROUND((($AW196-TDBC)*24)*60,0))&amp;" phút",IF(ROUND((($AW196-TDBC)*24),0)&lt;24,ROUND((($AW196-TDBC)*24),0)&amp;" giờ",INT(ROUND((($AW196-TDBC)*24),0)/24)&amp;" ngày"&amp;IF(MOD(ROUND((($AW196-TDBC)*24),0),24)&gt;0," "&amp;MOD(ROUND((($AW196-TDBC)*24),0),24)&amp;" giờ",""))))))</f>
      </c>
      <c r="AA196" s="221">
        <f>IF($A196="","",IF(N($AM196)=0,"Chưa bắt đầu",IF(OR($AN196="Hoàn thành kỳ",$AN196="Hoàn thành"),IF($B196="Định kỳ","Chưa bắt đầu","Hoàn thành"),$AN196)))</f>
      </c>
      <c r="AB196" s="222">
        <f>IF($A196="","",IF($AA196="Hoàn thành",1,IF(OR(N($AM196)=0,$AN196="Hoàn thành kỳ",$AN196="Hoàn thành"),0,N(INDEX('Nhật ký tiến độ'!$D:$D,$AM196)))))</f>
      </c>
      <c r="AC196" s="222">
        <f>IF(OR($A196="",$B196&lt;&gt;"Đột xuất",$AA196="Hoàn thành",N($J196)=0,$AW196=0),"",IF(TDBC&lt;=$J196,0,IF(TDBC&gt;=$AW196,1,(TDBC-$J196)/($AW196-$J196))))</f>
      </c>
      <c r="AD196" s="223">
        <f>IF($A196="","",IF($AA196="Hoàn thành","Hoàn thành",IF($AW196=0,"Chưa đặt hạn",IF(TDBC&gt;$AW196,"Quá hạn",IF(AND($B196="Đột xuất",ROUND((N($AC196)-$AB196)*100,0)&gt;=20),"Chậm tiến độ",IF($AP196=NgayBC,"Đến hạn hôm nay",IF($B196="Đột xuất",IF($AW196-TDBC&lt;=1,"Sắp đến hạn","Đúng tiến độ"),IF($AP196-NgayBC&lt;=3,"Sắp đến hạn","Theo lịch"))))))))</f>
      </c>
      <c r="AE196" s="223">
        <f>IF($AV196="","",IF($B196="Định kỳ","Bình quân "&amp;IF($AV196&lt;1,MAX(1,ROUND($AV196*60,0))&amp;" phút",IF(ROUND($AV196,0)&lt;24,ROUND($AV196,0)&amp;" giờ",INT(ROUND($AV196,0)/24)&amp;" ngày"&amp;IF(MOD(ROUND($AV196,0),24)&gt;0," "&amp;MOD(ROUND($AV196,0),24)&amp;" giờ","")))&amp;" mỗi kỳ",IF($AV196&lt;1,MAX(1,ROUND($AV196*60,0))&amp;" phút",IF(ROUND($AV196,0)&lt;24,ROUND($AV196,0)&amp;" giờ",INT(ROUND($AV196,0)/24)&amp;" ngày"&amp;IF(MOD(ROUND($AV196,0),24)&gt;0," "&amp;MOD(ROUND($AV196,0),24)&amp;" giờ","")))))</f>
      </c>
      <c r="AF196" s="223">
        <f>IF(OR($A196="",N($AU196)=0),"",IF($AV196&lt;&gt;"",IF($AV196&lt;=$AU196,"Trong ước tính","Vượt "&amp;IF(($AV196-$AU196)&lt;1,MAX(1,ROUND(($AV196-$AU196)*60,0))&amp;" phút",IF(ROUND(($AV196-$AU196),0)&lt;24,ROUND(($AV196-$AU196),0)&amp;" giờ",INT(ROUND(($AV196-$AU196),0)/24)&amp;" ngày"&amp;IF(MOD(ROUND(($AV196-$AU196),0),24)&gt;0," "&amp;MOD(ROUND(($AV196-$AU196),0),24)&amp;" giờ","")))),IF(OR($B196&lt;&gt;"Đột xuất",$AA196="Hoàn thành",N($J196)=0),"",IF((TDBC-$J196)*24&gt;$AU196,"Đã vượt ước tính","Đã dùng "&amp;TEXT((TDBC-$J196)*24/$AU196,"0%")))))</f>
      </c>
      <c r="AG196" s="223">
        <f>IF(N($BB196)=0,"",CHOOSE($BB196,"Nhắc nhở","Cảnh báo","Báo động","Báo động đỏ"))</f>
      </c>
      <c r="AH196" s="223">
        <f>IF(OR($B196&lt;&gt;"Đột xuất",$AA196&lt;&gt;"Hoàn thành",N($X196)=0,$AW196=0),"",IF($X196&lt;=$AW196,"Đúng hạn","Trễ hạn"))</f>
      </c>
      <c r="AI196" s="220">
        <f>IF($A196="","",_xlfn.MAXIFS('Nhật ký tiến độ'!$B$6:$B$3005,'Nhật ký tiến độ'!$C$6:$C$3005,$A196))</f>
      </c>
      <c r="AJ196" s="225">
        <f>IF(OR($A196="",$B196&lt;&gt;"Định kỳ"),0,IFERROR(INDEX(DM_TanSuatNgay,MATCH($H196,DM_TanSuat,0)),0))</f>
      </c>
      <c r="AK196" s="225">
        <f>IF(OR($A196="",$B196&lt;&gt;"Định kỳ"),0,IFERROR(INDEX(DM_TanSuatThang,MATCH($H196,DM_TanSuat,0)),0))</f>
      </c>
      <c r="AL196" s="225">
        <f>IF(OR($A196="",$B196&lt;&gt;"Định kỳ",N($X196)=0,N($I196)=0),"",IF(INT($X196)&lt;$I196,0,IF($AJ196&gt;0,ROUND((INT($X196)-$I196)/$AJ196,0),IF($AK196&gt;0,ROUND((DATEDIF($I196,INT($X196),"m")+(INT($X196)-EDATE($I196,DATEDIF($I196,INT($X196),"m")))/(EDATE($I196,DATEDIF($I196,INT($X196),"m")+1)-EDATE($I196,DATEDIF($I196,INT($X196),"m"))))/$AK196,0),0))))</f>
      </c>
      <c r="AM196" s="225">
        <f>IF($A196="","",IF(COUNTIF('Nhật ký tiến độ'!$C$6:$C$3005,$A196)=0,0,_xlfn.MAXIFS('Nhật ký tiến độ'!$N$6:$N$3005,'Nhật ký tiến độ'!$C$6:$C$3005,$A196,'Nhật ký tiến độ'!$B$6:$B$3005,_xlfn.MAXIFS('Nhật ký tiến độ'!$B$6:$B$3005,'Nhật ký tiến độ'!$C$6:$C$3005,$A196))))</f>
      </c>
      <c r="AN196" s="225">
        <f>IF($A196="","",IF(N($AM196)=0,"",INDEX('Nhật ký tiến độ'!$E:$E,$AM196)))</f>
      </c>
      <c r="AO196" s="225">
        <f>IF($A196="",0,IF($AA196="Hoàn thành",0,1))</f>
      </c>
      <c r="AP196" s="225">
        <f>IF($AO196=0,0,INT(N($AW196)))</f>
      </c>
      <c r="AQ196" s="225">
        <f>IF(AND($AO196=1,$AJ196&gt;1),$AJ196,0)</f>
      </c>
      <c r="AR196" s="225">
        <f>IF(AND($AO196=1,$AJ196=1),1,0)</f>
      </c>
      <c r="AS196" s="225">
        <f>IF(OR($AO196=0,AND($AR196=1,N($BB196)=0)),"",IF(N($BB196)&gt;0,5-$BB196,IF($AD196="Chậm tiến độ",6,IF($AD196="Đến hạn hôm nay",7,IF(AND($AP196&gt;0,$AP196-NgayBC&lt;=7),8,"")))))</f>
      </c>
      <c r="AT196" s="225">
        <f>IF($AS196="","",$AS196*100000+$AP196+ROW()/100000)</f>
      </c>
      <c r="AU196" s="224">
        <f>IF(OR($A196="",N($R196)&lt;=0),"",IF($S196="Ngày",$R196*24,$R196))</f>
      </c>
      <c r="AV196" s="224">
        <f>IF($A196="","",IF($B196="Đột xuất",IF(OR($AA196&lt;&gt;"Hoàn thành",N($X196)=0,N($J196)=0),"",IF($X196&lt;$J196,"",($X196-$J196)*24)),IFERROR(AVERAGEIFS('Nhật ký tiến độ'!$H$6:$H$3005,'Nhật ký tiến độ'!$C$6:$C$3005,$A196,'Nhật ký tiến độ'!$H$6:$H$3005,"&gt;0"),"")))</f>
      </c>
      <c r="AW196" s="233">
        <f>IF($A196="",0,IF($B196="Đột xuất",$AY196,IF($AX196=0,0,$AX196+1-1/1440)))</f>
      </c>
      <c r="AX196" s="234">
        <f>IF(OR($A196="",$B196&lt;&gt;"Định kỳ",N($I196)=0),0,IF($AL196="",$I196,IF($AJ196&gt;0,$I196+($AL196+1)*$AJ196,IF($AK196&gt;0,EDATE($I196,($AL196+1)*$AK196),$I196))))</f>
      </c>
      <c r="AY196" s="233">
        <f>IF(OR($A196="",$B196&lt;&gt;"Đột xuất"),0,IF(N($K196)&gt;0,IF(MOD($K196,1)=0,$K196+1-1/1440,$K196),IF(N($J196)=0,0,$J196+IF(N($AU196)&gt;0,$AU196,IFERROR(INDEX(DM_SLA_Gio,MATCH($L196,DM_SLA_Cap,0)),168))/24)))</f>
      </c>
      <c r="AZ196" s="225">
        <f>IF(OR($A196="",TRIM($N196)="",COUNTIF('Phản ánh'!$K$6:$K$505,$N196)&gt;0,COUNTIF($N$6:$N196,$N196)&gt;1),0,1)</f>
      </c>
      <c r="BA196" s="225">
        <f>IF($AZ196=1,SUM($AZ$6:$AZ196),"")</f>
      </c>
      <c r="BB196" s="225">
        <f>IF(OR($AO196=0,N($AW196)=0),0,IF(TDBC&lt;=$AW196,0,MAX(1,MIN(4,IF((TDBC-$AW196)*24&lt;24,1,IF((TDBC-$AW196)*24&lt;72,2,IF((TDBC-$AW196)*24&lt;168,3,4)))+IF($B196="Đột xuất",IFERROR(INDEX({2,1,0,-1},MATCH($L196,{"Khẩn cấp","Cao","Trung bình","Thấp"},0)),0),IF($D196="PCCC và an ninh",1,0))))))</f>
      </c>
    </row>
    <row r="197">
      <c r="A197" s="216"/>
      <c r="B197" s="216"/>
      <c r="C197" s="218"/>
      <c r="D197" s="218"/>
      <c r="E197" s="218"/>
      <c r="F197" s="216"/>
      <c r="G197" s="218"/>
      <c r="H197" s="218"/>
      <c r="I197" s="231"/>
      <c r="J197" s="217"/>
      <c r="K197" s="217"/>
      <c r="L197" s="216"/>
      <c r="M197" s="216"/>
      <c r="N197" s="218"/>
      <c r="O197" s="218"/>
      <c r="P197" s="218"/>
      <c r="Q197" s="218"/>
      <c r="R197" s="219"/>
      <c r="S197" s="216"/>
      <c r="T197" s="232"/>
      <c r="U197" s="232"/>
      <c r="V197" s="218"/>
      <c r="W197" s="218"/>
      <c r="X197" s="220">
        <f>IF($A197="","",IF(OR($B197="Định kỳ",$AA197="Hoàn thành"),MAX(_xlfn.MAXIFS('Nhật ký tiến độ'!$B$6:$B$3005,'Nhật ký tiến độ'!$C$6:$C$3005,$A197,'Nhật ký tiến độ'!$E$6:$E$3005,"Hoàn thành kỳ"),_xlfn.MAXIFS('Nhật ký tiến độ'!$B$6:$B$3005,'Nhật ký tiến độ'!$C$6:$C$3005,$A197,'Nhật ký tiến độ'!$E$6:$E$3005,"Hoàn thành")),0))</f>
      </c>
      <c r="Y197" s="220">
        <f>IF($A197="","",IF($B197="Đột xuất",IF($AY197=0,"",$AY197),IF($AX197=0,"",$AX197)))</f>
      </c>
      <c r="Z197" s="223">
        <f>IF(OR($AO197=0,$AW197=0),"",IF(TDBC&gt;$AW197,"Quá "&amp;IF($B197="Định kỳ",(NgayBC-$AP197)&amp;" ngày",IF(((TDBC-$AW197)*24)&lt;1,MAX(1,ROUND(((TDBC-$AW197)*24)*60,0))&amp;" phút",IF(ROUND(((TDBC-$AW197)*24),0)&lt;24,ROUND(((TDBC-$AW197)*24),0)&amp;" giờ",INT(ROUND(((TDBC-$AW197)*24),0)/24)&amp;" ngày"&amp;IF(MOD(ROUND(((TDBC-$AW197)*24),0),24)&gt;0," "&amp;MOD(ROUND(((TDBC-$AW197)*24),0),24)&amp;" giờ","")))),IF($B197="Định kỳ",IF($AP197=NgayBC,"Hôm nay","Còn "&amp;($AP197-NgayBC)&amp;" ngày"),"Còn "&amp;IF((($AW197-TDBC)*24)&lt;1,MAX(1,ROUND((($AW197-TDBC)*24)*60,0))&amp;" phút",IF(ROUND((($AW197-TDBC)*24),0)&lt;24,ROUND((($AW197-TDBC)*24),0)&amp;" giờ",INT(ROUND((($AW197-TDBC)*24),0)/24)&amp;" ngày"&amp;IF(MOD(ROUND((($AW197-TDBC)*24),0),24)&gt;0," "&amp;MOD(ROUND((($AW197-TDBC)*24),0),24)&amp;" giờ",""))))))</f>
      </c>
      <c r="AA197" s="221">
        <f>IF($A197="","",IF(N($AM197)=0,"Chưa bắt đầu",IF(OR($AN197="Hoàn thành kỳ",$AN197="Hoàn thành"),IF($B197="Định kỳ","Chưa bắt đầu","Hoàn thành"),$AN197)))</f>
      </c>
      <c r="AB197" s="222">
        <f>IF($A197="","",IF($AA197="Hoàn thành",1,IF(OR(N($AM197)=0,$AN197="Hoàn thành kỳ",$AN197="Hoàn thành"),0,N(INDEX('Nhật ký tiến độ'!$D:$D,$AM197)))))</f>
      </c>
      <c r="AC197" s="222">
        <f>IF(OR($A197="",$B197&lt;&gt;"Đột xuất",$AA197="Hoàn thành",N($J197)=0,$AW197=0),"",IF(TDBC&lt;=$J197,0,IF(TDBC&gt;=$AW197,1,(TDBC-$J197)/($AW197-$J197))))</f>
      </c>
      <c r="AD197" s="223">
        <f>IF($A197="","",IF($AA197="Hoàn thành","Hoàn thành",IF($AW197=0,"Chưa đặt hạn",IF(TDBC&gt;$AW197,"Quá hạn",IF(AND($B197="Đột xuất",ROUND((N($AC197)-$AB197)*100,0)&gt;=20),"Chậm tiến độ",IF($AP197=NgayBC,"Đến hạn hôm nay",IF($B197="Đột xuất",IF($AW197-TDBC&lt;=1,"Sắp đến hạn","Đúng tiến độ"),IF($AP197-NgayBC&lt;=3,"Sắp đến hạn","Theo lịch"))))))))</f>
      </c>
      <c r="AE197" s="223">
        <f>IF($AV197="","",IF($B197="Định kỳ","Bình quân "&amp;IF($AV197&lt;1,MAX(1,ROUND($AV197*60,0))&amp;" phút",IF(ROUND($AV197,0)&lt;24,ROUND($AV197,0)&amp;" giờ",INT(ROUND($AV197,0)/24)&amp;" ngày"&amp;IF(MOD(ROUND($AV197,0),24)&gt;0," "&amp;MOD(ROUND($AV197,0),24)&amp;" giờ","")))&amp;" mỗi kỳ",IF($AV197&lt;1,MAX(1,ROUND($AV197*60,0))&amp;" phút",IF(ROUND($AV197,0)&lt;24,ROUND($AV197,0)&amp;" giờ",INT(ROUND($AV197,0)/24)&amp;" ngày"&amp;IF(MOD(ROUND($AV197,0),24)&gt;0," "&amp;MOD(ROUND($AV197,0),24)&amp;" giờ","")))))</f>
      </c>
      <c r="AF197" s="223">
        <f>IF(OR($A197="",N($AU197)=0),"",IF($AV197&lt;&gt;"",IF($AV197&lt;=$AU197,"Trong ước tính","Vượt "&amp;IF(($AV197-$AU197)&lt;1,MAX(1,ROUND(($AV197-$AU197)*60,0))&amp;" phút",IF(ROUND(($AV197-$AU197),0)&lt;24,ROUND(($AV197-$AU197),0)&amp;" giờ",INT(ROUND(($AV197-$AU197),0)/24)&amp;" ngày"&amp;IF(MOD(ROUND(($AV197-$AU197),0),24)&gt;0," "&amp;MOD(ROUND(($AV197-$AU197),0),24)&amp;" giờ","")))),IF(OR($B197&lt;&gt;"Đột xuất",$AA197="Hoàn thành",N($J197)=0),"",IF((TDBC-$J197)*24&gt;$AU197,"Đã vượt ước tính","Đã dùng "&amp;TEXT((TDBC-$J197)*24/$AU197,"0%")))))</f>
      </c>
      <c r="AG197" s="223">
        <f>IF(N($BB197)=0,"",CHOOSE($BB197,"Nhắc nhở","Cảnh báo","Báo động","Báo động đỏ"))</f>
      </c>
      <c r="AH197" s="223">
        <f>IF(OR($B197&lt;&gt;"Đột xuất",$AA197&lt;&gt;"Hoàn thành",N($X197)=0,$AW197=0),"",IF($X197&lt;=$AW197,"Đúng hạn","Trễ hạn"))</f>
      </c>
      <c r="AI197" s="220">
        <f>IF($A197="","",_xlfn.MAXIFS('Nhật ký tiến độ'!$B$6:$B$3005,'Nhật ký tiến độ'!$C$6:$C$3005,$A197))</f>
      </c>
      <c r="AJ197" s="225">
        <f>IF(OR($A197="",$B197&lt;&gt;"Định kỳ"),0,IFERROR(INDEX(DM_TanSuatNgay,MATCH($H197,DM_TanSuat,0)),0))</f>
      </c>
      <c r="AK197" s="225">
        <f>IF(OR($A197="",$B197&lt;&gt;"Định kỳ"),0,IFERROR(INDEX(DM_TanSuatThang,MATCH($H197,DM_TanSuat,0)),0))</f>
      </c>
      <c r="AL197" s="225">
        <f>IF(OR($A197="",$B197&lt;&gt;"Định kỳ",N($X197)=0,N($I197)=0),"",IF(INT($X197)&lt;$I197,0,IF($AJ197&gt;0,ROUND((INT($X197)-$I197)/$AJ197,0),IF($AK197&gt;0,ROUND((DATEDIF($I197,INT($X197),"m")+(INT($X197)-EDATE($I197,DATEDIF($I197,INT($X197),"m")))/(EDATE($I197,DATEDIF($I197,INT($X197),"m")+1)-EDATE($I197,DATEDIF($I197,INT($X197),"m"))))/$AK197,0),0))))</f>
      </c>
      <c r="AM197" s="225">
        <f>IF($A197="","",IF(COUNTIF('Nhật ký tiến độ'!$C$6:$C$3005,$A197)=0,0,_xlfn.MAXIFS('Nhật ký tiến độ'!$N$6:$N$3005,'Nhật ký tiến độ'!$C$6:$C$3005,$A197,'Nhật ký tiến độ'!$B$6:$B$3005,_xlfn.MAXIFS('Nhật ký tiến độ'!$B$6:$B$3005,'Nhật ký tiến độ'!$C$6:$C$3005,$A197))))</f>
      </c>
      <c r="AN197" s="225">
        <f>IF($A197="","",IF(N($AM197)=0,"",INDEX('Nhật ký tiến độ'!$E:$E,$AM197)))</f>
      </c>
      <c r="AO197" s="225">
        <f>IF($A197="",0,IF($AA197="Hoàn thành",0,1))</f>
      </c>
      <c r="AP197" s="225">
        <f>IF($AO197=0,0,INT(N($AW197)))</f>
      </c>
      <c r="AQ197" s="225">
        <f>IF(AND($AO197=1,$AJ197&gt;1),$AJ197,0)</f>
      </c>
      <c r="AR197" s="225">
        <f>IF(AND($AO197=1,$AJ197=1),1,0)</f>
      </c>
      <c r="AS197" s="225">
        <f>IF(OR($AO197=0,AND($AR197=1,N($BB197)=0)),"",IF(N($BB197)&gt;0,5-$BB197,IF($AD197="Chậm tiến độ",6,IF($AD197="Đến hạn hôm nay",7,IF(AND($AP197&gt;0,$AP197-NgayBC&lt;=7),8,"")))))</f>
      </c>
      <c r="AT197" s="225">
        <f>IF($AS197="","",$AS197*100000+$AP197+ROW()/100000)</f>
      </c>
      <c r="AU197" s="224">
        <f>IF(OR($A197="",N($R197)&lt;=0),"",IF($S197="Ngày",$R197*24,$R197))</f>
      </c>
      <c r="AV197" s="224">
        <f>IF($A197="","",IF($B197="Đột xuất",IF(OR($AA197&lt;&gt;"Hoàn thành",N($X197)=0,N($J197)=0),"",IF($X197&lt;$J197,"",($X197-$J197)*24)),IFERROR(AVERAGEIFS('Nhật ký tiến độ'!$H$6:$H$3005,'Nhật ký tiến độ'!$C$6:$C$3005,$A197,'Nhật ký tiến độ'!$H$6:$H$3005,"&gt;0"),"")))</f>
      </c>
      <c r="AW197" s="233">
        <f>IF($A197="",0,IF($B197="Đột xuất",$AY197,IF($AX197=0,0,$AX197+1-1/1440)))</f>
      </c>
      <c r="AX197" s="234">
        <f>IF(OR($A197="",$B197&lt;&gt;"Định kỳ",N($I197)=0),0,IF($AL197="",$I197,IF($AJ197&gt;0,$I197+($AL197+1)*$AJ197,IF($AK197&gt;0,EDATE($I197,($AL197+1)*$AK197),$I197))))</f>
      </c>
      <c r="AY197" s="233">
        <f>IF(OR($A197="",$B197&lt;&gt;"Đột xuất"),0,IF(N($K197)&gt;0,IF(MOD($K197,1)=0,$K197+1-1/1440,$K197),IF(N($J197)=0,0,$J197+IF(N($AU197)&gt;0,$AU197,IFERROR(INDEX(DM_SLA_Gio,MATCH($L197,DM_SLA_Cap,0)),168))/24)))</f>
      </c>
      <c r="AZ197" s="225">
        <f>IF(OR($A197="",TRIM($N197)="",COUNTIF('Phản ánh'!$K$6:$K$505,$N197)&gt;0,COUNTIF($N$6:$N197,$N197)&gt;1),0,1)</f>
      </c>
      <c r="BA197" s="225">
        <f>IF($AZ197=1,SUM($AZ$6:$AZ197),"")</f>
      </c>
      <c r="BB197" s="225">
        <f>IF(OR($AO197=0,N($AW197)=0),0,IF(TDBC&lt;=$AW197,0,MAX(1,MIN(4,IF((TDBC-$AW197)*24&lt;24,1,IF((TDBC-$AW197)*24&lt;72,2,IF((TDBC-$AW197)*24&lt;168,3,4)))+IF($B197="Đột xuất",IFERROR(INDEX({2,1,0,-1},MATCH($L197,{"Khẩn cấp","Cao","Trung bình","Thấp"},0)),0),IF($D197="PCCC và an ninh",1,0))))))</f>
      </c>
    </row>
    <row r="198">
      <c r="A198" s="216"/>
      <c r="B198" s="216"/>
      <c r="C198" s="218"/>
      <c r="D198" s="218"/>
      <c r="E198" s="218"/>
      <c r="F198" s="216"/>
      <c r="G198" s="218"/>
      <c r="H198" s="218"/>
      <c r="I198" s="231"/>
      <c r="J198" s="217"/>
      <c r="K198" s="217"/>
      <c r="L198" s="216"/>
      <c r="M198" s="216"/>
      <c r="N198" s="218"/>
      <c r="O198" s="218"/>
      <c r="P198" s="218"/>
      <c r="Q198" s="218"/>
      <c r="R198" s="219"/>
      <c r="S198" s="216"/>
      <c r="T198" s="232"/>
      <c r="U198" s="232"/>
      <c r="V198" s="218"/>
      <c r="W198" s="218"/>
      <c r="X198" s="220">
        <f>IF($A198="","",IF(OR($B198="Định kỳ",$AA198="Hoàn thành"),MAX(_xlfn.MAXIFS('Nhật ký tiến độ'!$B$6:$B$3005,'Nhật ký tiến độ'!$C$6:$C$3005,$A198,'Nhật ký tiến độ'!$E$6:$E$3005,"Hoàn thành kỳ"),_xlfn.MAXIFS('Nhật ký tiến độ'!$B$6:$B$3005,'Nhật ký tiến độ'!$C$6:$C$3005,$A198,'Nhật ký tiến độ'!$E$6:$E$3005,"Hoàn thành")),0))</f>
      </c>
      <c r="Y198" s="220">
        <f>IF($A198="","",IF($B198="Đột xuất",IF($AY198=0,"",$AY198),IF($AX198=0,"",$AX198)))</f>
      </c>
      <c r="Z198" s="223">
        <f>IF(OR($AO198=0,$AW198=0),"",IF(TDBC&gt;$AW198,"Quá "&amp;IF($B198="Định kỳ",(NgayBC-$AP198)&amp;" ngày",IF(((TDBC-$AW198)*24)&lt;1,MAX(1,ROUND(((TDBC-$AW198)*24)*60,0))&amp;" phút",IF(ROUND(((TDBC-$AW198)*24),0)&lt;24,ROUND(((TDBC-$AW198)*24),0)&amp;" giờ",INT(ROUND(((TDBC-$AW198)*24),0)/24)&amp;" ngày"&amp;IF(MOD(ROUND(((TDBC-$AW198)*24),0),24)&gt;0," "&amp;MOD(ROUND(((TDBC-$AW198)*24),0),24)&amp;" giờ","")))),IF($B198="Định kỳ",IF($AP198=NgayBC,"Hôm nay","Còn "&amp;($AP198-NgayBC)&amp;" ngày"),"Còn "&amp;IF((($AW198-TDBC)*24)&lt;1,MAX(1,ROUND((($AW198-TDBC)*24)*60,0))&amp;" phút",IF(ROUND((($AW198-TDBC)*24),0)&lt;24,ROUND((($AW198-TDBC)*24),0)&amp;" giờ",INT(ROUND((($AW198-TDBC)*24),0)/24)&amp;" ngày"&amp;IF(MOD(ROUND((($AW198-TDBC)*24),0),24)&gt;0," "&amp;MOD(ROUND((($AW198-TDBC)*24),0),24)&amp;" giờ",""))))))</f>
      </c>
      <c r="AA198" s="221">
        <f>IF($A198="","",IF(N($AM198)=0,"Chưa bắt đầu",IF(OR($AN198="Hoàn thành kỳ",$AN198="Hoàn thành"),IF($B198="Định kỳ","Chưa bắt đầu","Hoàn thành"),$AN198)))</f>
      </c>
      <c r="AB198" s="222">
        <f>IF($A198="","",IF($AA198="Hoàn thành",1,IF(OR(N($AM198)=0,$AN198="Hoàn thành kỳ",$AN198="Hoàn thành"),0,N(INDEX('Nhật ký tiến độ'!$D:$D,$AM198)))))</f>
      </c>
      <c r="AC198" s="222">
        <f>IF(OR($A198="",$B198&lt;&gt;"Đột xuất",$AA198="Hoàn thành",N($J198)=0,$AW198=0),"",IF(TDBC&lt;=$J198,0,IF(TDBC&gt;=$AW198,1,(TDBC-$J198)/($AW198-$J198))))</f>
      </c>
      <c r="AD198" s="223">
        <f>IF($A198="","",IF($AA198="Hoàn thành","Hoàn thành",IF($AW198=0,"Chưa đặt hạn",IF(TDBC&gt;$AW198,"Quá hạn",IF(AND($B198="Đột xuất",ROUND((N($AC198)-$AB198)*100,0)&gt;=20),"Chậm tiến độ",IF($AP198=NgayBC,"Đến hạn hôm nay",IF($B198="Đột xuất",IF($AW198-TDBC&lt;=1,"Sắp đến hạn","Đúng tiến độ"),IF($AP198-NgayBC&lt;=3,"Sắp đến hạn","Theo lịch"))))))))</f>
      </c>
      <c r="AE198" s="223">
        <f>IF($AV198="","",IF($B198="Định kỳ","Bình quân "&amp;IF($AV198&lt;1,MAX(1,ROUND($AV198*60,0))&amp;" phút",IF(ROUND($AV198,0)&lt;24,ROUND($AV198,0)&amp;" giờ",INT(ROUND($AV198,0)/24)&amp;" ngày"&amp;IF(MOD(ROUND($AV198,0),24)&gt;0," "&amp;MOD(ROUND($AV198,0),24)&amp;" giờ","")))&amp;" mỗi kỳ",IF($AV198&lt;1,MAX(1,ROUND($AV198*60,0))&amp;" phút",IF(ROUND($AV198,0)&lt;24,ROUND($AV198,0)&amp;" giờ",INT(ROUND($AV198,0)/24)&amp;" ngày"&amp;IF(MOD(ROUND($AV198,0),24)&gt;0," "&amp;MOD(ROUND($AV198,0),24)&amp;" giờ","")))))</f>
      </c>
      <c r="AF198" s="223">
        <f>IF(OR($A198="",N($AU198)=0),"",IF($AV198&lt;&gt;"",IF($AV198&lt;=$AU198,"Trong ước tính","Vượt "&amp;IF(($AV198-$AU198)&lt;1,MAX(1,ROUND(($AV198-$AU198)*60,0))&amp;" phút",IF(ROUND(($AV198-$AU198),0)&lt;24,ROUND(($AV198-$AU198),0)&amp;" giờ",INT(ROUND(($AV198-$AU198),0)/24)&amp;" ngày"&amp;IF(MOD(ROUND(($AV198-$AU198),0),24)&gt;0," "&amp;MOD(ROUND(($AV198-$AU198),0),24)&amp;" giờ","")))),IF(OR($B198&lt;&gt;"Đột xuất",$AA198="Hoàn thành",N($J198)=0),"",IF((TDBC-$J198)*24&gt;$AU198,"Đã vượt ước tính","Đã dùng "&amp;TEXT((TDBC-$J198)*24/$AU198,"0%")))))</f>
      </c>
      <c r="AG198" s="223">
        <f>IF(N($BB198)=0,"",CHOOSE($BB198,"Nhắc nhở","Cảnh báo","Báo động","Báo động đỏ"))</f>
      </c>
      <c r="AH198" s="223">
        <f>IF(OR($B198&lt;&gt;"Đột xuất",$AA198&lt;&gt;"Hoàn thành",N($X198)=0,$AW198=0),"",IF($X198&lt;=$AW198,"Đúng hạn","Trễ hạn"))</f>
      </c>
      <c r="AI198" s="220">
        <f>IF($A198="","",_xlfn.MAXIFS('Nhật ký tiến độ'!$B$6:$B$3005,'Nhật ký tiến độ'!$C$6:$C$3005,$A198))</f>
      </c>
      <c r="AJ198" s="225">
        <f>IF(OR($A198="",$B198&lt;&gt;"Định kỳ"),0,IFERROR(INDEX(DM_TanSuatNgay,MATCH($H198,DM_TanSuat,0)),0))</f>
      </c>
      <c r="AK198" s="225">
        <f>IF(OR($A198="",$B198&lt;&gt;"Định kỳ"),0,IFERROR(INDEX(DM_TanSuatThang,MATCH($H198,DM_TanSuat,0)),0))</f>
      </c>
      <c r="AL198" s="225">
        <f>IF(OR($A198="",$B198&lt;&gt;"Định kỳ",N($X198)=0,N($I198)=0),"",IF(INT($X198)&lt;$I198,0,IF($AJ198&gt;0,ROUND((INT($X198)-$I198)/$AJ198,0),IF($AK198&gt;0,ROUND((DATEDIF($I198,INT($X198),"m")+(INT($X198)-EDATE($I198,DATEDIF($I198,INT($X198),"m")))/(EDATE($I198,DATEDIF($I198,INT($X198),"m")+1)-EDATE($I198,DATEDIF($I198,INT($X198),"m"))))/$AK198,0),0))))</f>
      </c>
      <c r="AM198" s="225">
        <f>IF($A198="","",IF(COUNTIF('Nhật ký tiến độ'!$C$6:$C$3005,$A198)=0,0,_xlfn.MAXIFS('Nhật ký tiến độ'!$N$6:$N$3005,'Nhật ký tiến độ'!$C$6:$C$3005,$A198,'Nhật ký tiến độ'!$B$6:$B$3005,_xlfn.MAXIFS('Nhật ký tiến độ'!$B$6:$B$3005,'Nhật ký tiến độ'!$C$6:$C$3005,$A198))))</f>
      </c>
      <c r="AN198" s="225">
        <f>IF($A198="","",IF(N($AM198)=0,"",INDEX('Nhật ký tiến độ'!$E:$E,$AM198)))</f>
      </c>
      <c r="AO198" s="225">
        <f>IF($A198="",0,IF($AA198="Hoàn thành",0,1))</f>
      </c>
      <c r="AP198" s="225">
        <f>IF($AO198=0,0,INT(N($AW198)))</f>
      </c>
      <c r="AQ198" s="225">
        <f>IF(AND($AO198=1,$AJ198&gt;1),$AJ198,0)</f>
      </c>
      <c r="AR198" s="225">
        <f>IF(AND($AO198=1,$AJ198=1),1,0)</f>
      </c>
      <c r="AS198" s="225">
        <f>IF(OR($AO198=0,AND($AR198=1,N($BB198)=0)),"",IF(N($BB198)&gt;0,5-$BB198,IF($AD198="Chậm tiến độ",6,IF($AD198="Đến hạn hôm nay",7,IF(AND($AP198&gt;0,$AP198-NgayBC&lt;=7),8,"")))))</f>
      </c>
      <c r="AT198" s="225">
        <f>IF($AS198="","",$AS198*100000+$AP198+ROW()/100000)</f>
      </c>
      <c r="AU198" s="224">
        <f>IF(OR($A198="",N($R198)&lt;=0),"",IF($S198="Ngày",$R198*24,$R198))</f>
      </c>
      <c r="AV198" s="224">
        <f>IF($A198="","",IF($B198="Đột xuất",IF(OR($AA198&lt;&gt;"Hoàn thành",N($X198)=0,N($J198)=0),"",IF($X198&lt;$J198,"",($X198-$J198)*24)),IFERROR(AVERAGEIFS('Nhật ký tiến độ'!$H$6:$H$3005,'Nhật ký tiến độ'!$C$6:$C$3005,$A198,'Nhật ký tiến độ'!$H$6:$H$3005,"&gt;0"),"")))</f>
      </c>
      <c r="AW198" s="233">
        <f>IF($A198="",0,IF($B198="Đột xuất",$AY198,IF($AX198=0,0,$AX198+1-1/1440)))</f>
      </c>
      <c r="AX198" s="234">
        <f>IF(OR($A198="",$B198&lt;&gt;"Định kỳ",N($I198)=0),0,IF($AL198="",$I198,IF($AJ198&gt;0,$I198+($AL198+1)*$AJ198,IF($AK198&gt;0,EDATE($I198,($AL198+1)*$AK198),$I198))))</f>
      </c>
      <c r="AY198" s="233">
        <f>IF(OR($A198="",$B198&lt;&gt;"Đột xuất"),0,IF(N($K198)&gt;0,IF(MOD($K198,1)=0,$K198+1-1/1440,$K198),IF(N($J198)=0,0,$J198+IF(N($AU198)&gt;0,$AU198,IFERROR(INDEX(DM_SLA_Gio,MATCH($L198,DM_SLA_Cap,0)),168))/24)))</f>
      </c>
      <c r="AZ198" s="225">
        <f>IF(OR($A198="",TRIM($N198)="",COUNTIF('Phản ánh'!$K$6:$K$505,$N198)&gt;0,COUNTIF($N$6:$N198,$N198)&gt;1),0,1)</f>
      </c>
      <c r="BA198" s="225">
        <f>IF($AZ198=1,SUM($AZ$6:$AZ198),"")</f>
      </c>
      <c r="BB198" s="225">
        <f>IF(OR($AO198=0,N($AW198)=0),0,IF(TDBC&lt;=$AW198,0,MAX(1,MIN(4,IF((TDBC-$AW198)*24&lt;24,1,IF((TDBC-$AW198)*24&lt;72,2,IF((TDBC-$AW198)*24&lt;168,3,4)))+IF($B198="Đột xuất",IFERROR(INDEX({2,1,0,-1},MATCH($L198,{"Khẩn cấp","Cao","Trung bình","Thấp"},0)),0),IF($D198="PCCC và an ninh",1,0))))))</f>
      </c>
    </row>
    <row r="199">
      <c r="A199" s="216"/>
      <c r="B199" s="216"/>
      <c r="C199" s="218"/>
      <c r="D199" s="218"/>
      <c r="E199" s="218"/>
      <c r="F199" s="216"/>
      <c r="G199" s="218"/>
      <c r="H199" s="218"/>
      <c r="I199" s="231"/>
      <c r="J199" s="217"/>
      <c r="K199" s="217"/>
      <c r="L199" s="216"/>
      <c r="M199" s="216"/>
      <c r="N199" s="218"/>
      <c r="O199" s="218"/>
      <c r="P199" s="218"/>
      <c r="Q199" s="218"/>
      <c r="R199" s="219"/>
      <c r="S199" s="216"/>
      <c r="T199" s="232"/>
      <c r="U199" s="232"/>
      <c r="V199" s="218"/>
      <c r="W199" s="218"/>
      <c r="X199" s="220">
        <f>IF($A199="","",IF(OR($B199="Định kỳ",$AA199="Hoàn thành"),MAX(_xlfn.MAXIFS('Nhật ký tiến độ'!$B$6:$B$3005,'Nhật ký tiến độ'!$C$6:$C$3005,$A199,'Nhật ký tiến độ'!$E$6:$E$3005,"Hoàn thành kỳ"),_xlfn.MAXIFS('Nhật ký tiến độ'!$B$6:$B$3005,'Nhật ký tiến độ'!$C$6:$C$3005,$A199,'Nhật ký tiến độ'!$E$6:$E$3005,"Hoàn thành")),0))</f>
      </c>
      <c r="Y199" s="220">
        <f>IF($A199="","",IF($B199="Đột xuất",IF($AY199=0,"",$AY199),IF($AX199=0,"",$AX199)))</f>
      </c>
      <c r="Z199" s="223">
        <f>IF(OR($AO199=0,$AW199=0),"",IF(TDBC&gt;$AW199,"Quá "&amp;IF($B199="Định kỳ",(NgayBC-$AP199)&amp;" ngày",IF(((TDBC-$AW199)*24)&lt;1,MAX(1,ROUND(((TDBC-$AW199)*24)*60,0))&amp;" phút",IF(ROUND(((TDBC-$AW199)*24),0)&lt;24,ROUND(((TDBC-$AW199)*24),0)&amp;" giờ",INT(ROUND(((TDBC-$AW199)*24),0)/24)&amp;" ngày"&amp;IF(MOD(ROUND(((TDBC-$AW199)*24),0),24)&gt;0," "&amp;MOD(ROUND(((TDBC-$AW199)*24),0),24)&amp;" giờ","")))),IF($B199="Định kỳ",IF($AP199=NgayBC,"Hôm nay","Còn "&amp;($AP199-NgayBC)&amp;" ngày"),"Còn "&amp;IF((($AW199-TDBC)*24)&lt;1,MAX(1,ROUND((($AW199-TDBC)*24)*60,0))&amp;" phút",IF(ROUND((($AW199-TDBC)*24),0)&lt;24,ROUND((($AW199-TDBC)*24),0)&amp;" giờ",INT(ROUND((($AW199-TDBC)*24),0)/24)&amp;" ngày"&amp;IF(MOD(ROUND((($AW199-TDBC)*24),0),24)&gt;0," "&amp;MOD(ROUND((($AW199-TDBC)*24),0),24)&amp;" giờ",""))))))</f>
      </c>
      <c r="AA199" s="221">
        <f>IF($A199="","",IF(N($AM199)=0,"Chưa bắt đầu",IF(OR($AN199="Hoàn thành kỳ",$AN199="Hoàn thành"),IF($B199="Định kỳ","Chưa bắt đầu","Hoàn thành"),$AN199)))</f>
      </c>
      <c r="AB199" s="222">
        <f>IF($A199="","",IF($AA199="Hoàn thành",1,IF(OR(N($AM199)=0,$AN199="Hoàn thành kỳ",$AN199="Hoàn thành"),0,N(INDEX('Nhật ký tiến độ'!$D:$D,$AM199)))))</f>
      </c>
      <c r="AC199" s="222">
        <f>IF(OR($A199="",$B199&lt;&gt;"Đột xuất",$AA199="Hoàn thành",N($J199)=0,$AW199=0),"",IF(TDBC&lt;=$J199,0,IF(TDBC&gt;=$AW199,1,(TDBC-$J199)/($AW199-$J199))))</f>
      </c>
      <c r="AD199" s="223">
        <f>IF($A199="","",IF($AA199="Hoàn thành","Hoàn thành",IF($AW199=0,"Chưa đặt hạn",IF(TDBC&gt;$AW199,"Quá hạn",IF(AND($B199="Đột xuất",ROUND((N($AC199)-$AB199)*100,0)&gt;=20),"Chậm tiến độ",IF($AP199=NgayBC,"Đến hạn hôm nay",IF($B199="Đột xuất",IF($AW199-TDBC&lt;=1,"Sắp đến hạn","Đúng tiến độ"),IF($AP199-NgayBC&lt;=3,"Sắp đến hạn","Theo lịch"))))))))</f>
      </c>
      <c r="AE199" s="223">
        <f>IF($AV199="","",IF($B199="Định kỳ","Bình quân "&amp;IF($AV199&lt;1,MAX(1,ROUND($AV199*60,0))&amp;" phút",IF(ROUND($AV199,0)&lt;24,ROUND($AV199,0)&amp;" giờ",INT(ROUND($AV199,0)/24)&amp;" ngày"&amp;IF(MOD(ROUND($AV199,0),24)&gt;0," "&amp;MOD(ROUND($AV199,0),24)&amp;" giờ","")))&amp;" mỗi kỳ",IF($AV199&lt;1,MAX(1,ROUND($AV199*60,0))&amp;" phút",IF(ROUND($AV199,0)&lt;24,ROUND($AV199,0)&amp;" giờ",INT(ROUND($AV199,0)/24)&amp;" ngày"&amp;IF(MOD(ROUND($AV199,0),24)&gt;0," "&amp;MOD(ROUND($AV199,0),24)&amp;" giờ","")))))</f>
      </c>
      <c r="AF199" s="223">
        <f>IF(OR($A199="",N($AU199)=0),"",IF($AV199&lt;&gt;"",IF($AV199&lt;=$AU199,"Trong ước tính","Vượt "&amp;IF(($AV199-$AU199)&lt;1,MAX(1,ROUND(($AV199-$AU199)*60,0))&amp;" phút",IF(ROUND(($AV199-$AU199),0)&lt;24,ROUND(($AV199-$AU199),0)&amp;" giờ",INT(ROUND(($AV199-$AU199),0)/24)&amp;" ngày"&amp;IF(MOD(ROUND(($AV199-$AU199),0),24)&gt;0," "&amp;MOD(ROUND(($AV199-$AU199),0),24)&amp;" giờ","")))),IF(OR($B199&lt;&gt;"Đột xuất",$AA199="Hoàn thành",N($J199)=0),"",IF((TDBC-$J199)*24&gt;$AU199,"Đã vượt ước tính","Đã dùng "&amp;TEXT((TDBC-$J199)*24/$AU199,"0%")))))</f>
      </c>
      <c r="AG199" s="223">
        <f>IF(N($BB199)=0,"",CHOOSE($BB199,"Nhắc nhở","Cảnh báo","Báo động","Báo động đỏ"))</f>
      </c>
      <c r="AH199" s="223">
        <f>IF(OR($B199&lt;&gt;"Đột xuất",$AA199&lt;&gt;"Hoàn thành",N($X199)=0,$AW199=0),"",IF($X199&lt;=$AW199,"Đúng hạn","Trễ hạn"))</f>
      </c>
      <c r="AI199" s="220">
        <f>IF($A199="","",_xlfn.MAXIFS('Nhật ký tiến độ'!$B$6:$B$3005,'Nhật ký tiến độ'!$C$6:$C$3005,$A199))</f>
      </c>
      <c r="AJ199" s="225">
        <f>IF(OR($A199="",$B199&lt;&gt;"Định kỳ"),0,IFERROR(INDEX(DM_TanSuatNgay,MATCH($H199,DM_TanSuat,0)),0))</f>
      </c>
      <c r="AK199" s="225">
        <f>IF(OR($A199="",$B199&lt;&gt;"Định kỳ"),0,IFERROR(INDEX(DM_TanSuatThang,MATCH($H199,DM_TanSuat,0)),0))</f>
      </c>
      <c r="AL199" s="225">
        <f>IF(OR($A199="",$B199&lt;&gt;"Định kỳ",N($X199)=0,N($I199)=0),"",IF(INT($X199)&lt;$I199,0,IF($AJ199&gt;0,ROUND((INT($X199)-$I199)/$AJ199,0),IF($AK199&gt;0,ROUND((DATEDIF($I199,INT($X199),"m")+(INT($X199)-EDATE($I199,DATEDIF($I199,INT($X199),"m")))/(EDATE($I199,DATEDIF($I199,INT($X199),"m")+1)-EDATE($I199,DATEDIF($I199,INT($X199),"m"))))/$AK199,0),0))))</f>
      </c>
      <c r="AM199" s="225">
        <f>IF($A199="","",IF(COUNTIF('Nhật ký tiến độ'!$C$6:$C$3005,$A199)=0,0,_xlfn.MAXIFS('Nhật ký tiến độ'!$N$6:$N$3005,'Nhật ký tiến độ'!$C$6:$C$3005,$A199,'Nhật ký tiến độ'!$B$6:$B$3005,_xlfn.MAXIFS('Nhật ký tiến độ'!$B$6:$B$3005,'Nhật ký tiến độ'!$C$6:$C$3005,$A199))))</f>
      </c>
      <c r="AN199" s="225">
        <f>IF($A199="","",IF(N($AM199)=0,"",INDEX('Nhật ký tiến độ'!$E:$E,$AM199)))</f>
      </c>
      <c r="AO199" s="225">
        <f>IF($A199="",0,IF($AA199="Hoàn thành",0,1))</f>
      </c>
      <c r="AP199" s="225">
        <f>IF($AO199=0,0,INT(N($AW199)))</f>
      </c>
      <c r="AQ199" s="225">
        <f>IF(AND($AO199=1,$AJ199&gt;1),$AJ199,0)</f>
      </c>
      <c r="AR199" s="225">
        <f>IF(AND($AO199=1,$AJ199=1),1,0)</f>
      </c>
      <c r="AS199" s="225">
        <f>IF(OR($AO199=0,AND($AR199=1,N($BB199)=0)),"",IF(N($BB199)&gt;0,5-$BB199,IF($AD199="Chậm tiến độ",6,IF($AD199="Đến hạn hôm nay",7,IF(AND($AP199&gt;0,$AP199-NgayBC&lt;=7),8,"")))))</f>
      </c>
      <c r="AT199" s="225">
        <f>IF($AS199="","",$AS199*100000+$AP199+ROW()/100000)</f>
      </c>
      <c r="AU199" s="224">
        <f>IF(OR($A199="",N($R199)&lt;=0),"",IF($S199="Ngày",$R199*24,$R199))</f>
      </c>
      <c r="AV199" s="224">
        <f>IF($A199="","",IF($B199="Đột xuất",IF(OR($AA199&lt;&gt;"Hoàn thành",N($X199)=0,N($J199)=0),"",IF($X199&lt;$J199,"",($X199-$J199)*24)),IFERROR(AVERAGEIFS('Nhật ký tiến độ'!$H$6:$H$3005,'Nhật ký tiến độ'!$C$6:$C$3005,$A199,'Nhật ký tiến độ'!$H$6:$H$3005,"&gt;0"),"")))</f>
      </c>
      <c r="AW199" s="233">
        <f>IF($A199="",0,IF($B199="Đột xuất",$AY199,IF($AX199=0,0,$AX199+1-1/1440)))</f>
      </c>
      <c r="AX199" s="234">
        <f>IF(OR($A199="",$B199&lt;&gt;"Định kỳ",N($I199)=0),0,IF($AL199="",$I199,IF($AJ199&gt;0,$I199+($AL199+1)*$AJ199,IF($AK199&gt;0,EDATE($I199,($AL199+1)*$AK199),$I199))))</f>
      </c>
      <c r="AY199" s="233">
        <f>IF(OR($A199="",$B199&lt;&gt;"Đột xuất"),0,IF(N($K199)&gt;0,IF(MOD($K199,1)=0,$K199+1-1/1440,$K199),IF(N($J199)=0,0,$J199+IF(N($AU199)&gt;0,$AU199,IFERROR(INDEX(DM_SLA_Gio,MATCH($L199,DM_SLA_Cap,0)),168))/24)))</f>
      </c>
      <c r="AZ199" s="225">
        <f>IF(OR($A199="",TRIM($N199)="",COUNTIF('Phản ánh'!$K$6:$K$505,$N199)&gt;0,COUNTIF($N$6:$N199,$N199)&gt;1),0,1)</f>
      </c>
      <c r="BA199" s="225">
        <f>IF($AZ199=1,SUM($AZ$6:$AZ199),"")</f>
      </c>
      <c r="BB199" s="225">
        <f>IF(OR($AO199=0,N($AW199)=0),0,IF(TDBC&lt;=$AW199,0,MAX(1,MIN(4,IF((TDBC-$AW199)*24&lt;24,1,IF((TDBC-$AW199)*24&lt;72,2,IF((TDBC-$AW199)*24&lt;168,3,4)))+IF($B199="Đột xuất",IFERROR(INDEX({2,1,0,-1},MATCH($L199,{"Khẩn cấp","Cao","Trung bình","Thấp"},0)),0),IF($D199="PCCC và an ninh",1,0))))))</f>
      </c>
    </row>
    <row r="200">
      <c r="A200" s="216"/>
      <c r="B200" s="216"/>
      <c r="C200" s="218"/>
      <c r="D200" s="218"/>
      <c r="E200" s="218"/>
      <c r="F200" s="216"/>
      <c r="G200" s="218"/>
      <c r="H200" s="218"/>
      <c r="I200" s="231"/>
      <c r="J200" s="217"/>
      <c r="K200" s="217"/>
      <c r="L200" s="216"/>
      <c r="M200" s="216"/>
      <c r="N200" s="218"/>
      <c r="O200" s="218"/>
      <c r="P200" s="218"/>
      <c r="Q200" s="218"/>
      <c r="R200" s="219"/>
      <c r="S200" s="216"/>
      <c r="T200" s="232"/>
      <c r="U200" s="232"/>
      <c r="V200" s="218"/>
      <c r="W200" s="218"/>
      <c r="X200" s="220">
        <f>IF($A200="","",IF(OR($B200="Định kỳ",$AA200="Hoàn thành"),MAX(_xlfn.MAXIFS('Nhật ký tiến độ'!$B$6:$B$3005,'Nhật ký tiến độ'!$C$6:$C$3005,$A200,'Nhật ký tiến độ'!$E$6:$E$3005,"Hoàn thành kỳ"),_xlfn.MAXIFS('Nhật ký tiến độ'!$B$6:$B$3005,'Nhật ký tiến độ'!$C$6:$C$3005,$A200,'Nhật ký tiến độ'!$E$6:$E$3005,"Hoàn thành")),0))</f>
      </c>
      <c r="Y200" s="220">
        <f>IF($A200="","",IF($B200="Đột xuất",IF($AY200=0,"",$AY200),IF($AX200=0,"",$AX200)))</f>
      </c>
      <c r="Z200" s="223">
        <f>IF(OR($AO200=0,$AW200=0),"",IF(TDBC&gt;$AW200,"Quá "&amp;IF($B200="Định kỳ",(NgayBC-$AP200)&amp;" ngày",IF(((TDBC-$AW200)*24)&lt;1,MAX(1,ROUND(((TDBC-$AW200)*24)*60,0))&amp;" phút",IF(ROUND(((TDBC-$AW200)*24),0)&lt;24,ROUND(((TDBC-$AW200)*24),0)&amp;" giờ",INT(ROUND(((TDBC-$AW200)*24),0)/24)&amp;" ngày"&amp;IF(MOD(ROUND(((TDBC-$AW200)*24),0),24)&gt;0," "&amp;MOD(ROUND(((TDBC-$AW200)*24),0),24)&amp;" giờ","")))),IF($B200="Định kỳ",IF($AP200=NgayBC,"Hôm nay","Còn "&amp;($AP200-NgayBC)&amp;" ngày"),"Còn "&amp;IF((($AW200-TDBC)*24)&lt;1,MAX(1,ROUND((($AW200-TDBC)*24)*60,0))&amp;" phút",IF(ROUND((($AW200-TDBC)*24),0)&lt;24,ROUND((($AW200-TDBC)*24),0)&amp;" giờ",INT(ROUND((($AW200-TDBC)*24),0)/24)&amp;" ngày"&amp;IF(MOD(ROUND((($AW200-TDBC)*24),0),24)&gt;0," "&amp;MOD(ROUND((($AW200-TDBC)*24),0),24)&amp;" giờ",""))))))</f>
      </c>
      <c r="AA200" s="221">
        <f>IF($A200="","",IF(N($AM200)=0,"Chưa bắt đầu",IF(OR($AN200="Hoàn thành kỳ",$AN200="Hoàn thành"),IF($B200="Định kỳ","Chưa bắt đầu","Hoàn thành"),$AN200)))</f>
      </c>
      <c r="AB200" s="222">
        <f>IF($A200="","",IF($AA200="Hoàn thành",1,IF(OR(N($AM200)=0,$AN200="Hoàn thành kỳ",$AN200="Hoàn thành"),0,N(INDEX('Nhật ký tiến độ'!$D:$D,$AM200)))))</f>
      </c>
      <c r="AC200" s="222">
        <f>IF(OR($A200="",$B200&lt;&gt;"Đột xuất",$AA200="Hoàn thành",N($J200)=0,$AW200=0),"",IF(TDBC&lt;=$J200,0,IF(TDBC&gt;=$AW200,1,(TDBC-$J200)/($AW200-$J200))))</f>
      </c>
      <c r="AD200" s="223">
        <f>IF($A200="","",IF($AA200="Hoàn thành","Hoàn thành",IF($AW200=0,"Chưa đặt hạn",IF(TDBC&gt;$AW200,"Quá hạn",IF(AND($B200="Đột xuất",ROUND((N($AC200)-$AB200)*100,0)&gt;=20),"Chậm tiến độ",IF($AP200=NgayBC,"Đến hạn hôm nay",IF($B200="Đột xuất",IF($AW200-TDBC&lt;=1,"Sắp đến hạn","Đúng tiến độ"),IF($AP200-NgayBC&lt;=3,"Sắp đến hạn","Theo lịch"))))))))</f>
      </c>
      <c r="AE200" s="223">
        <f>IF($AV200="","",IF($B200="Định kỳ","Bình quân "&amp;IF($AV200&lt;1,MAX(1,ROUND($AV200*60,0))&amp;" phút",IF(ROUND($AV200,0)&lt;24,ROUND($AV200,0)&amp;" giờ",INT(ROUND($AV200,0)/24)&amp;" ngày"&amp;IF(MOD(ROUND($AV200,0),24)&gt;0," "&amp;MOD(ROUND($AV200,0),24)&amp;" giờ","")))&amp;" mỗi kỳ",IF($AV200&lt;1,MAX(1,ROUND($AV200*60,0))&amp;" phút",IF(ROUND($AV200,0)&lt;24,ROUND($AV200,0)&amp;" giờ",INT(ROUND($AV200,0)/24)&amp;" ngày"&amp;IF(MOD(ROUND($AV200,0),24)&gt;0," "&amp;MOD(ROUND($AV200,0),24)&amp;" giờ","")))))</f>
      </c>
      <c r="AF200" s="223">
        <f>IF(OR($A200="",N($AU200)=0),"",IF($AV200&lt;&gt;"",IF($AV200&lt;=$AU200,"Trong ước tính","Vượt "&amp;IF(($AV200-$AU200)&lt;1,MAX(1,ROUND(($AV200-$AU200)*60,0))&amp;" phút",IF(ROUND(($AV200-$AU200),0)&lt;24,ROUND(($AV200-$AU200),0)&amp;" giờ",INT(ROUND(($AV200-$AU200),0)/24)&amp;" ngày"&amp;IF(MOD(ROUND(($AV200-$AU200),0),24)&gt;0," "&amp;MOD(ROUND(($AV200-$AU200),0),24)&amp;" giờ","")))),IF(OR($B200&lt;&gt;"Đột xuất",$AA200="Hoàn thành",N($J200)=0),"",IF((TDBC-$J200)*24&gt;$AU200,"Đã vượt ước tính","Đã dùng "&amp;TEXT((TDBC-$J200)*24/$AU200,"0%")))))</f>
      </c>
      <c r="AG200" s="223">
        <f>IF(N($BB200)=0,"",CHOOSE($BB200,"Nhắc nhở","Cảnh báo","Báo động","Báo động đỏ"))</f>
      </c>
      <c r="AH200" s="223">
        <f>IF(OR($B200&lt;&gt;"Đột xuất",$AA200&lt;&gt;"Hoàn thành",N($X200)=0,$AW200=0),"",IF($X200&lt;=$AW200,"Đúng hạn","Trễ hạn"))</f>
      </c>
      <c r="AI200" s="220">
        <f>IF($A200="","",_xlfn.MAXIFS('Nhật ký tiến độ'!$B$6:$B$3005,'Nhật ký tiến độ'!$C$6:$C$3005,$A200))</f>
      </c>
      <c r="AJ200" s="225">
        <f>IF(OR($A200="",$B200&lt;&gt;"Định kỳ"),0,IFERROR(INDEX(DM_TanSuatNgay,MATCH($H200,DM_TanSuat,0)),0))</f>
      </c>
      <c r="AK200" s="225">
        <f>IF(OR($A200="",$B200&lt;&gt;"Định kỳ"),0,IFERROR(INDEX(DM_TanSuatThang,MATCH($H200,DM_TanSuat,0)),0))</f>
      </c>
      <c r="AL200" s="225">
        <f>IF(OR($A200="",$B200&lt;&gt;"Định kỳ",N($X200)=0,N($I200)=0),"",IF(INT($X200)&lt;$I200,0,IF($AJ200&gt;0,ROUND((INT($X200)-$I200)/$AJ200,0),IF($AK200&gt;0,ROUND((DATEDIF($I200,INT($X200),"m")+(INT($X200)-EDATE($I200,DATEDIF($I200,INT($X200),"m")))/(EDATE($I200,DATEDIF($I200,INT($X200),"m")+1)-EDATE($I200,DATEDIF($I200,INT($X200),"m"))))/$AK200,0),0))))</f>
      </c>
      <c r="AM200" s="225">
        <f>IF($A200="","",IF(COUNTIF('Nhật ký tiến độ'!$C$6:$C$3005,$A200)=0,0,_xlfn.MAXIFS('Nhật ký tiến độ'!$N$6:$N$3005,'Nhật ký tiến độ'!$C$6:$C$3005,$A200,'Nhật ký tiến độ'!$B$6:$B$3005,_xlfn.MAXIFS('Nhật ký tiến độ'!$B$6:$B$3005,'Nhật ký tiến độ'!$C$6:$C$3005,$A200))))</f>
      </c>
      <c r="AN200" s="225">
        <f>IF($A200="","",IF(N($AM200)=0,"",INDEX('Nhật ký tiến độ'!$E:$E,$AM200)))</f>
      </c>
      <c r="AO200" s="225">
        <f>IF($A200="",0,IF($AA200="Hoàn thành",0,1))</f>
      </c>
      <c r="AP200" s="225">
        <f>IF($AO200=0,0,INT(N($AW200)))</f>
      </c>
      <c r="AQ200" s="225">
        <f>IF(AND($AO200=1,$AJ200&gt;1),$AJ200,0)</f>
      </c>
      <c r="AR200" s="225">
        <f>IF(AND($AO200=1,$AJ200=1),1,0)</f>
      </c>
      <c r="AS200" s="225">
        <f>IF(OR($AO200=0,AND($AR200=1,N($BB200)=0)),"",IF(N($BB200)&gt;0,5-$BB200,IF($AD200="Chậm tiến độ",6,IF($AD200="Đến hạn hôm nay",7,IF(AND($AP200&gt;0,$AP200-NgayBC&lt;=7),8,"")))))</f>
      </c>
      <c r="AT200" s="225">
        <f>IF($AS200="","",$AS200*100000+$AP200+ROW()/100000)</f>
      </c>
      <c r="AU200" s="224">
        <f>IF(OR($A200="",N($R200)&lt;=0),"",IF($S200="Ngày",$R200*24,$R200))</f>
      </c>
      <c r="AV200" s="224">
        <f>IF($A200="","",IF($B200="Đột xuất",IF(OR($AA200&lt;&gt;"Hoàn thành",N($X200)=0,N($J200)=0),"",IF($X200&lt;$J200,"",($X200-$J200)*24)),IFERROR(AVERAGEIFS('Nhật ký tiến độ'!$H$6:$H$3005,'Nhật ký tiến độ'!$C$6:$C$3005,$A200,'Nhật ký tiến độ'!$H$6:$H$3005,"&gt;0"),"")))</f>
      </c>
      <c r="AW200" s="233">
        <f>IF($A200="",0,IF($B200="Đột xuất",$AY200,IF($AX200=0,0,$AX200+1-1/1440)))</f>
      </c>
      <c r="AX200" s="234">
        <f>IF(OR($A200="",$B200&lt;&gt;"Định kỳ",N($I200)=0),0,IF($AL200="",$I200,IF($AJ200&gt;0,$I200+($AL200+1)*$AJ200,IF($AK200&gt;0,EDATE($I200,($AL200+1)*$AK200),$I200))))</f>
      </c>
      <c r="AY200" s="233">
        <f>IF(OR($A200="",$B200&lt;&gt;"Đột xuất"),0,IF(N($K200)&gt;0,IF(MOD($K200,1)=0,$K200+1-1/1440,$K200),IF(N($J200)=0,0,$J200+IF(N($AU200)&gt;0,$AU200,IFERROR(INDEX(DM_SLA_Gio,MATCH($L200,DM_SLA_Cap,0)),168))/24)))</f>
      </c>
      <c r="AZ200" s="225">
        <f>IF(OR($A200="",TRIM($N200)="",COUNTIF('Phản ánh'!$K$6:$K$505,$N200)&gt;0,COUNTIF($N$6:$N200,$N200)&gt;1),0,1)</f>
      </c>
      <c r="BA200" s="225">
        <f>IF($AZ200=1,SUM($AZ$6:$AZ200),"")</f>
      </c>
      <c r="BB200" s="225">
        <f>IF(OR($AO200=0,N($AW200)=0),0,IF(TDBC&lt;=$AW200,0,MAX(1,MIN(4,IF((TDBC-$AW200)*24&lt;24,1,IF((TDBC-$AW200)*24&lt;72,2,IF((TDBC-$AW200)*24&lt;168,3,4)))+IF($B200="Đột xuất",IFERROR(INDEX({2,1,0,-1},MATCH($L200,{"Khẩn cấp","Cao","Trung bình","Thấp"},0)),0),IF($D200="PCCC và an ninh",1,0))))))</f>
      </c>
    </row>
    <row r="201">
      <c r="A201" s="216"/>
      <c r="B201" s="216"/>
      <c r="C201" s="218"/>
      <c r="D201" s="218"/>
      <c r="E201" s="218"/>
      <c r="F201" s="216"/>
      <c r="G201" s="218"/>
      <c r="H201" s="218"/>
      <c r="I201" s="231"/>
      <c r="J201" s="217"/>
      <c r="K201" s="217"/>
      <c r="L201" s="216"/>
      <c r="M201" s="216"/>
      <c r="N201" s="218"/>
      <c r="O201" s="218"/>
      <c r="P201" s="218"/>
      <c r="Q201" s="218"/>
      <c r="R201" s="219"/>
      <c r="S201" s="216"/>
      <c r="T201" s="232"/>
      <c r="U201" s="232"/>
      <c r="V201" s="218"/>
      <c r="W201" s="218"/>
      <c r="X201" s="220">
        <f>IF($A201="","",IF(OR($B201="Định kỳ",$AA201="Hoàn thành"),MAX(_xlfn.MAXIFS('Nhật ký tiến độ'!$B$6:$B$3005,'Nhật ký tiến độ'!$C$6:$C$3005,$A201,'Nhật ký tiến độ'!$E$6:$E$3005,"Hoàn thành kỳ"),_xlfn.MAXIFS('Nhật ký tiến độ'!$B$6:$B$3005,'Nhật ký tiến độ'!$C$6:$C$3005,$A201,'Nhật ký tiến độ'!$E$6:$E$3005,"Hoàn thành")),0))</f>
      </c>
      <c r="Y201" s="220">
        <f>IF($A201="","",IF($B201="Đột xuất",IF($AY201=0,"",$AY201),IF($AX201=0,"",$AX201)))</f>
      </c>
      <c r="Z201" s="223">
        <f>IF(OR($AO201=0,$AW201=0),"",IF(TDBC&gt;$AW201,"Quá "&amp;IF($B201="Định kỳ",(NgayBC-$AP201)&amp;" ngày",IF(((TDBC-$AW201)*24)&lt;1,MAX(1,ROUND(((TDBC-$AW201)*24)*60,0))&amp;" phút",IF(ROUND(((TDBC-$AW201)*24),0)&lt;24,ROUND(((TDBC-$AW201)*24),0)&amp;" giờ",INT(ROUND(((TDBC-$AW201)*24),0)/24)&amp;" ngày"&amp;IF(MOD(ROUND(((TDBC-$AW201)*24),0),24)&gt;0," "&amp;MOD(ROUND(((TDBC-$AW201)*24),0),24)&amp;" giờ","")))),IF($B201="Định kỳ",IF($AP201=NgayBC,"Hôm nay","Còn "&amp;($AP201-NgayBC)&amp;" ngày"),"Còn "&amp;IF((($AW201-TDBC)*24)&lt;1,MAX(1,ROUND((($AW201-TDBC)*24)*60,0))&amp;" phút",IF(ROUND((($AW201-TDBC)*24),0)&lt;24,ROUND((($AW201-TDBC)*24),0)&amp;" giờ",INT(ROUND((($AW201-TDBC)*24),0)/24)&amp;" ngày"&amp;IF(MOD(ROUND((($AW201-TDBC)*24),0),24)&gt;0," "&amp;MOD(ROUND((($AW201-TDBC)*24),0),24)&amp;" giờ",""))))))</f>
      </c>
      <c r="AA201" s="221">
        <f>IF($A201="","",IF(N($AM201)=0,"Chưa bắt đầu",IF(OR($AN201="Hoàn thành kỳ",$AN201="Hoàn thành"),IF($B201="Định kỳ","Chưa bắt đầu","Hoàn thành"),$AN201)))</f>
      </c>
      <c r="AB201" s="222">
        <f>IF($A201="","",IF($AA201="Hoàn thành",1,IF(OR(N($AM201)=0,$AN201="Hoàn thành kỳ",$AN201="Hoàn thành"),0,N(INDEX('Nhật ký tiến độ'!$D:$D,$AM201)))))</f>
      </c>
      <c r="AC201" s="222">
        <f>IF(OR($A201="",$B201&lt;&gt;"Đột xuất",$AA201="Hoàn thành",N($J201)=0,$AW201=0),"",IF(TDBC&lt;=$J201,0,IF(TDBC&gt;=$AW201,1,(TDBC-$J201)/($AW201-$J201))))</f>
      </c>
      <c r="AD201" s="223">
        <f>IF($A201="","",IF($AA201="Hoàn thành","Hoàn thành",IF($AW201=0,"Chưa đặt hạn",IF(TDBC&gt;$AW201,"Quá hạn",IF(AND($B201="Đột xuất",ROUND((N($AC201)-$AB201)*100,0)&gt;=20),"Chậm tiến độ",IF($AP201=NgayBC,"Đến hạn hôm nay",IF($B201="Đột xuất",IF($AW201-TDBC&lt;=1,"Sắp đến hạn","Đúng tiến độ"),IF($AP201-NgayBC&lt;=3,"Sắp đến hạn","Theo lịch"))))))))</f>
      </c>
      <c r="AE201" s="223">
        <f>IF($AV201="","",IF($B201="Định kỳ","Bình quân "&amp;IF($AV201&lt;1,MAX(1,ROUND($AV201*60,0))&amp;" phút",IF(ROUND($AV201,0)&lt;24,ROUND($AV201,0)&amp;" giờ",INT(ROUND($AV201,0)/24)&amp;" ngày"&amp;IF(MOD(ROUND($AV201,0),24)&gt;0," "&amp;MOD(ROUND($AV201,0),24)&amp;" giờ","")))&amp;" mỗi kỳ",IF($AV201&lt;1,MAX(1,ROUND($AV201*60,0))&amp;" phút",IF(ROUND($AV201,0)&lt;24,ROUND($AV201,0)&amp;" giờ",INT(ROUND($AV201,0)/24)&amp;" ngày"&amp;IF(MOD(ROUND($AV201,0),24)&gt;0," "&amp;MOD(ROUND($AV201,0),24)&amp;" giờ","")))))</f>
      </c>
      <c r="AF201" s="223">
        <f>IF(OR($A201="",N($AU201)=0),"",IF($AV201&lt;&gt;"",IF($AV201&lt;=$AU201,"Trong ước tính","Vượt "&amp;IF(($AV201-$AU201)&lt;1,MAX(1,ROUND(($AV201-$AU201)*60,0))&amp;" phút",IF(ROUND(($AV201-$AU201),0)&lt;24,ROUND(($AV201-$AU201),0)&amp;" giờ",INT(ROUND(($AV201-$AU201),0)/24)&amp;" ngày"&amp;IF(MOD(ROUND(($AV201-$AU201),0),24)&gt;0," "&amp;MOD(ROUND(($AV201-$AU201),0),24)&amp;" giờ","")))),IF(OR($B201&lt;&gt;"Đột xuất",$AA201="Hoàn thành",N($J201)=0),"",IF((TDBC-$J201)*24&gt;$AU201,"Đã vượt ước tính","Đã dùng "&amp;TEXT((TDBC-$J201)*24/$AU201,"0%")))))</f>
      </c>
      <c r="AG201" s="223">
        <f>IF(N($BB201)=0,"",CHOOSE($BB201,"Nhắc nhở","Cảnh báo","Báo động","Báo động đỏ"))</f>
      </c>
      <c r="AH201" s="223">
        <f>IF(OR($B201&lt;&gt;"Đột xuất",$AA201&lt;&gt;"Hoàn thành",N($X201)=0,$AW201=0),"",IF($X201&lt;=$AW201,"Đúng hạn","Trễ hạn"))</f>
      </c>
      <c r="AI201" s="220">
        <f>IF($A201="","",_xlfn.MAXIFS('Nhật ký tiến độ'!$B$6:$B$3005,'Nhật ký tiến độ'!$C$6:$C$3005,$A201))</f>
      </c>
      <c r="AJ201" s="225">
        <f>IF(OR($A201="",$B201&lt;&gt;"Định kỳ"),0,IFERROR(INDEX(DM_TanSuatNgay,MATCH($H201,DM_TanSuat,0)),0))</f>
      </c>
      <c r="AK201" s="225">
        <f>IF(OR($A201="",$B201&lt;&gt;"Định kỳ"),0,IFERROR(INDEX(DM_TanSuatThang,MATCH($H201,DM_TanSuat,0)),0))</f>
      </c>
      <c r="AL201" s="225">
        <f>IF(OR($A201="",$B201&lt;&gt;"Định kỳ",N($X201)=0,N($I201)=0),"",IF(INT($X201)&lt;$I201,0,IF($AJ201&gt;0,ROUND((INT($X201)-$I201)/$AJ201,0),IF($AK201&gt;0,ROUND((DATEDIF($I201,INT($X201),"m")+(INT($X201)-EDATE($I201,DATEDIF($I201,INT($X201),"m")))/(EDATE($I201,DATEDIF($I201,INT($X201),"m")+1)-EDATE($I201,DATEDIF($I201,INT($X201),"m"))))/$AK201,0),0))))</f>
      </c>
      <c r="AM201" s="225">
        <f>IF($A201="","",IF(COUNTIF('Nhật ký tiến độ'!$C$6:$C$3005,$A201)=0,0,_xlfn.MAXIFS('Nhật ký tiến độ'!$N$6:$N$3005,'Nhật ký tiến độ'!$C$6:$C$3005,$A201,'Nhật ký tiến độ'!$B$6:$B$3005,_xlfn.MAXIFS('Nhật ký tiến độ'!$B$6:$B$3005,'Nhật ký tiến độ'!$C$6:$C$3005,$A201))))</f>
      </c>
      <c r="AN201" s="225">
        <f>IF($A201="","",IF(N($AM201)=0,"",INDEX('Nhật ký tiến độ'!$E:$E,$AM201)))</f>
      </c>
      <c r="AO201" s="225">
        <f>IF($A201="",0,IF($AA201="Hoàn thành",0,1))</f>
      </c>
      <c r="AP201" s="225">
        <f>IF($AO201=0,0,INT(N($AW201)))</f>
      </c>
      <c r="AQ201" s="225">
        <f>IF(AND($AO201=1,$AJ201&gt;1),$AJ201,0)</f>
      </c>
      <c r="AR201" s="225">
        <f>IF(AND($AO201=1,$AJ201=1),1,0)</f>
      </c>
      <c r="AS201" s="225">
        <f>IF(OR($AO201=0,AND($AR201=1,N($BB201)=0)),"",IF(N($BB201)&gt;0,5-$BB201,IF($AD201="Chậm tiến độ",6,IF($AD201="Đến hạn hôm nay",7,IF(AND($AP201&gt;0,$AP201-NgayBC&lt;=7),8,"")))))</f>
      </c>
      <c r="AT201" s="225">
        <f>IF($AS201="","",$AS201*100000+$AP201+ROW()/100000)</f>
      </c>
      <c r="AU201" s="224">
        <f>IF(OR($A201="",N($R201)&lt;=0),"",IF($S201="Ngày",$R201*24,$R201))</f>
      </c>
      <c r="AV201" s="224">
        <f>IF($A201="","",IF($B201="Đột xuất",IF(OR($AA201&lt;&gt;"Hoàn thành",N($X201)=0,N($J201)=0),"",IF($X201&lt;$J201,"",($X201-$J201)*24)),IFERROR(AVERAGEIFS('Nhật ký tiến độ'!$H$6:$H$3005,'Nhật ký tiến độ'!$C$6:$C$3005,$A201,'Nhật ký tiến độ'!$H$6:$H$3005,"&gt;0"),"")))</f>
      </c>
      <c r="AW201" s="233">
        <f>IF($A201="",0,IF($B201="Đột xuất",$AY201,IF($AX201=0,0,$AX201+1-1/1440)))</f>
      </c>
      <c r="AX201" s="234">
        <f>IF(OR($A201="",$B201&lt;&gt;"Định kỳ",N($I201)=0),0,IF($AL201="",$I201,IF($AJ201&gt;0,$I201+($AL201+1)*$AJ201,IF($AK201&gt;0,EDATE($I201,($AL201+1)*$AK201),$I201))))</f>
      </c>
      <c r="AY201" s="233">
        <f>IF(OR($A201="",$B201&lt;&gt;"Đột xuất"),0,IF(N($K201)&gt;0,IF(MOD($K201,1)=0,$K201+1-1/1440,$K201),IF(N($J201)=0,0,$J201+IF(N($AU201)&gt;0,$AU201,IFERROR(INDEX(DM_SLA_Gio,MATCH($L201,DM_SLA_Cap,0)),168))/24)))</f>
      </c>
      <c r="AZ201" s="225">
        <f>IF(OR($A201="",TRIM($N201)="",COUNTIF('Phản ánh'!$K$6:$K$505,$N201)&gt;0,COUNTIF($N$6:$N201,$N201)&gt;1),0,1)</f>
      </c>
      <c r="BA201" s="225">
        <f>IF($AZ201=1,SUM($AZ$6:$AZ201),"")</f>
      </c>
      <c r="BB201" s="225">
        <f>IF(OR($AO201=0,N($AW201)=0),0,IF(TDBC&lt;=$AW201,0,MAX(1,MIN(4,IF((TDBC-$AW201)*24&lt;24,1,IF((TDBC-$AW201)*24&lt;72,2,IF((TDBC-$AW201)*24&lt;168,3,4)))+IF($B201="Đột xuất",IFERROR(INDEX({2,1,0,-1},MATCH($L201,{"Khẩn cấp","Cao","Trung bình","Thấp"},0)),0),IF($D201="PCCC và an ninh",1,0))))))</f>
      </c>
    </row>
    <row r="202">
      <c r="A202" s="216"/>
      <c r="B202" s="216"/>
      <c r="C202" s="218"/>
      <c r="D202" s="218"/>
      <c r="E202" s="218"/>
      <c r="F202" s="216"/>
      <c r="G202" s="218"/>
      <c r="H202" s="218"/>
      <c r="I202" s="231"/>
      <c r="J202" s="217"/>
      <c r="K202" s="217"/>
      <c r="L202" s="216"/>
      <c r="M202" s="216"/>
      <c r="N202" s="218"/>
      <c r="O202" s="218"/>
      <c r="P202" s="218"/>
      <c r="Q202" s="218"/>
      <c r="R202" s="219"/>
      <c r="S202" s="216"/>
      <c r="T202" s="232"/>
      <c r="U202" s="232"/>
      <c r="V202" s="218"/>
      <c r="W202" s="218"/>
      <c r="X202" s="220">
        <f>IF($A202="","",IF(OR($B202="Định kỳ",$AA202="Hoàn thành"),MAX(_xlfn.MAXIFS('Nhật ký tiến độ'!$B$6:$B$3005,'Nhật ký tiến độ'!$C$6:$C$3005,$A202,'Nhật ký tiến độ'!$E$6:$E$3005,"Hoàn thành kỳ"),_xlfn.MAXIFS('Nhật ký tiến độ'!$B$6:$B$3005,'Nhật ký tiến độ'!$C$6:$C$3005,$A202,'Nhật ký tiến độ'!$E$6:$E$3005,"Hoàn thành")),0))</f>
      </c>
      <c r="Y202" s="220">
        <f>IF($A202="","",IF($B202="Đột xuất",IF($AY202=0,"",$AY202),IF($AX202=0,"",$AX202)))</f>
      </c>
      <c r="Z202" s="223">
        <f>IF(OR($AO202=0,$AW202=0),"",IF(TDBC&gt;$AW202,"Quá "&amp;IF($B202="Định kỳ",(NgayBC-$AP202)&amp;" ngày",IF(((TDBC-$AW202)*24)&lt;1,MAX(1,ROUND(((TDBC-$AW202)*24)*60,0))&amp;" phút",IF(ROUND(((TDBC-$AW202)*24),0)&lt;24,ROUND(((TDBC-$AW202)*24),0)&amp;" giờ",INT(ROUND(((TDBC-$AW202)*24),0)/24)&amp;" ngày"&amp;IF(MOD(ROUND(((TDBC-$AW202)*24),0),24)&gt;0," "&amp;MOD(ROUND(((TDBC-$AW202)*24),0),24)&amp;" giờ","")))),IF($B202="Định kỳ",IF($AP202=NgayBC,"Hôm nay","Còn "&amp;($AP202-NgayBC)&amp;" ngày"),"Còn "&amp;IF((($AW202-TDBC)*24)&lt;1,MAX(1,ROUND((($AW202-TDBC)*24)*60,0))&amp;" phút",IF(ROUND((($AW202-TDBC)*24),0)&lt;24,ROUND((($AW202-TDBC)*24),0)&amp;" giờ",INT(ROUND((($AW202-TDBC)*24),0)/24)&amp;" ngày"&amp;IF(MOD(ROUND((($AW202-TDBC)*24),0),24)&gt;0," "&amp;MOD(ROUND((($AW202-TDBC)*24),0),24)&amp;" giờ",""))))))</f>
      </c>
      <c r="AA202" s="221">
        <f>IF($A202="","",IF(N($AM202)=0,"Chưa bắt đầu",IF(OR($AN202="Hoàn thành kỳ",$AN202="Hoàn thành"),IF($B202="Định kỳ","Chưa bắt đầu","Hoàn thành"),$AN202)))</f>
      </c>
      <c r="AB202" s="222">
        <f>IF($A202="","",IF($AA202="Hoàn thành",1,IF(OR(N($AM202)=0,$AN202="Hoàn thành kỳ",$AN202="Hoàn thành"),0,N(INDEX('Nhật ký tiến độ'!$D:$D,$AM202)))))</f>
      </c>
      <c r="AC202" s="222">
        <f>IF(OR($A202="",$B202&lt;&gt;"Đột xuất",$AA202="Hoàn thành",N($J202)=0,$AW202=0),"",IF(TDBC&lt;=$J202,0,IF(TDBC&gt;=$AW202,1,(TDBC-$J202)/($AW202-$J202))))</f>
      </c>
      <c r="AD202" s="223">
        <f>IF($A202="","",IF($AA202="Hoàn thành","Hoàn thành",IF($AW202=0,"Chưa đặt hạn",IF(TDBC&gt;$AW202,"Quá hạn",IF(AND($B202="Đột xuất",ROUND((N($AC202)-$AB202)*100,0)&gt;=20),"Chậm tiến độ",IF($AP202=NgayBC,"Đến hạn hôm nay",IF($B202="Đột xuất",IF($AW202-TDBC&lt;=1,"Sắp đến hạn","Đúng tiến độ"),IF($AP202-NgayBC&lt;=3,"Sắp đến hạn","Theo lịch"))))))))</f>
      </c>
      <c r="AE202" s="223">
        <f>IF($AV202="","",IF($B202="Định kỳ","Bình quân "&amp;IF($AV202&lt;1,MAX(1,ROUND($AV202*60,0))&amp;" phút",IF(ROUND($AV202,0)&lt;24,ROUND($AV202,0)&amp;" giờ",INT(ROUND($AV202,0)/24)&amp;" ngày"&amp;IF(MOD(ROUND($AV202,0),24)&gt;0," "&amp;MOD(ROUND($AV202,0),24)&amp;" giờ","")))&amp;" mỗi kỳ",IF($AV202&lt;1,MAX(1,ROUND($AV202*60,0))&amp;" phút",IF(ROUND($AV202,0)&lt;24,ROUND($AV202,0)&amp;" giờ",INT(ROUND($AV202,0)/24)&amp;" ngày"&amp;IF(MOD(ROUND($AV202,0),24)&gt;0," "&amp;MOD(ROUND($AV202,0),24)&amp;" giờ","")))))</f>
      </c>
      <c r="AF202" s="223">
        <f>IF(OR($A202="",N($AU202)=0),"",IF($AV202&lt;&gt;"",IF($AV202&lt;=$AU202,"Trong ước tính","Vượt "&amp;IF(($AV202-$AU202)&lt;1,MAX(1,ROUND(($AV202-$AU202)*60,0))&amp;" phút",IF(ROUND(($AV202-$AU202),0)&lt;24,ROUND(($AV202-$AU202),0)&amp;" giờ",INT(ROUND(($AV202-$AU202),0)/24)&amp;" ngày"&amp;IF(MOD(ROUND(($AV202-$AU202),0),24)&gt;0," "&amp;MOD(ROUND(($AV202-$AU202),0),24)&amp;" giờ","")))),IF(OR($B202&lt;&gt;"Đột xuất",$AA202="Hoàn thành",N($J202)=0),"",IF((TDBC-$J202)*24&gt;$AU202,"Đã vượt ước tính","Đã dùng "&amp;TEXT((TDBC-$J202)*24/$AU202,"0%")))))</f>
      </c>
      <c r="AG202" s="223">
        <f>IF(N($BB202)=0,"",CHOOSE($BB202,"Nhắc nhở","Cảnh báo","Báo động","Báo động đỏ"))</f>
      </c>
      <c r="AH202" s="223">
        <f>IF(OR($B202&lt;&gt;"Đột xuất",$AA202&lt;&gt;"Hoàn thành",N($X202)=0,$AW202=0),"",IF($X202&lt;=$AW202,"Đúng hạn","Trễ hạn"))</f>
      </c>
      <c r="AI202" s="220">
        <f>IF($A202="","",_xlfn.MAXIFS('Nhật ký tiến độ'!$B$6:$B$3005,'Nhật ký tiến độ'!$C$6:$C$3005,$A202))</f>
      </c>
      <c r="AJ202" s="225">
        <f>IF(OR($A202="",$B202&lt;&gt;"Định kỳ"),0,IFERROR(INDEX(DM_TanSuatNgay,MATCH($H202,DM_TanSuat,0)),0))</f>
      </c>
      <c r="AK202" s="225">
        <f>IF(OR($A202="",$B202&lt;&gt;"Định kỳ"),0,IFERROR(INDEX(DM_TanSuatThang,MATCH($H202,DM_TanSuat,0)),0))</f>
      </c>
      <c r="AL202" s="225">
        <f>IF(OR($A202="",$B202&lt;&gt;"Định kỳ",N($X202)=0,N($I202)=0),"",IF(INT($X202)&lt;$I202,0,IF($AJ202&gt;0,ROUND((INT($X202)-$I202)/$AJ202,0),IF($AK202&gt;0,ROUND((DATEDIF($I202,INT($X202),"m")+(INT($X202)-EDATE($I202,DATEDIF($I202,INT($X202),"m")))/(EDATE($I202,DATEDIF($I202,INT($X202),"m")+1)-EDATE($I202,DATEDIF($I202,INT($X202),"m"))))/$AK202,0),0))))</f>
      </c>
      <c r="AM202" s="225">
        <f>IF($A202="","",IF(COUNTIF('Nhật ký tiến độ'!$C$6:$C$3005,$A202)=0,0,_xlfn.MAXIFS('Nhật ký tiến độ'!$N$6:$N$3005,'Nhật ký tiến độ'!$C$6:$C$3005,$A202,'Nhật ký tiến độ'!$B$6:$B$3005,_xlfn.MAXIFS('Nhật ký tiến độ'!$B$6:$B$3005,'Nhật ký tiến độ'!$C$6:$C$3005,$A202))))</f>
      </c>
      <c r="AN202" s="225">
        <f>IF($A202="","",IF(N($AM202)=0,"",INDEX('Nhật ký tiến độ'!$E:$E,$AM202)))</f>
      </c>
      <c r="AO202" s="225">
        <f>IF($A202="",0,IF($AA202="Hoàn thành",0,1))</f>
      </c>
      <c r="AP202" s="225">
        <f>IF($AO202=0,0,INT(N($AW202)))</f>
      </c>
      <c r="AQ202" s="225">
        <f>IF(AND($AO202=1,$AJ202&gt;1),$AJ202,0)</f>
      </c>
      <c r="AR202" s="225">
        <f>IF(AND($AO202=1,$AJ202=1),1,0)</f>
      </c>
      <c r="AS202" s="225">
        <f>IF(OR($AO202=0,AND($AR202=1,N($BB202)=0)),"",IF(N($BB202)&gt;0,5-$BB202,IF($AD202="Chậm tiến độ",6,IF($AD202="Đến hạn hôm nay",7,IF(AND($AP202&gt;0,$AP202-NgayBC&lt;=7),8,"")))))</f>
      </c>
      <c r="AT202" s="225">
        <f>IF($AS202="","",$AS202*100000+$AP202+ROW()/100000)</f>
      </c>
      <c r="AU202" s="224">
        <f>IF(OR($A202="",N($R202)&lt;=0),"",IF($S202="Ngày",$R202*24,$R202))</f>
      </c>
      <c r="AV202" s="224">
        <f>IF($A202="","",IF($B202="Đột xuất",IF(OR($AA202&lt;&gt;"Hoàn thành",N($X202)=0,N($J202)=0),"",IF($X202&lt;$J202,"",($X202-$J202)*24)),IFERROR(AVERAGEIFS('Nhật ký tiến độ'!$H$6:$H$3005,'Nhật ký tiến độ'!$C$6:$C$3005,$A202,'Nhật ký tiến độ'!$H$6:$H$3005,"&gt;0"),"")))</f>
      </c>
      <c r="AW202" s="233">
        <f>IF($A202="",0,IF($B202="Đột xuất",$AY202,IF($AX202=0,0,$AX202+1-1/1440)))</f>
      </c>
      <c r="AX202" s="234">
        <f>IF(OR($A202="",$B202&lt;&gt;"Định kỳ",N($I202)=0),0,IF($AL202="",$I202,IF($AJ202&gt;0,$I202+($AL202+1)*$AJ202,IF($AK202&gt;0,EDATE($I202,($AL202+1)*$AK202),$I202))))</f>
      </c>
      <c r="AY202" s="233">
        <f>IF(OR($A202="",$B202&lt;&gt;"Đột xuất"),0,IF(N($K202)&gt;0,IF(MOD($K202,1)=0,$K202+1-1/1440,$K202),IF(N($J202)=0,0,$J202+IF(N($AU202)&gt;0,$AU202,IFERROR(INDEX(DM_SLA_Gio,MATCH($L202,DM_SLA_Cap,0)),168))/24)))</f>
      </c>
      <c r="AZ202" s="225">
        <f>IF(OR($A202="",TRIM($N202)="",COUNTIF('Phản ánh'!$K$6:$K$505,$N202)&gt;0,COUNTIF($N$6:$N202,$N202)&gt;1),0,1)</f>
      </c>
      <c r="BA202" s="225">
        <f>IF($AZ202=1,SUM($AZ$6:$AZ202),"")</f>
      </c>
      <c r="BB202" s="225">
        <f>IF(OR($AO202=0,N($AW202)=0),0,IF(TDBC&lt;=$AW202,0,MAX(1,MIN(4,IF((TDBC-$AW202)*24&lt;24,1,IF((TDBC-$AW202)*24&lt;72,2,IF((TDBC-$AW202)*24&lt;168,3,4)))+IF($B202="Đột xuất",IFERROR(INDEX({2,1,0,-1},MATCH($L202,{"Khẩn cấp","Cao","Trung bình","Thấp"},0)),0),IF($D202="PCCC và an ninh",1,0))))))</f>
      </c>
    </row>
    <row r="203">
      <c r="A203" s="216"/>
      <c r="B203" s="216"/>
      <c r="C203" s="218"/>
      <c r="D203" s="218"/>
      <c r="E203" s="218"/>
      <c r="F203" s="216"/>
      <c r="G203" s="218"/>
      <c r="H203" s="218"/>
      <c r="I203" s="231"/>
      <c r="J203" s="217"/>
      <c r="K203" s="217"/>
      <c r="L203" s="216"/>
      <c r="M203" s="216"/>
      <c r="N203" s="218"/>
      <c r="O203" s="218"/>
      <c r="P203" s="218"/>
      <c r="Q203" s="218"/>
      <c r="R203" s="219"/>
      <c r="S203" s="216"/>
      <c r="T203" s="232"/>
      <c r="U203" s="232"/>
      <c r="V203" s="218"/>
      <c r="W203" s="218"/>
      <c r="X203" s="220">
        <f>IF($A203="","",IF(OR($B203="Định kỳ",$AA203="Hoàn thành"),MAX(_xlfn.MAXIFS('Nhật ký tiến độ'!$B$6:$B$3005,'Nhật ký tiến độ'!$C$6:$C$3005,$A203,'Nhật ký tiến độ'!$E$6:$E$3005,"Hoàn thành kỳ"),_xlfn.MAXIFS('Nhật ký tiến độ'!$B$6:$B$3005,'Nhật ký tiến độ'!$C$6:$C$3005,$A203,'Nhật ký tiến độ'!$E$6:$E$3005,"Hoàn thành")),0))</f>
      </c>
      <c r="Y203" s="220">
        <f>IF($A203="","",IF($B203="Đột xuất",IF($AY203=0,"",$AY203),IF($AX203=0,"",$AX203)))</f>
      </c>
      <c r="Z203" s="223">
        <f>IF(OR($AO203=0,$AW203=0),"",IF(TDBC&gt;$AW203,"Quá "&amp;IF($B203="Định kỳ",(NgayBC-$AP203)&amp;" ngày",IF(((TDBC-$AW203)*24)&lt;1,MAX(1,ROUND(((TDBC-$AW203)*24)*60,0))&amp;" phút",IF(ROUND(((TDBC-$AW203)*24),0)&lt;24,ROUND(((TDBC-$AW203)*24),0)&amp;" giờ",INT(ROUND(((TDBC-$AW203)*24),0)/24)&amp;" ngày"&amp;IF(MOD(ROUND(((TDBC-$AW203)*24),0),24)&gt;0," "&amp;MOD(ROUND(((TDBC-$AW203)*24),0),24)&amp;" giờ","")))),IF($B203="Định kỳ",IF($AP203=NgayBC,"Hôm nay","Còn "&amp;($AP203-NgayBC)&amp;" ngày"),"Còn "&amp;IF((($AW203-TDBC)*24)&lt;1,MAX(1,ROUND((($AW203-TDBC)*24)*60,0))&amp;" phút",IF(ROUND((($AW203-TDBC)*24),0)&lt;24,ROUND((($AW203-TDBC)*24),0)&amp;" giờ",INT(ROUND((($AW203-TDBC)*24),0)/24)&amp;" ngày"&amp;IF(MOD(ROUND((($AW203-TDBC)*24),0),24)&gt;0," "&amp;MOD(ROUND((($AW203-TDBC)*24),0),24)&amp;" giờ",""))))))</f>
      </c>
      <c r="AA203" s="221">
        <f>IF($A203="","",IF(N($AM203)=0,"Chưa bắt đầu",IF(OR($AN203="Hoàn thành kỳ",$AN203="Hoàn thành"),IF($B203="Định kỳ","Chưa bắt đầu","Hoàn thành"),$AN203)))</f>
      </c>
      <c r="AB203" s="222">
        <f>IF($A203="","",IF($AA203="Hoàn thành",1,IF(OR(N($AM203)=0,$AN203="Hoàn thành kỳ",$AN203="Hoàn thành"),0,N(INDEX('Nhật ký tiến độ'!$D:$D,$AM203)))))</f>
      </c>
      <c r="AC203" s="222">
        <f>IF(OR($A203="",$B203&lt;&gt;"Đột xuất",$AA203="Hoàn thành",N($J203)=0,$AW203=0),"",IF(TDBC&lt;=$J203,0,IF(TDBC&gt;=$AW203,1,(TDBC-$J203)/($AW203-$J203))))</f>
      </c>
      <c r="AD203" s="223">
        <f>IF($A203="","",IF($AA203="Hoàn thành","Hoàn thành",IF($AW203=0,"Chưa đặt hạn",IF(TDBC&gt;$AW203,"Quá hạn",IF(AND($B203="Đột xuất",ROUND((N($AC203)-$AB203)*100,0)&gt;=20),"Chậm tiến độ",IF($AP203=NgayBC,"Đến hạn hôm nay",IF($B203="Đột xuất",IF($AW203-TDBC&lt;=1,"Sắp đến hạn","Đúng tiến độ"),IF($AP203-NgayBC&lt;=3,"Sắp đến hạn","Theo lịch"))))))))</f>
      </c>
      <c r="AE203" s="223">
        <f>IF($AV203="","",IF($B203="Định kỳ","Bình quân "&amp;IF($AV203&lt;1,MAX(1,ROUND($AV203*60,0))&amp;" phút",IF(ROUND($AV203,0)&lt;24,ROUND($AV203,0)&amp;" giờ",INT(ROUND($AV203,0)/24)&amp;" ngày"&amp;IF(MOD(ROUND($AV203,0),24)&gt;0," "&amp;MOD(ROUND($AV203,0),24)&amp;" giờ","")))&amp;" mỗi kỳ",IF($AV203&lt;1,MAX(1,ROUND($AV203*60,0))&amp;" phút",IF(ROUND($AV203,0)&lt;24,ROUND($AV203,0)&amp;" giờ",INT(ROUND($AV203,0)/24)&amp;" ngày"&amp;IF(MOD(ROUND($AV203,0),24)&gt;0," "&amp;MOD(ROUND($AV203,0),24)&amp;" giờ","")))))</f>
      </c>
      <c r="AF203" s="223">
        <f>IF(OR($A203="",N($AU203)=0),"",IF($AV203&lt;&gt;"",IF($AV203&lt;=$AU203,"Trong ước tính","Vượt "&amp;IF(($AV203-$AU203)&lt;1,MAX(1,ROUND(($AV203-$AU203)*60,0))&amp;" phút",IF(ROUND(($AV203-$AU203),0)&lt;24,ROUND(($AV203-$AU203),0)&amp;" giờ",INT(ROUND(($AV203-$AU203),0)/24)&amp;" ngày"&amp;IF(MOD(ROUND(($AV203-$AU203),0),24)&gt;0," "&amp;MOD(ROUND(($AV203-$AU203),0),24)&amp;" giờ","")))),IF(OR($B203&lt;&gt;"Đột xuất",$AA203="Hoàn thành",N($J203)=0),"",IF((TDBC-$J203)*24&gt;$AU203,"Đã vượt ước tính","Đã dùng "&amp;TEXT((TDBC-$J203)*24/$AU203,"0%")))))</f>
      </c>
      <c r="AG203" s="223">
        <f>IF(N($BB203)=0,"",CHOOSE($BB203,"Nhắc nhở","Cảnh báo","Báo động","Báo động đỏ"))</f>
      </c>
      <c r="AH203" s="223">
        <f>IF(OR($B203&lt;&gt;"Đột xuất",$AA203&lt;&gt;"Hoàn thành",N($X203)=0,$AW203=0),"",IF($X203&lt;=$AW203,"Đúng hạn","Trễ hạn"))</f>
      </c>
      <c r="AI203" s="220">
        <f>IF($A203="","",_xlfn.MAXIFS('Nhật ký tiến độ'!$B$6:$B$3005,'Nhật ký tiến độ'!$C$6:$C$3005,$A203))</f>
      </c>
      <c r="AJ203" s="225">
        <f>IF(OR($A203="",$B203&lt;&gt;"Định kỳ"),0,IFERROR(INDEX(DM_TanSuatNgay,MATCH($H203,DM_TanSuat,0)),0))</f>
      </c>
      <c r="AK203" s="225">
        <f>IF(OR($A203="",$B203&lt;&gt;"Định kỳ"),0,IFERROR(INDEX(DM_TanSuatThang,MATCH($H203,DM_TanSuat,0)),0))</f>
      </c>
      <c r="AL203" s="225">
        <f>IF(OR($A203="",$B203&lt;&gt;"Định kỳ",N($X203)=0,N($I203)=0),"",IF(INT($X203)&lt;$I203,0,IF($AJ203&gt;0,ROUND((INT($X203)-$I203)/$AJ203,0),IF($AK203&gt;0,ROUND((DATEDIF($I203,INT($X203),"m")+(INT($X203)-EDATE($I203,DATEDIF($I203,INT($X203),"m")))/(EDATE($I203,DATEDIF($I203,INT($X203),"m")+1)-EDATE($I203,DATEDIF($I203,INT($X203),"m"))))/$AK203,0),0))))</f>
      </c>
      <c r="AM203" s="225">
        <f>IF($A203="","",IF(COUNTIF('Nhật ký tiến độ'!$C$6:$C$3005,$A203)=0,0,_xlfn.MAXIFS('Nhật ký tiến độ'!$N$6:$N$3005,'Nhật ký tiến độ'!$C$6:$C$3005,$A203,'Nhật ký tiến độ'!$B$6:$B$3005,_xlfn.MAXIFS('Nhật ký tiến độ'!$B$6:$B$3005,'Nhật ký tiến độ'!$C$6:$C$3005,$A203))))</f>
      </c>
      <c r="AN203" s="225">
        <f>IF($A203="","",IF(N($AM203)=0,"",INDEX('Nhật ký tiến độ'!$E:$E,$AM203)))</f>
      </c>
      <c r="AO203" s="225">
        <f>IF($A203="",0,IF($AA203="Hoàn thành",0,1))</f>
      </c>
      <c r="AP203" s="225">
        <f>IF($AO203=0,0,INT(N($AW203)))</f>
      </c>
      <c r="AQ203" s="225">
        <f>IF(AND($AO203=1,$AJ203&gt;1),$AJ203,0)</f>
      </c>
      <c r="AR203" s="225">
        <f>IF(AND($AO203=1,$AJ203=1),1,0)</f>
      </c>
      <c r="AS203" s="225">
        <f>IF(OR($AO203=0,AND($AR203=1,N($BB203)=0)),"",IF(N($BB203)&gt;0,5-$BB203,IF($AD203="Chậm tiến độ",6,IF($AD203="Đến hạn hôm nay",7,IF(AND($AP203&gt;0,$AP203-NgayBC&lt;=7),8,"")))))</f>
      </c>
      <c r="AT203" s="225">
        <f>IF($AS203="","",$AS203*100000+$AP203+ROW()/100000)</f>
      </c>
      <c r="AU203" s="224">
        <f>IF(OR($A203="",N($R203)&lt;=0),"",IF($S203="Ngày",$R203*24,$R203))</f>
      </c>
      <c r="AV203" s="224">
        <f>IF($A203="","",IF($B203="Đột xuất",IF(OR($AA203&lt;&gt;"Hoàn thành",N($X203)=0,N($J203)=0),"",IF($X203&lt;$J203,"",($X203-$J203)*24)),IFERROR(AVERAGEIFS('Nhật ký tiến độ'!$H$6:$H$3005,'Nhật ký tiến độ'!$C$6:$C$3005,$A203,'Nhật ký tiến độ'!$H$6:$H$3005,"&gt;0"),"")))</f>
      </c>
      <c r="AW203" s="233">
        <f>IF($A203="",0,IF($B203="Đột xuất",$AY203,IF($AX203=0,0,$AX203+1-1/1440)))</f>
      </c>
      <c r="AX203" s="234">
        <f>IF(OR($A203="",$B203&lt;&gt;"Định kỳ",N($I203)=0),0,IF($AL203="",$I203,IF($AJ203&gt;0,$I203+($AL203+1)*$AJ203,IF($AK203&gt;0,EDATE($I203,($AL203+1)*$AK203),$I203))))</f>
      </c>
      <c r="AY203" s="233">
        <f>IF(OR($A203="",$B203&lt;&gt;"Đột xuất"),0,IF(N($K203)&gt;0,IF(MOD($K203,1)=0,$K203+1-1/1440,$K203),IF(N($J203)=0,0,$J203+IF(N($AU203)&gt;0,$AU203,IFERROR(INDEX(DM_SLA_Gio,MATCH($L203,DM_SLA_Cap,0)),168))/24)))</f>
      </c>
      <c r="AZ203" s="225">
        <f>IF(OR($A203="",TRIM($N203)="",COUNTIF('Phản ánh'!$K$6:$K$505,$N203)&gt;0,COUNTIF($N$6:$N203,$N203)&gt;1),0,1)</f>
      </c>
      <c r="BA203" s="225">
        <f>IF($AZ203=1,SUM($AZ$6:$AZ203),"")</f>
      </c>
      <c r="BB203" s="225">
        <f>IF(OR($AO203=0,N($AW203)=0),0,IF(TDBC&lt;=$AW203,0,MAX(1,MIN(4,IF((TDBC-$AW203)*24&lt;24,1,IF((TDBC-$AW203)*24&lt;72,2,IF((TDBC-$AW203)*24&lt;168,3,4)))+IF($B203="Đột xuất",IFERROR(INDEX({2,1,0,-1},MATCH($L203,{"Khẩn cấp","Cao","Trung bình","Thấp"},0)),0),IF($D203="PCCC và an ninh",1,0))))))</f>
      </c>
    </row>
    <row r="204">
      <c r="A204" s="216"/>
      <c r="B204" s="216"/>
      <c r="C204" s="218"/>
      <c r="D204" s="218"/>
      <c r="E204" s="218"/>
      <c r="F204" s="216"/>
      <c r="G204" s="218"/>
      <c r="H204" s="218"/>
      <c r="I204" s="231"/>
      <c r="J204" s="217"/>
      <c r="K204" s="217"/>
      <c r="L204" s="216"/>
      <c r="M204" s="216"/>
      <c r="N204" s="218"/>
      <c r="O204" s="218"/>
      <c r="P204" s="218"/>
      <c r="Q204" s="218"/>
      <c r="R204" s="219"/>
      <c r="S204" s="216"/>
      <c r="T204" s="232"/>
      <c r="U204" s="232"/>
      <c r="V204" s="218"/>
      <c r="W204" s="218"/>
      <c r="X204" s="220">
        <f>IF($A204="","",IF(OR($B204="Định kỳ",$AA204="Hoàn thành"),MAX(_xlfn.MAXIFS('Nhật ký tiến độ'!$B$6:$B$3005,'Nhật ký tiến độ'!$C$6:$C$3005,$A204,'Nhật ký tiến độ'!$E$6:$E$3005,"Hoàn thành kỳ"),_xlfn.MAXIFS('Nhật ký tiến độ'!$B$6:$B$3005,'Nhật ký tiến độ'!$C$6:$C$3005,$A204,'Nhật ký tiến độ'!$E$6:$E$3005,"Hoàn thành")),0))</f>
      </c>
      <c r="Y204" s="220">
        <f>IF($A204="","",IF($B204="Đột xuất",IF($AY204=0,"",$AY204),IF($AX204=0,"",$AX204)))</f>
      </c>
      <c r="Z204" s="223">
        <f>IF(OR($AO204=0,$AW204=0),"",IF(TDBC&gt;$AW204,"Quá "&amp;IF($B204="Định kỳ",(NgayBC-$AP204)&amp;" ngày",IF(((TDBC-$AW204)*24)&lt;1,MAX(1,ROUND(((TDBC-$AW204)*24)*60,0))&amp;" phút",IF(ROUND(((TDBC-$AW204)*24),0)&lt;24,ROUND(((TDBC-$AW204)*24),0)&amp;" giờ",INT(ROUND(((TDBC-$AW204)*24),0)/24)&amp;" ngày"&amp;IF(MOD(ROUND(((TDBC-$AW204)*24),0),24)&gt;0," "&amp;MOD(ROUND(((TDBC-$AW204)*24),0),24)&amp;" giờ","")))),IF($B204="Định kỳ",IF($AP204=NgayBC,"Hôm nay","Còn "&amp;($AP204-NgayBC)&amp;" ngày"),"Còn "&amp;IF((($AW204-TDBC)*24)&lt;1,MAX(1,ROUND((($AW204-TDBC)*24)*60,0))&amp;" phút",IF(ROUND((($AW204-TDBC)*24),0)&lt;24,ROUND((($AW204-TDBC)*24),0)&amp;" giờ",INT(ROUND((($AW204-TDBC)*24),0)/24)&amp;" ngày"&amp;IF(MOD(ROUND((($AW204-TDBC)*24),0),24)&gt;0," "&amp;MOD(ROUND((($AW204-TDBC)*24),0),24)&amp;" giờ",""))))))</f>
      </c>
      <c r="AA204" s="221">
        <f>IF($A204="","",IF(N($AM204)=0,"Chưa bắt đầu",IF(OR($AN204="Hoàn thành kỳ",$AN204="Hoàn thành"),IF($B204="Định kỳ","Chưa bắt đầu","Hoàn thành"),$AN204)))</f>
      </c>
      <c r="AB204" s="222">
        <f>IF($A204="","",IF($AA204="Hoàn thành",1,IF(OR(N($AM204)=0,$AN204="Hoàn thành kỳ",$AN204="Hoàn thành"),0,N(INDEX('Nhật ký tiến độ'!$D:$D,$AM204)))))</f>
      </c>
      <c r="AC204" s="222">
        <f>IF(OR($A204="",$B204&lt;&gt;"Đột xuất",$AA204="Hoàn thành",N($J204)=0,$AW204=0),"",IF(TDBC&lt;=$J204,0,IF(TDBC&gt;=$AW204,1,(TDBC-$J204)/($AW204-$J204))))</f>
      </c>
      <c r="AD204" s="223">
        <f>IF($A204="","",IF($AA204="Hoàn thành","Hoàn thành",IF($AW204=0,"Chưa đặt hạn",IF(TDBC&gt;$AW204,"Quá hạn",IF(AND($B204="Đột xuất",ROUND((N($AC204)-$AB204)*100,0)&gt;=20),"Chậm tiến độ",IF($AP204=NgayBC,"Đến hạn hôm nay",IF($B204="Đột xuất",IF($AW204-TDBC&lt;=1,"Sắp đến hạn","Đúng tiến độ"),IF($AP204-NgayBC&lt;=3,"Sắp đến hạn","Theo lịch"))))))))</f>
      </c>
      <c r="AE204" s="223">
        <f>IF($AV204="","",IF($B204="Định kỳ","Bình quân "&amp;IF($AV204&lt;1,MAX(1,ROUND($AV204*60,0))&amp;" phút",IF(ROUND($AV204,0)&lt;24,ROUND($AV204,0)&amp;" giờ",INT(ROUND($AV204,0)/24)&amp;" ngày"&amp;IF(MOD(ROUND($AV204,0),24)&gt;0," "&amp;MOD(ROUND($AV204,0),24)&amp;" giờ","")))&amp;" mỗi kỳ",IF($AV204&lt;1,MAX(1,ROUND($AV204*60,0))&amp;" phút",IF(ROUND($AV204,0)&lt;24,ROUND($AV204,0)&amp;" giờ",INT(ROUND($AV204,0)/24)&amp;" ngày"&amp;IF(MOD(ROUND($AV204,0),24)&gt;0," "&amp;MOD(ROUND($AV204,0),24)&amp;" giờ","")))))</f>
      </c>
      <c r="AF204" s="223">
        <f>IF(OR($A204="",N($AU204)=0),"",IF($AV204&lt;&gt;"",IF($AV204&lt;=$AU204,"Trong ước tính","Vượt "&amp;IF(($AV204-$AU204)&lt;1,MAX(1,ROUND(($AV204-$AU204)*60,0))&amp;" phút",IF(ROUND(($AV204-$AU204),0)&lt;24,ROUND(($AV204-$AU204),0)&amp;" giờ",INT(ROUND(($AV204-$AU204),0)/24)&amp;" ngày"&amp;IF(MOD(ROUND(($AV204-$AU204),0),24)&gt;0," "&amp;MOD(ROUND(($AV204-$AU204),0),24)&amp;" giờ","")))),IF(OR($B204&lt;&gt;"Đột xuất",$AA204="Hoàn thành",N($J204)=0),"",IF((TDBC-$J204)*24&gt;$AU204,"Đã vượt ước tính","Đã dùng "&amp;TEXT((TDBC-$J204)*24/$AU204,"0%")))))</f>
      </c>
      <c r="AG204" s="223">
        <f>IF(N($BB204)=0,"",CHOOSE($BB204,"Nhắc nhở","Cảnh báo","Báo động","Báo động đỏ"))</f>
      </c>
      <c r="AH204" s="223">
        <f>IF(OR($B204&lt;&gt;"Đột xuất",$AA204&lt;&gt;"Hoàn thành",N($X204)=0,$AW204=0),"",IF($X204&lt;=$AW204,"Đúng hạn","Trễ hạn"))</f>
      </c>
      <c r="AI204" s="220">
        <f>IF($A204="","",_xlfn.MAXIFS('Nhật ký tiến độ'!$B$6:$B$3005,'Nhật ký tiến độ'!$C$6:$C$3005,$A204))</f>
      </c>
      <c r="AJ204" s="225">
        <f>IF(OR($A204="",$B204&lt;&gt;"Định kỳ"),0,IFERROR(INDEX(DM_TanSuatNgay,MATCH($H204,DM_TanSuat,0)),0))</f>
      </c>
      <c r="AK204" s="225">
        <f>IF(OR($A204="",$B204&lt;&gt;"Định kỳ"),0,IFERROR(INDEX(DM_TanSuatThang,MATCH($H204,DM_TanSuat,0)),0))</f>
      </c>
      <c r="AL204" s="225">
        <f>IF(OR($A204="",$B204&lt;&gt;"Định kỳ",N($X204)=0,N($I204)=0),"",IF(INT($X204)&lt;$I204,0,IF($AJ204&gt;0,ROUND((INT($X204)-$I204)/$AJ204,0),IF($AK204&gt;0,ROUND((DATEDIF($I204,INT($X204),"m")+(INT($X204)-EDATE($I204,DATEDIF($I204,INT($X204),"m")))/(EDATE($I204,DATEDIF($I204,INT($X204),"m")+1)-EDATE($I204,DATEDIF($I204,INT($X204),"m"))))/$AK204,0),0))))</f>
      </c>
      <c r="AM204" s="225">
        <f>IF($A204="","",IF(COUNTIF('Nhật ký tiến độ'!$C$6:$C$3005,$A204)=0,0,_xlfn.MAXIFS('Nhật ký tiến độ'!$N$6:$N$3005,'Nhật ký tiến độ'!$C$6:$C$3005,$A204,'Nhật ký tiến độ'!$B$6:$B$3005,_xlfn.MAXIFS('Nhật ký tiến độ'!$B$6:$B$3005,'Nhật ký tiến độ'!$C$6:$C$3005,$A204))))</f>
      </c>
      <c r="AN204" s="225">
        <f>IF($A204="","",IF(N($AM204)=0,"",INDEX('Nhật ký tiến độ'!$E:$E,$AM204)))</f>
      </c>
      <c r="AO204" s="225">
        <f>IF($A204="",0,IF($AA204="Hoàn thành",0,1))</f>
      </c>
      <c r="AP204" s="225">
        <f>IF($AO204=0,0,INT(N($AW204)))</f>
      </c>
      <c r="AQ204" s="225">
        <f>IF(AND($AO204=1,$AJ204&gt;1),$AJ204,0)</f>
      </c>
      <c r="AR204" s="225">
        <f>IF(AND($AO204=1,$AJ204=1),1,0)</f>
      </c>
      <c r="AS204" s="225">
        <f>IF(OR($AO204=0,AND($AR204=1,N($BB204)=0)),"",IF(N($BB204)&gt;0,5-$BB204,IF($AD204="Chậm tiến độ",6,IF($AD204="Đến hạn hôm nay",7,IF(AND($AP204&gt;0,$AP204-NgayBC&lt;=7),8,"")))))</f>
      </c>
      <c r="AT204" s="225">
        <f>IF($AS204="","",$AS204*100000+$AP204+ROW()/100000)</f>
      </c>
      <c r="AU204" s="224">
        <f>IF(OR($A204="",N($R204)&lt;=0),"",IF($S204="Ngày",$R204*24,$R204))</f>
      </c>
      <c r="AV204" s="224">
        <f>IF($A204="","",IF($B204="Đột xuất",IF(OR($AA204&lt;&gt;"Hoàn thành",N($X204)=0,N($J204)=0),"",IF($X204&lt;$J204,"",($X204-$J204)*24)),IFERROR(AVERAGEIFS('Nhật ký tiến độ'!$H$6:$H$3005,'Nhật ký tiến độ'!$C$6:$C$3005,$A204,'Nhật ký tiến độ'!$H$6:$H$3005,"&gt;0"),"")))</f>
      </c>
      <c r="AW204" s="233">
        <f>IF($A204="",0,IF($B204="Đột xuất",$AY204,IF($AX204=0,0,$AX204+1-1/1440)))</f>
      </c>
      <c r="AX204" s="234">
        <f>IF(OR($A204="",$B204&lt;&gt;"Định kỳ",N($I204)=0),0,IF($AL204="",$I204,IF($AJ204&gt;0,$I204+($AL204+1)*$AJ204,IF($AK204&gt;0,EDATE($I204,($AL204+1)*$AK204),$I204))))</f>
      </c>
      <c r="AY204" s="233">
        <f>IF(OR($A204="",$B204&lt;&gt;"Đột xuất"),0,IF(N($K204)&gt;0,IF(MOD($K204,1)=0,$K204+1-1/1440,$K204),IF(N($J204)=0,0,$J204+IF(N($AU204)&gt;0,$AU204,IFERROR(INDEX(DM_SLA_Gio,MATCH($L204,DM_SLA_Cap,0)),168))/24)))</f>
      </c>
      <c r="AZ204" s="225">
        <f>IF(OR($A204="",TRIM($N204)="",COUNTIF('Phản ánh'!$K$6:$K$505,$N204)&gt;0,COUNTIF($N$6:$N204,$N204)&gt;1),0,1)</f>
      </c>
      <c r="BA204" s="225">
        <f>IF($AZ204=1,SUM($AZ$6:$AZ204),"")</f>
      </c>
      <c r="BB204" s="225">
        <f>IF(OR($AO204=0,N($AW204)=0),0,IF(TDBC&lt;=$AW204,0,MAX(1,MIN(4,IF((TDBC-$AW204)*24&lt;24,1,IF((TDBC-$AW204)*24&lt;72,2,IF((TDBC-$AW204)*24&lt;168,3,4)))+IF($B204="Đột xuất",IFERROR(INDEX({2,1,0,-1},MATCH($L204,{"Khẩn cấp","Cao","Trung bình","Thấp"},0)),0),IF($D204="PCCC và an ninh",1,0))))))</f>
      </c>
    </row>
    <row r="205">
      <c r="A205" s="216"/>
      <c r="B205" s="216"/>
      <c r="C205" s="218"/>
      <c r="D205" s="218"/>
      <c r="E205" s="218"/>
      <c r="F205" s="216"/>
      <c r="G205" s="218"/>
      <c r="H205" s="218"/>
      <c r="I205" s="231"/>
      <c r="J205" s="217"/>
      <c r="K205" s="217"/>
      <c r="L205" s="216"/>
      <c r="M205" s="216"/>
      <c r="N205" s="218"/>
      <c r="O205" s="218"/>
      <c r="P205" s="218"/>
      <c r="Q205" s="218"/>
      <c r="R205" s="219"/>
      <c r="S205" s="216"/>
      <c r="T205" s="232"/>
      <c r="U205" s="232"/>
      <c r="V205" s="218"/>
      <c r="W205" s="218"/>
      <c r="X205" s="220">
        <f>IF($A205="","",IF(OR($B205="Định kỳ",$AA205="Hoàn thành"),MAX(_xlfn.MAXIFS('Nhật ký tiến độ'!$B$6:$B$3005,'Nhật ký tiến độ'!$C$6:$C$3005,$A205,'Nhật ký tiến độ'!$E$6:$E$3005,"Hoàn thành kỳ"),_xlfn.MAXIFS('Nhật ký tiến độ'!$B$6:$B$3005,'Nhật ký tiến độ'!$C$6:$C$3005,$A205,'Nhật ký tiến độ'!$E$6:$E$3005,"Hoàn thành")),0))</f>
      </c>
      <c r="Y205" s="220">
        <f>IF($A205="","",IF($B205="Đột xuất",IF($AY205=0,"",$AY205),IF($AX205=0,"",$AX205)))</f>
      </c>
      <c r="Z205" s="223">
        <f>IF(OR($AO205=0,$AW205=0),"",IF(TDBC&gt;$AW205,"Quá "&amp;IF($B205="Định kỳ",(NgayBC-$AP205)&amp;" ngày",IF(((TDBC-$AW205)*24)&lt;1,MAX(1,ROUND(((TDBC-$AW205)*24)*60,0))&amp;" phút",IF(ROUND(((TDBC-$AW205)*24),0)&lt;24,ROUND(((TDBC-$AW205)*24),0)&amp;" giờ",INT(ROUND(((TDBC-$AW205)*24),0)/24)&amp;" ngày"&amp;IF(MOD(ROUND(((TDBC-$AW205)*24),0),24)&gt;0," "&amp;MOD(ROUND(((TDBC-$AW205)*24),0),24)&amp;" giờ","")))),IF($B205="Định kỳ",IF($AP205=NgayBC,"Hôm nay","Còn "&amp;($AP205-NgayBC)&amp;" ngày"),"Còn "&amp;IF((($AW205-TDBC)*24)&lt;1,MAX(1,ROUND((($AW205-TDBC)*24)*60,0))&amp;" phút",IF(ROUND((($AW205-TDBC)*24),0)&lt;24,ROUND((($AW205-TDBC)*24),0)&amp;" giờ",INT(ROUND((($AW205-TDBC)*24),0)/24)&amp;" ngày"&amp;IF(MOD(ROUND((($AW205-TDBC)*24),0),24)&gt;0," "&amp;MOD(ROUND((($AW205-TDBC)*24),0),24)&amp;" giờ",""))))))</f>
      </c>
      <c r="AA205" s="221">
        <f>IF($A205="","",IF(N($AM205)=0,"Chưa bắt đầu",IF(OR($AN205="Hoàn thành kỳ",$AN205="Hoàn thành"),IF($B205="Định kỳ","Chưa bắt đầu","Hoàn thành"),$AN205)))</f>
      </c>
      <c r="AB205" s="222">
        <f>IF($A205="","",IF($AA205="Hoàn thành",1,IF(OR(N($AM205)=0,$AN205="Hoàn thành kỳ",$AN205="Hoàn thành"),0,N(INDEX('Nhật ký tiến độ'!$D:$D,$AM205)))))</f>
      </c>
      <c r="AC205" s="222">
        <f>IF(OR($A205="",$B205&lt;&gt;"Đột xuất",$AA205="Hoàn thành",N($J205)=0,$AW205=0),"",IF(TDBC&lt;=$J205,0,IF(TDBC&gt;=$AW205,1,(TDBC-$J205)/($AW205-$J205))))</f>
      </c>
      <c r="AD205" s="223">
        <f>IF($A205="","",IF($AA205="Hoàn thành","Hoàn thành",IF($AW205=0,"Chưa đặt hạn",IF(TDBC&gt;$AW205,"Quá hạn",IF(AND($B205="Đột xuất",ROUND((N($AC205)-$AB205)*100,0)&gt;=20),"Chậm tiến độ",IF($AP205=NgayBC,"Đến hạn hôm nay",IF($B205="Đột xuất",IF($AW205-TDBC&lt;=1,"Sắp đến hạn","Đúng tiến độ"),IF($AP205-NgayBC&lt;=3,"Sắp đến hạn","Theo lịch"))))))))</f>
      </c>
      <c r="AE205" s="223">
        <f>IF($AV205="","",IF($B205="Định kỳ","Bình quân "&amp;IF($AV205&lt;1,MAX(1,ROUND($AV205*60,0))&amp;" phút",IF(ROUND($AV205,0)&lt;24,ROUND($AV205,0)&amp;" giờ",INT(ROUND($AV205,0)/24)&amp;" ngày"&amp;IF(MOD(ROUND($AV205,0),24)&gt;0," "&amp;MOD(ROUND($AV205,0),24)&amp;" giờ","")))&amp;" mỗi kỳ",IF($AV205&lt;1,MAX(1,ROUND($AV205*60,0))&amp;" phút",IF(ROUND($AV205,0)&lt;24,ROUND($AV205,0)&amp;" giờ",INT(ROUND($AV205,0)/24)&amp;" ngày"&amp;IF(MOD(ROUND($AV205,0),24)&gt;0," "&amp;MOD(ROUND($AV205,0),24)&amp;" giờ","")))))</f>
      </c>
      <c r="AF205" s="223">
        <f>IF(OR($A205="",N($AU205)=0),"",IF($AV205&lt;&gt;"",IF($AV205&lt;=$AU205,"Trong ước tính","Vượt "&amp;IF(($AV205-$AU205)&lt;1,MAX(1,ROUND(($AV205-$AU205)*60,0))&amp;" phút",IF(ROUND(($AV205-$AU205),0)&lt;24,ROUND(($AV205-$AU205),0)&amp;" giờ",INT(ROUND(($AV205-$AU205),0)/24)&amp;" ngày"&amp;IF(MOD(ROUND(($AV205-$AU205),0),24)&gt;0," "&amp;MOD(ROUND(($AV205-$AU205),0),24)&amp;" giờ","")))),IF(OR($B205&lt;&gt;"Đột xuất",$AA205="Hoàn thành",N($J205)=0),"",IF((TDBC-$J205)*24&gt;$AU205,"Đã vượt ước tính","Đã dùng "&amp;TEXT((TDBC-$J205)*24/$AU205,"0%")))))</f>
      </c>
      <c r="AG205" s="223">
        <f>IF(N($BB205)=0,"",CHOOSE($BB205,"Nhắc nhở","Cảnh báo","Báo động","Báo động đỏ"))</f>
      </c>
      <c r="AH205" s="223">
        <f>IF(OR($B205&lt;&gt;"Đột xuất",$AA205&lt;&gt;"Hoàn thành",N($X205)=0,$AW205=0),"",IF($X205&lt;=$AW205,"Đúng hạn","Trễ hạn"))</f>
      </c>
      <c r="AI205" s="220">
        <f>IF($A205="","",_xlfn.MAXIFS('Nhật ký tiến độ'!$B$6:$B$3005,'Nhật ký tiến độ'!$C$6:$C$3005,$A205))</f>
      </c>
      <c r="AJ205" s="225">
        <f>IF(OR($A205="",$B205&lt;&gt;"Định kỳ"),0,IFERROR(INDEX(DM_TanSuatNgay,MATCH($H205,DM_TanSuat,0)),0))</f>
      </c>
      <c r="AK205" s="225">
        <f>IF(OR($A205="",$B205&lt;&gt;"Định kỳ"),0,IFERROR(INDEX(DM_TanSuatThang,MATCH($H205,DM_TanSuat,0)),0))</f>
      </c>
      <c r="AL205" s="225">
        <f>IF(OR($A205="",$B205&lt;&gt;"Định kỳ",N($X205)=0,N($I205)=0),"",IF(INT($X205)&lt;$I205,0,IF($AJ205&gt;0,ROUND((INT($X205)-$I205)/$AJ205,0),IF($AK205&gt;0,ROUND((DATEDIF($I205,INT($X205),"m")+(INT($X205)-EDATE($I205,DATEDIF($I205,INT($X205),"m")))/(EDATE($I205,DATEDIF($I205,INT($X205),"m")+1)-EDATE($I205,DATEDIF($I205,INT($X205),"m"))))/$AK205,0),0))))</f>
      </c>
      <c r="AM205" s="225">
        <f>IF($A205="","",IF(COUNTIF('Nhật ký tiến độ'!$C$6:$C$3005,$A205)=0,0,_xlfn.MAXIFS('Nhật ký tiến độ'!$N$6:$N$3005,'Nhật ký tiến độ'!$C$6:$C$3005,$A205,'Nhật ký tiến độ'!$B$6:$B$3005,_xlfn.MAXIFS('Nhật ký tiến độ'!$B$6:$B$3005,'Nhật ký tiến độ'!$C$6:$C$3005,$A205))))</f>
      </c>
      <c r="AN205" s="225">
        <f>IF($A205="","",IF(N($AM205)=0,"",INDEX('Nhật ký tiến độ'!$E:$E,$AM205)))</f>
      </c>
      <c r="AO205" s="225">
        <f>IF($A205="",0,IF($AA205="Hoàn thành",0,1))</f>
      </c>
      <c r="AP205" s="225">
        <f>IF($AO205=0,0,INT(N($AW205)))</f>
      </c>
      <c r="AQ205" s="225">
        <f>IF(AND($AO205=1,$AJ205&gt;1),$AJ205,0)</f>
      </c>
      <c r="AR205" s="225">
        <f>IF(AND($AO205=1,$AJ205=1),1,0)</f>
      </c>
      <c r="AS205" s="225">
        <f>IF(OR($AO205=0,AND($AR205=1,N($BB205)=0)),"",IF(N($BB205)&gt;0,5-$BB205,IF($AD205="Chậm tiến độ",6,IF($AD205="Đến hạn hôm nay",7,IF(AND($AP205&gt;0,$AP205-NgayBC&lt;=7),8,"")))))</f>
      </c>
      <c r="AT205" s="225">
        <f>IF($AS205="","",$AS205*100000+$AP205+ROW()/100000)</f>
      </c>
      <c r="AU205" s="224">
        <f>IF(OR($A205="",N($R205)&lt;=0),"",IF($S205="Ngày",$R205*24,$R205))</f>
      </c>
      <c r="AV205" s="224">
        <f>IF($A205="","",IF($B205="Đột xuất",IF(OR($AA205&lt;&gt;"Hoàn thành",N($X205)=0,N($J205)=0),"",IF($X205&lt;$J205,"",($X205-$J205)*24)),IFERROR(AVERAGEIFS('Nhật ký tiến độ'!$H$6:$H$3005,'Nhật ký tiến độ'!$C$6:$C$3005,$A205,'Nhật ký tiến độ'!$H$6:$H$3005,"&gt;0"),"")))</f>
      </c>
      <c r="AW205" s="233">
        <f>IF($A205="",0,IF($B205="Đột xuất",$AY205,IF($AX205=0,0,$AX205+1-1/1440)))</f>
      </c>
      <c r="AX205" s="234">
        <f>IF(OR($A205="",$B205&lt;&gt;"Định kỳ",N($I205)=0),0,IF($AL205="",$I205,IF($AJ205&gt;0,$I205+($AL205+1)*$AJ205,IF($AK205&gt;0,EDATE($I205,($AL205+1)*$AK205),$I205))))</f>
      </c>
      <c r="AY205" s="233">
        <f>IF(OR($A205="",$B205&lt;&gt;"Đột xuất"),0,IF(N($K205)&gt;0,IF(MOD($K205,1)=0,$K205+1-1/1440,$K205),IF(N($J205)=0,0,$J205+IF(N($AU205)&gt;0,$AU205,IFERROR(INDEX(DM_SLA_Gio,MATCH($L205,DM_SLA_Cap,0)),168))/24)))</f>
      </c>
      <c r="AZ205" s="225">
        <f>IF(OR($A205="",TRIM($N205)="",COUNTIF('Phản ánh'!$K$6:$K$505,$N205)&gt;0,COUNTIF($N$6:$N205,$N205)&gt;1),0,1)</f>
      </c>
      <c r="BA205" s="225">
        <f>IF($AZ205=1,SUM($AZ$6:$AZ205),"")</f>
      </c>
      <c r="BB205" s="225">
        <f>IF(OR($AO205=0,N($AW205)=0),0,IF(TDBC&lt;=$AW205,0,MAX(1,MIN(4,IF((TDBC-$AW205)*24&lt;24,1,IF((TDBC-$AW205)*24&lt;72,2,IF((TDBC-$AW205)*24&lt;168,3,4)))+IF($B205="Đột xuất",IFERROR(INDEX({2,1,0,-1},MATCH($L205,{"Khẩn cấp","Cao","Trung bình","Thấp"},0)),0),IF($D205="PCCC và an ninh",1,0))))))</f>
      </c>
    </row>
    <row r="206">
      <c r="A206" s="216"/>
      <c r="B206" s="216"/>
      <c r="C206" s="218"/>
      <c r="D206" s="218"/>
      <c r="E206" s="218"/>
      <c r="F206" s="216"/>
      <c r="G206" s="218"/>
      <c r="H206" s="218"/>
      <c r="I206" s="231"/>
      <c r="J206" s="217"/>
      <c r="K206" s="217"/>
      <c r="L206" s="216"/>
      <c r="M206" s="216"/>
      <c r="N206" s="218"/>
      <c r="O206" s="218"/>
      <c r="P206" s="218"/>
      <c r="Q206" s="218"/>
      <c r="R206" s="219"/>
      <c r="S206" s="216"/>
      <c r="T206" s="232"/>
      <c r="U206" s="232"/>
      <c r="V206" s="218"/>
      <c r="W206" s="218"/>
      <c r="X206" s="220">
        <f>IF($A206="","",IF(OR($B206="Định kỳ",$AA206="Hoàn thành"),MAX(_xlfn.MAXIFS('Nhật ký tiến độ'!$B$6:$B$3005,'Nhật ký tiến độ'!$C$6:$C$3005,$A206,'Nhật ký tiến độ'!$E$6:$E$3005,"Hoàn thành kỳ"),_xlfn.MAXIFS('Nhật ký tiến độ'!$B$6:$B$3005,'Nhật ký tiến độ'!$C$6:$C$3005,$A206,'Nhật ký tiến độ'!$E$6:$E$3005,"Hoàn thành")),0))</f>
      </c>
      <c r="Y206" s="220">
        <f>IF($A206="","",IF($B206="Đột xuất",IF($AY206=0,"",$AY206),IF($AX206=0,"",$AX206)))</f>
      </c>
      <c r="Z206" s="223">
        <f>IF(OR($AO206=0,$AW206=0),"",IF(TDBC&gt;$AW206,"Quá "&amp;IF($B206="Định kỳ",(NgayBC-$AP206)&amp;" ngày",IF(((TDBC-$AW206)*24)&lt;1,MAX(1,ROUND(((TDBC-$AW206)*24)*60,0))&amp;" phút",IF(ROUND(((TDBC-$AW206)*24),0)&lt;24,ROUND(((TDBC-$AW206)*24),0)&amp;" giờ",INT(ROUND(((TDBC-$AW206)*24),0)/24)&amp;" ngày"&amp;IF(MOD(ROUND(((TDBC-$AW206)*24),0),24)&gt;0," "&amp;MOD(ROUND(((TDBC-$AW206)*24),0),24)&amp;" giờ","")))),IF($B206="Định kỳ",IF($AP206=NgayBC,"Hôm nay","Còn "&amp;($AP206-NgayBC)&amp;" ngày"),"Còn "&amp;IF((($AW206-TDBC)*24)&lt;1,MAX(1,ROUND((($AW206-TDBC)*24)*60,0))&amp;" phút",IF(ROUND((($AW206-TDBC)*24),0)&lt;24,ROUND((($AW206-TDBC)*24),0)&amp;" giờ",INT(ROUND((($AW206-TDBC)*24),0)/24)&amp;" ngày"&amp;IF(MOD(ROUND((($AW206-TDBC)*24),0),24)&gt;0," "&amp;MOD(ROUND((($AW206-TDBC)*24),0),24)&amp;" giờ",""))))))</f>
      </c>
      <c r="AA206" s="221">
        <f>IF($A206="","",IF(N($AM206)=0,"Chưa bắt đầu",IF(OR($AN206="Hoàn thành kỳ",$AN206="Hoàn thành"),IF($B206="Định kỳ","Chưa bắt đầu","Hoàn thành"),$AN206)))</f>
      </c>
      <c r="AB206" s="222">
        <f>IF($A206="","",IF($AA206="Hoàn thành",1,IF(OR(N($AM206)=0,$AN206="Hoàn thành kỳ",$AN206="Hoàn thành"),0,N(INDEX('Nhật ký tiến độ'!$D:$D,$AM206)))))</f>
      </c>
      <c r="AC206" s="222">
        <f>IF(OR($A206="",$B206&lt;&gt;"Đột xuất",$AA206="Hoàn thành",N($J206)=0,$AW206=0),"",IF(TDBC&lt;=$J206,0,IF(TDBC&gt;=$AW206,1,(TDBC-$J206)/($AW206-$J206))))</f>
      </c>
      <c r="AD206" s="223">
        <f>IF($A206="","",IF($AA206="Hoàn thành","Hoàn thành",IF($AW206=0,"Chưa đặt hạn",IF(TDBC&gt;$AW206,"Quá hạn",IF(AND($B206="Đột xuất",ROUND((N($AC206)-$AB206)*100,0)&gt;=20),"Chậm tiến độ",IF($AP206=NgayBC,"Đến hạn hôm nay",IF($B206="Đột xuất",IF($AW206-TDBC&lt;=1,"Sắp đến hạn","Đúng tiến độ"),IF($AP206-NgayBC&lt;=3,"Sắp đến hạn","Theo lịch"))))))))</f>
      </c>
      <c r="AE206" s="223">
        <f>IF($AV206="","",IF($B206="Định kỳ","Bình quân "&amp;IF($AV206&lt;1,MAX(1,ROUND($AV206*60,0))&amp;" phút",IF(ROUND($AV206,0)&lt;24,ROUND($AV206,0)&amp;" giờ",INT(ROUND($AV206,0)/24)&amp;" ngày"&amp;IF(MOD(ROUND($AV206,0),24)&gt;0," "&amp;MOD(ROUND($AV206,0),24)&amp;" giờ","")))&amp;" mỗi kỳ",IF($AV206&lt;1,MAX(1,ROUND($AV206*60,0))&amp;" phút",IF(ROUND($AV206,0)&lt;24,ROUND($AV206,0)&amp;" giờ",INT(ROUND($AV206,0)/24)&amp;" ngày"&amp;IF(MOD(ROUND($AV206,0),24)&gt;0," "&amp;MOD(ROUND($AV206,0),24)&amp;" giờ","")))))</f>
      </c>
      <c r="AF206" s="223">
        <f>IF(OR($A206="",N($AU206)=0),"",IF($AV206&lt;&gt;"",IF($AV206&lt;=$AU206,"Trong ước tính","Vượt "&amp;IF(($AV206-$AU206)&lt;1,MAX(1,ROUND(($AV206-$AU206)*60,0))&amp;" phút",IF(ROUND(($AV206-$AU206),0)&lt;24,ROUND(($AV206-$AU206),0)&amp;" giờ",INT(ROUND(($AV206-$AU206),0)/24)&amp;" ngày"&amp;IF(MOD(ROUND(($AV206-$AU206),0),24)&gt;0," "&amp;MOD(ROUND(($AV206-$AU206),0),24)&amp;" giờ","")))),IF(OR($B206&lt;&gt;"Đột xuất",$AA206="Hoàn thành",N($J206)=0),"",IF((TDBC-$J206)*24&gt;$AU206,"Đã vượt ước tính","Đã dùng "&amp;TEXT((TDBC-$J206)*24/$AU206,"0%")))))</f>
      </c>
      <c r="AG206" s="223">
        <f>IF(N($BB206)=0,"",CHOOSE($BB206,"Nhắc nhở","Cảnh báo","Báo động","Báo động đỏ"))</f>
      </c>
      <c r="AH206" s="223">
        <f>IF(OR($B206&lt;&gt;"Đột xuất",$AA206&lt;&gt;"Hoàn thành",N($X206)=0,$AW206=0),"",IF($X206&lt;=$AW206,"Đúng hạn","Trễ hạn"))</f>
      </c>
      <c r="AI206" s="220">
        <f>IF($A206="","",_xlfn.MAXIFS('Nhật ký tiến độ'!$B$6:$B$3005,'Nhật ký tiến độ'!$C$6:$C$3005,$A206))</f>
      </c>
      <c r="AJ206" s="225">
        <f>IF(OR($A206="",$B206&lt;&gt;"Định kỳ"),0,IFERROR(INDEX(DM_TanSuatNgay,MATCH($H206,DM_TanSuat,0)),0))</f>
      </c>
      <c r="AK206" s="225">
        <f>IF(OR($A206="",$B206&lt;&gt;"Định kỳ"),0,IFERROR(INDEX(DM_TanSuatThang,MATCH($H206,DM_TanSuat,0)),0))</f>
      </c>
      <c r="AL206" s="225">
        <f>IF(OR($A206="",$B206&lt;&gt;"Định kỳ",N($X206)=0,N($I206)=0),"",IF(INT($X206)&lt;$I206,0,IF($AJ206&gt;0,ROUND((INT($X206)-$I206)/$AJ206,0),IF($AK206&gt;0,ROUND((DATEDIF($I206,INT($X206),"m")+(INT($X206)-EDATE($I206,DATEDIF($I206,INT($X206),"m")))/(EDATE($I206,DATEDIF($I206,INT($X206),"m")+1)-EDATE($I206,DATEDIF($I206,INT($X206),"m"))))/$AK206,0),0))))</f>
      </c>
      <c r="AM206" s="225">
        <f>IF($A206="","",IF(COUNTIF('Nhật ký tiến độ'!$C$6:$C$3005,$A206)=0,0,_xlfn.MAXIFS('Nhật ký tiến độ'!$N$6:$N$3005,'Nhật ký tiến độ'!$C$6:$C$3005,$A206,'Nhật ký tiến độ'!$B$6:$B$3005,_xlfn.MAXIFS('Nhật ký tiến độ'!$B$6:$B$3005,'Nhật ký tiến độ'!$C$6:$C$3005,$A206))))</f>
      </c>
      <c r="AN206" s="225">
        <f>IF($A206="","",IF(N($AM206)=0,"",INDEX('Nhật ký tiến độ'!$E:$E,$AM206)))</f>
      </c>
      <c r="AO206" s="225">
        <f>IF($A206="",0,IF($AA206="Hoàn thành",0,1))</f>
      </c>
      <c r="AP206" s="225">
        <f>IF($AO206=0,0,INT(N($AW206)))</f>
      </c>
      <c r="AQ206" s="225">
        <f>IF(AND($AO206=1,$AJ206&gt;1),$AJ206,0)</f>
      </c>
      <c r="AR206" s="225">
        <f>IF(AND($AO206=1,$AJ206=1),1,0)</f>
      </c>
      <c r="AS206" s="225">
        <f>IF(OR($AO206=0,AND($AR206=1,N($BB206)=0)),"",IF(N($BB206)&gt;0,5-$BB206,IF($AD206="Chậm tiến độ",6,IF($AD206="Đến hạn hôm nay",7,IF(AND($AP206&gt;0,$AP206-NgayBC&lt;=7),8,"")))))</f>
      </c>
      <c r="AT206" s="225">
        <f>IF($AS206="","",$AS206*100000+$AP206+ROW()/100000)</f>
      </c>
      <c r="AU206" s="224">
        <f>IF(OR($A206="",N($R206)&lt;=0),"",IF($S206="Ngày",$R206*24,$R206))</f>
      </c>
      <c r="AV206" s="224">
        <f>IF($A206="","",IF($B206="Đột xuất",IF(OR($AA206&lt;&gt;"Hoàn thành",N($X206)=0,N($J206)=0),"",IF($X206&lt;$J206,"",($X206-$J206)*24)),IFERROR(AVERAGEIFS('Nhật ký tiến độ'!$H$6:$H$3005,'Nhật ký tiến độ'!$C$6:$C$3005,$A206,'Nhật ký tiến độ'!$H$6:$H$3005,"&gt;0"),"")))</f>
      </c>
      <c r="AW206" s="233">
        <f>IF($A206="",0,IF($B206="Đột xuất",$AY206,IF($AX206=0,0,$AX206+1-1/1440)))</f>
      </c>
      <c r="AX206" s="234">
        <f>IF(OR($A206="",$B206&lt;&gt;"Định kỳ",N($I206)=0),0,IF($AL206="",$I206,IF($AJ206&gt;0,$I206+($AL206+1)*$AJ206,IF($AK206&gt;0,EDATE($I206,($AL206+1)*$AK206),$I206))))</f>
      </c>
      <c r="AY206" s="233">
        <f>IF(OR($A206="",$B206&lt;&gt;"Đột xuất"),0,IF(N($K206)&gt;0,IF(MOD($K206,1)=0,$K206+1-1/1440,$K206),IF(N($J206)=0,0,$J206+IF(N($AU206)&gt;0,$AU206,IFERROR(INDEX(DM_SLA_Gio,MATCH($L206,DM_SLA_Cap,0)),168))/24)))</f>
      </c>
      <c r="AZ206" s="225">
        <f>IF(OR($A206="",TRIM($N206)="",COUNTIF('Phản ánh'!$K$6:$K$505,$N206)&gt;0,COUNTIF($N$6:$N206,$N206)&gt;1),0,1)</f>
      </c>
      <c r="BA206" s="225">
        <f>IF($AZ206=1,SUM($AZ$6:$AZ206),"")</f>
      </c>
      <c r="BB206" s="225">
        <f>IF(OR($AO206=0,N($AW206)=0),0,IF(TDBC&lt;=$AW206,0,MAX(1,MIN(4,IF((TDBC-$AW206)*24&lt;24,1,IF((TDBC-$AW206)*24&lt;72,2,IF((TDBC-$AW206)*24&lt;168,3,4)))+IF($B206="Đột xuất",IFERROR(INDEX({2,1,0,-1},MATCH($L206,{"Khẩn cấp","Cao","Trung bình","Thấp"},0)),0),IF($D206="PCCC và an ninh",1,0))))))</f>
      </c>
    </row>
    <row r="207">
      <c r="A207" s="216"/>
      <c r="B207" s="216"/>
      <c r="C207" s="218"/>
      <c r="D207" s="218"/>
      <c r="E207" s="218"/>
      <c r="F207" s="216"/>
      <c r="G207" s="218"/>
      <c r="H207" s="218"/>
      <c r="I207" s="231"/>
      <c r="J207" s="217"/>
      <c r="K207" s="217"/>
      <c r="L207" s="216"/>
      <c r="M207" s="216"/>
      <c r="N207" s="218"/>
      <c r="O207" s="218"/>
      <c r="P207" s="218"/>
      <c r="Q207" s="218"/>
      <c r="R207" s="219"/>
      <c r="S207" s="216"/>
      <c r="T207" s="232"/>
      <c r="U207" s="232"/>
      <c r="V207" s="218"/>
      <c r="W207" s="218"/>
      <c r="X207" s="220">
        <f>IF($A207="","",IF(OR($B207="Định kỳ",$AA207="Hoàn thành"),MAX(_xlfn.MAXIFS('Nhật ký tiến độ'!$B$6:$B$3005,'Nhật ký tiến độ'!$C$6:$C$3005,$A207,'Nhật ký tiến độ'!$E$6:$E$3005,"Hoàn thành kỳ"),_xlfn.MAXIFS('Nhật ký tiến độ'!$B$6:$B$3005,'Nhật ký tiến độ'!$C$6:$C$3005,$A207,'Nhật ký tiến độ'!$E$6:$E$3005,"Hoàn thành")),0))</f>
      </c>
      <c r="Y207" s="220">
        <f>IF($A207="","",IF($B207="Đột xuất",IF($AY207=0,"",$AY207),IF($AX207=0,"",$AX207)))</f>
      </c>
      <c r="Z207" s="223">
        <f>IF(OR($AO207=0,$AW207=0),"",IF(TDBC&gt;$AW207,"Quá "&amp;IF($B207="Định kỳ",(NgayBC-$AP207)&amp;" ngày",IF(((TDBC-$AW207)*24)&lt;1,MAX(1,ROUND(((TDBC-$AW207)*24)*60,0))&amp;" phút",IF(ROUND(((TDBC-$AW207)*24),0)&lt;24,ROUND(((TDBC-$AW207)*24),0)&amp;" giờ",INT(ROUND(((TDBC-$AW207)*24),0)/24)&amp;" ngày"&amp;IF(MOD(ROUND(((TDBC-$AW207)*24),0),24)&gt;0," "&amp;MOD(ROUND(((TDBC-$AW207)*24),0),24)&amp;" giờ","")))),IF($B207="Định kỳ",IF($AP207=NgayBC,"Hôm nay","Còn "&amp;($AP207-NgayBC)&amp;" ngày"),"Còn "&amp;IF((($AW207-TDBC)*24)&lt;1,MAX(1,ROUND((($AW207-TDBC)*24)*60,0))&amp;" phút",IF(ROUND((($AW207-TDBC)*24),0)&lt;24,ROUND((($AW207-TDBC)*24),0)&amp;" giờ",INT(ROUND((($AW207-TDBC)*24),0)/24)&amp;" ngày"&amp;IF(MOD(ROUND((($AW207-TDBC)*24),0),24)&gt;0," "&amp;MOD(ROUND((($AW207-TDBC)*24),0),24)&amp;" giờ",""))))))</f>
      </c>
      <c r="AA207" s="221">
        <f>IF($A207="","",IF(N($AM207)=0,"Chưa bắt đầu",IF(OR($AN207="Hoàn thành kỳ",$AN207="Hoàn thành"),IF($B207="Định kỳ","Chưa bắt đầu","Hoàn thành"),$AN207)))</f>
      </c>
      <c r="AB207" s="222">
        <f>IF($A207="","",IF($AA207="Hoàn thành",1,IF(OR(N($AM207)=0,$AN207="Hoàn thành kỳ",$AN207="Hoàn thành"),0,N(INDEX('Nhật ký tiến độ'!$D:$D,$AM207)))))</f>
      </c>
      <c r="AC207" s="222">
        <f>IF(OR($A207="",$B207&lt;&gt;"Đột xuất",$AA207="Hoàn thành",N($J207)=0,$AW207=0),"",IF(TDBC&lt;=$J207,0,IF(TDBC&gt;=$AW207,1,(TDBC-$J207)/($AW207-$J207))))</f>
      </c>
      <c r="AD207" s="223">
        <f>IF($A207="","",IF($AA207="Hoàn thành","Hoàn thành",IF($AW207=0,"Chưa đặt hạn",IF(TDBC&gt;$AW207,"Quá hạn",IF(AND($B207="Đột xuất",ROUND((N($AC207)-$AB207)*100,0)&gt;=20),"Chậm tiến độ",IF($AP207=NgayBC,"Đến hạn hôm nay",IF($B207="Đột xuất",IF($AW207-TDBC&lt;=1,"Sắp đến hạn","Đúng tiến độ"),IF($AP207-NgayBC&lt;=3,"Sắp đến hạn","Theo lịch"))))))))</f>
      </c>
      <c r="AE207" s="223">
        <f>IF($AV207="","",IF($B207="Định kỳ","Bình quân "&amp;IF($AV207&lt;1,MAX(1,ROUND($AV207*60,0))&amp;" phút",IF(ROUND($AV207,0)&lt;24,ROUND($AV207,0)&amp;" giờ",INT(ROUND($AV207,0)/24)&amp;" ngày"&amp;IF(MOD(ROUND($AV207,0),24)&gt;0," "&amp;MOD(ROUND($AV207,0),24)&amp;" giờ","")))&amp;" mỗi kỳ",IF($AV207&lt;1,MAX(1,ROUND($AV207*60,0))&amp;" phút",IF(ROUND($AV207,0)&lt;24,ROUND($AV207,0)&amp;" giờ",INT(ROUND($AV207,0)/24)&amp;" ngày"&amp;IF(MOD(ROUND($AV207,0),24)&gt;0," "&amp;MOD(ROUND($AV207,0),24)&amp;" giờ","")))))</f>
      </c>
      <c r="AF207" s="223">
        <f>IF(OR($A207="",N($AU207)=0),"",IF($AV207&lt;&gt;"",IF($AV207&lt;=$AU207,"Trong ước tính","Vượt "&amp;IF(($AV207-$AU207)&lt;1,MAX(1,ROUND(($AV207-$AU207)*60,0))&amp;" phút",IF(ROUND(($AV207-$AU207),0)&lt;24,ROUND(($AV207-$AU207),0)&amp;" giờ",INT(ROUND(($AV207-$AU207),0)/24)&amp;" ngày"&amp;IF(MOD(ROUND(($AV207-$AU207),0),24)&gt;0," "&amp;MOD(ROUND(($AV207-$AU207),0),24)&amp;" giờ","")))),IF(OR($B207&lt;&gt;"Đột xuất",$AA207="Hoàn thành",N($J207)=0),"",IF((TDBC-$J207)*24&gt;$AU207,"Đã vượt ước tính","Đã dùng "&amp;TEXT((TDBC-$J207)*24/$AU207,"0%")))))</f>
      </c>
      <c r="AG207" s="223">
        <f>IF(N($BB207)=0,"",CHOOSE($BB207,"Nhắc nhở","Cảnh báo","Báo động","Báo động đỏ"))</f>
      </c>
      <c r="AH207" s="223">
        <f>IF(OR($B207&lt;&gt;"Đột xuất",$AA207&lt;&gt;"Hoàn thành",N($X207)=0,$AW207=0),"",IF($X207&lt;=$AW207,"Đúng hạn","Trễ hạn"))</f>
      </c>
      <c r="AI207" s="220">
        <f>IF($A207="","",_xlfn.MAXIFS('Nhật ký tiến độ'!$B$6:$B$3005,'Nhật ký tiến độ'!$C$6:$C$3005,$A207))</f>
      </c>
      <c r="AJ207" s="225">
        <f>IF(OR($A207="",$B207&lt;&gt;"Định kỳ"),0,IFERROR(INDEX(DM_TanSuatNgay,MATCH($H207,DM_TanSuat,0)),0))</f>
      </c>
      <c r="AK207" s="225">
        <f>IF(OR($A207="",$B207&lt;&gt;"Định kỳ"),0,IFERROR(INDEX(DM_TanSuatThang,MATCH($H207,DM_TanSuat,0)),0))</f>
      </c>
      <c r="AL207" s="225">
        <f>IF(OR($A207="",$B207&lt;&gt;"Định kỳ",N($X207)=0,N($I207)=0),"",IF(INT($X207)&lt;$I207,0,IF($AJ207&gt;0,ROUND((INT($X207)-$I207)/$AJ207,0),IF($AK207&gt;0,ROUND((DATEDIF($I207,INT($X207),"m")+(INT($X207)-EDATE($I207,DATEDIF($I207,INT($X207),"m")))/(EDATE($I207,DATEDIF($I207,INT($X207),"m")+1)-EDATE($I207,DATEDIF($I207,INT($X207),"m"))))/$AK207,0),0))))</f>
      </c>
      <c r="AM207" s="225">
        <f>IF($A207="","",IF(COUNTIF('Nhật ký tiến độ'!$C$6:$C$3005,$A207)=0,0,_xlfn.MAXIFS('Nhật ký tiến độ'!$N$6:$N$3005,'Nhật ký tiến độ'!$C$6:$C$3005,$A207,'Nhật ký tiến độ'!$B$6:$B$3005,_xlfn.MAXIFS('Nhật ký tiến độ'!$B$6:$B$3005,'Nhật ký tiến độ'!$C$6:$C$3005,$A207))))</f>
      </c>
      <c r="AN207" s="225">
        <f>IF($A207="","",IF(N($AM207)=0,"",INDEX('Nhật ký tiến độ'!$E:$E,$AM207)))</f>
      </c>
      <c r="AO207" s="225">
        <f>IF($A207="",0,IF($AA207="Hoàn thành",0,1))</f>
      </c>
      <c r="AP207" s="225">
        <f>IF($AO207=0,0,INT(N($AW207)))</f>
      </c>
      <c r="AQ207" s="225">
        <f>IF(AND($AO207=1,$AJ207&gt;1),$AJ207,0)</f>
      </c>
      <c r="AR207" s="225">
        <f>IF(AND($AO207=1,$AJ207=1),1,0)</f>
      </c>
      <c r="AS207" s="225">
        <f>IF(OR($AO207=0,AND($AR207=1,N($BB207)=0)),"",IF(N($BB207)&gt;0,5-$BB207,IF($AD207="Chậm tiến độ",6,IF($AD207="Đến hạn hôm nay",7,IF(AND($AP207&gt;0,$AP207-NgayBC&lt;=7),8,"")))))</f>
      </c>
      <c r="AT207" s="225">
        <f>IF($AS207="","",$AS207*100000+$AP207+ROW()/100000)</f>
      </c>
      <c r="AU207" s="224">
        <f>IF(OR($A207="",N($R207)&lt;=0),"",IF($S207="Ngày",$R207*24,$R207))</f>
      </c>
      <c r="AV207" s="224">
        <f>IF($A207="","",IF($B207="Đột xuất",IF(OR($AA207&lt;&gt;"Hoàn thành",N($X207)=0,N($J207)=0),"",IF($X207&lt;$J207,"",($X207-$J207)*24)),IFERROR(AVERAGEIFS('Nhật ký tiến độ'!$H$6:$H$3005,'Nhật ký tiến độ'!$C$6:$C$3005,$A207,'Nhật ký tiến độ'!$H$6:$H$3005,"&gt;0"),"")))</f>
      </c>
      <c r="AW207" s="233">
        <f>IF($A207="",0,IF($B207="Đột xuất",$AY207,IF($AX207=0,0,$AX207+1-1/1440)))</f>
      </c>
      <c r="AX207" s="234">
        <f>IF(OR($A207="",$B207&lt;&gt;"Định kỳ",N($I207)=0),0,IF($AL207="",$I207,IF($AJ207&gt;0,$I207+($AL207+1)*$AJ207,IF($AK207&gt;0,EDATE($I207,($AL207+1)*$AK207),$I207))))</f>
      </c>
      <c r="AY207" s="233">
        <f>IF(OR($A207="",$B207&lt;&gt;"Đột xuất"),0,IF(N($K207)&gt;0,IF(MOD($K207,1)=0,$K207+1-1/1440,$K207),IF(N($J207)=0,0,$J207+IF(N($AU207)&gt;0,$AU207,IFERROR(INDEX(DM_SLA_Gio,MATCH($L207,DM_SLA_Cap,0)),168))/24)))</f>
      </c>
      <c r="AZ207" s="225">
        <f>IF(OR($A207="",TRIM($N207)="",COUNTIF('Phản ánh'!$K$6:$K$505,$N207)&gt;0,COUNTIF($N$6:$N207,$N207)&gt;1),0,1)</f>
      </c>
      <c r="BA207" s="225">
        <f>IF($AZ207=1,SUM($AZ$6:$AZ207),"")</f>
      </c>
      <c r="BB207" s="225">
        <f>IF(OR($AO207=0,N($AW207)=0),0,IF(TDBC&lt;=$AW207,0,MAX(1,MIN(4,IF((TDBC-$AW207)*24&lt;24,1,IF((TDBC-$AW207)*24&lt;72,2,IF((TDBC-$AW207)*24&lt;168,3,4)))+IF($B207="Đột xuất",IFERROR(INDEX({2,1,0,-1},MATCH($L207,{"Khẩn cấp","Cao","Trung bình","Thấp"},0)),0),IF($D207="PCCC và an ninh",1,0))))))</f>
      </c>
    </row>
    <row r="208">
      <c r="A208" s="216"/>
      <c r="B208" s="216"/>
      <c r="C208" s="218"/>
      <c r="D208" s="218"/>
      <c r="E208" s="218"/>
      <c r="F208" s="216"/>
      <c r="G208" s="218"/>
      <c r="H208" s="218"/>
      <c r="I208" s="231"/>
      <c r="J208" s="217"/>
      <c r="K208" s="217"/>
      <c r="L208" s="216"/>
      <c r="M208" s="216"/>
      <c r="N208" s="218"/>
      <c r="O208" s="218"/>
      <c r="P208" s="218"/>
      <c r="Q208" s="218"/>
      <c r="R208" s="219"/>
      <c r="S208" s="216"/>
      <c r="T208" s="232"/>
      <c r="U208" s="232"/>
      <c r="V208" s="218"/>
      <c r="W208" s="218"/>
      <c r="X208" s="220">
        <f>IF($A208="","",IF(OR($B208="Định kỳ",$AA208="Hoàn thành"),MAX(_xlfn.MAXIFS('Nhật ký tiến độ'!$B$6:$B$3005,'Nhật ký tiến độ'!$C$6:$C$3005,$A208,'Nhật ký tiến độ'!$E$6:$E$3005,"Hoàn thành kỳ"),_xlfn.MAXIFS('Nhật ký tiến độ'!$B$6:$B$3005,'Nhật ký tiến độ'!$C$6:$C$3005,$A208,'Nhật ký tiến độ'!$E$6:$E$3005,"Hoàn thành")),0))</f>
      </c>
      <c r="Y208" s="220">
        <f>IF($A208="","",IF($B208="Đột xuất",IF($AY208=0,"",$AY208),IF($AX208=0,"",$AX208)))</f>
      </c>
      <c r="Z208" s="223">
        <f>IF(OR($AO208=0,$AW208=0),"",IF(TDBC&gt;$AW208,"Quá "&amp;IF($B208="Định kỳ",(NgayBC-$AP208)&amp;" ngày",IF(((TDBC-$AW208)*24)&lt;1,MAX(1,ROUND(((TDBC-$AW208)*24)*60,0))&amp;" phút",IF(ROUND(((TDBC-$AW208)*24),0)&lt;24,ROUND(((TDBC-$AW208)*24),0)&amp;" giờ",INT(ROUND(((TDBC-$AW208)*24),0)/24)&amp;" ngày"&amp;IF(MOD(ROUND(((TDBC-$AW208)*24),0),24)&gt;0," "&amp;MOD(ROUND(((TDBC-$AW208)*24),0),24)&amp;" giờ","")))),IF($B208="Định kỳ",IF($AP208=NgayBC,"Hôm nay","Còn "&amp;($AP208-NgayBC)&amp;" ngày"),"Còn "&amp;IF((($AW208-TDBC)*24)&lt;1,MAX(1,ROUND((($AW208-TDBC)*24)*60,0))&amp;" phút",IF(ROUND((($AW208-TDBC)*24),0)&lt;24,ROUND((($AW208-TDBC)*24),0)&amp;" giờ",INT(ROUND((($AW208-TDBC)*24),0)/24)&amp;" ngày"&amp;IF(MOD(ROUND((($AW208-TDBC)*24),0),24)&gt;0," "&amp;MOD(ROUND((($AW208-TDBC)*24),0),24)&amp;" giờ",""))))))</f>
      </c>
      <c r="AA208" s="221">
        <f>IF($A208="","",IF(N($AM208)=0,"Chưa bắt đầu",IF(OR($AN208="Hoàn thành kỳ",$AN208="Hoàn thành"),IF($B208="Định kỳ","Chưa bắt đầu","Hoàn thành"),$AN208)))</f>
      </c>
      <c r="AB208" s="222">
        <f>IF($A208="","",IF($AA208="Hoàn thành",1,IF(OR(N($AM208)=0,$AN208="Hoàn thành kỳ",$AN208="Hoàn thành"),0,N(INDEX('Nhật ký tiến độ'!$D:$D,$AM208)))))</f>
      </c>
      <c r="AC208" s="222">
        <f>IF(OR($A208="",$B208&lt;&gt;"Đột xuất",$AA208="Hoàn thành",N($J208)=0,$AW208=0),"",IF(TDBC&lt;=$J208,0,IF(TDBC&gt;=$AW208,1,(TDBC-$J208)/($AW208-$J208))))</f>
      </c>
      <c r="AD208" s="223">
        <f>IF($A208="","",IF($AA208="Hoàn thành","Hoàn thành",IF($AW208=0,"Chưa đặt hạn",IF(TDBC&gt;$AW208,"Quá hạn",IF(AND($B208="Đột xuất",ROUND((N($AC208)-$AB208)*100,0)&gt;=20),"Chậm tiến độ",IF($AP208=NgayBC,"Đến hạn hôm nay",IF($B208="Đột xuất",IF($AW208-TDBC&lt;=1,"Sắp đến hạn","Đúng tiến độ"),IF($AP208-NgayBC&lt;=3,"Sắp đến hạn","Theo lịch"))))))))</f>
      </c>
      <c r="AE208" s="223">
        <f>IF($AV208="","",IF($B208="Định kỳ","Bình quân "&amp;IF($AV208&lt;1,MAX(1,ROUND($AV208*60,0))&amp;" phút",IF(ROUND($AV208,0)&lt;24,ROUND($AV208,0)&amp;" giờ",INT(ROUND($AV208,0)/24)&amp;" ngày"&amp;IF(MOD(ROUND($AV208,0),24)&gt;0," "&amp;MOD(ROUND($AV208,0),24)&amp;" giờ","")))&amp;" mỗi kỳ",IF($AV208&lt;1,MAX(1,ROUND($AV208*60,0))&amp;" phút",IF(ROUND($AV208,0)&lt;24,ROUND($AV208,0)&amp;" giờ",INT(ROUND($AV208,0)/24)&amp;" ngày"&amp;IF(MOD(ROUND($AV208,0),24)&gt;0," "&amp;MOD(ROUND($AV208,0),24)&amp;" giờ","")))))</f>
      </c>
      <c r="AF208" s="223">
        <f>IF(OR($A208="",N($AU208)=0),"",IF($AV208&lt;&gt;"",IF($AV208&lt;=$AU208,"Trong ước tính","Vượt "&amp;IF(($AV208-$AU208)&lt;1,MAX(1,ROUND(($AV208-$AU208)*60,0))&amp;" phút",IF(ROUND(($AV208-$AU208),0)&lt;24,ROUND(($AV208-$AU208),0)&amp;" giờ",INT(ROUND(($AV208-$AU208),0)/24)&amp;" ngày"&amp;IF(MOD(ROUND(($AV208-$AU208),0),24)&gt;0," "&amp;MOD(ROUND(($AV208-$AU208),0),24)&amp;" giờ","")))),IF(OR($B208&lt;&gt;"Đột xuất",$AA208="Hoàn thành",N($J208)=0),"",IF((TDBC-$J208)*24&gt;$AU208,"Đã vượt ước tính","Đã dùng "&amp;TEXT((TDBC-$J208)*24/$AU208,"0%")))))</f>
      </c>
      <c r="AG208" s="223">
        <f>IF(N($BB208)=0,"",CHOOSE($BB208,"Nhắc nhở","Cảnh báo","Báo động","Báo động đỏ"))</f>
      </c>
      <c r="AH208" s="223">
        <f>IF(OR($B208&lt;&gt;"Đột xuất",$AA208&lt;&gt;"Hoàn thành",N($X208)=0,$AW208=0),"",IF($X208&lt;=$AW208,"Đúng hạn","Trễ hạn"))</f>
      </c>
      <c r="AI208" s="220">
        <f>IF($A208="","",_xlfn.MAXIFS('Nhật ký tiến độ'!$B$6:$B$3005,'Nhật ký tiến độ'!$C$6:$C$3005,$A208))</f>
      </c>
      <c r="AJ208" s="225">
        <f>IF(OR($A208="",$B208&lt;&gt;"Định kỳ"),0,IFERROR(INDEX(DM_TanSuatNgay,MATCH($H208,DM_TanSuat,0)),0))</f>
      </c>
      <c r="AK208" s="225">
        <f>IF(OR($A208="",$B208&lt;&gt;"Định kỳ"),0,IFERROR(INDEX(DM_TanSuatThang,MATCH($H208,DM_TanSuat,0)),0))</f>
      </c>
      <c r="AL208" s="225">
        <f>IF(OR($A208="",$B208&lt;&gt;"Định kỳ",N($X208)=0,N($I208)=0),"",IF(INT($X208)&lt;$I208,0,IF($AJ208&gt;0,ROUND((INT($X208)-$I208)/$AJ208,0),IF($AK208&gt;0,ROUND((DATEDIF($I208,INT($X208),"m")+(INT($X208)-EDATE($I208,DATEDIF($I208,INT($X208),"m")))/(EDATE($I208,DATEDIF($I208,INT($X208),"m")+1)-EDATE($I208,DATEDIF($I208,INT($X208),"m"))))/$AK208,0),0))))</f>
      </c>
      <c r="AM208" s="225">
        <f>IF($A208="","",IF(COUNTIF('Nhật ký tiến độ'!$C$6:$C$3005,$A208)=0,0,_xlfn.MAXIFS('Nhật ký tiến độ'!$N$6:$N$3005,'Nhật ký tiến độ'!$C$6:$C$3005,$A208,'Nhật ký tiến độ'!$B$6:$B$3005,_xlfn.MAXIFS('Nhật ký tiến độ'!$B$6:$B$3005,'Nhật ký tiến độ'!$C$6:$C$3005,$A208))))</f>
      </c>
      <c r="AN208" s="225">
        <f>IF($A208="","",IF(N($AM208)=0,"",INDEX('Nhật ký tiến độ'!$E:$E,$AM208)))</f>
      </c>
      <c r="AO208" s="225">
        <f>IF($A208="",0,IF($AA208="Hoàn thành",0,1))</f>
      </c>
      <c r="AP208" s="225">
        <f>IF($AO208=0,0,INT(N($AW208)))</f>
      </c>
      <c r="AQ208" s="225">
        <f>IF(AND($AO208=1,$AJ208&gt;1),$AJ208,0)</f>
      </c>
      <c r="AR208" s="225">
        <f>IF(AND($AO208=1,$AJ208=1),1,0)</f>
      </c>
      <c r="AS208" s="225">
        <f>IF(OR($AO208=0,AND($AR208=1,N($BB208)=0)),"",IF(N($BB208)&gt;0,5-$BB208,IF($AD208="Chậm tiến độ",6,IF($AD208="Đến hạn hôm nay",7,IF(AND($AP208&gt;0,$AP208-NgayBC&lt;=7),8,"")))))</f>
      </c>
      <c r="AT208" s="225">
        <f>IF($AS208="","",$AS208*100000+$AP208+ROW()/100000)</f>
      </c>
      <c r="AU208" s="224">
        <f>IF(OR($A208="",N($R208)&lt;=0),"",IF($S208="Ngày",$R208*24,$R208))</f>
      </c>
      <c r="AV208" s="224">
        <f>IF($A208="","",IF($B208="Đột xuất",IF(OR($AA208&lt;&gt;"Hoàn thành",N($X208)=0,N($J208)=0),"",IF($X208&lt;$J208,"",($X208-$J208)*24)),IFERROR(AVERAGEIFS('Nhật ký tiến độ'!$H$6:$H$3005,'Nhật ký tiến độ'!$C$6:$C$3005,$A208,'Nhật ký tiến độ'!$H$6:$H$3005,"&gt;0"),"")))</f>
      </c>
      <c r="AW208" s="233">
        <f>IF($A208="",0,IF($B208="Đột xuất",$AY208,IF($AX208=0,0,$AX208+1-1/1440)))</f>
      </c>
      <c r="AX208" s="234">
        <f>IF(OR($A208="",$B208&lt;&gt;"Định kỳ",N($I208)=0),0,IF($AL208="",$I208,IF($AJ208&gt;0,$I208+($AL208+1)*$AJ208,IF($AK208&gt;0,EDATE($I208,($AL208+1)*$AK208),$I208))))</f>
      </c>
      <c r="AY208" s="233">
        <f>IF(OR($A208="",$B208&lt;&gt;"Đột xuất"),0,IF(N($K208)&gt;0,IF(MOD($K208,1)=0,$K208+1-1/1440,$K208),IF(N($J208)=0,0,$J208+IF(N($AU208)&gt;0,$AU208,IFERROR(INDEX(DM_SLA_Gio,MATCH($L208,DM_SLA_Cap,0)),168))/24)))</f>
      </c>
      <c r="AZ208" s="225">
        <f>IF(OR($A208="",TRIM($N208)="",COUNTIF('Phản ánh'!$K$6:$K$505,$N208)&gt;0,COUNTIF($N$6:$N208,$N208)&gt;1),0,1)</f>
      </c>
      <c r="BA208" s="225">
        <f>IF($AZ208=1,SUM($AZ$6:$AZ208),"")</f>
      </c>
      <c r="BB208" s="225">
        <f>IF(OR($AO208=0,N($AW208)=0),0,IF(TDBC&lt;=$AW208,0,MAX(1,MIN(4,IF((TDBC-$AW208)*24&lt;24,1,IF((TDBC-$AW208)*24&lt;72,2,IF((TDBC-$AW208)*24&lt;168,3,4)))+IF($B208="Đột xuất",IFERROR(INDEX({2,1,0,-1},MATCH($L208,{"Khẩn cấp","Cao","Trung bình","Thấp"},0)),0),IF($D208="PCCC và an ninh",1,0))))))</f>
      </c>
    </row>
    <row r="209">
      <c r="A209" s="216"/>
      <c r="B209" s="216"/>
      <c r="C209" s="218"/>
      <c r="D209" s="218"/>
      <c r="E209" s="218"/>
      <c r="F209" s="216"/>
      <c r="G209" s="218"/>
      <c r="H209" s="218"/>
      <c r="I209" s="231"/>
      <c r="J209" s="217"/>
      <c r="K209" s="217"/>
      <c r="L209" s="216"/>
      <c r="M209" s="216"/>
      <c r="N209" s="218"/>
      <c r="O209" s="218"/>
      <c r="P209" s="218"/>
      <c r="Q209" s="218"/>
      <c r="R209" s="219"/>
      <c r="S209" s="216"/>
      <c r="T209" s="232"/>
      <c r="U209" s="232"/>
      <c r="V209" s="218"/>
      <c r="W209" s="218"/>
      <c r="X209" s="220">
        <f>IF($A209="","",IF(OR($B209="Định kỳ",$AA209="Hoàn thành"),MAX(_xlfn.MAXIFS('Nhật ký tiến độ'!$B$6:$B$3005,'Nhật ký tiến độ'!$C$6:$C$3005,$A209,'Nhật ký tiến độ'!$E$6:$E$3005,"Hoàn thành kỳ"),_xlfn.MAXIFS('Nhật ký tiến độ'!$B$6:$B$3005,'Nhật ký tiến độ'!$C$6:$C$3005,$A209,'Nhật ký tiến độ'!$E$6:$E$3005,"Hoàn thành")),0))</f>
      </c>
      <c r="Y209" s="220">
        <f>IF($A209="","",IF($B209="Đột xuất",IF($AY209=0,"",$AY209),IF($AX209=0,"",$AX209)))</f>
      </c>
      <c r="Z209" s="223">
        <f>IF(OR($AO209=0,$AW209=0),"",IF(TDBC&gt;$AW209,"Quá "&amp;IF($B209="Định kỳ",(NgayBC-$AP209)&amp;" ngày",IF(((TDBC-$AW209)*24)&lt;1,MAX(1,ROUND(((TDBC-$AW209)*24)*60,0))&amp;" phút",IF(ROUND(((TDBC-$AW209)*24),0)&lt;24,ROUND(((TDBC-$AW209)*24),0)&amp;" giờ",INT(ROUND(((TDBC-$AW209)*24),0)/24)&amp;" ngày"&amp;IF(MOD(ROUND(((TDBC-$AW209)*24),0),24)&gt;0," "&amp;MOD(ROUND(((TDBC-$AW209)*24),0),24)&amp;" giờ","")))),IF($B209="Định kỳ",IF($AP209=NgayBC,"Hôm nay","Còn "&amp;($AP209-NgayBC)&amp;" ngày"),"Còn "&amp;IF((($AW209-TDBC)*24)&lt;1,MAX(1,ROUND((($AW209-TDBC)*24)*60,0))&amp;" phút",IF(ROUND((($AW209-TDBC)*24),0)&lt;24,ROUND((($AW209-TDBC)*24),0)&amp;" giờ",INT(ROUND((($AW209-TDBC)*24),0)/24)&amp;" ngày"&amp;IF(MOD(ROUND((($AW209-TDBC)*24),0),24)&gt;0," "&amp;MOD(ROUND((($AW209-TDBC)*24),0),24)&amp;" giờ",""))))))</f>
      </c>
      <c r="AA209" s="221">
        <f>IF($A209="","",IF(N($AM209)=0,"Chưa bắt đầu",IF(OR($AN209="Hoàn thành kỳ",$AN209="Hoàn thành"),IF($B209="Định kỳ","Chưa bắt đầu","Hoàn thành"),$AN209)))</f>
      </c>
      <c r="AB209" s="222">
        <f>IF($A209="","",IF($AA209="Hoàn thành",1,IF(OR(N($AM209)=0,$AN209="Hoàn thành kỳ",$AN209="Hoàn thành"),0,N(INDEX('Nhật ký tiến độ'!$D:$D,$AM209)))))</f>
      </c>
      <c r="AC209" s="222">
        <f>IF(OR($A209="",$B209&lt;&gt;"Đột xuất",$AA209="Hoàn thành",N($J209)=0,$AW209=0),"",IF(TDBC&lt;=$J209,0,IF(TDBC&gt;=$AW209,1,(TDBC-$J209)/($AW209-$J209))))</f>
      </c>
      <c r="AD209" s="223">
        <f>IF($A209="","",IF($AA209="Hoàn thành","Hoàn thành",IF($AW209=0,"Chưa đặt hạn",IF(TDBC&gt;$AW209,"Quá hạn",IF(AND($B209="Đột xuất",ROUND((N($AC209)-$AB209)*100,0)&gt;=20),"Chậm tiến độ",IF($AP209=NgayBC,"Đến hạn hôm nay",IF($B209="Đột xuất",IF($AW209-TDBC&lt;=1,"Sắp đến hạn","Đúng tiến độ"),IF($AP209-NgayBC&lt;=3,"Sắp đến hạn","Theo lịch"))))))))</f>
      </c>
      <c r="AE209" s="223">
        <f>IF($AV209="","",IF($B209="Định kỳ","Bình quân "&amp;IF($AV209&lt;1,MAX(1,ROUND($AV209*60,0))&amp;" phút",IF(ROUND($AV209,0)&lt;24,ROUND($AV209,0)&amp;" giờ",INT(ROUND($AV209,0)/24)&amp;" ngày"&amp;IF(MOD(ROUND($AV209,0),24)&gt;0," "&amp;MOD(ROUND($AV209,0),24)&amp;" giờ","")))&amp;" mỗi kỳ",IF($AV209&lt;1,MAX(1,ROUND($AV209*60,0))&amp;" phút",IF(ROUND($AV209,0)&lt;24,ROUND($AV209,0)&amp;" giờ",INT(ROUND($AV209,0)/24)&amp;" ngày"&amp;IF(MOD(ROUND($AV209,0),24)&gt;0," "&amp;MOD(ROUND($AV209,0),24)&amp;" giờ","")))))</f>
      </c>
      <c r="AF209" s="223">
        <f>IF(OR($A209="",N($AU209)=0),"",IF($AV209&lt;&gt;"",IF($AV209&lt;=$AU209,"Trong ước tính","Vượt "&amp;IF(($AV209-$AU209)&lt;1,MAX(1,ROUND(($AV209-$AU209)*60,0))&amp;" phút",IF(ROUND(($AV209-$AU209),0)&lt;24,ROUND(($AV209-$AU209),0)&amp;" giờ",INT(ROUND(($AV209-$AU209),0)/24)&amp;" ngày"&amp;IF(MOD(ROUND(($AV209-$AU209),0),24)&gt;0," "&amp;MOD(ROUND(($AV209-$AU209),0),24)&amp;" giờ","")))),IF(OR($B209&lt;&gt;"Đột xuất",$AA209="Hoàn thành",N($J209)=0),"",IF((TDBC-$J209)*24&gt;$AU209,"Đã vượt ước tính","Đã dùng "&amp;TEXT((TDBC-$J209)*24/$AU209,"0%")))))</f>
      </c>
      <c r="AG209" s="223">
        <f>IF(N($BB209)=0,"",CHOOSE($BB209,"Nhắc nhở","Cảnh báo","Báo động","Báo động đỏ"))</f>
      </c>
      <c r="AH209" s="223">
        <f>IF(OR($B209&lt;&gt;"Đột xuất",$AA209&lt;&gt;"Hoàn thành",N($X209)=0,$AW209=0),"",IF($X209&lt;=$AW209,"Đúng hạn","Trễ hạn"))</f>
      </c>
      <c r="AI209" s="220">
        <f>IF($A209="","",_xlfn.MAXIFS('Nhật ký tiến độ'!$B$6:$B$3005,'Nhật ký tiến độ'!$C$6:$C$3005,$A209))</f>
      </c>
      <c r="AJ209" s="225">
        <f>IF(OR($A209="",$B209&lt;&gt;"Định kỳ"),0,IFERROR(INDEX(DM_TanSuatNgay,MATCH($H209,DM_TanSuat,0)),0))</f>
      </c>
      <c r="AK209" s="225">
        <f>IF(OR($A209="",$B209&lt;&gt;"Định kỳ"),0,IFERROR(INDEX(DM_TanSuatThang,MATCH($H209,DM_TanSuat,0)),0))</f>
      </c>
      <c r="AL209" s="225">
        <f>IF(OR($A209="",$B209&lt;&gt;"Định kỳ",N($X209)=0,N($I209)=0),"",IF(INT($X209)&lt;$I209,0,IF($AJ209&gt;0,ROUND((INT($X209)-$I209)/$AJ209,0),IF($AK209&gt;0,ROUND((DATEDIF($I209,INT($X209),"m")+(INT($X209)-EDATE($I209,DATEDIF($I209,INT($X209),"m")))/(EDATE($I209,DATEDIF($I209,INT($X209),"m")+1)-EDATE($I209,DATEDIF($I209,INT($X209),"m"))))/$AK209,0),0))))</f>
      </c>
      <c r="AM209" s="225">
        <f>IF($A209="","",IF(COUNTIF('Nhật ký tiến độ'!$C$6:$C$3005,$A209)=0,0,_xlfn.MAXIFS('Nhật ký tiến độ'!$N$6:$N$3005,'Nhật ký tiến độ'!$C$6:$C$3005,$A209,'Nhật ký tiến độ'!$B$6:$B$3005,_xlfn.MAXIFS('Nhật ký tiến độ'!$B$6:$B$3005,'Nhật ký tiến độ'!$C$6:$C$3005,$A209))))</f>
      </c>
      <c r="AN209" s="225">
        <f>IF($A209="","",IF(N($AM209)=0,"",INDEX('Nhật ký tiến độ'!$E:$E,$AM209)))</f>
      </c>
      <c r="AO209" s="225">
        <f>IF($A209="",0,IF($AA209="Hoàn thành",0,1))</f>
      </c>
      <c r="AP209" s="225">
        <f>IF($AO209=0,0,INT(N($AW209)))</f>
      </c>
      <c r="AQ209" s="225">
        <f>IF(AND($AO209=1,$AJ209&gt;1),$AJ209,0)</f>
      </c>
      <c r="AR209" s="225">
        <f>IF(AND($AO209=1,$AJ209=1),1,0)</f>
      </c>
      <c r="AS209" s="225">
        <f>IF(OR($AO209=0,AND($AR209=1,N($BB209)=0)),"",IF(N($BB209)&gt;0,5-$BB209,IF($AD209="Chậm tiến độ",6,IF($AD209="Đến hạn hôm nay",7,IF(AND($AP209&gt;0,$AP209-NgayBC&lt;=7),8,"")))))</f>
      </c>
      <c r="AT209" s="225">
        <f>IF($AS209="","",$AS209*100000+$AP209+ROW()/100000)</f>
      </c>
      <c r="AU209" s="224">
        <f>IF(OR($A209="",N($R209)&lt;=0),"",IF($S209="Ngày",$R209*24,$R209))</f>
      </c>
      <c r="AV209" s="224">
        <f>IF($A209="","",IF($B209="Đột xuất",IF(OR($AA209&lt;&gt;"Hoàn thành",N($X209)=0,N($J209)=0),"",IF($X209&lt;$J209,"",($X209-$J209)*24)),IFERROR(AVERAGEIFS('Nhật ký tiến độ'!$H$6:$H$3005,'Nhật ký tiến độ'!$C$6:$C$3005,$A209,'Nhật ký tiến độ'!$H$6:$H$3005,"&gt;0"),"")))</f>
      </c>
      <c r="AW209" s="233">
        <f>IF($A209="",0,IF($B209="Đột xuất",$AY209,IF($AX209=0,0,$AX209+1-1/1440)))</f>
      </c>
      <c r="AX209" s="234">
        <f>IF(OR($A209="",$B209&lt;&gt;"Định kỳ",N($I209)=0),0,IF($AL209="",$I209,IF($AJ209&gt;0,$I209+($AL209+1)*$AJ209,IF($AK209&gt;0,EDATE($I209,($AL209+1)*$AK209),$I209))))</f>
      </c>
      <c r="AY209" s="233">
        <f>IF(OR($A209="",$B209&lt;&gt;"Đột xuất"),0,IF(N($K209)&gt;0,IF(MOD($K209,1)=0,$K209+1-1/1440,$K209),IF(N($J209)=0,0,$J209+IF(N($AU209)&gt;0,$AU209,IFERROR(INDEX(DM_SLA_Gio,MATCH($L209,DM_SLA_Cap,0)),168))/24)))</f>
      </c>
      <c r="AZ209" s="225">
        <f>IF(OR($A209="",TRIM($N209)="",COUNTIF('Phản ánh'!$K$6:$K$505,$N209)&gt;0,COUNTIF($N$6:$N209,$N209)&gt;1),0,1)</f>
      </c>
      <c r="BA209" s="225">
        <f>IF($AZ209=1,SUM($AZ$6:$AZ209),"")</f>
      </c>
      <c r="BB209" s="225">
        <f>IF(OR($AO209=0,N($AW209)=0),0,IF(TDBC&lt;=$AW209,0,MAX(1,MIN(4,IF((TDBC-$AW209)*24&lt;24,1,IF((TDBC-$AW209)*24&lt;72,2,IF((TDBC-$AW209)*24&lt;168,3,4)))+IF($B209="Đột xuất",IFERROR(INDEX({2,1,0,-1},MATCH($L209,{"Khẩn cấp","Cao","Trung bình","Thấp"},0)),0),IF($D209="PCCC và an ninh",1,0))))))</f>
      </c>
    </row>
    <row r="210">
      <c r="A210" s="216"/>
      <c r="B210" s="216"/>
      <c r="C210" s="218"/>
      <c r="D210" s="218"/>
      <c r="E210" s="218"/>
      <c r="F210" s="216"/>
      <c r="G210" s="218"/>
      <c r="H210" s="218"/>
      <c r="I210" s="231"/>
      <c r="J210" s="217"/>
      <c r="K210" s="217"/>
      <c r="L210" s="216"/>
      <c r="M210" s="216"/>
      <c r="N210" s="218"/>
      <c r="O210" s="218"/>
      <c r="P210" s="218"/>
      <c r="Q210" s="218"/>
      <c r="R210" s="219"/>
      <c r="S210" s="216"/>
      <c r="T210" s="232"/>
      <c r="U210" s="232"/>
      <c r="V210" s="218"/>
      <c r="W210" s="218"/>
      <c r="X210" s="220">
        <f>IF($A210="","",IF(OR($B210="Định kỳ",$AA210="Hoàn thành"),MAX(_xlfn.MAXIFS('Nhật ký tiến độ'!$B$6:$B$3005,'Nhật ký tiến độ'!$C$6:$C$3005,$A210,'Nhật ký tiến độ'!$E$6:$E$3005,"Hoàn thành kỳ"),_xlfn.MAXIFS('Nhật ký tiến độ'!$B$6:$B$3005,'Nhật ký tiến độ'!$C$6:$C$3005,$A210,'Nhật ký tiến độ'!$E$6:$E$3005,"Hoàn thành")),0))</f>
      </c>
      <c r="Y210" s="220">
        <f>IF($A210="","",IF($B210="Đột xuất",IF($AY210=0,"",$AY210),IF($AX210=0,"",$AX210)))</f>
      </c>
      <c r="Z210" s="223">
        <f>IF(OR($AO210=0,$AW210=0),"",IF(TDBC&gt;$AW210,"Quá "&amp;IF($B210="Định kỳ",(NgayBC-$AP210)&amp;" ngày",IF(((TDBC-$AW210)*24)&lt;1,MAX(1,ROUND(((TDBC-$AW210)*24)*60,0))&amp;" phút",IF(ROUND(((TDBC-$AW210)*24),0)&lt;24,ROUND(((TDBC-$AW210)*24),0)&amp;" giờ",INT(ROUND(((TDBC-$AW210)*24),0)/24)&amp;" ngày"&amp;IF(MOD(ROUND(((TDBC-$AW210)*24),0),24)&gt;0," "&amp;MOD(ROUND(((TDBC-$AW210)*24),0),24)&amp;" giờ","")))),IF($B210="Định kỳ",IF($AP210=NgayBC,"Hôm nay","Còn "&amp;($AP210-NgayBC)&amp;" ngày"),"Còn "&amp;IF((($AW210-TDBC)*24)&lt;1,MAX(1,ROUND((($AW210-TDBC)*24)*60,0))&amp;" phút",IF(ROUND((($AW210-TDBC)*24),0)&lt;24,ROUND((($AW210-TDBC)*24),0)&amp;" giờ",INT(ROUND((($AW210-TDBC)*24),0)/24)&amp;" ngày"&amp;IF(MOD(ROUND((($AW210-TDBC)*24),0),24)&gt;0," "&amp;MOD(ROUND((($AW210-TDBC)*24),0),24)&amp;" giờ",""))))))</f>
      </c>
      <c r="AA210" s="221">
        <f>IF($A210="","",IF(N($AM210)=0,"Chưa bắt đầu",IF(OR($AN210="Hoàn thành kỳ",$AN210="Hoàn thành"),IF($B210="Định kỳ","Chưa bắt đầu","Hoàn thành"),$AN210)))</f>
      </c>
      <c r="AB210" s="222">
        <f>IF($A210="","",IF($AA210="Hoàn thành",1,IF(OR(N($AM210)=0,$AN210="Hoàn thành kỳ",$AN210="Hoàn thành"),0,N(INDEX('Nhật ký tiến độ'!$D:$D,$AM210)))))</f>
      </c>
      <c r="AC210" s="222">
        <f>IF(OR($A210="",$B210&lt;&gt;"Đột xuất",$AA210="Hoàn thành",N($J210)=0,$AW210=0),"",IF(TDBC&lt;=$J210,0,IF(TDBC&gt;=$AW210,1,(TDBC-$J210)/($AW210-$J210))))</f>
      </c>
      <c r="AD210" s="223">
        <f>IF($A210="","",IF($AA210="Hoàn thành","Hoàn thành",IF($AW210=0,"Chưa đặt hạn",IF(TDBC&gt;$AW210,"Quá hạn",IF(AND($B210="Đột xuất",ROUND((N($AC210)-$AB210)*100,0)&gt;=20),"Chậm tiến độ",IF($AP210=NgayBC,"Đến hạn hôm nay",IF($B210="Đột xuất",IF($AW210-TDBC&lt;=1,"Sắp đến hạn","Đúng tiến độ"),IF($AP210-NgayBC&lt;=3,"Sắp đến hạn","Theo lịch"))))))))</f>
      </c>
      <c r="AE210" s="223">
        <f>IF($AV210="","",IF($B210="Định kỳ","Bình quân "&amp;IF($AV210&lt;1,MAX(1,ROUND($AV210*60,0))&amp;" phút",IF(ROUND($AV210,0)&lt;24,ROUND($AV210,0)&amp;" giờ",INT(ROUND($AV210,0)/24)&amp;" ngày"&amp;IF(MOD(ROUND($AV210,0),24)&gt;0," "&amp;MOD(ROUND($AV210,0),24)&amp;" giờ","")))&amp;" mỗi kỳ",IF($AV210&lt;1,MAX(1,ROUND($AV210*60,0))&amp;" phút",IF(ROUND($AV210,0)&lt;24,ROUND($AV210,0)&amp;" giờ",INT(ROUND($AV210,0)/24)&amp;" ngày"&amp;IF(MOD(ROUND($AV210,0),24)&gt;0," "&amp;MOD(ROUND($AV210,0),24)&amp;" giờ","")))))</f>
      </c>
      <c r="AF210" s="223">
        <f>IF(OR($A210="",N($AU210)=0),"",IF($AV210&lt;&gt;"",IF($AV210&lt;=$AU210,"Trong ước tính","Vượt "&amp;IF(($AV210-$AU210)&lt;1,MAX(1,ROUND(($AV210-$AU210)*60,0))&amp;" phút",IF(ROUND(($AV210-$AU210),0)&lt;24,ROUND(($AV210-$AU210),0)&amp;" giờ",INT(ROUND(($AV210-$AU210),0)/24)&amp;" ngày"&amp;IF(MOD(ROUND(($AV210-$AU210),0),24)&gt;0," "&amp;MOD(ROUND(($AV210-$AU210),0),24)&amp;" giờ","")))),IF(OR($B210&lt;&gt;"Đột xuất",$AA210="Hoàn thành",N($J210)=0),"",IF((TDBC-$J210)*24&gt;$AU210,"Đã vượt ước tính","Đã dùng "&amp;TEXT((TDBC-$J210)*24/$AU210,"0%")))))</f>
      </c>
      <c r="AG210" s="223">
        <f>IF(N($BB210)=0,"",CHOOSE($BB210,"Nhắc nhở","Cảnh báo","Báo động","Báo động đỏ"))</f>
      </c>
      <c r="AH210" s="223">
        <f>IF(OR($B210&lt;&gt;"Đột xuất",$AA210&lt;&gt;"Hoàn thành",N($X210)=0,$AW210=0),"",IF($X210&lt;=$AW210,"Đúng hạn","Trễ hạn"))</f>
      </c>
      <c r="AI210" s="220">
        <f>IF($A210="","",_xlfn.MAXIFS('Nhật ký tiến độ'!$B$6:$B$3005,'Nhật ký tiến độ'!$C$6:$C$3005,$A210))</f>
      </c>
      <c r="AJ210" s="225">
        <f>IF(OR($A210="",$B210&lt;&gt;"Định kỳ"),0,IFERROR(INDEX(DM_TanSuatNgay,MATCH($H210,DM_TanSuat,0)),0))</f>
      </c>
      <c r="AK210" s="225">
        <f>IF(OR($A210="",$B210&lt;&gt;"Định kỳ"),0,IFERROR(INDEX(DM_TanSuatThang,MATCH($H210,DM_TanSuat,0)),0))</f>
      </c>
      <c r="AL210" s="225">
        <f>IF(OR($A210="",$B210&lt;&gt;"Định kỳ",N($X210)=0,N($I210)=0),"",IF(INT($X210)&lt;$I210,0,IF($AJ210&gt;0,ROUND((INT($X210)-$I210)/$AJ210,0),IF($AK210&gt;0,ROUND((DATEDIF($I210,INT($X210),"m")+(INT($X210)-EDATE($I210,DATEDIF($I210,INT($X210),"m")))/(EDATE($I210,DATEDIF($I210,INT($X210),"m")+1)-EDATE($I210,DATEDIF($I210,INT($X210),"m"))))/$AK210,0),0))))</f>
      </c>
      <c r="AM210" s="225">
        <f>IF($A210="","",IF(COUNTIF('Nhật ký tiến độ'!$C$6:$C$3005,$A210)=0,0,_xlfn.MAXIFS('Nhật ký tiến độ'!$N$6:$N$3005,'Nhật ký tiến độ'!$C$6:$C$3005,$A210,'Nhật ký tiến độ'!$B$6:$B$3005,_xlfn.MAXIFS('Nhật ký tiến độ'!$B$6:$B$3005,'Nhật ký tiến độ'!$C$6:$C$3005,$A210))))</f>
      </c>
      <c r="AN210" s="225">
        <f>IF($A210="","",IF(N($AM210)=0,"",INDEX('Nhật ký tiến độ'!$E:$E,$AM210)))</f>
      </c>
      <c r="AO210" s="225">
        <f>IF($A210="",0,IF($AA210="Hoàn thành",0,1))</f>
      </c>
      <c r="AP210" s="225">
        <f>IF($AO210=0,0,INT(N($AW210)))</f>
      </c>
      <c r="AQ210" s="225">
        <f>IF(AND($AO210=1,$AJ210&gt;1),$AJ210,0)</f>
      </c>
      <c r="AR210" s="225">
        <f>IF(AND($AO210=1,$AJ210=1),1,0)</f>
      </c>
      <c r="AS210" s="225">
        <f>IF(OR($AO210=0,AND($AR210=1,N($BB210)=0)),"",IF(N($BB210)&gt;0,5-$BB210,IF($AD210="Chậm tiến độ",6,IF($AD210="Đến hạn hôm nay",7,IF(AND($AP210&gt;0,$AP210-NgayBC&lt;=7),8,"")))))</f>
      </c>
      <c r="AT210" s="225">
        <f>IF($AS210="","",$AS210*100000+$AP210+ROW()/100000)</f>
      </c>
      <c r="AU210" s="224">
        <f>IF(OR($A210="",N($R210)&lt;=0),"",IF($S210="Ngày",$R210*24,$R210))</f>
      </c>
      <c r="AV210" s="224">
        <f>IF($A210="","",IF($B210="Đột xuất",IF(OR($AA210&lt;&gt;"Hoàn thành",N($X210)=0,N($J210)=0),"",IF($X210&lt;$J210,"",($X210-$J210)*24)),IFERROR(AVERAGEIFS('Nhật ký tiến độ'!$H$6:$H$3005,'Nhật ký tiến độ'!$C$6:$C$3005,$A210,'Nhật ký tiến độ'!$H$6:$H$3005,"&gt;0"),"")))</f>
      </c>
      <c r="AW210" s="233">
        <f>IF($A210="",0,IF($B210="Đột xuất",$AY210,IF($AX210=0,0,$AX210+1-1/1440)))</f>
      </c>
      <c r="AX210" s="234">
        <f>IF(OR($A210="",$B210&lt;&gt;"Định kỳ",N($I210)=0),0,IF($AL210="",$I210,IF($AJ210&gt;0,$I210+($AL210+1)*$AJ210,IF($AK210&gt;0,EDATE($I210,($AL210+1)*$AK210),$I210))))</f>
      </c>
      <c r="AY210" s="233">
        <f>IF(OR($A210="",$B210&lt;&gt;"Đột xuất"),0,IF(N($K210)&gt;0,IF(MOD($K210,1)=0,$K210+1-1/1440,$K210),IF(N($J210)=0,0,$J210+IF(N($AU210)&gt;0,$AU210,IFERROR(INDEX(DM_SLA_Gio,MATCH($L210,DM_SLA_Cap,0)),168))/24)))</f>
      </c>
      <c r="AZ210" s="225">
        <f>IF(OR($A210="",TRIM($N210)="",COUNTIF('Phản ánh'!$K$6:$K$505,$N210)&gt;0,COUNTIF($N$6:$N210,$N210)&gt;1),0,1)</f>
      </c>
      <c r="BA210" s="225">
        <f>IF($AZ210=1,SUM($AZ$6:$AZ210),"")</f>
      </c>
      <c r="BB210" s="225">
        <f>IF(OR($AO210=0,N($AW210)=0),0,IF(TDBC&lt;=$AW210,0,MAX(1,MIN(4,IF((TDBC-$AW210)*24&lt;24,1,IF((TDBC-$AW210)*24&lt;72,2,IF((TDBC-$AW210)*24&lt;168,3,4)))+IF($B210="Đột xuất",IFERROR(INDEX({2,1,0,-1},MATCH($L210,{"Khẩn cấp","Cao","Trung bình","Thấp"},0)),0),IF($D210="PCCC và an ninh",1,0))))))</f>
      </c>
    </row>
    <row r="211">
      <c r="A211" s="216"/>
      <c r="B211" s="216"/>
      <c r="C211" s="218"/>
      <c r="D211" s="218"/>
      <c r="E211" s="218"/>
      <c r="F211" s="216"/>
      <c r="G211" s="218"/>
      <c r="H211" s="218"/>
      <c r="I211" s="231"/>
      <c r="J211" s="217"/>
      <c r="K211" s="217"/>
      <c r="L211" s="216"/>
      <c r="M211" s="216"/>
      <c r="N211" s="218"/>
      <c r="O211" s="218"/>
      <c r="P211" s="218"/>
      <c r="Q211" s="218"/>
      <c r="R211" s="219"/>
      <c r="S211" s="216"/>
      <c r="T211" s="232"/>
      <c r="U211" s="232"/>
      <c r="V211" s="218"/>
      <c r="W211" s="218"/>
      <c r="X211" s="220">
        <f>IF($A211="","",IF(OR($B211="Định kỳ",$AA211="Hoàn thành"),MAX(_xlfn.MAXIFS('Nhật ký tiến độ'!$B$6:$B$3005,'Nhật ký tiến độ'!$C$6:$C$3005,$A211,'Nhật ký tiến độ'!$E$6:$E$3005,"Hoàn thành kỳ"),_xlfn.MAXIFS('Nhật ký tiến độ'!$B$6:$B$3005,'Nhật ký tiến độ'!$C$6:$C$3005,$A211,'Nhật ký tiến độ'!$E$6:$E$3005,"Hoàn thành")),0))</f>
      </c>
      <c r="Y211" s="220">
        <f>IF($A211="","",IF($B211="Đột xuất",IF($AY211=0,"",$AY211),IF($AX211=0,"",$AX211)))</f>
      </c>
      <c r="Z211" s="223">
        <f>IF(OR($AO211=0,$AW211=0),"",IF(TDBC&gt;$AW211,"Quá "&amp;IF($B211="Định kỳ",(NgayBC-$AP211)&amp;" ngày",IF(((TDBC-$AW211)*24)&lt;1,MAX(1,ROUND(((TDBC-$AW211)*24)*60,0))&amp;" phút",IF(ROUND(((TDBC-$AW211)*24),0)&lt;24,ROUND(((TDBC-$AW211)*24),0)&amp;" giờ",INT(ROUND(((TDBC-$AW211)*24),0)/24)&amp;" ngày"&amp;IF(MOD(ROUND(((TDBC-$AW211)*24),0),24)&gt;0," "&amp;MOD(ROUND(((TDBC-$AW211)*24),0),24)&amp;" giờ","")))),IF($B211="Định kỳ",IF($AP211=NgayBC,"Hôm nay","Còn "&amp;($AP211-NgayBC)&amp;" ngày"),"Còn "&amp;IF((($AW211-TDBC)*24)&lt;1,MAX(1,ROUND((($AW211-TDBC)*24)*60,0))&amp;" phút",IF(ROUND((($AW211-TDBC)*24),0)&lt;24,ROUND((($AW211-TDBC)*24),0)&amp;" giờ",INT(ROUND((($AW211-TDBC)*24),0)/24)&amp;" ngày"&amp;IF(MOD(ROUND((($AW211-TDBC)*24),0),24)&gt;0," "&amp;MOD(ROUND((($AW211-TDBC)*24),0),24)&amp;" giờ",""))))))</f>
      </c>
      <c r="AA211" s="221">
        <f>IF($A211="","",IF(N($AM211)=0,"Chưa bắt đầu",IF(OR($AN211="Hoàn thành kỳ",$AN211="Hoàn thành"),IF($B211="Định kỳ","Chưa bắt đầu","Hoàn thành"),$AN211)))</f>
      </c>
      <c r="AB211" s="222">
        <f>IF($A211="","",IF($AA211="Hoàn thành",1,IF(OR(N($AM211)=0,$AN211="Hoàn thành kỳ",$AN211="Hoàn thành"),0,N(INDEX('Nhật ký tiến độ'!$D:$D,$AM211)))))</f>
      </c>
      <c r="AC211" s="222">
        <f>IF(OR($A211="",$B211&lt;&gt;"Đột xuất",$AA211="Hoàn thành",N($J211)=0,$AW211=0),"",IF(TDBC&lt;=$J211,0,IF(TDBC&gt;=$AW211,1,(TDBC-$J211)/($AW211-$J211))))</f>
      </c>
      <c r="AD211" s="223">
        <f>IF($A211="","",IF($AA211="Hoàn thành","Hoàn thành",IF($AW211=0,"Chưa đặt hạn",IF(TDBC&gt;$AW211,"Quá hạn",IF(AND($B211="Đột xuất",ROUND((N($AC211)-$AB211)*100,0)&gt;=20),"Chậm tiến độ",IF($AP211=NgayBC,"Đến hạn hôm nay",IF($B211="Đột xuất",IF($AW211-TDBC&lt;=1,"Sắp đến hạn","Đúng tiến độ"),IF($AP211-NgayBC&lt;=3,"Sắp đến hạn","Theo lịch"))))))))</f>
      </c>
      <c r="AE211" s="223">
        <f>IF($AV211="","",IF($B211="Định kỳ","Bình quân "&amp;IF($AV211&lt;1,MAX(1,ROUND($AV211*60,0))&amp;" phút",IF(ROUND($AV211,0)&lt;24,ROUND($AV211,0)&amp;" giờ",INT(ROUND($AV211,0)/24)&amp;" ngày"&amp;IF(MOD(ROUND($AV211,0),24)&gt;0," "&amp;MOD(ROUND($AV211,0),24)&amp;" giờ","")))&amp;" mỗi kỳ",IF($AV211&lt;1,MAX(1,ROUND($AV211*60,0))&amp;" phút",IF(ROUND($AV211,0)&lt;24,ROUND($AV211,0)&amp;" giờ",INT(ROUND($AV211,0)/24)&amp;" ngày"&amp;IF(MOD(ROUND($AV211,0),24)&gt;0," "&amp;MOD(ROUND($AV211,0),24)&amp;" giờ","")))))</f>
      </c>
      <c r="AF211" s="223">
        <f>IF(OR($A211="",N($AU211)=0),"",IF($AV211&lt;&gt;"",IF($AV211&lt;=$AU211,"Trong ước tính","Vượt "&amp;IF(($AV211-$AU211)&lt;1,MAX(1,ROUND(($AV211-$AU211)*60,0))&amp;" phút",IF(ROUND(($AV211-$AU211),0)&lt;24,ROUND(($AV211-$AU211),0)&amp;" giờ",INT(ROUND(($AV211-$AU211),0)/24)&amp;" ngày"&amp;IF(MOD(ROUND(($AV211-$AU211),0),24)&gt;0," "&amp;MOD(ROUND(($AV211-$AU211),0),24)&amp;" giờ","")))),IF(OR($B211&lt;&gt;"Đột xuất",$AA211="Hoàn thành",N($J211)=0),"",IF((TDBC-$J211)*24&gt;$AU211,"Đã vượt ước tính","Đã dùng "&amp;TEXT((TDBC-$J211)*24/$AU211,"0%")))))</f>
      </c>
      <c r="AG211" s="223">
        <f>IF(N($BB211)=0,"",CHOOSE($BB211,"Nhắc nhở","Cảnh báo","Báo động","Báo động đỏ"))</f>
      </c>
      <c r="AH211" s="223">
        <f>IF(OR($B211&lt;&gt;"Đột xuất",$AA211&lt;&gt;"Hoàn thành",N($X211)=0,$AW211=0),"",IF($X211&lt;=$AW211,"Đúng hạn","Trễ hạn"))</f>
      </c>
      <c r="AI211" s="220">
        <f>IF($A211="","",_xlfn.MAXIFS('Nhật ký tiến độ'!$B$6:$B$3005,'Nhật ký tiến độ'!$C$6:$C$3005,$A211))</f>
      </c>
      <c r="AJ211" s="225">
        <f>IF(OR($A211="",$B211&lt;&gt;"Định kỳ"),0,IFERROR(INDEX(DM_TanSuatNgay,MATCH($H211,DM_TanSuat,0)),0))</f>
      </c>
      <c r="AK211" s="225">
        <f>IF(OR($A211="",$B211&lt;&gt;"Định kỳ"),0,IFERROR(INDEX(DM_TanSuatThang,MATCH($H211,DM_TanSuat,0)),0))</f>
      </c>
      <c r="AL211" s="225">
        <f>IF(OR($A211="",$B211&lt;&gt;"Định kỳ",N($X211)=0,N($I211)=0),"",IF(INT($X211)&lt;$I211,0,IF($AJ211&gt;0,ROUND((INT($X211)-$I211)/$AJ211,0),IF($AK211&gt;0,ROUND((DATEDIF($I211,INT($X211),"m")+(INT($X211)-EDATE($I211,DATEDIF($I211,INT($X211),"m")))/(EDATE($I211,DATEDIF($I211,INT($X211),"m")+1)-EDATE($I211,DATEDIF($I211,INT($X211),"m"))))/$AK211,0),0))))</f>
      </c>
      <c r="AM211" s="225">
        <f>IF($A211="","",IF(COUNTIF('Nhật ký tiến độ'!$C$6:$C$3005,$A211)=0,0,_xlfn.MAXIFS('Nhật ký tiến độ'!$N$6:$N$3005,'Nhật ký tiến độ'!$C$6:$C$3005,$A211,'Nhật ký tiến độ'!$B$6:$B$3005,_xlfn.MAXIFS('Nhật ký tiến độ'!$B$6:$B$3005,'Nhật ký tiến độ'!$C$6:$C$3005,$A211))))</f>
      </c>
      <c r="AN211" s="225">
        <f>IF($A211="","",IF(N($AM211)=0,"",INDEX('Nhật ký tiến độ'!$E:$E,$AM211)))</f>
      </c>
      <c r="AO211" s="225">
        <f>IF($A211="",0,IF($AA211="Hoàn thành",0,1))</f>
      </c>
      <c r="AP211" s="225">
        <f>IF($AO211=0,0,INT(N($AW211)))</f>
      </c>
      <c r="AQ211" s="225">
        <f>IF(AND($AO211=1,$AJ211&gt;1),$AJ211,0)</f>
      </c>
      <c r="AR211" s="225">
        <f>IF(AND($AO211=1,$AJ211=1),1,0)</f>
      </c>
      <c r="AS211" s="225">
        <f>IF(OR($AO211=0,AND($AR211=1,N($BB211)=0)),"",IF(N($BB211)&gt;0,5-$BB211,IF($AD211="Chậm tiến độ",6,IF($AD211="Đến hạn hôm nay",7,IF(AND($AP211&gt;0,$AP211-NgayBC&lt;=7),8,"")))))</f>
      </c>
      <c r="AT211" s="225">
        <f>IF($AS211="","",$AS211*100000+$AP211+ROW()/100000)</f>
      </c>
      <c r="AU211" s="224">
        <f>IF(OR($A211="",N($R211)&lt;=0),"",IF($S211="Ngày",$R211*24,$R211))</f>
      </c>
      <c r="AV211" s="224">
        <f>IF($A211="","",IF($B211="Đột xuất",IF(OR($AA211&lt;&gt;"Hoàn thành",N($X211)=0,N($J211)=0),"",IF($X211&lt;$J211,"",($X211-$J211)*24)),IFERROR(AVERAGEIFS('Nhật ký tiến độ'!$H$6:$H$3005,'Nhật ký tiến độ'!$C$6:$C$3005,$A211,'Nhật ký tiến độ'!$H$6:$H$3005,"&gt;0"),"")))</f>
      </c>
      <c r="AW211" s="233">
        <f>IF($A211="",0,IF($B211="Đột xuất",$AY211,IF($AX211=0,0,$AX211+1-1/1440)))</f>
      </c>
      <c r="AX211" s="234">
        <f>IF(OR($A211="",$B211&lt;&gt;"Định kỳ",N($I211)=0),0,IF($AL211="",$I211,IF($AJ211&gt;0,$I211+($AL211+1)*$AJ211,IF($AK211&gt;0,EDATE($I211,($AL211+1)*$AK211),$I211))))</f>
      </c>
      <c r="AY211" s="233">
        <f>IF(OR($A211="",$B211&lt;&gt;"Đột xuất"),0,IF(N($K211)&gt;0,IF(MOD($K211,1)=0,$K211+1-1/1440,$K211),IF(N($J211)=0,0,$J211+IF(N($AU211)&gt;0,$AU211,IFERROR(INDEX(DM_SLA_Gio,MATCH($L211,DM_SLA_Cap,0)),168))/24)))</f>
      </c>
      <c r="AZ211" s="225">
        <f>IF(OR($A211="",TRIM($N211)="",COUNTIF('Phản ánh'!$K$6:$K$505,$N211)&gt;0,COUNTIF($N$6:$N211,$N211)&gt;1),0,1)</f>
      </c>
      <c r="BA211" s="225">
        <f>IF($AZ211=1,SUM($AZ$6:$AZ211),"")</f>
      </c>
      <c r="BB211" s="225">
        <f>IF(OR($AO211=0,N($AW211)=0),0,IF(TDBC&lt;=$AW211,0,MAX(1,MIN(4,IF((TDBC-$AW211)*24&lt;24,1,IF((TDBC-$AW211)*24&lt;72,2,IF((TDBC-$AW211)*24&lt;168,3,4)))+IF($B211="Đột xuất",IFERROR(INDEX({2,1,0,-1},MATCH($L211,{"Khẩn cấp","Cao","Trung bình","Thấp"},0)),0),IF($D211="PCCC và an ninh",1,0))))))</f>
      </c>
    </row>
    <row r="212">
      <c r="A212" s="216"/>
      <c r="B212" s="216"/>
      <c r="C212" s="218"/>
      <c r="D212" s="218"/>
      <c r="E212" s="218"/>
      <c r="F212" s="216"/>
      <c r="G212" s="218"/>
      <c r="H212" s="218"/>
      <c r="I212" s="231"/>
      <c r="J212" s="217"/>
      <c r="K212" s="217"/>
      <c r="L212" s="216"/>
      <c r="M212" s="216"/>
      <c r="N212" s="218"/>
      <c r="O212" s="218"/>
      <c r="P212" s="218"/>
      <c r="Q212" s="218"/>
      <c r="R212" s="219"/>
      <c r="S212" s="216"/>
      <c r="T212" s="232"/>
      <c r="U212" s="232"/>
      <c r="V212" s="218"/>
      <c r="W212" s="218"/>
      <c r="X212" s="220">
        <f>IF($A212="","",IF(OR($B212="Định kỳ",$AA212="Hoàn thành"),MAX(_xlfn.MAXIFS('Nhật ký tiến độ'!$B$6:$B$3005,'Nhật ký tiến độ'!$C$6:$C$3005,$A212,'Nhật ký tiến độ'!$E$6:$E$3005,"Hoàn thành kỳ"),_xlfn.MAXIFS('Nhật ký tiến độ'!$B$6:$B$3005,'Nhật ký tiến độ'!$C$6:$C$3005,$A212,'Nhật ký tiến độ'!$E$6:$E$3005,"Hoàn thành")),0))</f>
      </c>
      <c r="Y212" s="220">
        <f>IF($A212="","",IF($B212="Đột xuất",IF($AY212=0,"",$AY212),IF($AX212=0,"",$AX212)))</f>
      </c>
      <c r="Z212" s="223">
        <f>IF(OR($AO212=0,$AW212=0),"",IF(TDBC&gt;$AW212,"Quá "&amp;IF($B212="Định kỳ",(NgayBC-$AP212)&amp;" ngày",IF(((TDBC-$AW212)*24)&lt;1,MAX(1,ROUND(((TDBC-$AW212)*24)*60,0))&amp;" phút",IF(ROUND(((TDBC-$AW212)*24),0)&lt;24,ROUND(((TDBC-$AW212)*24),0)&amp;" giờ",INT(ROUND(((TDBC-$AW212)*24),0)/24)&amp;" ngày"&amp;IF(MOD(ROUND(((TDBC-$AW212)*24),0),24)&gt;0," "&amp;MOD(ROUND(((TDBC-$AW212)*24),0),24)&amp;" giờ","")))),IF($B212="Định kỳ",IF($AP212=NgayBC,"Hôm nay","Còn "&amp;($AP212-NgayBC)&amp;" ngày"),"Còn "&amp;IF((($AW212-TDBC)*24)&lt;1,MAX(1,ROUND((($AW212-TDBC)*24)*60,0))&amp;" phút",IF(ROUND((($AW212-TDBC)*24),0)&lt;24,ROUND((($AW212-TDBC)*24),0)&amp;" giờ",INT(ROUND((($AW212-TDBC)*24),0)/24)&amp;" ngày"&amp;IF(MOD(ROUND((($AW212-TDBC)*24),0),24)&gt;0," "&amp;MOD(ROUND((($AW212-TDBC)*24),0),24)&amp;" giờ",""))))))</f>
      </c>
      <c r="AA212" s="221">
        <f>IF($A212="","",IF(N($AM212)=0,"Chưa bắt đầu",IF(OR($AN212="Hoàn thành kỳ",$AN212="Hoàn thành"),IF($B212="Định kỳ","Chưa bắt đầu","Hoàn thành"),$AN212)))</f>
      </c>
      <c r="AB212" s="222">
        <f>IF($A212="","",IF($AA212="Hoàn thành",1,IF(OR(N($AM212)=0,$AN212="Hoàn thành kỳ",$AN212="Hoàn thành"),0,N(INDEX('Nhật ký tiến độ'!$D:$D,$AM212)))))</f>
      </c>
      <c r="AC212" s="222">
        <f>IF(OR($A212="",$B212&lt;&gt;"Đột xuất",$AA212="Hoàn thành",N($J212)=0,$AW212=0),"",IF(TDBC&lt;=$J212,0,IF(TDBC&gt;=$AW212,1,(TDBC-$J212)/($AW212-$J212))))</f>
      </c>
      <c r="AD212" s="223">
        <f>IF($A212="","",IF($AA212="Hoàn thành","Hoàn thành",IF($AW212=0,"Chưa đặt hạn",IF(TDBC&gt;$AW212,"Quá hạn",IF(AND($B212="Đột xuất",ROUND((N($AC212)-$AB212)*100,0)&gt;=20),"Chậm tiến độ",IF($AP212=NgayBC,"Đến hạn hôm nay",IF($B212="Đột xuất",IF($AW212-TDBC&lt;=1,"Sắp đến hạn","Đúng tiến độ"),IF($AP212-NgayBC&lt;=3,"Sắp đến hạn","Theo lịch"))))))))</f>
      </c>
      <c r="AE212" s="223">
        <f>IF($AV212="","",IF($B212="Định kỳ","Bình quân "&amp;IF($AV212&lt;1,MAX(1,ROUND($AV212*60,0))&amp;" phút",IF(ROUND($AV212,0)&lt;24,ROUND($AV212,0)&amp;" giờ",INT(ROUND($AV212,0)/24)&amp;" ngày"&amp;IF(MOD(ROUND($AV212,0),24)&gt;0," "&amp;MOD(ROUND($AV212,0),24)&amp;" giờ","")))&amp;" mỗi kỳ",IF($AV212&lt;1,MAX(1,ROUND($AV212*60,0))&amp;" phút",IF(ROUND($AV212,0)&lt;24,ROUND($AV212,0)&amp;" giờ",INT(ROUND($AV212,0)/24)&amp;" ngày"&amp;IF(MOD(ROUND($AV212,0),24)&gt;0," "&amp;MOD(ROUND($AV212,0),24)&amp;" giờ","")))))</f>
      </c>
      <c r="AF212" s="223">
        <f>IF(OR($A212="",N($AU212)=0),"",IF($AV212&lt;&gt;"",IF($AV212&lt;=$AU212,"Trong ước tính","Vượt "&amp;IF(($AV212-$AU212)&lt;1,MAX(1,ROUND(($AV212-$AU212)*60,0))&amp;" phút",IF(ROUND(($AV212-$AU212),0)&lt;24,ROUND(($AV212-$AU212),0)&amp;" giờ",INT(ROUND(($AV212-$AU212),0)/24)&amp;" ngày"&amp;IF(MOD(ROUND(($AV212-$AU212),0),24)&gt;0," "&amp;MOD(ROUND(($AV212-$AU212),0),24)&amp;" giờ","")))),IF(OR($B212&lt;&gt;"Đột xuất",$AA212="Hoàn thành",N($J212)=0),"",IF((TDBC-$J212)*24&gt;$AU212,"Đã vượt ước tính","Đã dùng "&amp;TEXT((TDBC-$J212)*24/$AU212,"0%")))))</f>
      </c>
      <c r="AG212" s="223">
        <f>IF(N($BB212)=0,"",CHOOSE($BB212,"Nhắc nhở","Cảnh báo","Báo động","Báo động đỏ"))</f>
      </c>
      <c r="AH212" s="223">
        <f>IF(OR($B212&lt;&gt;"Đột xuất",$AA212&lt;&gt;"Hoàn thành",N($X212)=0,$AW212=0),"",IF($X212&lt;=$AW212,"Đúng hạn","Trễ hạn"))</f>
      </c>
      <c r="AI212" s="220">
        <f>IF($A212="","",_xlfn.MAXIFS('Nhật ký tiến độ'!$B$6:$B$3005,'Nhật ký tiến độ'!$C$6:$C$3005,$A212))</f>
      </c>
      <c r="AJ212" s="225">
        <f>IF(OR($A212="",$B212&lt;&gt;"Định kỳ"),0,IFERROR(INDEX(DM_TanSuatNgay,MATCH($H212,DM_TanSuat,0)),0))</f>
      </c>
      <c r="AK212" s="225">
        <f>IF(OR($A212="",$B212&lt;&gt;"Định kỳ"),0,IFERROR(INDEX(DM_TanSuatThang,MATCH($H212,DM_TanSuat,0)),0))</f>
      </c>
      <c r="AL212" s="225">
        <f>IF(OR($A212="",$B212&lt;&gt;"Định kỳ",N($X212)=0,N($I212)=0),"",IF(INT($X212)&lt;$I212,0,IF($AJ212&gt;0,ROUND((INT($X212)-$I212)/$AJ212,0),IF($AK212&gt;0,ROUND((DATEDIF($I212,INT($X212),"m")+(INT($X212)-EDATE($I212,DATEDIF($I212,INT($X212),"m")))/(EDATE($I212,DATEDIF($I212,INT($X212),"m")+1)-EDATE($I212,DATEDIF($I212,INT($X212),"m"))))/$AK212,0),0))))</f>
      </c>
      <c r="AM212" s="225">
        <f>IF($A212="","",IF(COUNTIF('Nhật ký tiến độ'!$C$6:$C$3005,$A212)=0,0,_xlfn.MAXIFS('Nhật ký tiến độ'!$N$6:$N$3005,'Nhật ký tiến độ'!$C$6:$C$3005,$A212,'Nhật ký tiến độ'!$B$6:$B$3005,_xlfn.MAXIFS('Nhật ký tiến độ'!$B$6:$B$3005,'Nhật ký tiến độ'!$C$6:$C$3005,$A212))))</f>
      </c>
      <c r="AN212" s="225">
        <f>IF($A212="","",IF(N($AM212)=0,"",INDEX('Nhật ký tiến độ'!$E:$E,$AM212)))</f>
      </c>
      <c r="AO212" s="225">
        <f>IF($A212="",0,IF($AA212="Hoàn thành",0,1))</f>
      </c>
      <c r="AP212" s="225">
        <f>IF($AO212=0,0,INT(N($AW212)))</f>
      </c>
      <c r="AQ212" s="225">
        <f>IF(AND($AO212=1,$AJ212&gt;1),$AJ212,0)</f>
      </c>
      <c r="AR212" s="225">
        <f>IF(AND($AO212=1,$AJ212=1),1,0)</f>
      </c>
      <c r="AS212" s="225">
        <f>IF(OR($AO212=0,AND($AR212=1,N($BB212)=0)),"",IF(N($BB212)&gt;0,5-$BB212,IF($AD212="Chậm tiến độ",6,IF($AD212="Đến hạn hôm nay",7,IF(AND($AP212&gt;0,$AP212-NgayBC&lt;=7),8,"")))))</f>
      </c>
      <c r="AT212" s="225">
        <f>IF($AS212="","",$AS212*100000+$AP212+ROW()/100000)</f>
      </c>
      <c r="AU212" s="224">
        <f>IF(OR($A212="",N($R212)&lt;=0),"",IF($S212="Ngày",$R212*24,$R212))</f>
      </c>
      <c r="AV212" s="224">
        <f>IF($A212="","",IF($B212="Đột xuất",IF(OR($AA212&lt;&gt;"Hoàn thành",N($X212)=0,N($J212)=0),"",IF($X212&lt;$J212,"",($X212-$J212)*24)),IFERROR(AVERAGEIFS('Nhật ký tiến độ'!$H$6:$H$3005,'Nhật ký tiến độ'!$C$6:$C$3005,$A212,'Nhật ký tiến độ'!$H$6:$H$3005,"&gt;0"),"")))</f>
      </c>
      <c r="AW212" s="233">
        <f>IF($A212="",0,IF($B212="Đột xuất",$AY212,IF($AX212=0,0,$AX212+1-1/1440)))</f>
      </c>
      <c r="AX212" s="234">
        <f>IF(OR($A212="",$B212&lt;&gt;"Định kỳ",N($I212)=0),0,IF($AL212="",$I212,IF($AJ212&gt;0,$I212+($AL212+1)*$AJ212,IF($AK212&gt;0,EDATE($I212,($AL212+1)*$AK212),$I212))))</f>
      </c>
      <c r="AY212" s="233">
        <f>IF(OR($A212="",$B212&lt;&gt;"Đột xuất"),0,IF(N($K212)&gt;0,IF(MOD($K212,1)=0,$K212+1-1/1440,$K212),IF(N($J212)=0,0,$J212+IF(N($AU212)&gt;0,$AU212,IFERROR(INDEX(DM_SLA_Gio,MATCH($L212,DM_SLA_Cap,0)),168))/24)))</f>
      </c>
      <c r="AZ212" s="225">
        <f>IF(OR($A212="",TRIM($N212)="",COUNTIF('Phản ánh'!$K$6:$K$505,$N212)&gt;0,COUNTIF($N$6:$N212,$N212)&gt;1),0,1)</f>
      </c>
      <c r="BA212" s="225">
        <f>IF($AZ212=1,SUM($AZ$6:$AZ212),"")</f>
      </c>
      <c r="BB212" s="225">
        <f>IF(OR($AO212=0,N($AW212)=0),0,IF(TDBC&lt;=$AW212,0,MAX(1,MIN(4,IF((TDBC-$AW212)*24&lt;24,1,IF((TDBC-$AW212)*24&lt;72,2,IF((TDBC-$AW212)*24&lt;168,3,4)))+IF($B212="Đột xuất",IFERROR(INDEX({2,1,0,-1},MATCH($L212,{"Khẩn cấp","Cao","Trung bình","Thấp"},0)),0),IF($D212="PCCC và an ninh",1,0))))))</f>
      </c>
    </row>
    <row r="213">
      <c r="A213" s="216"/>
      <c r="B213" s="216"/>
      <c r="C213" s="218"/>
      <c r="D213" s="218"/>
      <c r="E213" s="218"/>
      <c r="F213" s="216"/>
      <c r="G213" s="218"/>
      <c r="H213" s="218"/>
      <c r="I213" s="231"/>
      <c r="J213" s="217"/>
      <c r="K213" s="217"/>
      <c r="L213" s="216"/>
      <c r="M213" s="216"/>
      <c r="N213" s="218"/>
      <c r="O213" s="218"/>
      <c r="P213" s="218"/>
      <c r="Q213" s="218"/>
      <c r="R213" s="219"/>
      <c r="S213" s="216"/>
      <c r="T213" s="232"/>
      <c r="U213" s="232"/>
      <c r="V213" s="218"/>
      <c r="W213" s="218"/>
      <c r="X213" s="220">
        <f>IF($A213="","",IF(OR($B213="Định kỳ",$AA213="Hoàn thành"),MAX(_xlfn.MAXIFS('Nhật ký tiến độ'!$B$6:$B$3005,'Nhật ký tiến độ'!$C$6:$C$3005,$A213,'Nhật ký tiến độ'!$E$6:$E$3005,"Hoàn thành kỳ"),_xlfn.MAXIFS('Nhật ký tiến độ'!$B$6:$B$3005,'Nhật ký tiến độ'!$C$6:$C$3005,$A213,'Nhật ký tiến độ'!$E$6:$E$3005,"Hoàn thành")),0))</f>
      </c>
      <c r="Y213" s="220">
        <f>IF($A213="","",IF($B213="Đột xuất",IF($AY213=0,"",$AY213),IF($AX213=0,"",$AX213)))</f>
      </c>
      <c r="Z213" s="223">
        <f>IF(OR($AO213=0,$AW213=0),"",IF(TDBC&gt;$AW213,"Quá "&amp;IF($B213="Định kỳ",(NgayBC-$AP213)&amp;" ngày",IF(((TDBC-$AW213)*24)&lt;1,MAX(1,ROUND(((TDBC-$AW213)*24)*60,0))&amp;" phút",IF(ROUND(((TDBC-$AW213)*24),0)&lt;24,ROUND(((TDBC-$AW213)*24),0)&amp;" giờ",INT(ROUND(((TDBC-$AW213)*24),0)/24)&amp;" ngày"&amp;IF(MOD(ROUND(((TDBC-$AW213)*24),0),24)&gt;0," "&amp;MOD(ROUND(((TDBC-$AW213)*24),0),24)&amp;" giờ","")))),IF($B213="Định kỳ",IF($AP213=NgayBC,"Hôm nay","Còn "&amp;($AP213-NgayBC)&amp;" ngày"),"Còn "&amp;IF((($AW213-TDBC)*24)&lt;1,MAX(1,ROUND((($AW213-TDBC)*24)*60,0))&amp;" phút",IF(ROUND((($AW213-TDBC)*24),0)&lt;24,ROUND((($AW213-TDBC)*24),0)&amp;" giờ",INT(ROUND((($AW213-TDBC)*24),0)/24)&amp;" ngày"&amp;IF(MOD(ROUND((($AW213-TDBC)*24),0),24)&gt;0," "&amp;MOD(ROUND((($AW213-TDBC)*24),0),24)&amp;" giờ",""))))))</f>
      </c>
      <c r="AA213" s="221">
        <f>IF($A213="","",IF(N($AM213)=0,"Chưa bắt đầu",IF(OR($AN213="Hoàn thành kỳ",$AN213="Hoàn thành"),IF($B213="Định kỳ","Chưa bắt đầu","Hoàn thành"),$AN213)))</f>
      </c>
      <c r="AB213" s="222">
        <f>IF($A213="","",IF($AA213="Hoàn thành",1,IF(OR(N($AM213)=0,$AN213="Hoàn thành kỳ",$AN213="Hoàn thành"),0,N(INDEX('Nhật ký tiến độ'!$D:$D,$AM213)))))</f>
      </c>
      <c r="AC213" s="222">
        <f>IF(OR($A213="",$B213&lt;&gt;"Đột xuất",$AA213="Hoàn thành",N($J213)=0,$AW213=0),"",IF(TDBC&lt;=$J213,0,IF(TDBC&gt;=$AW213,1,(TDBC-$J213)/($AW213-$J213))))</f>
      </c>
      <c r="AD213" s="223">
        <f>IF($A213="","",IF($AA213="Hoàn thành","Hoàn thành",IF($AW213=0,"Chưa đặt hạn",IF(TDBC&gt;$AW213,"Quá hạn",IF(AND($B213="Đột xuất",ROUND((N($AC213)-$AB213)*100,0)&gt;=20),"Chậm tiến độ",IF($AP213=NgayBC,"Đến hạn hôm nay",IF($B213="Đột xuất",IF($AW213-TDBC&lt;=1,"Sắp đến hạn","Đúng tiến độ"),IF($AP213-NgayBC&lt;=3,"Sắp đến hạn","Theo lịch"))))))))</f>
      </c>
      <c r="AE213" s="223">
        <f>IF($AV213="","",IF($B213="Định kỳ","Bình quân "&amp;IF($AV213&lt;1,MAX(1,ROUND($AV213*60,0))&amp;" phút",IF(ROUND($AV213,0)&lt;24,ROUND($AV213,0)&amp;" giờ",INT(ROUND($AV213,0)/24)&amp;" ngày"&amp;IF(MOD(ROUND($AV213,0),24)&gt;0," "&amp;MOD(ROUND($AV213,0),24)&amp;" giờ","")))&amp;" mỗi kỳ",IF($AV213&lt;1,MAX(1,ROUND($AV213*60,0))&amp;" phút",IF(ROUND($AV213,0)&lt;24,ROUND($AV213,0)&amp;" giờ",INT(ROUND($AV213,0)/24)&amp;" ngày"&amp;IF(MOD(ROUND($AV213,0),24)&gt;0," "&amp;MOD(ROUND($AV213,0),24)&amp;" giờ","")))))</f>
      </c>
      <c r="AF213" s="223">
        <f>IF(OR($A213="",N($AU213)=0),"",IF($AV213&lt;&gt;"",IF($AV213&lt;=$AU213,"Trong ước tính","Vượt "&amp;IF(($AV213-$AU213)&lt;1,MAX(1,ROUND(($AV213-$AU213)*60,0))&amp;" phút",IF(ROUND(($AV213-$AU213),0)&lt;24,ROUND(($AV213-$AU213),0)&amp;" giờ",INT(ROUND(($AV213-$AU213),0)/24)&amp;" ngày"&amp;IF(MOD(ROUND(($AV213-$AU213),0),24)&gt;0," "&amp;MOD(ROUND(($AV213-$AU213),0),24)&amp;" giờ","")))),IF(OR($B213&lt;&gt;"Đột xuất",$AA213="Hoàn thành",N($J213)=0),"",IF((TDBC-$J213)*24&gt;$AU213,"Đã vượt ước tính","Đã dùng "&amp;TEXT((TDBC-$J213)*24/$AU213,"0%")))))</f>
      </c>
      <c r="AG213" s="223">
        <f>IF(N($BB213)=0,"",CHOOSE($BB213,"Nhắc nhở","Cảnh báo","Báo động","Báo động đỏ"))</f>
      </c>
      <c r="AH213" s="223">
        <f>IF(OR($B213&lt;&gt;"Đột xuất",$AA213&lt;&gt;"Hoàn thành",N($X213)=0,$AW213=0),"",IF($X213&lt;=$AW213,"Đúng hạn","Trễ hạn"))</f>
      </c>
      <c r="AI213" s="220">
        <f>IF($A213="","",_xlfn.MAXIFS('Nhật ký tiến độ'!$B$6:$B$3005,'Nhật ký tiến độ'!$C$6:$C$3005,$A213))</f>
      </c>
      <c r="AJ213" s="225">
        <f>IF(OR($A213="",$B213&lt;&gt;"Định kỳ"),0,IFERROR(INDEX(DM_TanSuatNgay,MATCH($H213,DM_TanSuat,0)),0))</f>
      </c>
      <c r="AK213" s="225">
        <f>IF(OR($A213="",$B213&lt;&gt;"Định kỳ"),0,IFERROR(INDEX(DM_TanSuatThang,MATCH($H213,DM_TanSuat,0)),0))</f>
      </c>
      <c r="AL213" s="225">
        <f>IF(OR($A213="",$B213&lt;&gt;"Định kỳ",N($X213)=0,N($I213)=0),"",IF(INT($X213)&lt;$I213,0,IF($AJ213&gt;0,ROUND((INT($X213)-$I213)/$AJ213,0),IF($AK213&gt;0,ROUND((DATEDIF($I213,INT($X213),"m")+(INT($X213)-EDATE($I213,DATEDIF($I213,INT($X213),"m")))/(EDATE($I213,DATEDIF($I213,INT($X213),"m")+1)-EDATE($I213,DATEDIF($I213,INT($X213),"m"))))/$AK213,0),0))))</f>
      </c>
      <c r="AM213" s="225">
        <f>IF($A213="","",IF(COUNTIF('Nhật ký tiến độ'!$C$6:$C$3005,$A213)=0,0,_xlfn.MAXIFS('Nhật ký tiến độ'!$N$6:$N$3005,'Nhật ký tiến độ'!$C$6:$C$3005,$A213,'Nhật ký tiến độ'!$B$6:$B$3005,_xlfn.MAXIFS('Nhật ký tiến độ'!$B$6:$B$3005,'Nhật ký tiến độ'!$C$6:$C$3005,$A213))))</f>
      </c>
      <c r="AN213" s="225">
        <f>IF($A213="","",IF(N($AM213)=0,"",INDEX('Nhật ký tiến độ'!$E:$E,$AM213)))</f>
      </c>
      <c r="AO213" s="225">
        <f>IF($A213="",0,IF($AA213="Hoàn thành",0,1))</f>
      </c>
      <c r="AP213" s="225">
        <f>IF($AO213=0,0,INT(N($AW213)))</f>
      </c>
      <c r="AQ213" s="225">
        <f>IF(AND($AO213=1,$AJ213&gt;1),$AJ213,0)</f>
      </c>
      <c r="AR213" s="225">
        <f>IF(AND($AO213=1,$AJ213=1),1,0)</f>
      </c>
      <c r="AS213" s="225">
        <f>IF(OR($AO213=0,AND($AR213=1,N($BB213)=0)),"",IF(N($BB213)&gt;0,5-$BB213,IF($AD213="Chậm tiến độ",6,IF($AD213="Đến hạn hôm nay",7,IF(AND($AP213&gt;0,$AP213-NgayBC&lt;=7),8,"")))))</f>
      </c>
      <c r="AT213" s="225">
        <f>IF($AS213="","",$AS213*100000+$AP213+ROW()/100000)</f>
      </c>
      <c r="AU213" s="224">
        <f>IF(OR($A213="",N($R213)&lt;=0),"",IF($S213="Ngày",$R213*24,$R213))</f>
      </c>
      <c r="AV213" s="224">
        <f>IF($A213="","",IF($B213="Đột xuất",IF(OR($AA213&lt;&gt;"Hoàn thành",N($X213)=0,N($J213)=0),"",IF($X213&lt;$J213,"",($X213-$J213)*24)),IFERROR(AVERAGEIFS('Nhật ký tiến độ'!$H$6:$H$3005,'Nhật ký tiến độ'!$C$6:$C$3005,$A213,'Nhật ký tiến độ'!$H$6:$H$3005,"&gt;0"),"")))</f>
      </c>
      <c r="AW213" s="233">
        <f>IF($A213="",0,IF($B213="Đột xuất",$AY213,IF($AX213=0,0,$AX213+1-1/1440)))</f>
      </c>
      <c r="AX213" s="234">
        <f>IF(OR($A213="",$B213&lt;&gt;"Định kỳ",N($I213)=0),0,IF($AL213="",$I213,IF($AJ213&gt;0,$I213+($AL213+1)*$AJ213,IF($AK213&gt;0,EDATE($I213,($AL213+1)*$AK213),$I213))))</f>
      </c>
      <c r="AY213" s="233">
        <f>IF(OR($A213="",$B213&lt;&gt;"Đột xuất"),0,IF(N($K213)&gt;0,IF(MOD($K213,1)=0,$K213+1-1/1440,$K213),IF(N($J213)=0,0,$J213+IF(N($AU213)&gt;0,$AU213,IFERROR(INDEX(DM_SLA_Gio,MATCH($L213,DM_SLA_Cap,0)),168))/24)))</f>
      </c>
      <c r="AZ213" s="225">
        <f>IF(OR($A213="",TRIM($N213)="",COUNTIF('Phản ánh'!$K$6:$K$505,$N213)&gt;0,COUNTIF($N$6:$N213,$N213)&gt;1),0,1)</f>
      </c>
      <c r="BA213" s="225">
        <f>IF($AZ213=1,SUM($AZ$6:$AZ213),"")</f>
      </c>
      <c r="BB213" s="225">
        <f>IF(OR($AO213=0,N($AW213)=0),0,IF(TDBC&lt;=$AW213,0,MAX(1,MIN(4,IF((TDBC-$AW213)*24&lt;24,1,IF((TDBC-$AW213)*24&lt;72,2,IF((TDBC-$AW213)*24&lt;168,3,4)))+IF($B213="Đột xuất",IFERROR(INDEX({2,1,0,-1},MATCH($L213,{"Khẩn cấp","Cao","Trung bình","Thấp"},0)),0),IF($D213="PCCC và an ninh",1,0))))))</f>
      </c>
    </row>
    <row r="214">
      <c r="A214" s="216"/>
      <c r="B214" s="216"/>
      <c r="C214" s="218"/>
      <c r="D214" s="218"/>
      <c r="E214" s="218"/>
      <c r="F214" s="216"/>
      <c r="G214" s="218"/>
      <c r="H214" s="218"/>
      <c r="I214" s="231"/>
      <c r="J214" s="217"/>
      <c r="K214" s="217"/>
      <c r="L214" s="216"/>
      <c r="M214" s="216"/>
      <c r="N214" s="218"/>
      <c r="O214" s="218"/>
      <c r="P214" s="218"/>
      <c r="Q214" s="218"/>
      <c r="R214" s="219"/>
      <c r="S214" s="216"/>
      <c r="T214" s="232"/>
      <c r="U214" s="232"/>
      <c r="V214" s="218"/>
      <c r="W214" s="218"/>
      <c r="X214" s="220">
        <f>IF($A214="","",IF(OR($B214="Định kỳ",$AA214="Hoàn thành"),MAX(_xlfn.MAXIFS('Nhật ký tiến độ'!$B$6:$B$3005,'Nhật ký tiến độ'!$C$6:$C$3005,$A214,'Nhật ký tiến độ'!$E$6:$E$3005,"Hoàn thành kỳ"),_xlfn.MAXIFS('Nhật ký tiến độ'!$B$6:$B$3005,'Nhật ký tiến độ'!$C$6:$C$3005,$A214,'Nhật ký tiến độ'!$E$6:$E$3005,"Hoàn thành")),0))</f>
      </c>
      <c r="Y214" s="220">
        <f>IF($A214="","",IF($B214="Đột xuất",IF($AY214=0,"",$AY214),IF($AX214=0,"",$AX214)))</f>
      </c>
      <c r="Z214" s="223">
        <f>IF(OR($AO214=0,$AW214=0),"",IF(TDBC&gt;$AW214,"Quá "&amp;IF($B214="Định kỳ",(NgayBC-$AP214)&amp;" ngày",IF(((TDBC-$AW214)*24)&lt;1,MAX(1,ROUND(((TDBC-$AW214)*24)*60,0))&amp;" phút",IF(ROUND(((TDBC-$AW214)*24),0)&lt;24,ROUND(((TDBC-$AW214)*24),0)&amp;" giờ",INT(ROUND(((TDBC-$AW214)*24),0)/24)&amp;" ngày"&amp;IF(MOD(ROUND(((TDBC-$AW214)*24),0),24)&gt;0," "&amp;MOD(ROUND(((TDBC-$AW214)*24),0),24)&amp;" giờ","")))),IF($B214="Định kỳ",IF($AP214=NgayBC,"Hôm nay","Còn "&amp;($AP214-NgayBC)&amp;" ngày"),"Còn "&amp;IF((($AW214-TDBC)*24)&lt;1,MAX(1,ROUND((($AW214-TDBC)*24)*60,0))&amp;" phút",IF(ROUND((($AW214-TDBC)*24),0)&lt;24,ROUND((($AW214-TDBC)*24),0)&amp;" giờ",INT(ROUND((($AW214-TDBC)*24),0)/24)&amp;" ngày"&amp;IF(MOD(ROUND((($AW214-TDBC)*24),0),24)&gt;0," "&amp;MOD(ROUND((($AW214-TDBC)*24),0),24)&amp;" giờ",""))))))</f>
      </c>
      <c r="AA214" s="221">
        <f>IF($A214="","",IF(N($AM214)=0,"Chưa bắt đầu",IF(OR($AN214="Hoàn thành kỳ",$AN214="Hoàn thành"),IF($B214="Định kỳ","Chưa bắt đầu","Hoàn thành"),$AN214)))</f>
      </c>
      <c r="AB214" s="222">
        <f>IF($A214="","",IF($AA214="Hoàn thành",1,IF(OR(N($AM214)=0,$AN214="Hoàn thành kỳ",$AN214="Hoàn thành"),0,N(INDEX('Nhật ký tiến độ'!$D:$D,$AM214)))))</f>
      </c>
      <c r="AC214" s="222">
        <f>IF(OR($A214="",$B214&lt;&gt;"Đột xuất",$AA214="Hoàn thành",N($J214)=0,$AW214=0),"",IF(TDBC&lt;=$J214,0,IF(TDBC&gt;=$AW214,1,(TDBC-$J214)/($AW214-$J214))))</f>
      </c>
      <c r="AD214" s="223">
        <f>IF($A214="","",IF($AA214="Hoàn thành","Hoàn thành",IF($AW214=0,"Chưa đặt hạn",IF(TDBC&gt;$AW214,"Quá hạn",IF(AND($B214="Đột xuất",ROUND((N($AC214)-$AB214)*100,0)&gt;=20),"Chậm tiến độ",IF($AP214=NgayBC,"Đến hạn hôm nay",IF($B214="Đột xuất",IF($AW214-TDBC&lt;=1,"Sắp đến hạn","Đúng tiến độ"),IF($AP214-NgayBC&lt;=3,"Sắp đến hạn","Theo lịch"))))))))</f>
      </c>
      <c r="AE214" s="223">
        <f>IF($AV214="","",IF($B214="Định kỳ","Bình quân "&amp;IF($AV214&lt;1,MAX(1,ROUND($AV214*60,0))&amp;" phút",IF(ROUND($AV214,0)&lt;24,ROUND($AV214,0)&amp;" giờ",INT(ROUND($AV214,0)/24)&amp;" ngày"&amp;IF(MOD(ROUND($AV214,0),24)&gt;0," "&amp;MOD(ROUND($AV214,0),24)&amp;" giờ","")))&amp;" mỗi kỳ",IF($AV214&lt;1,MAX(1,ROUND($AV214*60,0))&amp;" phút",IF(ROUND($AV214,0)&lt;24,ROUND($AV214,0)&amp;" giờ",INT(ROUND($AV214,0)/24)&amp;" ngày"&amp;IF(MOD(ROUND($AV214,0),24)&gt;0," "&amp;MOD(ROUND($AV214,0),24)&amp;" giờ","")))))</f>
      </c>
      <c r="AF214" s="223">
        <f>IF(OR($A214="",N($AU214)=0),"",IF($AV214&lt;&gt;"",IF($AV214&lt;=$AU214,"Trong ước tính","Vượt "&amp;IF(($AV214-$AU214)&lt;1,MAX(1,ROUND(($AV214-$AU214)*60,0))&amp;" phút",IF(ROUND(($AV214-$AU214),0)&lt;24,ROUND(($AV214-$AU214),0)&amp;" giờ",INT(ROUND(($AV214-$AU214),0)/24)&amp;" ngày"&amp;IF(MOD(ROUND(($AV214-$AU214),0),24)&gt;0," "&amp;MOD(ROUND(($AV214-$AU214),0),24)&amp;" giờ","")))),IF(OR($B214&lt;&gt;"Đột xuất",$AA214="Hoàn thành",N($J214)=0),"",IF((TDBC-$J214)*24&gt;$AU214,"Đã vượt ước tính","Đã dùng "&amp;TEXT((TDBC-$J214)*24/$AU214,"0%")))))</f>
      </c>
      <c r="AG214" s="223">
        <f>IF(N($BB214)=0,"",CHOOSE($BB214,"Nhắc nhở","Cảnh báo","Báo động","Báo động đỏ"))</f>
      </c>
      <c r="AH214" s="223">
        <f>IF(OR($B214&lt;&gt;"Đột xuất",$AA214&lt;&gt;"Hoàn thành",N($X214)=0,$AW214=0),"",IF($X214&lt;=$AW214,"Đúng hạn","Trễ hạn"))</f>
      </c>
      <c r="AI214" s="220">
        <f>IF($A214="","",_xlfn.MAXIFS('Nhật ký tiến độ'!$B$6:$B$3005,'Nhật ký tiến độ'!$C$6:$C$3005,$A214))</f>
      </c>
      <c r="AJ214" s="225">
        <f>IF(OR($A214="",$B214&lt;&gt;"Định kỳ"),0,IFERROR(INDEX(DM_TanSuatNgay,MATCH($H214,DM_TanSuat,0)),0))</f>
      </c>
      <c r="AK214" s="225">
        <f>IF(OR($A214="",$B214&lt;&gt;"Định kỳ"),0,IFERROR(INDEX(DM_TanSuatThang,MATCH($H214,DM_TanSuat,0)),0))</f>
      </c>
      <c r="AL214" s="225">
        <f>IF(OR($A214="",$B214&lt;&gt;"Định kỳ",N($X214)=0,N($I214)=0),"",IF(INT($X214)&lt;$I214,0,IF($AJ214&gt;0,ROUND((INT($X214)-$I214)/$AJ214,0),IF($AK214&gt;0,ROUND((DATEDIF($I214,INT($X214),"m")+(INT($X214)-EDATE($I214,DATEDIF($I214,INT($X214),"m")))/(EDATE($I214,DATEDIF($I214,INT($X214),"m")+1)-EDATE($I214,DATEDIF($I214,INT($X214),"m"))))/$AK214,0),0))))</f>
      </c>
      <c r="AM214" s="225">
        <f>IF($A214="","",IF(COUNTIF('Nhật ký tiến độ'!$C$6:$C$3005,$A214)=0,0,_xlfn.MAXIFS('Nhật ký tiến độ'!$N$6:$N$3005,'Nhật ký tiến độ'!$C$6:$C$3005,$A214,'Nhật ký tiến độ'!$B$6:$B$3005,_xlfn.MAXIFS('Nhật ký tiến độ'!$B$6:$B$3005,'Nhật ký tiến độ'!$C$6:$C$3005,$A214))))</f>
      </c>
      <c r="AN214" s="225">
        <f>IF($A214="","",IF(N($AM214)=0,"",INDEX('Nhật ký tiến độ'!$E:$E,$AM214)))</f>
      </c>
      <c r="AO214" s="225">
        <f>IF($A214="",0,IF($AA214="Hoàn thành",0,1))</f>
      </c>
      <c r="AP214" s="225">
        <f>IF($AO214=0,0,INT(N($AW214)))</f>
      </c>
      <c r="AQ214" s="225">
        <f>IF(AND($AO214=1,$AJ214&gt;1),$AJ214,0)</f>
      </c>
      <c r="AR214" s="225">
        <f>IF(AND($AO214=1,$AJ214=1),1,0)</f>
      </c>
      <c r="AS214" s="225">
        <f>IF(OR($AO214=0,AND($AR214=1,N($BB214)=0)),"",IF(N($BB214)&gt;0,5-$BB214,IF($AD214="Chậm tiến độ",6,IF($AD214="Đến hạn hôm nay",7,IF(AND($AP214&gt;0,$AP214-NgayBC&lt;=7),8,"")))))</f>
      </c>
      <c r="AT214" s="225">
        <f>IF($AS214="","",$AS214*100000+$AP214+ROW()/100000)</f>
      </c>
      <c r="AU214" s="224">
        <f>IF(OR($A214="",N($R214)&lt;=0),"",IF($S214="Ngày",$R214*24,$R214))</f>
      </c>
      <c r="AV214" s="224">
        <f>IF($A214="","",IF($B214="Đột xuất",IF(OR($AA214&lt;&gt;"Hoàn thành",N($X214)=0,N($J214)=0),"",IF($X214&lt;$J214,"",($X214-$J214)*24)),IFERROR(AVERAGEIFS('Nhật ký tiến độ'!$H$6:$H$3005,'Nhật ký tiến độ'!$C$6:$C$3005,$A214,'Nhật ký tiến độ'!$H$6:$H$3005,"&gt;0"),"")))</f>
      </c>
      <c r="AW214" s="233">
        <f>IF($A214="",0,IF($B214="Đột xuất",$AY214,IF($AX214=0,0,$AX214+1-1/1440)))</f>
      </c>
      <c r="AX214" s="234">
        <f>IF(OR($A214="",$B214&lt;&gt;"Định kỳ",N($I214)=0),0,IF($AL214="",$I214,IF($AJ214&gt;0,$I214+($AL214+1)*$AJ214,IF($AK214&gt;0,EDATE($I214,($AL214+1)*$AK214),$I214))))</f>
      </c>
      <c r="AY214" s="233">
        <f>IF(OR($A214="",$B214&lt;&gt;"Đột xuất"),0,IF(N($K214)&gt;0,IF(MOD($K214,1)=0,$K214+1-1/1440,$K214),IF(N($J214)=0,0,$J214+IF(N($AU214)&gt;0,$AU214,IFERROR(INDEX(DM_SLA_Gio,MATCH($L214,DM_SLA_Cap,0)),168))/24)))</f>
      </c>
      <c r="AZ214" s="225">
        <f>IF(OR($A214="",TRIM($N214)="",COUNTIF('Phản ánh'!$K$6:$K$505,$N214)&gt;0,COUNTIF($N$6:$N214,$N214)&gt;1),0,1)</f>
      </c>
      <c r="BA214" s="225">
        <f>IF($AZ214=1,SUM($AZ$6:$AZ214),"")</f>
      </c>
      <c r="BB214" s="225">
        <f>IF(OR($AO214=0,N($AW214)=0),0,IF(TDBC&lt;=$AW214,0,MAX(1,MIN(4,IF((TDBC-$AW214)*24&lt;24,1,IF((TDBC-$AW214)*24&lt;72,2,IF((TDBC-$AW214)*24&lt;168,3,4)))+IF($B214="Đột xuất",IFERROR(INDEX({2,1,0,-1},MATCH($L214,{"Khẩn cấp","Cao","Trung bình","Thấp"},0)),0),IF($D214="PCCC và an ninh",1,0))))))</f>
      </c>
    </row>
    <row r="215">
      <c r="A215" s="216"/>
      <c r="B215" s="216"/>
      <c r="C215" s="218"/>
      <c r="D215" s="218"/>
      <c r="E215" s="218"/>
      <c r="F215" s="216"/>
      <c r="G215" s="218"/>
      <c r="H215" s="218"/>
      <c r="I215" s="231"/>
      <c r="J215" s="217"/>
      <c r="K215" s="217"/>
      <c r="L215" s="216"/>
      <c r="M215" s="216"/>
      <c r="N215" s="218"/>
      <c r="O215" s="218"/>
      <c r="P215" s="218"/>
      <c r="Q215" s="218"/>
      <c r="R215" s="219"/>
      <c r="S215" s="216"/>
      <c r="T215" s="232"/>
      <c r="U215" s="232"/>
      <c r="V215" s="218"/>
      <c r="W215" s="218"/>
      <c r="X215" s="220">
        <f>IF($A215="","",IF(OR($B215="Định kỳ",$AA215="Hoàn thành"),MAX(_xlfn.MAXIFS('Nhật ký tiến độ'!$B$6:$B$3005,'Nhật ký tiến độ'!$C$6:$C$3005,$A215,'Nhật ký tiến độ'!$E$6:$E$3005,"Hoàn thành kỳ"),_xlfn.MAXIFS('Nhật ký tiến độ'!$B$6:$B$3005,'Nhật ký tiến độ'!$C$6:$C$3005,$A215,'Nhật ký tiến độ'!$E$6:$E$3005,"Hoàn thành")),0))</f>
      </c>
      <c r="Y215" s="220">
        <f>IF($A215="","",IF($B215="Đột xuất",IF($AY215=0,"",$AY215),IF($AX215=0,"",$AX215)))</f>
      </c>
      <c r="Z215" s="223">
        <f>IF(OR($AO215=0,$AW215=0),"",IF(TDBC&gt;$AW215,"Quá "&amp;IF($B215="Định kỳ",(NgayBC-$AP215)&amp;" ngày",IF(((TDBC-$AW215)*24)&lt;1,MAX(1,ROUND(((TDBC-$AW215)*24)*60,0))&amp;" phút",IF(ROUND(((TDBC-$AW215)*24),0)&lt;24,ROUND(((TDBC-$AW215)*24),0)&amp;" giờ",INT(ROUND(((TDBC-$AW215)*24),0)/24)&amp;" ngày"&amp;IF(MOD(ROUND(((TDBC-$AW215)*24),0),24)&gt;0," "&amp;MOD(ROUND(((TDBC-$AW215)*24),0),24)&amp;" giờ","")))),IF($B215="Định kỳ",IF($AP215=NgayBC,"Hôm nay","Còn "&amp;($AP215-NgayBC)&amp;" ngày"),"Còn "&amp;IF((($AW215-TDBC)*24)&lt;1,MAX(1,ROUND((($AW215-TDBC)*24)*60,0))&amp;" phút",IF(ROUND((($AW215-TDBC)*24),0)&lt;24,ROUND((($AW215-TDBC)*24),0)&amp;" giờ",INT(ROUND((($AW215-TDBC)*24),0)/24)&amp;" ngày"&amp;IF(MOD(ROUND((($AW215-TDBC)*24),0),24)&gt;0," "&amp;MOD(ROUND((($AW215-TDBC)*24),0),24)&amp;" giờ",""))))))</f>
      </c>
      <c r="AA215" s="221">
        <f>IF($A215="","",IF(N($AM215)=0,"Chưa bắt đầu",IF(OR($AN215="Hoàn thành kỳ",$AN215="Hoàn thành"),IF($B215="Định kỳ","Chưa bắt đầu","Hoàn thành"),$AN215)))</f>
      </c>
      <c r="AB215" s="222">
        <f>IF($A215="","",IF($AA215="Hoàn thành",1,IF(OR(N($AM215)=0,$AN215="Hoàn thành kỳ",$AN215="Hoàn thành"),0,N(INDEX('Nhật ký tiến độ'!$D:$D,$AM215)))))</f>
      </c>
      <c r="AC215" s="222">
        <f>IF(OR($A215="",$B215&lt;&gt;"Đột xuất",$AA215="Hoàn thành",N($J215)=0,$AW215=0),"",IF(TDBC&lt;=$J215,0,IF(TDBC&gt;=$AW215,1,(TDBC-$J215)/($AW215-$J215))))</f>
      </c>
      <c r="AD215" s="223">
        <f>IF($A215="","",IF($AA215="Hoàn thành","Hoàn thành",IF($AW215=0,"Chưa đặt hạn",IF(TDBC&gt;$AW215,"Quá hạn",IF(AND($B215="Đột xuất",ROUND((N($AC215)-$AB215)*100,0)&gt;=20),"Chậm tiến độ",IF($AP215=NgayBC,"Đến hạn hôm nay",IF($B215="Đột xuất",IF($AW215-TDBC&lt;=1,"Sắp đến hạn","Đúng tiến độ"),IF($AP215-NgayBC&lt;=3,"Sắp đến hạn","Theo lịch"))))))))</f>
      </c>
      <c r="AE215" s="223">
        <f>IF($AV215="","",IF($B215="Định kỳ","Bình quân "&amp;IF($AV215&lt;1,MAX(1,ROUND($AV215*60,0))&amp;" phút",IF(ROUND($AV215,0)&lt;24,ROUND($AV215,0)&amp;" giờ",INT(ROUND($AV215,0)/24)&amp;" ngày"&amp;IF(MOD(ROUND($AV215,0),24)&gt;0," "&amp;MOD(ROUND($AV215,0),24)&amp;" giờ","")))&amp;" mỗi kỳ",IF($AV215&lt;1,MAX(1,ROUND($AV215*60,0))&amp;" phút",IF(ROUND($AV215,0)&lt;24,ROUND($AV215,0)&amp;" giờ",INT(ROUND($AV215,0)/24)&amp;" ngày"&amp;IF(MOD(ROUND($AV215,0),24)&gt;0," "&amp;MOD(ROUND($AV215,0),24)&amp;" giờ","")))))</f>
      </c>
      <c r="AF215" s="223">
        <f>IF(OR($A215="",N($AU215)=0),"",IF($AV215&lt;&gt;"",IF($AV215&lt;=$AU215,"Trong ước tính","Vượt "&amp;IF(($AV215-$AU215)&lt;1,MAX(1,ROUND(($AV215-$AU215)*60,0))&amp;" phút",IF(ROUND(($AV215-$AU215),0)&lt;24,ROUND(($AV215-$AU215),0)&amp;" giờ",INT(ROUND(($AV215-$AU215),0)/24)&amp;" ngày"&amp;IF(MOD(ROUND(($AV215-$AU215),0),24)&gt;0," "&amp;MOD(ROUND(($AV215-$AU215),0),24)&amp;" giờ","")))),IF(OR($B215&lt;&gt;"Đột xuất",$AA215="Hoàn thành",N($J215)=0),"",IF((TDBC-$J215)*24&gt;$AU215,"Đã vượt ước tính","Đã dùng "&amp;TEXT((TDBC-$J215)*24/$AU215,"0%")))))</f>
      </c>
      <c r="AG215" s="223">
        <f>IF(N($BB215)=0,"",CHOOSE($BB215,"Nhắc nhở","Cảnh báo","Báo động","Báo động đỏ"))</f>
      </c>
      <c r="AH215" s="223">
        <f>IF(OR($B215&lt;&gt;"Đột xuất",$AA215&lt;&gt;"Hoàn thành",N($X215)=0,$AW215=0),"",IF($X215&lt;=$AW215,"Đúng hạn","Trễ hạn"))</f>
      </c>
      <c r="AI215" s="220">
        <f>IF($A215="","",_xlfn.MAXIFS('Nhật ký tiến độ'!$B$6:$B$3005,'Nhật ký tiến độ'!$C$6:$C$3005,$A215))</f>
      </c>
      <c r="AJ215" s="225">
        <f>IF(OR($A215="",$B215&lt;&gt;"Định kỳ"),0,IFERROR(INDEX(DM_TanSuatNgay,MATCH($H215,DM_TanSuat,0)),0))</f>
      </c>
      <c r="AK215" s="225">
        <f>IF(OR($A215="",$B215&lt;&gt;"Định kỳ"),0,IFERROR(INDEX(DM_TanSuatThang,MATCH($H215,DM_TanSuat,0)),0))</f>
      </c>
      <c r="AL215" s="225">
        <f>IF(OR($A215="",$B215&lt;&gt;"Định kỳ",N($X215)=0,N($I215)=0),"",IF(INT($X215)&lt;$I215,0,IF($AJ215&gt;0,ROUND((INT($X215)-$I215)/$AJ215,0),IF($AK215&gt;0,ROUND((DATEDIF($I215,INT($X215),"m")+(INT($X215)-EDATE($I215,DATEDIF($I215,INT($X215),"m")))/(EDATE($I215,DATEDIF($I215,INT($X215),"m")+1)-EDATE($I215,DATEDIF($I215,INT($X215),"m"))))/$AK215,0),0))))</f>
      </c>
      <c r="AM215" s="225">
        <f>IF($A215="","",IF(COUNTIF('Nhật ký tiến độ'!$C$6:$C$3005,$A215)=0,0,_xlfn.MAXIFS('Nhật ký tiến độ'!$N$6:$N$3005,'Nhật ký tiến độ'!$C$6:$C$3005,$A215,'Nhật ký tiến độ'!$B$6:$B$3005,_xlfn.MAXIFS('Nhật ký tiến độ'!$B$6:$B$3005,'Nhật ký tiến độ'!$C$6:$C$3005,$A215))))</f>
      </c>
      <c r="AN215" s="225">
        <f>IF($A215="","",IF(N($AM215)=0,"",INDEX('Nhật ký tiến độ'!$E:$E,$AM215)))</f>
      </c>
      <c r="AO215" s="225">
        <f>IF($A215="",0,IF($AA215="Hoàn thành",0,1))</f>
      </c>
      <c r="AP215" s="225">
        <f>IF($AO215=0,0,INT(N($AW215)))</f>
      </c>
      <c r="AQ215" s="225">
        <f>IF(AND($AO215=1,$AJ215&gt;1),$AJ215,0)</f>
      </c>
      <c r="AR215" s="225">
        <f>IF(AND($AO215=1,$AJ215=1),1,0)</f>
      </c>
      <c r="AS215" s="225">
        <f>IF(OR($AO215=0,AND($AR215=1,N($BB215)=0)),"",IF(N($BB215)&gt;0,5-$BB215,IF($AD215="Chậm tiến độ",6,IF($AD215="Đến hạn hôm nay",7,IF(AND($AP215&gt;0,$AP215-NgayBC&lt;=7),8,"")))))</f>
      </c>
      <c r="AT215" s="225">
        <f>IF($AS215="","",$AS215*100000+$AP215+ROW()/100000)</f>
      </c>
      <c r="AU215" s="224">
        <f>IF(OR($A215="",N($R215)&lt;=0),"",IF($S215="Ngày",$R215*24,$R215))</f>
      </c>
      <c r="AV215" s="224">
        <f>IF($A215="","",IF($B215="Đột xuất",IF(OR($AA215&lt;&gt;"Hoàn thành",N($X215)=0,N($J215)=0),"",IF($X215&lt;$J215,"",($X215-$J215)*24)),IFERROR(AVERAGEIFS('Nhật ký tiến độ'!$H$6:$H$3005,'Nhật ký tiến độ'!$C$6:$C$3005,$A215,'Nhật ký tiến độ'!$H$6:$H$3005,"&gt;0"),"")))</f>
      </c>
      <c r="AW215" s="233">
        <f>IF($A215="",0,IF($B215="Đột xuất",$AY215,IF($AX215=0,0,$AX215+1-1/1440)))</f>
      </c>
      <c r="AX215" s="234">
        <f>IF(OR($A215="",$B215&lt;&gt;"Định kỳ",N($I215)=0),0,IF($AL215="",$I215,IF($AJ215&gt;0,$I215+($AL215+1)*$AJ215,IF($AK215&gt;0,EDATE($I215,($AL215+1)*$AK215),$I215))))</f>
      </c>
      <c r="AY215" s="233">
        <f>IF(OR($A215="",$B215&lt;&gt;"Đột xuất"),0,IF(N($K215)&gt;0,IF(MOD($K215,1)=0,$K215+1-1/1440,$K215),IF(N($J215)=0,0,$J215+IF(N($AU215)&gt;0,$AU215,IFERROR(INDEX(DM_SLA_Gio,MATCH($L215,DM_SLA_Cap,0)),168))/24)))</f>
      </c>
      <c r="AZ215" s="225">
        <f>IF(OR($A215="",TRIM($N215)="",COUNTIF('Phản ánh'!$K$6:$K$505,$N215)&gt;0,COUNTIF($N$6:$N215,$N215)&gt;1),0,1)</f>
      </c>
      <c r="BA215" s="225">
        <f>IF($AZ215=1,SUM($AZ$6:$AZ215),"")</f>
      </c>
      <c r="BB215" s="225">
        <f>IF(OR($AO215=0,N($AW215)=0),0,IF(TDBC&lt;=$AW215,0,MAX(1,MIN(4,IF((TDBC-$AW215)*24&lt;24,1,IF((TDBC-$AW215)*24&lt;72,2,IF((TDBC-$AW215)*24&lt;168,3,4)))+IF($B215="Đột xuất",IFERROR(INDEX({2,1,0,-1},MATCH($L215,{"Khẩn cấp","Cao","Trung bình","Thấp"},0)),0),IF($D215="PCCC và an ninh",1,0))))))</f>
      </c>
    </row>
    <row r="216">
      <c r="A216" s="216"/>
      <c r="B216" s="216"/>
      <c r="C216" s="218"/>
      <c r="D216" s="218"/>
      <c r="E216" s="218"/>
      <c r="F216" s="216"/>
      <c r="G216" s="218"/>
      <c r="H216" s="218"/>
      <c r="I216" s="231"/>
      <c r="J216" s="217"/>
      <c r="K216" s="217"/>
      <c r="L216" s="216"/>
      <c r="M216" s="216"/>
      <c r="N216" s="218"/>
      <c r="O216" s="218"/>
      <c r="P216" s="218"/>
      <c r="Q216" s="218"/>
      <c r="R216" s="219"/>
      <c r="S216" s="216"/>
      <c r="T216" s="232"/>
      <c r="U216" s="232"/>
      <c r="V216" s="218"/>
      <c r="W216" s="218"/>
      <c r="X216" s="220">
        <f>IF($A216="","",IF(OR($B216="Định kỳ",$AA216="Hoàn thành"),MAX(_xlfn.MAXIFS('Nhật ký tiến độ'!$B$6:$B$3005,'Nhật ký tiến độ'!$C$6:$C$3005,$A216,'Nhật ký tiến độ'!$E$6:$E$3005,"Hoàn thành kỳ"),_xlfn.MAXIFS('Nhật ký tiến độ'!$B$6:$B$3005,'Nhật ký tiến độ'!$C$6:$C$3005,$A216,'Nhật ký tiến độ'!$E$6:$E$3005,"Hoàn thành")),0))</f>
      </c>
      <c r="Y216" s="220">
        <f>IF($A216="","",IF($B216="Đột xuất",IF($AY216=0,"",$AY216),IF($AX216=0,"",$AX216)))</f>
      </c>
      <c r="Z216" s="223">
        <f>IF(OR($AO216=0,$AW216=0),"",IF(TDBC&gt;$AW216,"Quá "&amp;IF($B216="Định kỳ",(NgayBC-$AP216)&amp;" ngày",IF(((TDBC-$AW216)*24)&lt;1,MAX(1,ROUND(((TDBC-$AW216)*24)*60,0))&amp;" phút",IF(ROUND(((TDBC-$AW216)*24),0)&lt;24,ROUND(((TDBC-$AW216)*24),0)&amp;" giờ",INT(ROUND(((TDBC-$AW216)*24),0)/24)&amp;" ngày"&amp;IF(MOD(ROUND(((TDBC-$AW216)*24),0),24)&gt;0," "&amp;MOD(ROUND(((TDBC-$AW216)*24),0),24)&amp;" giờ","")))),IF($B216="Định kỳ",IF($AP216=NgayBC,"Hôm nay","Còn "&amp;($AP216-NgayBC)&amp;" ngày"),"Còn "&amp;IF((($AW216-TDBC)*24)&lt;1,MAX(1,ROUND((($AW216-TDBC)*24)*60,0))&amp;" phút",IF(ROUND((($AW216-TDBC)*24),0)&lt;24,ROUND((($AW216-TDBC)*24),0)&amp;" giờ",INT(ROUND((($AW216-TDBC)*24),0)/24)&amp;" ngày"&amp;IF(MOD(ROUND((($AW216-TDBC)*24),0),24)&gt;0," "&amp;MOD(ROUND((($AW216-TDBC)*24),0),24)&amp;" giờ",""))))))</f>
      </c>
      <c r="AA216" s="221">
        <f>IF($A216="","",IF(N($AM216)=0,"Chưa bắt đầu",IF(OR($AN216="Hoàn thành kỳ",$AN216="Hoàn thành"),IF($B216="Định kỳ","Chưa bắt đầu","Hoàn thành"),$AN216)))</f>
      </c>
      <c r="AB216" s="222">
        <f>IF($A216="","",IF($AA216="Hoàn thành",1,IF(OR(N($AM216)=0,$AN216="Hoàn thành kỳ",$AN216="Hoàn thành"),0,N(INDEX('Nhật ký tiến độ'!$D:$D,$AM216)))))</f>
      </c>
      <c r="AC216" s="222">
        <f>IF(OR($A216="",$B216&lt;&gt;"Đột xuất",$AA216="Hoàn thành",N($J216)=0,$AW216=0),"",IF(TDBC&lt;=$J216,0,IF(TDBC&gt;=$AW216,1,(TDBC-$J216)/($AW216-$J216))))</f>
      </c>
      <c r="AD216" s="223">
        <f>IF($A216="","",IF($AA216="Hoàn thành","Hoàn thành",IF($AW216=0,"Chưa đặt hạn",IF(TDBC&gt;$AW216,"Quá hạn",IF(AND($B216="Đột xuất",ROUND((N($AC216)-$AB216)*100,0)&gt;=20),"Chậm tiến độ",IF($AP216=NgayBC,"Đến hạn hôm nay",IF($B216="Đột xuất",IF($AW216-TDBC&lt;=1,"Sắp đến hạn","Đúng tiến độ"),IF($AP216-NgayBC&lt;=3,"Sắp đến hạn","Theo lịch"))))))))</f>
      </c>
      <c r="AE216" s="223">
        <f>IF($AV216="","",IF($B216="Định kỳ","Bình quân "&amp;IF($AV216&lt;1,MAX(1,ROUND($AV216*60,0))&amp;" phút",IF(ROUND($AV216,0)&lt;24,ROUND($AV216,0)&amp;" giờ",INT(ROUND($AV216,0)/24)&amp;" ngày"&amp;IF(MOD(ROUND($AV216,0),24)&gt;0," "&amp;MOD(ROUND($AV216,0),24)&amp;" giờ","")))&amp;" mỗi kỳ",IF($AV216&lt;1,MAX(1,ROUND($AV216*60,0))&amp;" phút",IF(ROUND($AV216,0)&lt;24,ROUND($AV216,0)&amp;" giờ",INT(ROUND($AV216,0)/24)&amp;" ngày"&amp;IF(MOD(ROUND($AV216,0),24)&gt;0," "&amp;MOD(ROUND($AV216,0),24)&amp;" giờ","")))))</f>
      </c>
      <c r="AF216" s="223">
        <f>IF(OR($A216="",N($AU216)=0),"",IF($AV216&lt;&gt;"",IF($AV216&lt;=$AU216,"Trong ước tính","Vượt "&amp;IF(($AV216-$AU216)&lt;1,MAX(1,ROUND(($AV216-$AU216)*60,0))&amp;" phút",IF(ROUND(($AV216-$AU216),0)&lt;24,ROUND(($AV216-$AU216),0)&amp;" giờ",INT(ROUND(($AV216-$AU216),0)/24)&amp;" ngày"&amp;IF(MOD(ROUND(($AV216-$AU216),0),24)&gt;0," "&amp;MOD(ROUND(($AV216-$AU216),0),24)&amp;" giờ","")))),IF(OR($B216&lt;&gt;"Đột xuất",$AA216="Hoàn thành",N($J216)=0),"",IF((TDBC-$J216)*24&gt;$AU216,"Đã vượt ước tính","Đã dùng "&amp;TEXT((TDBC-$J216)*24/$AU216,"0%")))))</f>
      </c>
      <c r="AG216" s="223">
        <f>IF(N($BB216)=0,"",CHOOSE($BB216,"Nhắc nhở","Cảnh báo","Báo động","Báo động đỏ"))</f>
      </c>
      <c r="AH216" s="223">
        <f>IF(OR($B216&lt;&gt;"Đột xuất",$AA216&lt;&gt;"Hoàn thành",N($X216)=0,$AW216=0),"",IF($X216&lt;=$AW216,"Đúng hạn","Trễ hạn"))</f>
      </c>
      <c r="AI216" s="220">
        <f>IF($A216="","",_xlfn.MAXIFS('Nhật ký tiến độ'!$B$6:$B$3005,'Nhật ký tiến độ'!$C$6:$C$3005,$A216))</f>
      </c>
      <c r="AJ216" s="225">
        <f>IF(OR($A216="",$B216&lt;&gt;"Định kỳ"),0,IFERROR(INDEX(DM_TanSuatNgay,MATCH($H216,DM_TanSuat,0)),0))</f>
      </c>
      <c r="AK216" s="225">
        <f>IF(OR($A216="",$B216&lt;&gt;"Định kỳ"),0,IFERROR(INDEX(DM_TanSuatThang,MATCH($H216,DM_TanSuat,0)),0))</f>
      </c>
      <c r="AL216" s="225">
        <f>IF(OR($A216="",$B216&lt;&gt;"Định kỳ",N($X216)=0,N($I216)=0),"",IF(INT($X216)&lt;$I216,0,IF($AJ216&gt;0,ROUND((INT($X216)-$I216)/$AJ216,0),IF($AK216&gt;0,ROUND((DATEDIF($I216,INT($X216),"m")+(INT($X216)-EDATE($I216,DATEDIF($I216,INT($X216),"m")))/(EDATE($I216,DATEDIF($I216,INT($X216),"m")+1)-EDATE($I216,DATEDIF($I216,INT($X216),"m"))))/$AK216,0),0))))</f>
      </c>
      <c r="AM216" s="225">
        <f>IF($A216="","",IF(COUNTIF('Nhật ký tiến độ'!$C$6:$C$3005,$A216)=0,0,_xlfn.MAXIFS('Nhật ký tiến độ'!$N$6:$N$3005,'Nhật ký tiến độ'!$C$6:$C$3005,$A216,'Nhật ký tiến độ'!$B$6:$B$3005,_xlfn.MAXIFS('Nhật ký tiến độ'!$B$6:$B$3005,'Nhật ký tiến độ'!$C$6:$C$3005,$A216))))</f>
      </c>
      <c r="AN216" s="225">
        <f>IF($A216="","",IF(N($AM216)=0,"",INDEX('Nhật ký tiến độ'!$E:$E,$AM216)))</f>
      </c>
      <c r="AO216" s="225">
        <f>IF($A216="",0,IF($AA216="Hoàn thành",0,1))</f>
      </c>
      <c r="AP216" s="225">
        <f>IF($AO216=0,0,INT(N($AW216)))</f>
      </c>
      <c r="AQ216" s="225">
        <f>IF(AND($AO216=1,$AJ216&gt;1),$AJ216,0)</f>
      </c>
      <c r="AR216" s="225">
        <f>IF(AND($AO216=1,$AJ216=1),1,0)</f>
      </c>
      <c r="AS216" s="225">
        <f>IF(OR($AO216=0,AND($AR216=1,N($BB216)=0)),"",IF(N($BB216)&gt;0,5-$BB216,IF($AD216="Chậm tiến độ",6,IF($AD216="Đến hạn hôm nay",7,IF(AND($AP216&gt;0,$AP216-NgayBC&lt;=7),8,"")))))</f>
      </c>
      <c r="AT216" s="225">
        <f>IF($AS216="","",$AS216*100000+$AP216+ROW()/100000)</f>
      </c>
      <c r="AU216" s="224">
        <f>IF(OR($A216="",N($R216)&lt;=0),"",IF($S216="Ngày",$R216*24,$R216))</f>
      </c>
      <c r="AV216" s="224">
        <f>IF($A216="","",IF($B216="Đột xuất",IF(OR($AA216&lt;&gt;"Hoàn thành",N($X216)=0,N($J216)=0),"",IF($X216&lt;$J216,"",($X216-$J216)*24)),IFERROR(AVERAGEIFS('Nhật ký tiến độ'!$H$6:$H$3005,'Nhật ký tiến độ'!$C$6:$C$3005,$A216,'Nhật ký tiến độ'!$H$6:$H$3005,"&gt;0"),"")))</f>
      </c>
      <c r="AW216" s="233">
        <f>IF($A216="",0,IF($B216="Đột xuất",$AY216,IF($AX216=0,0,$AX216+1-1/1440)))</f>
      </c>
      <c r="AX216" s="234">
        <f>IF(OR($A216="",$B216&lt;&gt;"Định kỳ",N($I216)=0),0,IF($AL216="",$I216,IF($AJ216&gt;0,$I216+($AL216+1)*$AJ216,IF($AK216&gt;0,EDATE($I216,($AL216+1)*$AK216),$I216))))</f>
      </c>
      <c r="AY216" s="233">
        <f>IF(OR($A216="",$B216&lt;&gt;"Đột xuất"),0,IF(N($K216)&gt;0,IF(MOD($K216,1)=0,$K216+1-1/1440,$K216),IF(N($J216)=0,0,$J216+IF(N($AU216)&gt;0,$AU216,IFERROR(INDEX(DM_SLA_Gio,MATCH($L216,DM_SLA_Cap,0)),168))/24)))</f>
      </c>
      <c r="AZ216" s="225">
        <f>IF(OR($A216="",TRIM($N216)="",COUNTIF('Phản ánh'!$K$6:$K$505,$N216)&gt;0,COUNTIF($N$6:$N216,$N216)&gt;1),0,1)</f>
      </c>
      <c r="BA216" s="225">
        <f>IF($AZ216=1,SUM($AZ$6:$AZ216),"")</f>
      </c>
      <c r="BB216" s="225">
        <f>IF(OR($AO216=0,N($AW216)=0),0,IF(TDBC&lt;=$AW216,0,MAX(1,MIN(4,IF((TDBC-$AW216)*24&lt;24,1,IF((TDBC-$AW216)*24&lt;72,2,IF((TDBC-$AW216)*24&lt;168,3,4)))+IF($B216="Đột xuất",IFERROR(INDEX({2,1,0,-1},MATCH($L216,{"Khẩn cấp","Cao","Trung bình","Thấp"},0)),0),IF($D216="PCCC và an ninh",1,0))))))</f>
      </c>
    </row>
    <row r="217">
      <c r="A217" s="216"/>
      <c r="B217" s="216"/>
      <c r="C217" s="218"/>
      <c r="D217" s="218"/>
      <c r="E217" s="218"/>
      <c r="F217" s="216"/>
      <c r="G217" s="218"/>
      <c r="H217" s="218"/>
      <c r="I217" s="231"/>
      <c r="J217" s="217"/>
      <c r="K217" s="217"/>
      <c r="L217" s="216"/>
      <c r="M217" s="216"/>
      <c r="N217" s="218"/>
      <c r="O217" s="218"/>
      <c r="P217" s="218"/>
      <c r="Q217" s="218"/>
      <c r="R217" s="219"/>
      <c r="S217" s="216"/>
      <c r="T217" s="232"/>
      <c r="U217" s="232"/>
      <c r="V217" s="218"/>
      <c r="W217" s="218"/>
      <c r="X217" s="220">
        <f>IF($A217="","",IF(OR($B217="Định kỳ",$AA217="Hoàn thành"),MAX(_xlfn.MAXIFS('Nhật ký tiến độ'!$B$6:$B$3005,'Nhật ký tiến độ'!$C$6:$C$3005,$A217,'Nhật ký tiến độ'!$E$6:$E$3005,"Hoàn thành kỳ"),_xlfn.MAXIFS('Nhật ký tiến độ'!$B$6:$B$3005,'Nhật ký tiến độ'!$C$6:$C$3005,$A217,'Nhật ký tiến độ'!$E$6:$E$3005,"Hoàn thành")),0))</f>
      </c>
      <c r="Y217" s="220">
        <f>IF($A217="","",IF($B217="Đột xuất",IF($AY217=0,"",$AY217),IF($AX217=0,"",$AX217)))</f>
      </c>
      <c r="Z217" s="223">
        <f>IF(OR($AO217=0,$AW217=0),"",IF(TDBC&gt;$AW217,"Quá "&amp;IF($B217="Định kỳ",(NgayBC-$AP217)&amp;" ngày",IF(((TDBC-$AW217)*24)&lt;1,MAX(1,ROUND(((TDBC-$AW217)*24)*60,0))&amp;" phút",IF(ROUND(((TDBC-$AW217)*24),0)&lt;24,ROUND(((TDBC-$AW217)*24),0)&amp;" giờ",INT(ROUND(((TDBC-$AW217)*24),0)/24)&amp;" ngày"&amp;IF(MOD(ROUND(((TDBC-$AW217)*24),0),24)&gt;0," "&amp;MOD(ROUND(((TDBC-$AW217)*24),0),24)&amp;" giờ","")))),IF($B217="Định kỳ",IF($AP217=NgayBC,"Hôm nay","Còn "&amp;($AP217-NgayBC)&amp;" ngày"),"Còn "&amp;IF((($AW217-TDBC)*24)&lt;1,MAX(1,ROUND((($AW217-TDBC)*24)*60,0))&amp;" phút",IF(ROUND((($AW217-TDBC)*24),0)&lt;24,ROUND((($AW217-TDBC)*24),0)&amp;" giờ",INT(ROUND((($AW217-TDBC)*24),0)/24)&amp;" ngày"&amp;IF(MOD(ROUND((($AW217-TDBC)*24),0),24)&gt;0," "&amp;MOD(ROUND((($AW217-TDBC)*24),0),24)&amp;" giờ",""))))))</f>
      </c>
      <c r="AA217" s="221">
        <f>IF($A217="","",IF(N($AM217)=0,"Chưa bắt đầu",IF(OR($AN217="Hoàn thành kỳ",$AN217="Hoàn thành"),IF($B217="Định kỳ","Chưa bắt đầu","Hoàn thành"),$AN217)))</f>
      </c>
      <c r="AB217" s="222">
        <f>IF($A217="","",IF($AA217="Hoàn thành",1,IF(OR(N($AM217)=0,$AN217="Hoàn thành kỳ",$AN217="Hoàn thành"),0,N(INDEX('Nhật ký tiến độ'!$D:$D,$AM217)))))</f>
      </c>
      <c r="AC217" s="222">
        <f>IF(OR($A217="",$B217&lt;&gt;"Đột xuất",$AA217="Hoàn thành",N($J217)=0,$AW217=0),"",IF(TDBC&lt;=$J217,0,IF(TDBC&gt;=$AW217,1,(TDBC-$J217)/($AW217-$J217))))</f>
      </c>
      <c r="AD217" s="223">
        <f>IF($A217="","",IF($AA217="Hoàn thành","Hoàn thành",IF($AW217=0,"Chưa đặt hạn",IF(TDBC&gt;$AW217,"Quá hạn",IF(AND($B217="Đột xuất",ROUND((N($AC217)-$AB217)*100,0)&gt;=20),"Chậm tiến độ",IF($AP217=NgayBC,"Đến hạn hôm nay",IF($B217="Đột xuất",IF($AW217-TDBC&lt;=1,"Sắp đến hạn","Đúng tiến độ"),IF($AP217-NgayBC&lt;=3,"Sắp đến hạn","Theo lịch"))))))))</f>
      </c>
      <c r="AE217" s="223">
        <f>IF($AV217="","",IF($B217="Định kỳ","Bình quân "&amp;IF($AV217&lt;1,MAX(1,ROUND($AV217*60,0))&amp;" phút",IF(ROUND($AV217,0)&lt;24,ROUND($AV217,0)&amp;" giờ",INT(ROUND($AV217,0)/24)&amp;" ngày"&amp;IF(MOD(ROUND($AV217,0),24)&gt;0," "&amp;MOD(ROUND($AV217,0),24)&amp;" giờ","")))&amp;" mỗi kỳ",IF($AV217&lt;1,MAX(1,ROUND($AV217*60,0))&amp;" phút",IF(ROUND($AV217,0)&lt;24,ROUND($AV217,0)&amp;" giờ",INT(ROUND($AV217,0)/24)&amp;" ngày"&amp;IF(MOD(ROUND($AV217,0),24)&gt;0," "&amp;MOD(ROUND($AV217,0),24)&amp;" giờ","")))))</f>
      </c>
      <c r="AF217" s="223">
        <f>IF(OR($A217="",N($AU217)=0),"",IF($AV217&lt;&gt;"",IF($AV217&lt;=$AU217,"Trong ước tính","Vượt "&amp;IF(($AV217-$AU217)&lt;1,MAX(1,ROUND(($AV217-$AU217)*60,0))&amp;" phút",IF(ROUND(($AV217-$AU217),0)&lt;24,ROUND(($AV217-$AU217),0)&amp;" giờ",INT(ROUND(($AV217-$AU217),0)/24)&amp;" ngày"&amp;IF(MOD(ROUND(($AV217-$AU217),0),24)&gt;0," "&amp;MOD(ROUND(($AV217-$AU217),0),24)&amp;" giờ","")))),IF(OR($B217&lt;&gt;"Đột xuất",$AA217="Hoàn thành",N($J217)=0),"",IF((TDBC-$J217)*24&gt;$AU217,"Đã vượt ước tính","Đã dùng "&amp;TEXT((TDBC-$J217)*24/$AU217,"0%")))))</f>
      </c>
      <c r="AG217" s="223">
        <f>IF(N($BB217)=0,"",CHOOSE($BB217,"Nhắc nhở","Cảnh báo","Báo động","Báo động đỏ"))</f>
      </c>
      <c r="AH217" s="223">
        <f>IF(OR($B217&lt;&gt;"Đột xuất",$AA217&lt;&gt;"Hoàn thành",N($X217)=0,$AW217=0),"",IF($X217&lt;=$AW217,"Đúng hạn","Trễ hạn"))</f>
      </c>
      <c r="AI217" s="220">
        <f>IF($A217="","",_xlfn.MAXIFS('Nhật ký tiến độ'!$B$6:$B$3005,'Nhật ký tiến độ'!$C$6:$C$3005,$A217))</f>
      </c>
      <c r="AJ217" s="225">
        <f>IF(OR($A217="",$B217&lt;&gt;"Định kỳ"),0,IFERROR(INDEX(DM_TanSuatNgay,MATCH($H217,DM_TanSuat,0)),0))</f>
      </c>
      <c r="AK217" s="225">
        <f>IF(OR($A217="",$B217&lt;&gt;"Định kỳ"),0,IFERROR(INDEX(DM_TanSuatThang,MATCH($H217,DM_TanSuat,0)),0))</f>
      </c>
      <c r="AL217" s="225">
        <f>IF(OR($A217="",$B217&lt;&gt;"Định kỳ",N($X217)=0,N($I217)=0),"",IF(INT($X217)&lt;$I217,0,IF($AJ217&gt;0,ROUND((INT($X217)-$I217)/$AJ217,0),IF($AK217&gt;0,ROUND((DATEDIF($I217,INT($X217),"m")+(INT($X217)-EDATE($I217,DATEDIF($I217,INT($X217),"m")))/(EDATE($I217,DATEDIF($I217,INT($X217),"m")+1)-EDATE($I217,DATEDIF($I217,INT($X217),"m"))))/$AK217,0),0))))</f>
      </c>
      <c r="AM217" s="225">
        <f>IF($A217="","",IF(COUNTIF('Nhật ký tiến độ'!$C$6:$C$3005,$A217)=0,0,_xlfn.MAXIFS('Nhật ký tiến độ'!$N$6:$N$3005,'Nhật ký tiến độ'!$C$6:$C$3005,$A217,'Nhật ký tiến độ'!$B$6:$B$3005,_xlfn.MAXIFS('Nhật ký tiến độ'!$B$6:$B$3005,'Nhật ký tiến độ'!$C$6:$C$3005,$A217))))</f>
      </c>
      <c r="AN217" s="225">
        <f>IF($A217="","",IF(N($AM217)=0,"",INDEX('Nhật ký tiến độ'!$E:$E,$AM217)))</f>
      </c>
      <c r="AO217" s="225">
        <f>IF($A217="",0,IF($AA217="Hoàn thành",0,1))</f>
      </c>
      <c r="AP217" s="225">
        <f>IF($AO217=0,0,INT(N($AW217)))</f>
      </c>
      <c r="AQ217" s="225">
        <f>IF(AND($AO217=1,$AJ217&gt;1),$AJ217,0)</f>
      </c>
      <c r="AR217" s="225">
        <f>IF(AND($AO217=1,$AJ217=1),1,0)</f>
      </c>
      <c r="AS217" s="225">
        <f>IF(OR($AO217=0,AND($AR217=1,N($BB217)=0)),"",IF(N($BB217)&gt;0,5-$BB217,IF($AD217="Chậm tiến độ",6,IF($AD217="Đến hạn hôm nay",7,IF(AND($AP217&gt;0,$AP217-NgayBC&lt;=7),8,"")))))</f>
      </c>
      <c r="AT217" s="225">
        <f>IF($AS217="","",$AS217*100000+$AP217+ROW()/100000)</f>
      </c>
      <c r="AU217" s="224">
        <f>IF(OR($A217="",N($R217)&lt;=0),"",IF($S217="Ngày",$R217*24,$R217))</f>
      </c>
      <c r="AV217" s="224">
        <f>IF($A217="","",IF($B217="Đột xuất",IF(OR($AA217&lt;&gt;"Hoàn thành",N($X217)=0,N($J217)=0),"",IF($X217&lt;$J217,"",($X217-$J217)*24)),IFERROR(AVERAGEIFS('Nhật ký tiến độ'!$H$6:$H$3005,'Nhật ký tiến độ'!$C$6:$C$3005,$A217,'Nhật ký tiến độ'!$H$6:$H$3005,"&gt;0"),"")))</f>
      </c>
      <c r="AW217" s="233">
        <f>IF($A217="",0,IF($B217="Đột xuất",$AY217,IF($AX217=0,0,$AX217+1-1/1440)))</f>
      </c>
      <c r="AX217" s="234">
        <f>IF(OR($A217="",$B217&lt;&gt;"Định kỳ",N($I217)=0),0,IF($AL217="",$I217,IF($AJ217&gt;0,$I217+($AL217+1)*$AJ217,IF($AK217&gt;0,EDATE($I217,($AL217+1)*$AK217),$I217))))</f>
      </c>
      <c r="AY217" s="233">
        <f>IF(OR($A217="",$B217&lt;&gt;"Đột xuất"),0,IF(N($K217)&gt;0,IF(MOD($K217,1)=0,$K217+1-1/1440,$K217),IF(N($J217)=0,0,$J217+IF(N($AU217)&gt;0,$AU217,IFERROR(INDEX(DM_SLA_Gio,MATCH($L217,DM_SLA_Cap,0)),168))/24)))</f>
      </c>
      <c r="AZ217" s="225">
        <f>IF(OR($A217="",TRIM($N217)="",COUNTIF('Phản ánh'!$K$6:$K$505,$N217)&gt;0,COUNTIF($N$6:$N217,$N217)&gt;1),0,1)</f>
      </c>
      <c r="BA217" s="225">
        <f>IF($AZ217=1,SUM($AZ$6:$AZ217),"")</f>
      </c>
      <c r="BB217" s="225">
        <f>IF(OR($AO217=0,N($AW217)=0),0,IF(TDBC&lt;=$AW217,0,MAX(1,MIN(4,IF((TDBC-$AW217)*24&lt;24,1,IF((TDBC-$AW217)*24&lt;72,2,IF((TDBC-$AW217)*24&lt;168,3,4)))+IF($B217="Đột xuất",IFERROR(INDEX({2,1,0,-1},MATCH($L217,{"Khẩn cấp","Cao","Trung bình","Thấp"},0)),0),IF($D217="PCCC và an ninh",1,0))))))</f>
      </c>
    </row>
    <row r="218">
      <c r="A218" s="216"/>
      <c r="B218" s="216"/>
      <c r="C218" s="218"/>
      <c r="D218" s="218"/>
      <c r="E218" s="218"/>
      <c r="F218" s="216"/>
      <c r="G218" s="218"/>
      <c r="H218" s="218"/>
      <c r="I218" s="231"/>
      <c r="J218" s="217"/>
      <c r="K218" s="217"/>
      <c r="L218" s="216"/>
      <c r="M218" s="216"/>
      <c r="N218" s="218"/>
      <c r="O218" s="218"/>
      <c r="P218" s="218"/>
      <c r="Q218" s="218"/>
      <c r="R218" s="219"/>
      <c r="S218" s="216"/>
      <c r="T218" s="232"/>
      <c r="U218" s="232"/>
      <c r="V218" s="218"/>
      <c r="W218" s="218"/>
      <c r="X218" s="220">
        <f>IF($A218="","",IF(OR($B218="Định kỳ",$AA218="Hoàn thành"),MAX(_xlfn.MAXIFS('Nhật ký tiến độ'!$B$6:$B$3005,'Nhật ký tiến độ'!$C$6:$C$3005,$A218,'Nhật ký tiến độ'!$E$6:$E$3005,"Hoàn thành kỳ"),_xlfn.MAXIFS('Nhật ký tiến độ'!$B$6:$B$3005,'Nhật ký tiến độ'!$C$6:$C$3005,$A218,'Nhật ký tiến độ'!$E$6:$E$3005,"Hoàn thành")),0))</f>
      </c>
      <c r="Y218" s="220">
        <f>IF($A218="","",IF($B218="Đột xuất",IF($AY218=0,"",$AY218),IF($AX218=0,"",$AX218)))</f>
      </c>
      <c r="Z218" s="223">
        <f>IF(OR($AO218=0,$AW218=0),"",IF(TDBC&gt;$AW218,"Quá "&amp;IF($B218="Định kỳ",(NgayBC-$AP218)&amp;" ngày",IF(((TDBC-$AW218)*24)&lt;1,MAX(1,ROUND(((TDBC-$AW218)*24)*60,0))&amp;" phút",IF(ROUND(((TDBC-$AW218)*24),0)&lt;24,ROUND(((TDBC-$AW218)*24),0)&amp;" giờ",INT(ROUND(((TDBC-$AW218)*24),0)/24)&amp;" ngày"&amp;IF(MOD(ROUND(((TDBC-$AW218)*24),0),24)&gt;0," "&amp;MOD(ROUND(((TDBC-$AW218)*24),0),24)&amp;" giờ","")))),IF($B218="Định kỳ",IF($AP218=NgayBC,"Hôm nay","Còn "&amp;($AP218-NgayBC)&amp;" ngày"),"Còn "&amp;IF((($AW218-TDBC)*24)&lt;1,MAX(1,ROUND((($AW218-TDBC)*24)*60,0))&amp;" phút",IF(ROUND((($AW218-TDBC)*24),0)&lt;24,ROUND((($AW218-TDBC)*24),0)&amp;" giờ",INT(ROUND((($AW218-TDBC)*24),0)/24)&amp;" ngày"&amp;IF(MOD(ROUND((($AW218-TDBC)*24),0),24)&gt;0," "&amp;MOD(ROUND((($AW218-TDBC)*24),0),24)&amp;" giờ",""))))))</f>
      </c>
      <c r="AA218" s="221">
        <f>IF($A218="","",IF(N($AM218)=0,"Chưa bắt đầu",IF(OR($AN218="Hoàn thành kỳ",$AN218="Hoàn thành"),IF($B218="Định kỳ","Chưa bắt đầu","Hoàn thành"),$AN218)))</f>
      </c>
      <c r="AB218" s="222">
        <f>IF($A218="","",IF($AA218="Hoàn thành",1,IF(OR(N($AM218)=0,$AN218="Hoàn thành kỳ",$AN218="Hoàn thành"),0,N(INDEX('Nhật ký tiến độ'!$D:$D,$AM218)))))</f>
      </c>
      <c r="AC218" s="222">
        <f>IF(OR($A218="",$B218&lt;&gt;"Đột xuất",$AA218="Hoàn thành",N($J218)=0,$AW218=0),"",IF(TDBC&lt;=$J218,0,IF(TDBC&gt;=$AW218,1,(TDBC-$J218)/($AW218-$J218))))</f>
      </c>
      <c r="AD218" s="223">
        <f>IF($A218="","",IF($AA218="Hoàn thành","Hoàn thành",IF($AW218=0,"Chưa đặt hạn",IF(TDBC&gt;$AW218,"Quá hạn",IF(AND($B218="Đột xuất",ROUND((N($AC218)-$AB218)*100,0)&gt;=20),"Chậm tiến độ",IF($AP218=NgayBC,"Đến hạn hôm nay",IF($B218="Đột xuất",IF($AW218-TDBC&lt;=1,"Sắp đến hạn","Đúng tiến độ"),IF($AP218-NgayBC&lt;=3,"Sắp đến hạn","Theo lịch"))))))))</f>
      </c>
      <c r="AE218" s="223">
        <f>IF($AV218="","",IF($B218="Định kỳ","Bình quân "&amp;IF($AV218&lt;1,MAX(1,ROUND($AV218*60,0))&amp;" phút",IF(ROUND($AV218,0)&lt;24,ROUND($AV218,0)&amp;" giờ",INT(ROUND($AV218,0)/24)&amp;" ngày"&amp;IF(MOD(ROUND($AV218,0),24)&gt;0," "&amp;MOD(ROUND($AV218,0),24)&amp;" giờ","")))&amp;" mỗi kỳ",IF($AV218&lt;1,MAX(1,ROUND($AV218*60,0))&amp;" phút",IF(ROUND($AV218,0)&lt;24,ROUND($AV218,0)&amp;" giờ",INT(ROUND($AV218,0)/24)&amp;" ngày"&amp;IF(MOD(ROUND($AV218,0),24)&gt;0," "&amp;MOD(ROUND($AV218,0),24)&amp;" giờ","")))))</f>
      </c>
      <c r="AF218" s="223">
        <f>IF(OR($A218="",N($AU218)=0),"",IF($AV218&lt;&gt;"",IF($AV218&lt;=$AU218,"Trong ước tính","Vượt "&amp;IF(($AV218-$AU218)&lt;1,MAX(1,ROUND(($AV218-$AU218)*60,0))&amp;" phút",IF(ROUND(($AV218-$AU218),0)&lt;24,ROUND(($AV218-$AU218),0)&amp;" giờ",INT(ROUND(($AV218-$AU218),0)/24)&amp;" ngày"&amp;IF(MOD(ROUND(($AV218-$AU218),0),24)&gt;0," "&amp;MOD(ROUND(($AV218-$AU218),0),24)&amp;" giờ","")))),IF(OR($B218&lt;&gt;"Đột xuất",$AA218="Hoàn thành",N($J218)=0),"",IF((TDBC-$J218)*24&gt;$AU218,"Đã vượt ước tính","Đã dùng "&amp;TEXT((TDBC-$J218)*24/$AU218,"0%")))))</f>
      </c>
      <c r="AG218" s="223">
        <f>IF(N($BB218)=0,"",CHOOSE($BB218,"Nhắc nhở","Cảnh báo","Báo động","Báo động đỏ"))</f>
      </c>
      <c r="AH218" s="223">
        <f>IF(OR($B218&lt;&gt;"Đột xuất",$AA218&lt;&gt;"Hoàn thành",N($X218)=0,$AW218=0),"",IF($X218&lt;=$AW218,"Đúng hạn","Trễ hạn"))</f>
      </c>
      <c r="AI218" s="220">
        <f>IF($A218="","",_xlfn.MAXIFS('Nhật ký tiến độ'!$B$6:$B$3005,'Nhật ký tiến độ'!$C$6:$C$3005,$A218))</f>
      </c>
      <c r="AJ218" s="225">
        <f>IF(OR($A218="",$B218&lt;&gt;"Định kỳ"),0,IFERROR(INDEX(DM_TanSuatNgay,MATCH($H218,DM_TanSuat,0)),0))</f>
      </c>
      <c r="AK218" s="225">
        <f>IF(OR($A218="",$B218&lt;&gt;"Định kỳ"),0,IFERROR(INDEX(DM_TanSuatThang,MATCH($H218,DM_TanSuat,0)),0))</f>
      </c>
      <c r="AL218" s="225">
        <f>IF(OR($A218="",$B218&lt;&gt;"Định kỳ",N($X218)=0,N($I218)=0),"",IF(INT($X218)&lt;$I218,0,IF($AJ218&gt;0,ROUND((INT($X218)-$I218)/$AJ218,0),IF($AK218&gt;0,ROUND((DATEDIF($I218,INT($X218),"m")+(INT($X218)-EDATE($I218,DATEDIF($I218,INT($X218),"m")))/(EDATE($I218,DATEDIF($I218,INT($X218),"m")+1)-EDATE($I218,DATEDIF($I218,INT($X218),"m"))))/$AK218,0),0))))</f>
      </c>
      <c r="AM218" s="225">
        <f>IF($A218="","",IF(COUNTIF('Nhật ký tiến độ'!$C$6:$C$3005,$A218)=0,0,_xlfn.MAXIFS('Nhật ký tiến độ'!$N$6:$N$3005,'Nhật ký tiến độ'!$C$6:$C$3005,$A218,'Nhật ký tiến độ'!$B$6:$B$3005,_xlfn.MAXIFS('Nhật ký tiến độ'!$B$6:$B$3005,'Nhật ký tiến độ'!$C$6:$C$3005,$A218))))</f>
      </c>
      <c r="AN218" s="225">
        <f>IF($A218="","",IF(N($AM218)=0,"",INDEX('Nhật ký tiến độ'!$E:$E,$AM218)))</f>
      </c>
      <c r="AO218" s="225">
        <f>IF($A218="",0,IF($AA218="Hoàn thành",0,1))</f>
      </c>
      <c r="AP218" s="225">
        <f>IF($AO218=0,0,INT(N($AW218)))</f>
      </c>
      <c r="AQ218" s="225">
        <f>IF(AND($AO218=1,$AJ218&gt;1),$AJ218,0)</f>
      </c>
      <c r="AR218" s="225">
        <f>IF(AND($AO218=1,$AJ218=1),1,0)</f>
      </c>
      <c r="AS218" s="225">
        <f>IF(OR($AO218=0,AND($AR218=1,N($BB218)=0)),"",IF(N($BB218)&gt;0,5-$BB218,IF($AD218="Chậm tiến độ",6,IF($AD218="Đến hạn hôm nay",7,IF(AND($AP218&gt;0,$AP218-NgayBC&lt;=7),8,"")))))</f>
      </c>
      <c r="AT218" s="225">
        <f>IF($AS218="","",$AS218*100000+$AP218+ROW()/100000)</f>
      </c>
      <c r="AU218" s="224">
        <f>IF(OR($A218="",N($R218)&lt;=0),"",IF($S218="Ngày",$R218*24,$R218))</f>
      </c>
      <c r="AV218" s="224">
        <f>IF($A218="","",IF($B218="Đột xuất",IF(OR($AA218&lt;&gt;"Hoàn thành",N($X218)=0,N($J218)=0),"",IF($X218&lt;$J218,"",($X218-$J218)*24)),IFERROR(AVERAGEIFS('Nhật ký tiến độ'!$H$6:$H$3005,'Nhật ký tiến độ'!$C$6:$C$3005,$A218,'Nhật ký tiến độ'!$H$6:$H$3005,"&gt;0"),"")))</f>
      </c>
      <c r="AW218" s="233">
        <f>IF($A218="",0,IF($B218="Đột xuất",$AY218,IF($AX218=0,0,$AX218+1-1/1440)))</f>
      </c>
      <c r="AX218" s="234">
        <f>IF(OR($A218="",$B218&lt;&gt;"Định kỳ",N($I218)=0),0,IF($AL218="",$I218,IF($AJ218&gt;0,$I218+($AL218+1)*$AJ218,IF($AK218&gt;0,EDATE($I218,($AL218+1)*$AK218),$I218))))</f>
      </c>
      <c r="AY218" s="233">
        <f>IF(OR($A218="",$B218&lt;&gt;"Đột xuất"),0,IF(N($K218)&gt;0,IF(MOD($K218,1)=0,$K218+1-1/1440,$K218),IF(N($J218)=0,0,$J218+IF(N($AU218)&gt;0,$AU218,IFERROR(INDEX(DM_SLA_Gio,MATCH($L218,DM_SLA_Cap,0)),168))/24)))</f>
      </c>
      <c r="AZ218" s="225">
        <f>IF(OR($A218="",TRIM($N218)="",COUNTIF('Phản ánh'!$K$6:$K$505,$N218)&gt;0,COUNTIF($N$6:$N218,$N218)&gt;1),0,1)</f>
      </c>
      <c r="BA218" s="225">
        <f>IF($AZ218=1,SUM($AZ$6:$AZ218),"")</f>
      </c>
      <c r="BB218" s="225">
        <f>IF(OR($AO218=0,N($AW218)=0),0,IF(TDBC&lt;=$AW218,0,MAX(1,MIN(4,IF((TDBC-$AW218)*24&lt;24,1,IF((TDBC-$AW218)*24&lt;72,2,IF((TDBC-$AW218)*24&lt;168,3,4)))+IF($B218="Đột xuất",IFERROR(INDEX({2,1,0,-1},MATCH($L218,{"Khẩn cấp","Cao","Trung bình","Thấp"},0)),0),IF($D218="PCCC và an ninh",1,0))))))</f>
      </c>
    </row>
    <row r="219">
      <c r="A219" s="216"/>
      <c r="B219" s="216"/>
      <c r="C219" s="218"/>
      <c r="D219" s="218"/>
      <c r="E219" s="218"/>
      <c r="F219" s="216"/>
      <c r="G219" s="218"/>
      <c r="H219" s="218"/>
      <c r="I219" s="231"/>
      <c r="J219" s="217"/>
      <c r="K219" s="217"/>
      <c r="L219" s="216"/>
      <c r="M219" s="216"/>
      <c r="N219" s="218"/>
      <c r="O219" s="218"/>
      <c r="P219" s="218"/>
      <c r="Q219" s="218"/>
      <c r="R219" s="219"/>
      <c r="S219" s="216"/>
      <c r="T219" s="232"/>
      <c r="U219" s="232"/>
      <c r="V219" s="218"/>
      <c r="W219" s="218"/>
      <c r="X219" s="220">
        <f>IF($A219="","",IF(OR($B219="Định kỳ",$AA219="Hoàn thành"),MAX(_xlfn.MAXIFS('Nhật ký tiến độ'!$B$6:$B$3005,'Nhật ký tiến độ'!$C$6:$C$3005,$A219,'Nhật ký tiến độ'!$E$6:$E$3005,"Hoàn thành kỳ"),_xlfn.MAXIFS('Nhật ký tiến độ'!$B$6:$B$3005,'Nhật ký tiến độ'!$C$6:$C$3005,$A219,'Nhật ký tiến độ'!$E$6:$E$3005,"Hoàn thành")),0))</f>
      </c>
      <c r="Y219" s="220">
        <f>IF($A219="","",IF($B219="Đột xuất",IF($AY219=0,"",$AY219),IF($AX219=0,"",$AX219)))</f>
      </c>
      <c r="Z219" s="223">
        <f>IF(OR($AO219=0,$AW219=0),"",IF(TDBC&gt;$AW219,"Quá "&amp;IF($B219="Định kỳ",(NgayBC-$AP219)&amp;" ngày",IF(((TDBC-$AW219)*24)&lt;1,MAX(1,ROUND(((TDBC-$AW219)*24)*60,0))&amp;" phút",IF(ROUND(((TDBC-$AW219)*24),0)&lt;24,ROUND(((TDBC-$AW219)*24),0)&amp;" giờ",INT(ROUND(((TDBC-$AW219)*24),0)/24)&amp;" ngày"&amp;IF(MOD(ROUND(((TDBC-$AW219)*24),0),24)&gt;0," "&amp;MOD(ROUND(((TDBC-$AW219)*24),0),24)&amp;" giờ","")))),IF($B219="Định kỳ",IF($AP219=NgayBC,"Hôm nay","Còn "&amp;($AP219-NgayBC)&amp;" ngày"),"Còn "&amp;IF((($AW219-TDBC)*24)&lt;1,MAX(1,ROUND((($AW219-TDBC)*24)*60,0))&amp;" phút",IF(ROUND((($AW219-TDBC)*24),0)&lt;24,ROUND((($AW219-TDBC)*24),0)&amp;" giờ",INT(ROUND((($AW219-TDBC)*24),0)/24)&amp;" ngày"&amp;IF(MOD(ROUND((($AW219-TDBC)*24),0),24)&gt;0," "&amp;MOD(ROUND((($AW219-TDBC)*24),0),24)&amp;" giờ",""))))))</f>
      </c>
      <c r="AA219" s="221">
        <f>IF($A219="","",IF(N($AM219)=0,"Chưa bắt đầu",IF(OR($AN219="Hoàn thành kỳ",$AN219="Hoàn thành"),IF($B219="Định kỳ","Chưa bắt đầu","Hoàn thành"),$AN219)))</f>
      </c>
      <c r="AB219" s="222">
        <f>IF($A219="","",IF($AA219="Hoàn thành",1,IF(OR(N($AM219)=0,$AN219="Hoàn thành kỳ",$AN219="Hoàn thành"),0,N(INDEX('Nhật ký tiến độ'!$D:$D,$AM219)))))</f>
      </c>
      <c r="AC219" s="222">
        <f>IF(OR($A219="",$B219&lt;&gt;"Đột xuất",$AA219="Hoàn thành",N($J219)=0,$AW219=0),"",IF(TDBC&lt;=$J219,0,IF(TDBC&gt;=$AW219,1,(TDBC-$J219)/($AW219-$J219))))</f>
      </c>
      <c r="AD219" s="223">
        <f>IF($A219="","",IF($AA219="Hoàn thành","Hoàn thành",IF($AW219=0,"Chưa đặt hạn",IF(TDBC&gt;$AW219,"Quá hạn",IF(AND($B219="Đột xuất",ROUND((N($AC219)-$AB219)*100,0)&gt;=20),"Chậm tiến độ",IF($AP219=NgayBC,"Đến hạn hôm nay",IF($B219="Đột xuất",IF($AW219-TDBC&lt;=1,"Sắp đến hạn","Đúng tiến độ"),IF($AP219-NgayBC&lt;=3,"Sắp đến hạn","Theo lịch"))))))))</f>
      </c>
      <c r="AE219" s="223">
        <f>IF($AV219="","",IF($B219="Định kỳ","Bình quân "&amp;IF($AV219&lt;1,MAX(1,ROUND($AV219*60,0))&amp;" phút",IF(ROUND($AV219,0)&lt;24,ROUND($AV219,0)&amp;" giờ",INT(ROUND($AV219,0)/24)&amp;" ngày"&amp;IF(MOD(ROUND($AV219,0),24)&gt;0," "&amp;MOD(ROUND($AV219,0),24)&amp;" giờ","")))&amp;" mỗi kỳ",IF($AV219&lt;1,MAX(1,ROUND($AV219*60,0))&amp;" phút",IF(ROUND($AV219,0)&lt;24,ROUND($AV219,0)&amp;" giờ",INT(ROUND($AV219,0)/24)&amp;" ngày"&amp;IF(MOD(ROUND($AV219,0),24)&gt;0," "&amp;MOD(ROUND($AV219,0),24)&amp;" giờ","")))))</f>
      </c>
      <c r="AF219" s="223">
        <f>IF(OR($A219="",N($AU219)=0),"",IF($AV219&lt;&gt;"",IF($AV219&lt;=$AU219,"Trong ước tính","Vượt "&amp;IF(($AV219-$AU219)&lt;1,MAX(1,ROUND(($AV219-$AU219)*60,0))&amp;" phút",IF(ROUND(($AV219-$AU219),0)&lt;24,ROUND(($AV219-$AU219),0)&amp;" giờ",INT(ROUND(($AV219-$AU219),0)/24)&amp;" ngày"&amp;IF(MOD(ROUND(($AV219-$AU219),0),24)&gt;0," "&amp;MOD(ROUND(($AV219-$AU219),0),24)&amp;" giờ","")))),IF(OR($B219&lt;&gt;"Đột xuất",$AA219="Hoàn thành",N($J219)=0),"",IF((TDBC-$J219)*24&gt;$AU219,"Đã vượt ước tính","Đã dùng "&amp;TEXT((TDBC-$J219)*24/$AU219,"0%")))))</f>
      </c>
      <c r="AG219" s="223">
        <f>IF(N($BB219)=0,"",CHOOSE($BB219,"Nhắc nhở","Cảnh báo","Báo động","Báo động đỏ"))</f>
      </c>
      <c r="AH219" s="223">
        <f>IF(OR($B219&lt;&gt;"Đột xuất",$AA219&lt;&gt;"Hoàn thành",N($X219)=0,$AW219=0),"",IF($X219&lt;=$AW219,"Đúng hạn","Trễ hạn"))</f>
      </c>
      <c r="AI219" s="220">
        <f>IF($A219="","",_xlfn.MAXIFS('Nhật ký tiến độ'!$B$6:$B$3005,'Nhật ký tiến độ'!$C$6:$C$3005,$A219))</f>
      </c>
      <c r="AJ219" s="225">
        <f>IF(OR($A219="",$B219&lt;&gt;"Định kỳ"),0,IFERROR(INDEX(DM_TanSuatNgay,MATCH($H219,DM_TanSuat,0)),0))</f>
      </c>
      <c r="AK219" s="225">
        <f>IF(OR($A219="",$B219&lt;&gt;"Định kỳ"),0,IFERROR(INDEX(DM_TanSuatThang,MATCH($H219,DM_TanSuat,0)),0))</f>
      </c>
      <c r="AL219" s="225">
        <f>IF(OR($A219="",$B219&lt;&gt;"Định kỳ",N($X219)=0,N($I219)=0),"",IF(INT($X219)&lt;$I219,0,IF($AJ219&gt;0,ROUND((INT($X219)-$I219)/$AJ219,0),IF($AK219&gt;0,ROUND((DATEDIF($I219,INT($X219),"m")+(INT($X219)-EDATE($I219,DATEDIF($I219,INT($X219),"m")))/(EDATE($I219,DATEDIF($I219,INT($X219),"m")+1)-EDATE($I219,DATEDIF($I219,INT($X219),"m"))))/$AK219,0),0))))</f>
      </c>
      <c r="AM219" s="225">
        <f>IF($A219="","",IF(COUNTIF('Nhật ký tiến độ'!$C$6:$C$3005,$A219)=0,0,_xlfn.MAXIFS('Nhật ký tiến độ'!$N$6:$N$3005,'Nhật ký tiến độ'!$C$6:$C$3005,$A219,'Nhật ký tiến độ'!$B$6:$B$3005,_xlfn.MAXIFS('Nhật ký tiến độ'!$B$6:$B$3005,'Nhật ký tiến độ'!$C$6:$C$3005,$A219))))</f>
      </c>
      <c r="AN219" s="225">
        <f>IF($A219="","",IF(N($AM219)=0,"",INDEX('Nhật ký tiến độ'!$E:$E,$AM219)))</f>
      </c>
      <c r="AO219" s="225">
        <f>IF($A219="",0,IF($AA219="Hoàn thành",0,1))</f>
      </c>
      <c r="AP219" s="225">
        <f>IF($AO219=0,0,INT(N($AW219)))</f>
      </c>
      <c r="AQ219" s="225">
        <f>IF(AND($AO219=1,$AJ219&gt;1),$AJ219,0)</f>
      </c>
      <c r="AR219" s="225">
        <f>IF(AND($AO219=1,$AJ219=1),1,0)</f>
      </c>
      <c r="AS219" s="225">
        <f>IF(OR($AO219=0,AND($AR219=1,N($BB219)=0)),"",IF(N($BB219)&gt;0,5-$BB219,IF($AD219="Chậm tiến độ",6,IF($AD219="Đến hạn hôm nay",7,IF(AND($AP219&gt;0,$AP219-NgayBC&lt;=7),8,"")))))</f>
      </c>
      <c r="AT219" s="225">
        <f>IF($AS219="","",$AS219*100000+$AP219+ROW()/100000)</f>
      </c>
      <c r="AU219" s="224">
        <f>IF(OR($A219="",N($R219)&lt;=0),"",IF($S219="Ngày",$R219*24,$R219))</f>
      </c>
      <c r="AV219" s="224">
        <f>IF($A219="","",IF($B219="Đột xuất",IF(OR($AA219&lt;&gt;"Hoàn thành",N($X219)=0,N($J219)=0),"",IF($X219&lt;$J219,"",($X219-$J219)*24)),IFERROR(AVERAGEIFS('Nhật ký tiến độ'!$H$6:$H$3005,'Nhật ký tiến độ'!$C$6:$C$3005,$A219,'Nhật ký tiến độ'!$H$6:$H$3005,"&gt;0"),"")))</f>
      </c>
      <c r="AW219" s="233">
        <f>IF($A219="",0,IF($B219="Đột xuất",$AY219,IF($AX219=0,0,$AX219+1-1/1440)))</f>
      </c>
      <c r="AX219" s="234">
        <f>IF(OR($A219="",$B219&lt;&gt;"Định kỳ",N($I219)=0),0,IF($AL219="",$I219,IF($AJ219&gt;0,$I219+($AL219+1)*$AJ219,IF($AK219&gt;0,EDATE($I219,($AL219+1)*$AK219),$I219))))</f>
      </c>
      <c r="AY219" s="233">
        <f>IF(OR($A219="",$B219&lt;&gt;"Đột xuất"),0,IF(N($K219)&gt;0,IF(MOD($K219,1)=0,$K219+1-1/1440,$K219),IF(N($J219)=0,0,$J219+IF(N($AU219)&gt;0,$AU219,IFERROR(INDEX(DM_SLA_Gio,MATCH($L219,DM_SLA_Cap,0)),168))/24)))</f>
      </c>
      <c r="AZ219" s="225">
        <f>IF(OR($A219="",TRIM($N219)="",COUNTIF('Phản ánh'!$K$6:$K$505,$N219)&gt;0,COUNTIF($N$6:$N219,$N219)&gt;1),0,1)</f>
      </c>
      <c r="BA219" s="225">
        <f>IF($AZ219=1,SUM($AZ$6:$AZ219),"")</f>
      </c>
      <c r="BB219" s="225">
        <f>IF(OR($AO219=0,N($AW219)=0),0,IF(TDBC&lt;=$AW219,0,MAX(1,MIN(4,IF((TDBC-$AW219)*24&lt;24,1,IF((TDBC-$AW219)*24&lt;72,2,IF((TDBC-$AW219)*24&lt;168,3,4)))+IF($B219="Đột xuất",IFERROR(INDEX({2,1,0,-1},MATCH($L219,{"Khẩn cấp","Cao","Trung bình","Thấp"},0)),0),IF($D219="PCCC và an ninh",1,0))))))</f>
      </c>
    </row>
    <row r="220">
      <c r="A220" s="216"/>
      <c r="B220" s="216"/>
      <c r="C220" s="218"/>
      <c r="D220" s="218"/>
      <c r="E220" s="218"/>
      <c r="F220" s="216"/>
      <c r="G220" s="218"/>
      <c r="H220" s="218"/>
      <c r="I220" s="231"/>
      <c r="J220" s="217"/>
      <c r="K220" s="217"/>
      <c r="L220" s="216"/>
      <c r="M220" s="216"/>
      <c r="N220" s="218"/>
      <c r="O220" s="218"/>
      <c r="P220" s="218"/>
      <c r="Q220" s="218"/>
      <c r="R220" s="219"/>
      <c r="S220" s="216"/>
      <c r="T220" s="232"/>
      <c r="U220" s="232"/>
      <c r="V220" s="218"/>
      <c r="W220" s="218"/>
      <c r="X220" s="220">
        <f>IF($A220="","",IF(OR($B220="Định kỳ",$AA220="Hoàn thành"),MAX(_xlfn.MAXIFS('Nhật ký tiến độ'!$B$6:$B$3005,'Nhật ký tiến độ'!$C$6:$C$3005,$A220,'Nhật ký tiến độ'!$E$6:$E$3005,"Hoàn thành kỳ"),_xlfn.MAXIFS('Nhật ký tiến độ'!$B$6:$B$3005,'Nhật ký tiến độ'!$C$6:$C$3005,$A220,'Nhật ký tiến độ'!$E$6:$E$3005,"Hoàn thành")),0))</f>
      </c>
      <c r="Y220" s="220">
        <f>IF($A220="","",IF($B220="Đột xuất",IF($AY220=0,"",$AY220),IF($AX220=0,"",$AX220)))</f>
      </c>
      <c r="Z220" s="223">
        <f>IF(OR($AO220=0,$AW220=0),"",IF(TDBC&gt;$AW220,"Quá "&amp;IF($B220="Định kỳ",(NgayBC-$AP220)&amp;" ngày",IF(((TDBC-$AW220)*24)&lt;1,MAX(1,ROUND(((TDBC-$AW220)*24)*60,0))&amp;" phút",IF(ROUND(((TDBC-$AW220)*24),0)&lt;24,ROUND(((TDBC-$AW220)*24),0)&amp;" giờ",INT(ROUND(((TDBC-$AW220)*24),0)/24)&amp;" ngày"&amp;IF(MOD(ROUND(((TDBC-$AW220)*24),0),24)&gt;0," "&amp;MOD(ROUND(((TDBC-$AW220)*24),0),24)&amp;" giờ","")))),IF($B220="Định kỳ",IF($AP220=NgayBC,"Hôm nay","Còn "&amp;($AP220-NgayBC)&amp;" ngày"),"Còn "&amp;IF((($AW220-TDBC)*24)&lt;1,MAX(1,ROUND((($AW220-TDBC)*24)*60,0))&amp;" phút",IF(ROUND((($AW220-TDBC)*24),0)&lt;24,ROUND((($AW220-TDBC)*24),0)&amp;" giờ",INT(ROUND((($AW220-TDBC)*24),0)/24)&amp;" ngày"&amp;IF(MOD(ROUND((($AW220-TDBC)*24),0),24)&gt;0," "&amp;MOD(ROUND((($AW220-TDBC)*24),0),24)&amp;" giờ",""))))))</f>
      </c>
      <c r="AA220" s="221">
        <f>IF($A220="","",IF(N($AM220)=0,"Chưa bắt đầu",IF(OR($AN220="Hoàn thành kỳ",$AN220="Hoàn thành"),IF($B220="Định kỳ","Chưa bắt đầu","Hoàn thành"),$AN220)))</f>
      </c>
      <c r="AB220" s="222">
        <f>IF($A220="","",IF($AA220="Hoàn thành",1,IF(OR(N($AM220)=0,$AN220="Hoàn thành kỳ",$AN220="Hoàn thành"),0,N(INDEX('Nhật ký tiến độ'!$D:$D,$AM220)))))</f>
      </c>
      <c r="AC220" s="222">
        <f>IF(OR($A220="",$B220&lt;&gt;"Đột xuất",$AA220="Hoàn thành",N($J220)=0,$AW220=0),"",IF(TDBC&lt;=$J220,0,IF(TDBC&gt;=$AW220,1,(TDBC-$J220)/($AW220-$J220))))</f>
      </c>
      <c r="AD220" s="223">
        <f>IF($A220="","",IF($AA220="Hoàn thành","Hoàn thành",IF($AW220=0,"Chưa đặt hạn",IF(TDBC&gt;$AW220,"Quá hạn",IF(AND($B220="Đột xuất",ROUND((N($AC220)-$AB220)*100,0)&gt;=20),"Chậm tiến độ",IF($AP220=NgayBC,"Đến hạn hôm nay",IF($B220="Đột xuất",IF($AW220-TDBC&lt;=1,"Sắp đến hạn","Đúng tiến độ"),IF($AP220-NgayBC&lt;=3,"Sắp đến hạn","Theo lịch"))))))))</f>
      </c>
      <c r="AE220" s="223">
        <f>IF($AV220="","",IF($B220="Định kỳ","Bình quân "&amp;IF($AV220&lt;1,MAX(1,ROUND($AV220*60,0))&amp;" phút",IF(ROUND($AV220,0)&lt;24,ROUND($AV220,0)&amp;" giờ",INT(ROUND($AV220,0)/24)&amp;" ngày"&amp;IF(MOD(ROUND($AV220,0),24)&gt;0," "&amp;MOD(ROUND($AV220,0),24)&amp;" giờ","")))&amp;" mỗi kỳ",IF($AV220&lt;1,MAX(1,ROUND($AV220*60,0))&amp;" phút",IF(ROUND($AV220,0)&lt;24,ROUND($AV220,0)&amp;" giờ",INT(ROUND($AV220,0)/24)&amp;" ngày"&amp;IF(MOD(ROUND($AV220,0),24)&gt;0," "&amp;MOD(ROUND($AV220,0),24)&amp;" giờ","")))))</f>
      </c>
      <c r="AF220" s="223">
        <f>IF(OR($A220="",N($AU220)=0),"",IF($AV220&lt;&gt;"",IF($AV220&lt;=$AU220,"Trong ước tính","Vượt "&amp;IF(($AV220-$AU220)&lt;1,MAX(1,ROUND(($AV220-$AU220)*60,0))&amp;" phút",IF(ROUND(($AV220-$AU220),0)&lt;24,ROUND(($AV220-$AU220),0)&amp;" giờ",INT(ROUND(($AV220-$AU220),0)/24)&amp;" ngày"&amp;IF(MOD(ROUND(($AV220-$AU220),0),24)&gt;0," "&amp;MOD(ROUND(($AV220-$AU220),0),24)&amp;" giờ","")))),IF(OR($B220&lt;&gt;"Đột xuất",$AA220="Hoàn thành",N($J220)=0),"",IF((TDBC-$J220)*24&gt;$AU220,"Đã vượt ước tính","Đã dùng "&amp;TEXT((TDBC-$J220)*24/$AU220,"0%")))))</f>
      </c>
      <c r="AG220" s="223">
        <f>IF(N($BB220)=0,"",CHOOSE($BB220,"Nhắc nhở","Cảnh báo","Báo động","Báo động đỏ"))</f>
      </c>
      <c r="AH220" s="223">
        <f>IF(OR($B220&lt;&gt;"Đột xuất",$AA220&lt;&gt;"Hoàn thành",N($X220)=0,$AW220=0),"",IF($X220&lt;=$AW220,"Đúng hạn","Trễ hạn"))</f>
      </c>
      <c r="AI220" s="220">
        <f>IF($A220="","",_xlfn.MAXIFS('Nhật ký tiến độ'!$B$6:$B$3005,'Nhật ký tiến độ'!$C$6:$C$3005,$A220))</f>
      </c>
      <c r="AJ220" s="225">
        <f>IF(OR($A220="",$B220&lt;&gt;"Định kỳ"),0,IFERROR(INDEX(DM_TanSuatNgay,MATCH($H220,DM_TanSuat,0)),0))</f>
      </c>
      <c r="AK220" s="225">
        <f>IF(OR($A220="",$B220&lt;&gt;"Định kỳ"),0,IFERROR(INDEX(DM_TanSuatThang,MATCH($H220,DM_TanSuat,0)),0))</f>
      </c>
      <c r="AL220" s="225">
        <f>IF(OR($A220="",$B220&lt;&gt;"Định kỳ",N($X220)=0,N($I220)=0),"",IF(INT($X220)&lt;$I220,0,IF($AJ220&gt;0,ROUND((INT($X220)-$I220)/$AJ220,0),IF($AK220&gt;0,ROUND((DATEDIF($I220,INT($X220),"m")+(INT($X220)-EDATE($I220,DATEDIF($I220,INT($X220),"m")))/(EDATE($I220,DATEDIF($I220,INT($X220),"m")+1)-EDATE($I220,DATEDIF($I220,INT($X220),"m"))))/$AK220,0),0))))</f>
      </c>
      <c r="AM220" s="225">
        <f>IF($A220="","",IF(COUNTIF('Nhật ký tiến độ'!$C$6:$C$3005,$A220)=0,0,_xlfn.MAXIFS('Nhật ký tiến độ'!$N$6:$N$3005,'Nhật ký tiến độ'!$C$6:$C$3005,$A220,'Nhật ký tiến độ'!$B$6:$B$3005,_xlfn.MAXIFS('Nhật ký tiến độ'!$B$6:$B$3005,'Nhật ký tiến độ'!$C$6:$C$3005,$A220))))</f>
      </c>
      <c r="AN220" s="225">
        <f>IF($A220="","",IF(N($AM220)=0,"",INDEX('Nhật ký tiến độ'!$E:$E,$AM220)))</f>
      </c>
      <c r="AO220" s="225">
        <f>IF($A220="",0,IF($AA220="Hoàn thành",0,1))</f>
      </c>
      <c r="AP220" s="225">
        <f>IF($AO220=0,0,INT(N($AW220)))</f>
      </c>
      <c r="AQ220" s="225">
        <f>IF(AND($AO220=1,$AJ220&gt;1),$AJ220,0)</f>
      </c>
      <c r="AR220" s="225">
        <f>IF(AND($AO220=1,$AJ220=1),1,0)</f>
      </c>
      <c r="AS220" s="225">
        <f>IF(OR($AO220=0,AND($AR220=1,N($BB220)=0)),"",IF(N($BB220)&gt;0,5-$BB220,IF($AD220="Chậm tiến độ",6,IF($AD220="Đến hạn hôm nay",7,IF(AND($AP220&gt;0,$AP220-NgayBC&lt;=7),8,"")))))</f>
      </c>
      <c r="AT220" s="225">
        <f>IF($AS220="","",$AS220*100000+$AP220+ROW()/100000)</f>
      </c>
      <c r="AU220" s="224">
        <f>IF(OR($A220="",N($R220)&lt;=0),"",IF($S220="Ngày",$R220*24,$R220))</f>
      </c>
      <c r="AV220" s="224">
        <f>IF($A220="","",IF($B220="Đột xuất",IF(OR($AA220&lt;&gt;"Hoàn thành",N($X220)=0,N($J220)=0),"",IF($X220&lt;$J220,"",($X220-$J220)*24)),IFERROR(AVERAGEIFS('Nhật ký tiến độ'!$H$6:$H$3005,'Nhật ký tiến độ'!$C$6:$C$3005,$A220,'Nhật ký tiến độ'!$H$6:$H$3005,"&gt;0"),"")))</f>
      </c>
      <c r="AW220" s="233">
        <f>IF($A220="",0,IF($B220="Đột xuất",$AY220,IF($AX220=0,0,$AX220+1-1/1440)))</f>
      </c>
      <c r="AX220" s="234">
        <f>IF(OR($A220="",$B220&lt;&gt;"Định kỳ",N($I220)=0),0,IF($AL220="",$I220,IF($AJ220&gt;0,$I220+($AL220+1)*$AJ220,IF($AK220&gt;0,EDATE($I220,($AL220+1)*$AK220),$I220))))</f>
      </c>
      <c r="AY220" s="233">
        <f>IF(OR($A220="",$B220&lt;&gt;"Đột xuất"),0,IF(N($K220)&gt;0,IF(MOD($K220,1)=0,$K220+1-1/1440,$K220),IF(N($J220)=0,0,$J220+IF(N($AU220)&gt;0,$AU220,IFERROR(INDEX(DM_SLA_Gio,MATCH($L220,DM_SLA_Cap,0)),168))/24)))</f>
      </c>
      <c r="AZ220" s="225">
        <f>IF(OR($A220="",TRIM($N220)="",COUNTIF('Phản ánh'!$K$6:$K$505,$N220)&gt;0,COUNTIF($N$6:$N220,$N220)&gt;1),0,1)</f>
      </c>
      <c r="BA220" s="225">
        <f>IF($AZ220=1,SUM($AZ$6:$AZ220),"")</f>
      </c>
      <c r="BB220" s="225">
        <f>IF(OR($AO220=0,N($AW220)=0),0,IF(TDBC&lt;=$AW220,0,MAX(1,MIN(4,IF((TDBC-$AW220)*24&lt;24,1,IF((TDBC-$AW220)*24&lt;72,2,IF((TDBC-$AW220)*24&lt;168,3,4)))+IF($B220="Đột xuất",IFERROR(INDEX({2,1,0,-1},MATCH($L220,{"Khẩn cấp","Cao","Trung bình","Thấp"},0)),0),IF($D220="PCCC và an ninh",1,0))))))</f>
      </c>
    </row>
    <row r="221">
      <c r="A221" s="216"/>
      <c r="B221" s="216"/>
      <c r="C221" s="218"/>
      <c r="D221" s="218"/>
      <c r="E221" s="218"/>
      <c r="F221" s="216"/>
      <c r="G221" s="218"/>
      <c r="H221" s="218"/>
      <c r="I221" s="231"/>
      <c r="J221" s="217"/>
      <c r="K221" s="217"/>
      <c r="L221" s="216"/>
      <c r="M221" s="216"/>
      <c r="N221" s="218"/>
      <c r="O221" s="218"/>
      <c r="P221" s="218"/>
      <c r="Q221" s="218"/>
      <c r="R221" s="219"/>
      <c r="S221" s="216"/>
      <c r="T221" s="232"/>
      <c r="U221" s="232"/>
      <c r="V221" s="218"/>
      <c r="W221" s="218"/>
      <c r="X221" s="220">
        <f>IF($A221="","",IF(OR($B221="Định kỳ",$AA221="Hoàn thành"),MAX(_xlfn.MAXIFS('Nhật ký tiến độ'!$B$6:$B$3005,'Nhật ký tiến độ'!$C$6:$C$3005,$A221,'Nhật ký tiến độ'!$E$6:$E$3005,"Hoàn thành kỳ"),_xlfn.MAXIFS('Nhật ký tiến độ'!$B$6:$B$3005,'Nhật ký tiến độ'!$C$6:$C$3005,$A221,'Nhật ký tiến độ'!$E$6:$E$3005,"Hoàn thành")),0))</f>
      </c>
      <c r="Y221" s="220">
        <f>IF($A221="","",IF($B221="Đột xuất",IF($AY221=0,"",$AY221),IF($AX221=0,"",$AX221)))</f>
      </c>
      <c r="Z221" s="223">
        <f>IF(OR($AO221=0,$AW221=0),"",IF(TDBC&gt;$AW221,"Quá "&amp;IF($B221="Định kỳ",(NgayBC-$AP221)&amp;" ngày",IF(((TDBC-$AW221)*24)&lt;1,MAX(1,ROUND(((TDBC-$AW221)*24)*60,0))&amp;" phút",IF(ROUND(((TDBC-$AW221)*24),0)&lt;24,ROUND(((TDBC-$AW221)*24),0)&amp;" giờ",INT(ROUND(((TDBC-$AW221)*24),0)/24)&amp;" ngày"&amp;IF(MOD(ROUND(((TDBC-$AW221)*24),0),24)&gt;0," "&amp;MOD(ROUND(((TDBC-$AW221)*24),0),24)&amp;" giờ","")))),IF($B221="Định kỳ",IF($AP221=NgayBC,"Hôm nay","Còn "&amp;($AP221-NgayBC)&amp;" ngày"),"Còn "&amp;IF((($AW221-TDBC)*24)&lt;1,MAX(1,ROUND((($AW221-TDBC)*24)*60,0))&amp;" phút",IF(ROUND((($AW221-TDBC)*24),0)&lt;24,ROUND((($AW221-TDBC)*24),0)&amp;" giờ",INT(ROUND((($AW221-TDBC)*24),0)/24)&amp;" ngày"&amp;IF(MOD(ROUND((($AW221-TDBC)*24),0),24)&gt;0," "&amp;MOD(ROUND((($AW221-TDBC)*24),0),24)&amp;" giờ",""))))))</f>
      </c>
      <c r="AA221" s="221">
        <f>IF($A221="","",IF(N($AM221)=0,"Chưa bắt đầu",IF(OR($AN221="Hoàn thành kỳ",$AN221="Hoàn thành"),IF($B221="Định kỳ","Chưa bắt đầu","Hoàn thành"),$AN221)))</f>
      </c>
      <c r="AB221" s="222">
        <f>IF($A221="","",IF($AA221="Hoàn thành",1,IF(OR(N($AM221)=0,$AN221="Hoàn thành kỳ",$AN221="Hoàn thành"),0,N(INDEX('Nhật ký tiến độ'!$D:$D,$AM221)))))</f>
      </c>
      <c r="AC221" s="222">
        <f>IF(OR($A221="",$B221&lt;&gt;"Đột xuất",$AA221="Hoàn thành",N($J221)=0,$AW221=0),"",IF(TDBC&lt;=$J221,0,IF(TDBC&gt;=$AW221,1,(TDBC-$J221)/($AW221-$J221))))</f>
      </c>
      <c r="AD221" s="223">
        <f>IF($A221="","",IF($AA221="Hoàn thành","Hoàn thành",IF($AW221=0,"Chưa đặt hạn",IF(TDBC&gt;$AW221,"Quá hạn",IF(AND($B221="Đột xuất",ROUND((N($AC221)-$AB221)*100,0)&gt;=20),"Chậm tiến độ",IF($AP221=NgayBC,"Đến hạn hôm nay",IF($B221="Đột xuất",IF($AW221-TDBC&lt;=1,"Sắp đến hạn","Đúng tiến độ"),IF($AP221-NgayBC&lt;=3,"Sắp đến hạn","Theo lịch"))))))))</f>
      </c>
      <c r="AE221" s="223">
        <f>IF($AV221="","",IF($B221="Định kỳ","Bình quân "&amp;IF($AV221&lt;1,MAX(1,ROUND($AV221*60,0))&amp;" phút",IF(ROUND($AV221,0)&lt;24,ROUND($AV221,0)&amp;" giờ",INT(ROUND($AV221,0)/24)&amp;" ngày"&amp;IF(MOD(ROUND($AV221,0),24)&gt;0," "&amp;MOD(ROUND($AV221,0),24)&amp;" giờ","")))&amp;" mỗi kỳ",IF($AV221&lt;1,MAX(1,ROUND($AV221*60,0))&amp;" phút",IF(ROUND($AV221,0)&lt;24,ROUND($AV221,0)&amp;" giờ",INT(ROUND($AV221,0)/24)&amp;" ngày"&amp;IF(MOD(ROUND($AV221,0),24)&gt;0," "&amp;MOD(ROUND($AV221,0),24)&amp;" giờ","")))))</f>
      </c>
      <c r="AF221" s="223">
        <f>IF(OR($A221="",N($AU221)=0),"",IF($AV221&lt;&gt;"",IF($AV221&lt;=$AU221,"Trong ước tính","Vượt "&amp;IF(($AV221-$AU221)&lt;1,MAX(1,ROUND(($AV221-$AU221)*60,0))&amp;" phút",IF(ROUND(($AV221-$AU221),0)&lt;24,ROUND(($AV221-$AU221),0)&amp;" giờ",INT(ROUND(($AV221-$AU221),0)/24)&amp;" ngày"&amp;IF(MOD(ROUND(($AV221-$AU221),0),24)&gt;0," "&amp;MOD(ROUND(($AV221-$AU221),0),24)&amp;" giờ","")))),IF(OR($B221&lt;&gt;"Đột xuất",$AA221="Hoàn thành",N($J221)=0),"",IF((TDBC-$J221)*24&gt;$AU221,"Đã vượt ước tính","Đã dùng "&amp;TEXT((TDBC-$J221)*24/$AU221,"0%")))))</f>
      </c>
      <c r="AG221" s="223">
        <f>IF(N($BB221)=0,"",CHOOSE($BB221,"Nhắc nhở","Cảnh báo","Báo động","Báo động đỏ"))</f>
      </c>
      <c r="AH221" s="223">
        <f>IF(OR($B221&lt;&gt;"Đột xuất",$AA221&lt;&gt;"Hoàn thành",N($X221)=0,$AW221=0),"",IF($X221&lt;=$AW221,"Đúng hạn","Trễ hạn"))</f>
      </c>
      <c r="AI221" s="220">
        <f>IF($A221="","",_xlfn.MAXIFS('Nhật ký tiến độ'!$B$6:$B$3005,'Nhật ký tiến độ'!$C$6:$C$3005,$A221))</f>
      </c>
      <c r="AJ221" s="225">
        <f>IF(OR($A221="",$B221&lt;&gt;"Định kỳ"),0,IFERROR(INDEX(DM_TanSuatNgay,MATCH($H221,DM_TanSuat,0)),0))</f>
      </c>
      <c r="AK221" s="225">
        <f>IF(OR($A221="",$B221&lt;&gt;"Định kỳ"),0,IFERROR(INDEX(DM_TanSuatThang,MATCH($H221,DM_TanSuat,0)),0))</f>
      </c>
      <c r="AL221" s="225">
        <f>IF(OR($A221="",$B221&lt;&gt;"Định kỳ",N($X221)=0,N($I221)=0),"",IF(INT($X221)&lt;$I221,0,IF($AJ221&gt;0,ROUND((INT($X221)-$I221)/$AJ221,0),IF($AK221&gt;0,ROUND((DATEDIF($I221,INT($X221),"m")+(INT($X221)-EDATE($I221,DATEDIF($I221,INT($X221),"m")))/(EDATE($I221,DATEDIF($I221,INT($X221),"m")+1)-EDATE($I221,DATEDIF($I221,INT($X221),"m"))))/$AK221,0),0))))</f>
      </c>
      <c r="AM221" s="225">
        <f>IF($A221="","",IF(COUNTIF('Nhật ký tiến độ'!$C$6:$C$3005,$A221)=0,0,_xlfn.MAXIFS('Nhật ký tiến độ'!$N$6:$N$3005,'Nhật ký tiến độ'!$C$6:$C$3005,$A221,'Nhật ký tiến độ'!$B$6:$B$3005,_xlfn.MAXIFS('Nhật ký tiến độ'!$B$6:$B$3005,'Nhật ký tiến độ'!$C$6:$C$3005,$A221))))</f>
      </c>
      <c r="AN221" s="225">
        <f>IF($A221="","",IF(N($AM221)=0,"",INDEX('Nhật ký tiến độ'!$E:$E,$AM221)))</f>
      </c>
      <c r="AO221" s="225">
        <f>IF($A221="",0,IF($AA221="Hoàn thành",0,1))</f>
      </c>
      <c r="AP221" s="225">
        <f>IF($AO221=0,0,INT(N($AW221)))</f>
      </c>
      <c r="AQ221" s="225">
        <f>IF(AND($AO221=1,$AJ221&gt;1),$AJ221,0)</f>
      </c>
      <c r="AR221" s="225">
        <f>IF(AND($AO221=1,$AJ221=1),1,0)</f>
      </c>
      <c r="AS221" s="225">
        <f>IF(OR($AO221=0,AND($AR221=1,N($BB221)=0)),"",IF(N($BB221)&gt;0,5-$BB221,IF($AD221="Chậm tiến độ",6,IF($AD221="Đến hạn hôm nay",7,IF(AND($AP221&gt;0,$AP221-NgayBC&lt;=7),8,"")))))</f>
      </c>
      <c r="AT221" s="225">
        <f>IF($AS221="","",$AS221*100000+$AP221+ROW()/100000)</f>
      </c>
      <c r="AU221" s="224">
        <f>IF(OR($A221="",N($R221)&lt;=0),"",IF($S221="Ngày",$R221*24,$R221))</f>
      </c>
      <c r="AV221" s="224">
        <f>IF($A221="","",IF($B221="Đột xuất",IF(OR($AA221&lt;&gt;"Hoàn thành",N($X221)=0,N($J221)=0),"",IF($X221&lt;$J221,"",($X221-$J221)*24)),IFERROR(AVERAGEIFS('Nhật ký tiến độ'!$H$6:$H$3005,'Nhật ký tiến độ'!$C$6:$C$3005,$A221,'Nhật ký tiến độ'!$H$6:$H$3005,"&gt;0"),"")))</f>
      </c>
      <c r="AW221" s="233">
        <f>IF($A221="",0,IF($B221="Đột xuất",$AY221,IF($AX221=0,0,$AX221+1-1/1440)))</f>
      </c>
      <c r="AX221" s="234">
        <f>IF(OR($A221="",$B221&lt;&gt;"Định kỳ",N($I221)=0),0,IF($AL221="",$I221,IF($AJ221&gt;0,$I221+($AL221+1)*$AJ221,IF($AK221&gt;0,EDATE($I221,($AL221+1)*$AK221),$I221))))</f>
      </c>
      <c r="AY221" s="233">
        <f>IF(OR($A221="",$B221&lt;&gt;"Đột xuất"),0,IF(N($K221)&gt;0,IF(MOD($K221,1)=0,$K221+1-1/1440,$K221),IF(N($J221)=0,0,$J221+IF(N($AU221)&gt;0,$AU221,IFERROR(INDEX(DM_SLA_Gio,MATCH($L221,DM_SLA_Cap,0)),168))/24)))</f>
      </c>
      <c r="AZ221" s="225">
        <f>IF(OR($A221="",TRIM($N221)="",COUNTIF('Phản ánh'!$K$6:$K$505,$N221)&gt;0,COUNTIF($N$6:$N221,$N221)&gt;1),0,1)</f>
      </c>
      <c r="BA221" s="225">
        <f>IF($AZ221=1,SUM($AZ$6:$AZ221),"")</f>
      </c>
      <c r="BB221" s="225">
        <f>IF(OR($AO221=0,N($AW221)=0),0,IF(TDBC&lt;=$AW221,0,MAX(1,MIN(4,IF((TDBC-$AW221)*24&lt;24,1,IF((TDBC-$AW221)*24&lt;72,2,IF((TDBC-$AW221)*24&lt;168,3,4)))+IF($B221="Đột xuất",IFERROR(INDEX({2,1,0,-1},MATCH($L221,{"Khẩn cấp","Cao","Trung bình","Thấp"},0)),0),IF($D221="PCCC và an ninh",1,0))))))</f>
      </c>
    </row>
    <row r="222">
      <c r="A222" s="216"/>
      <c r="B222" s="216"/>
      <c r="C222" s="218"/>
      <c r="D222" s="218"/>
      <c r="E222" s="218"/>
      <c r="F222" s="216"/>
      <c r="G222" s="218"/>
      <c r="H222" s="218"/>
      <c r="I222" s="231"/>
      <c r="J222" s="217"/>
      <c r="K222" s="217"/>
      <c r="L222" s="216"/>
      <c r="M222" s="216"/>
      <c r="N222" s="218"/>
      <c r="O222" s="218"/>
      <c r="P222" s="218"/>
      <c r="Q222" s="218"/>
      <c r="R222" s="219"/>
      <c r="S222" s="216"/>
      <c r="T222" s="232"/>
      <c r="U222" s="232"/>
      <c r="V222" s="218"/>
      <c r="W222" s="218"/>
      <c r="X222" s="220">
        <f>IF($A222="","",IF(OR($B222="Định kỳ",$AA222="Hoàn thành"),MAX(_xlfn.MAXIFS('Nhật ký tiến độ'!$B$6:$B$3005,'Nhật ký tiến độ'!$C$6:$C$3005,$A222,'Nhật ký tiến độ'!$E$6:$E$3005,"Hoàn thành kỳ"),_xlfn.MAXIFS('Nhật ký tiến độ'!$B$6:$B$3005,'Nhật ký tiến độ'!$C$6:$C$3005,$A222,'Nhật ký tiến độ'!$E$6:$E$3005,"Hoàn thành")),0))</f>
      </c>
      <c r="Y222" s="220">
        <f>IF($A222="","",IF($B222="Đột xuất",IF($AY222=0,"",$AY222),IF($AX222=0,"",$AX222)))</f>
      </c>
      <c r="Z222" s="223">
        <f>IF(OR($AO222=0,$AW222=0),"",IF(TDBC&gt;$AW222,"Quá "&amp;IF($B222="Định kỳ",(NgayBC-$AP222)&amp;" ngày",IF(((TDBC-$AW222)*24)&lt;1,MAX(1,ROUND(((TDBC-$AW222)*24)*60,0))&amp;" phút",IF(ROUND(((TDBC-$AW222)*24),0)&lt;24,ROUND(((TDBC-$AW222)*24),0)&amp;" giờ",INT(ROUND(((TDBC-$AW222)*24),0)/24)&amp;" ngày"&amp;IF(MOD(ROUND(((TDBC-$AW222)*24),0),24)&gt;0," "&amp;MOD(ROUND(((TDBC-$AW222)*24),0),24)&amp;" giờ","")))),IF($B222="Định kỳ",IF($AP222=NgayBC,"Hôm nay","Còn "&amp;($AP222-NgayBC)&amp;" ngày"),"Còn "&amp;IF((($AW222-TDBC)*24)&lt;1,MAX(1,ROUND((($AW222-TDBC)*24)*60,0))&amp;" phút",IF(ROUND((($AW222-TDBC)*24),0)&lt;24,ROUND((($AW222-TDBC)*24),0)&amp;" giờ",INT(ROUND((($AW222-TDBC)*24),0)/24)&amp;" ngày"&amp;IF(MOD(ROUND((($AW222-TDBC)*24),0),24)&gt;0," "&amp;MOD(ROUND((($AW222-TDBC)*24),0),24)&amp;" giờ",""))))))</f>
      </c>
      <c r="AA222" s="221">
        <f>IF($A222="","",IF(N($AM222)=0,"Chưa bắt đầu",IF(OR($AN222="Hoàn thành kỳ",$AN222="Hoàn thành"),IF($B222="Định kỳ","Chưa bắt đầu","Hoàn thành"),$AN222)))</f>
      </c>
      <c r="AB222" s="222">
        <f>IF($A222="","",IF($AA222="Hoàn thành",1,IF(OR(N($AM222)=0,$AN222="Hoàn thành kỳ",$AN222="Hoàn thành"),0,N(INDEX('Nhật ký tiến độ'!$D:$D,$AM222)))))</f>
      </c>
      <c r="AC222" s="222">
        <f>IF(OR($A222="",$B222&lt;&gt;"Đột xuất",$AA222="Hoàn thành",N($J222)=0,$AW222=0),"",IF(TDBC&lt;=$J222,0,IF(TDBC&gt;=$AW222,1,(TDBC-$J222)/($AW222-$J222))))</f>
      </c>
      <c r="AD222" s="223">
        <f>IF($A222="","",IF($AA222="Hoàn thành","Hoàn thành",IF($AW222=0,"Chưa đặt hạn",IF(TDBC&gt;$AW222,"Quá hạn",IF(AND($B222="Đột xuất",ROUND((N($AC222)-$AB222)*100,0)&gt;=20),"Chậm tiến độ",IF($AP222=NgayBC,"Đến hạn hôm nay",IF($B222="Đột xuất",IF($AW222-TDBC&lt;=1,"Sắp đến hạn","Đúng tiến độ"),IF($AP222-NgayBC&lt;=3,"Sắp đến hạn","Theo lịch"))))))))</f>
      </c>
      <c r="AE222" s="223">
        <f>IF($AV222="","",IF($B222="Định kỳ","Bình quân "&amp;IF($AV222&lt;1,MAX(1,ROUND($AV222*60,0))&amp;" phút",IF(ROUND($AV222,0)&lt;24,ROUND($AV222,0)&amp;" giờ",INT(ROUND($AV222,0)/24)&amp;" ngày"&amp;IF(MOD(ROUND($AV222,0),24)&gt;0," "&amp;MOD(ROUND($AV222,0),24)&amp;" giờ","")))&amp;" mỗi kỳ",IF($AV222&lt;1,MAX(1,ROUND($AV222*60,0))&amp;" phút",IF(ROUND($AV222,0)&lt;24,ROUND($AV222,0)&amp;" giờ",INT(ROUND($AV222,0)/24)&amp;" ngày"&amp;IF(MOD(ROUND($AV222,0),24)&gt;0," "&amp;MOD(ROUND($AV222,0),24)&amp;" giờ","")))))</f>
      </c>
      <c r="AF222" s="223">
        <f>IF(OR($A222="",N($AU222)=0),"",IF($AV222&lt;&gt;"",IF($AV222&lt;=$AU222,"Trong ước tính","Vượt "&amp;IF(($AV222-$AU222)&lt;1,MAX(1,ROUND(($AV222-$AU222)*60,0))&amp;" phút",IF(ROUND(($AV222-$AU222),0)&lt;24,ROUND(($AV222-$AU222),0)&amp;" giờ",INT(ROUND(($AV222-$AU222),0)/24)&amp;" ngày"&amp;IF(MOD(ROUND(($AV222-$AU222),0),24)&gt;0," "&amp;MOD(ROUND(($AV222-$AU222),0),24)&amp;" giờ","")))),IF(OR($B222&lt;&gt;"Đột xuất",$AA222="Hoàn thành",N($J222)=0),"",IF((TDBC-$J222)*24&gt;$AU222,"Đã vượt ước tính","Đã dùng "&amp;TEXT((TDBC-$J222)*24/$AU222,"0%")))))</f>
      </c>
      <c r="AG222" s="223">
        <f>IF(N($BB222)=0,"",CHOOSE($BB222,"Nhắc nhở","Cảnh báo","Báo động","Báo động đỏ"))</f>
      </c>
      <c r="AH222" s="223">
        <f>IF(OR($B222&lt;&gt;"Đột xuất",$AA222&lt;&gt;"Hoàn thành",N($X222)=0,$AW222=0),"",IF($X222&lt;=$AW222,"Đúng hạn","Trễ hạn"))</f>
      </c>
      <c r="AI222" s="220">
        <f>IF($A222="","",_xlfn.MAXIFS('Nhật ký tiến độ'!$B$6:$B$3005,'Nhật ký tiến độ'!$C$6:$C$3005,$A222))</f>
      </c>
      <c r="AJ222" s="225">
        <f>IF(OR($A222="",$B222&lt;&gt;"Định kỳ"),0,IFERROR(INDEX(DM_TanSuatNgay,MATCH($H222,DM_TanSuat,0)),0))</f>
      </c>
      <c r="AK222" s="225">
        <f>IF(OR($A222="",$B222&lt;&gt;"Định kỳ"),0,IFERROR(INDEX(DM_TanSuatThang,MATCH($H222,DM_TanSuat,0)),0))</f>
      </c>
      <c r="AL222" s="225">
        <f>IF(OR($A222="",$B222&lt;&gt;"Định kỳ",N($X222)=0,N($I222)=0),"",IF(INT($X222)&lt;$I222,0,IF($AJ222&gt;0,ROUND((INT($X222)-$I222)/$AJ222,0),IF($AK222&gt;0,ROUND((DATEDIF($I222,INT($X222),"m")+(INT($X222)-EDATE($I222,DATEDIF($I222,INT($X222),"m")))/(EDATE($I222,DATEDIF($I222,INT($X222),"m")+1)-EDATE($I222,DATEDIF($I222,INT($X222),"m"))))/$AK222,0),0))))</f>
      </c>
      <c r="AM222" s="225">
        <f>IF($A222="","",IF(COUNTIF('Nhật ký tiến độ'!$C$6:$C$3005,$A222)=0,0,_xlfn.MAXIFS('Nhật ký tiến độ'!$N$6:$N$3005,'Nhật ký tiến độ'!$C$6:$C$3005,$A222,'Nhật ký tiến độ'!$B$6:$B$3005,_xlfn.MAXIFS('Nhật ký tiến độ'!$B$6:$B$3005,'Nhật ký tiến độ'!$C$6:$C$3005,$A222))))</f>
      </c>
      <c r="AN222" s="225">
        <f>IF($A222="","",IF(N($AM222)=0,"",INDEX('Nhật ký tiến độ'!$E:$E,$AM222)))</f>
      </c>
      <c r="AO222" s="225">
        <f>IF($A222="",0,IF($AA222="Hoàn thành",0,1))</f>
      </c>
      <c r="AP222" s="225">
        <f>IF($AO222=0,0,INT(N($AW222)))</f>
      </c>
      <c r="AQ222" s="225">
        <f>IF(AND($AO222=1,$AJ222&gt;1),$AJ222,0)</f>
      </c>
      <c r="AR222" s="225">
        <f>IF(AND($AO222=1,$AJ222=1),1,0)</f>
      </c>
      <c r="AS222" s="225">
        <f>IF(OR($AO222=0,AND($AR222=1,N($BB222)=0)),"",IF(N($BB222)&gt;0,5-$BB222,IF($AD222="Chậm tiến độ",6,IF($AD222="Đến hạn hôm nay",7,IF(AND($AP222&gt;0,$AP222-NgayBC&lt;=7),8,"")))))</f>
      </c>
      <c r="AT222" s="225">
        <f>IF($AS222="","",$AS222*100000+$AP222+ROW()/100000)</f>
      </c>
      <c r="AU222" s="224">
        <f>IF(OR($A222="",N($R222)&lt;=0),"",IF($S222="Ngày",$R222*24,$R222))</f>
      </c>
      <c r="AV222" s="224">
        <f>IF($A222="","",IF($B222="Đột xuất",IF(OR($AA222&lt;&gt;"Hoàn thành",N($X222)=0,N($J222)=0),"",IF($X222&lt;$J222,"",($X222-$J222)*24)),IFERROR(AVERAGEIFS('Nhật ký tiến độ'!$H$6:$H$3005,'Nhật ký tiến độ'!$C$6:$C$3005,$A222,'Nhật ký tiến độ'!$H$6:$H$3005,"&gt;0"),"")))</f>
      </c>
      <c r="AW222" s="233">
        <f>IF($A222="",0,IF($B222="Đột xuất",$AY222,IF($AX222=0,0,$AX222+1-1/1440)))</f>
      </c>
      <c r="AX222" s="234">
        <f>IF(OR($A222="",$B222&lt;&gt;"Định kỳ",N($I222)=0),0,IF($AL222="",$I222,IF($AJ222&gt;0,$I222+($AL222+1)*$AJ222,IF($AK222&gt;0,EDATE($I222,($AL222+1)*$AK222),$I222))))</f>
      </c>
      <c r="AY222" s="233">
        <f>IF(OR($A222="",$B222&lt;&gt;"Đột xuất"),0,IF(N($K222)&gt;0,IF(MOD($K222,1)=0,$K222+1-1/1440,$K222),IF(N($J222)=0,0,$J222+IF(N($AU222)&gt;0,$AU222,IFERROR(INDEX(DM_SLA_Gio,MATCH($L222,DM_SLA_Cap,0)),168))/24)))</f>
      </c>
      <c r="AZ222" s="225">
        <f>IF(OR($A222="",TRIM($N222)="",COUNTIF('Phản ánh'!$K$6:$K$505,$N222)&gt;0,COUNTIF($N$6:$N222,$N222)&gt;1),0,1)</f>
      </c>
      <c r="BA222" s="225">
        <f>IF($AZ222=1,SUM($AZ$6:$AZ222),"")</f>
      </c>
      <c r="BB222" s="225">
        <f>IF(OR($AO222=0,N($AW222)=0),0,IF(TDBC&lt;=$AW222,0,MAX(1,MIN(4,IF((TDBC-$AW222)*24&lt;24,1,IF((TDBC-$AW222)*24&lt;72,2,IF((TDBC-$AW222)*24&lt;168,3,4)))+IF($B222="Đột xuất",IFERROR(INDEX({2,1,0,-1},MATCH($L222,{"Khẩn cấp","Cao","Trung bình","Thấp"},0)),0),IF($D222="PCCC và an ninh",1,0))))))</f>
      </c>
    </row>
    <row r="223">
      <c r="A223" s="216"/>
      <c r="B223" s="216"/>
      <c r="C223" s="218"/>
      <c r="D223" s="218"/>
      <c r="E223" s="218"/>
      <c r="F223" s="216"/>
      <c r="G223" s="218"/>
      <c r="H223" s="218"/>
      <c r="I223" s="231"/>
      <c r="J223" s="217"/>
      <c r="K223" s="217"/>
      <c r="L223" s="216"/>
      <c r="M223" s="216"/>
      <c r="N223" s="218"/>
      <c r="O223" s="218"/>
      <c r="P223" s="218"/>
      <c r="Q223" s="218"/>
      <c r="R223" s="219"/>
      <c r="S223" s="216"/>
      <c r="T223" s="232"/>
      <c r="U223" s="232"/>
      <c r="V223" s="218"/>
      <c r="W223" s="218"/>
      <c r="X223" s="220">
        <f>IF($A223="","",IF(OR($B223="Định kỳ",$AA223="Hoàn thành"),MAX(_xlfn.MAXIFS('Nhật ký tiến độ'!$B$6:$B$3005,'Nhật ký tiến độ'!$C$6:$C$3005,$A223,'Nhật ký tiến độ'!$E$6:$E$3005,"Hoàn thành kỳ"),_xlfn.MAXIFS('Nhật ký tiến độ'!$B$6:$B$3005,'Nhật ký tiến độ'!$C$6:$C$3005,$A223,'Nhật ký tiến độ'!$E$6:$E$3005,"Hoàn thành")),0))</f>
      </c>
      <c r="Y223" s="220">
        <f>IF($A223="","",IF($B223="Đột xuất",IF($AY223=0,"",$AY223),IF($AX223=0,"",$AX223)))</f>
      </c>
      <c r="Z223" s="223">
        <f>IF(OR($AO223=0,$AW223=0),"",IF(TDBC&gt;$AW223,"Quá "&amp;IF($B223="Định kỳ",(NgayBC-$AP223)&amp;" ngày",IF(((TDBC-$AW223)*24)&lt;1,MAX(1,ROUND(((TDBC-$AW223)*24)*60,0))&amp;" phút",IF(ROUND(((TDBC-$AW223)*24),0)&lt;24,ROUND(((TDBC-$AW223)*24),0)&amp;" giờ",INT(ROUND(((TDBC-$AW223)*24),0)/24)&amp;" ngày"&amp;IF(MOD(ROUND(((TDBC-$AW223)*24),0),24)&gt;0," "&amp;MOD(ROUND(((TDBC-$AW223)*24),0),24)&amp;" giờ","")))),IF($B223="Định kỳ",IF($AP223=NgayBC,"Hôm nay","Còn "&amp;($AP223-NgayBC)&amp;" ngày"),"Còn "&amp;IF((($AW223-TDBC)*24)&lt;1,MAX(1,ROUND((($AW223-TDBC)*24)*60,0))&amp;" phút",IF(ROUND((($AW223-TDBC)*24),0)&lt;24,ROUND((($AW223-TDBC)*24),0)&amp;" giờ",INT(ROUND((($AW223-TDBC)*24),0)/24)&amp;" ngày"&amp;IF(MOD(ROUND((($AW223-TDBC)*24),0),24)&gt;0," "&amp;MOD(ROUND((($AW223-TDBC)*24),0),24)&amp;" giờ",""))))))</f>
      </c>
      <c r="AA223" s="221">
        <f>IF($A223="","",IF(N($AM223)=0,"Chưa bắt đầu",IF(OR($AN223="Hoàn thành kỳ",$AN223="Hoàn thành"),IF($B223="Định kỳ","Chưa bắt đầu","Hoàn thành"),$AN223)))</f>
      </c>
      <c r="AB223" s="222">
        <f>IF($A223="","",IF($AA223="Hoàn thành",1,IF(OR(N($AM223)=0,$AN223="Hoàn thành kỳ",$AN223="Hoàn thành"),0,N(INDEX('Nhật ký tiến độ'!$D:$D,$AM223)))))</f>
      </c>
      <c r="AC223" s="222">
        <f>IF(OR($A223="",$B223&lt;&gt;"Đột xuất",$AA223="Hoàn thành",N($J223)=0,$AW223=0),"",IF(TDBC&lt;=$J223,0,IF(TDBC&gt;=$AW223,1,(TDBC-$J223)/($AW223-$J223))))</f>
      </c>
      <c r="AD223" s="223">
        <f>IF($A223="","",IF($AA223="Hoàn thành","Hoàn thành",IF($AW223=0,"Chưa đặt hạn",IF(TDBC&gt;$AW223,"Quá hạn",IF(AND($B223="Đột xuất",ROUND((N($AC223)-$AB223)*100,0)&gt;=20),"Chậm tiến độ",IF($AP223=NgayBC,"Đến hạn hôm nay",IF($B223="Đột xuất",IF($AW223-TDBC&lt;=1,"Sắp đến hạn","Đúng tiến độ"),IF($AP223-NgayBC&lt;=3,"Sắp đến hạn","Theo lịch"))))))))</f>
      </c>
      <c r="AE223" s="223">
        <f>IF($AV223="","",IF($B223="Định kỳ","Bình quân "&amp;IF($AV223&lt;1,MAX(1,ROUND($AV223*60,0))&amp;" phút",IF(ROUND($AV223,0)&lt;24,ROUND($AV223,0)&amp;" giờ",INT(ROUND($AV223,0)/24)&amp;" ngày"&amp;IF(MOD(ROUND($AV223,0),24)&gt;0," "&amp;MOD(ROUND($AV223,0),24)&amp;" giờ","")))&amp;" mỗi kỳ",IF($AV223&lt;1,MAX(1,ROUND($AV223*60,0))&amp;" phút",IF(ROUND($AV223,0)&lt;24,ROUND($AV223,0)&amp;" giờ",INT(ROUND($AV223,0)/24)&amp;" ngày"&amp;IF(MOD(ROUND($AV223,0),24)&gt;0," "&amp;MOD(ROUND($AV223,0),24)&amp;" giờ","")))))</f>
      </c>
      <c r="AF223" s="223">
        <f>IF(OR($A223="",N($AU223)=0),"",IF($AV223&lt;&gt;"",IF($AV223&lt;=$AU223,"Trong ước tính","Vượt "&amp;IF(($AV223-$AU223)&lt;1,MAX(1,ROUND(($AV223-$AU223)*60,0))&amp;" phút",IF(ROUND(($AV223-$AU223),0)&lt;24,ROUND(($AV223-$AU223),0)&amp;" giờ",INT(ROUND(($AV223-$AU223),0)/24)&amp;" ngày"&amp;IF(MOD(ROUND(($AV223-$AU223),0),24)&gt;0," "&amp;MOD(ROUND(($AV223-$AU223),0),24)&amp;" giờ","")))),IF(OR($B223&lt;&gt;"Đột xuất",$AA223="Hoàn thành",N($J223)=0),"",IF((TDBC-$J223)*24&gt;$AU223,"Đã vượt ước tính","Đã dùng "&amp;TEXT((TDBC-$J223)*24/$AU223,"0%")))))</f>
      </c>
      <c r="AG223" s="223">
        <f>IF(N($BB223)=0,"",CHOOSE($BB223,"Nhắc nhở","Cảnh báo","Báo động","Báo động đỏ"))</f>
      </c>
      <c r="AH223" s="223">
        <f>IF(OR($B223&lt;&gt;"Đột xuất",$AA223&lt;&gt;"Hoàn thành",N($X223)=0,$AW223=0),"",IF($X223&lt;=$AW223,"Đúng hạn","Trễ hạn"))</f>
      </c>
      <c r="AI223" s="220">
        <f>IF($A223="","",_xlfn.MAXIFS('Nhật ký tiến độ'!$B$6:$B$3005,'Nhật ký tiến độ'!$C$6:$C$3005,$A223))</f>
      </c>
      <c r="AJ223" s="225">
        <f>IF(OR($A223="",$B223&lt;&gt;"Định kỳ"),0,IFERROR(INDEX(DM_TanSuatNgay,MATCH($H223,DM_TanSuat,0)),0))</f>
      </c>
      <c r="AK223" s="225">
        <f>IF(OR($A223="",$B223&lt;&gt;"Định kỳ"),0,IFERROR(INDEX(DM_TanSuatThang,MATCH($H223,DM_TanSuat,0)),0))</f>
      </c>
      <c r="AL223" s="225">
        <f>IF(OR($A223="",$B223&lt;&gt;"Định kỳ",N($X223)=0,N($I223)=0),"",IF(INT($X223)&lt;$I223,0,IF($AJ223&gt;0,ROUND((INT($X223)-$I223)/$AJ223,0),IF($AK223&gt;0,ROUND((DATEDIF($I223,INT($X223),"m")+(INT($X223)-EDATE($I223,DATEDIF($I223,INT($X223),"m")))/(EDATE($I223,DATEDIF($I223,INT($X223),"m")+1)-EDATE($I223,DATEDIF($I223,INT($X223),"m"))))/$AK223,0),0))))</f>
      </c>
      <c r="AM223" s="225">
        <f>IF($A223="","",IF(COUNTIF('Nhật ký tiến độ'!$C$6:$C$3005,$A223)=0,0,_xlfn.MAXIFS('Nhật ký tiến độ'!$N$6:$N$3005,'Nhật ký tiến độ'!$C$6:$C$3005,$A223,'Nhật ký tiến độ'!$B$6:$B$3005,_xlfn.MAXIFS('Nhật ký tiến độ'!$B$6:$B$3005,'Nhật ký tiến độ'!$C$6:$C$3005,$A223))))</f>
      </c>
      <c r="AN223" s="225">
        <f>IF($A223="","",IF(N($AM223)=0,"",INDEX('Nhật ký tiến độ'!$E:$E,$AM223)))</f>
      </c>
      <c r="AO223" s="225">
        <f>IF($A223="",0,IF($AA223="Hoàn thành",0,1))</f>
      </c>
      <c r="AP223" s="225">
        <f>IF($AO223=0,0,INT(N($AW223)))</f>
      </c>
      <c r="AQ223" s="225">
        <f>IF(AND($AO223=1,$AJ223&gt;1),$AJ223,0)</f>
      </c>
      <c r="AR223" s="225">
        <f>IF(AND($AO223=1,$AJ223=1),1,0)</f>
      </c>
      <c r="AS223" s="225">
        <f>IF(OR($AO223=0,AND($AR223=1,N($BB223)=0)),"",IF(N($BB223)&gt;0,5-$BB223,IF($AD223="Chậm tiến độ",6,IF($AD223="Đến hạn hôm nay",7,IF(AND($AP223&gt;0,$AP223-NgayBC&lt;=7),8,"")))))</f>
      </c>
      <c r="AT223" s="225">
        <f>IF($AS223="","",$AS223*100000+$AP223+ROW()/100000)</f>
      </c>
      <c r="AU223" s="224">
        <f>IF(OR($A223="",N($R223)&lt;=0),"",IF($S223="Ngày",$R223*24,$R223))</f>
      </c>
      <c r="AV223" s="224">
        <f>IF($A223="","",IF($B223="Đột xuất",IF(OR($AA223&lt;&gt;"Hoàn thành",N($X223)=0,N($J223)=0),"",IF($X223&lt;$J223,"",($X223-$J223)*24)),IFERROR(AVERAGEIFS('Nhật ký tiến độ'!$H$6:$H$3005,'Nhật ký tiến độ'!$C$6:$C$3005,$A223,'Nhật ký tiến độ'!$H$6:$H$3005,"&gt;0"),"")))</f>
      </c>
      <c r="AW223" s="233">
        <f>IF($A223="",0,IF($B223="Đột xuất",$AY223,IF($AX223=0,0,$AX223+1-1/1440)))</f>
      </c>
      <c r="AX223" s="234">
        <f>IF(OR($A223="",$B223&lt;&gt;"Định kỳ",N($I223)=0),0,IF($AL223="",$I223,IF($AJ223&gt;0,$I223+($AL223+1)*$AJ223,IF($AK223&gt;0,EDATE($I223,($AL223+1)*$AK223),$I223))))</f>
      </c>
      <c r="AY223" s="233">
        <f>IF(OR($A223="",$B223&lt;&gt;"Đột xuất"),0,IF(N($K223)&gt;0,IF(MOD($K223,1)=0,$K223+1-1/1440,$K223),IF(N($J223)=0,0,$J223+IF(N($AU223)&gt;0,$AU223,IFERROR(INDEX(DM_SLA_Gio,MATCH($L223,DM_SLA_Cap,0)),168))/24)))</f>
      </c>
      <c r="AZ223" s="225">
        <f>IF(OR($A223="",TRIM($N223)="",COUNTIF('Phản ánh'!$K$6:$K$505,$N223)&gt;0,COUNTIF($N$6:$N223,$N223)&gt;1),0,1)</f>
      </c>
      <c r="BA223" s="225">
        <f>IF($AZ223=1,SUM($AZ$6:$AZ223),"")</f>
      </c>
      <c r="BB223" s="225">
        <f>IF(OR($AO223=0,N($AW223)=0),0,IF(TDBC&lt;=$AW223,0,MAX(1,MIN(4,IF((TDBC-$AW223)*24&lt;24,1,IF((TDBC-$AW223)*24&lt;72,2,IF((TDBC-$AW223)*24&lt;168,3,4)))+IF($B223="Đột xuất",IFERROR(INDEX({2,1,0,-1},MATCH($L223,{"Khẩn cấp","Cao","Trung bình","Thấp"},0)),0),IF($D223="PCCC và an ninh",1,0))))))</f>
      </c>
    </row>
    <row r="224">
      <c r="A224" s="216"/>
      <c r="B224" s="216"/>
      <c r="C224" s="218"/>
      <c r="D224" s="218"/>
      <c r="E224" s="218"/>
      <c r="F224" s="216"/>
      <c r="G224" s="218"/>
      <c r="H224" s="218"/>
      <c r="I224" s="231"/>
      <c r="J224" s="217"/>
      <c r="K224" s="217"/>
      <c r="L224" s="216"/>
      <c r="M224" s="216"/>
      <c r="N224" s="218"/>
      <c r="O224" s="218"/>
      <c r="P224" s="218"/>
      <c r="Q224" s="218"/>
      <c r="R224" s="219"/>
      <c r="S224" s="216"/>
      <c r="T224" s="232"/>
      <c r="U224" s="232"/>
      <c r="V224" s="218"/>
      <c r="W224" s="218"/>
      <c r="X224" s="220">
        <f>IF($A224="","",IF(OR($B224="Định kỳ",$AA224="Hoàn thành"),MAX(_xlfn.MAXIFS('Nhật ký tiến độ'!$B$6:$B$3005,'Nhật ký tiến độ'!$C$6:$C$3005,$A224,'Nhật ký tiến độ'!$E$6:$E$3005,"Hoàn thành kỳ"),_xlfn.MAXIFS('Nhật ký tiến độ'!$B$6:$B$3005,'Nhật ký tiến độ'!$C$6:$C$3005,$A224,'Nhật ký tiến độ'!$E$6:$E$3005,"Hoàn thành")),0))</f>
      </c>
      <c r="Y224" s="220">
        <f>IF($A224="","",IF($B224="Đột xuất",IF($AY224=0,"",$AY224),IF($AX224=0,"",$AX224)))</f>
      </c>
      <c r="Z224" s="223">
        <f>IF(OR($AO224=0,$AW224=0),"",IF(TDBC&gt;$AW224,"Quá "&amp;IF($B224="Định kỳ",(NgayBC-$AP224)&amp;" ngày",IF(((TDBC-$AW224)*24)&lt;1,MAX(1,ROUND(((TDBC-$AW224)*24)*60,0))&amp;" phút",IF(ROUND(((TDBC-$AW224)*24),0)&lt;24,ROUND(((TDBC-$AW224)*24),0)&amp;" giờ",INT(ROUND(((TDBC-$AW224)*24),0)/24)&amp;" ngày"&amp;IF(MOD(ROUND(((TDBC-$AW224)*24),0),24)&gt;0," "&amp;MOD(ROUND(((TDBC-$AW224)*24),0),24)&amp;" giờ","")))),IF($B224="Định kỳ",IF($AP224=NgayBC,"Hôm nay","Còn "&amp;($AP224-NgayBC)&amp;" ngày"),"Còn "&amp;IF((($AW224-TDBC)*24)&lt;1,MAX(1,ROUND((($AW224-TDBC)*24)*60,0))&amp;" phút",IF(ROUND((($AW224-TDBC)*24),0)&lt;24,ROUND((($AW224-TDBC)*24),0)&amp;" giờ",INT(ROUND((($AW224-TDBC)*24),0)/24)&amp;" ngày"&amp;IF(MOD(ROUND((($AW224-TDBC)*24),0),24)&gt;0," "&amp;MOD(ROUND((($AW224-TDBC)*24),0),24)&amp;" giờ",""))))))</f>
      </c>
      <c r="AA224" s="221">
        <f>IF($A224="","",IF(N($AM224)=0,"Chưa bắt đầu",IF(OR($AN224="Hoàn thành kỳ",$AN224="Hoàn thành"),IF($B224="Định kỳ","Chưa bắt đầu","Hoàn thành"),$AN224)))</f>
      </c>
      <c r="AB224" s="222">
        <f>IF($A224="","",IF($AA224="Hoàn thành",1,IF(OR(N($AM224)=0,$AN224="Hoàn thành kỳ",$AN224="Hoàn thành"),0,N(INDEX('Nhật ký tiến độ'!$D:$D,$AM224)))))</f>
      </c>
      <c r="AC224" s="222">
        <f>IF(OR($A224="",$B224&lt;&gt;"Đột xuất",$AA224="Hoàn thành",N($J224)=0,$AW224=0),"",IF(TDBC&lt;=$J224,0,IF(TDBC&gt;=$AW224,1,(TDBC-$J224)/($AW224-$J224))))</f>
      </c>
      <c r="AD224" s="223">
        <f>IF($A224="","",IF($AA224="Hoàn thành","Hoàn thành",IF($AW224=0,"Chưa đặt hạn",IF(TDBC&gt;$AW224,"Quá hạn",IF(AND($B224="Đột xuất",ROUND((N($AC224)-$AB224)*100,0)&gt;=20),"Chậm tiến độ",IF($AP224=NgayBC,"Đến hạn hôm nay",IF($B224="Đột xuất",IF($AW224-TDBC&lt;=1,"Sắp đến hạn","Đúng tiến độ"),IF($AP224-NgayBC&lt;=3,"Sắp đến hạn","Theo lịch"))))))))</f>
      </c>
      <c r="AE224" s="223">
        <f>IF($AV224="","",IF($B224="Định kỳ","Bình quân "&amp;IF($AV224&lt;1,MAX(1,ROUND($AV224*60,0))&amp;" phút",IF(ROUND($AV224,0)&lt;24,ROUND($AV224,0)&amp;" giờ",INT(ROUND($AV224,0)/24)&amp;" ngày"&amp;IF(MOD(ROUND($AV224,0),24)&gt;0," "&amp;MOD(ROUND($AV224,0),24)&amp;" giờ","")))&amp;" mỗi kỳ",IF($AV224&lt;1,MAX(1,ROUND($AV224*60,0))&amp;" phút",IF(ROUND($AV224,0)&lt;24,ROUND($AV224,0)&amp;" giờ",INT(ROUND($AV224,0)/24)&amp;" ngày"&amp;IF(MOD(ROUND($AV224,0),24)&gt;0," "&amp;MOD(ROUND($AV224,0),24)&amp;" giờ","")))))</f>
      </c>
      <c r="AF224" s="223">
        <f>IF(OR($A224="",N($AU224)=0),"",IF($AV224&lt;&gt;"",IF($AV224&lt;=$AU224,"Trong ước tính","Vượt "&amp;IF(($AV224-$AU224)&lt;1,MAX(1,ROUND(($AV224-$AU224)*60,0))&amp;" phút",IF(ROUND(($AV224-$AU224),0)&lt;24,ROUND(($AV224-$AU224),0)&amp;" giờ",INT(ROUND(($AV224-$AU224),0)/24)&amp;" ngày"&amp;IF(MOD(ROUND(($AV224-$AU224),0),24)&gt;0," "&amp;MOD(ROUND(($AV224-$AU224),0),24)&amp;" giờ","")))),IF(OR($B224&lt;&gt;"Đột xuất",$AA224="Hoàn thành",N($J224)=0),"",IF((TDBC-$J224)*24&gt;$AU224,"Đã vượt ước tính","Đã dùng "&amp;TEXT((TDBC-$J224)*24/$AU224,"0%")))))</f>
      </c>
      <c r="AG224" s="223">
        <f>IF(N($BB224)=0,"",CHOOSE($BB224,"Nhắc nhở","Cảnh báo","Báo động","Báo động đỏ"))</f>
      </c>
      <c r="AH224" s="223">
        <f>IF(OR($B224&lt;&gt;"Đột xuất",$AA224&lt;&gt;"Hoàn thành",N($X224)=0,$AW224=0),"",IF($X224&lt;=$AW224,"Đúng hạn","Trễ hạn"))</f>
      </c>
      <c r="AI224" s="220">
        <f>IF($A224="","",_xlfn.MAXIFS('Nhật ký tiến độ'!$B$6:$B$3005,'Nhật ký tiến độ'!$C$6:$C$3005,$A224))</f>
      </c>
      <c r="AJ224" s="225">
        <f>IF(OR($A224="",$B224&lt;&gt;"Định kỳ"),0,IFERROR(INDEX(DM_TanSuatNgay,MATCH($H224,DM_TanSuat,0)),0))</f>
      </c>
      <c r="AK224" s="225">
        <f>IF(OR($A224="",$B224&lt;&gt;"Định kỳ"),0,IFERROR(INDEX(DM_TanSuatThang,MATCH($H224,DM_TanSuat,0)),0))</f>
      </c>
      <c r="AL224" s="225">
        <f>IF(OR($A224="",$B224&lt;&gt;"Định kỳ",N($X224)=0,N($I224)=0),"",IF(INT($X224)&lt;$I224,0,IF($AJ224&gt;0,ROUND((INT($X224)-$I224)/$AJ224,0),IF($AK224&gt;0,ROUND((DATEDIF($I224,INT($X224),"m")+(INT($X224)-EDATE($I224,DATEDIF($I224,INT($X224),"m")))/(EDATE($I224,DATEDIF($I224,INT($X224),"m")+1)-EDATE($I224,DATEDIF($I224,INT($X224),"m"))))/$AK224,0),0))))</f>
      </c>
      <c r="AM224" s="225">
        <f>IF($A224="","",IF(COUNTIF('Nhật ký tiến độ'!$C$6:$C$3005,$A224)=0,0,_xlfn.MAXIFS('Nhật ký tiến độ'!$N$6:$N$3005,'Nhật ký tiến độ'!$C$6:$C$3005,$A224,'Nhật ký tiến độ'!$B$6:$B$3005,_xlfn.MAXIFS('Nhật ký tiến độ'!$B$6:$B$3005,'Nhật ký tiến độ'!$C$6:$C$3005,$A224))))</f>
      </c>
      <c r="AN224" s="225">
        <f>IF($A224="","",IF(N($AM224)=0,"",INDEX('Nhật ký tiến độ'!$E:$E,$AM224)))</f>
      </c>
      <c r="AO224" s="225">
        <f>IF($A224="",0,IF($AA224="Hoàn thành",0,1))</f>
      </c>
      <c r="AP224" s="225">
        <f>IF($AO224=0,0,INT(N($AW224)))</f>
      </c>
      <c r="AQ224" s="225">
        <f>IF(AND($AO224=1,$AJ224&gt;1),$AJ224,0)</f>
      </c>
      <c r="AR224" s="225">
        <f>IF(AND($AO224=1,$AJ224=1),1,0)</f>
      </c>
      <c r="AS224" s="225">
        <f>IF(OR($AO224=0,AND($AR224=1,N($BB224)=0)),"",IF(N($BB224)&gt;0,5-$BB224,IF($AD224="Chậm tiến độ",6,IF($AD224="Đến hạn hôm nay",7,IF(AND($AP224&gt;0,$AP224-NgayBC&lt;=7),8,"")))))</f>
      </c>
      <c r="AT224" s="225">
        <f>IF($AS224="","",$AS224*100000+$AP224+ROW()/100000)</f>
      </c>
      <c r="AU224" s="224">
        <f>IF(OR($A224="",N($R224)&lt;=0),"",IF($S224="Ngày",$R224*24,$R224))</f>
      </c>
      <c r="AV224" s="224">
        <f>IF($A224="","",IF($B224="Đột xuất",IF(OR($AA224&lt;&gt;"Hoàn thành",N($X224)=0,N($J224)=0),"",IF($X224&lt;$J224,"",($X224-$J224)*24)),IFERROR(AVERAGEIFS('Nhật ký tiến độ'!$H$6:$H$3005,'Nhật ký tiến độ'!$C$6:$C$3005,$A224,'Nhật ký tiến độ'!$H$6:$H$3005,"&gt;0"),"")))</f>
      </c>
      <c r="AW224" s="233">
        <f>IF($A224="",0,IF($B224="Đột xuất",$AY224,IF($AX224=0,0,$AX224+1-1/1440)))</f>
      </c>
      <c r="AX224" s="234">
        <f>IF(OR($A224="",$B224&lt;&gt;"Định kỳ",N($I224)=0),0,IF($AL224="",$I224,IF($AJ224&gt;0,$I224+($AL224+1)*$AJ224,IF($AK224&gt;0,EDATE($I224,($AL224+1)*$AK224),$I224))))</f>
      </c>
      <c r="AY224" s="233">
        <f>IF(OR($A224="",$B224&lt;&gt;"Đột xuất"),0,IF(N($K224)&gt;0,IF(MOD($K224,1)=0,$K224+1-1/1440,$K224),IF(N($J224)=0,0,$J224+IF(N($AU224)&gt;0,$AU224,IFERROR(INDEX(DM_SLA_Gio,MATCH($L224,DM_SLA_Cap,0)),168))/24)))</f>
      </c>
      <c r="AZ224" s="225">
        <f>IF(OR($A224="",TRIM($N224)="",COUNTIF('Phản ánh'!$K$6:$K$505,$N224)&gt;0,COUNTIF($N$6:$N224,$N224)&gt;1),0,1)</f>
      </c>
      <c r="BA224" s="225">
        <f>IF($AZ224=1,SUM($AZ$6:$AZ224),"")</f>
      </c>
      <c r="BB224" s="225">
        <f>IF(OR($AO224=0,N($AW224)=0),0,IF(TDBC&lt;=$AW224,0,MAX(1,MIN(4,IF((TDBC-$AW224)*24&lt;24,1,IF((TDBC-$AW224)*24&lt;72,2,IF((TDBC-$AW224)*24&lt;168,3,4)))+IF($B224="Đột xuất",IFERROR(INDEX({2,1,0,-1},MATCH($L224,{"Khẩn cấp","Cao","Trung bình","Thấp"},0)),0),IF($D224="PCCC và an ninh",1,0))))))</f>
      </c>
    </row>
    <row r="225">
      <c r="A225" s="216"/>
      <c r="B225" s="216"/>
      <c r="C225" s="218"/>
      <c r="D225" s="218"/>
      <c r="E225" s="218"/>
      <c r="F225" s="216"/>
      <c r="G225" s="218"/>
      <c r="H225" s="218"/>
      <c r="I225" s="231"/>
      <c r="J225" s="217"/>
      <c r="K225" s="217"/>
      <c r="L225" s="216"/>
      <c r="M225" s="216"/>
      <c r="N225" s="218"/>
      <c r="O225" s="218"/>
      <c r="P225" s="218"/>
      <c r="Q225" s="218"/>
      <c r="R225" s="219"/>
      <c r="S225" s="216"/>
      <c r="T225" s="232"/>
      <c r="U225" s="232"/>
      <c r="V225" s="218"/>
      <c r="W225" s="218"/>
      <c r="X225" s="220">
        <f>IF($A225="","",IF(OR($B225="Định kỳ",$AA225="Hoàn thành"),MAX(_xlfn.MAXIFS('Nhật ký tiến độ'!$B$6:$B$3005,'Nhật ký tiến độ'!$C$6:$C$3005,$A225,'Nhật ký tiến độ'!$E$6:$E$3005,"Hoàn thành kỳ"),_xlfn.MAXIFS('Nhật ký tiến độ'!$B$6:$B$3005,'Nhật ký tiến độ'!$C$6:$C$3005,$A225,'Nhật ký tiến độ'!$E$6:$E$3005,"Hoàn thành")),0))</f>
      </c>
      <c r="Y225" s="220">
        <f>IF($A225="","",IF($B225="Đột xuất",IF($AY225=0,"",$AY225),IF($AX225=0,"",$AX225)))</f>
      </c>
      <c r="Z225" s="223">
        <f>IF(OR($AO225=0,$AW225=0),"",IF(TDBC&gt;$AW225,"Quá "&amp;IF($B225="Định kỳ",(NgayBC-$AP225)&amp;" ngày",IF(((TDBC-$AW225)*24)&lt;1,MAX(1,ROUND(((TDBC-$AW225)*24)*60,0))&amp;" phút",IF(ROUND(((TDBC-$AW225)*24),0)&lt;24,ROUND(((TDBC-$AW225)*24),0)&amp;" giờ",INT(ROUND(((TDBC-$AW225)*24),0)/24)&amp;" ngày"&amp;IF(MOD(ROUND(((TDBC-$AW225)*24),0),24)&gt;0," "&amp;MOD(ROUND(((TDBC-$AW225)*24),0),24)&amp;" giờ","")))),IF($B225="Định kỳ",IF($AP225=NgayBC,"Hôm nay","Còn "&amp;($AP225-NgayBC)&amp;" ngày"),"Còn "&amp;IF((($AW225-TDBC)*24)&lt;1,MAX(1,ROUND((($AW225-TDBC)*24)*60,0))&amp;" phút",IF(ROUND((($AW225-TDBC)*24),0)&lt;24,ROUND((($AW225-TDBC)*24),0)&amp;" giờ",INT(ROUND((($AW225-TDBC)*24),0)/24)&amp;" ngày"&amp;IF(MOD(ROUND((($AW225-TDBC)*24),0),24)&gt;0," "&amp;MOD(ROUND((($AW225-TDBC)*24),0),24)&amp;" giờ",""))))))</f>
      </c>
      <c r="AA225" s="221">
        <f>IF($A225="","",IF(N($AM225)=0,"Chưa bắt đầu",IF(OR($AN225="Hoàn thành kỳ",$AN225="Hoàn thành"),IF($B225="Định kỳ","Chưa bắt đầu","Hoàn thành"),$AN225)))</f>
      </c>
      <c r="AB225" s="222">
        <f>IF($A225="","",IF($AA225="Hoàn thành",1,IF(OR(N($AM225)=0,$AN225="Hoàn thành kỳ",$AN225="Hoàn thành"),0,N(INDEX('Nhật ký tiến độ'!$D:$D,$AM225)))))</f>
      </c>
      <c r="AC225" s="222">
        <f>IF(OR($A225="",$B225&lt;&gt;"Đột xuất",$AA225="Hoàn thành",N($J225)=0,$AW225=0),"",IF(TDBC&lt;=$J225,0,IF(TDBC&gt;=$AW225,1,(TDBC-$J225)/($AW225-$J225))))</f>
      </c>
      <c r="AD225" s="223">
        <f>IF($A225="","",IF($AA225="Hoàn thành","Hoàn thành",IF($AW225=0,"Chưa đặt hạn",IF(TDBC&gt;$AW225,"Quá hạn",IF(AND($B225="Đột xuất",ROUND((N($AC225)-$AB225)*100,0)&gt;=20),"Chậm tiến độ",IF($AP225=NgayBC,"Đến hạn hôm nay",IF($B225="Đột xuất",IF($AW225-TDBC&lt;=1,"Sắp đến hạn","Đúng tiến độ"),IF($AP225-NgayBC&lt;=3,"Sắp đến hạn","Theo lịch"))))))))</f>
      </c>
      <c r="AE225" s="223">
        <f>IF($AV225="","",IF($B225="Định kỳ","Bình quân "&amp;IF($AV225&lt;1,MAX(1,ROUND($AV225*60,0))&amp;" phút",IF(ROUND($AV225,0)&lt;24,ROUND($AV225,0)&amp;" giờ",INT(ROUND($AV225,0)/24)&amp;" ngày"&amp;IF(MOD(ROUND($AV225,0),24)&gt;0," "&amp;MOD(ROUND($AV225,0),24)&amp;" giờ","")))&amp;" mỗi kỳ",IF($AV225&lt;1,MAX(1,ROUND($AV225*60,0))&amp;" phút",IF(ROUND($AV225,0)&lt;24,ROUND($AV225,0)&amp;" giờ",INT(ROUND($AV225,0)/24)&amp;" ngày"&amp;IF(MOD(ROUND($AV225,0),24)&gt;0," "&amp;MOD(ROUND($AV225,0),24)&amp;" giờ","")))))</f>
      </c>
      <c r="AF225" s="223">
        <f>IF(OR($A225="",N($AU225)=0),"",IF($AV225&lt;&gt;"",IF($AV225&lt;=$AU225,"Trong ước tính","Vượt "&amp;IF(($AV225-$AU225)&lt;1,MAX(1,ROUND(($AV225-$AU225)*60,0))&amp;" phút",IF(ROUND(($AV225-$AU225),0)&lt;24,ROUND(($AV225-$AU225),0)&amp;" giờ",INT(ROUND(($AV225-$AU225),0)/24)&amp;" ngày"&amp;IF(MOD(ROUND(($AV225-$AU225),0),24)&gt;0," "&amp;MOD(ROUND(($AV225-$AU225),0),24)&amp;" giờ","")))),IF(OR($B225&lt;&gt;"Đột xuất",$AA225="Hoàn thành",N($J225)=0),"",IF((TDBC-$J225)*24&gt;$AU225,"Đã vượt ước tính","Đã dùng "&amp;TEXT((TDBC-$J225)*24/$AU225,"0%")))))</f>
      </c>
      <c r="AG225" s="223">
        <f>IF(N($BB225)=0,"",CHOOSE($BB225,"Nhắc nhở","Cảnh báo","Báo động","Báo động đỏ"))</f>
      </c>
      <c r="AH225" s="223">
        <f>IF(OR($B225&lt;&gt;"Đột xuất",$AA225&lt;&gt;"Hoàn thành",N($X225)=0,$AW225=0),"",IF($X225&lt;=$AW225,"Đúng hạn","Trễ hạn"))</f>
      </c>
      <c r="AI225" s="220">
        <f>IF($A225="","",_xlfn.MAXIFS('Nhật ký tiến độ'!$B$6:$B$3005,'Nhật ký tiến độ'!$C$6:$C$3005,$A225))</f>
      </c>
      <c r="AJ225" s="225">
        <f>IF(OR($A225="",$B225&lt;&gt;"Định kỳ"),0,IFERROR(INDEX(DM_TanSuatNgay,MATCH($H225,DM_TanSuat,0)),0))</f>
      </c>
      <c r="AK225" s="225">
        <f>IF(OR($A225="",$B225&lt;&gt;"Định kỳ"),0,IFERROR(INDEX(DM_TanSuatThang,MATCH($H225,DM_TanSuat,0)),0))</f>
      </c>
      <c r="AL225" s="225">
        <f>IF(OR($A225="",$B225&lt;&gt;"Định kỳ",N($X225)=0,N($I225)=0),"",IF(INT($X225)&lt;$I225,0,IF($AJ225&gt;0,ROUND((INT($X225)-$I225)/$AJ225,0),IF($AK225&gt;0,ROUND((DATEDIF($I225,INT($X225),"m")+(INT($X225)-EDATE($I225,DATEDIF($I225,INT($X225),"m")))/(EDATE($I225,DATEDIF($I225,INT($X225),"m")+1)-EDATE($I225,DATEDIF($I225,INT($X225),"m"))))/$AK225,0),0))))</f>
      </c>
      <c r="AM225" s="225">
        <f>IF($A225="","",IF(COUNTIF('Nhật ký tiến độ'!$C$6:$C$3005,$A225)=0,0,_xlfn.MAXIFS('Nhật ký tiến độ'!$N$6:$N$3005,'Nhật ký tiến độ'!$C$6:$C$3005,$A225,'Nhật ký tiến độ'!$B$6:$B$3005,_xlfn.MAXIFS('Nhật ký tiến độ'!$B$6:$B$3005,'Nhật ký tiến độ'!$C$6:$C$3005,$A225))))</f>
      </c>
      <c r="AN225" s="225">
        <f>IF($A225="","",IF(N($AM225)=0,"",INDEX('Nhật ký tiến độ'!$E:$E,$AM225)))</f>
      </c>
      <c r="AO225" s="225">
        <f>IF($A225="",0,IF($AA225="Hoàn thành",0,1))</f>
      </c>
      <c r="AP225" s="225">
        <f>IF($AO225=0,0,INT(N($AW225)))</f>
      </c>
      <c r="AQ225" s="225">
        <f>IF(AND($AO225=1,$AJ225&gt;1),$AJ225,0)</f>
      </c>
      <c r="AR225" s="225">
        <f>IF(AND($AO225=1,$AJ225=1),1,0)</f>
      </c>
      <c r="AS225" s="225">
        <f>IF(OR($AO225=0,AND($AR225=1,N($BB225)=0)),"",IF(N($BB225)&gt;0,5-$BB225,IF($AD225="Chậm tiến độ",6,IF($AD225="Đến hạn hôm nay",7,IF(AND($AP225&gt;0,$AP225-NgayBC&lt;=7),8,"")))))</f>
      </c>
      <c r="AT225" s="225">
        <f>IF($AS225="","",$AS225*100000+$AP225+ROW()/100000)</f>
      </c>
      <c r="AU225" s="224">
        <f>IF(OR($A225="",N($R225)&lt;=0),"",IF($S225="Ngày",$R225*24,$R225))</f>
      </c>
      <c r="AV225" s="224">
        <f>IF($A225="","",IF($B225="Đột xuất",IF(OR($AA225&lt;&gt;"Hoàn thành",N($X225)=0,N($J225)=0),"",IF($X225&lt;$J225,"",($X225-$J225)*24)),IFERROR(AVERAGEIFS('Nhật ký tiến độ'!$H$6:$H$3005,'Nhật ký tiến độ'!$C$6:$C$3005,$A225,'Nhật ký tiến độ'!$H$6:$H$3005,"&gt;0"),"")))</f>
      </c>
      <c r="AW225" s="233">
        <f>IF($A225="",0,IF($B225="Đột xuất",$AY225,IF($AX225=0,0,$AX225+1-1/1440)))</f>
      </c>
      <c r="AX225" s="234">
        <f>IF(OR($A225="",$B225&lt;&gt;"Định kỳ",N($I225)=0),0,IF($AL225="",$I225,IF($AJ225&gt;0,$I225+($AL225+1)*$AJ225,IF($AK225&gt;0,EDATE($I225,($AL225+1)*$AK225),$I225))))</f>
      </c>
      <c r="AY225" s="233">
        <f>IF(OR($A225="",$B225&lt;&gt;"Đột xuất"),0,IF(N($K225)&gt;0,IF(MOD($K225,1)=0,$K225+1-1/1440,$K225),IF(N($J225)=0,0,$J225+IF(N($AU225)&gt;0,$AU225,IFERROR(INDEX(DM_SLA_Gio,MATCH($L225,DM_SLA_Cap,0)),168))/24)))</f>
      </c>
      <c r="AZ225" s="225">
        <f>IF(OR($A225="",TRIM($N225)="",COUNTIF('Phản ánh'!$K$6:$K$505,$N225)&gt;0,COUNTIF($N$6:$N225,$N225)&gt;1),0,1)</f>
      </c>
      <c r="BA225" s="225">
        <f>IF($AZ225=1,SUM($AZ$6:$AZ225),"")</f>
      </c>
      <c r="BB225" s="225">
        <f>IF(OR($AO225=0,N($AW225)=0),0,IF(TDBC&lt;=$AW225,0,MAX(1,MIN(4,IF((TDBC-$AW225)*24&lt;24,1,IF((TDBC-$AW225)*24&lt;72,2,IF((TDBC-$AW225)*24&lt;168,3,4)))+IF($B225="Đột xuất",IFERROR(INDEX({2,1,0,-1},MATCH($L225,{"Khẩn cấp","Cao","Trung bình","Thấp"},0)),0),IF($D225="PCCC và an ninh",1,0))))))</f>
      </c>
    </row>
    <row r="226">
      <c r="A226" s="216"/>
      <c r="B226" s="216"/>
      <c r="C226" s="218"/>
      <c r="D226" s="218"/>
      <c r="E226" s="218"/>
      <c r="F226" s="216"/>
      <c r="G226" s="218"/>
      <c r="H226" s="218"/>
      <c r="I226" s="231"/>
      <c r="J226" s="217"/>
      <c r="K226" s="217"/>
      <c r="L226" s="216"/>
      <c r="M226" s="216"/>
      <c r="N226" s="218"/>
      <c r="O226" s="218"/>
      <c r="P226" s="218"/>
      <c r="Q226" s="218"/>
      <c r="R226" s="219"/>
      <c r="S226" s="216"/>
      <c r="T226" s="232"/>
      <c r="U226" s="232"/>
      <c r="V226" s="218"/>
      <c r="W226" s="218"/>
      <c r="X226" s="220">
        <f>IF($A226="","",IF(OR($B226="Định kỳ",$AA226="Hoàn thành"),MAX(_xlfn.MAXIFS('Nhật ký tiến độ'!$B$6:$B$3005,'Nhật ký tiến độ'!$C$6:$C$3005,$A226,'Nhật ký tiến độ'!$E$6:$E$3005,"Hoàn thành kỳ"),_xlfn.MAXIFS('Nhật ký tiến độ'!$B$6:$B$3005,'Nhật ký tiến độ'!$C$6:$C$3005,$A226,'Nhật ký tiến độ'!$E$6:$E$3005,"Hoàn thành")),0))</f>
      </c>
      <c r="Y226" s="220">
        <f>IF($A226="","",IF($B226="Đột xuất",IF($AY226=0,"",$AY226),IF($AX226=0,"",$AX226)))</f>
      </c>
      <c r="Z226" s="223">
        <f>IF(OR($AO226=0,$AW226=0),"",IF(TDBC&gt;$AW226,"Quá "&amp;IF($B226="Định kỳ",(NgayBC-$AP226)&amp;" ngày",IF(((TDBC-$AW226)*24)&lt;1,MAX(1,ROUND(((TDBC-$AW226)*24)*60,0))&amp;" phút",IF(ROUND(((TDBC-$AW226)*24),0)&lt;24,ROUND(((TDBC-$AW226)*24),0)&amp;" giờ",INT(ROUND(((TDBC-$AW226)*24),0)/24)&amp;" ngày"&amp;IF(MOD(ROUND(((TDBC-$AW226)*24),0),24)&gt;0," "&amp;MOD(ROUND(((TDBC-$AW226)*24),0),24)&amp;" giờ","")))),IF($B226="Định kỳ",IF($AP226=NgayBC,"Hôm nay","Còn "&amp;($AP226-NgayBC)&amp;" ngày"),"Còn "&amp;IF((($AW226-TDBC)*24)&lt;1,MAX(1,ROUND((($AW226-TDBC)*24)*60,0))&amp;" phút",IF(ROUND((($AW226-TDBC)*24),0)&lt;24,ROUND((($AW226-TDBC)*24),0)&amp;" giờ",INT(ROUND((($AW226-TDBC)*24),0)/24)&amp;" ngày"&amp;IF(MOD(ROUND((($AW226-TDBC)*24),0),24)&gt;0," "&amp;MOD(ROUND((($AW226-TDBC)*24),0),24)&amp;" giờ",""))))))</f>
      </c>
      <c r="AA226" s="221">
        <f>IF($A226="","",IF(N($AM226)=0,"Chưa bắt đầu",IF(OR($AN226="Hoàn thành kỳ",$AN226="Hoàn thành"),IF($B226="Định kỳ","Chưa bắt đầu","Hoàn thành"),$AN226)))</f>
      </c>
      <c r="AB226" s="222">
        <f>IF($A226="","",IF($AA226="Hoàn thành",1,IF(OR(N($AM226)=0,$AN226="Hoàn thành kỳ",$AN226="Hoàn thành"),0,N(INDEX('Nhật ký tiến độ'!$D:$D,$AM226)))))</f>
      </c>
      <c r="AC226" s="222">
        <f>IF(OR($A226="",$B226&lt;&gt;"Đột xuất",$AA226="Hoàn thành",N($J226)=0,$AW226=0),"",IF(TDBC&lt;=$J226,0,IF(TDBC&gt;=$AW226,1,(TDBC-$J226)/($AW226-$J226))))</f>
      </c>
      <c r="AD226" s="223">
        <f>IF($A226="","",IF($AA226="Hoàn thành","Hoàn thành",IF($AW226=0,"Chưa đặt hạn",IF(TDBC&gt;$AW226,"Quá hạn",IF(AND($B226="Đột xuất",ROUND((N($AC226)-$AB226)*100,0)&gt;=20),"Chậm tiến độ",IF($AP226=NgayBC,"Đến hạn hôm nay",IF($B226="Đột xuất",IF($AW226-TDBC&lt;=1,"Sắp đến hạn","Đúng tiến độ"),IF($AP226-NgayBC&lt;=3,"Sắp đến hạn","Theo lịch"))))))))</f>
      </c>
      <c r="AE226" s="223">
        <f>IF($AV226="","",IF($B226="Định kỳ","Bình quân "&amp;IF($AV226&lt;1,MAX(1,ROUND($AV226*60,0))&amp;" phút",IF(ROUND($AV226,0)&lt;24,ROUND($AV226,0)&amp;" giờ",INT(ROUND($AV226,0)/24)&amp;" ngày"&amp;IF(MOD(ROUND($AV226,0),24)&gt;0," "&amp;MOD(ROUND($AV226,0),24)&amp;" giờ","")))&amp;" mỗi kỳ",IF($AV226&lt;1,MAX(1,ROUND($AV226*60,0))&amp;" phút",IF(ROUND($AV226,0)&lt;24,ROUND($AV226,0)&amp;" giờ",INT(ROUND($AV226,0)/24)&amp;" ngày"&amp;IF(MOD(ROUND($AV226,0),24)&gt;0," "&amp;MOD(ROUND($AV226,0),24)&amp;" giờ","")))))</f>
      </c>
      <c r="AF226" s="223">
        <f>IF(OR($A226="",N($AU226)=0),"",IF($AV226&lt;&gt;"",IF($AV226&lt;=$AU226,"Trong ước tính","Vượt "&amp;IF(($AV226-$AU226)&lt;1,MAX(1,ROUND(($AV226-$AU226)*60,0))&amp;" phút",IF(ROUND(($AV226-$AU226),0)&lt;24,ROUND(($AV226-$AU226),0)&amp;" giờ",INT(ROUND(($AV226-$AU226),0)/24)&amp;" ngày"&amp;IF(MOD(ROUND(($AV226-$AU226),0),24)&gt;0," "&amp;MOD(ROUND(($AV226-$AU226),0),24)&amp;" giờ","")))),IF(OR($B226&lt;&gt;"Đột xuất",$AA226="Hoàn thành",N($J226)=0),"",IF((TDBC-$J226)*24&gt;$AU226,"Đã vượt ước tính","Đã dùng "&amp;TEXT((TDBC-$J226)*24/$AU226,"0%")))))</f>
      </c>
      <c r="AG226" s="223">
        <f>IF(N($BB226)=0,"",CHOOSE($BB226,"Nhắc nhở","Cảnh báo","Báo động","Báo động đỏ"))</f>
      </c>
      <c r="AH226" s="223">
        <f>IF(OR($B226&lt;&gt;"Đột xuất",$AA226&lt;&gt;"Hoàn thành",N($X226)=0,$AW226=0),"",IF($X226&lt;=$AW226,"Đúng hạn","Trễ hạn"))</f>
      </c>
      <c r="AI226" s="220">
        <f>IF($A226="","",_xlfn.MAXIFS('Nhật ký tiến độ'!$B$6:$B$3005,'Nhật ký tiến độ'!$C$6:$C$3005,$A226))</f>
      </c>
      <c r="AJ226" s="225">
        <f>IF(OR($A226="",$B226&lt;&gt;"Định kỳ"),0,IFERROR(INDEX(DM_TanSuatNgay,MATCH($H226,DM_TanSuat,0)),0))</f>
      </c>
      <c r="AK226" s="225">
        <f>IF(OR($A226="",$B226&lt;&gt;"Định kỳ"),0,IFERROR(INDEX(DM_TanSuatThang,MATCH($H226,DM_TanSuat,0)),0))</f>
      </c>
      <c r="AL226" s="225">
        <f>IF(OR($A226="",$B226&lt;&gt;"Định kỳ",N($X226)=0,N($I226)=0),"",IF(INT($X226)&lt;$I226,0,IF($AJ226&gt;0,ROUND((INT($X226)-$I226)/$AJ226,0),IF($AK226&gt;0,ROUND((DATEDIF($I226,INT($X226),"m")+(INT($X226)-EDATE($I226,DATEDIF($I226,INT($X226),"m")))/(EDATE($I226,DATEDIF($I226,INT($X226),"m")+1)-EDATE($I226,DATEDIF($I226,INT($X226),"m"))))/$AK226,0),0))))</f>
      </c>
      <c r="AM226" s="225">
        <f>IF($A226="","",IF(COUNTIF('Nhật ký tiến độ'!$C$6:$C$3005,$A226)=0,0,_xlfn.MAXIFS('Nhật ký tiến độ'!$N$6:$N$3005,'Nhật ký tiến độ'!$C$6:$C$3005,$A226,'Nhật ký tiến độ'!$B$6:$B$3005,_xlfn.MAXIFS('Nhật ký tiến độ'!$B$6:$B$3005,'Nhật ký tiến độ'!$C$6:$C$3005,$A226))))</f>
      </c>
      <c r="AN226" s="225">
        <f>IF($A226="","",IF(N($AM226)=0,"",INDEX('Nhật ký tiến độ'!$E:$E,$AM226)))</f>
      </c>
      <c r="AO226" s="225">
        <f>IF($A226="",0,IF($AA226="Hoàn thành",0,1))</f>
      </c>
      <c r="AP226" s="225">
        <f>IF($AO226=0,0,INT(N($AW226)))</f>
      </c>
      <c r="AQ226" s="225">
        <f>IF(AND($AO226=1,$AJ226&gt;1),$AJ226,0)</f>
      </c>
      <c r="AR226" s="225">
        <f>IF(AND($AO226=1,$AJ226=1),1,0)</f>
      </c>
      <c r="AS226" s="225">
        <f>IF(OR($AO226=0,AND($AR226=1,N($BB226)=0)),"",IF(N($BB226)&gt;0,5-$BB226,IF($AD226="Chậm tiến độ",6,IF($AD226="Đến hạn hôm nay",7,IF(AND($AP226&gt;0,$AP226-NgayBC&lt;=7),8,"")))))</f>
      </c>
      <c r="AT226" s="225">
        <f>IF($AS226="","",$AS226*100000+$AP226+ROW()/100000)</f>
      </c>
      <c r="AU226" s="224">
        <f>IF(OR($A226="",N($R226)&lt;=0),"",IF($S226="Ngày",$R226*24,$R226))</f>
      </c>
      <c r="AV226" s="224">
        <f>IF($A226="","",IF($B226="Đột xuất",IF(OR($AA226&lt;&gt;"Hoàn thành",N($X226)=0,N($J226)=0),"",IF($X226&lt;$J226,"",($X226-$J226)*24)),IFERROR(AVERAGEIFS('Nhật ký tiến độ'!$H$6:$H$3005,'Nhật ký tiến độ'!$C$6:$C$3005,$A226,'Nhật ký tiến độ'!$H$6:$H$3005,"&gt;0"),"")))</f>
      </c>
      <c r="AW226" s="233">
        <f>IF($A226="",0,IF($B226="Đột xuất",$AY226,IF($AX226=0,0,$AX226+1-1/1440)))</f>
      </c>
      <c r="AX226" s="234">
        <f>IF(OR($A226="",$B226&lt;&gt;"Định kỳ",N($I226)=0),0,IF($AL226="",$I226,IF($AJ226&gt;0,$I226+($AL226+1)*$AJ226,IF($AK226&gt;0,EDATE($I226,($AL226+1)*$AK226),$I226))))</f>
      </c>
      <c r="AY226" s="233">
        <f>IF(OR($A226="",$B226&lt;&gt;"Đột xuất"),0,IF(N($K226)&gt;0,IF(MOD($K226,1)=0,$K226+1-1/1440,$K226),IF(N($J226)=0,0,$J226+IF(N($AU226)&gt;0,$AU226,IFERROR(INDEX(DM_SLA_Gio,MATCH($L226,DM_SLA_Cap,0)),168))/24)))</f>
      </c>
      <c r="AZ226" s="225">
        <f>IF(OR($A226="",TRIM($N226)="",COUNTIF('Phản ánh'!$K$6:$K$505,$N226)&gt;0,COUNTIF($N$6:$N226,$N226)&gt;1),0,1)</f>
      </c>
      <c r="BA226" s="225">
        <f>IF($AZ226=1,SUM($AZ$6:$AZ226),"")</f>
      </c>
      <c r="BB226" s="225">
        <f>IF(OR($AO226=0,N($AW226)=0),0,IF(TDBC&lt;=$AW226,0,MAX(1,MIN(4,IF((TDBC-$AW226)*24&lt;24,1,IF((TDBC-$AW226)*24&lt;72,2,IF((TDBC-$AW226)*24&lt;168,3,4)))+IF($B226="Đột xuất",IFERROR(INDEX({2,1,0,-1},MATCH($L226,{"Khẩn cấp","Cao","Trung bình","Thấp"},0)),0),IF($D226="PCCC và an ninh",1,0))))))</f>
      </c>
    </row>
    <row r="227">
      <c r="A227" s="216"/>
      <c r="B227" s="216"/>
      <c r="C227" s="218"/>
      <c r="D227" s="218"/>
      <c r="E227" s="218"/>
      <c r="F227" s="216"/>
      <c r="G227" s="218"/>
      <c r="H227" s="218"/>
      <c r="I227" s="231"/>
      <c r="J227" s="217"/>
      <c r="K227" s="217"/>
      <c r="L227" s="216"/>
      <c r="M227" s="216"/>
      <c r="N227" s="218"/>
      <c r="O227" s="218"/>
      <c r="P227" s="218"/>
      <c r="Q227" s="218"/>
      <c r="R227" s="219"/>
      <c r="S227" s="216"/>
      <c r="T227" s="232"/>
      <c r="U227" s="232"/>
      <c r="V227" s="218"/>
      <c r="W227" s="218"/>
      <c r="X227" s="220">
        <f>IF($A227="","",IF(OR($B227="Định kỳ",$AA227="Hoàn thành"),MAX(_xlfn.MAXIFS('Nhật ký tiến độ'!$B$6:$B$3005,'Nhật ký tiến độ'!$C$6:$C$3005,$A227,'Nhật ký tiến độ'!$E$6:$E$3005,"Hoàn thành kỳ"),_xlfn.MAXIFS('Nhật ký tiến độ'!$B$6:$B$3005,'Nhật ký tiến độ'!$C$6:$C$3005,$A227,'Nhật ký tiến độ'!$E$6:$E$3005,"Hoàn thành")),0))</f>
      </c>
      <c r="Y227" s="220">
        <f>IF($A227="","",IF($B227="Đột xuất",IF($AY227=0,"",$AY227),IF($AX227=0,"",$AX227)))</f>
      </c>
      <c r="Z227" s="223">
        <f>IF(OR($AO227=0,$AW227=0),"",IF(TDBC&gt;$AW227,"Quá "&amp;IF($B227="Định kỳ",(NgayBC-$AP227)&amp;" ngày",IF(((TDBC-$AW227)*24)&lt;1,MAX(1,ROUND(((TDBC-$AW227)*24)*60,0))&amp;" phút",IF(ROUND(((TDBC-$AW227)*24),0)&lt;24,ROUND(((TDBC-$AW227)*24),0)&amp;" giờ",INT(ROUND(((TDBC-$AW227)*24),0)/24)&amp;" ngày"&amp;IF(MOD(ROUND(((TDBC-$AW227)*24),0),24)&gt;0," "&amp;MOD(ROUND(((TDBC-$AW227)*24),0),24)&amp;" giờ","")))),IF($B227="Định kỳ",IF($AP227=NgayBC,"Hôm nay","Còn "&amp;($AP227-NgayBC)&amp;" ngày"),"Còn "&amp;IF((($AW227-TDBC)*24)&lt;1,MAX(1,ROUND((($AW227-TDBC)*24)*60,0))&amp;" phút",IF(ROUND((($AW227-TDBC)*24),0)&lt;24,ROUND((($AW227-TDBC)*24),0)&amp;" giờ",INT(ROUND((($AW227-TDBC)*24),0)/24)&amp;" ngày"&amp;IF(MOD(ROUND((($AW227-TDBC)*24),0),24)&gt;0," "&amp;MOD(ROUND((($AW227-TDBC)*24),0),24)&amp;" giờ",""))))))</f>
      </c>
      <c r="AA227" s="221">
        <f>IF($A227="","",IF(N($AM227)=0,"Chưa bắt đầu",IF(OR($AN227="Hoàn thành kỳ",$AN227="Hoàn thành"),IF($B227="Định kỳ","Chưa bắt đầu","Hoàn thành"),$AN227)))</f>
      </c>
      <c r="AB227" s="222">
        <f>IF($A227="","",IF($AA227="Hoàn thành",1,IF(OR(N($AM227)=0,$AN227="Hoàn thành kỳ",$AN227="Hoàn thành"),0,N(INDEX('Nhật ký tiến độ'!$D:$D,$AM227)))))</f>
      </c>
      <c r="AC227" s="222">
        <f>IF(OR($A227="",$B227&lt;&gt;"Đột xuất",$AA227="Hoàn thành",N($J227)=0,$AW227=0),"",IF(TDBC&lt;=$J227,0,IF(TDBC&gt;=$AW227,1,(TDBC-$J227)/($AW227-$J227))))</f>
      </c>
      <c r="AD227" s="223">
        <f>IF($A227="","",IF($AA227="Hoàn thành","Hoàn thành",IF($AW227=0,"Chưa đặt hạn",IF(TDBC&gt;$AW227,"Quá hạn",IF(AND($B227="Đột xuất",ROUND((N($AC227)-$AB227)*100,0)&gt;=20),"Chậm tiến độ",IF($AP227=NgayBC,"Đến hạn hôm nay",IF($B227="Đột xuất",IF($AW227-TDBC&lt;=1,"Sắp đến hạn","Đúng tiến độ"),IF($AP227-NgayBC&lt;=3,"Sắp đến hạn","Theo lịch"))))))))</f>
      </c>
      <c r="AE227" s="223">
        <f>IF($AV227="","",IF($B227="Định kỳ","Bình quân "&amp;IF($AV227&lt;1,MAX(1,ROUND($AV227*60,0))&amp;" phút",IF(ROUND($AV227,0)&lt;24,ROUND($AV227,0)&amp;" giờ",INT(ROUND($AV227,0)/24)&amp;" ngày"&amp;IF(MOD(ROUND($AV227,0),24)&gt;0," "&amp;MOD(ROUND($AV227,0),24)&amp;" giờ","")))&amp;" mỗi kỳ",IF($AV227&lt;1,MAX(1,ROUND($AV227*60,0))&amp;" phút",IF(ROUND($AV227,0)&lt;24,ROUND($AV227,0)&amp;" giờ",INT(ROUND($AV227,0)/24)&amp;" ngày"&amp;IF(MOD(ROUND($AV227,0),24)&gt;0," "&amp;MOD(ROUND($AV227,0),24)&amp;" giờ","")))))</f>
      </c>
      <c r="AF227" s="223">
        <f>IF(OR($A227="",N($AU227)=0),"",IF($AV227&lt;&gt;"",IF($AV227&lt;=$AU227,"Trong ước tính","Vượt "&amp;IF(($AV227-$AU227)&lt;1,MAX(1,ROUND(($AV227-$AU227)*60,0))&amp;" phút",IF(ROUND(($AV227-$AU227),0)&lt;24,ROUND(($AV227-$AU227),0)&amp;" giờ",INT(ROUND(($AV227-$AU227),0)/24)&amp;" ngày"&amp;IF(MOD(ROUND(($AV227-$AU227),0),24)&gt;0," "&amp;MOD(ROUND(($AV227-$AU227),0),24)&amp;" giờ","")))),IF(OR($B227&lt;&gt;"Đột xuất",$AA227="Hoàn thành",N($J227)=0),"",IF((TDBC-$J227)*24&gt;$AU227,"Đã vượt ước tính","Đã dùng "&amp;TEXT((TDBC-$J227)*24/$AU227,"0%")))))</f>
      </c>
      <c r="AG227" s="223">
        <f>IF(N($BB227)=0,"",CHOOSE($BB227,"Nhắc nhở","Cảnh báo","Báo động","Báo động đỏ"))</f>
      </c>
      <c r="AH227" s="223">
        <f>IF(OR($B227&lt;&gt;"Đột xuất",$AA227&lt;&gt;"Hoàn thành",N($X227)=0,$AW227=0),"",IF($X227&lt;=$AW227,"Đúng hạn","Trễ hạn"))</f>
      </c>
      <c r="AI227" s="220">
        <f>IF($A227="","",_xlfn.MAXIFS('Nhật ký tiến độ'!$B$6:$B$3005,'Nhật ký tiến độ'!$C$6:$C$3005,$A227))</f>
      </c>
      <c r="AJ227" s="225">
        <f>IF(OR($A227="",$B227&lt;&gt;"Định kỳ"),0,IFERROR(INDEX(DM_TanSuatNgay,MATCH($H227,DM_TanSuat,0)),0))</f>
      </c>
      <c r="AK227" s="225">
        <f>IF(OR($A227="",$B227&lt;&gt;"Định kỳ"),0,IFERROR(INDEX(DM_TanSuatThang,MATCH($H227,DM_TanSuat,0)),0))</f>
      </c>
      <c r="AL227" s="225">
        <f>IF(OR($A227="",$B227&lt;&gt;"Định kỳ",N($X227)=0,N($I227)=0),"",IF(INT($X227)&lt;$I227,0,IF($AJ227&gt;0,ROUND((INT($X227)-$I227)/$AJ227,0),IF($AK227&gt;0,ROUND((DATEDIF($I227,INT($X227),"m")+(INT($X227)-EDATE($I227,DATEDIF($I227,INT($X227),"m")))/(EDATE($I227,DATEDIF($I227,INT($X227),"m")+1)-EDATE($I227,DATEDIF($I227,INT($X227),"m"))))/$AK227,0),0))))</f>
      </c>
      <c r="AM227" s="225">
        <f>IF($A227="","",IF(COUNTIF('Nhật ký tiến độ'!$C$6:$C$3005,$A227)=0,0,_xlfn.MAXIFS('Nhật ký tiến độ'!$N$6:$N$3005,'Nhật ký tiến độ'!$C$6:$C$3005,$A227,'Nhật ký tiến độ'!$B$6:$B$3005,_xlfn.MAXIFS('Nhật ký tiến độ'!$B$6:$B$3005,'Nhật ký tiến độ'!$C$6:$C$3005,$A227))))</f>
      </c>
      <c r="AN227" s="225">
        <f>IF($A227="","",IF(N($AM227)=0,"",INDEX('Nhật ký tiến độ'!$E:$E,$AM227)))</f>
      </c>
      <c r="AO227" s="225">
        <f>IF($A227="",0,IF($AA227="Hoàn thành",0,1))</f>
      </c>
      <c r="AP227" s="225">
        <f>IF($AO227=0,0,INT(N($AW227)))</f>
      </c>
      <c r="AQ227" s="225">
        <f>IF(AND($AO227=1,$AJ227&gt;1),$AJ227,0)</f>
      </c>
      <c r="AR227" s="225">
        <f>IF(AND($AO227=1,$AJ227=1),1,0)</f>
      </c>
      <c r="AS227" s="225">
        <f>IF(OR($AO227=0,AND($AR227=1,N($BB227)=0)),"",IF(N($BB227)&gt;0,5-$BB227,IF($AD227="Chậm tiến độ",6,IF($AD227="Đến hạn hôm nay",7,IF(AND($AP227&gt;0,$AP227-NgayBC&lt;=7),8,"")))))</f>
      </c>
      <c r="AT227" s="225">
        <f>IF($AS227="","",$AS227*100000+$AP227+ROW()/100000)</f>
      </c>
      <c r="AU227" s="224">
        <f>IF(OR($A227="",N($R227)&lt;=0),"",IF($S227="Ngày",$R227*24,$R227))</f>
      </c>
      <c r="AV227" s="224">
        <f>IF($A227="","",IF($B227="Đột xuất",IF(OR($AA227&lt;&gt;"Hoàn thành",N($X227)=0,N($J227)=0),"",IF($X227&lt;$J227,"",($X227-$J227)*24)),IFERROR(AVERAGEIFS('Nhật ký tiến độ'!$H$6:$H$3005,'Nhật ký tiến độ'!$C$6:$C$3005,$A227,'Nhật ký tiến độ'!$H$6:$H$3005,"&gt;0"),"")))</f>
      </c>
      <c r="AW227" s="233">
        <f>IF($A227="",0,IF($B227="Đột xuất",$AY227,IF($AX227=0,0,$AX227+1-1/1440)))</f>
      </c>
      <c r="AX227" s="234">
        <f>IF(OR($A227="",$B227&lt;&gt;"Định kỳ",N($I227)=0),0,IF($AL227="",$I227,IF($AJ227&gt;0,$I227+($AL227+1)*$AJ227,IF($AK227&gt;0,EDATE($I227,($AL227+1)*$AK227),$I227))))</f>
      </c>
      <c r="AY227" s="233">
        <f>IF(OR($A227="",$B227&lt;&gt;"Đột xuất"),0,IF(N($K227)&gt;0,IF(MOD($K227,1)=0,$K227+1-1/1440,$K227),IF(N($J227)=0,0,$J227+IF(N($AU227)&gt;0,$AU227,IFERROR(INDEX(DM_SLA_Gio,MATCH($L227,DM_SLA_Cap,0)),168))/24)))</f>
      </c>
      <c r="AZ227" s="225">
        <f>IF(OR($A227="",TRIM($N227)="",COUNTIF('Phản ánh'!$K$6:$K$505,$N227)&gt;0,COUNTIF($N$6:$N227,$N227)&gt;1),0,1)</f>
      </c>
      <c r="BA227" s="225">
        <f>IF($AZ227=1,SUM($AZ$6:$AZ227),"")</f>
      </c>
      <c r="BB227" s="225">
        <f>IF(OR($AO227=0,N($AW227)=0),0,IF(TDBC&lt;=$AW227,0,MAX(1,MIN(4,IF((TDBC-$AW227)*24&lt;24,1,IF((TDBC-$AW227)*24&lt;72,2,IF((TDBC-$AW227)*24&lt;168,3,4)))+IF($B227="Đột xuất",IFERROR(INDEX({2,1,0,-1},MATCH($L227,{"Khẩn cấp","Cao","Trung bình","Thấp"},0)),0),IF($D227="PCCC và an ninh",1,0))))))</f>
      </c>
    </row>
    <row r="228">
      <c r="A228" s="216"/>
      <c r="B228" s="216"/>
      <c r="C228" s="218"/>
      <c r="D228" s="218"/>
      <c r="E228" s="218"/>
      <c r="F228" s="216"/>
      <c r="G228" s="218"/>
      <c r="H228" s="218"/>
      <c r="I228" s="231"/>
      <c r="J228" s="217"/>
      <c r="K228" s="217"/>
      <c r="L228" s="216"/>
      <c r="M228" s="216"/>
      <c r="N228" s="218"/>
      <c r="O228" s="218"/>
      <c r="P228" s="218"/>
      <c r="Q228" s="218"/>
      <c r="R228" s="219"/>
      <c r="S228" s="216"/>
      <c r="T228" s="232"/>
      <c r="U228" s="232"/>
      <c r="V228" s="218"/>
      <c r="W228" s="218"/>
      <c r="X228" s="220">
        <f>IF($A228="","",IF(OR($B228="Định kỳ",$AA228="Hoàn thành"),MAX(_xlfn.MAXIFS('Nhật ký tiến độ'!$B$6:$B$3005,'Nhật ký tiến độ'!$C$6:$C$3005,$A228,'Nhật ký tiến độ'!$E$6:$E$3005,"Hoàn thành kỳ"),_xlfn.MAXIFS('Nhật ký tiến độ'!$B$6:$B$3005,'Nhật ký tiến độ'!$C$6:$C$3005,$A228,'Nhật ký tiến độ'!$E$6:$E$3005,"Hoàn thành")),0))</f>
      </c>
      <c r="Y228" s="220">
        <f>IF($A228="","",IF($B228="Đột xuất",IF($AY228=0,"",$AY228),IF($AX228=0,"",$AX228)))</f>
      </c>
      <c r="Z228" s="223">
        <f>IF(OR($AO228=0,$AW228=0),"",IF(TDBC&gt;$AW228,"Quá "&amp;IF($B228="Định kỳ",(NgayBC-$AP228)&amp;" ngày",IF(((TDBC-$AW228)*24)&lt;1,MAX(1,ROUND(((TDBC-$AW228)*24)*60,0))&amp;" phút",IF(ROUND(((TDBC-$AW228)*24),0)&lt;24,ROUND(((TDBC-$AW228)*24),0)&amp;" giờ",INT(ROUND(((TDBC-$AW228)*24),0)/24)&amp;" ngày"&amp;IF(MOD(ROUND(((TDBC-$AW228)*24),0),24)&gt;0," "&amp;MOD(ROUND(((TDBC-$AW228)*24),0),24)&amp;" giờ","")))),IF($B228="Định kỳ",IF($AP228=NgayBC,"Hôm nay","Còn "&amp;($AP228-NgayBC)&amp;" ngày"),"Còn "&amp;IF((($AW228-TDBC)*24)&lt;1,MAX(1,ROUND((($AW228-TDBC)*24)*60,0))&amp;" phút",IF(ROUND((($AW228-TDBC)*24),0)&lt;24,ROUND((($AW228-TDBC)*24),0)&amp;" giờ",INT(ROUND((($AW228-TDBC)*24),0)/24)&amp;" ngày"&amp;IF(MOD(ROUND((($AW228-TDBC)*24),0),24)&gt;0," "&amp;MOD(ROUND((($AW228-TDBC)*24),0),24)&amp;" giờ",""))))))</f>
      </c>
      <c r="AA228" s="221">
        <f>IF($A228="","",IF(N($AM228)=0,"Chưa bắt đầu",IF(OR($AN228="Hoàn thành kỳ",$AN228="Hoàn thành"),IF($B228="Định kỳ","Chưa bắt đầu","Hoàn thành"),$AN228)))</f>
      </c>
      <c r="AB228" s="222">
        <f>IF($A228="","",IF($AA228="Hoàn thành",1,IF(OR(N($AM228)=0,$AN228="Hoàn thành kỳ",$AN228="Hoàn thành"),0,N(INDEX('Nhật ký tiến độ'!$D:$D,$AM228)))))</f>
      </c>
      <c r="AC228" s="222">
        <f>IF(OR($A228="",$B228&lt;&gt;"Đột xuất",$AA228="Hoàn thành",N($J228)=0,$AW228=0),"",IF(TDBC&lt;=$J228,0,IF(TDBC&gt;=$AW228,1,(TDBC-$J228)/($AW228-$J228))))</f>
      </c>
      <c r="AD228" s="223">
        <f>IF($A228="","",IF($AA228="Hoàn thành","Hoàn thành",IF($AW228=0,"Chưa đặt hạn",IF(TDBC&gt;$AW228,"Quá hạn",IF(AND($B228="Đột xuất",ROUND((N($AC228)-$AB228)*100,0)&gt;=20),"Chậm tiến độ",IF($AP228=NgayBC,"Đến hạn hôm nay",IF($B228="Đột xuất",IF($AW228-TDBC&lt;=1,"Sắp đến hạn","Đúng tiến độ"),IF($AP228-NgayBC&lt;=3,"Sắp đến hạn","Theo lịch"))))))))</f>
      </c>
      <c r="AE228" s="223">
        <f>IF($AV228="","",IF($B228="Định kỳ","Bình quân "&amp;IF($AV228&lt;1,MAX(1,ROUND($AV228*60,0))&amp;" phút",IF(ROUND($AV228,0)&lt;24,ROUND($AV228,0)&amp;" giờ",INT(ROUND($AV228,0)/24)&amp;" ngày"&amp;IF(MOD(ROUND($AV228,0),24)&gt;0," "&amp;MOD(ROUND($AV228,0),24)&amp;" giờ","")))&amp;" mỗi kỳ",IF($AV228&lt;1,MAX(1,ROUND($AV228*60,0))&amp;" phút",IF(ROUND($AV228,0)&lt;24,ROUND($AV228,0)&amp;" giờ",INT(ROUND($AV228,0)/24)&amp;" ngày"&amp;IF(MOD(ROUND($AV228,0),24)&gt;0," "&amp;MOD(ROUND($AV228,0),24)&amp;" giờ","")))))</f>
      </c>
      <c r="AF228" s="223">
        <f>IF(OR($A228="",N($AU228)=0),"",IF($AV228&lt;&gt;"",IF($AV228&lt;=$AU228,"Trong ước tính","Vượt "&amp;IF(($AV228-$AU228)&lt;1,MAX(1,ROUND(($AV228-$AU228)*60,0))&amp;" phút",IF(ROUND(($AV228-$AU228),0)&lt;24,ROUND(($AV228-$AU228),0)&amp;" giờ",INT(ROUND(($AV228-$AU228),0)/24)&amp;" ngày"&amp;IF(MOD(ROUND(($AV228-$AU228),0),24)&gt;0," "&amp;MOD(ROUND(($AV228-$AU228),0),24)&amp;" giờ","")))),IF(OR($B228&lt;&gt;"Đột xuất",$AA228="Hoàn thành",N($J228)=0),"",IF((TDBC-$J228)*24&gt;$AU228,"Đã vượt ước tính","Đã dùng "&amp;TEXT((TDBC-$J228)*24/$AU228,"0%")))))</f>
      </c>
      <c r="AG228" s="223">
        <f>IF(N($BB228)=0,"",CHOOSE($BB228,"Nhắc nhở","Cảnh báo","Báo động","Báo động đỏ"))</f>
      </c>
      <c r="AH228" s="223">
        <f>IF(OR($B228&lt;&gt;"Đột xuất",$AA228&lt;&gt;"Hoàn thành",N($X228)=0,$AW228=0),"",IF($X228&lt;=$AW228,"Đúng hạn","Trễ hạn"))</f>
      </c>
      <c r="AI228" s="220">
        <f>IF($A228="","",_xlfn.MAXIFS('Nhật ký tiến độ'!$B$6:$B$3005,'Nhật ký tiến độ'!$C$6:$C$3005,$A228))</f>
      </c>
      <c r="AJ228" s="225">
        <f>IF(OR($A228="",$B228&lt;&gt;"Định kỳ"),0,IFERROR(INDEX(DM_TanSuatNgay,MATCH($H228,DM_TanSuat,0)),0))</f>
      </c>
      <c r="AK228" s="225">
        <f>IF(OR($A228="",$B228&lt;&gt;"Định kỳ"),0,IFERROR(INDEX(DM_TanSuatThang,MATCH($H228,DM_TanSuat,0)),0))</f>
      </c>
      <c r="AL228" s="225">
        <f>IF(OR($A228="",$B228&lt;&gt;"Định kỳ",N($X228)=0,N($I228)=0),"",IF(INT($X228)&lt;$I228,0,IF($AJ228&gt;0,ROUND((INT($X228)-$I228)/$AJ228,0),IF($AK228&gt;0,ROUND((DATEDIF($I228,INT($X228),"m")+(INT($X228)-EDATE($I228,DATEDIF($I228,INT($X228),"m")))/(EDATE($I228,DATEDIF($I228,INT($X228),"m")+1)-EDATE($I228,DATEDIF($I228,INT($X228),"m"))))/$AK228,0),0))))</f>
      </c>
      <c r="AM228" s="225">
        <f>IF($A228="","",IF(COUNTIF('Nhật ký tiến độ'!$C$6:$C$3005,$A228)=0,0,_xlfn.MAXIFS('Nhật ký tiến độ'!$N$6:$N$3005,'Nhật ký tiến độ'!$C$6:$C$3005,$A228,'Nhật ký tiến độ'!$B$6:$B$3005,_xlfn.MAXIFS('Nhật ký tiến độ'!$B$6:$B$3005,'Nhật ký tiến độ'!$C$6:$C$3005,$A228))))</f>
      </c>
      <c r="AN228" s="225">
        <f>IF($A228="","",IF(N($AM228)=0,"",INDEX('Nhật ký tiến độ'!$E:$E,$AM228)))</f>
      </c>
      <c r="AO228" s="225">
        <f>IF($A228="",0,IF($AA228="Hoàn thành",0,1))</f>
      </c>
      <c r="AP228" s="225">
        <f>IF($AO228=0,0,INT(N($AW228)))</f>
      </c>
      <c r="AQ228" s="225">
        <f>IF(AND($AO228=1,$AJ228&gt;1),$AJ228,0)</f>
      </c>
      <c r="AR228" s="225">
        <f>IF(AND($AO228=1,$AJ228=1),1,0)</f>
      </c>
      <c r="AS228" s="225">
        <f>IF(OR($AO228=0,AND($AR228=1,N($BB228)=0)),"",IF(N($BB228)&gt;0,5-$BB228,IF($AD228="Chậm tiến độ",6,IF($AD228="Đến hạn hôm nay",7,IF(AND($AP228&gt;0,$AP228-NgayBC&lt;=7),8,"")))))</f>
      </c>
      <c r="AT228" s="225">
        <f>IF($AS228="","",$AS228*100000+$AP228+ROW()/100000)</f>
      </c>
      <c r="AU228" s="224">
        <f>IF(OR($A228="",N($R228)&lt;=0),"",IF($S228="Ngày",$R228*24,$R228))</f>
      </c>
      <c r="AV228" s="224">
        <f>IF($A228="","",IF($B228="Đột xuất",IF(OR($AA228&lt;&gt;"Hoàn thành",N($X228)=0,N($J228)=0),"",IF($X228&lt;$J228,"",($X228-$J228)*24)),IFERROR(AVERAGEIFS('Nhật ký tiến độ'!$H$6:$H$3005,'Nhật ký tiến độ'!$C$6:$C$3005,$A228,'Nhật ký tiến độ'!$H$6:$H$3005,"&gt;0"),"")))</f>
      </c>
      <c r="AW228" s="233">
        <f>IF($A228="",0,IF($B228="Đột xuất",$AY228,IF($AX228=0,0,$AX228+1-1/1440)))</f>
      </c>
      <c r="AX228" s="234">
        <f>IF(OR($A228="",$B228&lt;&gt;"Định kỳ",N($I228)=0),0,IF($AL228="",$I228,IF($AJ228&gt;0,$I228+($AL228+1)*$AJ228,IF($AK228&gt;0,EDATE($I228,($AL228+1)*$AK228),$I228))))</f>
      </c>
      <c r="AY228" s="233">
        <f>IF(OR($A228="",$B228&lt;&gt;"Đột xuất"),0,IF(N($K228)&gt;0,IF(MOD($K228,1)=0,$K228+1-1/1440,$K228),IF(N($J228)=0,0,$J228+IF(N($AU228)&gt;0,$AU228,IFERROR(INDEX(DM_SLA_Gio,MATCH($L228,DM_SLA_Cap,0)),168))/24)))</f>
      </c>
      <c r="AZ228" s="225">
        <f>IF(OR($A228="",TRIM($N228)="",COUNTIF('Phản ánh'!$K$6:$K$505,$N228)&gt;0,COUNTIF($N$6:$N228,$N228)&gt;1),0,1)</f>
      </c>
      <c r="BA228" s="225">
        <f>IF($AZ228=1,SUM($AZ$6:$AZ228),"")</f>
      </c>
      <c r="BB228" s="225">
        <f>IF(OR($AO228=0,N($AW228)=0),0,IF(TDBC&lt;=$AW228,0,MAX(1,MIN(4,IF((TDBC-$AW228)*24&lt;24,1,IF((TDBC-$AW228)*24&lt;72,2,IF((TDBC-$AW228)*24&lt;168,3,4)))+IF($B228="Đột xuất",IFERROR(INDEX({2,1,0,-1},MATCH($L228,{"Khẩn cấp","Cao","Trung bình","Thấp"},0)),0),IF($D228="PCCC và an ninh",1,0))))))</f>
      </c>
    </row>
    <row r="229">
      <c r="A229" s="216"/>
      <c r="B229" s="216"/>
      <c r="C229" s="218"/>
      <c r="D229" s="218"/>
      <c r="E229" s="218"/>
      <c r="F229" s="216"/>
      <c r="G229" s="218"/>
      <c r="H229" s="218"/>
      <c r="I229" s="231"/>
      <c r="J229" s="217"/>
      <c r="K229" s="217"/>
      <c r="L229" s="216"/>
      <c r="M229" s="216"/>
      <c r="N229" s="218"/>
      <c r="O229" s="218"/>
      <c r="P229" s="218"/>
      <c r="Q229" s="218"/>
      <c r="R229" s="219"/>
      <c r="S229" s="216"/>
      <c r="T229" s="232"/>
      <c r="U229" s="232"/>
      <c r="V229" s="218"/>
      <c r="W229" s="218"/>
      <c r="X229" s="220">
        <f>IF($A229="","",IF(OR($B229="Định kỳ",$AA229="Hoàn thành"),MAX(_xlfn.MAXIFS('Nhật ký tiến độ'!$B$6:$B$3005,'Nhật ký tiến độ'!$C$6:$C$3005,$A229,'Nhật ký tiến độ'!$E$6:$E$3005,"Hoàn thành kỳ"),_xlfn.MAXIFS('Nhật ký tiến độ'!$B$6:$B$3005,'Nhật ký tiến độ'!$C$6:$C$3005,$A229,'Nhật ký tiến độ'!$E$6:$E$3005,"Hoàn thành")),0))</f>
      </c>
      <c r="Y229" s="220">
        <f>IF($A229="","",IF($B229="Đột xuất",IF($AY229=0,"",$AY229),IF($AX229=0,"",$AX229)))</f>
      </c>
      <c r="Z229" s="223">
        <f>IF(OR($AO229=0,$AW229=0),"",IF(TDBC&gt;$AW229,"Quá "&amp;IF($B229="Định kỳ",(NgayBC-$AP229)&amp;" ngày",IF(((TDBC-$AW229)*24)&lt;1,MAX(1,ROUND(((TDBC-$AW229)*24)*60,0))&amp;" phút",IF(ROUND(((TDBC-$AW229)*24),0)&lt;24,ROUND(((TDBC-$AW229)*24),0)&amp;" giờ",INT(ROUND(((TDBC-$AW229)*24),0)/24)&amp;" ngày"&amp;IF(MOD(ROUND(((TDBC-$AW229)*24),0),24)&gt;0," "&amp;MOD(ROUND(((TDBC-$AW229)*24),0),24)&amp;" giờ","")))),IF($B229="Định kỳ",IF($AP229=NgayBC,"Hôm nay","Còn "&amp;($AP229-NgayBC)&amp;" ngày"),"Còn "&amp;IF((($AW229-TDBC)*24)&lt;1,MAX(1,ROUND((($AW229-TDBC)*24)*60,0))&amp;" phút",IF(ROUND((($AW229-TDBC)*24),0)&lt;24,ROUND((($AW229-TDBC)*24),0)&amp;" giờ",INT(ROUND((($AW229-TDBC)*24),0)/24)&amp;" ngày"&amp;IF(MOD(ROUND((($AW229-TDBC)*24),0),24)&gt;0," "&amp;MOD(ROUND((($AW229-TDBC)*24),0),24)&amp;" giờ",""))))))</f>
      </c>
      <c r="AA229" s="221">
        <f>IF($A229="","",IF(N($AM229)=0,"Chưa bắt đầu",IF(OR($AN229="Hoàn thành kỳ",$AN229="Hoàn thành"),IF($B229="Định kỳ","Chưa bắt đầu","Hoàn thành"),$AN229)))</f>
      </c>
      <c r="AB229" s="222">
        <f>IF($A229="","",IF($AA229="Hoàn thành",1,IF(OR(N($AM229)=0,$AN229="Hoàn thành kỳ",$AN229="Hoàn thành"),0,N(INDEX('Nhật ký tiến độ'!$D:$D,$AM229)))))</f>
      </c>
      <c r="AC229" s="222">
        <f>IF(OR($A229="",$B229&lt;&gt;"Đột xuất",$AA229="Hoàn thành",N($J229)=0,$AW229=0),"",IF(TDBC&lt;=$J229,0,IF(TDBC&gt;=$AW229,1,(TDBC-$J229)/($AW229-$J229))))</f>
      </c>
      <c r="AD229" s="223">
        <f>IF($A229="","",IF($AA229="Hoàn thành","Hoàn thành",IF($AW229=0,"Chưa đặt hạn",IF(TDBC&gt;$AW229,"Quá hạn",IF(AND($B229="Đột xuất",ROUND((N($AC229)-$AB229)*100,0)&gt;=20),"Chậm tiến độ",IF($AP229=NgayBC,"Đến hạn hôm nay",IF($B229="Đột xuất",IF($AW229-TDBC&lt;=1,"Sắp đến hạn","Đúng tiến độ"),IF($AP229-NgayBC&lt;=3,"Sắp đến hạn","Theo lịch"))))))))</f>
      </c>
      <c r="AE229" s="223">
        <f>IF($AV229="","",IF($B229="Định kỳ","Bình quân "&amp;IF($AV229&lt;1,MAX(1,ROUND($AV229*60,0))&amp;" phút",IF(ROUND($AV229,0)&lt;24,ROUND($AV229,0)&amp;" giờ",INT(ROUND($AV229,0)/24)&amp;" ngày"&amp;IF(MOD(ROUND($AV229,0),24)&gt;0," "&amp;MOD(ROUND($AV229,0),24)&amp;" giờ","")))&amp;" mỗi kỳ",IF($AV229&lt;1,MAX(1,ROUND($AV229*60,0))&amp;" phút",IF(ROUND($AV229,0)&lt;24,ROUND($AV229,0)&amp;" giờ",INT(ROUND($AV229,0)/24)&amp;" ngày"&amp;IF(MOD(ROUND($AV229,0),24)&gt;0," "&amp;MOD(ROUND($AV229,0),24)&amp;" giờ","")))))</f>
      </c>
      <c r="AF229" s="223">
        <f>IF(OR($A229="",N($AU229)=0),"",IF($AV229&lt;&gt;"",IF($AV229&lt;=$AU229,"Trong ước tính","Vượt "&amp;IF(($AV229-$AU229)&lt;1,MAX(1,ROUND(($AV229-$AU229)*60,0))&amp;" phút",IF(ROUND(($AV229-$AU229),0)&lt;24,ROUND(($AV229-$AU229),0)&amp;" giờ",INT(ROUND(($AV229-$AU229),0)/24)&amp;" ngày"&amp;IF(MOD(ROUND(($AV229-$AU229),0),24)&gt;0," "&amp;MOD(ROUND(($AV229-$AU229),0),24)&amp;" giờ","")))),IF(OR($B229&lt;&gt;"Đột xuất",$AA229="Hoàn thành",N($J229)=0),"",IF((TDBC-$J229)*24&gt;$AU229,"Đã vượt ước tính","Đã dùng "&amp;TEXT((TDBC-$J229)*24/$AU229,"0%")))))</f>
      </c>
      <c r="AG229" s="223">
        <f>IF(N($BB229)=0,"",CHOOSE($BB229,"Nhắc nhở","Cảnh báo","Báo động","Báo động đỏ"))</f>
      </c>
      <c r="AH229" s="223">
        <f>IF(OR($B229&lt;&gt;"Đột xuất",$AA229&lt;&gt;"Hoàn thành",N($X229)=0,$AW229=0),"",IF($X229&lt;=$AW229,"Đúng hạn","Trễ hạn"))</f>
      </c>
      <c r="AI229" s="220">
        <f>IF($A229="","",_xlfn.MAXIFS('Nhật ký tiến độ'!$B$6:$B$3005,'Nhật ký tiến độ'!$C$6:$C$3005,$A229))</f>
      </c>
      <c r="AJ229" s="225">
        <f>IF(OR($A229="",$B229&lt;&gt;"Định kỳ"),0,IFERROR(INDEX(DM_TanSuatNgay,MATCH($H229,DM_TanSuat,0)),0))</f>
      </c>
      <c r="AK229" s="225">
        <f>IF(OR($A229="",$B229&lt;&gt;"Định kỳ"),0,IFERROR(INDEX(DM_TanSuatThang,MATCH($H229,DM_TanSuat,0)),0))</f>
      </c>
      <c r="AL229" s="225">
        <f>IF(OR($A229="",$B229&lt;&gt;"Định kỳ",N($X229)=0,N($I229)=0),"",IF(INT($X229)&lt;$I229,0,IF($AJ229&gt;0,ROUND((INT($X229)-$I229)/$AJ229,0),IF($AK229&gt;0,ROUND((DATEDIF($I229,INT($X229),"m")+(INT($X229)-EDATE($I229,DATEDIF($I229,INT($X229),"m")))/(EDATE($I229,DATEDIF($I229,INT($X229),"m")+1)-EDATE($I229,DATEDIF($I229,INT($X229),"m"))))/$AK229,0),0))))</f>
      </c>
      <c r="AM229" s="225">
        <f>IF($A229="","",IF(COUNTIF('Nhật ký tiến độ'!$C$6:$C$3005,$A229)=0,0,_xlfn.MAXIFS('Nhật ký tiến độ'!$N$6:$N$3005,'Nhật ký tiến độ'!$C$6:$C$3005,$A229,'Nhật ký tiến độ'!$B$6:$B$3005,_xlfn.MAXIFS('Nhật ký tiến độ'!$B$6:$B$3005,'Nhật ký tiến độ'!$C$6:$C$3005,$A229))))</f>
      </c>
      <c r="AN229" s="225">
        <f>IF($A229="","",IF(N($AM229)=0,"",INDEX('Nhật ký tiến độ'!$E:$E,$AM229)))</f>
      </c>
      <c r="AO229" s="225">
        <f>IF($A229="",0,IF($AA229="Hoàn thành",0,1))</f>
      </c>
      <c r="AP229" s="225">
        <f>IF($AO229=0,0,INT(N($AW229)))</f>
      </c>
      <c r="AQ229" s="225">
        <f>IF(AND($AO229=1,$AJ229&gt;1),$AJ229,0)</f>
      </c>
      <c r="AR229" s="225">
        <f>IF(AND($AO229=1,$AJ229=1),1,0)</f>
      </c>
      <c r="AS229" s="225">
        <f>IF(OR($AO229=0,AND($AR229=1,N($BB229)=0)),"",IF(N($BB229)&gt;0,5-$BB229,IF($AD229="Chậm tiến độ",6,IF($AD229="Đến hạn hôm nay",7,IF(AND($AP229&gt;0,$AP229-NgayBC&lt;=7),8,"")))))</f>
      </c>
      <c r="AT229" s="225">
        <f>IF($AS229="","",$AS229*100000+$AP229+ROW()/100000)</f>
      </c>
      <c r="AU229" s="224">
        <f>IF(OR($A229="",N($R229)&lt;=0),"",IF($S229="Ngày",$R229*24,$R229))</f>
      </c>
      <c r="AV229" s="224">
        <f>IF($A229="","",IF($B229="Đột xuất",IF(OR($AA229&lt;&gt;"Hoàn thành",N($X229)=0,N($J229)=0),"",IF($X229&lt;$J229,"",($X229-$J229)*24)),IFERROR(AVERAGEIFS('Nhật ký tiến độ'!$H$6:$H$3005,'Nhật ký tiến độ'!$C$6:$C$3005,$A229,'Nhật ký tiến độ'!$H$6:$H$3005,"&gt;0"),"")))</f>
      </c>
      <c r="AW229" s="233">
        <f>IF($A229="",0,IF($B229="Đột xuất",$AY229,IF($AX229=0,0,$AX229+1-1/1440)))</f>
      </c>
      <c r="AX229" s="234">
        <f>IF(OR($A229="",$B229&lt;&gt;"Định kỳ",N($I229)=0),0,IF($AL229="",$I229,IF($AJ229&gt;0,$I229+($AL229+1)*$AJ229,IF($AK229&gt;0,EDATE($I229,($AL229+1)*$AK229),$I229))))</f>
      </c>
      <c r="AY229" s="233">
        <f>IF(OR($A229="",$B229&lt;&gt;"Đột xuất"),0,IF(N($K229)&gt;0,IF(MOD($K229,1)=0,$K229+1-1/1440,$K229),IF(N($J229)=0,0,$J229+IF(N($AU229)&gt;0,$AU229,IFERROR(INDEX(DM_SLA_Gio,MATCH($L229,DM_SLA_Cap,0)),168))/24)))</f>
      </c>
      <c r="AZ229" s="225">
        <f>IF(OR($A229="",TRIM($N229)="",COUNTIF('Phản ánh'!$K$6:$K$505,$N229)&gt;0,COUNTIF($N$6:$N229,$N229)&gt;1),0,1)</f>
      </c>
      <c r="BA229" s="225">
        <f>IF($AZ229=1,SUM($AZ$6:$AZ229),"")</f>
      </c>
      <c r="BB229" s="225">
        <f>IF(OR($AO229=0,N($AW229)=0),0,IF(TDBC&lt;=$AW229,0,MAX(1,MIN(4,IF((TDBC-$AW229)*24&lt;24,1,IF((TDBC-$AW229)*24&lt;72,2,IF((TDBC-$AW229)*24&lt;168,3,4)))+IF($B229="Đột xuất",IFERROR(INDEX({2,1,0,-1},MATCH($L229,{"Khẩn cấp","Cao","Trung bình","Thấp"},0)),0),IF($D229="PCCC và an ninh",1,0))))))</f>
      </c>
    </row>
    <row r="230">
      <c r="A230" s="216"/>
      <c r="B230" s="216"/>
      <c r="C230" s="218"/>
      <c r="D230" s="218"/>
      <c r="E230" s="218"/>
      <c r="F230" s="216"/>
      <c r="G230" s="218"/>
      <c r="H230" s="218"/>
      <c r="I230" s="231"/>
      <c r="J230" s="217"/>
      <c r="K230" s="217"/>
      <c r="L230" s="216"/>
      <c r="M230" s="216"/>
      <c r="N230" s="218"/>
      <c r="O230" s="218"/>
      <c r="P230" s="218"/>
      <c r="Q230" s="218"/>
      <c r="R230" s="219"/>
      <c r="S230" s="216"/>
      <c r="T230" s="232"/>
      <c r="U230" s="232"/>
      <c r="V230" s="218"/>
      <c r="W230" s="218"/>
      <c r="X230" s="220">
        <f>IF($A230="","",IF(OR($B230="Định kỳ",$AA230="Hoàn thành"),MAX(_xlfn.MAXIFS('Nhật ký tiến độ'!$B$6:$B$3005,'Nhật ký tiến độ'!$C$6:$C$3005,$A230,'Nhật ký tiến độ'!$E$6:$E$3005,"Hoàn thành kỳ"),_xlfn.MAXIFS('Nhật ký tiến độ'!$B$6:$B$3005,'Nhật ký tiến độ'!$C$6:$C$3005,$A230,'Nhật ký tiến độ'!$E$6:$E$3005,"Hoàn thành")),0))</f>
      </c>
      <c r="Y230" s="220">
        <f>IF($A230="","",IF($B230="Đột xuất",IF($AY230=0,"",$AY230),IF($AX230=0,"",$AX230)))</f>
      </c>
      <c r="Z230" s="223">
        <f>IF(OR($AO230=0,$AW230=0),"",IF(TDBC&gt;$AW230,"Quá "&amp;IF($B230="Định kỳ",(NgayBC-$AP230)&amp;" ngày",IF(((TDBC-$AW230)*24)&lt;1,MAX(1,ROUND(((TDBC-$AW230)*24)*60,0))&amp;" phút",IF(ROUND(((TDBC-$AW230)*24),0)&lt;24,ROUND(((TDBC-$AW230)*24),0)&amp;" giờ",INT(ROUND(((TDBC-$AW230)*24),0)/24)&amp;" ngày"&amp;IF(MOD(ROUND(((TDBC-$AW230)*24),0),24)&gt;0," "&amp;MOD(ROUND(((TDBC-$AW230)*24),0),24)&amp;" giờ","")))),IF($B230="Định kỳ",IF($AP230=NgayBC,"Hôm nay","Còn "&amp;($AP230-NgayBC)&amp;" ngày"),"Còn "&amp;IF((($AW230-TDBC)*24)&lt;1,MAX(1,ROUND((($AW230-TDBC)*24)*60,0))&amp;" phút",IF(ROUND((($AW230-TDBC)*24),0)&lt;24,ROUND((($AW230-TDBC)*24),0)&amp;" giờ",INT(ROUND((($AW230-TDBC)*24),0)/24)&amp;" ngày"&amp;IF(MOD(ROUND((($AW230-TDBC)*24),0),24)&gt;0," "&amp;MOD(ROUND((($AW230-TDBC)*24),0),24)&amp;" giờ",""))))))</f>
      </c>
      <c r="AA230" s="221">
        <f>IF($A230="","",IF(N($AM230)=0,"Chưa bắt đầu",IF(OR($AN230="Hoàn thành kỳ",$AN230="Hoàn thành"),IF($B230="Định kỳ","Chưa bắt đầu","Hoàn thành"),$AN230)))</f>
      </c>
      <c r="AB230" s="222">
        <f>IF($A230="","",IF($AA230="Hoàn thành",1,IF(OR(N($AM230)=0,$AN230="Hoàn thành kỳ",$AN230="Hoàn thành"),0,N(INDEX('Nhật ký tiến độ'!$D:$D,$AM230)))))</f>
      </c>
      <c r="AC230" s="222">
        <f>IF(OR($A230="",$B230&lt;&gt;"Đột xuất",$AA230="Hoàn thành",N($J230)=0,$AW230=0),"",IF(TDBC&lt;=$J230,0,IF(TDBC&gt;=$AW230,1,(TDBC-$J230)/($AW230-$J230))))</f>
      </c>
      <c r="AD230" s="223">
        <f>IF($A230="","",IF($AA230="Hoàn thành","Hoàn thành",IF($AW230=0,"Chưa đặt hạn",IF(TDBC&gt;$AW230,"Quá hạn",IF(AND($B230="Đột xuất",ROUND((N($AC230)-$AB230)*100,0)&gt;=20),"Chậm tiến độ",IF($AP230=NgayBC,"Đến hạn hôm nay",IF($B230="Đột xuất",IF($AW230-TDBC&lt;=1,"Sắp đến hạn","Đúng tiến độ"),IF($AP230-NgayBC&lt;=3,"Sắp đến hạn","Theo lịch"))))))))</f>
      </c>
      <c r="AE230" s="223">
        <f>IF($AV230="","",IF($B230="Định kỳ","Bình quân "&amp;IF($AV230&lt;1,MAX(1,ROUND($AV230*60,0))&amp;" phút",IF(ROUND($AV230,0)&lt;24,ROUND($AV230,0)&amp;" giờ",INT(ROUND($AV230,0)/24)&amp;" ngày"&amp;IF(MOD(ROUND($AV230,0),24)&gt;0," "&amp;MOD(ROUND($AV230,0),24)&amp;" giờ","")))&amp;" mỗi kỳ",IF($AV230&lt;1,MAX(1,ROUND($AV230*60,0))&amp;" phút",IF(ROUND($AV230,0)&lt;24,ROUND($AV230,0)&amp;" giờ",INT(ROUND($AV230,0)/24)&amp;" ngày"&amp;IF(MOD(ROUND($AV230,0),24)&gt;0," "&amp;MOD(ROUND($AV230,0),24)&amp;" giờ","")))))</f>
      </c>
      <c r="AF230" s="223">
        <f>IF(OR($A230="",N($AU230)=0),"",IF($AV230&lt;&gt;"",IF($AV230&lt;=$AU230,"Trong ước tính","Vượt "&amp;IF(($AV230-$AU230)&lt;1,MAX(1,ROUND(($AV230-$AU230)*60,0))&amp;" phút",IF(ROUND(($AV230-$AU230),0)&lt;24,ROUND(($AV230-$AU230),0)&amp;" giờ",INT(ROUND(($AV230-$AU230),0)/24)&amp;" ngày"&amp;IF(MOD(ROUND(($AV230-$AU230),0),24)&gt;0," "&amp;MOD(ROUND(($AV230-$AU230),0),24)&amp;" giờ","")))),IF(OR($B230&lt;&gt;"Đột xuất",$AA230="Hoàn thành",N($J230)=0),"",IF((TDBC-$J230)*24&gt;$AU230,"Đã vượt ước tính","Đã dùng "&amp;TEXT((TDBC-$J230)*24/$AU230,"0%")))))</f>
      </c>
      <c r="AG230" s="223">
        <f>IF(N($BB230)=0,"",CHOOSE($BB230,"Nhắc nhở","Cảnh báo","Báo động","Báo động đỏ"))</f>
      </c>
      <c r="AH230" s="223">
        <f>IF(OR($B230&lt;&gt;"Đột xuất",$AA230&lt;&gt;"Hoàn thành",N($X230)=0,$AW230=0),"",IF($X230&lt;=$AW230,"Đúng hạn","Trễ hạn"))</f>
      </c>
      <c r="AI230" s="220">
        <f>IF($A230="","",_xlfn.MAXIFS('Nhật ký tiến độ'!$B$6:$B$3005,'Nhật ký tiến độ'!$C$6:$C$3005,$A230))</f>
      </c>
      <c r="AJ230" s="225">
        <f>IF(OR($A230="",$B230&lt;&gt;"Định kỳ"),0,IFERROR(INDEX(DM_TanSuatNgay,MATCH($H230,DM_TanSuat,0)),0))</f>
      </c>
      <c r="AK230" s="225">
        <f>IF(OR($A230="",$B230&lt;&gt;"Định kỳ"),0,IFERROR(INDEX(DM_TanSuatThang,MATCH($H230,DM_TanSuat,0)),0))</f>
      </c>
      <c r="AL230" s="225">
        <f>IF(OR($A230="",$B230&lt;&gt;"Định kỳ",N($X230)=0,N($I230)=0),"",IF(INT($X230)&lt;$I230,0,IF($AJ230&gt;0,ROUND((INT($X230)-$I230)/$AJ230,0),IF($AK230&gt;0,ROUND((DATEDIF($I230,INT($X230),"m")+(INT($X230)-EDATE($I230,DATEDIF($I230,INT($X230),"m")))/(EDATE($I230,DATEDIF($I230,INT($X230),"m")+1)-EDATE($I230,DATEDIF($I230,INT($X230),"m"))))/$AK230,0),0))))</f>
      </c>
      <c r="AM230" s="225">
        <f>IF($A230="","",IF(COUNTIF('Nhật ký tiến độ'!$C$6:$C$3005,$A230)=0,0,_xlfn.MAXIFS('Nhật ký tiến độ'!$N$6:$N$3005,'Nhật ký tiến độ'!$C$6:$C$3005,$A230,'Nhật ký tiến độ'!$B$6:$B$3005,_xlfn.MAXIFS('Nhật ký tiến độ'!$B$6:$B$3005,'Nhật ký tiến độ'!$C$6:$C$3005,$A230))))</f>
      </c>
      <c r="AN230" s="225">
        <f>IF($A230="","",IF(N($AM230)=0,"",INDEX('Nhật ký tiến độ'!$E:$E,$AM230)))</f>
      </c>
      <c r="AO230" s="225">
        <f>IF($A230="",0,IF($AA230="Hoàn thành",0,1))</f>
      </c>
      <c r="AP230" s="225">
        <f>IF($AO230=0,0,INT(N($AW230)))</f>
      </c>
      <c r="AQ230" s="225">
        <f>IF(AND($AO230=1,$AJ230&gt;1),$AJ230,0)</f>
      </c>
      <c r="AR230" s="225">
        <f>IF(AND($AO230=1,$AJ230=1),1,0)</f>
      </c>
      <c r="AS230" s="225">
        <f>IF(OR($AO230=0,AND($AR230=1,N($BB230)=0)),"",IF(N($BB230)&gt;0,5-$BB230,IF($AD230="Chậm tiến độ",6,IF($AD230="Đến hạn hôm nay",7,IF(AND($AP230&gt;0,$AP230-NgayBC&lt;=7),8,"")))))</f>
      </c>
      <c r="AT230" s="225">
        <f>IF($AS230="","",$AS230*100000+$AP230+ROW()/100000)</f>
      </c>
      <c r="AU230" s="224">
        <f>IF(OR($A230="",N($R230)&lt;=0),"",IF($S230="Ngày",$R230*24,$R230))</f>
      </c>
      <c r="AV230" s="224">
        <f>IF($A230="","",IF($B230="Đột xuất",IF(OR($AA230&lt;&gt;"Hoàn thành",N($X230)=0,N($J230)=0),"",IF($X230&lt;$J230,"",($X230-$J230)*24)),IFERROR(AVERAGEIFS('Nhật ký tiến độ'!$H$6:$H$3005,'Nhật ký tiến độ'!$C$6:$C$3005,$A230,'Nhật ký tiến độ'!$H$6:$H$3005,"&gt;0"),"")))</f>
      </c>
      <c r="AW230" s="233">
        <f>IF($A230="",0,IF($B230="Đột xuất",$AY230,IF($AX230=0,0,$AX230+1-1/1440)))</f>
      </c>
      <c r="AX230" s="234">
        <f>IF(OR($A230="",$B230&lt;&gt;"Định kỳ",N($I230)=0),0,IF($AL230="",$I230,IF($AJ230&gt;0,$I230+($AL230+1)*$AJ230,IF($AK230&gt;0,EDATE($I230,($AL230+1)*$AK230),$I230))))</f>
      </c>
      <c r="AY230" s="233">
        <f>IF(OR($A230="",$B230&lt;&gt;"Đột xuất"),0,IF(N($K230)&gt;0,IF(MOD($K230,1)=0,$K230+1-1/1440,$K230),IF(N($J230)=0,0,$J230+IF(N($AU230)&gt;0,$AU230,IFERROR(INDEX(DM_SLA_Gio,MATCH($L230,DM_SLA_Cap,0)),168))/24)))</f>
      </c>
      <c r="AZ230" s="225">
        <f>IF(OR($A230="",TRIM($N230)="",COUNTIF('Phản ánh'!$K$6:$K$505,$N230)&gt;0,COUNTIF($N$6:$N230,$N230)&gt;1),0,1)</f>
      </c>
      <c r="BA230" s="225">
        <f>IF($AZ230=1,SUM($AZ$6:$AZ230),"")</f>
      </c>
      <c r="BB230" s="225">
        <f>IF(OR($AO230=0,N($AW230)=0),0,IF(TDBC&lt;=$AW230,0,MAX(1,MIN(4,IF((TDBC-$AW230)*24&lt;24,1,IF((TDBC-$AW230)*24&lt;72,2,IF((TDBC-$AW230)*24&lt;168,3,4)))+IF($B230="Đột xuất",IFERROR(INDEX({2,1,0,-1},MATCH($L230,{"Khẩn cấp","Cao","Trung bình","Thấp"},0)),0),IF($D230="PCCC và an ninh",1,0))))))</f>
      </c>
    </row>
    <row r="231">
      <c r="A231" s="216"/>
      <c r="B231" s="216"/>
      <c r="C231" s="218"/>
      <c r="D231" s="218"/>
      <c r="E231" s="218"/>
      <c r="F231" s="216"/>
      <c r="G231" s="218"/>
      <c r="H231" s="218"/>
      <c r="I231" s="231"/>
      <c r="J231" s="217"/>
      <c r="K231" s="217"/>
      <c r="L231" s="216"/>
      <c r="M231" s="216"/>
      <c r="N231" s="218"/>
      <c r="O231" s="218"/>
      <c r="P231" s="218"/>
      <c r="Q231" s="218"/>
      <c r="R231" s="219"/>
      <c r="S231" s="216"/>
      <c r="T231" s="232"/>
      <c r="U231" s="232"/>
      <c r="V231" s="218"/>
      <c r="W231" s="218"/>
      <c r="X231" s="220">
        <f>IF($A231="","",IF(OR($B231="Định kỳ",$AA231="Hoàn thành"),MAX(_xlfn.MAXIFS('Nhật ký tiến độ'!$B$6:$B$3005,'Nhật ký tiến độ'!$C$6:$C$3005,$A231,'Nhật ký tiến độ'!$E$6:$E$3005,"Hoàn thành kỳ"),_xlfn.MAXIFS('Nhật ký tiến độ'!$B$6:$B$3005,'Nhật ký tiến độ'!$C$6:$C$3005,$A231,'Nhật ký tiến độ'!$E$6:$E$3005,"Hoàn thành")),0))</f>
      </c>
      <c r="Y231" s="220">
        <f>IF($A231="","",IF($B231="Đột xuất",IF($AY231=0,"",$AY231),IF($AX231=0,"",$AX231)))</f>
      </c>
      <c r="Z231" s="223">
        <f>IF(OR($AO231=0,$AW231=0),"",IF(TDBC&gt;$AW231,"Quá "&amp;IF($B231="Định kỳ",(NgayBC-$AP231)&amp;" ngày",IF(((TDBC-$AW231)*24)&lt;1,MAX(1,ROUND(((TDBC-$AW231)*24)*60,0))&amp;" phút",IF(ROUND(((TDBC-$AW231)*24),0)&lt;24,ROUND(((TDBC-$AW231)*24),0)&amp;" giờ",INT(ROUND(((TDBC-$AW231)*24),0)/24)&amp;" ngày"&amp;IF(MOD(ROUND(((TDBC-$AW231)*24),0),24)&gt;0," "&amp;MOD(ROUND(((TDBC-$AW231)*24),0),24)&amp;" giờ","")))),IF($B231="Định kỳ",IF($AP231=NgayBC,"Hôm nay","Còn "&amp;($AP231-NgayBC)&amp;" ngày"),"Còn "&amp;IF((($AW231-TDBC)*24)&lt;1,MAX(1,ROUND((($AW231-TDBC)*24)*60,0))&amp;" phút",IF(ROUND((($AW231-TDBC)*24),0)&lt;24,ROUND((($AW231-TDBC)*24),0)&amp;" giờ",INT(ROUND((($AW231-TDBC)*24),0)/24)&amp;" ngày"&amp;IF(MOD(ROUND((($AW231-TDBC)*24),0),24)&gt;0," "&amp;MOD(ROUND((($AW231-TDBC)*24),0),24)&amp;" giờ",""))))))</f>
      </c>
      <c r="AA231" s="221">
        <f>IF($A231="","",IF(N($AM231)=0,"Chưa bắt đầu",IF(OR($AN231="Hoàn thành kỳ",$AN231="Hoàn thành"),IF($B231="Định kỳ","Chưa bắt đầu","Hoàn thành"),$AN231)))</f>
      </c>
      <c r="AB231" s="222">
        <f>IF($A231="","",IF($AA231="Hoàn thành",1,IF(OR(N($AM231)=0,$AN231="Hoàn thành kỳ",$AN231="Hoàn thành"),0,N(INDEX('Nhật ký tiến độ'!$D:$D,$AM231)))))</f>
      </c>
      <c r="AC231" s="222">
        <f>IF(OR($A231="",$B231&lt;&gt;"Đột xuất",$AA231="Hoàn thành",N($J231)=0,$AW231=0),"",IF(TDBC&lt;=$J231,0,IF(TDBC&gt;=$AW231,1,(TDBC-$J231)/($AW231-$J231))))</f>
      </c>
      <c r="AD231" s="223">
        <f>IF($A231="","",IF($AA231="Hoàn thành","Hoàn thành",IF($AW231=0,"Chưa đặt hạn",IF(TDBC&gt;$AW231,"Quá hạn",IF(AND($B231="Đột xuất",ROUND((N($AC231)-$AB231)*100,0)&gt;=20),"Chậm tiến độ",IF($AP231=NgayBC,"Đến hạn hôm nay",IF($B231="Đột xuất",IF($AW231-TDBC&lt;=1,"Sắp đến hạn","Đúng tiến độ"),IF($AP231-NgayBC&lt;=3,"Sắp đến hạn","Theo lịch"))))))))</f>
      </c>
      <c r="AE231" s="223">
        <f>IF($AV231="","",IF($B231="Định kỳ","Bình quân "&amp;IF($AV231&lt;1,MAX(1,ROUND($AV231*60,0))&amp;" phút",IF(ROUND($AV231,0)&lt;24,ROUND($AV231,0)&amp;" giờ",INT(ROUND($AV231,0)/24)&amp;" ngày"&amp;IF(MOD(ROUND($AV231,0),24)&gt;0," "&amp;MOD(ROUND($AV231,0),24)&amp;" giờ","")))&amp;" mỗi kỳ",IF($AV231&lt;1,MAX(1,ROUND($AV231*60,0))&amp;" phút",IF(ROUND($AV231,0)&lt;24,ROUND($AV231,0)&amp;" giờ",INT(ROUND($AV231,0)/24)&amp;" ngày"&amp;IF(MOD(ROUND($AV231,0),24)&gt;0," "&amp;MOD(ROUND($AV231,0),24)&amp;" giờ","")))))</f>
      </c>
      <c r="AF231" s="223">
        <f>IF(OR($A231="",N($AU231)=0),"",IF($AV231&lt;&gt;"",IF($AV231&lt;=$AU231,"Trong ước tính","Vượt "&amp;IF(($AV231-$AU231)&lt;1,MAX(1,ROUND(($AV231-$AU231)*60,0))&amp;" phút",IF(ROUND(($AV231-$AU231),0)&lt;24,ROUND(($AV231-$AU231),0)&amp;" giờ",INT(ROUND(($AV231-$AU231),0)/24)&amp;" ngày"&amp;IF(MOD(ROUND(($AV231-$AU231),0),24)&gt;0," "&amp;MOD(ROUND(($AV231-$AU231),0),24)&amp;" giờ","")))),IF(OR($B231&lt;&gt;"Đột xuất",$AA231="Hoàn thành",N($J231)=0),"",IF((TDBC-$J231)*24&gt;$AU231,"Đã vượt ước tính","Đã dùng "&amp;TEXT((TDBC-$J231)*24/$AU231,"0%")))))</f>
      </c>
      <c r="AG231" s="223">
        <f>IF(N($BB231)=0,"",CHOOSE($BB231,"Nhắc nhở","Cảnh báo","Báo động","Báo động đỏ"))</f>
      </c>
      <c r="AH231" s="223">
        <f>IF(OR($B231&lt;&gt;"Đột xuất",$AA231&lt;&gt;"Hoàn thành",N($X231)=0,$AW231=0),"",IF($X231&lt;=$AW231,"Đúng hạn","Trễ hạn"))</f>
      </c>
      <c r="AI231" s="220">
        <f>IF($A231="","",_xlfn.MAXIFS('Nhật ký tiến độ'!$B$6:$B$3005,'Nhật ký tiến độ'!$C$6:$C$3005,$A231))</f>
      </c>
      <c r="AJ231" s="225">
        <f>IF(OR($A231="",$B231&lt;&gt;"Định kỳ"),0,IFERROR(INDEX(DM_TanSuatNgay,MATCH($H231,DM_TanSuat,0)),0))</f>
      </c>
      <c r="AK231" s="225">
        <f>IF(OR($A231="",$B231&lt;&gt;"Định kỳ"),0,IFERROR(INDEX(DM_TanSuatThang,MATCH($H231,DM_TanSuat,0)),0))</f>
      </c>
      <c r="AL231" s="225">
        <f>IF(OR($A231="",$B231&lt;&gt;"Định kỳ",N($X231)=0,N($I231)=0),"",IF(INT($X231)&lt;$I231,0,IF($AJ231&gt;0,ROUND((INT($X231)-$I231)/$AJ231,0),IF($AK231&gt;0,ROUND((DATEDIF($I231,INT($X231),"m")+(INT($X231)-EDATE($I231,DATEDIF($I231,INT($X231),"m")))/(EDATE($I231,DATEDIF($I231,INT($X231),"m")+1)-EDATE($I231,DATEDIF($I231,INT($X231),"m"))))/$AK231,0),0))))</f>
      </c>
      <c r="AM231" s="225">
        <f>IF($A231="","",IF(COUNTIF('Nhật ký tiến độ'!$C$6:$C$3005,$A231)=0,0,_xlfn.MAXIFS('Nhật ký tiến độ'!$N$6:$N$3005,'Nhật ký tiến độ'!$C$6:$C$3005,$A231,'Nhật ký tiến độ'!$B$6:$B$3005,_xlfn.MAXIFS('Nhật ký tiến độ'!$B$6:$B$3005,'Nhật ký tiến độ'!$C$6:$C$3005,$A231))))</f>
      </c>
      <c r="AN231" s="225">
        <f>IF($A231="","",IF(N($AM231)=0,"",INDEX('Nhật ký tiến độ'!$E:$E,$AM231)))</f>
      </c>
      <c r="AO231" s="225">
        <f>IF($A231="",0,IF($AA231="Hoàn thành",0,1))</f>
      </c>
      <c r="AP231" s="225">
        <f>IF($AO231=0,0,INT(N($AW231)))</f>
      </c>
      <c r="AQ231" s="225">
        <f>IF(AND($AO231=1,$AJ231&gt;1),$AJ231,0)</f>
      </c>
      <c r="AR231" s="225">
        <f>IF(AND($AO231=1,$AJ231=1),1,0)</f>
      </c>
      <c r="AS231" s="225">
        <f>IF(OR($AO231=0,AND($AR231=1,N($BB231)=0)),"",IF(N($BB231)&gt;0,5-$BB231,IF($AD231="Chậm tiến độ",6,IF($AD231="Đến hạn hôm nay",7,IF(AND($AP231&gt;0,$AP231-NgayBC&lt;=7),8,"")))))</f>
      </c>
      <c r="AT231" s="225">
        <f>IF($AS231="","",$AS231*100000+$AP231+ROW()/100000)</f>
      </c>
      <c r="AU231" s="224">
        <f>IF(OR($A231="",N($R231)&lt;=0),"",IF($S231="Ngày",$R231*24,$R231))</f>
      </c>
      <c r="AV231" s="224">
        <f>IF($A231="","",IF($B231="Đột xuất",IF(OR($AA231&lt;&gt;"Hoàn thành",N($X231)=0,N($J231)=0),"",IF($X231&lt;$J231,"",($X231-$J231)*24)),IFERROR(AVERAGEIFS('Nhật ký tiến độ'!$H$6:$H$3005,'Nhật ký tiến độ'!$C$6:$C$3005,$A231,'Nhật ký tiến độ'!$H$6:$H$3005,"&gt;0"),"")))</f>
      </c>
      <c r="AW231" s="233">
        <f>IF($A231="",0,IF($B231="Đột xuất",$AY231,IF($AX231=0,0,$AX231+1-1/1440)))</f>
      </c>
      <c r="AX231" s="234">
        <f>IF(OR($A231="",$B231&lt;&gt;"Định kỳ",N($I231)=0),0,IF($AL231="",$I231,IF($AJ231&gt;0,$I231+($AL231+1)*$AJ231,IF($AK231&gt;0,EDATE($I231,($AL231+1)*$AK231),$I231))))</f>
      </c>
      <c r="AY231" s="233">
        <f>IF(OR($A231="",$B231&lt;&gt;"Đột xuất"),0,IF(N($K231)&gt;0,IF(MOD($K231,1)=0,$K231+1-1/1440,$K231),IF(N($J231)=0,0,$J231+IF(N($AU231)&gt;0,$AU231,IFERROR(INDEX(DM_SLA_Gio,MATCH($L231,DM_SLA_Cap,0)),168))/24)))</f>
      </c>
      <c r="AZ231" s="225">
        <f>IF(OR($A231="",TRIM($N231)="",COUNTIF('Phản ánh'!$K$6:$K$505,$N231)&gt;0,COUNTIF($N$6:$N231,$N231)&gt;1),0,1)</f>
      </c>
      <c r="BA231" s="225">
        <f>IF($AZ231=1,SUM($AZ$6:$AZ231),"")</f>
      </c>
      <c r="BB231" s="225">
        <f>IF(OR($AO231=0,N($AW231)=0),0,IF(TDBC&lt;=$AW231,0,MAX(1,MIN(4,IF((TDBC-$AW231)*24&lt;24,1,IF((TDBC-$AW231)*24&lt;72,2,IF((TDBC-$AW231)*24&lt;168,3,4)))+IF($B231="Đột xuất",IFERROR(INDEX({2,1,0,-1},MATCH($L231,{"Khẩn cấp","Cao","Trung bình","Thấp"},0)),0),IF($D231="PCCC và an ninh",1,0))))))</f>
      </c>
    </row>
    <row r="232">
      <c r="A232" s="216"/>
      <c r="B232" s="216"/>
      <c r="C232" s="218"/>
      <c r="D232" s="218"/>
      <c r="E232" s="218"/>
      <c r="F232" s="216"/>
      <c r="G232" s="218"/>
      <c r="H232" s="218"/>
      <c r="I232" s="231"/>
      <c r="J232" s="217"/>
      <c r="K232" s="217"/>
      <c r="L232" s="216"/>
      <c r="M232" s="216"/>
      <c r="N232" s="218"/>
      <c r="O232" s="218"/>
      <c r="P232" s="218"/>
      <c r="Q232" s="218"/>
      <c r="R232" s="219"/>
      <c r="S232" s="216"/>
      <c r="T232" s="232"/>
      <c r="U232" s="232"/>
      <c r="V232" s="218"/>
      <c r="W232" s="218"/>
      <c r="X232" s="220">
        <f>IF($A232="","",IF(OR($B232="Định kỳ",$AA232="Hoàn thành"),MAX(_xlfn.MAXIFS('Nhật ký tiến độ'!$B$6:$B$3005,'Nhật ký tiến độ'!$C$6:$C$3005,$A232,'Nhật ký tiến độ'!$E$6:$E$3005,"Hoàn thành kỳ"),_xlfn.MAXIFS('Nhật ký tiến độ'!$B$6:$B$3005,'Nhật ký tiến độ'!$C$6:$C$3005,$A232,'Nhật ký tiến độ'!$E$6:$E$3005,"Hoàn thành")),0))</f>
      </c>
      <c r="Y232" s="220">
        <f>IF($A232="","",IF($B232="Đột xuất",IF($AY232=0,"",$AY232),IF($AX232=0,"",$AX232)))</f>
      </c>
      <c r="Z232" s="223">
        <f>IF(OR($AO232=0,$AW232=0),"",IF(TDBC&gt;$AW232,"Quá "&amp;IF($B232="Định kỳ",(NgayBC-$AP232)&amp;" ngày",IF(((TDBC-$AW232)*24)&lt;1,MAX(1,ROUND(((TDBC-$AW232)*24)*60,0))&amp;" phút",IF(ROUND(((TDBC-$AW232)*24),0)&lt;24,ROUND(((TDBC-$AW232)*24),0)&amp;" giờ",INT(ROUND(((TDBC-$AW232)*24),0)/24)&amp;" ngày"&amp;IF(MOD(ROUND(((TDBC-$AW232)*24),0),24)&gt;0," "&amp;MOD(ROUND(((TDBC-$AW232)*24),0),24)&amp;" giờ","")))),IF($B232="Định kỳ",IF($AP232=NgayBC,"Hôm nay","Còn "&amp;($AP232-NgayBC)&amp;" ngày"),"Còn "&amp;IF((($AW232-TDBC)*24)&lt;1,MAX(1,ROUND((($AW232-TDBC)*24)*60,0))&amp;" phút",IF(ROUND((($AW232-TDBC)*24),0)&lt;24,ROUND((($AW232-TDBC)*24),0)&amp;" giờ",INT(ROUND((($AW232-TDBC)*24),0)/24)&amp;" ngày"&amp;IF(MOD(ROUND((($AW232-TDBC)*24),0),24)&gt;0," "&amp;MOD(ROUND((($AW232-TDBC)*24),0),24)&amp;" giờ",""))))))</f>
      </c>
      <c r="AA232" s="221">
        <f>IF($A232="","",IF(N($AM232)=0,"Chưa bắt đầu",IF(OR($AN232="Hoàn thành kỳ",$AN232="Hoàn thành"),IF($B232="Định kỳ","Chưa bắt đầu","Hoàn thành"),$AN232)))</f>
      </c>
      <c r="AB232" s="222">
        <f>IF($A232="","",IF($AA232="Hoàn thành",1,IF(OR(N($AM232)=0,$AN232="Hoàn thành kỳ",$AN232="Hoàn thành"),0,N(INDEX('Nhật ký tiến độ'!$D:$D,$AM232)))))</f>
      </c>
      <c r="AC232" s="222">
        <f>IF(OR($A232="",$B232&lt;&gt;"Đột xuất",$AA232="Hoàn thành",N($J232)=0,$AW232=0),"",IF(TDBC&lt;=$J232,0,IF(TDBC&gt;=$AW232,1,(TDBC-$J232)/($AW232-$J232))))</f>
      </c>
      <c r="AD232" s="223">
        <f>IF($A232="","",IF($AA232="Hoàn thành","Hoàn thành",IF($AW232=0,"Chưa đặt hạn",IF(TDBC&gt;$AW232,"Quá hạn",IF(AND($B232="Đột xuất",ROUND((N($AC232)-$AB232)*100,0)&gt;=20),"Chậm tiến độ",IF($AP232=NgayBC,"Đến hạn hôm nay",IF($B232="Đột xuất",IF($AW232-TDBC&lt;=1,"Sắp đến hạn","Đúng tiến độ"),IF($AP232-NgayBC&lt;=3,"Sắp đến hạn","Theo lịch"))))))))</f>
      </c>
      <c r="AE232" s="223">
        <f>IF($AV232="","",IF($B232="Định kỳ","Bình quân "&amp;IF($AV232&lt;1,MAX(1,ROUND($AV232*60,0))&amp;" phút",IF(ROUND($AV232,0)&lt;24,ROUND($AV232,0)&amp;" giờ",INT(ROUND($AV232,0)/24)&amp;" ngày"&amp;IF(MOD(ROUND($AV232,0),24)&gt;0," "&amp;MOD(ROUND($AV232,0),24)&amp;" giờ","")))&amp;" mỗi kỳ",IF($AV232&lt;1,MAX(1,ROUND($AV232*60,0))&amp;" phút",IF(ROUND($AV232,0)&lt;24,ROUND($AV232,0)&amp;" giờ",INT(ROUND($AV232,0)/24)&amp;" ngày"&amp;IF(MOD(ROUND($AV232,0),24)&gt;0," "&amp;MOD(ROUND($AV232,0),24)&amp;" giờ","")))))</f>
      </c>
      <c r="AF232" s="223">
        <f>IF(OR($A232="",N($AU232)=0),"",IF($AV232&lt;&gt;"",IF($AV232&lt;=$AU232,"Trong ước tính","Vượt "&amp;IF(($AV232-$AU232)&lt;1,MAX(1,ROUND(($AV232-$AU232)*60,0))&amp;" phút",IF(ROUND(($AV232-$AU232),0)&lt;24,ROUND(($AV232-$AU232),0)&amp;" giờ",INT(ROUND(($AV232-$AU232),0)/24)&amp;" ngày"&amp;IF(MOD(ROUND(($AV232-$AU232),0),24)&gt;0," "&amp;MOD(ROUND(($AV232-$AU232),0),24)&amp;" giờ","")))),IF(OR($B232&lt;&gt;"Đột xuất",$AA232="Hoàn thành",N($J232)=0),"",IF((TDBC-$J232)*24&gt;$AU232,"Đã vượt ước tính","Đã dùng "&amp;TEXT((TDBC-$J232)*24/$AU232,"0%")))))</f>
      </c>
      <c r="AG232" s="223">
        <f>IF(N($BB232)=0,"",CHOOSE($BB232,"Nhắc nhở","Cảnh báo","Báo động","Báo động đỏ"))</f>
      </c>
      <c r="AH232" s="223">
        <f>IF(OR($B232&lt;&gt;"Đột xuất",$AA232&lt;&gt;"Hoàn thành",N($X232)=0,$AW232=0),"",IF($X232&lt;=$AW232,"Đúng hạn","Trễ hạn"))</f>
      </c>
      <c r="AI232" s="220">
        <f>IF($A232="","",_xlfn.MAXIFS('Nhật ký tiến độ'!$B$6:$B$3005,'Nhật ký tiến độ'!$C$6:$C$3005,$A232))</f>
      </c>
      <c r="AJ232" s="225">
        <f>IF(OR($A232="",$B232&lt;&gt;"Định kỳ"),0,IFERROR(INDEX(DM_TanSuatNgay,MATCH($H232,DM_TanSuat,0)),0))</f>
      </c>
      <c r="AK232" s="225">
        <f>IF(OR($A232="",$B232&lt;&gt;"Định kỳ"),0,IFERROR(INDEX(DM_TanSuatThang,MATCH($H232,DM_TanSuat,0)),0))</f>
      </c>
      <c r="AL232" s="225">
        <f>IF(OR($A232="",$B232&lt;&gt;"Định kỳ",N($X232)=0,N($I232)=0),"",IF(INT($X232)&lt;$I232,0,IF($AJ232&gt;0,ROUND((INT($X232)-$I232)/$AJ232,0),IF($AK232&gt;0,ROUND((DATEDIF($I232,INT($X232),"m")+(INT($X232)-EDATE($I232,DATEDIF($I232,INT($X232),"m")))/(EDATE($I232,DATEDIF($I232,INT($X232),"m")+1)-EDATE($I232,DATEDIF($I232,INT($X232),"m"))))/$AK232,0),0))))</f>
      </c>
      <c r="AM232" s="225">
        <f>IF($A232="","",IF(COUNTIF('Nhật ký tiến độ'!$C$6:$C$3005,$A232)=0,0,_xlfn.MAXIFS('Nhật ký tiến độ'!$N$6:$N$3005,'Nhật ký tiến độ'!$C$6:$C$3005,$A232,'Nhật ký tiến độ'!$B$6:$B$3005,_xlfn.MAXIFS('Nhật ký tiến độ'!$B$6:$B$3005,'Nhật ký tiến độ'!$C$6:$C$3005,$A232))))</f>
      </c>
      <c r="AN232" s="225">
        <f>IF($A232="","",IF(N($AM232)=0,"",INDEX('Nhật ký tiến độ'!$E:$E,$AM232)))</f>
      </c>
      <c r="AO232" s="225">
        <f>IF($A232="",0,IF($AA232="Hoàn thành",0,1))</f>
      </c>
      <c r="AP232" s="225">
        <f>IF($AO232=0,0,INT(N($AW232)))</f>
      </c>
      <c r="AQ232" s="225">
        <f>IF(AND($AO232=1,$AJ232&gt;1),$AJ232,0)</f>
      </c>
      <c r="AR232" s="225">
        <f>IF(AND($AO232=1,$AJ232=1),1,0)</f>
      </c>
      <c r="AS232" s="225">
        <f>IF(OR($AO232=0,AND($AR232=1,N($BB232)=0)),"",IF(N($BB232)&gt;0,5-$BB232,IF($AD232="Chậm tiến độ",6,IF($AD232="Đến hạn hôm nay",7,IF(AND($AP232&gt;0,$AP232-NgayBC&lt;=7),8,"")))))</f>
      </c>
      <c r="AT232" s="225">
        <f>IF($AS232="","",$AS232*100000+$AP232+ROW()/100000)</f>
      </c>
      <c r="AU232" s="224">
        <f>IF(OR($A232="",N($R232)&lt;=0),"",IF($S232="Ngày",$R232*24,$R232))</f>
      </c>
      <c r="AV232" s="224">
        <f>IF($A232="","",IF($B232="Đột xuất",IF(OR($AA232&lt;&gt;"Hoàn thành",N($X232)=0,N($J232)=0),"",IF($X232&lt;$J232,"",($X232-$J232)*24)),IFERROR(AVERAGEIFS('Nhật ký tiến độ'!$H$6:$H$3005,'Nhật ký tiến độ'!$C$6:$C$3005,$A232,'Nhật ký tiến độ'!$H$6:$H$3005,"&gt;0"),"")))</f>
      </c>
      <c r="AW232" s="233">
        <f>IF($A232="",0,IF($B232="Đột xuất",$AY232,IF($AX232=0,0,$AX232+1-1/1440)))</f>
      </c>
      <c r="AX232" s="234">
        <f>IF(OR($A232="",$B232&lt;&gt;"Định kỳ",N($I232)=0),0,IF($AL232="",$I232,IF($AJ232&gt;0,$I232+($AL232+1)*$AJ232,IF($AK232&gt;0,EDATE($I232,($AL232+1)*$AK232),$I232))))</f>
      </c>
      <c r="AY232" s="233">
        <f>IF(OR($A232="",$B232&lt;&gt;"Đột xuất"),0,IF(N($K232)&gt;0,IF(MOD($K232,1)=0,$K232+1-1/1440,$K232),IF(N($J232)=0,0,$J232+IF(N($AU232)&gt;0,$AU232,IFERROR(INDEX(DM_SLA_Gio,MATCH($L232,DM_SLA_Cap,0)),168))/24)))</f>
      </c>
      <c r="AZ232" s="225">
        <f>IF(OR($A232="",TRIM($N232)="",COUNTIF('Phản ánh'!$K$6:$K$505,$N232)&gt;0,COUNTIF($N$6:$N232,$N232)&gt;1),0,1)</f>
      </c>
      <c r="BA232" s="225">
        <f>IF($AZ232=1,SUM($AZ$6:$AZ232),"")</f>
      </c>
      <c r="BB232" s="225">
        <f>IF(OR($AO232=0,N($AW232)=0),0,IF(TDBC&lt;=$AW232,0,MAX(1,MIN(4,IF((TDBC-$AW232)*24&lt;24,1,IF((TDBC-$AW232)*24&lt;72,2,IF((TDBC-$AW232)*24&lt;168,3,4)))+IF($B232="Đột xuất",IFERROR(INDEX({2,1,0,-1},MATCH($L232,{"Khẩn cấp","Cao","Trung bình","Thấp"},0)),0),IF($D232="PCCC và an ninh",1,0))))))</f>
      </c>
    </row>
    <row r="233">
      <c r="A233" s="216"/>
      <c r="B233" s="216"/>
      <c r="C233" s="218"/>
      <c r="D233" s="218"/>
      <c r="E233" s="218"/>
      <c r="F233" s="216"/>
      <c r="G233" s="218"/>
      <c r="H233" s="218"/>
      <c r="I233" s="231"/>
      <c r="J233" s="217"/>
      <c r="K233" s="217"/>
      <c r="L233" s="216"/>
      <c r="M233" s="216"/>
      <c r="N233" s="218"/>
      <c r="O233" s="218"/>
      <c r="P233" s="218"/>
      <c r="Q233" s="218"/>
      <c r="R233" s="219"/>
      <c r="S233" s="216"/>
      <c r="T233" s="232"/>
      <c r="U233" s="232"/>
      <c r="V233" s="218"/>
      <c r="W233" s="218"/>
      <c r="X233" s="220">
        <f>IF($A233="","",IF(OR($B233="Định kỳ",$AA233="Hoàn thành"),MAX(_xlfn.MAXIFS('Nhật ký tiến độ'!$B$6:$B$3005,'Nhật ký tiến độ'!$C$6:$C$3005,$A233,'Nhật ký tiến độ'!$E$6:$E$3005,"Hoàn thành kỳ"),_xlfn.MAXIFS('Nhật ký tiến độ'!$B$6:$B$3005,'Nhật ký tiến độ'!$C$6:$C$3005,$A233,'Nhật ký tiến độ'!$E$6:$E$3005,"Hoàn thành")),0))</f>
      </c>
      <c r="Y233" s="220">
        <f>IF($A233="","",IF($B233="Đột xuất",IF($AY233=0,"",$AY233),IF($AX233=0,"",$AX233)))</f>
      </c>
      <c r="Z233" s="223">
        <f>IF(OR($AO233=0,$AW233=0),"",IF(TDBC&gt;$AW233,"Quá "&amp;IF($B233="Định kỳ",(NgayBC-$AP233)&amp;" ngày",IF(((TDBC-$AW233)*24)&lt;1,MAX(1,ROUND(((TDBC-$AW233)*24)*60,0))&amp;" phút",IF(ROUND(((TDBC-$AW233)*24),0)&lt;24,ROUND(((TDBC-$AW233)*24),0)&amp;" giờ",INT(ROUND(((TDBC-$AW233)*24),0)/24)&amp;" ngày"&amp;IF(MOD(ROUND(((TDBC-$AW233)*24),0),24)&gt;0," "&amp;MOD(ROUND(((TDBC-$AW233)*24),0),24)&amp;" giờ","")))),IF($B233="Định kỳ",IF($AP233=NgayBC,"Hôm nay","Còn "&amp;($AP233-NgayBC)&amp;" ngày"),"Còn "&amp;IF((($AW233-TDBC)*24)&lt;1,MAX(1,ROUND((($AW233-TDBC)*24)*60,0))&amp;" phút",IF(ROUND((($AW233-TDBC)*24),0)&lt;24,ROUND((($AW233-TDBC)*24),0)&amp;" giờ",INT(ROUND((($AW233-TDBC)*24),0)/24)&amp;" ngày"&amp;IF(MOD(ROUND((($AW233-TDBC)*24),0),24)&gt;0," "&amp;MOD(ROUND((($AW233-TDBC)*24),0),24)&amp;" giờ",""))))))</f>
      </c>
      <c r="AA233" s="221">
        <f>IF($A233="","",IF(N($AM233)=0,"Chưa bắt đầu",IF(OR($AN233="Hoàn thành kỳ",$AN233="Hoàn thành"),IF($B233="Định kỳ","Chưa bắt đầu","Hoàn thành"),$AN233)))</f>
      </c>
      <c r="AB233" s="222">
        <f>IF($A233="","",IF($AA233="Hoàn thành",1,IF(OR(N($AM233)=0,$AN233="Hoàn thành kỳ",$AN233="Hoàn thành"),0,N(INDEX('Nhật ký tiến độ'!$D:$D,$AM233)))))</f>
      </c>
      <c r="AC233" s="222">
        <f>IF(OR($A233="",$B233&lt;&gt;"Đột xuất",$AA233="Hoàn thành",N($J233)=0,$AW233=0),"",IF(TDBC&lt;=$J233,0,IF(TDBC&gt;=$AW233,1,(TDBC-$J233)/($AW233-$J233))))</f>
      </c>
      <c r="AD233" s="223">
        <f>IF($A233="","",IF($AA233="Hoàn thành","Hoàn thành",IF($AW233=0,"Chưa đặt hạn",IF(TDBC&gt;$AW233,"Quá hạn",IF(AND($B233="Đột xuất",ROUND((N($AC233)-$AB233)*100,0)&gt;=20),"Chậm tiến độ",IF($AP233=NgayBC,"Đến hạn hôm nay",IF($B233="Đột xuất",IF($AW233-TDBC&lt;=1,"Sắp đến hạn","Đúng tiến độ"),IF($AP233-NgayBC&lt;=3,"Sắp đến hạn","Theo lịch"))))))))</f>
      </c>
      <c r="AE233" s="223">
        <f>IF($AV233="","",IF($B233="Định kỳ","Bình quân "&amp;IF($AV233&lt;1,MAX(1,ROUND($AV233*60,0))&amp;" phút",IF(ROUND($AV233,0)&lt;24,ROUND($AV233,0)&amp;" giờ",INT(ROUND($AV233,0)/24)&amp;" ngày"&amp;IF(MOD(ROUND($AV233,0),24)&gt;0," "&amp;MOD(ROUND($AV233,0),24)&amp;" giờ","")))&amp;" mỗi kỳ",IF($AV233&lt;1,MAX(1,ROUND($AV233*60,0))&amp;" phút",IF(ROUND($AV233,0)&lt;24,ROUND($AV233,0)&amp;" giờ",INT(ROUND($AV233,0)/24)&amp;" ngày"&amp;IF(MOD(ROUND($AV233,0),24)&gt;0," "&amp;MOD(ROUND($AV233,0),24)&amp;" giờ","")))))</f>
      </c>
      <c r="AF233" s="223">
        <f>IF(OR($A233="",N($AU233)=0),"",IF($AV233&lt;&gt;"",IF($AV233&lt;=$AU233,"Trong ước tính","Vượt "&amp;IF(($AV233-$AU233)&lt;1,MAX(1,ROUND(($AV233-$AU233)*60,0))&amp;" phút",IF(ROUND(($AV233-$AU233),0)&lt;24,ROUND(($AV233-$AU233),0)&amp;" giờ",INT(ROUND(($AV233-$AU233),0)/24)&amp;" ngày"&amp;IF(MOD(ROUND(($AV233-$AU233),0),24)&gt;0," "&amp;MOD(ROUND(($AV233-$AU233),0),24)&amp;" giờ","")))),IF(OR($B233&lt;&gt;"Đột xuất",$AA233="Hoàn thành",N($J233)=0),"",IF((TDBC-$J233)*24&gt;$AU233,"Đã vượt ước tính","Đã dùng "&amp;TEXT((TDBC-$J233)*24/$AU233,"0%")))))</f>
      </c>
      <c r="AG233" s="223">
        <f>IF(N($BB233)=0,"",CHOOSE($BB233,"Nhắc nhở","Cảnh báo","Báo động","Báo động đỏ"))</f>
      </c>
      <c r="AH233" s="223">
        <f>IF(OR($B233&lt;&gt;"Đột xuất",$AA233&lt;&gt;"Hoàn thành",N($X233)=0,$AW233=0),"",IF($X233&lt;=$AW233,"Đúng hạn","Trễ hạn"))</f>
      </c>
      <c r="AI233" s="220">
        <f>IF($A233="","",_xlfn.MAXIFS('Nhật ký tiến độ'!$B$6:$B$3005,'Nhật ký tiến độ'!$C$6:$C$3005,$A233))</f>
      </c>
      <c r="AJ233" s="225">
        <f>IF(OR($A233="",$B233&lt;&gt;"Định kỳ"),0,IFERROR(INDEX(DM_TanSuatNgay,MATCH($H233,DM_TanSuat,0)),0))</f>
      </c>
      <c r="AK233" s="225">
        <f>IF(OR($A233="",$B233&lt;&gt;"Định kỳ"),0,IFERROR(INDEX(DM_TanSuatThang,MATCH($H233,DM_TanSuat,0)),0))</f>
      </c>
      <c r="AL233" s="225">
        <f>IF(OR($A233="",$B233&lt;&gt;"Định kỳ",N($X233)=0,N($I233)=0),"",IF(INT($X233)&lt;$I233,0,IF($AJ233&gt;0,ROUND((INT($X233)-$I233)/$AJ233,0),IF($AK233&gt;0,ROUND((DATEDIF($I233,INT($X233),"m")+(INT($X233)-EDATE($I233,DATEDIF($I233,INT($X233),"m")))/(EDATE($I233,DATEDIF($I233,INT($X233),"m")+1)-EDATE($I233,DATEDIF($I233,INT($X233),"m"))))/$AK233,0),0))))</f>
      </c>
      <c r="AM233" s="225">
        <f>IF($A233="","",IF(COUNTIF('Nhật ký tiến độ'!$C$6:$C$3005,$A233)=0,0,_xlfn.MAXIFS('Nhật ký tiến độ'!$N$6:$N$3005,'Nhật ký tiến độ'!$C$6:$C$3005,$A233,'Nhật ký tiến độ'!$B$6:$B$3005,_xlfn.MAXIFS('Nhật ký tiến độ'!$B$6:$B$3005,'Nhật ký tiến độ'!$C$6:$C$3005,$A233))))</f>
      </c>
      <c r="AN233" s="225">
        <f>IF($A233="","",IF(N($AM233)=0,"",INDEX('Nhật ký tiến độ'!$E:$E,$AM233)))</f>
      </c>
      <c r="AO233" s="225">
        <f>IF($A233="",0,IF($AA233="Hoàn thành",0,1))</f>
      </c>
      <c r="AP233" s="225">
        <f>IF($AO233=0,0,INT(N($AW233)))</f>
      </c>
      <c r="AQ233" s="225">
        <f>IF(AND($AO233=1,$AJ233&gt;1),$AJ233,0)</f>
      </c>
      <c r="AR233" s="225">
        <f>IF(AND($AO233=1,$AJ233=1),1,0)</f>
      </c>
      <c r="AS233" s="225">
        <f>IF(OR($AO233=0,AND($AR233=1,N($BB233)=0)),"",IF(N($BB233)&gt;0,5-$BB233,IF($AD233="Chậm tiến độ",6,IF($AD233="Đến hạn hôm nay",7,IF(AND($AP233&gt;0,$AP233-NgayBC&lt;=7),8,"")))))</f>
      </c>
      <c r="AT233" s="225">
        <f>IF($AS233="","",$AS233*100000+$AP233+ROW()/100000)</f>
      </c>
      <c r="AU233" s="224">
        <f>IF(OR($A233="",N($R233)&lt;=0),"",IF($S233="Ngày",$R233*24,$R233))</f>
      </c>
      <c r="AV233" s="224">
        <f>IF($A233="","",IF($B233="Đột xuất",IF(OR($AA233&lt;&gt;"Hoàn thành",N($X233)=0,N($J233)=0),"",IF($X233&lt;$J233,"",($X233-$J233)*24)),IFERROR(AVERAGEIFS('Nhật ký tiến độ'!$H$6:$H$3005,'Nhật ký tiến độ'!$C$6:$C$3005,$A233,'Nhật ký tiến độ'!$H$6:$H$3005,"&gt;0"),"")))</f>
      </c>
      <c r="AW233" s="233">
        <f>IF($A233="",0,IF($B233="Đột xuất",$AY233,IF($AX233=0,0,$AX233+1-1/1440)))</f>
      </c>
      <c r="AX233" s="234">
        <f>IF(OR($A233="",$B233&lt;&gt;"Định kỳ",N($I233)=0),0,IF($AL233="",$I233,IF($AJ233&gt;0,$I233+($AL233+1)*$AJ233,IF($AK233&gt;0,EDATE($I233,($AL233+1)*$AK233),$I233))))</f>
      </c>
      <c r="AY233" s="233">
        <f>IF(OR($A233="",$B233&lt;&gt;"Đột xuất"),0,IF(N($K233)&gt;0,IF(MOD($K233,1)=0,$K233+1-1/1440,$K233),IF(N($J233)=0,0,$J233+IF(N($AU233)&gt;0,$AU233,IFERROR(INDEX(DM_SLA_Gio,MATCH($L233,DM_SLA_Cap,0)),168))/24)))</f>
      </c>
      <c r="AZ233" s="225">
        <f>IF(OR($A233="",TRIM($N233)="",COUNTIF('Phản ánh'!$K$6:$K$505,$N233)&gt;0,COUNTIF($N$6:$N233,$N233)&gt;1),0,1)</f>
      </c>
      <c r="BA233" s="225">
        <f>IF($AZ233=1,SUM($AZ$6:$AZ233),"")</f>
      </c>
      <c r="BB233" s="225">
        <f>IF(OR($AO233=0,N($AW233)=0),0,IF(TDBC&lt;=$AW233,0,MAX(1,MIN(4,IF((TDBC-$AW233)*24&lt;24,1,IF((TDBC-$AW233)*24&lt;72,2,IF((TDBC-$AW233)*24&lt;168,3,4)))+IF($B233="Đột xuất",IFERROR(INDEX({2,1,0,-1},MATCH($L233,{"Khẩn cấp","Cao","Trung bình","Thấp"},0)),0),IF($D233="PCCC và an ninh",1,0))))))</f>
      </c>
    </row>
    <row r="234">
      <c r="A234" s="216"/>
      <c r="B234" s="216"/>
      <c r="C234" s="218"/>
      <c r="D234" s="218"/>
      <c r="E234" s="218"/>
      <c r="F234" s="216"/>
      <c r="G234" s="218"/>
      <c r="H234" s="218"/>
      <c r="I234" s="231"/>
      <c r="J234" s="217"/>
      <c r="K234" s="217"/>
      <c r="L234" s="216"/>
      <c r="M234" s="216"/>
      <c r="N234" s="218"/>
      <c r="O234" s="218"/>
      <c r="P234" s="218"/>
      <c r="Q234" s="218"/>
      <c r="R234" s="219"/>
      <c r="S234" s="216"/>
      <c r="T234" s="232"/>
      <c r="U234" s="232"/>
      <c r="V234" s="218"/>
      <c r="W234" s="218"/>
      <c r="X234" s="220">
        <f>IF($A234="","",IF(OR($B234="Định kỳ",$AA234="Hoàn thành"),MAX(_xlfn.MAXIFS('Nhật ký tiến độ'!$B$6:$B$3005,'Nhật ký tiến độ'!$C$6:$C$3005,$A234,'Nhật ký tiến độ'!$E$6:$E$3005,"Hoàn thành kỳ"),_xlfn.MAXIFS('Nhật ký tiến độ'!$B$6:$B$3005,'Nhật ký tiến độ'!$C$6:$C$3005,$A234,'Nhật ký tiến độ'!$E$6:$E$3005,"Hoàn thành")),0))</f>
      </c>
      <c r="Y234" s="220">
        <f>IF($A234="","",IF($B234="Đột xuất",IF($AY234=0,"",$AY234),IF($AX234=0,"",$AX234)))</f>
      </c>
      <c r="Z234" s="223">
        <f>IF(OR($AO234=0,$AW234=0),"",IF(TDBC&gt;$AW234,"Quá "&amp;IF($B234="Định kỳ",(NgayBC-$AP234)&amp;" ngày",IF(((TDBC-$AW234)*24)&lt;1,MAX(1,ROUND(((TDBC-$AW234)*24)*60,0))&amp;" phút",IF(ROUND(((TDBC-$AW234)*24),0)&lt;24,ROUND(((TDBC-$AW234)*24),0)&amp;" giờ",INT(ROUND(((TDBC-$AW234)*24),0)/24)&amp;" ngày"&amp;IF(MOD(ROUND(((TDBC-$AW234)*24),0),24)&gt;0," "&amp;MOD(ROUND(((TDBC-$AW234)*24),0),24)&amp;" giờ","")))),IF($B234="Định kỳ",IF($AP234=NgayBC,"Hôm nay","Còn "&amp;($AP234-NgayBC)&amp;" ngày"),"Còn "&amp;IF((($AW234-TDBC)*24)&lt;1,MAX(1,ROUND((($AW234-TDBC)*24)*60,0))&amp;" phút",IF(ROUND((($AW234-TDBC)*24),0)&lt;24,ROUND((($AW234-TDBC)*24),0)&amp;" giờ",INT(ROUND((($AW234-TDBC)*24),0)/24)&amp;" ngày"&amp;IF(MOD(ROUND((($AW234-TDBC)*24),0),24)&gt;0," "&amp;MOD(ROUND((($AW234-TDBC)*24),0),24)&amp;" giờ",""))))))</f>
      </c>
      <c r="AA234" s="221">
        <f>IF($A234="","",IF(N($AM234)=0,"Chưa bắt đầu",IF(OR($AN234="Hoàn thành kỳ",$AN234="Hoàn thành"),IF($B234="Định kỳ","Chưa bắt đầu","Hoàn thành"),$AN234)))</f>
      </c>
      <c r="AB234" s="222">
        <f>IF($A234="","",IF($AA234="Hoàn thành",1,IF(OR(N($AM234)=0,$AN234="Hoàn thành kỳ",$AN234="Hoàn thành"),0,N(INDEX('Nhật ký tiến độ'!$D:$D,$AM234)))))</f>
      </c>
      <c r="AC234" s="222">
        <f>IF(OR($A234="",$B234&lt;&gt;"Đột xuất",$AA234="Hoàn thành",N($J234)=0,$AW234=0),"",IF(TDBC&lt;=$J234,0,IF(TDBC&gt;=$AW234,1,(TDBC-$J234)/($AW234-$J234))))</f>
      </c>
      <c r="AD234" s="223">
        <f>IF($A234="","",IF($AA234="Hoàn thành","Hoàn thành",IF($AW234=0,"Chưa đặt hạn",IF(TDBC&gt;$AW234,"Quá hạn",IF(AND($B234="Đột xuất",ROUND((N($AC234)-$AB234)*100,0)&gt;=20),"Chậm tiến độ",IF($AP234=NgayBC,"Đến hạn hôm nay",IF($B234="Đột xuất",IF($AW234-TDBC&lt;=1,"Sắp đến hạn","Đúng tiến độ"),IF($AP234-NgayBC&lt;=3,"Sắp đến hạn","Theo lịch"))))))))</f>
      </c>
      <c r="AE234" s="223">
        <f>IF($AV234="","",IF($B234="Định kỳ","Bình quân "&amp;IF($AV234&lt;1,MAX(1,ROUND($AV234*60,0))&amp;" phút",IF(ROUND($AV234,0)&lt;24,ROUND($AV234,0)&amp;" giờ",INT(ROUND($AV234,0)/24)&amp;" ngày"&amp;IF(MOD(ROUND($AV234,0),24)&gt;0," "&amp;MOD(ROUND($AV234,0),24)&amp;" giờ","")))&amp;" mỗi kỳ",IF($AV234&lt;1,MAX(1,ROUND($AV234*60,0))&amp;" phút",IF(ROUND($AV234,0)&lt;24,ROUND($AV234,0)&amp;" giờ",INT(ROUND($AV234,0)/24)&amp;" ngày"&amp;IF(MOD(ROUND($AV234,0),24)&gt;0," "&amp;MOD(ROUND($AV234,0),24)&amp;" giờ","")))))</f>
      </c>
      <c r="AF234" s="223">
        <f>IF(OR($A234="",N($AU234)=0),"",IF($AV234&lt;&gt;"",IF($AV234&lt;=$AU234,"Trong ước tính","Vượt "&amp;IF(($AV234-$AU234)&lt;1,MAX(1,ROUND(($AV234-$AU234)*60,0))&amp;" phút",IF(ROUND(($AV234-$AU234),0)&lt;24,ROUND(($AV234-$AU234),0)&amp;" giờ",INT(ROUND(($AV234-$AU234),0)/24)&amp;" ngày"&amp;IF(MOD(ROUND(($AV234-$AU234),0),24)&gt;0," "&amp;MOD(ROUND(($AV234-$AU234),0),24)&amp;" giờ","")))),IF(OR($B234&lt;&gt;"Đột xuất",$AA234="Hoàn thành",N($J234)=0),"",IF((TDBC-$J234)*24&gt;$AU234,"Đã vượt ước tính","Đã dùng "&amp;TEXT((TDBC-$J234)*24/$AU234,"0%")))))</f>
      </c>
      <c r="AG234" s="223">
        <f>IF(N($BB234)=0,"",CHOOSE($BB234,"Nhắc nhở","Cảnh báo","Báo động","Báo động đỏ"))</f>
      </c>
      <c r="AH234" s="223">
        <f>IF(OR($B234&lt;&gt;"Đột xuất",$AA234&lt;&gt;"Hoàn thành",N($X234)=0,$AW234=0),"",IF($X234&lt;=$AW234,"Đúng hạn","Trễ hạn"))</f>
      </c>
      <c r="AI234" s="220">
        <f>IF($A234="","",_xlfn.MAXIFS('Nhật ký tiến độ'!$B$6:$B$3005,'Nhật ký tiến độ'!$C$6:$C$3005,$A234))</f>
      </c>
      <c r="AJ234" s="225">
        <f>IF(OR($A234="",$B234&lt;&gt;"Định kỳ"),0,IFERROR(INDEX(DM_TanSuatNgay,MATCH($H234,DM_TanSuat,0)),0))</f>
      </c>
      <c r="AK234" s="225">
        <f>IF(OR($A234="",$B234&lt;&gt;"Định kỳ"),0,IFERROR(INDEX(DM_TanSuatThang,MATCH($H234,DM_TanSuat,0)),0))</f>
      </c>
      <c r="AL234" s="225">
        <f>IF(OR($A234="",$B234&lt;&gt;"Định kỳ",N($X234)=0,N($I234)=0),"",IF(INT($X234)&lt;$I234,0,IF($AJ234&gt;0,ROUND((INT($X234)-$I234)/$AJ234,0),IF($AK234&gt;0,ROUND((DATEDIF($I234,INT($X234),"m")+(INT($X234)-EDATE($I234,DATEDIF($I234,INT($X234),"m")))/(EDATE($I234,DATEDIF($I234,INT($X234),"m")+1)-EDATE($I234,DATEDIF($I234,INT($X234),"m"))))/$AK234,0),0))))</f>
      </c>
      <c r="AM234" s="225">
        <f>IF($A234="","",IF(COUNTIF('Nhật ký tiến độ'!$C$6:$C$3005,$A234)=0,0,_xlfn.MAXIFS('Nhật ký tiến độ'!$N$6:$N$3005,'Nhật ký tiến độ'!$C$6:$C$3005,$A234,'Nhật ký tiến độ'!$B$6:$B$3005,_xlfn.MAXIFS('Nhật ký tiến độ'!$B$6:$B$3005,'Nhật ký tiến độ'!$C$6:$C$3005,$A234))))</f>
      </c>
      <c r="AN234" s="225">
        <f>IF($A234="","",IF(N($AM234)=0,"",INDEX('Nhật ký tiến độ'!$E:$E,$AM234)))</f>
      </c>
      <c r="AO234" s="225">
        <f>IF($A234="",0,IF($AA234="Hoàn thành",0,1))</f>
      </c>
      <c r="AP234" s="225">
        <f>IF($AO234=0,0,INT(N($AW234)))</f>
      </c>
      <c r="AQ234" s="225">
        <f>IF(AND($AO234=1,$AJ234&gt;1),$AJ234,0)</f>
      </c>
      <c r="AR234" s="225">
        <f>IF(AND($AO234=1,$AJ234=1),1,0)</f>
      </c>
      <c r="AS234" s="225">
        <f>IF(OR($AO234=0,AND($AR234=1,N($BB234)=0)),"",IF(N($BB234)&gt;0,5-$BB234,IF($AD234="Chậm tiến độ",6,IF($AD234="Đến hạn hôm nay",7,IF(AND($AP234&gt;0,$AP234-NgayBC&lt;=7),8,"")))))</f>
      </c>
      <c r="AT234" s="225">
        <f>IF($AS234="","",$AS234*100000+$AP234+ROW()/100000)</f>
      </c>
      <c r="AU234" s="224">
        <f>IF(OR($A234="",N($R234)&lt;=0),"",IF($S234="Ngày",$R234*24,$R234))</f>
      </c>
      <c r="AV234" s="224">
        <f>IF($A234="","",IF($B234="Đột xuất",IF(OR($AA234&lt;&gt;"Hoàn thành",N($X234)=0,N($J234)=0),"",IF($X234&lt;$J234,"",($X234-$J234)*24)),IFERROR(AVERAGEIFS('Nhật ký tiến độ'!$H$6:$H$3005,'Nhật ký tiến độ'!$C$6:$C$3005,$A234,'Nhật ký tiến độ'!$H$6:$H$3005,"&gt;0"),"")))</f>
      </c>
      <c r="AW234" s="233">
        <f>IF($A234="",0,IF($B234="Đột xuất",$AY234,IF($AX234=0,0,$AX234+1-1/1440)))</f>
      </c>
      <c r="AX234" s="234">
        <f>IF(OR($A234="",$B234&lt;&gt;"Định kỳ",N($I234)=0),0,IF($AL234="",$I234,IF($AJ234&gt;0,$I234+($AL234+1)*$AJ234,IF($AK234&gt;0,EDATE($I234,($AL234+1)*$AK234),$I234))))</f>
      </c>
      <c r="AY234" s="233">
        <f>IF(OR($A234="",$B234&lt;&gt;"Đột xuất"),0,IF(N($K234)&gt;0,IF(MOD($K234,1)=0,$K234+1-1/1440,$K234),IF(N($J234)=0,0,$J234+IF(N($AU234)&gt;0,$AU234,IFERROR(INDEX(DM_SLA_Gio,MATCH($L234,DM_SLA_Cap,0)),168))/24)))</f>
      </c>
      <c r="AZ234" s="225">
        <f>IF(OR($A234="",TRIM($N234)="",COUNTIF('Phản ánh'!$K$6:$K$505,$N234)&gt;0,COUNTIF($N$6:$N234,$N234)&gt;1),0,1)</f>
      </c>
      <c r="BA234" s="225">
        <f>IF($AZ234=1,SUM($AZ$6:$AZ234),"")</f>
      </c>
      <c r="BB234" s="225">
        <f>IF(OR($AO234=0,N($AW234)=0),0,IF(TDBC&lt;=$AW234,0,MAX(1,MIN(4,IF((TDBC-$AW234)*24&lt;24,1,IF((TDBC-$AW234)*24&lt;72,2,IF((TDBC-$AW234)*24&lt;168,3,4)))+IF($B234="Đột xuất",IFERROR(INDEX({2,1,0,-1},MATCH($L234,{"Khẩn cấp","Cao","Trung bình","Thấp"},0)),0),IF($D234="PCCC và an ninh",1,0))))))</f>
      </c>
    </row>
    <row r="235">
      <c r="A235" s="216"/>
      <c r="B235" s="216"/>
      <c r="C235" s="218"/>
      <c r="D235" s="218"/>
      <c r="E235" s="218"/>
      <c r="F235" s="216"/>
      <c r="G235" s="218"/>
      <c r="H235" s="218"/>
      <c r="I235" s="231"/>
      <c r="J235" s="217"/>
      <c r="K235" s="217"/>
      <c r="L235" s="216"/>
      <c r="M235" s="216"/>
      <c r="N235" s="218"/>
      <c r="O235" s="218"/>
      <c r="P235" s="218"/>
      <c r="Q235" s="218"/>
      <c r="R235" s="219"/>
      <c r="S235" s="216"/>
      <c r="T235" s="232"/>
      <c r="U235" s="232"/>
      <c r="V235" s="218"/>
      <c r="W235" s="218"/>
      <c r="X235" s="220">
        <f>IF($A235="","",IF(OR($B235="Định kỳ",$AA235="Hoàn thành"),MAX(_xlfn.MAXIFS('Nhật ký tiến độ'!$B$6:$B$3005,'Nhật ký tiến độ'!$C$6:$C$3005,$A235,'Nhật ký tiến độ'!$E$6:$E$3005,"Hoàn thành kỳ"),_xlfn.MAXIFS('Nhật ký tiến độ'!$B$6:$B$3005,'Nhật ký tiến độ'!$C$6:$C$3005,$A235,'Nhật ký tiến độ'!$E$6:$E$3005,"Hoàn thành")),0))</f>
      </c>
      <c r="Y235" s="220">
        <f>IF($A235="","",IF($B235="Đột xuất",IF($AY235=0,"",$AY235),IF($AX235=0,"",$AX235)))</f>
      </c>
      <c r="Z235" s="223">
        <f>IF(OR($AO235=0,$AW235=0),"",IF(TDBC&gt;$AW235,"Quá "&amp;IF($B235="Định kỳ",(NgayBC-$AP235)&amp;" ngày",IF(((TDBC-$AW235)*24)&lt;1,MAX(1,ROUND(((TDBC-$AW235)*24)*60,0))&amp;" phút",IF(ROUND(((TDBC-$AW235)*24),0)&lt;24,ROUND(((TDBC-$AW235)*24),0)&amp;" giờ",INT(ROUND(((TDBC-$AW235)*24),0)/24)&amp;" ngày"&amp;IF(MOD(ROUND(((TDBC-$AW235)*24),0),24)&gt;0," "&amp;MOD(ROUND(((TDBC-$AW235)*24),0),24)&amp;" giờ","")))),IF($B235="Định kỳ",IF($AP235=NgayBC,"Hôm nay","Còn "&amp;($AP235-NgayBC)&amp;" ngày"),"Còn "&amp;IF((($AW235-TDBC)*24)&lt;1,MAX(1,ROUND((($AW235-TDBC)*24)*60,0))&amp;" phút",IF(ROUND((($AW235-TDBC)*24),0)&lt;24,ROUND((($AW235-TDBC)*24),0)&amp;" giờ",INT(ROUND((($AW235-TDBC)*24),0)/24)&amp;" ngày"&amp;IF(MOD(ROUND((($AW235-TDBC)*24),0),24)&gt;0," "&amp;MOD(ROUND((($AW235-TDBC)*24),0),24)&amp;" giờ",""))))))</f>
      </c>
      <c r="AA235" s="221">
        <f>IF($A235="","",IF(N($AM235)=0,"Chưa bắt đầu",IF(OR($AN235="Hoàn thành kỳ",$AN235="Hoàn thành"),IF($B235="Định kỳ","Chưa bắt đầu","Hoàn thành"),$AN235)))</f>
      </c>
      <c r="AB235" s="222">
        <f>IF($A235="","",IF($AA235="Hoàn thành",1,IF(OR(N($AM235)=0,$AN235="Hoàn thành kỳ",$AN235="Hoàn thành"),0,N(INDEX('Nhật ký tiến độ'!$D:$D,$AM235)))))</f>
      </c>
      <c r="AC235" s="222">
        <f>IF(OR($A235="",$B235&lt;&gt;"Đột xuất",$AA235="Hoàn thành",N($J235)=0,$AW235=0),"",IF(TDBC&lt;=$J235,0,IF(TDBC&gt;=$AW235,1,(TDBC-$J235)/($AW235-$J235))))</f>
      </c>
      <c r="AD235" s="223">
        <f>IF($A235="","",IF($AA235="Hoàn thành","Hoàn thành",IF($AW235=0,"Chưa đặt hạn",IF(TDBC&gt;$AW235,"Quá hạn",IF(AND($B235="Đột xuất",ROUND((N($AC235)-$AB235)*100,0)&gt;=20),"Chậm tiến độ",IF($AP235=NgayBC,"Đến hạn hôm nay",IF($B235="Đột xuất",IF($AW235-TDBC&lt;=1,"Sắp đến hạn","Đúng tiến độ"),IF($AP235-NgayBC&lt;=3,"Sắp đến hạn","Theo lịch"))))))))</f>
      </c>
      <c r="AE235" s="223">
        <f>IF($AV235="","",IF($B235="Định kỳ","Bình quân "&amp;IF($AV235&lt;1,MAX(1,ROUND($AV235*60,0))&amp;" phút",IF(ROUND($AV235,0)&lt;24,ROUND($AV235,0)&amp;" giờ",INT(ROUND($AV235,0)/24)&amp;" ngày"&amp;IF(MOD(ROUND($AV235,0),24)&gt;0," "&amp;MOD(ROUND($AV235,0),24)&amp;" giờ","")))&amp;" mỗi kỳ",IF($AV235&lt;1,MAX(1,ROUND($AV235*60,0))&amp;" phút",IF(ROUND($AV235,0)&lt;24,ROUND($AV235,0)&amp;" giờ",INT(ROUND($AV235,0)/24)&amp;" ngày"&amp;IF(MOD(ROUND($AV235,0),24)&gt;0," "&amp;MOD(ROUND($AV235,0),24)&amp;" giờ","")))))</f>
      </c>
      <c r="AF235" s="223">
        <f>IF(OR($A235="",N($AU235)=0),"",IF($AV235&lt;&gt;"",IF($AV235&lt;=$AU235,"Trong ước tính","Vượt "&amp;IF(($AV235-$AU235)&lt;1,MAX(1,ROUND(($AV235-$AU235)*60,0))&amp;" phút",IF(ROUND(($AV235-$AU235),0)&lt;24,ROUND(($AV235-$AU235),0)&amp;" giờ",INT(ROUND(($AV235-$AU235),0)/24)&amp;" ngày"&amp;IF(MOD(ROUND(($AV235-$AU235),0),24)&gt;0," "&amp;MOD(ROUND(($AV235-$AU235),0),24)&amp;" giờ","")))),IF(OR($B235&lt;&gt;"Đột xuất",$AA235="Hoàn thành",N($J235)=0),"",IF((TDBC-$J235)*24&gt;$AU235,"Đã vượt ước tính","Đã dùng "&amp;TEXT((TDBC-$J235)*24/$AU235,"0%")))))</f>
      </c>
      <c r="AG235" s="223">
        <f>IF(N($BB235)=0,"",CHOOSE($BB235,"Nhắc nhở","Cảnh báo","Báo động","Báo động đỏ"))</f>
      </c>
      <c r="AH235" s="223">
        <f>IF(OR($B235&lt;&gt;"Đột xuất",$AA235&lt;&gt;"Hoàn thành",N($X235)=0,$AW235=0),"",IF($X235&lt;=$AW235,"Đúng hạn","Trễ hạn"))</f>
      </c>
      <c r="AI235" s="220">
        <f>IF($A235="","",_xlfn.MAXIFS('Nhật ký tiến độ'!$B$6:$B$3005,'Nhật ký tiến độ'!$C$6:$C$3005,$A235))</f>
      </c>
      <c r="AJ235" s="225">
        <f>IF(OR($A235="",$B235&lt;&gt;"Định kỳ"),0,IFERROR(INDEX(DM_TanSuatNgay,MATCH($H235,DM_TanSuat,0)),0))</f>
      </c>
      <c r="AK235" s="225">
        <f>IF(OR($A235="",$B235&lt;&gt;"Định kỳ"),0,IFERROR(INDEX(DM_TanSuatThang,MATCH($H235,DM_TanSuat,0)),0))</f>
      </c>
      <c r="AL235" s="225">
        <f>IF(OR($A235="",$B235&lt;&gt;"Định kỳ",N($X235)=0,N($I235)=0),"",IF(INT($X235)&lt;$I235,0,IF($AJ235&gt;0,ROUND((INT($X235)-$I235)/$AJ235,0),IF($AK235&gt;0,ROUND((DATEDIF($I235,INT($X235),"m")+(INT($X235)-EDATE($I235,DATEDIF($I235,INT($X235),"m")))/(EDATE($I235,DATEDIF($I235,INT($X235),"m")+1)-EDATE($I235,DATEDIF($I235,INT($X235),"m"))))/$AK235,0),0))))</f>
      </c>
      <c r="AM235" s="225">
        <f>IF($A235="","",IF(COUNTIF('Nhật ký tiến độ'!$C$6:$C$3005,$A235)=0,0,_xlfn.MAXIFS('Nhật ký tiến độ'!$N$6:$N$3005,'Nhật ký tiến độ'!$C$6:$C$3005,$A235,'Nhật ký tiến độ'!$B$6:$B$3005,_xlfn.MAXIFS('Nhật ký tiến độ'!$B$6:$B$3005,'Nhật ký tiến độ'!$C$6:$C$3005,$A235))))</f>
      </c>
      <c r="AN235" s="225">
        <f>IF($A235="","",IF(N($AM235)=0,"",INDEX('Nhật ký tiến độ'!$E:$E,$AM235)))</f>
      </c>
      <c r="AO235" s="225">
        <f>IF($A235="",0,IF($AA235="Hoàn thành",0,1))</f>
      </c>
      <c r="AP235" s="225">
        <f>IF($AO235=0,0,INT(N($AW235)))</f>
      </c>
      <c r="AQ235" s="225">
        <f>IF(AND($AO235=1,$AJ235&gt;1),$AJ235,0)</f>
      </c>
      <c r="AR235" s="225">
        <f>IF(AND($AO235=1,$AJ235=1),1,0)</f>
      </c>
      <c r="AS235" s="225">
        <f>IF(OR($AO235=0,AND($AR235=1,N($BB235)=0)),"",IF(N($BB235)&gt;0,5-$BB235,IF($AD235="Chậm tiến độ",6,IF($AD235="Đến hạn hôm nay",7,IF(AND($AP235&gt;0,$AP235-NgayBC&lt;=7),8,"")))))</f>
      </c>
      <c r="AT235" s="225">
        <f>IF($AS235="","",$AS235*100000+$AP235+ROW()/100000)</f>
      </c>
      <c r="AU235" s="224">
        <f>IF(OR($A235="",N($R235)&lt;=0),"",IF($S235="Ngày",$R235*24,$R235))</f>
      </c>
      <c r="AV235" s="224">
        <f>IF($A235="","",IF($B235="Đột xuất",IF(OR($AA235&lt;&gt;"Hoàn thành",N($X235)=0,N($J235)=0),"",IF($X235&lt;$J235,"",($X235-$J235)*24)),IFERROR(AVERAGEIFS('Nhật ký tiến độ'!$H$6:$H$3005,'Nhật ký tiến độ'!$C$6:$C$3005,$A235,'Nhật ký tiến độ'!$H$6:$H$3005,"&gt;0"),"")))</f>
      </c>
      <c r="AW235" s="233">
        <f>IF($A235="",0,IF($B235="Đột xuất",$AY235,IF($AX235=0,0,$AX235+1-1/1440)))</f>
      </c>
      <c r="AX235" s="234">
        <f>IF(OR($A235="",$B235&lt;&gt;"Định kỳ",N($I235)=0),0,IF($AL235="",$I235,IF($AJ235&gt;0,$I235+($AL235+1)*$AJ235,IF($AK235&gt;0,EDATE($I235,($AL235+1)*$AK235),$I235))))</f>
      </c>
      <c r="AY235" s="233">
        <f>IF(OR($A235="",$B235&lt;&gt;"Đột xuất"),0,IF(N($K235)&gt;0,IF(MOD($K235,1)=0,$K235+1-1/1440,$K235),IF(N($J235)=0,0,$J235+IF(N($AU235)&gt;0,$AU235,IFERROR(INDEX(DM_SLA_Gio,MATCH($L235,DM_SLA_Cap,0)),168))/24)))</f>
      </c>
      <c r="AZ235" s="225">
        <f>IF(OR($A235="",TRIM($N235)="",COUNTIF('Phản ánh'!$K$6:$K$505,$N235)&gt;0,COUNTIF($N$6:$N235,$N235)&gt;1),0,1)</f>
      </c>
      <c r="BA235" s="225">
        <f>IF($AZ235=1,SUM($AZ$6:$AZ235),"")</f>
      </c>
      <c r="BB235" s="225">
        <f>IF(OR($AO235=0,N($AW235)=0),0,IF(TDBC&lt;=$AW235,0,MAX(1,MIN(4,IF((TDBC-$AW235)*24&lt;24,1,IF((TDBC-$AW235)*24&lt;72,2,IF((TDBC-$AW235)*24&lt;168,3,4)))+IF($B235="Đột xuất",IFERROR(INDEX({2,1,0,-1},MATCH($L235,{"Khẩn cấp","Cao","Trung bình","Thấp"},0)),0),IF($D235="PCCC và an ninh",1,0))))))</f>
      </c>
    </row>
    <row r="236">
      <c r="A236" s="216"/>
      <c r="B236" s="216"/>
      <c r="C236" s="218"/>
      <c r="D236" s="218"/>
      <c r="E236" s="218"/>
      <c r="F236" s="216"/>
      <c r="G236" s="218"/>
      <c r="H236" s="218"/>
      <c r="I236" s="231"/>
      <c r="J236" s="217"/>
      <c r="K236" s="217"/>
      <c r="L236" s="216"/>
      <c r="M236" s="216"/>
      <c r="N236" s="218"/>
      <c r="O236" s="218"/>
      <c r="P236" s="218"/>
      <c r="Q236" s="218"/>
      <c r="R236" s="219"/>
      <c r="S236" s="216"/>
      <c r="T236" s="232"/>
      <c r="U236" s="232"/>
      <c r="V236" s="218"/>
      <c r="W236" s="218"/>
      <c r="X236" s="220">
        <f>IF($A236="","",IF(OR($B236="Định kỳ",$AA236="Hoàn thành"),MAX(_xlfn.MAXIFS('Nhật ký tiến độ'!$B$6:$B$3005,'Nhật ký tiến độ'!$C$6:$C$3005,$A236,'Nhật ký tiến độ'!$E$6:$E$3005,"Hoàn thành kỳ"),_xlfn.MAXIFS('Nhật ký tiến độ'!$B$6:$B$3005,'Nhật ký tiến độ'!$C$6:$C$3005,$A236,'Nhật ký tiến độ'!$E$6:$E$3005,"Hoàn thành")),0))</f>
      </c>
      <c r="Y236" s="220">
        <f>IF($A236="","",IF($B236="Đột xuất",IF($AY236=0,"",$AY236),IF($AX236=0,"",$AX236)))</f>
      </c>
      <c r="Z236" s="223">
        <f>IF(OR($AO236=0,$AW236=0),"",IF(TDBC&gt;$AW236,"Quá "&amp;IF($B236="Định kỳ",(NgayBC-$AP236)&amp;" ngày",IF(((TDBC-$AW236)*24)&lt;1,MAX(1,ROUND(((TDBC-$AW236)*24)*60,0))&amp;" phút",IF(ROUND(((TDBC-$AW236)*24),0)&lt;24,ROUND(((TDBC-$AW236)*24),0)&amp;" giờ",INT(ROUND(((TDBC-$AW236)*24),0)/24)&amp;" ngày"&amp;IF(MOD(ROUND(((TDBC-$AW236)*24),0),24)&gt;0," "&amp;MOD(ROUND(((TDBC-$AW236)*24),0),24)&amp;" giờ","")))),IF($B236="Định kỳ",IF($AP236=NgayBC,"Hôm nay","Còn "&amp;($AP236-NgayBC)&amp;" ngày"),"Còn "&amp;IF((($AW236-TDBC)*24)&lt;1,MAX(1,ROUND((($AW236-TDBC)*24)*60,0))&amp;" phút",IF(ROUND((($AW236-TDBC)*24),0)&lt;24,ROUND((($AW236-TDBC)*24),0)&amp;" giờ",INT(ROUND((($AW236-TDBC)*24),0)/24)&amp;" ngày"&amp;IF(MOD(ROUND((($AW236-TDBC)*24),0),24)&gt;0," "&amp;MOD(ROUND((($AW236-TDBC)*24),0),24)&amp;" giờ",""))))))</f>
      </c>
      <c r="AA236" s="221">
        <f>IF($A236="","",IF(N($AM236)=0,"Chưa bắt đầu",IF(OR($AN236="Hoàn thành kỳ",$AN236="Hoàn thành"),IF($B236="Định kỳ","Chưa bắt đầu","Hoàn thành"),$AN236)))</f>
      </c>
      <c r="AB236" s="222">
        <f>IF($A236="","",IF($AA236="Hoàn thành",1,IF(OR(N($AM236)=0,$AN236="Hoàn thành kỳ",$AN236="Hoàn thành"),0,N(INDEX('Nhật ký tiến độ'!$D:$D,$AM236)))))</f>
      </c>
      <c r="AC236" s="222">
        <f>IF(OR($A236="",$B236&lt;&gt;"Đột xuất",$AA236="Hoàn thành",N($J236)=0,$AW236=0),"",IF(TDBC&lt;=$J236,0,IF(TDBC&gt;=$AW236,1,(TDBC-$J236)/($AW236-$J236))))</f>
      </c>
      <c r="AD236" s="223">
        <f>IF($A236="","",IF($AA236="Hoàn thành","Hoàn thành",IF($AW236=0,"Chưa đặt hạn",IF(TDBC&gt;$AW236,"Quá hạn",IF(AND($B236="Đột xuất",ROUND((N($AC236)-$AB236)*100,0)&gt;=20),"Chậm tiến độ",IF($AP236=NgayBC,"Đến hạn hôm nay",IF($B236="Đột xuất",IF($AW236-TDBC&lt;=1,"Sắp đến hạn","Đúng tiến độ"),IF($AP236-NgayBC&lt;=3,"Sắp đến hạn","Theo lịch"))))))))</f>
      </c>
      <c r="AE236" s="223">
        <f>IF($AV236="","",IF($B236="Định kỳ","Bình quân "&amp;IF($AV236&lt;1,MAX(1,ROUND($AV236*60,0))&amp;" phút",IF(ROUND($AV236,0)&lt;24,ROUND($AV236,0)&amp;" giờ",INT(ROUND($AV236,0)/24)&amp;" ngày"&amp;IF(MOD(ROUND($AV236,0),24)&gt;0," "&amp;MOD(ROUND($AV236,0),24)&amp;" giờ","")))&amp;" mỗi kỳ",IF($AV236&lt;1,MAX(1,ROUND($AV236*60,0))&amp;" phút",IF(ROUND($AV236,0)&lt;24,ROUND($AV236,0)&amp;" giờ",INT(ROUND($AV236,0)/24)&amp;" ngày"&amp;IF(MOD(ROUND($AV236,0),24)&gt;0," "&amp;MOD(ROUND($AV236,0),24)&amp;" giờ","")))))</f>
      </c>
      <c r="AF236" s="223">
        <f>IF(OR($A236="",N($AU236)=0),"",IF($AV236&lt;&gt;"",IF($AV236&lt;=$AU236,"Trong ước tính","Vượt "&amp;IF(($AV236-$AU236)&lt;1,MAX(1,ROUND(($AV236-$AU236)*60,0))&amp;" phút",IF(ROUND(($AV236-$AU236),0)&lt;24,ROUND(($AV236-$AU236),0)&amp;" giờ",INT(ROUND(($AV236-$AU236),0)/24)&amp;" ngày"&amp;IF(MOD(ROUND(($AV236-$AU236),0),24)&gt;0," "&amp;MOD(ROUND(($AV236-$AU236),0),24)&amp;" giờ","")))),IF(OR($B236&lt;&gt;"Đột xuất",$AA236="Hoàn thành",N($J236)=0),"",IF((TDBC-$J236)*24&gt;$AU236,"Đã vượt ước tính","Đã dùng "&amp;TEXT((TDBC-$J236)*24/$AU236,"0%")))))</f>
      </c>
      <c r="AG236" s="223">
        <f>IF(N($BB236)=0,"",CHOOSE($BB236,"Nhắc nhở","Cảnh báo","Báo động","Báo động đỏ"))</f>
      </c>
      <c r="AH236" s="223">
        <f>IF(OR($B236&lt;&gt;"Đột xuất",$AA236&lt;&gt;"Hoàn thành",N($X236)=0,$AW236=0),"",IF($X236&lt;=$AW236,"Đúng hạn","Trễ hạn"))</f>
      </c>
      <c r="AI236" s="220">
        <f>IF($A236="","",_xlfn.MAXIFS('Nhật ký tiến độ'!$B$6:$B$3005,'Nhật ký tiến độ'!$C$6:$C$3005,$A236))</f>
      </c>
      <c r="AJ236" s="225">
        <f>IF(OR($A236="",$B236&lt;&gt;"Định kỳ"),0,IFERROR(INDEX(DM_TanSuatNgay,MATCH($H236,DM_TanSuat,0)),0))</f>
      </c>
      <c r="AK236" s="225">
        <f>IF(OR($A236="",$B236&lt;&gt;"Định kỳ"),0,IFERROR(INDEX(DM_TanSuatThang,MATCH($H236,DM_TanSuat,0)),0))</f>
      </c>
      <c r="AL236" s="225">
        <f>IF(OR($A236="",$B236&lt;&gt;"Định kỳ",N($X236)=0,N($I236)=0),"",IF(INT($X236)&lt;$I236,0,IF($AJ236&gt;0,ROUND((INT($X236)-$I236)/$AJ236,0),IF($AK236&gt;0,ROUND((DATEDIF($I236,INT($X236),"m")+(INT($X236)-EDATE($I236,DATEDIF($I236,INT($X236),"m")))/(EDATE($I236,DATEDIF($I236,INT($X236),"m")+1)-EDATE($I236,DATEDIF($I236,INT($X236),"m"))))/$AK236,0),0))))</f>
      </c>
      <c r="AM236" s="225">
        <f>IF($A236="","",IF(COUNTIF('Nhật ký tiến độ'!$C$6:$C$3005,$A236)=0,0,_xlfn.MAXIFS('Nhật ký tiến độ'!$N$6:$N$3005,'Nhật ký tiến độ'!$C$6:$C$3005,$A236,'Nhật ký tiến độ'!$B$6:$B$3005,_xlfn.MAXIFS('Nhật ký tiến độ'!$B$6:$B$3005,'Nhật ký tiến độ'!$C$6:$C$3005,$A236))))</f>
      </c>
      <c r="AN236" s="225">
        <f>IF($A236="","",IF(N($AM236)=0,"",INDEX('Nhật ký tiến độ'!$E:$E,$AM236)))</f>
      </c>
      <c r="AO236" s="225">
        <f>IF($A236="",0,IF($AA236="Hoàn thành",0,1))</f>
      </c>
      <c r="AP236" s="225">
        <f>IF($AO236=0,0,INT(N($AW236)))</f>
      </c>
      <c r="AQ236" s="225">
        <f>IF(AND($AO236=1,$AJ236&gt;1),$AJ236,0)</f>
      </c>
      <c r="AR236" s="225">
        <f>IF(AND($AO236=1,$AJ236=1),1,0)</f>
      </c>
      <c r="AS236" s="225">
        <f>IF(OR($AO236=0,AND($AR236=1,N($BB236)=0)),"",IF(N($BB236)&gt;0,5-$BB236,IF($AD236="Chậm tiến độ",6,IF($AD236="Đến hạn hôm nay",7,IF(AND($AP236&gt;0,$AP236-NgayBC&lt;=7),8,"")))))</f>
      </c>
      <c r="AT236" s="225">
        <f>IF($AS236="","",$AS236*100000+$AP236+ROW()/100000)</f>
      </c>
      <c r="AU236" s="224">
        <f>IF(OR($A236="",N($R236)&lt;=0),"",IF($S236="Ngày",$R236*24,$R236))</f>
      </c>
      <c r="AV236" s="224">
        <f>IF($A236="","",IF($B236="Đột xuất",IF(OR($AA236&lt;&gt;"Hoàn thành",N($X236)=0,N($J236)=0),"",IF($X236&lt;$J236,"",($X236-$J236)*24)),IFERROR(AVERAGEIFS('Nhật ký tiến độ'!$H$6:$H$3005,'Nhật ký tiến độ'!$C$6:$C$3005,$A236,'Nhật ký tiến độ'!$H$6:$H$3005,"&gt;0"),"")))</f>
      </c>
      <c r="AW236" s="233">
        <f>IF($A236="",0,IF($B236="Đột xuất",$AY236,IF($AX236=0,0,$AX236+1-1/1440)))</f>
      </c>
      <c r="AX236" s="234">
        <f>IF(OR($A236="",$B236&lt;&gt;"Định kỳ",N($I236)=0),0,IF($AL236="",$I236,IF($AJ236&gt;0,$I236+($AL236+1)*$AJ236,IF($AK236&gt;0,EDATE($I236,($AL236+1)*$AK236),$I236))))</f>
      </c>
      <c r="AY236" s="233">
        <f>IF(OR($A236="",$B236&lt;&gt;"Đột xuất"),0,IF(N($K236)&gt;0,IF(MOD($K236,1)=0,$K236+1-1/1440,$K236),IF(N($J236)=0,0,$J236+IF(N($AU236)&gt;0,$AU236,IFERROR(INDEX(DM_SLA_Gio,MATCH($L236,DM_SLA_Cap,0)),168))/24)))</f>
      </c>
      <c r="AZ236" s="225">
        <f>IF(OR($A236="",TRIM($N236)="",COUNTIF('Phản ánh'!$K$6:$K$505,$N236)&gt;0,COUNTIF($N$6:$N236,$N236)&gt;1),0,1)</f>
      </c>
      <c r="BA236" s="225">
        <f>IF($AZ236=1,SUM($AZ$6:$AZ236),"")</f>
      </c>
      <c r="BB236" s="225">
        <f>IF(OR($AO236=0,N($AW236)=0),0,IF(TDBC&lt;=$AW236,0,MAX(1,MIN(4,IF((TDBC-$AW236)*24&lt;24,1,IF((TDBC-$AW236)*24&lt;72,2,IF((TDBC-$AW236)*24&lt;168,3,4)))+IF($B236="Đột xuất",IFERROR(INDEX({2,1,0,-1},MATCH($L236,{"Khẩn cấp","Cao","Trung bình","Thấp"},0)),0),IF($D236="PCCC và an ninh",1,0))))))</f>
      </c>
    </row>
    <row r="237">
      <c r="A237" s="216"/>
      <c r="B237" s="216"/>
      <c r="C237" s="218"/>
      <c r="D237" s="218"/>
      <c r="E237" s="218"/>
      <c r="F237" s="216"/>
      <c r="G237" s="218"/>
      <c r="H237" s="218"/>
      <c r="I237" s="231"/>
      <c r="J237" s="217"/>
      <c r="K237" s="217"/>
      <c r="L237" s="216"/>
      <c r="M237" s="216"/>
      <c r="N237" s="218"/>
      <c r="O237" s="218"/>
      <c r="P237" s="218"/>
      <c r="Q237" s="218"/>
      <c r="R237" s="219"/>
      <c r="S237" s="216"/>
      <c r="T237" s="232"/>
      <c r="U237" s="232"/>
      <c r="V237" s="218"/>
      <c r="W237" s="218"/>
      <c r="X237" s="220">
        <f>IF($A237="","",IF(OR($B237="Định kỳ",$AA237="Hoàn thành"),MAX(_xlfn.MAXIFS('Nhật ký tiến độ'!$B$6:$B$3005,'Nhật ký tiến độ'!$C$6:$C$3005,$A237,'Nhật ký tiến độ'!$E$6:$E$3005,"Hoàn thành kỳ"),_xlfn.MAXIFS('Nhật ký tiến độ'!$B$6:$B$3005,'Nhật ký tiến độ'!$C$6:$C$3005,$A237,'Nhật ký tiến độ'!$E$6:$E$3005,"Hoàn thành")),0))</f>
      </c>
      <c r="Y237" s="220">
        <f>IF($A237="","",IF($B237="Đột xuất",IF($AY237=0,"",$AY237),IF($AX237=0,"",$AX237)))</f>
      </c>
      <c r="Z237" s="223">
        <f>IF(OR($AO237=0,$AW237=0),"",IF(TDBC&gt;$AW237,"Quá "&amp;IF($B237="Định kỳ",(NgayBC-$AP237)&amp;" ngày",IF(((TDBC-$AW237)*24)&lt;1,MAX(1,ROUND(((TDBC-$AW237)*24)*60,0))&amp;" phút",IF(ROUND(((TDBC-$AW237)*24),0)&lt;24,ROUND(((TDBC-$AW237)*24),0)&amp;" giờ",INT(ROUND(((TDBC-$AW237)*24),0)/24)&amp;" ngày"&amp;IF(MOD(ROUND(((TDBC-$AW237)*24),0),24)&gt;0," "&amp;MOD(ROUND(((TDBC-$AW237)*24),0),24)&amp;" giờ","")))),IF($B237="Định kỳ",IF($AP237=NgayBC,"Hôm nay","Còn "&amp;($AP237-NgayBC)&amp;" ngày"),"Còn "&amp;IF((($AW237-TDBC)*24)&lt;1,MAX(1,ROUND((($AW237-TDBC)*24)*60,0))&amp;" phút",IF(ROUND((($AW237-TDBC)*24),0)&lt;24,ROUND((($AW237-TDBC)*24),0)&amp;" giờ",INT(ROUND((($AW237-TDBC)*24),0)/24)&amp;" ngày"&amp;IF(MOD(ROUND((($AW237-TDBC)*24),0),24)&gt;0," "&amp;MOD(ROUND((($AW237-TDBC)*24),0),24)&amp;" giờ",""))))))</f>
      </c>
      <c r="AA237" s="221">
        <f>IF($A237="","",IF(N($AM237)=0,"Chưa bắt đầu",IF(OR($AN237="Hoàn thành kỳ",$AN237="Hoàn thành"),IF($B237="Định kỳ","Chưa bắt đầu","Hoàn thành"),$AN237)))</f>
      </c>
      <c r="AB237" s="222">
        <f>IF($A237="","",IF($AA237="Hoàn thành",1,IF(OR(N($AM237)=0,$AN237="Hoàn thành kỳ",$AN237="Hoàn thành"),0,N(INDEX('Nhật ký tiến độ'!$D:$D,$AM237)))))</f>
      </c>
      <c r="AC237" s="222">
        <f>IF(OR($A237="",$B237&lt;&gt;"Đột xuất",$AA237="Hoàn thành",N($J237)=0,$AW237=0),"",IF(TDBC&lt;=$J237,0,IF(TDBC&gt;=$AW237,1,(TDBC-$J237)/($AW237-$J237))))</f>
      </c>
      <c r="AD237" s="223">
        <f>IF($A237="","",IF($AA237="Hoàn thành","Hoàn thành",IF($AW237=0,"Chưa đặt hạn",IF(TDBC&gt;$AW237,"Quá hạn",IF(AND($B237="Đột xuất",ROUND((N($AC237)-$AB237)*100,0)&gt;=20),"Chậm tiến độ",IF($AP237=NgayBC,"Đến hạn hôm nay",IF($B237="Đột xuất",IF($AW237-TDBC&lt;=1,"Sắp đến hạn","Đúng tiến độ"),IF($AP237-NgayBC&lt;=3,"Sắp đến hạn","Theo lịch"))))))))</f>
      </c>
      <c r="AE237" s="223">
        <f>IF($AV237="","",IF($B237="Định kỳ","Bình quân "&amp;IF($AV237&lt;1,MAX(1,ROUND($AV237*60,0))&amp;" phút",IF(ROUND($AV237,0)&lt;24,ROUND($AV237,0)&amp;" giờ",INT(ROUND($AV237,0)/24)&amp;" ngày"&amp;IF(MOD(ROUND($AV237,0),24)&gt;0," "&amp;MOD(ROUND($AV237,0),24)&amp;" giờ","")))&amp;" mỗi kỳ",IF($AV237&lt;1,MAX(1,ROUND($AV237*60,0))&amp;" phút",IF(ROUND($AV237,0)&lt;24,ROUND($AV237,0)&amp;" giờ",INT(ROUND($AV237,0)/24)&amp;" ngày"&amp;IF(MOD(ROUND($AV237,0),24)&gt;0," "&amp;MOD(ROUND($AV237,0),24)&amp;" giờ","")))))</f>
      </c>
      <c r="AF237" s="223">
        <f>IF(OR($A237="",N($AU237)=0),"",IF($AV237&lt;&gt;"",IF($AV237&lt;=$AU237,"Trong ước tính","Vượt "&amp;IF(($AV237-$AU237)&lt;1,MAX(1,ROUND(($AV237-$AU237)*60,0))&amp;" phút",IF(ROUND(($AV237-$AU237),0)&lt;24,ROUND(($AV237-$AU237),0)&amp;" giờ",INT(ROUND(($AV237-$AU237),0)/24)&amp;" ngày"&amp;IF(MOD(ROUND(($AV237-$AU237),0),24)&gt;0," "&amp;MOD(ROUND(($AV237-$AU237),0),24)&amp;" giờ","")))),IF(OR($B237&lt;&gt;"Đột xuất",$AA237="Hoàn thành",N($J237)=0),"",IF((TDBC-$J237)*24&gt;$AU237,"Đã vượt ước tính","Đã dùng "&amp;TEXT((TDBC-$J237)*24/$AU237,"0%")))))</f>
      </c>
      <c r="AG237" s="223">
        <f>IF(N($BB237)=0,"",CHOOSE($BB237,"Nhắc nhở","Cảnh báo","Báo động","Báo động đỏ"))</f>
      </c>
      <c r="AH237" s="223">
        <f>IF(OR($B237&lt;&gt;"Đột xuất",$AA237&lt;&gt;"Hoàn thành",N($X237)=0,$AW237=0),"",IF($X237&lt;=$AW237,"Đúng hạn","Trễ hạn"))</f>
      </c>
      <c r="AI237" s="220">
        <f>IF($A237="","",_xlfn.MAXIFS('Nhật ký tiến độ'!$B$6:$B$3005,'Nhật ký tiến độ'!$C$6:$C$3005,$A237))</f>
      </c>
      <c r="AJ237" s="225">
        <f>IF(OR($A237="",$B237&lt;&gt;"Định kỳ"),0,IFERROR(INDEX(DM_TanSuatNgay,MATCH($H237,DM_TanSuat,0)),0))</f>
      </c>
      <c r="AK237" s="225">
        <f>IF(OR($A237="",$B237&lt;&gt;"Định kỳ"),0,IFERROR(INDEX(DM_TanSuatThang,MATCH($H237,DM_TanSuat,0)),0))</f>
      </c>
      <c r="AL237" s="225">
        <f>IF(OR($A237="",$B237&lt;&gt;"Định kỳ",N($X237)=0,N($I237)=0),"",IF(INT($X237)&lt;$I237,0,IF($AJ237&gt;0,ROUND((INT($X237)-$I237)/$AJ237,0),IF($AK237&gt;0,ROUND((DATEDIF($I237,INT($X237),"m")+(INT($X237)-EDATE($I237,DATEDIF($I237,INT($X237),"m")))/(EDATE($I237,DATEDIF($I237,INT($X237),"m")+1)-EDATE($I237,DATEDIF($I237,INT($X237),"m"))))/$AK237,0),0))))</f>
      </c>
      <c r="AM237" s="225">
        <f>IF($A237="","",IF(COUNTIF('Nhật ký tiến độ'!$C$6:$C$3005,$A237)=0,0,_xlfn.MAXIFS('Nhật ký tiến độ'!$N$6:$N$3005,'Nhật ký tiến độ'!$C$6:$C$3005,$A237,'Nhật ký tiến độ'!$B$6:$B$3005,_xlfn.MAXIFS('Nhật ký tiến độ'!$B$6:$B$3005,'Nhật ký tiến độ'!$C$6:$C$3005,$A237))))</f>
      </c>
      <c r="AN237" s="225">
        <f>IF($A237="","",IF(N($AM237)=0,"",INDEX('Nhật ký tiến độ'!$E:$E,$AM237)))</f>
      </c>
      <c r="AO237" s="225">
        <f>IF($A237="",0,IF($AA237="Hoàn thành",0,1))</f>
      </c>
      <c r="AP237" s="225">
        <f>IF($AO237=0,0,INT(N($AW237)))</f>
      </c>
      <c r="AQ237" s="225">
        <f>IF(AND($AO237=1,$AJ237&gt;1),$AJ237,0)</f>
      </c>
      <c r="AR237" s="225">
        <f>IF(AND($AO237=1,$AJ237=1),1,0)</f>
      </c>
      <c r="AS237" s="225">
        <f>IF(OR($AO237=0,AND($AR237=1,N($BB237)=0)),"",IF(N($BB237)&gt;0,5-$BB237,IF($AD237="Chậm tiến độ",6,IF($AD237="Đến hạn hôm nay",7,IF(AND($AP237&gt;0,$AP237-NgayBC&lt;=7),8,"")))))</f>
      </c>
      <c r="AT237" s="225">
        <f>IF($AS237="","",$AS237*100000+$AP237+ROW()/100000)</f>
      </c>
      <c r="AU237" s="224">
        <f>IF(OR($A237="",N($R237)&lt;=0),"",IF($S237="Ngày",$R237*24,$R237))</f>
      </c>
      <c r="AV237" s="224">
        <f>IF($A237="","",IF($B237="Đột xuất",IF(OR($AA237&lt;&gt;"Hoàn thành",N($X237)=0,N($J237)=0),"",IF($X237&lt;$J237,"",($X237-$J237)*24)),IFERROR(AVERAGEIFS('Nhật ký tiến độ'!$H$6:$H$3005,'Nhật ký tiến độ'!$C$6:$C$3005,$A237,'Nhật ký tiến độ'!$H$6:$H$3005,"&gt;0"),"")))</f>
      </c>
      <c r="AW237" s="233">
        <f>IF($A237="",0,IF($B237="Đột xuất",$AY237,IF($AX237=0,0,$AX237+1-1/1440)))</f>
      </c>
      <c r="AX237" s="234">
        <f>IF(OR($A237="",$B237&lt;&gt;"Định kỳ",N($I237)=0),0,IF($AL237="",$I237,IF($AJ237&gt;0,$I237+($AL237+1)*$AJ237,IF($AK237&gt;0,EDATE($I237,($AL237+1)*$AK237),$I237))))</f>
      </c>
      <c r="AY237" s="233">
        <f>IF(OR($A237="",$B237&lt;&gt;"Đột xuất"),0,IF(N($K237)&gt;0,IF(MOD($K237,1)=0,$K237+1-1/1440,$K237),IF(N($J237)=0,0,$J237+IF(N($AU237)&gt;0,$AU237,IFERROR(INDEX(DM_SLA_Gio,MATCH($L237,DM_SLA_Cap,0)),168))/24)))</f>
      </c>
      <c r="AZ237" s="225">
        <f>IF(OR($A237="",TRIM($N237)="",COUNTIF('Phản ánh'!$K$6:$K$505,$N237)&gt;0,COUNTIF($N$6:$N237,$N237)&gt;1),0,1)</f>
      </c>
      <c r="BA237" s="225">
        <f>IF($AZ237=1,SUM($AZ$6:$AZ237),"")</f>
      </c>
      <c r="BB237" s="225">
        <f>IF(OR($AO237=0,N($AW237)=0),0,IF(TDBC&lt;=$AW237,0,MAX(1,MIN(4,IF((TDBC-$AW237)*24&lt;24,1,IF((TDBC-$AW237)*24&lt;72,2,IF((TDBC-$AW237)*24&lt;168,3,4)))+IF($B237="Đột xuất",IFERROR(INDEX({2,1,0,-1},MATCH($L237,{"Khẩn cấp","Cao","Trung bình","Thấp"},0)),0),IF($D237="PCCC và an ninh",1,0))))))</f>
      </c>
    </row>
    <row r="238">
      <c r="A238" s="216"/>
      <c r="B238" s="216"/>
      <c r="C238" s="218"/>
      <c r="D238" s="218"/>
      <c r="E238" s="218"/>
      <c r="F238" s="216"/>
      <c r="G238" s="218"/>
      <c r="H238" s="218"/>
      <c r="I238" s="231"/>
      <c r="J238" s="217"/>
      <c r="K238" s="217"/>
      <c r="L238" s="216"/>
      <c r="M238" s="216"/>
      <c r="N238" s="218"/>
      <c r="O238" s="218"/>
      <c r="P238" s="218"/>
      <c r="Q238" s="218"/>
      <c r="R238" s="219"/>
      <c r="S238" s="216"/>
      <c r="T238" s="232"/>
      <c r="U238" s="232"/>
      <c r="V238" s="218"/>
      <c r="W238" s="218"/>
      <c r="X238" s="220">
        <f>IF($A238="","",IF(OR($B238="Định kỳ",$AA238="Hoàn thành"),MAX(_xlfn.MAXIFS('Nhật ký tiến độ'!$B$6:$B$3005,'Nhật ký tiến độ'!$C$6:$C$3005,$A238,'Nhật ký tiến độ'!$E$6:$E$3005,"Hoàn thành kỳ"),_xlfn.MAXIFS('Nhật ký tiến độ'!$B$6:$B$3005,'Nhật ký tiến độ'!$C$6:$C$3005,$A238,'Nhật ký tiến độ'!$E$6:$E$3005,"Hoàn thành")),0))</f>
      </c>
      <c r="Y238" s="220">
        <f>IF($A238="","",IF($B238="Đột xuất",IF($AY238=0,"",$AY238),IF($AX238=0,"",$AX238)))</f>
      </c>
      <c r="Z238" s="223">
        <f>IF(OR($AO238=0,$AW238=0),"",IF(TDBC&gt;$AW238,"Quá "&amp;IF($B238="Định kỳ",(NgayBC-$AP238)&amp;" ngày",IF(((TDBC-$AW238)*24)&lt;1,MAX(1,ROUND(((TDBC-$AW238)*24)*60,0))&amp;" phút",IF(ROUND(((TDBC-$AW238)*24),0)&lt;24,ROUND(((TDBC-$AW238)*24),0)&amp;" giờ",INT(ROUND(((TDBC-$AW238)*24),0)/24)&amp;" ngày"&amp;IF(MOD(ROUND(((TDBC-$AW238)*24),0),24)&gt;0," "&amp;MOD(ROUND(((TDBC-$AW238)*24),0),24)&amp;" giờ","")))),IF($B238="Định kỳ",IF($AP238=NgayBC,"Hôm nay","Còn "&amp;($AP238-NgayBC)&amp;" ngày"),"Còn "&amp;IF((($AW238-TDBC)*24)&lt;1,MAX(1,ROUND((($AW238-TDBC)*24)*60,0))&amp;" phút",IF(ROUND((($AW238-TDBC)*24),0)&lt;24,ROUND((($AW238-TDBC)*24),0)&amp;" giờ",INT(ROUND((($AW238-TDBC)*24),0)/24)&amp;" ngày"&amp;IF(MOD(ROUND((($AW238-TDBC)*24),0),24)&gt;0," "&amp;MOD(ROUND((($AW238-TDBC)*24),0),24)&amp;" giờ",""))))))</f>
      </c>
      <c r="AA238" s="221">
        <f>IF($A238="","",IF(N($AM238)=0,"Chưa bắt đầu",IF(OR($AN238="Hoàn thành kỳ",$AN238="Hoàn thành"),IF($B238="Định kỳ","Chưa bắt đầu","Hoàn thành"),$AN238)))</f>
      </c>
      <c r="AB238" s="222">
        <f>IF($A238="","",IF($AA238="Hoàn thành",1,IF(OR(N($AM238)=0,$AN238="Hoàn thành kỳ",$AN238="Hoàn thành"),0,N(INDEX('Nhật ký tiến độ'!$D:$D,$AM238)))))</f>
      </c>
      <c r="AC238" s="222">
        <f>IF(OR($A238="",$B238&lt;&gt;"Đột xuất",$AA238="Hoàn thành",N($J238)=0,$AW238=0),"",IF(TDBC&lt;=$J238,0,IF(TDBC&gt;=$AW238,1,(TDBC-$J238)/($AW238-$J238))))</f>
      </c>
      <c r="AD238" s="223">
        <f>IF($A238="","",IF($AA238="Hoàn thành","Hoàn thành",IF($AW238=0,"Chưa đặt hạn",IF(TDBC&gt;$AW238,"Quá hạn",IF(AND($B238="Đột xuất",ROUND((N($AC238)-$AB238)*100,0)&gt;=20),"Chậm tiến độ",IF($AP238=NgayBC,"Đến hạn hôm nay",IF($B238="Đột xuất",IF($AW238-TDBC&lt;=1,"Sắp đến hạn","Đúng tiến độ"),IF($AP238-NgayBC&lt;=3,"Sắp đến hạn","Theo lịch"))))))))</f>
      </c>
      <c r="AE238" s="223">
        <f>IF($AV238="","",IF($B238="Định kỳ","Bình quân "&amp;IF($AV238&lt;1,MAX(1,ROUND($AV238*60,0))&amp;" phút",IF(ROUND($AV238,0)&lt;24,ROUND($AV238,0)&amp;" giờ",INT(ROUND($AV238,0)/24)&amp;" ngày"&amp;IF(MOD(ROUND($AV238,0),24)&gt;0," "&amp;MOD(ROUND($AV238,0),24)&amp;" giờ","")))&amp;" mỗi kỳ",IF($AV238&lt;1,MAX(1,ROUND($AV238*60,0))&amp;" phút",IF(ROUND($AV238,0)&lt;24,ROUND($AV238,0)&amp;" giờ",INT(ROUND($AV238,0)/24)&amp;" ngày"&amp;IF(MOD(ROUND($AV238,0),24)&gt;0," "&amp;MOD(ROUND($AV238,0),24)&amp;" giờ","")))))</f>
      </c>
      <c r="AF238" s="223">
        <f>IF(OR($A238="",N($AU238)=0),"",IF($AV238&lt;&gt;"",IF($AV238&lt;=$AU238,"Trong ước tính","Vượt "&amp;IF(($AV238-$AU238)&lt;1,MAX(1,ROUND(($AV238-$AU238)*60,0))&amp;" phút",IF(ROUND(($AV238-$AU238),0)&lt;24,ROUND(($AV238-$AU238),0)&amp;" giờ",INT(ROUND(($AV238-$AU238),0)/24)&amp;" ngày"&amp;IF(MOD(ROUND(($AV238-$AU238),0),24)&gt;0," "&amp;MOD(ROUND(($AV238-$AU238),0),24)&amp;" giờ","")))),IF(OR($B238&lt;&gt;"Đột xuất",$AA238="Hoàn thành",N($J238)=0),"",IF((TDBC-$J238)*24&gt;$AU238,"Đã vượt ước tính","Đã dùng "&amp;TEXT((TDBC-$J238)*24/$AU238,"0%")))))</f>
      </c>
      <c r="AG238" s="223">
        <f>IF(N($BB238)=0,"",CHOOSE($BB238,"Nhắc nhở","Cảnh báo","Báo động","Báo động đỏ"))</f>
      </c>
      <c r="AH238" s="223">
        <f>IF(OR($B238&lt;&gt;"Đột xuất",$AA238&lt;&gt;"Hoàn thành",N($X238)=0,$AW238=0),"",IF($X238&lt;=$AW238,"Đúng hạn","Trễ hạn"))</f>
      </c>
      <c r="AI238" s="220">
        <f>IF($A238="","",_xlfn.MAXIFS('Nhật ký tiến độ'!$B$6:$B$3005,'Nhật ký tiến độ'!$C$6:$C$3005,$A238))</f>
      </c>
      <c r="AJ238" s="225">
        <f>IF(OR($A238="",$B238&lt;&gt;"Định kỳ"),0,IFERROR(INDEX(DM_TanSuatNgay,MATCH($H238,DM_TanSuat,0)),0))</f>
      </c>
      <c r="AK238" s="225">
        <f>IF(OR($A238="",$B238&lt;&gt;"Định kỳ"),0,IFERROR(INDEX(DM_TanSuatThang,MATCH($H238,DM_TanSuat,0)),0))</f>
      </c>
      <c r="AL238" s="225">
        <f>IF(OR($A238="",$B238&lt;&gt;"Định kỳ",N($X238)=0,N($I238)=0),"",IF(INT($X238)&lt;$I238,0,IF($AJ238&gt;0,ROUND((INT($X238)-$I238)/$AJ238,0),IF($AK238&gt;0,ROUND((DATEDIF($I238,INT($X238),"m")+(INT($X238)-EDATE($I238,DATEDIF($I238,INT($X238),"m")))/(EDATE($I238,DATEDIF($I238,INT($X238),"m")+1)-EDATE($I238,DATEDIF($I238,INT($X238),"m"))))/$AK238,0),0))))</f>
      </c>
      <c r="AM238" s="225">
        <f>IF($A238="","",IF(COUNTIF('Nhật ký tiến độ'!$C$6:$C$3005,$A238)=0,0,_xlfn.MAXIFS('Nhật ký tiến độ'!$N$6:$N$3005,'Nhật ký tiến độ'!$C$6:$C$3005,$A238,'Nhật ký tiến độ'!$B$6:$B$3005,_xlfn.MAXIFS('Nhật ký tiến độ'!$B$6:$B$3005,'Nhật ký tiến độ'!$C$6:$C$3005,$A238))))</f>
      </c>
      <c r="AN238" s="225">
        <f>IF($A238="","",IF(N($AM238)=0,"",INDEX('Nhật ký tiến độ'!$E:$E,$AM238)))</f>
      </c>
      <c r="AO238" s="225">
        <f>IF($A238="",0,IF($AA238="Hoàn thành",0,1))</f>
      </c>
      <c r="AP238" s="225">
        <f>IF($AO238=0,0,INT(N($AW238)))</f>
      </c>
      <c r="AQ238" s="225">
        <f>IF(AND($AO238=1,$AJ238&gt;1),$AJ238,0)</f>
      </c>
      <c r="AR238" s="225">
        <f>IF(AND($AO238=1,$AJ238=1),1,0)</f>
      </c>
      <c r="AS238" s="225">
        <f>IF(OR($AO238=0,AND($AR238=1,N($BB238)=0)),"",IF(N($BB238)&gt;0,5-$BB238,IF($AD238="Chậm tiến độ",6,IF($AD238="Đến hạn hôm nay",7,IF(AND($AP238&gt;0,$AP238-NgayBC&lt;=7),8,"")))))</f>
      </c>
      <c r="AT238" s="225">
        <f>IF($AS238="","",$AS238*100000+$AP238+ROW()/100000)</f>
      </c>
      <c r="AU238" s="224">
        <f>IF(OR($A238="",N($R238)&lt;=0),"",IF($S238="Ngày",$R238*24,$R238))</f>
      </c>
      <c r="AV238" s="224">
        <f>IF($A238="","",IF($B238="Đột xuất",IF(OR($AA238&lt;&gt;"Hoàn thành",N($X238)=0,N($J238)=0),"",IF($X238&lt;$J238,"",($X238-$J238)*24)),IFERROR(AVERAGEIFS('Nhật ký tiến độ'!$H$6:$H$3005,'Nhật ký tiến độ'!$C$6:$C$3005,$A238,'Nhật ký tiến độ'!$H$6:$H$3005,"&gt;0"),"")))</f>
      </c>
      <c r="AW238" s="233">
        <f>IF($A238="",0,IF($B238="Đột xuất",$AY238,IF($AX238=0,0,$AX238+1-1/1440)))</f>
      </c>
      <c r="AX238" s="234">
        <f>IF(OR($A238="",$B238&lt;&gt;"Định kỳ",N($I238)=0),0,IF($AL238="",$I238,IF($AJ238&gt;0,$I238+($AL238+1)*$AJ238,IF($AK238&gt;0,EDATE($I238,($AL238+1)*$AK238),$I238))))</f>
      </c>
      <c r="AY238" s="233">
        <f>IF(OR($A238="",$B238&lt;&gt;"Đột xuất"),0,IF(N($K238)&gt;0,IF(MOD($K238,1)=0,$K238+1-1/1440,$K238),IF(N($J238)=0,0,$J238+IF(N($AU238)&gt;0,$AU238,IFERROR(INDEX(DM_SLA_Gio,MATCH($L238,DM_SLA_Cap,0)),168))/24)))</f>
      </c>
      <c r="AZ238" s="225">
        <f>IF(OR($A238="",TRIM($N238)="",COUNTIF('Phản ánh'!$K$6:$K$505,$N238)&gt;0,COUNTIF($N$6:$N238,$N238)&gt;1),0,1)</f>
      </c>
      <c r="BA238" s="225">
        <f>IF($AZ238=1,SUM($AZ$6:$AZ238),"")</f>
      </c>
      <c r="BB238" s="225">
        <f>IF(OR($AO238=0,N($AW238)=0),0,IF(TDBC&lt;=$AW238,0,MAX(1,MIN(4,IF((TDBC-$AW238)*24&lt;24,1,IF((TDBC-$AW238)*24&lt;72,2,IF((TDBC-$AW238)*24&lt;168,3,4)))+IF($B238="Đột xuất",IFERROR(INDEX({2,1,0,-1},MATCH($L238,{"Khẩn cấp","Cao","Trung bình","Thấp"},0)),0),IF($D238="PCCC và an ninh",1,0))))))</f>
      </c>
    </row>
    <row r="239">
      <c r="A239" s="216"/>
      <c r="B239" s="216"/>
      <c r="C239" s="218"/>
      <c r="D239" s="218"/>
      <c r="E239" s="218"/>
      <c r="F239" s="216"/>
      <c r="G239" s="218"/>
      <c r="H239" s="218"/>
      <c r="I239" s="231"/>
      <c r="J239" s="217"/>
      <c r="K239" s="217"/>
      <c r="L239" s="216"/>
      <c r="M239" s="216"/>
      <c r="N239" s="218"/>
      <c r="O239" s="218"/>
      <c r="P239" s="218"/>
      <c r="Q239" s="218"/>
      <c r="R239" s="219"/>
      <c r="S239" s="216"/>
      <c r="T239" s="232"/>
      <c r="U239" s="232"/>
      <c r="V239" s="218"/>
      <c r="W239" s="218"/>
      <c r="X239" s="220">
        <f>IF($A239="","",IF(OR($B239="Định kỳ",$AA239="Hoàn thành"),MAX(_xlfn.MAXIFS('Nhật ký tiến độ'!$B$6:$B$3005,'Nhật ký tiến độ'!$C$6:$C$3005,$A239,'Nhật ký tiến độ'!$E$6:$E$3005,"Hoàn thành kỳ"),_xlfn.MAXIFS('Nhật ký tiến độ'!$B$6:$B$3005,'Nhật ký tiến độ'!$C$6:$C$3005,$A239,'Nhật ký tiến độ'!$E$6:$E$3005,"Hoàn thành")),0))</f>
      </c>
      <c r="Y239" s="220">
        <f>IF($A239="","",IF($B239="Đột xuất",IF($AY239=0,"",$AY239),IF($AX239=0,"",$AX239)))</f>
      </c>
      <c r="Z239" s="223">
        <f>IF(OR($AO239=0,$AW239=0),"",IF(TDBC&gt;$AW239,"Quá "&amp;IF($B239="Định kỳ",(NgayBC-$AP239)&amp;" ngày",IF(((TDBC-$AW239)*24)&lt;1,MAX(1,ROUND(((TDBC-$AW239)*24)*60,0))&amp;" phút",IF(ROUND(((TDBC-$AW239)*24),0)&lt;24,ROUND(((TDBC-$AW239)*24),0)&amp;" giờ",INT(ROUND(((TDBC-$AW239)*24),0)/24)&amp;" ngày"&amp;IF(MOD(ROUND(((TDBC-$AW239)*24),0),24)&gt;0," "&amp;MOD(ROUND(((TDBC-$AW239)*24),0),24)&amp;" giờ","")))),IF($B239="Định kỳ",IF($AP239=NgayBC,"Hôm nay","Còn "&amp;($AP239-NgayBC)&amp;" ngày"),"Còn "&amp;IF((($AW239-TDBC)*24)&lt;1,MAX(1,ROUND((($AW239-TDBC)*24)*60,0))&amp;" phút",IF(ROUND((($AW239-TDBC)*24),0)&lt;24,ROUND((($AW239-TDBC)*24),0)&amp;" giờ",INT(ROUND((($AW239-TDBC)*24),0)/24)&amp;" ngày"&amp;IF(MOD(ROUND((($AW239-TDBC)*24),0),24)&gt;0," "&amp;MOD(ROUND((($AW239-TDBC)*24),0),24)&amp;" giờ",""))))))</f>
      </c>
      <c r="AA239" s="221">
        <f>IF($A239="","",IF(N($AM239)=0,"Chưa bắt đầu",IF(OR($AN239="Hoàn thành kỳ",$AN239="Hoàn thành"),IF($B239="Định kỳ","Chưa bắt đầu","Hoàn thành"),$AN239)))</f>
      </c>
      <c r="AB239" s="222">
        <f>IF($A239="","",IF($AA239="Hoàn thành",1,IF(OR(N($AM239)=0,$AN239="Hoàn thành kỳ",$AN239="Hoàn thành"),0,N(INDEX('Nhật ký tiến độ'!$D:$D,$AM239)))))</f>
      </c>
      <c r="AC239" s="222">
        <f>IF(OR($A239="",$B239&lt;&gt;"Đột xuất",$AA239="Hoàn thành",N($J239)=0,$AW239=0),"",IF(TDBC&lt;=$J239,0,IF(TDBC&gt;=$AW239,1,(TDBC-$J239)/($AW239-$J239))))</f>
      </c>
      <c r="AD239" s="223">
        <f>IF($A239="","",IF($AA239="Hoàn thành","Hoàn thành",IF($AW239=0,"Chưa đặt hạn",IF(TDBC&gt;$AW239,"Quá hạn",IF(AND($B239="Đột xuất",ROUND((N($AC239)-$AB239)*100,0)&gt;=20),"Chậm tiến độ",IF($AP239=NgayBC,"Đến hạn hôm nay",IF($B239="Đột xuất",IF($AW239-TDBC&lt;=1,"Sắp đến hạn","Đúng tiến độ"),IF($AP239-NgayBC&lt;=3,"Sắp đến hạn","Theo lịch"))))))))</f>
      </c>
      <c r="AE239" s="223">
        <f>IF($AV239="","",IF($B239="Định kỳ","Bình quân "&amp;IF($AV239&lt;1,MAX(1,ROUND($AV239*60,0))&amp;" phút",IF(ROUND($AV239,0)&lt;24,ROUND($AV239,0)&amp;" giờ",INT(ROUND($AV239,0)/24)&amp;" ngày"&amp;IF(MOD(ROUND($AV239,0),24)&gt;0," "&amp;MOD(ROUND($AV239,0),24)&amp;" giờ","")))&amp;" mỗi kỳ",IF($AV239&lt;1,MAX(1,ROUND($AV239*60,0))&amp;" phút",IF(ROUND($AV239,0)&lt;24,ROUND($AV239,0)&amp;" giờ",INT(ROUND($AV239,0)/24)&amp;" ngày"&amp;IF(MOD(ROUND($AV239,0),24)&gt;0," "&amp;MOD(ROUND($AV239,0),24)&amp;" giờ","")))))</f>
      </c>
      <c r="AF239" s="223">
        <f>IF(OR($A239="",N($AU239)=0),"",IF($AV239&lt;&gt;"",IF($AV239&lt;=$AU239,"Trong ước tính","Vượt "&amp;IF(($AV239-$AU239)&lt;1,MAX(1,ROUND(($AV239-$AU239)*60,0))&amp;" phút",IF(ROUND(($AV239-$AU239),0)&lt;24,ROUND(($AV239-$AU239),0)&amp;" giờ",INT(ROUND(($AV239-$AU239),0)/24)&amp;" ngày"&amp;IF(MOD(ROUND(($AV239-$AU239),0),24)&gt;0," "&amp;MOD(ROUND(($AV239-$AU239),0),24)&amp;" giờ","")))),IF(OR($B239&lt;&gt;"Đột xuất",$AA239="Hoàn thành",N($J239)=0),"",IF((TDBC-$J239)*24&gt;$AU239,"Đã vượt ước tính","Đã dùng "&amp;TEXT((TDBC-$J239)*24/$AU239,"0%")))))</f>
      </c>
      <c r="AG239" s="223">
        <f>IF(N($BB239)=0,"",CHOOSE($BB239,"Nhắc nhở","Cảnh báo","Báo động","Báo động đỏ"))</f>
      </c>
      <c r="AH239" s="223">
        <f>IF(OR($B239&lt;&gt;"Đột xuất",$AA239&lt;&gt;"Hoàn thành",N($X239)=0,$AW239=0),"",IF($X239&lt;=$AW239,"Đúng hạn","Trễ hạn"))</f>
      </c>
      <c r="AI239" s="220">
        <f>IF($A239="","",_xlfn.MAXIFS('Nhật ký tiến độ'!$B$6:$B$3005,'Nhật ký tiến độ'!$C$6:$C$3005,$A239))</f>
      </c>
      <c r="AJ239" s="225">
        <f>IF(OR($A239="",$B239&lt;&gt;"Định kỳ"),0,IFERROR(INDEX(DM_TanSuatNgay,MATCH($H239,DM_TanSuat,0)),0))</f>
      </c>
      <c r="AK239" s="225">
        <f>IF(OR($A239="",$B239&lt;&gt;"Định kỳ"),0,IFERROR(INDEX(DM_TanSuatThang,MATCH($H239,DM_TanSuat,0)),0))</f>
      </c>
      <c r="AL239" s="225">
        <f>IF(OR($A239="",$B239&lt;&gt;"Định kỳ",N($X239)=0,N($I239)=0),"",IF(INT($X239)&lt;$I239,0,IF($AJ239&gt;0,ROUND((INT($X239)-$I239)/$AJ239,0),IF($AK239&gt;0,ROUND((DATEDIF($I239,INT($X239),"m")+(INT($X239)-EDATE($I239,DATEDIF($I239,INT($X239),"m")))/(EDATE($I239,DATEDIF($I239,INT($X239),"m")+1)-EDATE($I239,DATEDIF($I239,INT($X239),"m"))))/$AK239,0),0))))</f>
      </c>
      <c r="AM239" s="225">
        <f>IF($A239="","",IF(COUNTIF('Nhật ký tiến độ'!$C$6:$C$3005,$A239)=0,0,_xlfn.MAXIFS('Nhật ký tiến độ'!$N$6:$N$3005,'Nhật ký tiến độ'!$C$6:$C$3005,$A239,'Nhật ký tiến độ'!$B$6:$B$3005,_xlfn.MAXIFS('Nhật ký tiến độ'!$B$6:$B$3005,'Nhật ký tiến độ'!$C$6:$C$3005,$A239))))</f>
      </c>
      <c r="AN239" s="225">
        <f>IF($A239="","",IF(N($AM239)=0,"",INDEX('Nhật ký tiến độ'!$E:$E,$AM239)))</f>
      </c>
      <c r="AO239" s="225">
        <f>IF($A239="",0,IF($AA239="Hoàn thành",0,1))</f>
      </c>
      <c r="AP239" s="225">
        <f>IF($AO239=0,0,INT(N($AW239)))</f>
      </c>
      <c r="AQ239" s="225">
        <f>IF(AND($AO239=1,$AJ239&gt;1),$AJ239,0)</f>
      </c>
      <c r="AR239" s="225">
        <f>IF(AND($AO239=1,$AJ239=1),1,0)</f>
      </c>
      <c r="AS239" s="225">
        <f>IF(OR($AO239=0,AND($AR239=1,N($BB239)=0)),"",IF(N($BB239)&gt;0,5-$BB239,IF($AD239="Chậm tiến độ",6,IF($AD239="Đến hạn hôm nay",7,IF(AND($AP239&gt;0,$AP239-NgayBC&lt;=7),8,"")))))</f>
      </c>
      <c r="AT239" s="225">
        <f>IF($AS239="","",$AS239*100000+$AP239+ROW()/100000)</f>
      </c>
      <c r="AU239" s="224">
        <f>IF(OR($A239="",N($R239)&lt;=0),"",IF($S239="Ngày",$R239*24,$R239))</f>
      </c>
      <c r="AV239" s="224">
        <f>IF($A239="","",IF($B239="Đột xuất",IF(OR($AA239&lt;&gt;"Hoàn thành",N($X239)=0,N($J239)=0),"",IF($X239&lt;$J239,"",($X239-$J239)*24)),IFERROR(AVERAGEIFS('Nhật ký tiến độ'!$H$6:$H$3005,'Nhật ký tiến độ'!$C$6:$C$3005,$A239,'Nhật ký tiến độ'!$H$6:$H$3005,"&gt;0"),"")))</f>
      </c>
      <c r="AW239" s="233">
        <f>IF($A239="",0,IF($B239="Đột xuất",$AY239,IF($AX239=0,0,$AX239+1-1/1440)))</f>
      </c>
      <c r="AX239" s="234">
        <f>IF(OR($A239="",$B239&lt;&gt;"Định kỳ",N($I239)=0),0,IF($AL239="",$I239,IF($AJ239&gt;0,$I239+($AL239+1)*$AJ239,IF($AK239&gt;0,EDATE($I239,($AL239+1)*$AK239),$I239))))</f>
      </c>
      <c r="AY239" s="233">
        <f>IF(OR($A239="",$B239&lt;&gt;"Đột xuất"),0,IF(N($K239)&gt;0,IF(MOD($K239,1)=0,$K239+1-1/1440,$K239),IF(N($J239)=0,0,$J239+IF(N($AU239)&gt;0,$AU239,IFERROR(INDEX(DM_SLA_Gio,MATCH($L239,DM_SLA_Cap,0)),168))/24)))</f>
      </c>
      <c r="AZ239" s="225">
        <f>IF(OR($A239="",TRIM($N239)="",COUNTIF('Phản ánh'!$K$6:$K$505,$N239)&gt;0,COUNTIF($N$6:$N239,$N239)&gt;1),0,1)</f>
      </c>
      <c r="BA239" s="225">
        <f>IF($AZ239=1,SUM($AZ$6:$AZ239),"")</f>
      </c>
      <c r="BB239" s="225">
        <f>IF(OR($AO239=0,N($AW239)=0),0,IF(TDBC&lt;=$AW239,0,MAX(1,MIN(4,IF((TDBC-$AW239)*24&lt;24,1,IF((TDBC-$AW239)*24&lt;72,2,IF((TDBC-$AW239)*24&lt;168,3,4)))+IF($B239="Đột xuất",IFERROR(INDEX({2,1,0,-1},MATCH($L239,{"Khẩn cấp","Cao","Trung bình","Thấp"},0)),0),IF($D239="PCCC và an ninh",1,0))))))</f>
      </c>
    </row>
    <row r="240">
      <c r="A240" s="216"/>
      <c r="B240" s="216"/>
      <c r="C240" s="218"/>
      <c r="D240" s="218"/>
      <c r="E240" s="218"/>
      <c r="F240" s="216"/>
      <c r="G240" s="218"/>
      <c r="H240" s="218"/>
      <c r="I240" s="231"/>
      <c r="J240" s="217"/>
      <c r="K240" s="217"/>
      <c r="L240" s="216"/>
      <c r="M240" s="216"/>
      <c r="N240" s="218"/>
      <c r="O240" s="218"/>
      <c r="P240" s="218"/>
      <c r="Q240" s="218"/>
      <c r="R240" s="219"/>
      <c r="S240" s="216"/>
      <c r="T240" s="232"/>
      <c r="U240" s="232"/>
      <c r="V240" s="218"/>
      <c r="W240" s="218"/>
      <c r="X240" s="220">
        <f>IF($A240="","",IF(OR($B240="Định kỳ",$AA240="Hoàn thành"),MAX(_xlfn.MAXIFS('Nhật ký tiến độ'!$B$6:$B$3005,'Nhật ký tiến độ'!$C$6:$C$3005,$A240,'Nhật ký tiến độ'!$E$6:$E$3005,"Hoàn thành kỳ"),_xlfn.MAXIFS('Nhật ký tiến độ'!$B$6:$B$3005,'Nhật ký tiến độ'!$C$6:$C$3005,$A240,'Nhật ký tiến độ'!$E$6:$E$3005,"Hoàn thành")),0))</f>
      </c>
      <c r="Y240" s="220">
        <f>IF($A240="","",IF($B240="Đột xuất",IF($AY240=0,"",$AY240),IF($AX240=0,"",$AX240)))</f>
      </c>
      <c r="Z240" s="223">
        <f>IF(OR($AO240=0,$AW240=0),"",IF(TDBC&gt;$AW240,"Quá "&amp;IF($B240="Định kỳ",(NgayBC-$AP240)&amp;" ngày",IF(((TDBC-$AW240)*24)&lt;1,MAX(1,ROUND(((TDBC-$AW240)*24)*60,0))&amp;" phút",IF(ROUND(((TDBC-$AW240)*24),0)&lt;24,ROUND(((TDBC-$AW240)*24),0)&amp;" giờ",INT(ROUND(((TDBC-$AW240)*24),0)/24)&amp;" ngày"&amp;IF(MOD(ROUND(((TDBC-$AW240)*24),0),24)&gt;0," "&amp;MOD(ROUND(((TDBC-$AW240)*24),0),24)&amp;" giờ","")))),IF($B240="Định kỳ",IF($AP240=NgayBC,"Hôm nay","Còn "&amp;($AP240-NgayBC)&amp;" ngày"),"Còn "&amp;IF((($AW240-TDBC)*24)&lt;1,MAX(1,ROUND((($AW240-TDBC)*24)*60,0))&amp;" phút",IF(ROUND((($AW240-TDBC)*24),0)&lt;24,ROUND((($AW240-TDBC)*24),0)&amp;" giờ",INT(ROUND((($AW240-TDBC)*24),0)/24)&amp;" ngày"&amp;IF(MOD(ROUND((($AW240-TDBC)*24),0),24)&gt;0," "&amp;MOD(ROUND((($AW240-TDBC)*24),0),24)&amp;" giờ",""))))))</f>
      </c>
      <c r="AA240" s="221">
        <f>IF($A240="","",IF(N($AM240)=0,"Chưa bắt đầu",IF(OR($AN240="Hoàn thành kỳ",$AN240="Hoàn thành"),IF($B240="Định kỳ","Chưa bắt đầu","Hoàn thành"),$AN240)))</f>
      </c>
      <c r="AB240" s="222">
        <f>IF($A240="","",IF($AA240="Hoàn thành",1,IF(OR(N($AM240)=0,$AN240="Hoàn thành kỳ",$AN240="Hoàn thành"),0,N(INDEX('Nhật ký tiến độ'!$D:$D,$AM240)))))</f>
      </c>
      <c r="AC240" s="222">
        <f>IF(OR($A240="",$B240&lt;&gt;"Đột xuất",$AA240="Hoàn thành",N($J240)=0,$AW240=0),"",IF(TDBC&lt;=$J240,0,IF(TDBC&gt;=$AW240,1,(TDBC-$J240)/($AW240-$J240))))</f>
      </c>
      <c r="AD240" s="223">
        <f>IF($A240="","",IF($AA240="Hoàn thành","Hoàn thành",IF($AW240=0,"Chưa đặt hạn",IF(TDBC&gt;$AW240,"Quá hạn",IF(AND($B240="Đột xuất",ROUND((N($AC240)-$AB240)*100,0)&gt;=20),"Chậm tiến độ",IF($AP240=NgayBC,"Đến hạn hôm nay",IF($B240="Đột xuất",IF($AW240-TDBC&lt;=1,"Sắp đến hạn","Đúng tiến độ"),IF($AP240-NgayBC&lt;=3,"Sắp đến hạn","Theo lịch"))))))))</f>
      </c>
      <c r="AE240" s="223">
        <f>IF($AV240="","",IF($B240="Định kỳ","Bình quân "&amp;IF($AV240&lt;1,MAX(1,ROUND($AV240*60,0))&amp;" phút",IF(ROUND($AV240,0)&lt;24,ROUND($AV240,0)&amp;" giờ",INT(ROUND($AV240,0)/24)&amp;" ngày"&amp;IF(MOD(ROUND($AV240,0),24)&gt;0," "&amp;MOD(ROUND($AV240,0),24)&amp;" giờ","")))&amp;" mỗi kỳ",IF($AV240&lt;1,MAX(1,ROUND($AV240*60,0))&amp;" phút",IF(ROUND($AV240,0)&lt;24,ROUND($AV240,0)&amp;" giờ",INT(ROUND($AV240,0)/24)&amp;" ngày"&amp;IF(MOD(ROUND($AV240,0),24)&gt;0," "&amp;MOD(ROUND($AV240,0),24)&amp;" giờ","")))))</f>
      </c>
      <c r="AF240" s="223">
        <f>IF(OR($A240="",N($AU240)=0),"",IF($AV240&lt;&gt;"",IF($AV240&lt;=$AU240,"Trong ước tính","Vượt "&amp;IF(($AV240-$AU240)&lt;1,MAX(1,ROUND(($AV240-$AU240)*60,0))&amp;" phút",IF(ROUND(($AV240-$AU240),0)&lt;24,ROUND(($AV240-$AU240),0)&amp;" giờ",INT(ROUND(($AV240-$AU240),0)/24)&amp;" ngày"&amp;IF(MOD(ROUND(($AV240-$AU240),0),24)&gt;0," "&amp;MOD(ROUND(($AV240-$AU240),0),24)&amp;" giờ","")))),IF(OR($B240&lt;&gt;"Đột xuất",$AA240="Hoàn thành",N($J240)=0),"",IF((TDBC-$J240)*24&gt;$AU240,"Đã vượt ước tính","Đã dùng "&amp;TEXT((TDBC-$J240)*24/$AU240,"0%")))))</f>
      </c>
      <c r="AG240" s="223">
        <f>IF(N($BB240)=0,"",CHOOSE($BB240,"Nhắc nhở","Cảnh báo","Báo động","Báo động đỏ"))</f>
      </c>
      <c r="AH240" s="223">
        <f>IF(OR($B240&lt;&gt;"Đột xuất",$AA240&lt;&gt;"Hoàn thành",N($X240)=0,$AW240=0),"",IF($X240&lt;=$AW240,"Đúng hạn","Trễ hạn"))</f>
      </c>
      <c r="AI240" s="220">
        <f>IF($A240="","",_xlfn.MAXIFS('Nhật ký tiến độ'!$B$6:$B$3005,'Nhật ký tiến độ'!$C$6:$C$3005,$A240))</f>
      </c>
      <c r="AJ240" s="225">
        <f>IF(OR($A240="",$B240&lt;&gt;"Định kỳ"),0,IFERROR(INDEX(DM_TanSuatNgay,MATCH($H240,DM_TanSuat,0)),0))</f>
      </c>
      <c r="AK240" s="225">
        <f>IF(OR($A240="",$B240&lt;&gt;"Định kỳ"),0,IFERROR(INDEX(DM_TanSuatThang,MATCH($H240,DM_TanSuat,0)),0))</f>
      </c>
      <c r="AL240" s="225">
        <f>IF(OR($A240="",$B240&lt;&gt;"Định kỳ",N($X240)=0,N($I240)=0),"",IF(INT($X240)&lt;$I240,0,IF($AJ240&gt;0,ROUND((INT($X240)-$I240)/$AJ240,0),IF($AK240&gt;0,ROUND((DATEDIF($I240,INT($X240),"m")+(INT($X240)-EDATE($I240,DATEDIF($I240,INT($X240),"m")))/(EDATE($I240,DATEDIF($I240,INT($X240),"m")+1)-EDATE($I240,DATEDIF($I240,INT($X240),"m"))))/$AK240,0),0))))</f>
      </c>
      <c r="AM240" s="225">
        <f>IF($A240="","",IF(COUNTIF('Nhật ký tiến độ'!$C$6:$C$3005,$A240)=0,0,_xlfn.MAXIFS('Nhật ký tiến độ'!$N$6:$N$3005,'Nhật ký tiến độ'!$C$6:$C$3005,$A240,'Nhật ký tiến độ'!$B$6:$B$3005,_xlfn.MAXIFS('Nhật ký tiến độ'!$B$6:$B$3005,'Nhật ký tiến độ'!$C$6:$C$3005,$A240))))</f>
      </c>
      <c r="AN240" s="225">
        <f>IF($A240="","",IF(N($AM240)=0,"",INDEX('Nhật ký tiến độ'!$E:$E,$AM240)))</f>
      </c>
      <c r="AO240" s="225">
        <f>IF($A240="",0,IF($AA240="Hoàn thành",0,1))</f>
      </c>
      <c r="AP240" s="225">
        <f>IF($AO240=0,0,INT(N($AW240)))</f>
      </c>
      <c r="AQ240" s="225">
        <f>IF(AND($AO240=1,$AJ240&gt;1),$AJ240,0)</f>
      </c>
      <c r="AR240" s="225">
        <f>IF(AND($AO240=1,$AJ240=1),1,0)</f>
      </c>
      <c r="AS240" s="225">
        <f>IF(OR($AO240=0,AND($AR240=1,N($BB240)=0)),"",IF(N($BB240)&gt;0,5-$BB240,IF($AD240="Chậm tiến độ",6,IF($AD240="Đến hạn hôm nay",7,IF(AND($AP240&gt;0,$AP240-NgayBC&lt;=7),8,"")))))</f>
      </c>
      <c r="AT240" s="225">
        <f>IF($AS240="","",$AS240*100000+$AP240+ROW()/100000)</f>
      </c>
      <c r="AU240" s="224">
        <f>IF(OR($A240="",N($R240)&lt;=0),"",IF($S240="Ngày",$R240*24,$R240))</f>
      </c>
      <c r="AV240" s="224">
        <f>IF($A240="","",IF($B240="Đột xuất",IF(OR($AA240&lt;&gt;"Hoàn thành",N($X240)=0,N($J240)=0),"",IF($X240&lt;$J240,"",($X240-$J240)*24)),IFERROR(AVERAGEIFS('Nhật ký tiến độ'!$H$6:$H$3005,'Nhật ký tiến độ'!$C$6:$C$3005,$A240,'Nhật ký tiến độ'!$H$6:$H$3005,"&gt;0"),"")))</f>
      </c>
      <c r="AW240" s="233">
        <f>IF($A240="",0,IF($B240="Đột xuất",$AY240,IF($AX240=0,0,$AX240+1-1/1440)))</f>
      </c>
      <c r="AX240" s="234">
        <f>IF(OR($A240="",$B240&lt;&gt;"Định kỳ",N($I240)=0),0,IF($AL240="",$I240,IF($AJ240&gt;0,$I240+($AL240+1)*$AJ240,IF($AK240&gt;0,EDATE($I240,($AL240+1)*$AK240),$I240))))</f>
      </c>
      <c r="AY240" s="233">
        <f>IF(OR($A240="",$B240&lt;&gt;"Đột xuất"),0,IF(N($K240)&gt;0,IF(MOD($K240,1)=0,$K240+1-1/1440,$K240),IF(N($J240)=0,0,$J240+IF(N($AU240)&gt;0,$AU240,IFERROR(INDEX(DM_SLA_Gio,MATCH($L240,DM_SLA_Cap,0)),168))/24)))</f>
      </c>
      <c r="AZ240" s="225">
        <f>IF(OR($A240="",TRIM($N240)="",COUNTIF('Phản ánh'!$K$6:$K$505,$N240)&gt;0,COUNTIF($N$6:$N240,$N240)&gt;1),0,1)</f>
      </c>
      <c r="BA240" s="225">
        <f>IF($AZ240=1,SUM($AZ$6:$AZ240),"")</f>
      </c>
      <c r="BB240" s="225">
        <f>IF(OR($AO240=0,N($AW240)=0),0,IF(TDBC&lt;=$AW240,0,MAX(1,MIN(4,IF((TDBC-$AW240)*24&lt;24,1,IF((TDBC-$AW240)*24&lt;72,2,IF((TDBC-$AW240)*24&lt;168,3,4)))+IF($B240="Đột xuất",IFERROR(INDEX({2,1,0,-1},MATCH($L240,{"Khẩn cấp","Cao","Trung bình","Thấp"},0)),0),IF($D240="PCCC và an ninh",1,0))))))</f>
      </c>
    </row>
    <row r="241">
      <c r="A241" s="216"/>
      <c r="B241" s="216"/>
      <c r="C241" s="218"/>
      <c r="D241" s="218"/>
      <c r="E241" s="218"/>
      <c r="F241" s="216"/>
      <c r="G241" s="218"/>
      <c r="H241" s="218"/>
      <c r="I241" s="231"/>
      <c r="J241" s="217"/>
      <c r="K241" s="217"/>
      <c r="L241" s="216"/>
      <c r="M241" s="216"/>
      <c r="N241" s="218"/>
      <c r="O241" s="218"/>
      <c r="P241" s="218"/>
      <c r="Q241" s="218"/>
      <c r="R241" s="219"/>
      <c r="S241" s="216"/>
      <c r="T241" s="232"/>
      <c r="U241" s="232"/>
      <c r="V241" s="218"/>
      <c r="W241" s="218"/>
      <c r="X241" s="220">
        <f>IF($A241="","",IF(OR($B241="Định kỳ",$AA241="Hoàn thành"),MAX(_xlfn.MAXIFS('Nhật ký tiến độ'!$B$6:$B$3005,'Nhật ký tiến độ'!$C$6:$C$3005,$A241,'Nhật ký tiến độ'!$E$6:$E$3005,"Hoàn thành kỳ"),_xlfn.MAXIFS('Nhật ký tiến độ'!$B$6:$B$3005,'Nhật ký tiến độ'!$C$6:$C$3005,$A241,'Nhật ký tiến độ'!$E$6:$E$3005,"Hoàn thành")),0))</f>
      </c>
      <c r="Y241" s="220">
        <f>IF($A241="","",IF($B241="Đột xuất",IF($AY241=0,"",$AY241),IF($AX241=0,"",$AX241)))</f>
      </c>
      <c r="Z241" s="223">
        <f>IF(OR($AO241=0,$AW241=0),"",IF(TDBC&gt;$AW241,"Quá "&amp;IF($B241="Định kỳ",(NgayBC-$AP241)&amp;" ngày",IF(((TDBC-$AW241)*24)&lt;1,MAX(1,ROUND(((TDBC-$AW241)*24)*60,0))&amp;" phút",IF(ROUND(((TDBC-$AW241)*24),0)&lt;24,ROUND(((TDBC-$AW241)*24),0)&amp;" giờ",INT(ROUND(((TDBC-$AW241)*24),0)/24)&amp;" ngày"&amp;IF(MOD(ROUND(((TDBC-$AW241)*24),0),24)&gt;0," "&amp;MOD(ROUND(((TDBC-$AW241)*24),0),24)&amp;" giờ","")))),IF($B241="Định kỳ",IF($AP241=NgayBC,"Hôm nay","Còn "&amp;($AP241-NgayBC)&amp;" ngày"),"Còn "&amp;IF((($AW241-TDBC)*24)&lt;1,MAX(1,ROUND((($AW241-TDBC)*24)*60,0))&amp;" phút",IF(ROUND((($AW241-TDBC)*24),0)&lt;24,ROUND((($AW241-TDBC)*24),0)&amp;" giờ",INT(ROUND((($AW241-TDBC)*24),0)/24)&amp;" ngày"&amp;IF(MOD(ROUND((($AW241-TDBC)*24),0),24)&gt;0," "&amp;MOD(ROUND((($AW241-TDBC)*24),0),24)&amp;" giờ",""))))))</f>
      </c>
      <c r="AA241" s="221">
        <f>IF($A241="","",IF(N($AM241)=0,"Chưa bắt đầu",IF(OR($AN241="Hoàn thành kỳ",$AN241="Hoàn thành"),IF($B241="Định kỳ","Chưa bắt đầu","Hoàn thành"),$AN241)))</f>
      </c>
      <c r="AB241" s="222">
        <f>IF($A241="","",IF($AA241="Hoàn thành",1,IF(OR(N($AM241)=0,$AN241="Hoàn thành kỳ",$AN241="Hoàn thành"),0,N(INDEX('Nhật ký tiến độ'!$D:$D,$AM241)))))</f>
      </c>
      <c r="AC241" s="222">
        <f>IF(OR($A241="",$B241&lt;&gt;"Đột xuất",$AA241="Hoàn thành",N($J241)=0,$AW241=0),"",IF(TDBC&lt;=$J241,0,IF(TDBC&gt;=$AW241,1,(TDBC-$J241)/($AW241-$J241))))</f>
      </c>
      <c r="AD241" s="223">
        <f>IF($A241="","",IF($AA241="Hoàn thành","Hoàn thành",IF($AW241=0,"Chưa đặt hạn",IF(TDBC&gt;$AW241,"Quá hạn",IF(AND($B241="Đột xuất",ROUND((N($AC241)-$AB241)*100,0)&gt;=20),"Chậm tiến độ",IF($AP241=NgayBC,"Đến hạn hôm nay",IF($B241="Đột xuất",IF($AW241-TDBC&lt;=1,"Sắp đến hạn","Đúng tiến độ"),IF($AP241-NgayBC&lt;=3,"Sắp đến hạn","Theo lịch"))))))))</f>
      </c>
      <c r="AE241" s="223">
        <f>IF($AV241="","",IF($B241="Định kỳ","Bình quân "&amp;IF($AV241&lt;1,MAX(1,ROUND($AV241*60,0))&amp;" phút",IF(ROUND($AV241,0)&lt;24,ROUND($AV241,0)&amp;" giờ",INT(ROUND($AV241,0)/24)&amp;" ngày"&amp;IF(MOD(ROUND($AV241,0),24)&gt;0," "&amp;MOD(ROUND($AV241,0),24)&amp;" giờ","")))&amp;" mỗi kỳ",IF($AV241&lt;1,MAX(1,ROUND($AV241*60,0))&amp;" phút",IF(ROUND($AV241,0)&lt;24,ROUND($AV241,0)&amp;" giờ",INT(ROUND($AV241,0)/24)&amp;" ngày"&amp;IF(MOD(ROUND($AV241,0),24)&gt;0," "&amp;MOD(ROUND($AV241,0),24)&amp;" giờ","")))))</f>
      </c>
      <c r="AF241" s="223">
        <f>IF(OR($A241="",N($AU241)=0),"",IF($AV241&lt;&gt;"",IF($AV241&lt;=$AU241,"Trong ước tính","Vượt "&amp;IF(($AV241-$AU241)&lt;1,MAX(1,ROUND(($AV241-$AU241)*60,0))&amp;" phút",IF(ROUND(($AV241-$AU241),0)&lt;24,ROUND(($AV241-$AU241),0)&amp;" giờ",INT(ROUND(($AV241-$AU241),0)/24)&amp;" ngày"&amp;IF(MOD(ROUND(($AV241-$AU241),0),24)&gt;0," "&amp;MOD(ROUND(($AV241-$AU241),0),24)&amp;" giờ","")))),IF(OR($B241&lt;&gt;"Đột xuất",$AA241="Hoàn thành",N($J241)=0),"",IF((TDBC-$J241)*24&gt;$AU241,"Đã vượt ước tính","Đã dùng "&amp;TEXT((TDBC-$J241)*24/$AU241,"0%")))))</f>
      </c>
      <c r="AG241" s="223">
        <f>IF(N($BB241)=0,"",CHOOSE($BB241,"Nhắc nhở","Cảnh báo","Báo động","Báo động đỏ"))</f>
      </c>
      <c r="AH241" s="223">
        <f>IF(OR($B241&lt;&gt;"Đột xuất",$AA241&lt;&gt;"Hoàn thành",N($X241)=0,$AW241=0),"",IF($X241&lt;=$AW241,"Đúng hạn","Trễ hạn"))</f>
      </c>
      <c r="AI241" s="220">
        <f>IF($A241="","",_xlfn.MAXIFS('Nhật ký tiến độ'!$B$6:$B$3005,'Nhật ký tiến độ'!$C$6:$C$3005,$A241))</f>
      </c>
      <c r="AJ241" s="225">
        <f>IF(OR($A241="",$B241&lt;&gt;"Định kỳ"),0,IFERROR(INDEX(DM_TanSuatNgay,MATCH($H241,DM_TanSuat,0)),0))</f>
      </c>
      <c r="AK241" s="225">
        <f>IF(OR($A241="",$B241&lt;&gt;"Định kỳ"),0,IFERROR(INDEX(DM_TanSuatThang,MATCH($H241,DM_TanSuat,0)),0))</f>
      </c>
      <c r="AL241" s="225">
        <f>IF(OR($A241="",$B241&lt;&gt;"Định kỳ",N($X241)=0,N($I241)=0),"",IF(INT($X241)&lt;$I241,0,IF($AJ241&gt;0,ROUND((INT($X241)-$I241)/$AJ241,0),IF($AK241&gt;0,ROUND((DATEDIF($I241,INT($X241),"m")+(INT($X241)-EDATE($I241,DATEDIF($I241,INT($X241),"m")))/(EDATE($I241,DATEDIF($I241,INT($X241),"m")+1)-EDATE($I241,DATEDIF($I241,INT($X241),"m"))))/$AK241,0),0))))</f>
      </c>
      <c r="AM241" s="225">
        <f>IF($A241="","",IF(COUNTIF('Nhật ký tiến độ'!$C$6:$C$3005,$A241)=0,0,_xlfn.MAXIFS('Nhật ký tiến độ'!$N$6:$N$3005,'Nhật ký tiến độ'!$C$6:$C$3005,$A241,'Nhật ký tiến độ'!$B$6:$B$3005,_xlfn.MAXIFS('Nhật ký tiến độ'!$B$6:$B$3005,'Nhật ký tiến độ'!$C$6:$C$3005,$A241))))</f>
      </c>
      <c r="AN241" s="225">
        <f>IF($A241="","",IF(N($AM241)=0,"",INDEX('Nhật ký tiến độ'!$E:$E,$AM241)))</f>
      </c>
      <c r="AO241" s="225">
        <f>IF($A241="",0,IF($AA241="Hoàn thành",0,1))</f>
      </c>
      <c r="AP241" s="225">
        <f>IF($AO241=0,0,INT(N($AW241)))</f>
      </c>
      <c r="AQ241" s="225">
        <f>IF(AND($AO241=1,$AJ241&gt;1),$AJ241,0)</f>
      </c>
      <c r="AR241" s="225">
        <f>IF(AND($AO241=1,$AJ241=1),1,0)</f>
      </c>
      <c r="AS241" s="225">
        <f>IF(OR($AO241=0,AND($AR241=1,N($BB241)=0)),"",IF(N($BB241)&gt;0,5-$BB241,IF($AD241="Chậm tiến độ",6,IF($AD241="Đến hạn hôm nay",7,IF(AND($AP241&gt;0,$AP241-NgayBC&lt;=7),8,"")))))</f>
      </c>
      <c r="AT241" s="225">
        <f>IF($AS241="","",$AS241*100000+$AP241+ROW()/100000)</f>
      </c>
      <c r="AU241" s="224">
        <f>IF(OR($A241="",N($R241)&lt;=0),"",IF($S241="Ngày",$R241*24,$R241))</f>
      </c>
      <c r="AV241" s="224">
        <f>IF($A241="","",IF($B241="Đột xuất",IF(OR($AA241&lt;&gt;"Hoàn thành",N($X241)=0,N($J241)=0),"",IF($X241&lt;$J241,"",($X241-$J241)*24)),IFERROR(AVERAGEIFS('Nhật ký tiến độ'!$H$6:$H$3005,'Nhật ký tiến độ'!$C$6:$C$3005,$A241,'Nhật ký tiến độ'!$H$6:$H$3005,"&gt;0"),"")))</f>
      </c>
      <c r="AW241" s="233">
        <f>IF($A241="",0,IF($B241="Đột xuất",$AY241,IF($AX241=0,0,$AX241+1-1/1440)))</f>
      </c>
      <c r="AX241" s="234">
        <f>IF(OR($A241="",$B241&lt;&gt;"Định kỳ",N($I241)=0),0,IF($AL241="",$I241,IF($AJ241&gt;0,$I241+($AL241+1)*$AJ241,IF($AK241&gt;0,EDATE($I241,($AL241+1)*$AK241),$I241))))</f>
      </c>
      <c r="AY241" s="233">
        <f>IF(OR($A241="",$B241&lt;&gt;"Đột xuất"),0,IF(N($K241)&gt;0,IF(MOD($K241,1)=0,$K241+1-1/1440,$K241),IF(N($J241)=0,0,$J241+IF(N($AU241)&gt;0,$AU241,IFERROR(INDEX(DM_SLA_Gio,MATCH($L241,DM_SLA_Cap,0)),168))/24)))</f>
      </c>
      <c r="AZ241" s="225">
        <f>IF(OR($A241="",TRIM($N241)="",COUNTIF('Phản ánh'!$K$6:$K$505,$N241)&gt;0,COUNTIF($N$6:$N241,$N241)&gt;1),0,1)</f>
      </c>
      <c r="BA241" s="225">
        <f>IF($AZ241=1,SUM($AZ$6:$AZ241),"")</f>
      </c>
      <c r="BB241" s="225">
        <f>IF(OR($AO241=0,N($AW241)=0),0,IF(TDBC&lt;=$AW241,0,MAX(1,MIN(4,IF((TDBC-$AW241)*24&lt;24,1,IF((TDBC-$AW241)*24&lt;72,2,IF((TDBC-$AW241)*24&lt;168,3,4)))+IF($B241="Đột xuất",IFERROR(INDEX({2,1,0,-1},MATCH($L241,{"Khẩn cấp","Cao","Trung bình","Thấp"},0)),0),IF($D241="PCCC và an ninh",1,0))))))</f>
      </c>
    </row>
    <row r="242">
      <c r="A242" s="216"/>
      <c r="B242" s="216"/>
      <c r="C242" s="218"/>
      <c r="D242" s="218"/>
      <c r="E242" s="218"/>
      <c r="F242" s="216"/>
      <c r="G242" s="218"/>
      <c r="H242" s="218"/>
      <c r="I242" s="231"/>
      <c r="J242" s="217"/>
      <c r="K242" s="217"/>
      <c r="L242" s="216"/>
      <c r="M242" s="216"/>
      <c r="N242" s="218"/>
      <c r="O242" s="218"/>
      <c r="P242" s="218"/>
      <c r="Q242" s="218"/>
      <c r="R242" s="219"/>
      <c r="S242" s="216"/>
      <c r="T242" s="232"/>
      <c r="U242" s="232"/>
      <c r="V242" s="218"/>
      <c r="W242" s="218"/>
      <c r="X242" s="220">
        <f>IF($A242="","",IF(OR($B242="Định kỳ",$AA242="Hoàn thành"),MAX(_xlfn.MAXIFS('Nhật ký tiến độ'!$B$6:$B$3005,'Nhật ký tiến độ'!$C$6:$C$3005,$A242,'Nhật ký tiến độ'!$E$6:$E$3005,"Hoàn thành kỳ"),_xlfn.MAXIFS('Nhật ký tiến độ'!$B$6:$B$3005,'Nhật ký tiến độ'!$C$6:$C$3005,$A242,'Nhật ký tiến độ'!$E$6:$E$3005,"Hoàn thành")),0))</f>
      </c>
      <c r="Y242" s="220">
        <f>IF($A242="","",IF($B242="Đột xuất",IF($AY242=0,"",$AY242),IF($AX242=0,"",$AX242)))</f>
      </c>
      <c r="Z242" s="223">
        <f>IF(OR($AO242=0,$AW242=0),"",IF(TDBC&gt;$AW242,"Quá "&amp;IF($B242="Định kỳ",(NgayBC-$AP242)&amp;" ngày",IF(((TDBC-$AW242)*24)&lt;1,MAX(1,ROUND(((TDBC-$AW242)*24)*60,0))&amp;" phút",IF(ROUND(((TDBC-$AW242)*24),0)&lt;24,ROUND(((TDBC-$AW242)*24),0)&amp;" giờ",INT(ROUND(((TDBC-$AW242)*24),0)/24)&amp;" ngày"&amp;IF(MOD(ROUND(((TDBC-$AW242)*24),0),24)&gt;0," "&amp;MOD(ROUND(((TDBC-$AW242)*24),0),24)&amp;" giờ","")))),IF($B242="Định kỳ",IF($AP242=NgayBC,"Hôm nay","Còn "&amp;($AP242-NgayBC)&amp;" ngày"),"Còn "&amp;IF((($AW242-TDBC)*24)&lt;1,MAX(1,ROUND((($AW242-TDBC)*24)*60,0))&amp;" phút",IF(ROUND((($AW242-TDBC)*24),0)&lt;24,ROUND((($AW242-TDBC)*24),0)&amp;" giờ",INT(ROUND((($AW242-TDBC)*24),0)/24)&amp;" ngày"&amp;IF(MOD(ROUND((($AW242-TDBC)*24),0),24)&gt;0," "&amp;MOD(ROUND((($AW242-TDBC)*24),0),24)&amp;" giờ",""))))))</f>
      </c>
      <c r="AA242" s="221">
        <f>IF($A242="","",IF(N($AM242)=0,"Chưa bắt đầu",IF(OR($AN242="Hoàn thành kỳ",$AN242="Hoàn thành"),IF($B242="Định kỳ","Chưa bắt đầu","Hoàn thành"),$AN242)))</f>
      </c>
      <c r="AB242" s="222">
        <f>IF($A242="","",IF($AA242="Hoàn thành",1,IF(OR(N($AM242)=0,$AN242="Hoàn thành kỳ",$AN242="Hoàn thành"),0,N(INDEX('Nhật ký tiến độ'!$D:$D,$AM242)))))</f>
      </c>
      <c r="AC242" s="222">
        <f>IF(OR($A242="",$B242&lt;&gt;"Đột xuất",$AA242="Hoàn thành",N($J242)=0,$AW242=0),"",IF(TDBC&lt;=$J242,0,IF(TDBC&gt;=$AW242,1,(TDBC-$J242)/($AW242-$J242))))</f>
      </c>
      <c r="AD242" s="223">
        <f>IF($A242="","",IF($AA242="Hoàn thành","Hoàn thành",IF($AW242=0,"Chưa đặt hạn",IF(TDBC&gt;$AW242,"Quá hạn",IF(AND($B242="Đột xuất",ROUND((N($AC242)-$AB242)*100,0)&gt;=20),"Chậm tiến độ",IF($AP242=NgayBC,"Đến hạn hôm nay",IF($B242="Đột xuất",IF($AW242-TDBC&lt;=1,"Sắp đến hạn","Đúng tiến độ"),IF($AP242-NgayBC&lt;=3,"Sắp đến hạn","Theo lịch"))))))))</f>
      </c>
      <c r="AE242" s="223">
        <f>IF($AV242="","",IF($B242="Định kỳ","Bình quân "&amp;IF($AV242&lt;1,MAX(1,ROUND($AV242*60,0))&amp;" phút",IF(ROUND($AV242,0)&lt;24,ROUND($AV242,0)&amp;" giờ",INT(ROUND($AV242,0)/24)&amp;" ngày"&amp;IF(MOD(ROUND($AV242,0),24)&gt;0," "&amp;MOD(ROUND($AV242,0),24)&amp;" giờ","")))&amp;" mỗi kỳ",IF($AV242&lt;1,MAX(1,ROUND($AV242*60,0))&amp;" phút",IF(ROUND($AV242,0)&lt;24,ROUND($AV242,0)&amp;" giờ",INT(ROUND($AV242,0)/24)&amp;" ngày"&amp;IF(MOD(ROUND($AV242,0),24)&gt;0," "&amp;MOD(ROUND($AV242,0),24)&amp;" giờ","")))))</f>
      </c>
      <c r="AF242" s="223">
        <f>IF(OR($A242="",N($AU242)=0),"",IF($AV242&lt;&gt;"",IF($AV242&lt;=$AU242,"Trong ước tính","Vượt "&amp;IF(($AV242-$AU242)&lt;1,MAX(1,ROUND(($AV242-$AU242)*60,0))&amp;" phút",IF(ROUND(($AV242-$AU242),0)&lt;24,ROUND(($AV242-$AU242),0)&amp;" giờ",INT(ROUND(($AV242-$AU242),0)/24)&amp;" ngày"&amp;IF(MOD(ROUND(($AV242-$AU242),0),24)&gt;0," "&amp;MOD(ROUND(($AV242-$AU242),0),24)&amp;" giờ","")))),IF(OR($B242&lt;&gt;"Đột xuất",$AA242="Hoàn thành",N($J242)=0),"",IF((TDBC-$J242)*24&gt;$AU242,"Đã vượt ước tính","Đã dùng "&amp;TEXT((TDBC-$J242)*24/$AU242,"0%")))))</f>
      </c>
      <c r="AG242" s="223">
        <f>IF(N($BB242)=0,"",CHOOSE($BB242,"Nhắc nhở","Cảnh báo","Báo động","Báo động đỏ"))</f>
      </c>
      <c r="AH242" s="223">
        <f>IF(OR($B242&lt;&gt;"Đột xuất",$AA242&lt;&gt;"Hoàn thành",N($X242)=0,$AW242=0),"",IF($X242&lt;=$AW242,"Đúng hạn","Trễ hạn"))</f>
      </c>
      <c r="AI242" s="220">
        <f>IF($A242="","",_xlfn.MAXIFS('Nhật ký tiến độ'!$B$6:$B$3005,'Nhật ký tiến độ'!$C$6:$C$3005,$A242))</f>
      </c>
      <c r="AJ242" s="225">
        <f>IF(OR($A242="",$B242&lt;&gt;"Định kỳ"),0,IFERROR(INDEX(DM_TanSuatNgay,MATCH($H242,DM_TanSuat,0)),0))</f>
      </c>
      <c r="AK242" s="225">
        <f>IF(OR($A242="",$B242&lt;&gt;"Định kỳ"),0,IFERROR(INDEX(DM_TanSuatThang,MATCH($H242,DM_TanSuat,0)),0))</f>
      </c>
      <c r="AL242" s="225">
        <f>IF(OR($A242="",$B242&lt;&gt;"Định kỳ",N($X242)=0,N($I242)=0),"",IF(INT($X242)&lt;$I242,0,IF($AJ242&gt;0,ROUND((INT($X242)-$I242)/$AJ242,0),IF($AK242&gt;0,ROUND((DATEDIF($I242,INT($X242),"m")+(INT($X242)-EDATE($I242,DATEDIF($I242,INT($X242),"m")))/(EDATE($I242,DATEDIF($I242,INT($X242),"m")+1)-EDATE($I242,DATEDIF($I242,INT($X242),"m"))))/$AK242,0),0))))</f>
      </c>
      <c r="AM242" s="225">
        <f>IF($A242="","",IF(COUNTIF('Nhật ký tiến độ'!$C$6:$C$3005,$A242)=0,0,_xlfn.MAXIFS('Nhật ký tiến độ'!$N$6:$N$3005,'Nhật ký tiến độ'!$C$6:$C$3005,$A242,'Nhật ký tiến độ'!$B$6:$B$3005,_xlfn.MAXIFS('Nhật ký tiến độ'!$B$6:$B$3005,'Nhật ký tiến độ'!$C$6:$C$3005,$A242))))</f>
      </c>
      <c r="AN242" s="225">
        <f>IF($A242="","",IF(N($AM242)=0,"",INDEX('Nhật ký tiến độ'!$E:$E,$AM242)))</f>
      </c>
      <c r="AO242" s="225">
        <f>IF($A242="",0,IF($AA242="Hoàn thành",0,1))</f>
      </c>
      <c r="AP242" s="225">
        <f>IF($AO242=0,0,INT(N($AW242)))</f>
      </c>
      <c r="AQ242" s="225">
        <f>IF(AND($AO242=1,$AJ242&gt;1),$AJ242,0)</f>
      </c>
      <c r="AR242" s="225">
        <f>IF(AND($AO242=1,$AJ242=1),1,0)</f>
      </c>
      <c r="AS242" s="225">
        <f>IF(OR($AO242=0,AND($AR242=1,N($BB242)=0)),"",IF(N($BB242)&gt;0,5-$BB242,IF($AD242="Chậm tiến độ",6,IF($AD242="Đến hạn hôm nay",7,IF(AND($AP242&gt;0,$AP242-NgayBC&lt;=7),8,"")))))</f>
      </c>
      <c r="AT242" s="225">
        <f>IF($AS242="","",$AS242*100000+$AP242+ROW()/100000)</f>
      </c>
      <c r="AU242" s="224">
        <f>IF(OR($A242="",N($R242)&lt;=0),"",IF($S242="Ngày",$R242*24,$R242))</f>
      </c>
      <c r="AV242" s="224">
        <f>IF($A242="","",IF($B242="Đột xuất",IF(OR($AA242&lt;&gt;"Hoàn thành",N($X242)=0,N($J242)=0),"",IF($X242&lt;$J242,"",($X242-$J242)*24)),IFERROR(AVERAGEIFS('Nhật ký tiến độ'!$H$6:$H$3005,'Nhật ký tiến độ'!$C$6:$C$3005,$A242,'Nhật ký tiến độ'!$H$6:$H$3005,"&gt;0"),"")))</f>
      </c>
      <c r="AW242" s="233">
        <f>IF($A242="",0,IF($B242="Đột xuất",$AY242,IF($AX242=0,0,$AX242+1-1/1440)))</f>
      </c>
      <c r="AX242" s="234">
        <f>IF(OR($A242="",$B242&lt;&gt;"Định kỳ",N($I242)=0),0,IF($AL242="",$I242,IF($AJ242&gt;0,$I242+($AL242+1)*$AJ242,IF($AK242&gt;0,EDATE($I242,($AL242+1)*$AK242),$I242))))</f>
      </c>
      <c r="AY242" s="233">
        <f>IF(OR($A242="",$B242&lt;&gt;"Đột xuất"),0,IF(N($K242)&gt;0,IF(MOD($K242,1)=0,$K242+1-1/1440,$K242),IF(N($J242)=0,0,$J242+IF(N($AU242)&gt;0,$AU242,IFERROR(INDEX(DM_SLA_Gio,MATCH($L242,DM_SLA_Cap,0)),168))/24)))</f>
      </c>
      <c r="AZ242" s="225">
        <f>IF(OR($A242="",TRIM($N242)="",COUNTIF('Phản ánh'!$K$6:$K$505,$N242)&gt;0,COUNTIF($N$6:$N242,$N242)&gt;1),0,1)</f>
      </c>
      <c r="BA242" s="225">
        <f>IF($AZ242=1,SUM($AZ$6:$AZ242),"")</f>
      </c>
      <c r="BB242" s="225">
        <f>IF(OR($AO242=0,N($AW242)=0),0,IF(TDBC&lt;=$AW242,0,MAX(1,MIN(4,IF((TDBC-$AW242)*24&lt;24,1,IF((TDBC-$AW242)*24&lt;72,2,IF((TDBC-$AW242)*24&lt;168,3,4)))+IF($B242="Đột xuất",IFERROR(INDEX({2,1,0,-1},MATCH($L242,{"Khẩn cấp","Cao","Trung bình","Thấp"},0)),0),IF($D242="PCCC và an ninh",1,0))))))</f>
      </c>
    </row>
    <row r="243">
      <c r="A243" s="216"/>
      <c r="B243" s="216"/>
      <c r="C243" s="218"/>
      <c r="D243" s="218"/>
      <c r="E243" s="218"/>
      <c r="F243" s="216"/>
      <c r="G243" s="218"/>
      <c r="H243" s="218"/>
      <c r="I243" s="231"/>
      <c r="J243" s="217"/>
      <c r="K243" s="217"/>
      <c r="L243" s="216"/>
      <c r="M243" s="216"/>
      <c r="N243" s="218"/>
      <c r="O243" s="218"/>
      <c r="P243" s="218"/>
      <c r="Q243" s="218"/>
      <c r="R243" s="219"/>
      <c r="S243" s="216"/>
      <c r="T243" s="232"/>
      <c r="U243" s="232"/>
      <c r="V243" s="218"/>
      <c r="W243" s="218"/>
      <c r="X243" s="220">
        <f>IF($A243="","",IF(OR($B243="Định kỳ",$AA243="Hoàn thành"),MAX(_xlfn.MAXIFS('Nhật ký tiến độ'!$B$6:$B$3005,'Nhật ký tiến độ'!$C$6:$C$3005,$A243,'Nhật ký tiến độ'!$E$6:$E$3005,"Hoàn thành kỳ"),_xlfn.MAXIFS('Nhật ký tiến độ'!$B$6:$B$3005,'Nhật ký tiến độ'!$C$6:$C$3005,$A243,'Nhật ký tiến độ'!$E$6:$E$3005,"Hoàn thành")),0))</f>
      </c>
      <c r="Y243" s="220">
        <f>IF($A243="","",IF($B243="Đột xuất",IF($AY243=0,"",$AY243),IF($AX243=0,"",$AX243)))</f>
      </c>
      <c r="Z243" s="223">
        <f>IF(OR($AO243=0,$AW243=0),"",IF(TDBC&gt;$AW243,"Quá "&amp;IF($B243="Định kỳ",(NgayBC-$AP243)&amp;" ngày",IF(((TDBC-$AW243)*24)&lt;1,MAX(1,ROUND(((TDBC-$AW243)*24)*60,0))&amp;" phút",IF(ROUND(((TDBC-$AW243)*24),0)&lt;24,ROUND(((TDBC-$AW243)*24),0)&amp;" giờ",INT(ROUND(((TDBC-$AW243)*24),0)/24)&amp;" ngày"&amp;IF(MOD(ROUND(((TDBC-$AW243)*24),0),24)&gt;0," "&amp;MOD(ROUND(((TDBC-$AW243)*24),0),24)&amp;" giờ","")))),IF($B243="Định kỳ",IF($AP243=NgayBC,"Hôm nay","Còn "&amp;($AP243-NgayBC)&amp;" ngày"),"Còn "&amp;IF((($AW243-TDBC)*24)&lt;1,MAX(1,ROUND((($AW243-TDBC)*24)*60,0))&amp;" phút",IF(ROUND((($AW243-TDBC)*24),0)&lt;24,ROUND((($AW243-TDBC)*24),0)&amp;" giờ",INT(ROUND((($AW243-TDBC)*24),0)/24)&amp;" ngày"&amp;IF(MOD(ROUND((($AW243-TDBC)*24),0),24)&gt;0," "&amp;MOD(ROUND((($AW243-TDBC)*24),0),24)&amp;" giờ",""))))))</f>
      </c>
      <c r="AA243" s="221">
        <f>IF($A243="","",IF(N($AM243)=0,"Chưa bắt đầu",IF(OR($AN243="Hoàn thành kỳ",$AN243="Hoàn thành"),IF($B243="Định kỳ","Chưa bắt đầu","Hoàn thành"),$AN243)))</f>
      </c>
      <c r="AB243" s="222">
        <f>IF($A243="","",IF($AA243="Hoàn thành",1,IF(OR(N($AM243)=0,$AN243="Hoàn thành kỳ",$AN243="Hoàn thành"),0,N(INDEX('Nhật ký tiến độ'!$D:$D,$AM243)))))</f>
      </c>
      <c r="AC243" s="222">
        <f>IF(OR($A243="",$B243&lt;&gt;"Đột xuất",$AA243="Hoàn thành",N($J243)=0,$AW243=0),"",IF(TDBC&lt;=$J243,0,IF(TDBC&gt;=$AW243,1,(TDBC-$J243)/($AW243-$J243))))</f>
      </c>
      <c r="AD243" s="223">
        <f>IF($A243="","",IF($AA243="Hoàn thành","Hoàn thành",IF($AW243=0,"Chưa đặt hạn",IF(TDBC&gt;$AW243,"Quá hạn",IF(AND($B243="Đột xuất",ROUND((N($AC243)-$AB243)*100,0)&gt;=20),"Chậm tiến độ",IF($AP243=NgayBC,"Đến hạn hôm nay",IF($B243="Đột xuất",IF($AW243-TDBC&lt;=1,"Sắp đến hạn","Đúng tiến độ"),IF($AP243-NgayBC&lt;=3,"Sắp đến hạn","Theo lịch"))))))))</f>
      </c>
      <c r="AE243" s="223">
        <f>IF($AV243="","",IF($B243="Định kỳ","Bình quân "&amp;IF($AV243&lt;1,MAX(1,ROUND($AV243*60,0))&amp;" phút",IF(ROUND($AV243,0)&lt;24,ROUND($AV243,0)&amp;" giờ",INT(ROUND($AV243,0)/24)&amp;" ngày"&amp;IF(MOD(ROUND($AV243,0),24)&gt;0," "&amp;MOD(ROUND($AV243,0),24)&amp;" giờ","")))&amp;" mỗi kỳ",IF($AV243&lt;1,MAX(1,ROUND($AV243*60,0))&amp;" phút",IF(ROUND($AV243,0)&lt;24,ROUND($AV243,0)&amp;" giờ",INT(ROUND($AV243,0)/24)&amp;" ngày"&amp;IF(MOD(ROUND($AV243,0),24)&gt;0," "&amp;MOD(ROUND($AV243,0),24)&amp;" giờ","")))))</f>
      </c>
      <c r="AF243" s="223">
        <f>IF(OR($A243="",N($AU243)=0),"",IF($AV243&lt;&gt;"",IF($AV243&lt;=$AU243,"Trong ước tính","Vượt "&amp;IF(($AV243-$AU243)&lt;1,MAX(1,ROUND(($AV243-$AU243)*60,0))&amp;" phút",IF(ROUND(($AV243-$AU243),0)&lt;24,ROUND(($AV243-$AU243),0)&amp;" giờ",INT(ROUND(($AV243-$AU243),0)/24)&amp;" ngày"&amp;IF(MOD(ROUND(($AV243-$AU243),0),24)&gt;0," "&amp;MOD(ROUND(($AV243-$AU243),0),24)&amp;" giờ","")))),IF(OR($B243&lt;&gt;"Đột xuất",$AA243="Hoàn thành",N($J243)=0),"",IF((TDBC-$J243)*24&gt;$AU243,"Đã vượt ước tính","Đã dùng "&amp;TEXT((TDBC-$J243)*24/$AU243,"0%")))))</f>
      </c>
      <c r="AG243" s="223">
        <f>IF(N($BB243)=0,"",CHOOSE($BB243,"Nhắc nhở","Cảnh báo","Báo động","Báo động đỏ"))</f>
      </c>
      <c r="AH243" s="223">
        <f>IF(OR($B243&lt;&gt;"Đột xuất",$AA243&lt;&gt;"Hoàn thành",N($X243)=0,$AW243=0),"",IF($X243&lt;=$AW243,"Đúng hạn","Trễ hạn"))</f>
      </c>
      <c r="AI243" s="220">
        <f>IF($A243="","",_xlfn.MAXIFS('Nhật ký tiến độ'!$B$6:$B$3005,'Nhật ký tiến độ'!$C$6:$C$3005,$A243))</f>
      </c>
      <c r="AJ243" s="225">
        <f>IF(OR($A243="",$B243&lt;&gt;"Định kỳ"),0,IFERROR(INDEX(DM_TanSuatNgay,MATCH($H243,DM_TanSuat,0)),0))</f>
      </c>
      <c r="AK243" s="225">
        <f>IF(OR($A243="",$B243&lt;&gt;"Định kỳ"),0,IFERROR(INDEX(DM_TanSuatThang,MATCH($H243,DM_TanSuat,0)),0))</f>
      </c>
      <c r="AL243" s="225">
        <f>IF(OR($A243="",$B243&lt;&gt;"Định kỳ",N($X243)=0,N($I243)=0),"",IF(INT($X243)&lt;$I243,0,IF($AJ243&gt;0,ROUND((INT($X243)-$I243)/$AJ243,0),IF($AK243&gt;0,ROUND((DATEDIF($I243,INT($X243),"m")+(INT($X243)-EDATE($I243,DATEDIF($I243,INT($X243),"m")))/(EDATE($I243,DATEDIF($I243,INT($X243),"m")+1)-EDATE($I243,DATEDIF($I243,INT($X243),"m"))))/$AK243,0),0))))</f>
      </c>
      <c r="AM243" s="225">
        <f>IF($A243="","",IF(COUNTIF('Nhật ký tiến độ'!$C$6:$C$3005,$A243)=0,0,_xlfn.MAXIFS('Nhật ký tiến độ'!$N$6:$N$3005,'Nhật ký tiến độ'!$C$6:$C$3005,$A243,'Nhật ký tiến độ'!$B$6:$B$3005,_xlfn.MAXIFS('Nhật ký tiến độ'!$B$6:$B$3005,'Nhật ký tiến độ'!$C$6:$C$3005,$A243))))</f>
      </c>
      <c r="AN243" s="225">
        <f>IF($A243="","",IF(N($AM243)=0,"",INDEX('Nhật ký tiến độ'!$E:$E,$AM243)))</f>
      </c>
      <c r="AO243" s="225">
        <f>IF($A243="",0,IF($AA243="Hoàn thành",0,1))</f>
      </c>
      <c r="AP243" s="225">
        <f>IF($AO243=0,0,INT(N($AW243)))</f>
      </c>
      <c r="AQ243" s="225">
        <f>IF(AND($AO243=1,$AJ243&gt;1),$AJ243,0)</f>
      </c>
      <c r="AR243" s="225">
        <f>IF(AND($AO243=1,$AJ243=1),1,0)</f>
      </c>
      <c r="AS243" s="225">
        <f>IF(OR($AO243=0,AND($AR243=1,N($BB243)=0)),"",IF(N($BB243)&gt;0,5-$BB243,IF($AD243="Chậm tiến độ",6,IF($AD243="Đến hạn hôm nay",7,IF(AND($AP243&gt;0,$AP243-NgayBC&lt;=7),8,"")))))</f>
      </c>
      <c r="AT243" s="225">
        <f>IF($AS243="","",$AS243*100000+$AP243+ROW()/100000)</f>
      </c>
      <c r="AU243" s="224">
        <f>IF(OR($A243="",N($R243)&lt;=0),"",IF($S243="Ngày",$R243*24,$R243))</f>
      </c>
      <c r="AV243" s="224">
        <f>IF($A243="","",IF($B243="Đột xuất",IF(OR($AA243&lt;&gt;"Hoàn thành",N($X243)=0,N($J243)=0),"",IF($X243&lt;$J243,"",($X243-$J243)*24)),IFERROR(AVERAGEIFS('Nhật ký tiến độ'!$H$6:$H$3005,'Nhật ký tiến độ'!$C$6:$C$3005,$A243,'Nhật ký tiến độ'!$H$6:$H$3005,"&gt;0"),"")))</f>
      </c>
      <c r="AW243" s="233">
        <f>IF($A243="",0,IF($B243="Đột xuất",$AY243,IF($AX243=0,0,$AX243+1-1/1440)))</f>
      </c>
      <c r="AX243" s="234">
        <f>IF(OR($A243="",$B243&lt;&gt;"Định kỳ",N($I243)=0),0,IF($AL243="",$I243,IF($AJ243&gt;0,$I243+($AL243+1)*$AJ243,IF($AK243&gt;0,EDATE($I243,($AL243+1)*$AK243),$I243))))</f>
      </c>
      <c r="AY243" s="233">
        <f>IF(OR($A243="",$B243&lt;&gt;"Đột xuất"),0,IF(N($K243)&gt;0,IF(MOD($K243,1)=0,$K243+1-1/1440,$K243),IF(N($J243)=0,0,$J243+IF(N($AU243)&gt;0,$AU243,IFERROR(INDEX(DM_SLA_Gio,MATCH($L243,DM_SLA_Cap,0)),168))/24)))</f>
      </c>
      <c r="AZ243" s="225">
        <f>IF(OR($A243="",TRIM($N243)="",COUNTIF('Phản ánh'!$K$6:$K$505,$N243)&gt;0,COUNTIF($N$6:$N243,$N243)&gt;1),0,1)</f>
      </c>
      <c r="BA243" s="225">
        <f>IF($AZ243=1,SUM($AZ$6:$AZ243),"")</f>
      </c>
      <c r="BB243" s="225">
        <f>IF(OR($AO243=0,N($AW243)=0),0,IF(TDBC&lt;=$AW243,0,MAX(1,MIN(4,IF((TDBC-$AW243)*24&lt;24,1,IF((TDBC-$AW243)*24&lt;72,2,IF((TDBC-$AW243)*24&lt;168,3,4)))+IF($B243="Đột xuất",IFERROR(INDEX({2,1,0,-1},MATCH($L243,{"Khẩn cấp","Cao","Trung bình","Thấp"},0)),0),IF($D243="PCCC và an ninh",1,0))))))</f>
      </c>
    </row>
    <row r="244">
      <c r="A244" s="216"/>
      <c r="B244" s="216"/>
      <c r="C244" s="218"/>
      <c r="D244" s="218"/>
      <c r="E244" s="218"/>
      <c r="F244" s="216"/>
      <c r="G244" s="218"/>
      <c r="H244" s="218"/>
      <c r="I244" s="231"/>
      <c r="J244" s="217"/>
      <c r="K244" s="217"/>
      <c r="L244" s="216"/>
      <c r="M244" s="216"/>
      <c r="N244" s="218"/>
      <c r="O244" s="218"/>
      <c r="P244" s="218"/>
      <c r="Q244" s="218"/>
      <c r="R244" s="219"/>
      <c r="S244" s="216"/>
      <c r="T244" s="232"/>
      <c r="U244" s="232"/>
      <c r="V244" s="218"/>
      <c r="W244" s="218"/>
      <c r="X244" s="220">
        <f>IF($A244="","",IF(OR($B244="Định kỳ",$AA244="Hoàn thành"),MAX(_xlfn.MAXIFS('Nhật ký tiến độ'!$B$6:$B$3005,'Nhật ký tiến độ'!$C$6:$C$3005,$A244,'Nhật ký tiến độ'!$E$6:$E$3005,"Hoàn thành kỳ"),_xlfn.MAXIFS('Nhật ký tiến độ'!$B$6:$B$3005,'Nhật ký tiến độ'!$C$6:$C$3005,$A244,'Nhật ký tiến độ'!$E$6:$E$3005,"Hoàn thành")),0))</f>
      </c>
      <c r="Y244" s="220">
        <f>IF($A244="","",IF($B244="Đột xuất",IF($AY244=0,"",$AY244),IF($AX244=0,"",$AX244)))</f>
      </c>
      <c r="Z244" s="223">
        <f>IF(OR($AO244=0,$AW244=0),"",IF(TDBC&gt;$AW244,"Quá "&amp;IF($B244="Định kỳ",(NgayBC-$AP244)&amp;" ngày",IF(((TDBC-$AW244)*24)&lt;1,MAX(1,ROUND(((TDBC-$AW244)*24)*60,0))&amp;" phút",IF(ROUND(((TDBC-$AW244)*24),0)&lt;24,ROUND(((TDBC-$AW244)*24),0)&amp;" giờ",INT(ROUND(((TDBC-$AW244)*24),0)/24)&amp;" ngày"&amp;IF(MOD(ROUND(((TDBC-$AW244)*24),0),24)&gt;0," "&amp;MOD(ROUND(((TDBC-$AW244)*24),0),24)&amp;" giờ","")))),IF($B244="Định kỳ",IF($AP244=NgayBC,"Hôm nay","Còn "&amp;($AP244-NgayBC)&amp;" ngày"),"Còn "&amp;IF((($AW244-TDBC)*24)&lt;1,MAX(1,ROUND((($AW244-TDBC)*24)*60,0))&amp;" phút",IF(ROUND((($AW244-TDBC)*24),0)&lt;24,ROUND((($AW244-TDBC)*24),0)&amp;" giờ",INT(ROUND((($AW244-TDBC)*24),0)/24)&amp;" ngày"&amp;IF(MOD(ROUND((($AW244-TDBC)*24),0),24)&gt;0," "&amp;MOD(ROUND((($AW244-TDBC)*24),0),24)&amp;" giờ",""))))))</f>
      </c>
      <c r="AA244" s="221">
        <f>IF($A244="","",IF(N($AM244)=0,"Chưa bắt đầu",IF(OR($AN244="Hoàn thành kỳ",$AN244="Hoàn thành"),IF($B244="Định kỳ","Chưa bắt đầu","Hoàn thành"),$AN244)))</f>
      </c>
      <c r="AB244" s="222">
        <f>IF($A244="","",IF($AA244="Hoàn thành",1,IF(OR(N($AM244)=0,$AN244="Hoàn thành kỳ",$AN244="Hoàn thành"),0,N(INDEX('Nhật ký tiến độ'!$D:$D,$AM244)))))</f>
      </c>
      <c r="AC244" s="222">
        <f>IF(OR($A244="",$B244&lt;&gt;"Đột xuất",$AA244="Hoàn thành",N($J244)=0,$AW244=0),"",IF(TDBC&lt;=$J244,0,IF(TDBC&gt;=$AW244,1,(TDBC-$J244)/($AW244-$J244))))</f>
      </c>
      <c r="AD244" s="223">
        <f>IF($A244="","",IF($AA244="Hoàn thành","Hoàn thành",IF($AW244=0,"Chưa đặt hạn",IF(TDBC&gt;$AW244,"Quá hạn",IF(AND($B244="Đột xuất",ROUND((N($AC244)-$AB244)*100,0)&gt;=20),"Chậm tiến độ",IF($AP244=NgayBC,"Đến hạn hôm nay",IF($B244="Đột xuất",IF($AW244-TDBC&lt;=1,"Sắp đến hạn","Đúng tiến độ"),IF($AP244-NgayBC&lt;=3,"Sắp đến hạn","Theo lịch"))))))))</f>
      </c>
      <c r="AE244" s="223">
        <f>IF($AV244="","",IF($B244="Định kỳ","Bình quân "&amp;IF($AV244&lt;1,MAX(1,ROUND($AV244*60,0))&amp;" phút",IF(ROUND($AV244,0)&lt;24,ROUND($AV244,0)&amp;" giờ",INT(ROUND($AV244,0)/24)&amp;" ngày"&amp;IF(MOD(ROUND($AV244,0),24)&gt;0," "&amp;MOD(ROUND($AV244,0),24)&amp;" giờ","")))&amp;" mỗi kỳ",IF($AV244&lt;1,MAX(1,ROUND($AV244*60,0))&amp;" phút",IF(ROUND($AV244,0)&lt;24,ROUND($AV244,0)&amp;" giờ",INT(ROUND($AV244,0)/24)&amp;" ngày"&amp;IF(MOD(ROUND($AV244,0),24)&gt;0," "&amp;MOD(ROUND($AV244,0),24)&amp;" giờ","")))))</f>
      </c>
      <c r="AF244" s="223">
        <f>IF(OR($A244="",N($AU244)=0),"",IF($AV244&lt;&gt;"",IF($AV244&lt;=$AU244,"Trong ước tính","Vượt "&amp;IF(($AV244-$AU244)&lt;1,MAX(1,ROUND(($AV244-$AU244)*60,0))&amp;" phút",IF(ROUND(($AV244-$AU244),0)&lt;24,ROUND(($AV244-$AU244),0)&amp;" giờ",INT(ROUND(($AV244-$AU244),0)/24)&amp;" ngày"&amp;IF(MOD(ROUND(($AV244-$AU244),0),24)&gt;0," "&amp;MOD(ROUND(($AV244-$AU244),0),24)&amp;" giờ","")))),IF(OR($B244&lt;&gt;"Đột xuất",$AA244="Hoàn thành",N($J244)=0),"",IF((TDBC-$J244)*24&gt;$AU244,"Đã vượt ước tính","Đã dùng "&amp;TEXT((TDBC-$J244)*24/$AU244,"0%")))))</f>
      </c>
      <c r="AG244" s="223">
        <f>IF(N($BB244)=0,"",CHOOSE($BB244,"Nhắc nhở","Cảnh báo","Báo động","Báo động đỏ"))</f>
      </c>
      <c r="AH244" s="223">
        <f>IF(OR($B244&lt;&gt;"Đột xuất",$AA244&lt;&gt;"Hoàn thành",N($X244)=0,$AW244=0),"",IF($X244&lt;=$AW244,"Đúng hạn","Trễ hạn"))</f>
      </c>
      <c r="AI244" s="220">
        <f>IF($A244="","",_xlfn.MAXIFS('Nhật ký tiến độ'!$B$6:$B$3005,'Nhật ký tiến độ'!$C$6:$C$3005,$A244))</f>
      </c>
      <c r="AJ244" s="225">
        <f>IF(OR($A244="",$B244&lt;&gt;"Định kỳ"),0,IFERROR(INDEX(DM_TanSuatNgay,MATCH($H244,DM_TanSuat,0)),0))</f>
      </c>
      <c r="AK244" s="225">
        <f>IF(OR($A244="",$B244&lt;&gt;"Định kỳ"),0,IFERROR(INDEX(DM_TanSuatThang,MATCH($H244,DM_TanSuat,0)),0))</f>
      </c>
      <c r="AL244" s="225">
        <f>IF(OR($A244="",$B244&lt;&gt;"Định kỳ",N($X244)=0,N($I244)=0),"",IF(INT($X244)&lt;$I244,0,IF($AJ244&gt;0,ROUND((INT($X244)-$I244)/$AJ244,0),IF($AK244&gt;0,ROUND((DATEDIF($I244,INT($X244),"m")+(INT($X244)-EDATE($I244,DATEDIF($I244,INT($X244),"m")))/(EDATE($I244,DATEDIF($I244,INT($X244),"m")+1)-EDATE($I244,DATEDIF($I244,INT($X244),"m"))))/$AK244,0),0))))</f>
      </c>
      <c r="AM244" s="225">
        <f>IF($A244="","",IF(COUNTIF('Nhật ký tiến độ'!$C$6:$C$3005,$A244)=0,0,_xlfn.MAXIFS('Nhật ký tiến độ'!$N$6:$N$3005,'Nhật ký tiến độ'!$C$6:$C$3005,$A244,'Nhật ký tiến độ'!$B$6:$B$3005,_xlfn.MAXIFS('Nhật ký tiến độ'!$B$6:$B$3005,'Nhật ký tiến độ'!$C$6:$C$3005,$A244))))</f>
      </c>
      <c r="AN244" s="225">
        <f>IF($A244="","",IF(N($AM244)=0,"",INDEX('Nhật ký tiến độ'!$E:$E,$AM244)))</f>
      </c>
      <c r="AO244" s="225">
        <f>IF($A244="",0,IF($AA244="Hoàn thành",0,1))</f>
      </c>
      <c r="AP244" s="225">
        <f>IF($AO244=0,0,INT(N($AW244)))</f>
      </c>
      <c r="AQ244" s="225">
        <f>IF(AND($AO244=1,$AJ244&gt;1),$AJ244,0)</f>
      </c>
      <c r="AR244" s="225">
        <f>IF(AND($AO244=1,$AJ244=1),1,0)</f>
      </c>
      <c r="AS244" s="225">
        <f>IF(OR($AO244=0,AND($AR244=1,N($BB244)=0)),"",IF(N($BB244)&gt;0,5-$BB244,IF($AD244="Chậm tiến độ",6,IF($AD244="Đến hạn hôm nay",7,IF(AND($AP244&gt;0,$AP244-NgayBC&lt;=7),8,"")))))</f>
      </c>
      <c r="AT244" s="225">
        <f>IF($AS244="","",$AS244*100000+$AP244+ROW()/100000)</f>
      </c>
      <c r="AU244" s="224">
        <f>IF(OR($A244="",N($R244)&lt;=0),"",IF($S244="Ngày",$R244*24,$R244))</f>
      </c>
      <c r="AV244" s="224">
        <f>IF($A244="","",IF($B244="Đột xuất",IF(OR($AA244&lt;&gt;"Hoàn thành",N($X244)=0,N($J244)=0),"",IF($X244&lt;$J244,"",($X244-$J244)*24)),IFERROR(AVERAGEIFS('Nhật ký tiến độ'!$H$6:$H$3005,'Nhật ký tiến độ'!$C$6:$C$3005,$A244,'Nhật ký tiến độ'!$H$6:$H$3005,"&gt;0"),"")))</f>
      </c>
      <c r="AW244" s="233">
        <f>IF($A244="",0,IF($B244="Đột xuất",$AY244,IF($AX244=0,0,$AX244+1-1/1440)))</f>
      </c>
      <c r="AX244" s="234">
        <f>IF(OR($A244="",$B244&lt;&gt;"Định kỳ",N($I244)=0),0,IF($AL244="",$I244,IF($AJ244&gt;0,$I244+($AL244+1)*$AJ244,IF($AK244&gt;0,EDATE($I244,($AL244+1)*$AK244),$I244))))</f>
      </c>
      <c r="AY244" s="233">
        <f>IF(OR($A244="",$B244&lt;&gt;"Đột xuất"),0,IF(N($K244)&gt;0,IF(MOD($K244,1)=0,$K244+1-1/1440,$K244),IF(N($J244)=0,0,$J244+IF(N($AU244)&gt;0,$AU244,IFERROR(INDEX(DM_SLA_Gio,MATCH($L244,DM_SLA_Cap,0)),168))/24)))</f>
      </c>
      <c r="AZ244" s="225">
        <f>IF(OR($A244="",TRIM($N244)="",COUNTIF('Phản ánh'!$K$6:$K$505,$N244)&gt;0,COUNTIF($N$6:$N244,$N244)&gt;1),0,1)</f>
      </c>
      <c r="BA244" s="225">
        <f>IF($AZ244=1,SUM($AZ$6:$AZ244),"")</f>
      </c>
      <c r="BB244" s="225">
        <f>IF(OR($AO244=0,N($AW244)=0),0,IF(TDBC&lt;=$AW244,0,MAX(1,MIN(4,IF((TDBC-$AW244)*24&lt;24,1,IF((TDBC-$AW244)*24&lt;72,2,IF((TDBC-$AW244)*24&lt;168,3,4)))+IF($B244="Đột xuất",IFERROR(INDEX({2,1,0,-1},MATCH($L244,{"Khẩn cấp","Cao","Trung bình","Thấp"},0)),0),IF($D244="PCCC và an ninh",1,0))))))</f>
      </c>
    </row>
    <row r="245">
      <c r="A245" s="216"/>
      <c r="B245" s="216"/>
      <c r="C245" s="218"/>
      <c r="D245" s="218"/>
      <c r="E245" s="218"/>
      <c r="F245" s="216"/>
      <c r="G245" s="218"/>
      <c r="H245" s="218"/>
      <c r="I245" s="231"/>
      <c r="J245" s="217"/>
      <c r="K245" s="217"/>
      <c r="L245" s="216"/>
      <c r="M245" s="216"/>
      <c r="N245" s="218"/>
      <c r="O245" s="218"/>
      <c r="P245" s="218"/>
      <c r="Q245" s="218"/>
      <c r="R245" s="219"/>
      <c r="S245" s="216"/>
      <c r="T245" s="232"/>
      <c r="U245" s="232"/>
      <c r="V245" s="218"/>
      <c r="W245" s="218"/>
      <c r="X245" s="220">
        <f>IF($A245="","",IF(OR($B245="Định kỳ",$AA245="Hoàn thành"),MAX(_xlfn.MAXIFS('Nhật ký tiến độ'!$B$6:$B$3005,'Nhật ký tiến độ'!$C$6:$C$3005,$A245,'Nhật ký tiến độ'!$E$6:$E$3005,"Hoàn thành kỳ"),_xlfn.MAXIFS('Nhật ký tiến độ'!$B$6:$B$3005,'Nhật ký tiến độ'!$C$6:$C$3005,$A245,'Nhật ký tiến độ'!$E$6:$E$3005,"Hoàn thành")),0))</f>
      </c>
      <c r="Y245" s="220">
        <f>IF($A245="","",IF($B245="Đột xuất",IF($AY245=0,"",$AY245),IF($AX245=0,"",$AX245)))</f>
      </c>
      <c r="Z245" s="223">
        <f>IF(OR($AO245=0,$AW245=0),"",IF(TDBC&gt;$AW245,"Quá "&amp;IF($B245="Định kỳ",(NgayBC-$AP245)&amp;" ngày",IF(((TDBC-$AW245)*24)&lt;1,MAX(1,ROUND(((TDBC-$AW245)*24)*60,0))&amp;" phút",IF(ROUND(((TDBC-$AW245)*24),0)&lt;24,ROUND(((TDBC-$AW245)*24),0)&amp;" giờ",INT(ROUND(((TDBC-$AW245)*24),0)/24)&amp;" ngày"&amp;IF(MOD(ROUND(((TDBC-$AW245)*24),0),24)&gt;0," "&amp;MOD(ROUND(((TDBC-$AW245)*24),0),24)&amp;" giờ","")))),IF($B245="Định kỳ",IF($AP245=NgayBC,"Hôm nay","Còn "&amp;($AP245-NgayBC)&amp;" ngày"),"Còn "&amp;IF((($AW245-TDBC)*24)&lt;1,MAX(1,ROUND((($AW245-TDBC)*24)*60,0))&amp;" phút",IF(ROUND((($AW245-TDBC)*24),0)&lt;24,ROUND((($AW245-TDBC)*24),0)&amp;" giờ",INT(ROUND((($AW245-TDBC)*24),0)/24)&amp;" ngày"&amp;IF(MOD(ROUND((($AW245-TDBC)*24),0),24)&gt;0," "&amp;MOD(ROUND((($AW245-TDBC)*24),0),24)&amp;" giờ",""))))))</f>
      </c>
      <c r="AA245" s="221">
        <f>IF($A245="","",IF(N($AM245)=0,"Chưa bắt đầu",IF(OR($AN245="Hoàn thành kỳ",$AN245="Hoàn thành"),IF($B245="Định kỳ","Chưa bắt đầu","Hoàn thành"),$AN245)))</f>
      </c>
      <c r="AB245" s="222">
        <f>IF($A245="","",IF($AA245="Hoàn thành",1,IF(OR(N($AM245)=0,$AN245="Hoàn thành kỳ",$AN245="Hoàn thành"),0,N(INDEX('Nhật ký tiến độ'!$D:$D,$AM245)))))</f>
      </c>
      <c r="AC245" s="222">
        <f>IF(OR($A245="",$B245&lt;&gt;"Đột xuất",$AA245="Hoàn thành",N($J245)=0,$AW245=0),"",IF(TDBC&lt;=$J245,0,IF(TDBC&gt;=$AW245,1,(TDBC-$J245)/($AW245-$J245))))</f>
      </c>
      <c r="AD245" s="223">
        <f>IF($A245="","",IF($AA245="Hoàn thành","Hoàn thành",IF($AW245=0,"Chưa đặt hạn",IF(TDBC&gt;$AW245,"Quá hạn",IF(AND($B245="Đột xuất",ROUND((N($AC245)-$AB245)*100,0)&gt;=20),"Chậm tiến độ",IF($AP245=NgayBC,"Đến hạn hôm nay",IF($B245="Đột xuất",IF($AW245-TDBC&lt;=1,"Sắp đến hạn","Đúng tiến độ"),IF($AP245-NgayBC&lt;=3,"Sắp đến hạn","Theo lịch"))))))))</f>
      </c>
      <c r="AE245" s="223">
        <f>IF($AV245="","",IF($B245="Định kỳ","Bình quân "&amp;IF($AV245&lt;1,MAX(1,ROUND($AV245*60,0))&amp;" phút",IF(ROUND($AV245,0)&lt;24,ROUND($AV245,0)&amp;" giờ",INT(ROUND($AV245,0)/24)&amp;" ngày"&amp;IF(MOD(ROUND($AV245,0),24)&gt;0," "&amp;MOD(ROUND($AV245,0),24)&amp;" giờ","")))&amp;" mỗi kỳ",IF($AV245&lt;1,MAX(1,ROUND($AV245*60,0))&amp;" phút",IF(ROUND($AV245,0)&lt;24,ROUND($AV245,0)&amp;" giờ",INT(ROUND($AV245,0)/24)&amp;" ngày"&amp;IF(MOD(ROUND($AV245,0),24)&gt;0," "&amp;MOD(ROUND($AV245,0),24)&amp;" giờ","")))))</f>
      </c>
      <c r="AF245" s="223">
        <f>IF(OR($A245="",N($AU245)=0),"",IF($AV245&lt;&gt;"",IF($AV245&lt;=$AU245,"Trong ước tính","Vượt "&amp;IF(($AV245-$AU245)&lt;1,MAX(1,ROUND(($AV245-$AU245)*60,0))&amp;" phút",IF(ROUND(($AV245-$AU245),0)&lt;24,ROUND(($AV245-$AU245),0)&amp;" giờ",INT(ROUND(($AV245-$AU245),0)/24)&amp;" ngày"&amp;IF(MOD(ROUND(($AV245-$AU245),0),24)&gt;0," "&amp;MOD(ROUND(($AV245-$AU245),0),24)&amp;" giờ","")))),IF(OR($B245&lt;&gt;"Đột xuất",$AA245="Hoàn thành",N($J245)=0),"",IF((TDBC-$J245)*24&gt;$AU245,"Đã vượt ước tính","Đã dùng "&amp;TEXT((TDBC-$J245)*24/$AU245,"0%")))))</f>
      </c>
      <c r="AG245" s="223">
        <f>IF(N($BB245)=0,"",CHOOSE($BB245,"Nhắc nhở","Cảnh báo","Báo động","Báo động đỏ"))</f>
      </c>
      <c r="AH245" s="223">
        <f>IF(OR($B245&lt;&gt;"Đột xuất",$AA245&lt;&gt;"Hoàn thành",N($X245)=0,$AW245=0),"",IF($X245&lt;=$AW245,"Đúng hạn","Trễ hạn"))</f>
      </c>
      <c r="AI245" s="220">
        <f>IF($A245="","",_xlfn.MAXIFS('Nhật ký tiến độ'!$B$6:$B$3005,'Nhật ký tiến độ'!$C$6:$C$3005,$A245))</f>
      </c>
      <c r="AJ245" s="225">
        <f>IF(OR($A245="",$B245&lt;&gt;"Định kỳ"),0,IFERROR(INDEX(DM_TanSuatNgay,MATCH($H245,DM_TanSuat,0)),0))</f>
      </c>
      <c r="AK245" s="225">
        <f>IF(OR($A245="",$B245&lt;&gt;"Định kỳ"),0,IFERROR(INDEX(DM_TanSuatThang,MATCH($H245,DM_TanSuat,0)),0))</f>
      </c>
      <c r="AL245" s="225">
        <f>IF(OR($A245="",$B245&lt;&gt;"Định kỳ",N($X245)=0,N($I245)=0),"",IF(INT($X245)&lt;$I245,0,IF($AJ245&gt;0,ROUND((INT($X245)-$I245)/$AJ245,0),IF($AK245&gt;0,ROUND((DATEDIF($I245,INT($X245),"m")+(INT($X245)-EDATE($I245,DATEDIF($I245,INT($X245),"m")))/(EDATE($I245,DATEDIF($I245,INT($X245),"m")+1)-EDATE($I245,DATEDIF($I245,INT($X245),"m"))))/$AK245,0),0))))</f>
      </c>
      <c r="AM245" s="225">
        <f>IF($A245="","",IF(COUNTIF('Nhật ký tiến độ'!$C$6:$C$3005,$A245)=0,0,_xlfn.MAXIFS('Nhật ký tiến độ'!$N$6:$N$3005,'Nhật ký tiến độ'!$C$6:$C$3005,$A245,'Nhật ký tiến độ'!$B$6:$B$3005,_xlfn.MAXIFS('Nhật ký tiến độ'!$B$6:$B$3005,'Nhật ký tiến độ'!$C$6:$C$3005,$A245))))</f>
      </c>
      <c r="AN245" s="225">
        <f>IF($A245="","",IF(N($AM245)=0,"",INDEX('Nhật ký tiến độ'!$E:$E,$AM245)))</f>
      </c>
      <c r="AO245" s="225">
        <f>IF($A245="",0,IF($AA245="Hoàn thành",0,1))</f>
      </c>
      <c r="AP245" s="225">
        <f>IF($AO245=0,0,INT(N($AW245)))</f>
      </c>
      <c r="AQ245" s="225">
        <f>IF(AND($AO245=1,$AJ245&gt;1),$AJ245,0)</f>
      </c>
      <c r="AR245" s="225">
        <f>IF(AND($AO245=1,$AJ245=1),1,0)</f>
      </c>
      <c r="AS245" s="225">
        <f>IF(OR($AO245=0,AND($AR245=1,N($BB245)=0)),"",IF(N($BB245)&gt;0,5-$BB245,IF($AD245="Chậm tiến độ",6,IF($AD245="Đến hạn hôm nay",7,IF(AND($AP245&gt;0,$AP245-NgayBC&lt;=7),8,"")))))</f>
      </c>
      <c r="AT245" s="225">
        <f>IF($AS245="","",$AS245*100000+$AP245+ROW()/100000)</f>
      </c>
      <c r="AU245" s="224">
        <f>IF(OR($A245="",N($R245)&lt;=0),"",IF($S245="Ngày",$R245*24,$R245))</f>
      </c>
      <c r="AV245" s="224">
        <f>IF($A245="","",IF($B245="Đột xuất",IF(OR($AA245&lt;&gt;"Hoàn thành",N($X245)=0,N($J245)=0),"",IF($X245&lt;$J245,"",($X245-$J245)*24)),IFERROR(AVERAGEIFS('Nhật ký tiến độ'!$H$6:$H$3005,'Nhật ký tiến độ'!$C$6:$C$3005,$A245,'Nhật ký tiến độ'!$H$6:$H$3005,"&gt;0"),"")))</f>
      </c>
      <c r="AW245" s="233">
        <f>IF($A245="",0,IF($B245="Đột xuất",$AY245,IF($AX245=0,0,$AX245+1-1/1440)))</f>
      </c>
      <c r="AX245" s="234">
        <f>IF(OR($A245="",$B245&lt;&gt;"Định kỳ",N($I245)=0),0,IF($AL245="",$I245,IF($AJ245&gt;0,$I245+($AL245+1)*$AJ245,IF($AK245&gt;0,EDATE($I245,($AL245+1)*$AK245),$I245))))</f>
      </c>
      <c r="AY245" s="233">
        <f>IF(OR($A245="",$B245&lt;&gt;"Đột xuất"),0,IF(N($K245)&gt;0,IF(MOD($K245,1)=0,$K245+1-1/1440,$K245),IF(N($J245)=0,0,$J245+IF(N($AU245)&gt;0,$AU245,IFERROR(INDEX(DM_SLA_Gio,MATCH($L245,DM_SLA_Cap,0)),168))/24)))</f>
      </c>
      <c r="AZ245" s="225">
        <f>IF(OR($A245="",TRIM($N245)="",COUNTIF('Phản ánh'!$K$6:$K$505,$N245)&gt;0,COUNTIF($N$6:$N245,$N245)&gt;1),0,1)</f>
      </c>
      <c r="BA245" s="225">
        <f>IF($AZ245=1,SUM($AZ$6:$AZ245),"")</f>
      </c>
      <c r="BB245" s="225">
        <f>IF(OR($AO245=0,N($AW245)=0),0,IF(TDBC&lt;=$AW245,0,MAX(1,MIN(4,IF((TDBC-$AW245)*24&lt;24,1,IF((TDBC-$AW245)*24&lt;72,2,IF((TDBC-$AW245)*24&lt;168,3,4)))+IF($B245="Đột xuất",IFERROR(INDEX({2,1,0,-1},MATCH($L245,{"Khẩn cấp","Cao","Trung bình","Thấp"},0)),0),IF($D245="PCCC và an ninh",1,0))))))</f>
      </c>
    </row>
    <row r="246">
      <c r="A246" s="216"/>
      <c r="B246" s="216"/>
      <c r="C246" s="218"/>
      <c r="D246" s="218"/>
      <c r="E246" s="218"/>
      <c r="F246" s="216"/>
      <c r="G246" s="218"/>
      <c r="H246" s="218"/>
      <c r="I246" s="231"/>
      <c r="J246" s="217"/>
      <c r="K246" s="217"/>
      <c r="L246" s="216"/>
      <c r="M246" s="216"/>
      <c r="N246" s="218"/>
      <c r="O246" s="218"/>
      <c r="P246" s="218"/>
      <c r="Q246" s="218"/>
      <c r="R246" s="219"/>
      <c r="S246" s="216"/>
      <c r="T246" s="232"/>
      <c r="U246" s="232"/>
      <c r="V246" s="218"/>
      <c r="W246" s="218"/>
      <c r="X246" s="220">
        <f>IF($A246="","",IF(OR($B246="Định kỳ",$AA246="Hoàn thành"),MAX(_xlfn.MAXIFS('Nhật ký tiến độ'!$B$6:$B$3005,'Nhật ký tiến độ'!$C$6:$C$3005,$A246,'Nhật ký tiến độ'!$E$6:$E$3005,"Hoàn thành kỳ"),_xlfn.MAXIFS('Nhật ký tiến độ'!$B$6:$B$3005,'Nhật ký tiến độ'!$C$6:$C$3005,$A246,'Nhật ký tiến độ'!$E$6:$E$3005,"Hoàn thành")),0))</f>
      </c>
      <c r="Y246" s="220">
        <f>IF($A246="","",IF($B246="Đột xuất",IF($AY246=0,"",$AY246),IF($AX246=0,"",$AX246)))</f>
      </c>
      <c r="Z246" s="223">
        <f>IF(OR($AO246=0,$AW246=0),"",IF(TDBC&gt;$AW246,"Quá "&amp;IF($B246="Định kỳ",(NgayBC-$AP246)&amp;" ngày",IF(((TDBC-$AW246)*24)&lt;1,MAX(1,ROUND(((TDBC-$AW246)*24)*60,0))&amp;" phút",IF(ROUND(((TDBC-$AW246)*24),0)&lt;24,ROUND(((TDBC-$AW246)*24),0)&amp;" giờ",INT(ROUND(((TDBC-$AW246)*24),0)/24)&amp;" ngày"&amp;IF(MOD(ROUND(((TDBC-$AW246)*24),0),24)&gt;0," "&amp;MOD(ROUND(((TDBC-$AW246)*24),0),24)&amp;" giờ","")))),IF($B246="Định kỳ",IF($AP246=NgayBC,"Hôm nay","Còn "&amp;($AP246-NgayBC)&amp;" ngày"),"Còn "&amp;IF((($AW246-TDBC)*24)&lt;1,MAX(1,ROUND((($AW246-TDBC)*24)*60,0))&amp;" phút",IF(ROUND((($AW246-TDBC)*24),0)&lt;24,ROUND((($AW246-TDBC)*24),0)&amp;" giờ",INT(ROUND((($AW246-TDBC)*24),0)/24)&amp;" ngày"&amp;IF(MOD(ROUND((($AW246-TDBC)*24),0),24)&gt;0," "&amp;MOD(ROUND((($AW246-TDBC)*24),0),24)&amp;" giờ",""))))))</f>
      </c>
      <c r="AA246" s="221">
        <f>IF($A246="","",IF(N($AM246)=0,"Chưa bắt đầu",IF(OR($AN246="Hoàn thành kỳ",$AN246="Hoàn thành"),IF($B246="Định kỳ","Chưa bắt đầu","Hoàn thành"),$AN246)))</f>
      </c>
      <c r="AB246" s="222">
        <f>IF($A246="","",IF($AA246="Hoàn thành",1,IF(OR(N($AM246)=0,$AN246="Hoàn thành kỳ",$AN246="Hoàn thành"),0,N(INDEX('Nhật ký tiến độ'!$D:$D,$AM246)))))</f>
      </c>
      <c r="AC246" s="222">
        <f>IF(OR($A246="",$B246&lt;&gt;"Đột xuất",$AA246="Hoàn thành",N($J246)=0,$AW246=0),"",IF(TDBC&lt;=$J246,0,IF(TDBC&gt;=$AW246,1,(TDBC-$J246)/($AW246-$J246))))</f>
      </c>
      <c r="AD246" s="223">
        <f>IF($A246="","",IF($AA246="Hoàn thành","Hoàn thành",IF($AW246=0,"Chưa đặt hạn",IF(TDBC&gt;$AW246,"Quá hạn",IF(AND($B246="Đột xuất",ROUND((N($AC246)-$AB246)*100,0)&gt;=20),"Chậm tiến độ",IF($AP246=NgayBC,"Đến hạn hôm nay",IF($B246="Đột xuất",IF($AW246-TDBC&lt;=1,"Sắp đến hạn","Đúng tiến độ"),IF($AP246-NgayBC&lt;=3,"Sắp đến hạn","Theo lịch"))))))))</f>
      </c>
      <c r="AE246" s="223">
        <f>IF($AV246="","",IF($B246="Định kỳ","Bình quân "&amp;IF($AV246&lt;1,MAX(1,ROUND($AV246*60,0))&amp;" phút",IF(ROUND($AV246,0)&lt;24,ROUND($AV246,0)&amp;" giờ",INT(ROUND($AV246,0)/24)&amp;" ngày"&amp;IF(MOD(ROUND($AV246,0),24)&gt;0," "&amp;MOD(ROUND($AV246,0),24)&amp;" giờ","")))&amp;" mỗi kỳ",IF($AV246&lt;1,MAX(1,ROUND($AV246*60,0))&amp;" phút",IF(ROUND($AV246,0)&lt;24,ROUND($AV246,0)&amp;" giờ",INT(ROUND($AV246,0)/24)&amp;" ngày"&amp;IF(MOD(ROUND($AV246,0),24)&gt;0," "&amp;MOD(ROUND($AV246,0),24)&amp;" giờ","")))))</f>
      </c>
      <c r="AF246" s="223">
        <f>IF(OR($A246="",N($AU246)=0),"",IF($AV246&lt;&gt;"",IF($AV246&lt;=$AU246,"Trong ước tính","Vượt "&amp;IF(($AV246-$AU246)&lt;1,MAX(1,ROUND(($AV246-$AU246)*60,0))&amp;" phút",IF(ROUND(($AV246-$AU246),0)&lt;24,ROUND(($AV246-$AU246),0)&amp;" giờ",INT(ROUND(($AV246-$AU246),0)/24)&amp;" ngày"&amp;IF(MOD(ROUND(($AV246-$AU246),0),24)&gt;0," "&amp;MOD(ROUND(($AV246-$AU246),0),24)&amp;" giờ","")))),IF(OR($B246&lt;&gt;"Đột xuất",$AA246="Hoàn thành",N($J246)=0),"",IF((TDBC-$J246)*24&gt;$AU246,"Đã vượt ước tính","Đã dùng "&amp;TEXT((TDBC-$J246)*24/$AU246,"0%")))))</f>
      </c>
      <c r="AG246" s="223">
        <f>IF(N($BB246)=0,"",CHOOSE($BB246,"Nhắc nhở","Cảnh báo","Báo động","Báo động đỏ"))</f>
      </c>
      <c r="AH246" s="223">
        <f>IF(OR($B246&lt;&gt;"Đột xuất",$AA246&lt;&gt;"Hoàn thành",N($X246)=0,$AW246=0),"",IF($X246&lt;=$AW246,"Đúng hạn","Trễ hạn"))</f>
      </c>
      <c r="AI246" s="220">
        <f>IF($A246="","",_xlfn.MAXIFS('Nhật ký tiến độ'!$B$6:$B$3005,'Nhật ký tiến độ'!$C$6:$C$3005,$A246))</f>
      </c>
      <c r="AJ246" s="225">
        <f>IF(OR($A246="",$B246&lt;&gt;"Định kỳ"),0,IFERROR(INDEX(DM_TanSuatNgay,MATCH($H246,DM_TanSuat,0)),0))</f>
      </c>
      <c r="AK246" s="225">
        <f>IF(OR($A246="",$B246&lt;&gt;"Định kỳ"),0,IFERROR(INDEX(DM_TanSuatThang,MATCH($H246,DM_TanSuat,0)),0))</f>
      </c>
      <c r="AL246" s="225">
        <f>IF(OR($A246="",$B246&lt;&gt;"Định kỳ",N($X246)=0,N($I246)=0),"",IF(INT($X246)&lt;$I246,0,IF($AJ246&gt;0,ROUND((INT($X246)-$I246)/$AJ246,0),IF($AK246&gt;0,ROUND((DATEDIF($I246,INT($X246),"m")+(INT($X246)-EDATE($I246,DATEDIF($I246,INT($X246),"m")))/(EDATE($I246,DATEDIF($I246,INT($X246),"m")+1)-EDATE($I246,DATEDIF($I246,INT($X246),"m"))))/$AK246,0),0))))</f>
      </c>
      <c r="AM246" s="225">
        <f>IF($A246="","",IF(COUNTIF('Nhật ký tiến độ'!$C$6:$C$3005,$A246)=0,0,_xlfn.MAXIFS('Nhật ký tiến độ'!$N$6:$N$3005,'Nhật ký tiến độ'!$C$6:$C$3005,$A246,'Nhật ký tiến độ'!$B$6:$B$3005,_xlfn.MAXIFS('Nhật ký tiến độ'!$B$6:$B$3005,'Nhật ký tiến độ'!$C$6:$C$3005,$A246))))</f>
      </c>
      <c r="AN246" s="225">
        <f>IF($A246="","",IF(N($AM246)=0,"",INDEX('Nhật ký tiến độ'!$E:$E,$AM246)))</f>
      </c>
      <c r="AO246" s="225">
        <f>IF($A246="",0,IF($AA246="Hoàn thành",0,1))</f>
      </c>
      <c r="AP246" s="225">
        <f>IF($AO246=0,0,INT(N($AW246)))</f>
      </c>
      <c r="AQ246" s="225">
        <f>IF(AND($AO246=1,$AJ246&gt;1),$AJ246,0)</f>
      </c>
      <c r="AR246" s="225">
        <f>IF(AND($AO246=1,$AJ246=1),1,0)</f>
      </c>
      <c r="AS246" s="225">
        <f>IF(OR($AO246=0,AND($AR246=1,N($BB246)=0)),"",IF(N($BB246)&gt;0,5-$BB246,IF($AD246="Chậm tiến độ",6,IF($AD246="Đến hạn hôm nay",7,IF(AND($AP246&gt;0,$AP246-NgayBC&lt;=7),8,"")))))</f>
      </c>
      <c r="AT246" s="225">
        <f>IF($AS246="","",$AS246*100000+$AP246+ROW()/100000)</f>
      </c>
      <c r="AU246" s="224">
        <f>IF(OR($A246="",N($R246)&lt;=0),"",IF($S246="Ngày",$R246*24,$R246))</f>
      </c>
      <c r="AV246" s="224">
        <f>IF($A246="","",IF($B246="Đột xuất",IF(OR($AA246&lt;&gt;"Hoàn thành",N($X246)=0,N($J246)=0),"",IF($X246&lt;$J246,"",($X246-$J246)*24)),IFERROR(AVERAGEIFS('Nhật ký tiến độ'!$H$6:$H$3005,'Nhật ký tiến độ'!$C$6:$C$3005,$A246,'Nhật ký tiến độ'!$H$6:$H$3005,"&gt;0"),"")))</f>
      </c>
      <c r="AW246" s="233">
        <f>IF($A246="",0,IF($B246="Đột xuất",$AY246,IF($AX246=0,0,$AX246+1-1/1440)))</f>
      </c>
      <c r="AX246" s="234">
        <f>IF(OR($A246="",$B246&lt;&gt;"Định kỳ",N($I246)=0),0,IF($AL246="",$I246,IF($AJ246&gt;0,$I246+($AL246+1)*$AJ246,IF($AK246&gt;0,EDATE($I246,($AL246+1)*$AK246),$I246))))</f>
      </c>
      <c r="AY246" s="233">
        <f>IF(OR($A246="",$B246&lt;&gt;"Đột xuất"),0,IF(N($K246)&gt;0,IF(MOD($K246,1)=0,$K246+1-1/1440,$K246),IF(N($J246)=0,0,$J246+IF(N($AU246)&gt;0,$AU246,IFERROR(INDEX(DM_SLA_Gio,MATCH($L246,DM_SLA_Cap,0)),168))/24)))</f>
      </c>
      <c r="AZ246" s="225">
        <f>IF(OR($A246="",TRIM($N246)="",COUNTIF('Phản ánh'!$K$6:$K$505,$N246)&gt;0,COUNTIF($N$6:$N246,$N246)&gt;1),0,1)</f>
      </c>
      <c r="BA246" s="225">
        <f>IF($AZ246=1,SUM($AZ$6:$AZ246),"")</f>
      </c>
      <c r="BB246" s="225">
        <f>IF(OR($AO246=0,N($AW246)=0),0,IF(TDBC&lt;=$AW246,0,MAX(1,MIN(4,IF((TDBC-$AW246)*24&lt;24,1,IF((TDBC-$AW246)*24&lt;72,2,IF((TDBC-$AW246)*24&lt;168,3,4)))+IF($B246="Đột xuất",IFERROR(INDEX({2,1,0,-1},MATCH($L246,{"Khẩn cấp","Cao","Trung bình","Thấp"},0)),0),IF($D246="PCCC và an ninh",1,0))))))</f>
      </c>
    </row>
    <row r="247">
      <c r="A247" s="216"/>
      <c r="B247" s="216"/>
      <c r="C247" s="218"/>
      <c r="D247" s="218"/>
      <c r="E247" s="218"/>
      <c r="F247" s="216"/>
      <c r="G247" s="218"/>
      <c r="H247" s="218"/>
      <c r="I247" s="231"/>
      <c r="J247" s="217"/>
      <c r="K247" s="217"/>
      <c r="L247" s="216"/>
      <c r="M247" s="216"/>
      <c r="N247" s="218"/>
      <c r="O247" s="218"/>
      <c r="P247" s="218"/>
      <c r="Q247" s="218"/>
      <c r="R247" s="219"/>
      <c r="S247" s="216"/>
      <c r="T247" s="232"/>
      <c r="U247" s="232"/>
      <c r="V247" s="218"/>
      <c r="W247" s="218"/>
      <c r="X247" s="220">
        <f>IF($A247="","",IF(OR($B247="Định kỳ",$AA247="Hoàn thành"),MAX(_xlfn.MAXIFS('Nhật ký tiến độ'!$B$6:$B$3005,'Nhật ký tiến độ'!$C$6:$C$3005,$A247,'Nhật ký tiến độ'!$E$6:$E$3005,"Hoàn thành kỳ"),_xlfn.MAXIFS('Nhật ký tiến độ'!$B$6:$B$3005,'Nhật ký tiến độ'!$C$6:$C$3005,$A247,'Nhật ký tiến độ'!$E$6:$E$3005,"Hoàn thành")),0))</f>
      </c>
      <c r="Y247" s="220">
        <f>IF($A247="","",IF($B247="Đột xuất",IF($AY247=0,"",$AY247),IF($AX247=0,"",$AX247)))</f>
      </c>
      <c r="Z247" s="223">
        <f>IF(OR($AO247=0,$AW247=0),"",IF(TDBC&gt;$AW247,"Quá "&amp;IF($B247="Định kỳ",(NgayBC-$AP247)&amp;" ngày",IF(((TDBC-$AW247)*24)&lt;1,MAX(1,ROUND(((TDBC-$AW247)*24)*60,0))&amp;" phút",IF(ROUND(((TDBC-$AW247)*24),0)&lt;24,ROUND(((TDBC-$AW247)*24),0)&amp;" giờ",INT(ROUND(((TDBC-$AW247)*24),0)/24)&amp;" ngày"&amp;IF(MOD(ROUND(((TDBC-$AW247)*24),0),24)&gt;0," "&amp;MOD(ROUND(((TDBC-$AW247)*24),0),24)&amp;" giờ","")))),IF($B247="Định kỳ",IF($AP247=NgayBC,"Hôm nay","Còn "&amp;($AP247-NgayBC)&amp;" ngày"),"Còn "&amp;IF((($AW247-TDBC)*24)&lt;1,MAX(1,ROUND((($AW247-TDBC)*24)*60,0))&amp;" phút",IF(ROUND((($AW247-TDBC)*24),0)&lt;24,ROUND((($AW247-TDBC)*24),0)&amp;" giờ",INT(ROUND((($AW247-TDBC)*24),0)/24)&amp;" ngày"&amp;IF(MOD(ROUND((($AW247-TDBC)*24),0),24)&gt;0," "&amp;MOD(ROUND((($AW247-TDBC)*24),0),24)&amp;" giờ",""))))))</f>
      </c>
      <c r="AA247" s="221">
        <f>IF($A247="","",IF(N($AM247)=0,"Chưa bắt đầu",IF(OR($AN247="Hoàn thành kỳ",$AN247="Hoàn thành"),IF($B247="Định kỳ","Chưa bắt đầu","Hoàn thành"),$AN247)))</f>
      </c>
      <c r="AB247" s="222">
        <f>IF($A247="","",IF($AA247="Hoàn thành",1,IF(OR(N($AM247)=0,$AN247="Hoàn thành kỳ",$AN247="Hoàn thành"),0,N(INDEX('Nhật ký tiến độ'!$D:$D,$AM247)))))</f>
      </c>
      <c r="AC247" s="222">
        <f>IF(OR($A247="",$B247&lt;&gt;"Đột xuất",$AA247="Hoàn thành",N($J247)=0,$AW247=0),"",IF(TDBC&lt;=$J247,0,IF(TDBC&gt;=$AW247,1,(TDBC-$J247)/($AW247-$J247))))</f>
      </c>
      <c r="AD247" s="223">
        <f>IF($A247="","",IF($AA247="Hoàn thành","Hoàn thành",IF($AW247=0,"Chưa đặt hạn",IF(TDBC&gt;$AW247,"Quá hạn",IF(AND($B247="Đột xuất",ROUND((N($AC247)-$AB247)*100,0)&gt;=20),"Chậm tiến độ",IF($AP247=NgayBC,"Đến hạn hôm nay",IF($B247="Đột xuất",IF($AW247-TDBC&lt;=1,"Sắp đến hạn","Đúng tiến độ"),IF($AP247-NgayBC&lt;=3,"Sắp đến hạn","Theo lịch"))))))))</f>
      </c>
      <c r="AE247" s="223">
        <f>IF($AV247="","",IF($B247="Định kỳ","Bình quân "&amp;IF($AV247&lt;1,MAX(1,ROUND($AV247*60,0))&amp;" phút",IF(ROUND($AV247,0)&lt;24,ROUND($AV247,0)&amp;" giờ",INT(ROUND($AV247,0)/24)&amp;" ngày"&amp;IF(MOD(ROUND($AV247,0),24)&gt;0," "&amp;MOD(ROUND($AV247,0),24)&amp;" giờ","")))&amp;" mỗi kỳ",IF($AV247&lt;1,MAX(1,ROUND($AV247*60,0))&amp;" phút",IF(ROUND($AV247,0)&lt;24,ROUND($AV247,0)&amp;" giờ",INT(ROUND($AV247,0)/24)&amp;" ngày"&amp;IF(MOD(ROUND($AV247,0),24)&gt;0," "&amp;MOD(ROUND($AV247,0),24)&amp;" giờ","")))))</f>
      </c>
      <c r="AF247" s="223">
        <f>IF(OR($A247="",N($AU247)=0),"",IF($AV247&lt;&gt;"",IF($AV247&lt;=$AU247,"Trong ước tính","Vượt "&amp;IF(($AV247-$AU247)&lt;1,MAX(1,ROUND(($AV247-$AU247)*60,0))&amp;" phút",IF(ROUND(($AV247-$AU247),0)&lt;24,ROUND(($AV247-$AU247),0)&amp;" giờ",INT(ROUND(($AV247-$AU247),0)/24)&amp;" ngày"&amp;IF(MOD(ROUND(($AV247-$AU247),0),24)&gt;0," "&amp;MOD(ROUND(($AV247-$AU247),0),24)&amp;" giờ","")))),IF(OR($B247&lt;&gt;"Đột xuất",$AA247="Hoàn thành",N($J247)=0),"",IF((TDBC-$J247)*24&gt;$AU247,"Đã vượt ước tính","Đã dùng "&amp;TEXT((TDBC-$J247)*24/$AU247,"0%")))))</f>
      </c>
      <c r="AG247" s="223">
        <f>IF(N($BB247)=0,"",CHOOSE($BB247,"Nhắc nhở","Cảnh báo","Báo động","Báo động đỏ"))</f>
      </c>
      <c r="AH247" s="223">
        <f>IF(OR($B247&lt;&gt;"Đột xuất",$AA247&lt;&gt;"Hoàn thành",N($X247)=0,$AW247=0),"",IF($X247&lt;=$AW247,"Đúng hạn","Trễ hạn"))</f>
      </c>
      <c r="AI247" s="220">
        <f>IF($A247="","",_xlfn.MAXIFS('Nhật ký tiến độ'!$B$6:$B$3005,'Nhật ký tiến độ'!$C$6:$C$3005,$A247))</f>
      </c>
      <c r="AJ247" s="225">
        <f>IF(OR($A247="",$B247&lt;&gt;"Định kỳ"),0,IFERROR(INDEX(DM_TanSuatNgay,MATCH($H247,DM_TanSuat,0)),0))</f>
      </c>
      <c r="AK247" s="225">
        <f>IF(OR($A247="",$B247&lt;&gt;"Định kỳ"),0,IFERROR(INDEX(DM_TanSuatThang,MATCH($H247,DM_TanSuat,0)),0))</f>
      </c>
      <c r="AL247" s="225">
        <f>IF(OR($A247="",$B247&lt;&gt;"Định kỳ",N($X247)=0,N($I247)=0),"",IF(INT($X247)&lt;$I247,0,IF($AJ247&gt;0,ROUND((INT($X247)-$I247)/$AJ247,0),IF($AK247&gt;0,ROUND((DATEDIF($I247,INT($X247),"m")+(INT($X247)-EDATE($I247,DATEDIF($I247,INT($X247),"m")))/(EDATE($I247,DATEDIF($I247,INT($X247),"m")+1)-EDATE($I247,DATEDIF($I247,INT($X247),"m"))))/$AK247,0),0))))</f>
      </c>
      <c r="AM247" s="225">
        <f>IF($A247="","",IF(COUNTIF('Nhật ký tiến độ'!$C$6:$C$3005,$A247)=0,0,_xlfn.MAXIFS('Nhật ký tiến độ'!$N$6:$N$3005,'Nhật ký tiến độ'!$C$6:$C$3005,$A247,'Nhật ký tiến độ'!$B$6:$B$3005,_xlfn.MAXIFS('Nhật ký tiến độ'!$B$6:$B$3005,'Nhật ký tiến độ'!$C$6:$C$3005,$A247))))</f>
      </c>
      <c r="AN247" s="225">
        <f>IF($A247="","",IF(N($AM247)=0,"",INDEX('Nhật ký tiến độ'!$E:$E,$AM247)))</f>
      </c>
      <c r="AO247" s="225">
        <f>IF($A247="",0,IF($AA247="Hoàn thành",0,1))</f>
      </c>
      <c r="AP247" s="225">
        <f>IF($AO247=0,0,INT(N($AW247)))</f>
      </c>
      <c r="AQ247" s="225">
        <f>IF(AND($AO247=1,$AJ247&gt;1),$AJ247,0)</f>
      </c>
      <c r="AR247" s="225">
        <f>IF(AND($AO247=1,$AJ247=1),1,0)</f>
      </c>
      <c r="AS247" s="225">
        <f>IF(OR($AO247=0,AND($AR247=1,N($BB247)=0)),"",IF(N($BB247)&gt;0,5-$BB247,IF($AD247="Chậm tiến độ",6,IF($AD247="Đến hạn hôm nay",7,IF(AND($AP247&gt;0,$AP247-NgayBC&lt;=7),8,"")))))</f>
      </c>
      <c r="AT247" s="225">
        <f>IF($AS247="","",$AS247*100000+$AP247+ROW()/100000)</f>
      </c>
      <c r="AU247" s="224">
        <f>IF(OR($A247="",N($R247)&lt;=0),"",IF($S247="Ngày",$R247*24,$R247))</f>
      </c>
      <c r="AV247" s="224">
        <f>IF($A247="","",IF($B247="Đột xuất",IF(OR($AA247&lt;&gt;"Hoàn thành",N($X247)=0,N($J247)=0),"",IF($X247&lt;$J247,"",($X247-$J247)*24)),IFERROR(AVERAGEIFS('Nhật ký tiến độ'!$H$6:$H$3005,'Nhật ký tiến độ'!$C$6:$C$3005,$A247,'Nhật ký tiến độ'!$H$6:$H$3005,"&gt;0"),"")))</f>
      </c>
      <c r="AW247" s="233">
        <f>IF($A247="",0,IF($B247="Đột xuất",$AY247,IF($AX247=0,0,$AX247+1-1/1440)))</f>
      </c>
      <c r="AX247" s="234">
        <f>IF(OR($A247="",$B247&lt;&gt;"Định kỳ",N($I247)=0),0,IF($AL247="",$I247,IF($AJ247&gt;0,$I247+($AL247+1)*$AJ247,IF($AK247&gt;0,EDATE($I247,($AL247+1)*$AK247),$I247))))</f>
      </c>
      <c r="AY247" s="233">
        <f>IF(OR($A247="",$B247&lt;&gt;"Đột xuất"),0,IF(N($K247)&gt;0,IF(MOD($K247,1)=0,$K247+1-1/1440,$K247),IF(N($J247)=0,0,$J247+IF(N($AU247)&gt;0,$AU247,IFERROR(INDEX(DM_SLA_Gio,MATCH($L247,DM_SLA_Cap,0)),168))/24)))</f>
      </c>
      <c r="AZ247" s="225">
        <f>IF(OR($A247="",TRIM($N247)="",COUNTIF('Phản ánh'!$K$6:$K$505,$N247)&gt;0,COUNTIF($N$6:$N247,$N247)&gt;1),0,1)</f>
      </c>
      <c r="BA247" s="225">
        <f>IF($AZ247=1,SUM($AZ$6:$AZ247),"")</f>
      </c>
      <c r="BB247" s="225">
        <f>IF(OR($AO247=0,N($AW247)=0),0,IF(TDBC&lt;=$AW247,0,MAX(1,MIN(4,IF((TDBC-$AW247)*24&lt;24,1,IF((TDBC-$AW247)*24&lt;72,2,IF((TDBC-$AW247)*24&lt;168,3,4)))+IF($B247="Đột xuất",IFERROR(INDEX({2,1,0,-1},MATCH($L247,{"Khẩn cấp","Cao","Trung bình","Thấp"},0)),0),IF($D247="PCCC và an ninh",1,0))))))</f>
      </c>
    </row>
    <row r="248">
      <c r="A248" s="216"/>
      <c r="B248" s="216"/>
      <c r="C248" s="218"/>
      <c r="D248" s="218"/>
      <c r="E248" s="218"/>
      <c r="F248" s="216"/>
      <c r="G248" s="218"/>
      <c r="H248" s="218"/>
      <c r="I248" s="231"/>
      <c r="J248" s="217"/>
      <c r="K248" s="217"/>
      <c r="L248" s="216"/>
      <c r="M248" s="216"/>
      <c r="N248" s="218"/>
      <c r="O248" s="218"/>
      <c r="P248" s="218"/>
      <c r="Q248" s="218"/>
      <c r="R248" s="219"/>
      <c r="S248" s="216"/>
      <c r="T248" s="232"/>
      <c r="U248" s="232"/>
      <c r="V248" s="218"/>
      <c r="W248" s="218"/>
      <c r="X248" s="220">
        <f>IF($A248="","",IF(OR($B248="Định kỳ",$AA248="Hoàn thành"),MAX(_xlfn.MAXIFS('Nhật ký tiến độ'!$B$6:$B$3005,'Nhật ký tiến độ'!$C$6:$C$3005,$A248,'Nhật ký tiến độ'!$E$6:$E$3005,"Hoàn thành kỳ"),_xlfn.MAXIFS('Nhật ký tiến độ'!$B$6:$B$3005,'Nhật ký tiến độ'!$C$6:$C$3005,$A248,'Nhật ký tiến độ'!$E$6:$E$3005,"Hoàn thành")),0))</f>
      </c>
      <c r="Y248" s="220">
        <f>IF($A248="","",IF($B248="Đột xuất",IF($AY248=0,"",$AY248),IF($AX248=0,"",$AX248)))</f>
      </c>
      <c r="Z248" s="223">
        <f>IF(OR($AO248=0,$AW248=0),"",IF(TDBC&gt;$AW248,"Quá "&amp;IF($B248="Định kỳ",(NgayBC-$AP248)&amp;" ngày",IF(((TDBC-$AW248)*24)&lt;1,MAX(1,ROUND(((TDBC-$AW248)*24)*60,0))&amp;" phút",IF(ROUND(((TDBC-$AW248)*24),0)&lt;24,ROUND(((TDBC-$AW248)*24),0)&amp;" giờ",INT(ROUND(((TDBC-$AW248)*24),0)/24)&amp;" ngày"&amp;IF(MOD(ROUND(((TDBC-$AW248)*24),0),24)&gt;0," "&amp;MOD(ROUND(((TDBC-$AW248)*24),0),24)&amp;" giờ","")))),IF($B248="Định kỳ",IF($AP248=NgayBC,"Hôm nay","Còn "&amp;($AP248-NgayBC)&amp;" ngày"),"Còn "&amp;IF((($AW248-TDBC)*24)&lt;1,MAX(1,ROUND((($AW248-TDBC)*24)*60,0))&amp;" phút",IF(ROUND((($AW248-TDBC)*24),0)&lt;24,ROUND((($AW248-TDBC)*24),0)&amp;" giờ",INT(ROUND((($AW248-TDBC)*24),0)/24)&amp;" ngày"&amp;IF(MOD(ROUND((($AW248-TDBC)*24),0),24)&gt;0," "&amp;MOD(ROUND((($AW248-TDBC)*24),0),24)&amp;" giờ",""))))))</f>
      </c>
      <c r="AA248" s="221">
        <f>IF($A248="","",IF(N($AM248)=0,"Chưa bắt đầu",IF(OR($AN248="Hoàn thành kỳ",$AN248="Hoàn thành"),IF($B248="Định kỳ","Chưa bắt đầu","Hoàn thành"),$AN248)))</f>
      </c>
      <c r="AB248" s="222">
        <f>IF($A248="","",IF($AA248="Hoàn thành",1,IF(OR(N($AM248)=0,$AN248="Hoàn thành kỳ",$AN248="Hoàn thành"),0,N(INDEX('Nhật ký tiến độ'!$D:$D,$AM248)))))</f>
      </c>
      <c r="AC248" s="222">
        <f>IF(OR($A248="",$B248&lt;&gt;"Đột xuất",$AA248="Hoàn thành",N($J248)=0,$AW248=0),"",IF(TDBC&lt;=$J248,0,IF(TDBC&gt;=$AW248,1,(TDBC-$J248)/($AW248-$J248))))</f>
      </c>
      <c r="AD248" s="223">
        <f>IF($A248="","",IF($AA248="Hoàn thành","Hoàn thành",IF($AW248=0,"Chưa đặt hạn",IF(TDBC&gt;$AW248,"Quá hạn",IF(AND($B248="Đột xuất",ROUND((N($AC248)-$AB248)*100,0)&gt;=20),"Chậm tiến độ",IF($AP248=NgayBC,"Đến hạn hôm nay",IF($B248="Đột xuất",IF($AW248-TDBC&lt;=1,"Sắp đến hạn","Đúng tiến độ"),IF($AP248-NgayBC&lt;=3,"Sắp đến hạn","Theo lịch"))))))))</f>
      </c>
      <c r="AE248" s="223">
        <f>IF($AV248="","",IF($B248="Định kỳ","Bình quân "&amp;IF($AV248&lt;1,MAX(1,ROUND($AV248*60,0))&amp;" phút",IF(ROUND($AV248,0)&lt;24,ROUND($AV248,0)&amp;" giờ",INT(ROUND($AV248,0)/24)&amp;" ngày"&amp;IF(MOD(ROUND($AV248,0),24)&gt;0," "&amp;MOD(ROUND($AV248,0),24)&amp;" giờ","")))&amp;" mỗi kỳ",IF($AV248&lt;1,MAX(1,ROUND($AV248*60,0))&amp;" phút",IF(ROUND($AV248,0)&lt;24,ROUND($AV248,0)&amp;" giờ",INT(ROUND($AV248,0)/24)&amp;" ngày"&amp;IF(MOD(ROUND($AV248,0),24)&gt;0," "&amp;MOD(ROUND($AV248,0),24)&amp;" giờ","")))))</f>
      </c>
      <c r="AF248" s="223">
        <f>IF(OR($A248="",N($AU248)=0),"",IF($AV248&lt;&gt;"",IF($AV248&lt;=$AU248,"Trong ước tính","Vượt "&amp;IF(($AV248-$AU248)&lt;1,MAX(1,ROUND(($AV248-$AU248)*60,0))&amp;" phút",IF(ROUND(($AV248-$AU248),0)&lt;24,ROUND(($AV248-$AU248),0)&amp;" giờ",INT(ROUND(($AV248-$AU248),0)/24)&amp;" ngày"&amp;IF(MOD(ROUND(($AV248-$AU248),0),24)&gt;0," "&amp;MOD(ROUND(($AV248-$AU248),0),24)&amp;" giờ","")))),IF(OR($B248&lt;&gt;"Đột xuất",$AA248="Hoàn thành",N($J248)=0),"",IF((TDBC-$J248)*24&gt;$AU248,"Đã vượt ước tính","Đã dùng "&amp;TEXT((TDBC-$J248)*24/$AU248,"0%")))))</f>
      </c>
      <c r="AG248" s="223">
        <f>IF(N($BB248)=0,"",CHOOSE($BB248,"Nhắc nhở","Cảnh báo","Báo động","Báo động đỏ"))</f>
      </c>
      <c r="AH248" s="223">
        <f>IF(OR($B248&lt;&gt;"Đột xuất",$AA248&lt;&gt;"Hoàn thành",N($X248)=0,$AW248=0),"",IF($X248&lt;=$AW248,"Đúng hạn","Trễ hạn"))</f>
      </c>
      <c r="AI248" s="220">
        <f>IF($A248="","",_xlfn.MAXIFS('Nhật ký tiến độ'!$B$6:$B$3005,'Nhật ký tiến độ'!$C$6:$C$3005,$A248))</f>
      </c>
      <c r="AJ248" s="225">
        <f>IF(OR($A248="",$B248&lt;&gt;"Định kỳ"),0,IFERROR(INDEX(DM_TanSuatNgay,MATCH($H248,DM_TanSuat,0)),0))</f>
      </c>
      <c r="AK248" s="225">
        <f>IF(OR($A248="",$B248&lt;&gt;"Định kỳ"),0,IFERROR(INDEX(DM_TanSuatThang,MATCH($H248,DM_TanSuat,0)),0))</f>
      </c>
      <c r="AL248" s="225">
        <f>IF(OR($A248="",$B248&lt;&gt;"Định kỳ",N($X248)=0,N($I248)=0),"",IF(INT($X248)&lt;$I248,0,IF($AJ248&gt;0,ROUND((INT($X248)-$I248)/$AJ248,0),IF($AK248&gt;0,ROUND((DATEDIF($I248,INT($X248),"m")+(INT($X248)-EDATE($I248,DATEDIF($I248,INT($X248),"m")))/(EDATE($I248,DATEDIF($I248,INT($X248),"m")+1)-EDATE($I248,DATEDIF($I248,INT($X248),"m"))))/$AK248,0),0))))</f>
      </c>
      <c r="AM248" s="225">
        <f>IF($A248="","",IF(COUNTIF('Nhật ký tiến độ'!$C$6:$C$3005,$A248)=0,0,_xlfn.MAXIFS('Nhật ký tiến độ'!$N$6:$N$3005,'Nhật ký tiến độ'!$C$6:$C$3005,$A248,'Nhật ký tiến độ'!$B$6:$B$3005,_xlfn.MAXIFS('Nhật ký tiến độ'!$B$6:$B$3005,'Nhật ký tiến độ'!$C$6:$C$3005,$A248))))</f>
      </c>
      <c r="AN248" s="225">
        <f>IF($A248="","",IF(N($AM248)=0,"",INDEX('Nhật ký tiến độ'!$E:$E,$AM248)))</f>
      </c>
      <c r="AO248" s="225">
        <f>IF($A248="",0,IF($AA248="Hoàn thành",0,1))</f>
      </c>
      <c r="AP248" s="225">
        <f>IF($AO248=0,0,INT(N($AW248)))</f>
      </c>
      <c r="AQ248" s="225">
        <f>IF(AND($AO248=1,$AJ248&gt;1),$AJ248,0)</f>
      </c>
      <c r="AR248" s="225">
        <f>IF(AND($AO248=1,$AJ248=1),1,0)</f>
      </c>
      <c r="AS248" s="225">
        <f>IF(OR($AO248=0,AND($AR248=1,N($BB248)=0)),"",IF(N($BB248)&gt;0,5-$BB248,IF($AD248="Chậm tiến độ",6,IF($AD248="Đến hạn hôm nay",7,IF(AND($AP248&gt;0,$AP248-NgayBC&lt;=7),8,"")))))</f>
      </c>
      <c r="AT248" s="225">
        <f>IF($AS248="","",$AS248*100000+$AP248+ROW()/100000)</f>
      </c>
      <c r="AU248" s="224">
        <f>IF(OR($A248="",N($R248)&lt;=0),"",IF($S248="Ngày",$R248*24,$R248))</f>
      </c>
      <c r="AV248" s="224">
        <f>IF($A248="","",IF($B248="Đột xuất",IF(OR($AA248&lt;&gt;"Hoàn thành",N($X248)=0,N($J248)=0),"",IF($X248&lt;$J248,"",($X248-$J248)*24)),IFERROR(AVERAGEIFS('Nhật ký tiến độ'!$H$6:$H$3005,'Nhật ký tiến độ'!$C$6:$C$3005,$A248,'Nhật ký tiến độ'!$H$6:$H$3005,"&gt;0"),"")))</f>
      </c>
      <c r="AW248" s="233">
        <f>IF($A248="",0,IF($B248="Đột xuất",$AY248,IF($AX248=0,0,$AX248+1-1/1440)))</f>
      </c>
      <c r="AX248" s="234">
        <f>IF(OR($A248="",$B248&lt;&gt;"Định kỳ",N($I248)=0),0,IF($AL248="",$I248,IF($AJ248&gt;0,$I248+($AL248+1)*$AJ248,IF($AK248&gt;0,EDATE($I248,($AL248+1)*$AK248),$I248))))</f>
      </c>
      <c r="AY248" s="233">
        <f>IF(OR($A248="",$B248&lt;&gt;"Đột xuất"),0,IF(N($K248)&gt;0,IF(MOD($K248,1)=0,$K248+1-1/1440,$K248),IF(N($J248)=0,0,$J248+IF(N($AU248)&gt;0,$AU248,IFERROR(INDEX(DM_SLA_Gio,MATCH($L248,DM_SLA_Cap,0)),168))/24)))</f>
      </c>
      <c r="AZ248" s="225">
        <f>IF(OR($A248="",TRIM($N248)="",COUNTIF('Phản ánh'!$K$6:$K$505,$N248)&gt;0,COUNTIF($N$6:$N248,$N248)&gt;1),0,1)</f>
      </c>
      <c r="BA248" s="225">
        <f>IF($AZ248=1,SUM($AZ$6:$AZ248),"")</f>
      </c>
      <c r="BB248" s="225">
        <f>IF(OR($AO248=0,N($AW248)=0),0,IF(TDBC&lt;=$AW248,0,MAX(1,MIN(4,IF((TDBC-$AW248)*24&lt;24,1,IF((TDBC-$AW248)*24&lt;72,2,IF((TDBC-$AW248)*24&lt;168,3,4)))+IF($B248="Đột xuất",IFERROR(INDEX({2,1,0,-1},MATCH($L248,{"Khẩn cấp","Cao","Trung bình","Thấp"},0)),0),IF($D248="PCCC và an ninh",1,0))))))</f>
      </c>
    </row>
    <row r="249">
      <c r="A249" s="216"/>
      <c r="B249" s="216"/>
      <c r="C249" s="218"/>
      <c r="D249" s="218"/>
      <c r="E249" s="218"/>
      <c r="F249" s="216"/>
      <c r="G249" s="218"/>
      <c r="H249" s="218"/>
      <c r="I249" s="231"/>
      <c r="J249" s="217"/>
      <c r="K249" s="217"/>
      <c r="L249" s="216"/>
      <c r="M249" s="216"/>
      <c r="N249" s="218"/>
      <c r="O249" s="218"/>
      <c r="P249" s="218"/>
      <c r="Q249" s="218"/>
      <c r="R249" s="219"/>
      <c r="S249" s="216"/>
      <c r="T249" s="232"/>
      <c r="U249" s="232"/>
      <c r="V249" s="218"/>
      <c r="W249" s="218"/>
      <c r="X249" s="220">
        <f>IF($A249="","",IF(OR($B249="Định kỳ",$AA249="Hoàn thành"),MAX(_xlfn.MAXIFS('Nhật ký tiến độ'!$B$6:$B$3005,'Nhật ký tiến độ'!$C$6:$C$3005,$A249,'Nhật ký tiến độ'!$E$6:$E$3005,"Hoàn thành kỳ"),_xlfn.MAXIFS('Nhật ký tiến độ'!$B$6:$B$3005,'Nhật ký tiến độ'!$C$6:$C$3005,$A249,'Nhật ký tiến độ'!$E$6:$E$3005,"Hoàn thành")),0))</f>
      </c>
      <c r="Y249" s="220">
        <f>IF($A249="","",IF($B249="Đột xuất",IF($AY249=0,"",$AY249),IF($AX249=0,"",$AX249)))</f>
      </c>
      <c r="Z249" s="223">
        <f>IF(OR($AO249=0,$AW249=0),"",IF(TDBC&gt;$AW249,"Quá "&amp;IF($B249="Định kỳ",(NgayBC-$AP249)&amp;" ngày",IF(((TDBC-$AW249)*24)&lt;1,MAX(1,ROUND(((TDBC-$AW249)*24)*60,0))&amp;" phút",IF(ROUND(((TDBC-$AW249)*24),0)&lt;24,ROUND(((TDBC-$AW249)*24),0)&amp;" giờ",INT(ROUND(((TDBC-$AW249)*24),0)/24)&amp;" ngày"&amp;IF(MOD(ROUND(((TDBC-$AW249)*24),0),24)&gt;0," "&amp;MOD(ROUND(((TDBC-$AW249)*24),0),24)&amp;" giờ","")))),IF($B249="Định kỳ",IF($AP249=NgayBC,"Hôm nay","Còn "&amp;($AP249-NgayBC)&amp;" ngày"),"Còn "&amp;IF((($AW249-TDBC)*24)&lt;1,MAX(1,ROUND((($AW249-TDBC)*24)*60,0))&amp;" phút",IF(ROUND((($AW249-TDBC)*24),0)&lt;24,ROUND((($AW249-TDBC)*24),0)&amp;" giờ",INT(ROUND((($AW249-TDBC)*24),0)/24)&amp;" ngày"&amp;IF(MOD(ROUND((($AW249-TDBC)*24),0),24)&gt;0," "&amp;MOD(ROUND((($AW249-TDBC)*24),0),24)&amp;" giờ",""))))))</f>
      </c>
      <c r="AA249" s="221">
        <f>IF($A249="","",IF(N($AM249)=0,"Chưa bắt đầu",IF(OR($AN249="Hoàn thành kỳ",$AN249="Hoàn thành"),IF($B249="Định kỳ","Chưa bắt đầu","Hoàn thành"),$AN249)))</f>
      </c>
      <c r="AB249" s="222">
        <f>IF($A249="","",IF($AA249="Hoàn thành",1,IF(OR(N($AM249)=0,$AN249="Hoàn thành kỳ",$AN249="Hoàn thành"),0,N(INDEX('Nhật ký tiến độ'!$D:$D,$AM249)))))</f>
      </c>
      <c r="AC249" s="222">
        <f>IF(OR($A249="",$B249&lt;&gt;"Đột xuất",$AA249="Hoàn thành",N($J249)=0,$AW249=0),"",IF(TDBC&lt;=$J249,0,IF(TDBC&gt;=$AW249,1,(TDBC-$J249)/($AW249-$J249))))</f>
      </c>
      <c r="AD249" s="223">
        <f>IF($A249="","",IF($AA249="Hoàn thành","Hoàn thành",IF($AW249=0,"Chưa đặt hạn",IF(TDBC&gt;$AW249,"Quá hạn",IF(AND($B249="Đột xuất",ROUND((N($AC249)-$AB249)*100,0)&gt;=20),"Chậm tiến độ",IF($AP249=NgayBC,"Đến hạn hôm nay",IF($B249="Đột xuất",IF($AW249-TDBC&lt;=1,"Sắp đến hạn","Đúng tiến độ"),IF($AP249-NgayBC&lt;=3,"Sắp đến hạn","Theo lịch"))))))))</f>
      </c>
      <c r="AE249" s="223">
        <f>IF($AV249="","",IF($B249="Định kỳ","Bình quân "&amp;IF($AV249&lt;1,MAX(1,ROUND($AV249*60,0))&amp;" phút",IF(ROUND($AV249,0)&lt;24,ROUND($AV249,0)&amp;" giờ",INT(ROUND($AV249,0)/24)&amp;" ngày"&amp;IF(MOD(ROUND($AV249,0),24)&gt;0," "&amp;MOD(ROUND($AV249,0),24)&amp;" giờ","")))&amp;" mỗi kỳ",IF($AV249&lt;1,MAX(1,ROUND($AV249*60,0))&amp;" phút",IF(ROUND($AV249,0)&lt;24,ROUND($AV249,0)&amp;" giờ",INT(ROUND($AV249,0)/24)&amp;" ngày"&amp;IF(MOD(ROUND($AV249,0),24)&gt;0," "&amp;MOD(ROUND($AV249,0),24)&amp;" giờ","")))))</f>
      </c>
      <c r="AF249" s="223">
        <f>IF(OR($A249="",N($AU249)=0),"",IF($AV249&lt;&gt;"",IF($AV249&lt;=$AU249,"Trong ước tính","Vượt "&amp;IF(($AV249-$AU249)&lt;1,MAX(1,ROUND(($AV249-$AU249)*60,0))&amp;" phút",IF(ROUND(($AV249-$AU249),0)&lt;24,ROUND(($AV249-$AU249),0)&amp;" giờ",INT(ROUND(($AV249-$AU249),0)/24)&amp;" ngày"&amp;IF(MOD(ROUND(($AV249-$AU249),0),24)&gt;0," "&amp;MOD(ROUND(($AV249-$AU249),0),24)&amp;" giờ","")))),IF(OR($B249&lt;&gt;"Đột xuất",$AA249="Hoàn thành",N($J249)=0),"",IF((TDBC-$J249)*24&gt;$AU249,"Đã vượt ước tính","Đã dùng "&amp;TEXT((TDBC-$J249)*24/$AU249,"0%")))))</f>
      </c>
      <c r="AG249" s="223">
        <f>IF(N($BB249)=0,"",CHOOSE($BB249,"Nhắc nhở","Cảnh báo","Báo động","Báo động đỏ"))</f>
      </c>
      <c r="AH249" s="223">
        <f>IF(OR($B249&lt;&gt;"Đột xuất",$AA249&lt;&gt;"Hoàn thành",N($X249)=0,$AW249=0),"",IF($X249&lt;=$AW249,"Đúng hạn","Trễ hạn"))</f>
      </c>
      <c r="AI249" s="220">
        <f>IF($A249="","",_xlfn.MAXIFS('Nhật ký tiến độ'!$B$6:$B$3005,'Nhật ký tiến độ'!$C$6:$C$3005,$A249))</f>
      </c>
      <c r="AJ249" s="225">
        <f>IF(OR($A249="",$B249&lt;&gt;"Định kỳ"),0,IFERROR(INDEX(DM_TanSuatNgay,MATCH($H249,DM_TanSuat,0)),0))</f>
      </c>
      <c r="AK249" s="225">
        <f>IF(OR($A249="",$B249&lt;&gt;"Định kỳ"),0,IFERROR(INDEX(DM_TanSuatThang,MATCH($H249,DM_TanSuat,0)),0))</f>
      </c>
      <c r="AL249" s="225">
        <f>IF(OR($A249="",$B249&lt;&gt;"Định kỳ",N($X249)=0,N($I249)=0),"",IF(INT($X249)&lt;$I249,0,IF($AJ249&gt;0,ROUND((INT($X249)-$I249)/$AJ249,0),IF($AK249&gt;0,ROUND((DATEDIF($I249,INT($X249),"m")+(INT($X249)-EDATE($I249,DATEDIF($I249,INT($X249),"m")))/(EDATE($I249,DATEDIF($I249,INT($X249),"m")+1)-EDATE($I249,DATEDIF($I249,INT($X249),"m"))))/$AK249,0),0))))</f>
      </c>
      <c r="AM249" s="225">
        <f>IF($A249="","",IF(COUNTIF('Nhật ký tiến độ'!$C$6:$C$3005,$A249)=0,0,_xlfn.MAXIFS('Nhật ký tiến độ'!$N$6:$N$3005,'Nhật ký tiến độ'!$C$6:$C$3005,$A249,'Nhật ký tiến độ'!$B$6:$B$3005,_xlfn.MAXIFS('Nhật ký tiến độ'!$B$6:$B$3005,'Nhật ký tiến độ'!$C$6:$C$3005,$A249))))</f>
      </c>
      <c r="AN249" s="225">
        <f>IF($A249="","",IF(N($AM249)=0,"",INDEX('Nhật ký tiến độ'!$E:$E,$AM249)))</f>
      </c>
      <c r="AO249" s="225">
        <f>IF($A249="",0,IF($AA249="Hoàn thành",0,1))</f>
      </c>
      <c r="AP249" s="225">
        <f>IF($AO249=0,0,INT(N($AW249)))</f>
      </c>
      <c r="AQ249" s="225">
        <f>IF(AND($AO249=1,$AJ249&gt;1),$AJ249,0)</f>
      </c>
      <c r="AR249" s="225">
        <f>IF(AND($AO249=1,$AJ249=1),1,0)</f>
      </c>
      <c r="AS249" s="225">
        <f>IF(OR($AO249=0,AND($AR249=1,N($BB249)=0)),"",IF(N($BB249)&gt;0,5-$BB249,IF($AD249="Chậm tiến độ",6,IF($AD249="Đến hạn hôm nay",7,IF(AND($AP249&gt;0,$AP249-NgayBC&lt;=7),8,"")))))</f>
      </c>
      <c r="AT249" s="225">
        <f>IF($AS249="","",$AS249*100000+$AP249+ROW()/100000)</f>
      </c>
      <c r="AU249" s="224">
        <f>IF(OR($A249="",N($R249)&lt;=0),"",IF($S249="Ngày",$R249*24,$R249))</f>
      </c>
      <c r="AV249" s="224">
        <f>IF($A249="","",IF($B249="Đột xuất",IF(OR($AA249&lt;&gt;"Hoàn thành",N($X249)=0,N($J249)=0),"",IF($X249&lt;$J249,"",($X249-$J249)*24)),IFERROR(AVERAGEIFS('Nhật ký tiến độ'!$H$6:$H$3005,'Nhật ký tiến độ'!$C$6:$C$3005,$A249,'Nhật ký tiến độ'!$H$6:$H$3005,"&gt;0"),"")))</f>
      </c>
      <c r="AW249" s="233">
        <f>IF($A249="",0,IF($B249="Đột xuất",$AY249,IF($AX249=0,0,$AX249+1-1/1440)))</f>
      </c>
      <c r="AX249" s="234">
        <f>IF(OR($A249="",$B249&lt;&gt;"Định kỳ",N($I249)=0),0,IF($AL249="",$I249,IF($AJ249&gt;0,$I249+($AL249+1)*$AJ249,IF($AK249&gt;0,EDATE($I249,($AL249+1)*$AK249),$I249))))</f>
      </c>
      <c r="AY249" s="233">
        <f>IF(OR($A249="",$B249&lt;&gt;"Đột xuất"),0,IF(N($K249)&gt;0,IF(MOD($K249,1)=0,$K249+1-1/1440,$K249),IF(N($J249)=0,0,$J249+IF(N($AU249)&gt;0,$AU249,IFERROR(INDEX(DM_SLA_Gio,MATCH($L249,DM_SLA_Cap,0)),168))/24)))</f>
      </c>
      <c r="AZ249" s="225">
        <f>IF(OR($A249="",TRIM($N249)="",COUNTIF('Phản ánh'!$K$6:$K$505,$N249)&gt;0,COUNTIF($N$6:$N249,$N249)&gt;1),0,1)</f>
      </c>
      <c r="BA249" s="225">
        <f>IF($AZ249=1,SUM($AZ$6:$AZ249),"")</f>
      </c>
      <c r="BB249" s="225">
        <f>IF(OR($AO249=0,N($AW249)=0),0,IF(TDBC&lt;=$AW249,0,MAX(1,MIN(4,IF((TDBC-$AW249)*24&lt;24,1,IF((TDBC-$AW249)*24&lt;72,2,IF((TDBC-$AW249)*24&lt;168,3,4)))+IF($B249="Đột xuất",IFERROR(INDEX({2,1,0,-1},MATCH($L249,{"Khẩn cấp","Cao","Trung bình","Thấp"},0)),0),IF($D249="PCCC và an ninh",1,0))))))</f>
      </c>
    </row>
    <row r="250">
      <c r="A250" s="216"/>
      <c r="B250" s="216"/>
      <c r="C250" s="218"/>
      <c r="D250" s="218"/>
      <c r="E250" s="218"/>
      <c r="F250" s="216"/>
      <c r="G250" s="218"/>
      <c r="H250" s="218"/>
      <c r="I250" s="231"/>
      <c r="J250" s="217"/>
      <c r="K250" s="217"/>
      <c r="L250" s="216"/>
      <c r="M250" s="216"/>
      <c r="N250" s="218"/>
      <c r="O250" s="218"/>
      <c r="P250" s="218"/>
      <c r="Q250" s="218"/>
      <c r="R250" s="219"/>
      <c r="S250" s="216"/>
      <c r="T250" s="232"/>
      <c r="U250" s="232"/>
      <c r="V250" s="218"/>
      <c r="W250" s="218"/>
      <c r="X250" s="220">
        <f>IF($A250="","",IF(OR($B250="Định kỳ",$AA250="Hoàn thành"),MAX(_xlfn.MAXIFS('Nhật ký tiến độ'!$B$6:$B$3005,'Nhật ký tiến độ'!$C$6:$C$3005,$A250,'Nhật ký tiến độ'!$E$6:$E$3005,"Hoàn thành kỳ"),_xlfn.MAXIFS('Nhật ký tiến độ'!$B$6:$B$3005,'Nhật ký tiến độ'!$C$6:$C$3005,$A250,'Nhật ký tiến độ'!$E$6:$E$3005,"Hoàn thành")),0))</f>
      </c>
      <c r="Y250" s="220">
        <f>IF($A250="","",IF($B250="Đột xuất",IF($AY250=0,"",$AY250),IF($AX250=0,"",$AX250)))</f>
      </c>
      <c r="Z250" s="223">
        <f>IF(OR($AO250=0,$AW250=0),"",IF(TDBC&gt;$AW250,"Quá "&amp;IF($B250="Định kỳ",(NgayBC-$AP250)&amp;" ngày",IF(((TDBC-$AW250)*24)&lt;1,MAX(1,ROUND(((TDBC-$AW250)*24)*60,0))&amp;" phút",IF(ROUND(((TDBC-$AW250)*24),0)&lt;24,ROUND(((TDBC-$AW250)*24),0)&amp;" giờ",INT(ROUND(((TDBC-$AW250)*24),0)/24)&amp;" ngày"&amp;IF(MOD(ROUND(((TDBC-$AW250)*24),0),24)&gt;0," "&amp;MOD(ROUND(((TDBC-$AW250)*24),0),24)&amp;" giờ","")))),IF($B250="Định kỳ",IF($AP250=NgayBC,"Hôm nay","Còn "&amp;($AP250-NgayBC)&amp;" ngày"),"Còn "&amp;IF((($AW250-TDBC)*24)&lt;1,MAX(1,ROUND((($AW250-TDBC)*24)*60,0))&amp;" phút",IF(ROUND((($AW250-TDBC)*24),0)&lt;24,ROUND((($AW250-TDBC)*24),0)&amp;" giờ",INT(ROUND((($AW250-TDBC)*24),0)/24)&amp;" ngày"&amp;IF(MOD(ROUND((($AW250-TDBC)*24),0),24)&gt;0," "&amp;MOD(ROUND((($AW250-TDBC)*24),0),24)&amp;" giờ",""))))))</f>
      </c>
      <c r="AA250" s="221">
        <f>IF($A250="","",IF(N($AM250)=0,"Chưa bắt đầu",IF(OR($AN250="Hoàn thành kỳ",$AN250="Hoàn thành"),IF($B250="Định kỳ","Chưa bắt đầu","Hoàn thành"),$AN250)))</f>
      </c>
      <c r="AB250" s="222">
        <f>IF($A250="","",IF($AA250="Hoàn thành",1,IF(OR(N($AM250)=0,$AN250="Hoàn thành kỳ",$AN250="Hoàn thành"),0,N(INDEX('Nhật ký tiến độ'!$D:$D,$AM250)))))</f>
      </c>
      <c r="AC250" s="222">
        <f>IF(OR($A250="",$B250&lt;&gt;"Đột xuất",$AA250="Hoàn thành",N($J250)=0,$AW250=0),"",IF(TDBC&lt;=$J250,0,IF(TDBC&gt;=$AW250,1,(TDBC-$J250)/($AW250-$J250))))</f>
      </c>
      <c r="AD250" s="223">
        <f>IF($A250="","",IF($AA250="Hoàn thành","Hoàn thành",IF($AW250=0,"Chưa đặt hạn",IF(TDBC&gt;$AW250,"Quá hạn",IF(AND($B250="Đột xuất",ROUND((N($AC250)-$AB250)*100,0)&gt;=20),"Chậm tiến độ",IF($AP250=NgayBC,"Đến hạn hôm nay",IF($B250="Đột xuất",IF($AW250-TDBC&lt;=1,"Sắp đến hạn","Đúng tiến độ"),IF($AP250-NgayBC&lt;=3,"Sắp đến hạn","Theo lịch"))))))))</f>
      </c>
      <c r="AE250" s="223">
        <f>IF($AV250="","",IF($B250="Định kỳ","Bình quân "&amp;IF($AV250&lt;1,MAX(1,ROUND($AV250*60,0))&amp;" phút",IF(ROUND($AV250,0)&lt;24,ROUND($AV250,0)&amp;" giờ",INT(ROUND($AV250,0)/24)&amp;" ngày"&amp;IF(MOD(ROUND($AV250,0),24)&gt;0," "&amp;MOD(ROUND($AV250,0),24)&amp;" giờ","")))&amp;" mỗi kỳ",IF($AV250&lt;1,MAX(1,ROUND($AV250*60,0))&amp;" phút",IF(ROUND($AV250,0)&lt;24,ROUND($AV250,0)&amp;" giờ",INT(ROUND($AV250,0)/24)&amp;" ngày"&amp;IF(MOD(ROUND($AV250,0),24)&gt;0," "&amp;MOD(ROUND($AV250,0),24)&amp;" giờ","")))))</f>
      </c>
      <c r="AF250" s="223">
        <f>IF(OR($A250="",N($AU250)=0),"",IF($AV250&lt;&gt;"",IF($AV250&lt;=$AU250,"Trong ước tính","Vượt "&amp;IF(($AV250-$AU250)&lt;1,MAX(1,ROUND(($AV250-$AU250)*60,0))&amp;" phút",IF(ROUND(($AV250-$AU250),0)&lt;24,ROUND(($AV250-$AU250),0)&amp;" giờ",INT(ROUND(($AV250-$AU250),0)/24)&amp;" ngày"&amp;IF(MOD(ROUND(($AV250-$AU250),0),24)&gt;0," "&amp;MOD(ROUND(($AV250-$AU250),0),24)&amp;" giờ","")))),IF(OR($B250&lt;&gt;"Đột xuất",$AA250="Hoàn thành",N($J250)=0),"",IF((TDBC-$J250)*24&gt;$AU250,"Đã vượt ước tính","Đã dùng "&amp;TEXT((TDBC-$J250)*24/$AU250,"0%")))))</f>
      </c>
      <c r="AG250" s="223">
        <f>IF(N($BB250)=0,"",CHOOSE($BB250,"Nhắc nhở","Cảnh báo","Báo động","Báo động đỏ"))</f>
      </c>
      <c r="AH250" s="223">
        <f>IF(OR($B250&lt;&gt;"Đột xuất",$AA250&lt;&gt;"Hoàn thành",N($X250)=0,$AW250=0),"",IF($X250&lt;=$AW250,"Đúng hạn","Trễ hạn"))</f>
      </c>
      <c r="AI250" s="220">
        <f>IF($A250="","",_xlfn.MAXIFS('Nhật ký tiến độ'!$B$6:$B$3005,'Nhật ký tiến độ'!$C$6:$C$3005,$A250))</f>
      </c>
      <c r="AJ250" s="225">
        <f>IF(OR($A250="",$B250&lt;&gt;"Định kỳ"),0,IFERROR(INDEX(DM_TanSuatNgay,MATCH($H250,DM_TanSuat,0)),0))</f>
      </c>
      <c r="AK250" s="225">
        <f>IF(OR($A250="",$B250&lt;&gt;"Định kỳ"),0,IFERROR(INDEX(DM_TanSuatThang,MATCH($H250,DM_TanSuat,0)),0))</f>
      </c>
      <c r="AL250" s="225">
        <f>IF(OR($A250="",$B250&lt;&gt;"Định kỳ",N($X250)=0,N($I250)=0),"",IF(INT($X250)&lt;$I250,0,IF($AJ250&gt;0,ROUND((INT($X250)-$I250)/$AJ250,0),IF($AK250&gt;0,ROUND((DATEDIF($I250,INT($X250),"m")+(INT($X250)-EDATE($I250,DATEDIF($I250,INT($X250),"m")))/(EDATE($I250,DATEDIF($I250,INT($X250),"m")+1)-EDATE($I250,DATEDIF($I250,INT($X250),"m"))))/$AK250,0),0))))</f>
      </c>
      <c r="AM250" s="225">
        <f>IF($A250="","",IF(COUNTIF('Nhật ký tiến độ'!$C$6:$C$3005,$A250)=0,0,_xlfn.MAXIFS('Nhật ký tiến độ'!$N$6:$N$3005,'Nhật ký tiến độ'!$C$6:$C$3005,$A250,'Nhật ký tiến độ'!$B$6:$B$3005,_xlfn.MAXIFS('Nhật ký tiến độ'!$B$6:$B$3005,'Nhật ký tiến độ'!$C$6:$C$3005,$A250))))</f>
      </c>
      <c r="AN250" s="225">
        <f>IF($A250="","",IF(N($AM250)=0,"",INDEX('Nhật ký tiến độ'!$E:$E,$AM250)))</f>
      </c>
      <c r="AO250" s="225">
        <f>IF($A250="",0,IF($AA250="Hoàn thành",0,1))</f>
      </c>
      <c r="AP250" s="225">
        <f>IF($AO250=0,0,INT(N($AW250)))</f>
      </c>
      <c r="AQ250" s="225">
        <f>IF(AND($AO250=1,$AJ250&gt;1),$AJ250,0)</f>
      </c>
      <c r="AR250" s="225">
        <f>IF(AND($AO250=1,$AJ250=1),1,0)</f>
      </c>
      <c r="AS250" s="225">
        <f>IF(OR($AO250=0,AND($AR250=1,N($BB250)=0)),"",IF(N($BB250)&gt;0,5-$BB250,IF($AD250="Chậm tiến độ",6,IF($AD250="Đến hạn hôm nay",7,IF(AND($AP250&gt;0,$AP250-NgayBC&lt;=7),8,"")))))</f>
      </c>
      <c r="AT250" s="225">
        <f>IF($AS250="","",$AS250*100000+$AP250+ROW()/100000)</f>
      </c>
      <c r="AU250" s="224">
        <f>IF(OR($A250="",N($R250)&lt;=0),"",IF($S250="Ngày",$R250*24,$R250))</f>
      </c>
      <c r="AV250" s="224">
        <f>IF($A250="","",IF($B250="Đột xuất",IF(OR($AA250&lt;&gt;"Hoàn thành",N($X250)=0,N($J250)=0),"",IF($X250&lt;$J250,"",($X250-$J250)*24)),IFERROR(AVERAGEIFS('Nhật ký tiến độ'!$H$6:$H$3005,'Nhật ký tiến độ'!$C$6:$C$3005,$A250,'Nhật ký tiến độ'!$H$6:$H$3005,"&gt;0"),"")))</f>
      </c>
      <c r="AW250" s="233">
        <f>IF($A250="",0,IF($B250="Đột xuất",$AY250,IF($AX250=0,0,$AX250+1-1/1440)))</f>
      </c>
      <c r="AX250" s="234">
        <f>IF(OR($A250="",$B250&lt;&gt;"Định kỳ",N($I250)=0),0,IF($AL250="",$I250,IF($AJ250&gt;0,$I250+($AL250+1)*$AJ250,IF($AK250&gt;0,EDATE($I250,($AL250+1)*$AK250),$I250))))</f>
      </c>
      <c r="AY250" s="233">
        <f>IF(OR($A250="",$B250&lt;&gt;"Đột xuất"),0,IF(N($K250)&gt;0,IF(MOD($K250,1)=0,$K250+1-1/1440,$K250),IF(N($J250)=0,0,$J250+IF(N($AU250)&gt;0,$AU250,IFERROR(INDEX(DM_SLA_Gio,MATCH($L250,DM_SLA_Cap,0)),168))/24)))</f>
      </c>
      <c r="AZ250" s="225">
        <f>IF(OR($A250="",TRIM($N250)="",COUNTIF('Phản ánh'!$K$6:$K$505,$N250)&gt;0,COUNTIF($N$6:$N250,$N250)&gt;1),0,1)</f>
      </c>
      <c r="BA250" s="225">
        <f>IF($AZ250=1,SUM($AZ$6:$AZ250),"")</f>
      </c>
      <c r="BB250" s="225">
        <f>IF(OR($AO250=0,N($AW250)=0),0,IF(TDBC&lt;=$AW250,0,MAX(1,MIN(4,IF((TDBC-$AW250)*24&lt;24,1,IF((TDBC-$AW250)*24&lt;72,2,IF((TDBC-$AW250)*24&lt;168,3,4)))+IF($B250="Đột xuất",IFERROR(INDEX({2,1,0,-1},MATCH($L250,{"Khẩn cấp","Cao","Trung bình","Thấp"},0)),0),IF($D250="PCCC và an ninh",1,0))))))</f>
      </c>
    </row>
    <row r="251">
      <c r="A251" s="216"/>
      <c r="B251" s="216"/>
      <c r="C251" s="218"/>
      <c r="D251" s="218"/>
      <c r="E251" s="218"/>
      <c r="F251" s="216"/>
      <c r="G251" s="218"/>
      <c r="H251" s="218"/>
      <c r="I251" s="231"/>
      <c r="J251" s="217"/>
      <c r="K251" s="217"/>
      <c r="L251" s="216"/>
      <c r="M251" s="216"/>
      <c r="N251" s="218"/>
      <c r="O251" s="218"/>
      <c r="P251" s="218"/>
      <c r="Q251" s="218"/>
      <c r="R251" s="219"/>
      <c r="S251" s="216"/>
      <c r="T251" s="232"/>
      <c r="U251" s="232"/>
      <c r="V251" s="218"/>
      <c r="W251" s="218"/>
      <c r="X251" s="220">
        <f>IF($A251="","",IF(OR($B251="Định kỳ",$AA251="Hoàn thành"),MAX(_xlfn.MAXIFS('Nhật ký tiến độ'!$B$6:$B$3005,'Nhật ký tiến độ'!$C$6:$C$3005,$A251,'Nhật ký tiến độ'!$E$6:$E$3005,"Hoàn thành kỳ"),_xlfn.MAXIFS('Nhật ký tiến độ'!$B$6:$B$3005,'Nhật ký tiến độ'!$C$6:$C$3005,$A251,'Nhật ký tiến độ'!$E$6:$E$3005,"Hoàn thành")),0))</f>
      </c>
      <c r="Y251" s="220">
        <f>IF($A251="","",IF($B251="Đột xuất",IF($AY251=0,"",$AY251),IF($AX251=0,"",$AX251)))</f>
      </c>
      <c r="Z251" s="223">
        <f>IF(OR($AO251=0,$AW251=0),"",IF(TDBC&gt;$AW251,"Quá "&amp;IF($B251="Định kỳ",(NgayBC-$AP251)&amp;" ngày",IF(((TDBC-$AW251)*24)&lt;1,MAX(1,ROUND(((TDBC-$AW251)*24)*60,0))&amp;" phút",IF(ROUND(((TDBC-$AW251)*24),0)&lt;24,ROUND(((TDBC-$AW251)*24),0)&amp;" giờ",INT(ROUND(((TDBC-$AW251)*24),0)/24)&amp;" ngày"&amp;IF(MOD(ROUND(((TDBC-$AW251)*24),0),24)&gt;0," "&amp;MOD(ROUND(((TDBC-$AW251)*24),0),24)&amp;" giờ","")))),IF($B251="Định kỳ",IF($AP251=NgayBC,"Hôm nay","Còn "&amp;($AP251-NgayBC)&amp;" ngày"),"Còn "&amp;IF((($AW251-TDBC)*24)&lt;1,MAX(1,ROUND((($AW251-TDBC)*24)*60,0))&amp;" phút",IF(ROUND((($AW251-TDBC)*24),0)&lt;24,ROUND((($AW251-TDBC)*24),0)&amp;" giờ",INT(ROUND((($AW251-TDBC)*24),0)/24)&amp;" ngày"&amp;IF(MOD(ROUND((($AW251-TDBC)*24),0),24)&gt;0," "&amp;MOD(ROUND((($AW251-TDBC)*24),0),24)&amp;" giờ",""))))))</f>
      </c>
      <c r="AA251" s="221">
        <f>IF($A251="","",IF(N($AM251)=0,"Chưa bắt đầu",IF(OR($AN251="Hoàn thành kỳ",$AN251="Hoàn thành"),IF($B251="Định kỳ","Chưa bắt đầu","Hoàn thành"),$AN251)))</f>
      </c>
      <c r="AB251" s="222">
        <f>IF($A251="","",IF($AA251="Hoàn thành",1,IF(OR(N($AM251)=0,$AN251="Hoàn thành kỳ",$AN251="Hoàn thành"),0,N(INDEX('Nhật ký tiến độ'!$D:$D,$AM251)))))</f>
      </c>
      <c r="AC251" s="222">
        <f>IF(OR($A251="",$B251&lt;&gt;"Đột xuất",$AA251="Hoàn thành",N($J251)=0,$AW251=0),"",IF(TDBC&lt;=$J251,0,IF(TDBC&gt;=$AW251,1,(TDBC-$J251)/($AW251-$J251))))</f>
      </c>
      <c r="AD251" s="223">
        <f>IF($A251="","",IF($AA251="Hoàn thành","Hoàn thành",IF($AW251=0,"Chưa đặt hạn",IF(TDBC&gt;$AW251,"Quá hạn",IF(AND($B251="Đột xuất",ROUND((N($AC251)-$AB251)*100,0)&gt;=20),"Chậm tiến độ",IF($AP251=NgayBC,"Đến hạn hôm nay",IF($B251="Đột xuất",IF($AW251-TDBC&lt;=1,"Sắp đến hạn","Đúng tiến độ"),IF($AP251-NgayBC&lt;=3,"Sắp đến hạn","Theo lịch"))))))))</f>
      </c>
      <c r="AE251" s="223">
        <f>IF($AV251="","",IF($B251="Định kỳ","Bình quân "&amp;IF($AV251&lt;1,MAX(1,ROUND($AV251*60,0))&amp;" phút",IF(ROUND($AV251,0)&lt;24,ROUND($AV251,0)&amp;" giờ",INT(ROUND($AV251,0)/24)&amp;" ngày"&amp;IF(MOD(ROUND($AV251,0),24)&gt;0," "&amp;MOD(ROUND($AV251,0),24)&amp;" giờ","")))&amp;" mỗi kỳ",IF($AV251&lt;1,MAX(1,ROUND($AV251*60,0))&amp;" phút",IF(ROUND($AV251,0)&lt;24,ROUND($AV251,0)&amp;" giờ",INT(ROUND($AV251,0)/24)&amp;" ngày"&amp;IF(MOD(ROUND($AV251,0),24)&gt;0," "&amp;MOD(ROUND($AV251,0),24)&amp;" giờ","")))))</f>
      </c>
      <c r="AF251" s="223">
        <f>IF(OR($A251="",N($AU251)=0),"",IF($AV251&lt;&gt;"",IF($AV251&lt;=$AU251,"Trong ước tính","Vượt "&amp;IF(($AV251-$AU251)&lt;1,MAX(1,ROUND(($AV251-$AU251)*60,0))&amp;" phút",IF(ROUND(($AV251-$AU251),0)&lt;24,ROUND(($AV251-$AU251),0)&amp;" giờ",INT(ROUND(($AV251-$AU251),0)/24)&amp;" ngày"&amp;IF(MOD(ROUND(($AV251-$AU251),0),24)&gt;0," "&amp;MOD(ROUND(($AV251-$AU251),0),24)&amp;" giờ","")))),IF(OR($B251&lt;&gt;"Đột xuất",$AA251="Hoàn thành",N($J251)=0),"",IF((TDBC-$J251)*24&gt;$AU251,"Đã vượt ước tính","Đã dùng "&amp;TEXT((TDBC-$J251)*24/$AU251,"0%")))))</f>
      </c>
      <c r="AG251" s="223">
        <f>IF(N($BB251)=0,"",CHOOSE($BB251,"Nhắc nhở","Cảnh báo","Báo động","Báo động đỏ"))</f>
      </c>
      <c r="AH251" s="223">
        <f>IF(OR($B251&lt;&gt;"Đột xuất",$AA251&lt;&gt;"Hoàn thành",N($X251)=0,$AW251=0),"",IF($X251&lt;=$AW251,"Đúng hạn","Trễ hạn"))</f>
      </c>
      <c r="AI251" s="220">
        <f>IF($A251="","",_xlfn.MAXIFS('Nhật ký tiến độ'!$B$6:$B$3005,'Nhật ký tiến độ'!$C$6:$C$3005,$A251))</f>
      </c>
      <c r="AJ251" s="225">
        <f>IF(OR($A251="",$B251&lt;&gt;"Định kỳ"),0,IFERROR(INDEX(DM_TanSuatNgay,MATCH($H251,DM_TanSuat,0)),0))</f>
      </c>
      <c r="AK251" s="225">
        <f>IF(OR($A251="",$B251&lt;&gt;"Định kỳ"),0,IFERROR(INDEX(DM_TanSuatThang,MATCH($H251,DM_TanSuat,0)),0))</f>
      </c>
      <c r="AL251" s="225">
        <f>IF(OR($A251="",$B251&lt;&gt;"Định kỳ",N($X251)=0,N($I251)=0),"",IF(INT($X251)&lt;$I251,0,IF($AJ251&gt;0,ROUND((INT($X251)-$I251)/$AJ251,0),IF($AK251&gt;0,ROUND((DATEDIF($I251,INT($X251),"m")+(INT($X251)-EDATE($I251,DATEDIF($I251,INT($X251),"m")))/(EDATE($I251,DATEDIF($I251,INT($X251),"m")+1)-EDATE($I251,DATEDIF($I251,INT($X251),"m"))))/$AK251,0),0))))</f>
      </c>
      <c r="AM251" s="225">
        <f>IF($A251="","",IF(COUNTIF('Nhật ký tiến độ'!$C$6:$C$3005,$A251)=0,0,_xlfn.MAXIFS('Nhật ký tiến độ'!$N$6:$N$3005,'Nhật ký tiến độ'!$C$6:$C$3005,$A251,'Nhật ký tiến độ'!$B$6:$B$3005,_xlfn.MAXIFS('Nhật ký tiến độ'!$B$6:$B$3005,'Nhật ký tiến độ'!$C$6:$C$3005,$A251))))</f>
      </c>
      <c r="AN251" s="225">
        <f>IF($A251="","",IF(N($AM251)=0,"",INDEX('Nhật ký tiến độ'!$E:$E,$AM251)))</f>
      </c>
      <c r="AO251" s="225">
        <f>IF($A251="",0,IF($AA251="Hoàn thành",0,1))</f>
      </c>
      <c r="AP251" s="225">
        <f>IF($AO251=0,0,INT(N($AW251)))</f>
      </c>
      <c r="AQ251" s="225">
        <f>IF(AND($AO251=1,$AJ251&gt;1),$AJ251,0)</f>
      </c>
      <c r="AR251" s="225">
        <f>IF(AND($AO251=1,$AJ251=1),1,0)</f>
      </c>
      <c r="AS251" s="225">
        <f>IF(OR($AO251=0,AND($AR251=1,N($BB251)=0)),"",IF(N($BB251)&gt;0,5-$BB251,IF($AD251="Chậm tiến độ",6,IF($AD251="Đến hạn hôm nay",7,IF(AND($AP251&gt;0,$AP251-NgayBC&lt;=7),8,"")))))</f>
      </c>
      <c r="AT251" s="225">
        <f>IF($AS251="","",$AS251*100000+$AP251+ROW()/100000)</f>
      </c>
      <c r="AU251" s="224">
        <f>IF(OR($A251="",N($R251)&lt;=0),"",IF($S251="Ngày",$R251*24,$R251))</f>
      </c>
      <c r="AV251" s="224">
        <f>IF($A251="","",IF($B251="Đột xuất",IF(OR($AA251&lt;&gt;"Hoàn thành",N($X251)=0,N($J251)=0),"",IF($X251&lt;$J251,"",($X251-$J251)*24)),IFERROR(AVERAGEIFS('Nhật ký tiến độ'!$H$6:$H$3005,'Nhật ký tiến độ'!$C$6:$C$3005,$A251,'Nhật ký tiến độ'!$H$6:$H$3005,"&gt;0"),"")))</f>
      </c>
      <c r="AW251" s="233">
        <f>IF($A251="",0,IF($B251="Đột xuất",$AY251,IF($AX251=0,0,$AX251+1-1/1440)))</f>
      </c>
      <c r="AX251" s="234">
        <f>IF(OR($A251="",$B251&lt;&gt;"Định kỳ",N($I251)=0),0,IF($AL251="",$I251,IF($AJ251&gt;0,$I251+($AL251+1)*$AJ251,IF($AK251&gt;0,EDATE($I251,($AL251+1)*$AK251),$I251))))</f>
      </c>
      <c r="AY251" s="233">
        <f>IF(OR($A251="",$B251&lt;&gt;"Đột xuất"),0,IF(N($K251)&gt;0,IF(MOD($K251,1)=0,$K251+1-1/1440,$K251),IF(N($J251)=0,0,$J251+IF(N($AU251)&gt;0,$AU251,IFERROR(INDEX(DM_SLA_Gio,MATCH($L251,DM_SLA_Cap,0)),168))/24)))</f>
      </c>
      <c r="AZ251" s="225">
        <f>IF(OR($A251="",TRIM($N251)="",COUNTIF('Phản ánh'!$K$6:$K$505,$N251)&gt;0,COUNTIF($N$6:$N251,$N251)&gt;1),0,1)</f>
      </c>
      <c r="BA251" s="225">
        <f>IF($AZ251=1,SUM($AZ$6:$AZ251),"")</f>
      </c>
      <c r="BB251" s="225">
        <f>IF(OR($AO251=0,N($AW251)=0),0,IF(TDBC&lt;=$AW251,0,MAX(1,MIN(4,IF((TDBC-$AW251)*24&lt;24,1,IF((TDBC-$AW251)*24&lt;72,2,IF((TDBC-$AW251)*24&lt;168,3,4)))+IF($B251="Đột xuất",IFERROR(INDEX({2,1,0,-1},MATCH($L251,{"Khẩn cấp","Cao","Trung bình","Thấp"},0)),0),IF($D251="PCCC và an ninh",1,0))))))</f>
      </c>
    </row>
    <row r="252">
      <c r="A252" s="216"/>
      <c r="B252" s="216"/>
      <c r="C252" s="218"/>
      <c r="D252" s="218"/>
      <c r="E252" s="218"/>
      <c r="F252" s="216"/>
      <c r="G252" s="218"/>
      <c r="H252" s="218"/>
      <c r="I252" s="231"/>
      <c r="J252" s="217"/>
      <c r="K252" s="217"/>
      <c r="L252" s="216"/>
      <c r="M252" s="216"/>
      <c r="N252" s="218"/>
      <c r="O252" s="218"/>
      <c r="P252" s="218"/>
      <c r="Q252" s="218"/>
      <c r="R252" s="219"/>
      <c r="S252" s="216"/>
      <c r="T252" s="232"/>
      <c r="U252" s="232"/>
      <c r="V252" s="218"/>
      <c r="W252" s="218"/>
      <c r="X252" s="220">
        <f>IF($A252="","",IF(OR($B252="Định kỳ",$AA252="Hoàn thành"),MAX(_xlfn.MAXIFS('Nhật ký tiến độ'!$B$6:$B$3005,'Nhật ký tiến độ'!$C$6:$C$3005,$A252,'Nhật ký tiến độ'!$E$6:$E$3005,"Hoàn thành kỳ"),_xlfn.MAXIFS('Nhật ký tiến độ'!$B$6:$B$3005,'Nhật ký tiến độ'!$C$6:$C$3005,$A252,'Nhật ký tiến độ'!$E$6:$E$3005,"Hoàn thành")),0))</f>
      </c>
      <c r="Y252" s="220">
        <f>IF($A252="","",IF($B252="Đột xuất",IF($AY252=0,"",$AY252),IF($AX252=0,"",$AX252)))</f>
      </c>
      <c r="Z252" s="223">
        <f>IF(OR($AO252=0,$AW252=0),"",IF(TDBC&gt;$AW252,"Quá "&amp;IF($B252="Định kỳ",(NgayBC-$AP252)&amp;" ngày",IF(((TDBC-$AW252)*24)&lt;1,MAX(1,ROUND(((TDBC-$AW252)*24)*60,0))&amp;" phút",IF(ROUND(((TDBC-$AW252)*24),0)&lt;24,ROUND(((TDBC-$AW252)*24),0)&amp;" giờ",INT(ROUND(((TDBC-$AW252)*24),0)/24)&amp;" ngày"&amp;IF(MOD(ROUND(((TDBC-$AW252)*24),0),24)&gt;0," "&amp;MOD(ROUND(((TDBC-$AW252)*24),0),24)&amp;" giờ","")))),IF($B252="Định kỳ",IF($AP252=NgayBC,"Hôm nay","Còn "&amp;($AP252-NgayBC)&amp;" ngày"),"Còn "&amp;IF((($AW252-TDBC)*24)&lt;1,MAX(1,ROUND((($AW252-TDBC)*24)*60,0))&amp;" phút",IF(ROUND((($AW252-TDBC)*24),0)&lt;24,ROUND((($AW252-TDBC)*24),0)&amp;" giờ",INT(ROUND((($AW252-TDBC)*24),0)/24)&amp;" ngày"&amp;IF(MOD(ROUND((($AW252-TDBC)*24),0),24)&gt;0," "&amp;MOD(ROUND((($AW252-TDBC)*24),0),24)&amp;" giờ",""))))))</f>
      </c>
      <c r="AA252" s="221">
        <f>IF($A252="","",IF(N($AM252)=0,"Chưa bắt đầu",IF(OR($AN252="Hoàn thành kỳ",$AN252="Hoàn thành"),IF($B252="Định kỳ","Chưa bắt đầu","Hoàn thành"),$AN252)))</f>
      </c>
      <c r="AB252" s="222">
        <f>IF($A252="","",IF($AA252="Hoàn thành",1,IF(OR(N($AM252)=0,$AN252="Hoàn thành kỳ",$AN252="Hoàn thành"),0,N(INDEX('Nhật ký tiến độ'!$D:$D,$AM252)))))</f>
      </c>
      <c r="AC252" s="222">
        <f>IF(OR($A252="",$B252&lt;&gt;"Đột xuất",$AA252="Hoàn thành",N($J252)=0,$AW252=0),"",IF(TDBC&lt;=$J252,0,IF(TDBC&gt;=$AW252,1,(TDBC-$J252)/($AW252-$J252))))</f>
      </c>
      <c r="AD252" s="223">
        <f>IF($A252="","",IF($AA252="Hoàn thành","Hoàn thành",IF($AW252=0,"Chưa đặt hạn",IF(TDBC&gt;$AW252,"Quá hạn",IF(AND($B252="Đột xuất",ROUND((N($AC252)-$AB252)*100,0)&gt;=20),"Chậm tiến độ",IF($AP252=NgayBC,"Đến hạn hôm nay",IF($B252="Đột xuất",IF($AW252-TDBC&lt;=1,"Sắp đến hạn","Đúng tiến độ"),IF($AP252-NgayBC&lt;=3,"Sắp đến hạn","Theo lịch"))))))))</f>
      </c>
      <c r="AE252" s="223">
        <f>IF($AV252="","",IF($B252="Định kỳ","Bình quân "&amp;IF($AV252&lt;1,MAX(1,ROUND($AV252*60,0))&amp;" phút",IF(ROUND($AV252,0)&lt;24,ROUND($AV252,0)&amp;" giờ",INT(ROUND($AV252,0)/24)&amp;" ngày"&amp;IF(MOD(ROUND($AV252,0),24)&gt;0," "&amp;MOD(ROUND($AV252,0),24)&amp;" giờ","")))&amp;" mỗi kỳ",IF($AV252&lt;1,MAX(1,ROUND($AV252*60,0))&amp;" phút",IF(ROUND($AV252,0)&lt;24,ROUND($AV252,0)&amp;" giờ",INT(ROUND($AV252,0)/24)&amp;" ngày"&amp;IF(MOD(ROUND($AV252,0),24)&gt;0," "&amp;MOD(ROUND($AV252,0),24)&amp;" giờ","")))))</f>
      </c>
      <c r="AF252" s="223">
        <f>IF(OR($A252="",N($AU252)=0),"",IF($AV252&lt;&gt;"",IF($AV252&lt;=$AU252,"Trong ước tính","Vượt "&amp;IF(($AV252-$AU252)&lt;1,MAX(1,ROUND(($AV252-$AU252)*60,0))&amp;" phút",IF(ROUND(($AV252-$AU252),0)&lt;24,ROUND(($AV252-$AU252),0)&amp;" giờ",INT(ROUND(($AV252-$AU252),0)/24)&amp;" ngày"&amp;IF(MOD(ROUND(($AV252-$AU252),0),24)&gt;0," "&amp;MOD(ROUND(($AV252-$AU252),0),24)&amp;" giờ","")))),IF(OR($B252&lt;&gt;"Đột xuất",$AA252="Hoàn thành",N($J252)=0),"",IF((TDBC-$J252)*24&gt;$AU252,"Đã vượt ước tính","Đã dùng "&amp;TEXT((TDBC-$J252)*24/$AU252,"0%")))))</f>
      </c>
      <c r="AG252" s="223">
        <f>IF(N($BB252)=0,"",CHOOSE($BB252,"Nhắc nhở","Cảnh báo","Báo động","Báo động đỏ"))</f>
      </c>
      <c r="AH252" s="223">
        <f>IF(OR($B252&lt;&gt;"Đột xuất",$AA252&lt;&gt;"Hoàn thành",N($X252)=0,$AW252=0),"",IF($X252&lt;=$AW252,"Đúng hạn","Trễ hạn"))</f>
      </c>
      <c r="AI252" s="220">
        <f>IF($A252="","",_xlfn.MAXIFS('Nhật ký tiến độ'!$B$6:$B$3005,'Nhật ký tiến độ'!$C$6:$C$3005,$A252))</f>
      </c>
      <c r="AJ252" s="225">
        <f>IF(OR($A252="",$B252&lt;&gt;"Định kỳ"),0,IFERROR(INDEX(DM_TanSuatNgay,MATCH($H252,DM_TanSuat,0)),0))</f>
      </c>
      <c r="AK252" s="225">
        <f>IF(OR($A252="",$B252&lt;&gt;"Định kỳ"),0,IFERROR(INDEX(DM_TanSuatThang,MATCH($H252,DM_TanSuat,0)),0))</f>
      </c>
      <c r="AL252" s="225">
        <f>IF(OR($A252="",$B252&lt;&gt;"Định kỳ",N($X252)=0,N($I252)=0),"",IF(INT($X252)&lt;$I252,0,IF($AJ252&gt;0,ROUND((INT($X252)-$I252)/$AJ252,0),IF($AK252&gt;0,ROUND((DATEDIF($I252,INT($X252),"m")+(INT($X252)-EDATE($I252,DATEDIF($I252,INT($X252),"m")))/(EDATE($I252,DATEDIF($I252,INT($X252),"m")+1)-EDATE($I252,DATEDIF($I252,INT($X252),"m"))))/$AK252,0),0))))</f>
      </c>
      <c r="AM252" s="225">
        <f>IF($A252="","",IF(COUNTIF('Nhật ký tiến độ'!$C$6:$C$3005,$A252)=0,0,_xlfn.MAXIFS('Nhật ký tiến độ'!$N$6:$N$3005,'Nhật ký tiến độ'!$C$6:$C$3005,$A252,'Nhật ký tiến độ'!$B$6:$B$3005,_xlfn.MAXIFS('Nhật ký tiến độ'!$B$6:$B$3005,'Nhật ký tiến độ'!$C$6:$C$3005,$A252))))</f>
      </c>
      <c r="AN252" s="225">
        <f>IF($A252="","",IF(N($AM252)=0,"",INDEX('Nhật ký tiến độ'!$E:$E,$AM252)))</f>
      </c>
      <c r="AO252" s="225">
        <f>IF($A252="",0,IF($AA252="Hoàn thành",0,1))</f>
      </c>
      <c r="AP252" s="225">
        <f>IF($AO252=0,0,INT(N($AW252)))</f>
      </c>
      <c r="AQ252" s="225">
        <f>IF(AND($AO252=1,$AJ252&gt;1),$AJ252,0)</f>
      </c>
      <c r="AR252" s="225">
        <f>IF(AND($AO252=1,$AJ252=1),1,0)</f>
      </c>
      <c r="AS252" s="225">
        <f>IF(OR($AO252=0,AND($AR252=1,N($BB252)=0)),"",IF(N($BB252)&gt;0,5-$BB252,IF($AD252="Chậm tiến độ",6,IF($AD252="Đến hạn hôm nay",7,IF(AND($AP252&gt;0,$AP252-NgayBC&lt;=7),8,"")))))</f>
      </c>
      <c r="AT252" s="225">
        <f>IF($AS252="","",$AS252*100000+$AP252+ROW()/100000)</f>
      </c>
      <c r="AU252" s="224">
        <f>IF(OR($A252="",N($R252)&lt;=0),"",IF($S252="Ngày",$R252*24,$R252))</f>
      </c>
      <c r="AV252" s="224">
        <f>IF($A252="","",IF($B252="Đột xuất",IF(OR($AA252&lt;&gt;"Hoàn thành",N($X252)=0,N($J252)=0),"",IF($X252&lt;$J252,"",($X252-$J252)*24)),IFERROR(AVERAGEIFS('Nhật ký tiến độ'!$H$6:$H$3005,'Nhật ký tiến độ'!$C$6:$C$3005,$A252,'Nhật ký tiến độ'!$H$6:$H$3005,"&gt;0"),"")))</f>
      </c>
      <c r="AW252" s="233">
        <f>IF($A252="",0,IF($B252="Đột xuất",$AY252,IF($AX252=0,0,$AX252+1-1/1440)))</f>
      </c>
      <c r="AX252" s="234">
        <f>IF(OR($A252="",$B252&lt;&gt;"Định kỳ",N($I252)=0),0,IF($AL252="",$I252,IF($AJ252&gt;0,$I252+($AL252+1)*$AJ252,IF($AK252&gt;0,EDATE($I252,($AL252+1)*$AK252),$I252))))</f>
      </c>
      <c r="AY252" s="233">
        <f>IF(OR($A252="",$B252&lt;&gt;"Đột xuất"),0,IF(N($K252)&gt;0,IF(MOD($K252,1)=0,$K252+1-1/1440,$K252),IF(N($J252)=0,0,$J252+IF(N($AU252)&gt;0,$AU252,IFERROR(INDEX(DM_SLA_Gio,MATCH($L252,DM_SLA_Cap,0)),168))/24)))</f>
      </c>
      <c r="AZ252" s="225">
        <f>IF(OR($A252="",TRIM($N252)="",COUNTIF('Phản ánh'!$K$6:$K$505,$N252)&gt;0,COUNTIF($N$6:$N252,$N252)&gt;1),0,1)</f>
      </c>
      <c r="BA252" s="225">
        <f>IF($AZ252=1,SUM($AZ$6:$AZ252),"")</f>
      </c>
      <c r="BB252" s="225">
        <f>IF(OR($AO252=0,N($AW252)=0),0,IF(TDBC&lt;=$AW252,0,MAX(1,MIN(4,IF((TDBC-$AW252)*24&lt;24,1,IF((TDBC-$AW252)*24&lt;72,2,IF((TDBC-$AW252)*24&lt;168,3,4)))+IF($B252="Đột xuất",IFERROR(INDEX({2,1,0,-1},MATCH($L252,{"Khẩn cấp","Cao","Trung bình","Thấp"},0)),0),IF($D252="PCCC và an ninh",1,0))))))</f>
      </c>
    </row>
    <row r="253">
      <c r="A253" s="216"/>
      <c r="B253" s="216"/>
      <c r="C253" s="218"/>
      <c r="D253" s="218"/>
      <c r="E253" s="218"/>
      <c r="F253" s="216"/>
      <c r="G253" s="218"/>
      <c r="H253" s="218"/>
      <c r="I253" s="231"/>
      <c r="J253" s="217"/>
      <c r="K253" s="217"/>
      <c r="L253" s="216"/>
      <c r="M253" s="216"/>
      <c r="N253" s="218"/>
      <c r="O253" s="218"/>
      <c r="P253" s="218"/>
      <c r="Q253" s="218"/>
      <c r="R253" s="219"/>
      <c r="S253" s="216"/>
      <c r="T253" s="232"/>
      <c r="U253" s="232"/>
      <c r="V253" s="218"/>
      <c r="W253" s="218"/>
      <c r="X253" s="220">
        <f>IF($A253="","",IF(OR($B253="Định kỳ",$AA253="Hoàn thành"),MAX(_xlfn.MAXIFS('Nhật ký tiến độ'!$B$6:$B$3005,'Nhật ký tiến độ'!$C$6:$C$3005,$A253,'Nhật ký tiến độ'!$E$6:$E$3005,"Hoàn thành kỳ"),_xlfn.MAXIFS('Nhật ký tiến độ'!$B$6:$B$3005,'Nhật ký tiến độ'!$C$6:$C$3005,$A253,'Nhật ký tiến độ'!$E$6:$E$3005,"Hoàn thành")),0))</f>
      </c>
      <c r="Y253" s="220">
        <f>IF($A253="","",IF($B253="Đột xuất",IF($AY253=0,"",$AY253),IF($AX253=0,"",$AX253)))</f>
      </c>
      <c r="Z253" s="223">
        <f>IF(OR($AO253=0,$AW253=0),"",IF(TDBC&gt;$AW253,"Quá "&amp;IF($B253="Định kỳ",(NgayBC-$AP253)&amp;" ngày",IF(((TDBC-$AW253)*24)&lt;1,MAX(1,ROUND(((TDBC-$AW253)*24)*60,0))&amp;" phút",IF(ROUND(((TDBC-$AW253)*24),0)&lt;24,ROUND(((TDBC-$AW253)*24),0)&amp;" giờ",INT(ROUND(((TDBC-$AW253)*24),0)/24)&amp;" ngày"&amp;IF(MOD(ROUND(((TDBC-$AW253)*24),0),24)&gt;0," "&amp;MOD(ROUND(((TDBC-$AW253)*24),0),24)&amp;" giờ","")))),IF($B253="Định kỳ",IF($AP253=NgayBC,"Hôm nay","Còn "&amp;($AP253-NgayBC)&amp;" ngày"),"Còn "&amp;IF((($AW253-TDBC)*24)&lt;1,MAX(1,ROUND((($AW253-TDBC)*24)*60,0))&amp;" phút",IF(ROUND((($AW253-TDBC)*24),0)&lt;24,ROUND((($AW253-TDBC)*24),0)&amp;" giờ",INT(ROUND((($AW253-TDBC)*24),0)/24)&amp;" ngày"&amp;IF(MOD(ROUND((($AW253-TDBC)*24),0),24)&gt;0," "&amp;MOD(ROUND((($AW253-TDBC)*24),0),24)&amp;" giờ",""))))))</f>
      </c>
      <c r="AA253" s="221">
        <f>IF($A253="","",IF(N($AM253)=0,"Chưa bắt đầu",IF(OR($AN253="Hoàn thành kỳ",$AN253="Hoàn thành"),IF($B253="Định kỳ","Chưa bắt đầu","Hoàn thành"),$AN253)))</f>
      </c>
      <c r="AB253" s="222">
        <f>IF($A253="","",IF($AA253="Hoàn thành",1,IF(OR(N($AM253)=0,$AN253="Hoàn thành kỳ",$AN253="Hoàn thành"),0,N(INDEX('Nhật ký tiến độ'!$D:$D,$AM253)))))</f>
      </c>
      <c r="AC253" s="222">
        <f>IF(OR($A253="",$B253&lt;&gt;"Đột xuất",$AA253="Hoàn thành",N($J253)=0,$AW253=0),"",IF(TDBC&lt;=$J253,0,IF(TDBC&gt;=$AW253,1,(TDBC-$J253)/($AW253-$J253))))</f>
      </c>
      <c r="AD253" s="223">
        <f>IF($A253="","",IF($AA253="Hoàn thành","Hoàn thành",IF($AW253=0,"Chưa đặt hạn",IF(TDBC&gt;$AW253,"Quá hạn",IF(AND($B253="Đột xuất",ROUND((N($AC253)-$AB253)*100,0)&gt;=20),"Chậm tiến độ",IF($AP253=NgayBC,"Đến hạn hôm nay",IF($B253="Đột xuất",IF($AW253-TDBC&lt;=1,"Sắp đến hạn","Đúng tiến độ"),IF($AP253-NgayBC&lt;=3,"Sắp đến hạn","Theo lịch"))))))))</f>
      </c>
      <c r="AE253" s="223">
        <f>IF($AV253="","",IF($B253="Định kỳ","Bình quân "&amp;IF($AV253&lt;1,MAX(1,ROUND($AV253*60,0))&amp;" phút",IF(ROUND($AV253,0)&lt;24,ROUND($AV253,0)&amp;" giờ",INT(ROUND($AV253,0)/24)&amp;" ngày"&amp;IF(MOD(ROUND($AV253,0),24)&gt;0," "&amp;MOD(ROUND($AV253,0),24)&amp;" giờ","")))&amp;" mỗi kỳ",IF($AV253&lt;1,MAX(1,ROUND($AV253*60,0))&amp;" phút",IF(ROUND($AV253,0)&lt;24,ROUND($AV253,0)&amp;" giờ",INT(ROUND($AV253,0)/24)&amp;" ngày"&amp;IF(MOD(ROUND($AV253,0),24)&gt;0," "&amp;MOD(ROUND($AV253,0),24)&amp;" giờ","")))))</f>
      </c>
      <c r="AF253" s="223">
        <f>IF(OR($A253="",N($AU253)=0),"",IF($AV253&lt;&gt;"",IF($AV253&lt;=$AU253,"Trong ước tính","Vượt "&amp;IF(($AV253-$AU253)&lt;1,MAX(1,ROUND(($AV253-$AU253)*60,0))&amp;" phút",IF(ROUND(($AV253-$AU253),0)&lt;24,ROUND(($AV253-$AU253),0)&amp;" giờ",INT(ROUND(($AV253-$AU253),0)/24)&amp;" ngày"&amp;IF(MOD(ROUND(($AV253-$AU253),0),24)&gt;0," "&amp;MOD(ROUND(($AV253-$AU253),0),24)&amp;" giờ","")))),IF(OR($B253&lt;&gt;"Đột xuất",$AA253="Hoàn thành",N($J253)=0),"",IF((TDBC-$J253)*24&gt;$AU253,"Đã vượt ước tính","Đã dùng "&amp;TEXT((TDBC-$J253)*24/$AU253,"0%")))))</f>
      </c>
      <c r="AG253" s="223">
        <f>IF(N($BB253)=0,"",CHOOSE($BB253,"Nhắc nhở","Cảnh báo","Báo động","Báo động đỏ"))</f>
      </c>
      <c r="AH253" s="223">
        <f>IF(OR($B253&lt;&gt;"Đột xuất",$AA253&lt;&gt;"Hoàn thành",N($X253)=0,$AW253=0),"",IF($X253&lt;=$AW253,"Đúng hạn","Trễ hạn"))</f>
      </c>
      <c r="AI253" s="220">
        <f>IF($A253="","",_xlfn.MAXIFS('Nhật ký tiến độ'!$B$6:$B$3005,'Nhật ký tiến độ'!$C$6:$C$3005,$A253))</f>
      </c>
      <c r="AJ253" s="225">
        <f>IF(OR($A253="",$B253&lt;&gt;"Định kỳ"),0,IFERROR(INDEX(DM_TanSuatNgay,MATCH($H253,DM_TanSuat,0)),0))</f>
      </c>
      <c r="AK253" s="225">
        <f>IF(OR($A253="",$B253&lt;&gt;"Định kỳ"),0,IFERROR(INDEX(DM_TanSuatThang,MATCH($H253,DM_TanSuat,0)),0))</f>
      </c>
      <c r="AL253" s="225">
        <f>IF(OR($A253="",$B253&lt;&gt;"Định kỳ",N($X253)=0,N($I253)=0),"",IF(INT($X253)&lt;$I253,0,IF($AJ253&gt;0,ROUND((INT($X253)-$I253)/$AJ253,0),IF($AK253&gt;0,ROUND((DATEDIF($I253,INT($X253),"m")+(INT($X253)-EDATE($I253,DATEDIF($I253,INT($X253),"m")))/(EDATE($I253,DATEDIF($I253,INT($X253),"m")+1)-EDATE($I253,DATEDIF($I253,INT($X253),"m"))))/$AK253,0),0))))</f>
      </c>
      <c r="AM253" s="225">
        <f>IF($A253="","",IF(COUNTIF('Nhật ký tiến độ'!$C$6:$C$3005,$A253)=0,0,_xlfn.MAXIFS('Nhật ký tiến độ'!$N$6:$N$3005,'Nhật ký tiến độ'!$C$6:$C$3005,$A253,'Nhật ký tiến độ'!$B$6:$B$3005,_xlfn.MAXIFS('Nhật ký tiến độ'!$B$6:$B$3005,'Nhật ký tiến độ'!$C$6:$C$3005,$A253))))</f>
      </c>
      <c r="AN253" s="225">
        <f>IF($A253="","",IF(N($AM253)=0,"",INDEX('Nhật ký tiến độ'!$E:$E,$AM253)))</f>
      </c>
      <c r="AO253" s="225">
        <f>IF($A253="",0,IF($AA253="Hoàn thành",0,1))</f>
      </c>
      <c r="AP253" s="225">
        <f>IF($AO253=0,0,INT(N($AW253)))</f>
      </c>
      <c r="AQ253" s="225">
        <f>IF(AND($AO253=1,$AJ253&gt;1),$AJ253,0)</f>
      </c>
      <c r="AR253" s="225">
        <f>IF(AND($AO253=1,$AJ253=1),1,0)</f>
      </c>
      <c r="AS253" s="225">
        <f>IF(OR($AO253=0,AND($AR253=1,N($BB253)=0)),"",IF(N($BB253)&gt;0,5-$BB253,IF($AD253="Chậm tiến độ",6,IF($AD253="Đến hạn hôm nay",7,IF(AND($AP253&gt;0,$AP253-NgayBC&lt;=7),8,"")))))</f>
      </c>
      <c r="AT253" s="225">
        <f>IF($AS253="","",$AS253*100000+$AP253+ROW()/100000)</f>
      </c>
      <c r="AU253" s="224">
        <f>IF(OR($A253="",N($R253)&lt;=0),"",IF($S253="Ngày",$R253*24,$R253))</f>
      </c>
      <c r="AV253" s="224">
        <f>IF($A253="","",IF($B253="Đột xuất",IF(OR($AA253&lt;&gt;"Hoàn thành",N($X253)=0,N($J253)=0),"",IF($X253&lt;$J253,"",($X253-$J253)*24)),IFERROR(AVERAGEIFS('Nhật ký tiến độ'!$H$6:$H$3005,'Nhật ký tiến độ'!$C$6:$C$3005,$A253,'Nhật ký tiến độ'!$H$6:$H$3005,"&gt;0"),"")))</f>
      </c>
      <c r="AW253" s="233">
        <f>IF($A253="",0,IF($B253="Đột xuất",$AY253,IF($AX253=0,0,$AX253+1-1/1440)))</f>
      </c>
      <c r="AX253" s="234">
        <f>IF(OR($A253="",$B253&lt;&gt;"Định kỳ",N($I253)=0),0,IF($AL253="",$I253,IF($AJ253&gt;0,$I253+($AL253+1)*$AJ253,IF($AK253&gt;0,EDATE($I253,($AL253+1)*$AK253),$I253))))</f>
      </c>
      <c r="AY253" s="233">
        <f>IF(OR($A253="",$B253&lt;&gt;"Đột xuất"),0,IF(N($K253)&gt;0,IF(MOD($K253,1)=0,$K253+1-1/1440,$K253),IF(N($J253)=0,0,$J253+IF(N($AU253)&gt;0,$AU253,IFERROR(INDEX(DM_SLA_Gio,MATCH($L253,DM_SLA_Cap,0)),168))/24)))</f>
      </c>
      <c r="AZ253" s="225">
        <f>IF(OR($A253="",TRIM($N253)="",COUNTIF('Phản ánh'!$K$6:$K$505,$N253)&gt;0,COUNTIF($N$6:$N253,$N253)&gt;1),0,1)</f>
      </c>
      <c r="BA253" s="225">
        <f>IF($AZ253=1,SUM($AZ$6:$AZ253),"")</f>
      </c>
      <c r="BB253" s="225">
        <f>IF(OR($AO253=0,N($AW253)=0),0,IF(TDBC&lt;=$AW253,0,MAX(1,MIN(4,IF((TDBC-$AW253)*24&lt;24,1,IF((TDBC-$AW253)*24&lt;72,2,IF((TDBC-$AW253)*24&lt;168,3,4)))+IF($B253="Đột xuất",IFERROR(INDEX({2,1,0,-1},MATCH($L253,{"Khẩn cấp","Cao","Trung bình","Thấp"},0)),0),IF($D253="PCCC và an ninh",1,0))))))</f>
      </c>
    </row>
    <row r="254">
      <c r="A254" s="216"/>
      <c r="B254" s="216"/>
      <c r="C254" s="218"/>
      <c r="D254" s="218"/>
      <c r="E254" s="218"/>
      <c r="F254" s="216"/>
      <c r="G254" s="218"/>
      <c r="H254" s="218"/>
      <c r="I254" s="231"/>
      <c r="J254" s="217"/>
      <c r="K254" s="217"/>
      <c r="L254" s="216"/>
      <c r="M254" s="216"/>
      <c r="N254" s="218"/>
      <c r="O254" s="218"/>
      <c r="P254" s="218"/>
      <c r="Q254" s="218"/>
      <c r="R254" s="219"/>
      <c r="S254" s="216"/>
      <c r="T254" s="232"/>
      <c r="U254" s="232"/>
      <c r="V254" s="218"/>
      <c r="W254" s="218"/>
      <c r="X254" s="220">
        <f>IF($A254="","",IF(OR($B254="Định kỳ",$AA254="Hoàn thành"),MAX(_xlfn.MAXIFS('Nhật ký tiến độ'!$B$6:$B$3005,'Nhật ký tiến độ'!$C$6:$C$3005,$A254,'Nhật ký tiến độ'!$E$6:$E$3005,"Hoàn thành kỳ"),_xlfn.MAXIFS('Nhật ký tiến độ'!$B$6:$B$3005,'Nhật ký tiến độ'!$C$6:$C$3005,$A254,'Nhật ký tiến độ'!$E$6:$E$3005,"Hoàn thành")),0))</f>
      </c>
      <c r="Y254" s="220">
        <f>IF($A254="","",IF($B254="Đột xuất",IF($AY254=0,"",$AY254),IF($AX254=0,"",$AX254)))</f>
      </c>
      <c r="Z254" s="223">
        <f>IF(OR($AO254=0,$AW254=0),"",IF(TDBC&gt;$AW254,"Quá "&amp;IF($B254="Định kỳ",(NgayBC-$AP254)&amp;" ngày",IF(((TDBC-$AW254)*24)&lt;1,MAX(1,ROUND(((TDBC-$AW254)*24)*60,0))&amp;" phút",IF(ROUND(((TDBC-$AW254)*24),0)&lt;24,ROUND(((TDBC-$AW254)*24),0)&amp;" giờ",INT(ROUND(((TDBC-$AW254)*24),0)/24)&amp;" ngày"&amp;IF(MOD(ROUND(((TDBC-$AW254)*24),0),24)&gt;0," "&amp;MOD(ROUND(((TDBC-$AW254)*24),0),24)&amp;" giờ","")))),IF($B254="Định kỳ",IF($AP254=NgayBC,"Hôm nay","Còn "&amp;($AP254-NgayBC)&amp;" ngày"),"Còn "&amp;IF((($AW254-TDBC)*24)&lt;1,MAX(1,ROUND((($AW254-TDBC)*24)*60,0))&amp;" phút",IF(ROUND((($AW254-TDBC)*24),0)&lt;24,ROUND((($AW254-TDBC)*24),0)&amp;" giờ",INT(ROUND((($AW254-TDBC)*24),0)/24)&amp;" ngày"&amp;IF(MOD(ROUND((($AW254-TDBC)*24),0),24)&gt;0," "&amp;MOD(ROUND((($AW254-TDBC)*24),0),24)&amp;" giờ",""))))))</f>
      </c>
      <c r="AA254" s="221">
        <f>IF($A254="","",IF(N($AM254)=0,"Chưa bắt đầu",IF(OR($AN254="Hoàn thành kỳ",$AN254="Hoàn thành"),IF($B254="Định kỳ","Chưa bắt đầu","Hoàn thành"),$AN254)))</f>
      </c>
      <c r="AB254" s="222">
        <f>IF($A254="","",IF($AA254="Hoàn thành",1,IF(OR(N($AM254)=0,$AN254="Hoàn thành kỳ",$AN254="Hoàn thành"),0,N(INDEX('Nhật ký tiến độ'!$D:$D,$AM254)))))</f>
      </c>
      <c r="AC254" s="222">
        <f>IF(OR($A254="",$B254&lt;&gt;"Đột xuất",$AA254="Hoàn thành",N($J254)=0,$AW254=0),"",IF(TDBC&lt;=$J254,0,IF(TDBC&gt;=$AW254,1,(TDBC-$J254)/($AW254-$J254))))</f>
      </c>
      <c r="AD254" s="223">
        <f>IF($A254="","",IF($AA254="Hoàn thành","Hoàn thành",IF($AW254=0,"Chưa đặt hạn",IF(TDBC&gt;$AW254,"Quá hạn",IF(AND($B254="Đột xuất",ROUND((N($AC254)-$AB254)*100,0)&gt;=20),"Chậm tiến độ",IF($AP254=NgayBC,"Đến hạn hôm nay",IF($B254="Đột xuất",IF($AW254-TDBC&lt;=1,"Sắp đến hạn","Đúng tiến độ"),IF($AP254-NgayBC&lt;=3,"Sắp đến hạn","Theo lịch"))))))))</f>
      </c>
      <c r="AE254" s="223">
        <f>IF($AV254="","",IF($B254="Định kỳ","Bình quân "&amp;IF($AV254&lt;1,MAX(1,ROUND($AV254*60,0))&amp;" phút",IF(ROUND($AV254,0)&lt;24,ROUND($AV254,0)&amp;" giờ",INT(ROUND($AV254,0)/24)&amp;" ngày"&amp;IF(MOD(ROUND($AV254,0),24)&gt;0," "&amp;MOD(ROUND($AV254,0),24)&amp;" giờ","")))&amp;" mỗi kỳ",IF($AV254&lt;1,MAX(1,ROUND($AV254*60,0))&amp;" phút",IF(ROUND($AV254,0)&lt;24,ROUND($AV254,0)&amp;" giờ",INT(ROUND($AV254,0)/24)&amp;" ngày"&amp;IF(MOD(ROUND($AV254,0),24)&gt;0," "&amp;MOD(ROUND($AV254,0),24)&amp;" giờ","")))))</f>
      </c>
      <c r="AF254" s="223">
        <f>IF(OR($A254="",N($AU254)=0),"",IF($AV254&lt;&gt;"",IF($AV254&lt;=$AU254,"Trong ước tính","Vượt "&amp;IF(($AV254-$AU254)&lt;1,MAX(1,ROUND(($AV254-$AU254)*60,0))&amp;" phút",IF(ROUND(($AV254-$AU254),0)&lt;24,ROUND(($AV254-$AU254),0)&amp;" giờ",INT(ROUND(($AV254-$AU254),0)/24)&amp;" ngày"&amp;IF(MOD(ROUND(($AV254-$AU254),0),24)&gt;0," "&amp;MOD(ROUND(($AV254-$AU254),0),24)&amp;" giờ","")))),IF(OR($B254&lt;&gt;"Đột xuất",$AA254="Hoàn thành",N($J254)=0),"",IF((TDBC-$J254)*24&gt;$AU254,"Đã vượt ước tính","Đã dùng "&amp;TEXT((TDBC-$J254)*24/$AU254,"0%")))))</f>
      </c>
      <c r="AG254" s="223">
        <f>IF(N($BB254)=0,"",CHOOSE($BB254,"Nhắc nhở","Cảnh báo","Báo động","Báo động đỏ"))</f>
      </c>
      <c r="AH254" s="223">
        <f>IF(OR($B254&lt;&gt;"Đột xuất",$AA254&lt;&gt;"Hoàn thành",N($X254)=0,$AW254=0),"",IF($X254&lt;=$AW254,"Đúng hạn","Trễ hạn"))</f>
      </c>
      <c r="AI254" s="220">
        <f>IF($A254="","",_xlfn.MAXIFS('Nhật ký tiến độ'!$B$6:$B$3005,'Nhật ký tiến độ'!$C$6:$C$3005,$A254))</f>
      </c>
      <c r="AJ254" s="225">
        <f>IF(OR($A254="",$B254&lt;&gt;"Định kỳ"),0,IFERROR(INDEX(DM_TanSuatNgay,MATCH($H254,DM_TanSuat,0)),0))</f>
      </c>
      <c r="AK254" s="225">
        <f>IF(OR($A254="",$B254&lt;&gt;"Định kỳ"),0,IFERROR(INDEX(DM_TanSuatThang,MATCH($H254,DM_TanSuat,0)),0))</f>
      </c>
      <c r="AL254" s="225">
        <f>IF(OR($A254="",$B254&lt;&gt;"Định kỳ",N($X254)=0,N($I254)=0),"",IF(INT($X254)&lt;$I254,0,IF($AJ254&gt;0,ROUND((INT($X254)-$I254)/$AJ254,0),IF($AK254&gt;0,ROUND((DATEDIF($I254,INT($X254),"m")+(INT($X254)-EDATE($I254,DATEDIF($I254,INT($X254),"m")))/(EDATE($I254,DATEDIF($I254,INT($X254),"m")+1)-EDATE($I254,DATEDIF($I254,INT($X254),"m"))))/$AK254,0),0))))</f>
      </c>
      <c r="AM254" s="225">
        <f>IF($A254="","",IF(COUNTIF('Nhật ký tiến độ'!$C$6:$C$3005,$A254)=0,0,_xlfn.MAXIFS('Nhật ký tiến độ'!$N$6:$N$3005,'Nhật ký tiến độ'!$C$6:$C$3005,$A254,'Nhật ký tiến độ'!$B$6:$B$3005,_xlfn.MAXIFS('Nhật ký tiến độ'!$B$6:$B$3005,'Nhật ký tiến độ'!$C$6:$C$3005,$A254))))</f>
      </c>
      <c r="AN254" s="225">
        <f>IF($A254="","",IF(N($AM254)=0,"",INDEX('Nhật ký tiến độ'!$E:$E,$AM254)))</f>
      </c>
      <c r="AO254" s="225">
        <f>IF($A254="",0,IF($AA254="Hoàn thành",0,1))</f>
      </c>
      <c r="AP254" s="225">
        <f>IF($AO254=0,0,INT(N($AW254)))</f>
      </c>
      <c r="AQ254" s="225">
        <f>IF(AND($AO254=1,$AJ254&gt;1),$AJ254,0)</f>
      </c>
      <c r="AR254" s="225">
        <f>IF(AND($AO254=1,$AJ254=1),1,0)</f>
      </c>
      <c r="AS254" s="225">
        <f>IF(OR($AO254=0,AND($AR254=1,N($BB254)=0)),"",IF(N($BB254)&gt;0,5-$BB254,IF($AD254="Chậm tiến độ",6,IF($AD254="Đến hạn hôm nay",7,IF(AND($AP254&gt;0,$AP254-NgayBC&lt;=7),8,"")))))</f>
      </c>
      <c r="AT254" s="225">
        <f>IF($AS254="","",$AS254*100000+$AP254+ROW()/100000)</f>
      </c>
      <c r="AU254" s="224">
        <f>IF(OR($A254="",N($R254)&lt;=0),"",IF($S254="Ngày",$R254*24,$R254))</f>
      </c>
      <c r="AV254" s="224">
        <f>IF($A254="","",IF($B254="Đột xuất",IF(OR($AA254&lt;&gt;"Hoàn thành",N($X254)=0,N($J254)=0),"",IF($X254&lt;$J254,"",($X254-$J254)*24)),IFERROR(AVERAGEIFS('Nhật ký tiến độ'!$H$6:$H$3005,'Nhật ký tiến độ'!$C$6:$C$3005,$A254,'Nhật ký tiến độ'!$H$6:$H$3005,"&gt;0"),"")))</f>
      </c>
      <c r="AW254" s="233">
        <f>IF($A254="",0,IF($B254="Đột xuất",$AY254,IF($AX254=0,0,$AX254+1-1/1440)))</f>
      </c>
      <c r="AX254" s="234">
        <f>IF(OR($A254="",$B254&lt;&gt;"Định kỳ",N($I254)=0),0,IF($AL254="",$I254,IF($AJ254&gt;0,$I254+($AL254+1)*$AJ254,IF($AK254&gt;0,EDATE($I254,($AL254+1)*$AK254),$I254))))</f>
      </c>
      <c r="AY254" s="233">
        <f>IF(OR($A254="",$B254&lt;&gt;"Đột xuất"),0,IF(N($K254)&gt;0,IF(MOD($K254,1)=0,$K254+1-1/1440,$K254),IF(N($J254)=0,0,$J254+IF(N($AU254)&gt;0,$AU254,IFERROR(INDEX(DM_SLA_Gio,MATCH($L254,DM_SLA_Cap,0)),168))/24)))</f>
      </c>
      <c r="AZ254" s="225">
        <f>IF(OR($A254="",TRIM($N254)="",COUNTIF('Phản ánh'!$K$6:$K$505,$N254)&gt;0,COUNTIF($N$6:$N254,$N254)&gt;1),0,1)</f>
      </c>
      <c r="BA254" s="225">
        <f>IF($AZ254=1,SUM($AZ$6:$AZ254),"")</f>
      </c>
      <c r="BB254" s="225">
        <f>IF(OR($AO254=0,N($AW254)=0),0,IF(TDBC&lt;=$AW254,0,MAX(1,MIN(4,IF((TDBC-$AW254)*24&lt;24,1,IF((TDBC-$AW254)*24&lt;72,2,IF((TDBC-$AW254)*24&lt;168,3,4)))+IF($B254="Đột xuất",IFERROR(INDEX({2,1,0,-1},MATCH($L254,{"Khẩn cấp","Cao","Trung bình","Thấp"},0)),0),IF($D254="PCCC và an ninh",1,0))))))</f>
      </c>
    </row>
    <row r="255">
      <c r="A255" s="216"/>
      <c r="B255" s="216"/>
      <c r="C255" s="218"/>
      <c r="D255" s="218"/>
      <c r="E255" s="218"/>
      <c r="F255" s="216"/>
      <c r="G255" s="218"/>
      <c r="H255" s="218"/>
      <c r="I255" s="231"/>
      <c r="J255" s="217"/>
      <c r="K255" s="217"/>
      <c r="L255" s="216"/>
      <c r="M255" s="216"/>
      <c r="N255" s="218"/>
      <c r="O255" s="218"/>
      <c r="P255" s="218"/>
      <c r="Q255" s="218"/>
      <c r="R255" s="219"/>
      <c r="S255" s="216"/>
      <c r="T255" s="232"/>
      <c r="U255" s="232"/>
      <c r="V255" s="218"/>
      <c r="W255" s="218"/>
      <c r="X255" s="220">
        <f>IF($A255="","",IF(OR($B255="Định kỳ",$AA255="Hoàn thành"),MAX(_xlfn.MAXIFS('Nhật ký tiến độ'!$B$6:$B$3005,'Nhật ký tiến độ'!$C$6:$C$3005,$A255,'Nhật ký tiến độ'!$E$6:$E$3005,"Hoàn thành kỳ"),_xlfn.MAXIFS('Nhật ký tiến độ'!$B$6:$B$3005,'Nhật ký tiến độ'!$C$6:$C$3005,$A255,'Nhật ký tiến độ'!$E$6:$E$3005,"Hoàn thành")),0))</f>
      </c>
      <c r="Y255" s="220">
        <f>IF($A255="","",IF($B255="Đột xuất",IF($AY255=0,"",$AY255),IF($AX255=0,"",$AX255)))</f>
      </c>
      <c r="Z255" s="223">
        <f>IF(OR($AO255=0,$AW255=0),"",IF(TDBC&gt;$AW255,"Quá "&amp;IF($B255="Định kỳ",(NgayBC-$AP255)&amp;" ngày",IF(((TDBC-$AW255)*24)&lt;1,MAX(1,ROUND(((TDBC-$AW255)*24)*60,0))&amp;" phút",IF(ROUND(((TDBC-$AW255)*24),0)&lt;24,ROUND(((TDBC-$AW255)*24),0)&amp;" giờ",INT(ROUND(((TDBC-$AW255)*24),0)/24)&amp;" ngày"&amp;IF(MOD(ROUND(((TDBC-$AW255)*24),0),24)&gt;0," "&amp;MOD(ROUND(((TDBC-$AW255)*24),0),24)&amp;" giờ","")))),IF($B255="Định kỳ",IF($AP255=NgayBC,"Hôm nay","Còn "&amp;($AP255-NgayBC)&amp;" ngày"),"Còn "&amp;IF((($AW255-TDBC)*24)&lt;1,MAX(1,ROUND((($AW255-TDBC)*24)*60,0))&amp;" phút",IF(ROUND((($AW255-TDBC)*24),0)&lt;24,ROUND((($AW255-TDBC)*24),0)&amp;" giờ",INT(ROUND((($AW255-TDBC)*24),0)/24)&amp;" ngày"&amp;IF(MOD(ROUND((($AW255-TDBC)*24),0),24)&gt;0," "&amp;MOD(ROUND((($AW255-TDBC)*24),0),24)&amp;" giờ",""))))))</f>
      </c>
      <c r="AA255" s="221">
        <f>IF($A255="","",IF(N($AM255)=0,"Chưa bắt đầu",IF(OR($AN255="Hoàn thành kỳ",$AN255="Hoàn thành"),IF($B255="Định kỳ","Chưa bắt đầu","Hoàn thành"),$AN255)))</f>
      </c>
      <c r="AB255" s="222">
        <f>IF($A255="","",IF($AA255="Hoàn thành",1,IF(OR(N($AM255)=0,$AN255="Hoàn thành kỳ",$AN255="Hoàn thành"),0,N(INDEX('Nhật ký tiến độ'!$D:$D,$AM255)))))</f>
      </c>
      <c r="AC255" s="222">
        <f>IF(OR($A255="",$B255&lt;&gt;"Đột xuất",$AA255="Hoàn thành",N($J255)=0,$AW255=0),"",IF(TDBC&lt;=$J255,0,IF(TDBC&gt;=$AW255,1,(TDBC-$J255)/($AW255-$J255))))</f>
      </c>
      <c r="AD255" s="223">
        <f>IF($A255="","",IF($AA255="Hoàn thành","Hoàn thành",IF($AW255=0,"Chưa đặt hạn",IF(TDBC&gt;$AW255,"Quá hạn",IF(AND($B255="Đột xuất",ROUND((N($AC255)-$AB255)*100,0)&gt;=20),"Chậm tiến độ",IF($AP255=NgayBC,"Đến hạn hôm nay",IF($B255="Đột xuất",IF($AW255-TDBC&lt;=1,"Sắp đến hạn","Đúng tiến độ"),IF($AP255-NgayBC&lt;=3,"Sắp đến hạn","Theo lịch"))))))))</f>
      </c>
      <c r="AE255" s="223">
        <f>IF($AV255="","",IF($B255="Định kỳ","Bình quân "&amp;IF($AV255&lt;1,MAX(1,ROUND($AV255*60,0))&amp;" phút",IF(ROUND($AV255,0)&lt;24,ROUND($AV255,0)&amp;" giờ",INT(ROUND($AV255,0)/24)&amp;" ngày"&amp;IF(MOD(ROUND($AV255,0),24)&gt;0," "&amp;MOD(ROUND($AV255,0),24)&amp;" giờ","")))&amp;" mỗi kỳ",IF($AV255&lt;1,MAX(1,ROUND($AV255*60,0))&amp;" phút",IF(ROUND($AV255,0)&lt;24,ROUND($AV255,0)&amp;" giờ",INT(ROUND($AV255,0)/24)&amp;" ngày"&amp;IF(MOD(ROUND($AV255,0),24)&gt;0," "&amp;MOD(ROUND($AV255,0),24)&amp;" giờ","")))))</f>
      </c>
      <c r="AF255" s="223">
        <f>IF(OR($A255="",N($AU255)=0),"",IF($AV255&lt;&gt;"",IF($AV255&lt;=$AU255,"Trong ước tính","Vượt "&amp;IF(($AV255-$AU255)&lt;1,MAX(1,ROUND(($AV255-$AU255)*60,0))&amp;" phút",IF(ROUND(($AV255-$AU255),0)&lt;24,ROUND(($AV255-$AU255),0)&amp;" giờ",INT(ROUND(($AV255-$AU255),0)/24)&amp;" ngày"&amp;IF(MOD(ROUND(($AV255-$AU255),0),24)&gt;0," "&amp;MOD(ROUND(($AV255-$AU255),0),24)&amp;" giờ","")))),IF(OR($B255&lt;&gt;"Đột xuất",$AA255="Hoàn thành",N($J255)=0),"",IF((TDBC-$J255)*24&gt;$AU255,"Đã vượt ước tính","Đã dùng "&amp;TEXT((TDBC-$J255)*24/$AU255,"0%")))))</f>
      </c>
      <c r="AG255" s="223">
        <f>IF(N($BB255)=0,"",CHOOSE($BB255,"Nhắc nhở","Cảnh báo","Báo động","Báo động đỏ"))</f>
      </c>
      <c r="AH255" s="223">
        <f>IF(OR($B255&lt;&gt;"Đột xuất",$AA255&lt;&gt;"Hoàn thành",N($X255)=0,$AW255=0),"",IF($X255&lt;=$AW255,"Đúng hạn","Trễ hạn"))</f>
      </c>
      <c r="AI255" s="220">
        <f>IF($A255="","",_xlfn.MAXIFS('Nhật ký tiến độ'!$B$6:$B$3005,'Nhật ký tiến độ'!$C$6:$C$3005,$A255))</f>
      </c>
      <c r="AJ255" s="225">
        <f>IF(OR($A255="",$B255&lt;&gt;"Định kỳ"),0,IFERROR(INDEX(DM_TanSuatNgay,MATCH($H255,DM_TanSuat,0)),0))</f>
      </c>
      <c r="AK255" s="225">
        <f>IF(OR($A255="",$B255&lt;&gt;"Định kỳ"),0,IFERROR(INDEX(DM_TanSuatThang,MATCH($H255,DM_TanSuat,0)),0))</f>
      </c>
      <c r="AL255" s="225">
        <f>IF(OR($A255="",$B255&lt;&gt;"Định kỳ",N($X255)=0,N($I255)=0),"",IF(INT($X255)&lt;$I255,0,IF($AJ255&gt;0,ROUND((INT($X255)-$I255)/$AJ255,0),IF($AK255&gt;0,ROUND((DATEDIF($I255,INT($X255),"m")+(INT($X255)-EDATE($I255,DATEDIF($I255,INT($X255),"m")))/(EDATE($I255,DATEDIF($I255,INT($X255),"m")+1)-EDATE($I255,DATEDIF($I255,INT($X255),"m"))))/$AK255,0),0))))</f>
      </c>
      <c r="AM255" s="225">
        <f>IF($A255="","",IF(COUNTIF('Nhật ký tiến độ'!$C$6:$C$3005,$A255)=0,0,_xlfn.MAXIFS('Nhật ký tiến độ'!$N$6:$N$3005,'Nhật ký tiến độ'!$C$6:$C$3005,$A255,'Nhật ký tiến độ'!$B$6:$B$3005,_xlfn.MAXIFS('Nhật ký tiến độ'!$B$6:$B$3005,'Nhật ký tiến độ'!$C$6:$C$3005,$A255))))</f>
      </c>
      <c r="AN255" s="225">
        <f>IF($A255="","",IF(N($AM255)=0,"",INDEX('Nhật ký tiến độ'!$E:$E,$AM255)))</f>
      </c>
      <c r="AO255" s="225">
        <f>IF($A255="",0,IF($AA255="Hoàn thành",0,1))</f>
      </c>
      <c r="AP255" s="225">
        <f>IF($AO255=0,0,INT(N($AW255)))</f>
      </c>
      <c r="AQ255" s="225">
        <f>IF(AND($AO255=1,$AJ255&gt;1),$AJ255,0)</f>
      </c>
      <c r="AR255" s="225">
        <f>IF(AND($AO255=1,$AJ255=1),1,0)</f>
      </c>
      <c r="AS255" s="225">
        <f>IF(OR($AO255=0,AND($AR255=1,N($BB255)=0)),"",IF(N($BB255)&gt;0,5-$BB255,IF($AD255="Chậm tiến độ",6,IF($AD255="Đến hạn hôm nay",7,IF(AND($AP255&gt;0,$AP255-NgayBC&lt;=7),8,"")))))</f>
      </c>
      <c r="AT255" s="225">
        <f>IF($AS255="","",$AS255*100000+$AP255+ROW()/100000)</f>
      </c>
      <c r="AU255" s="224">
        <f>IF(OR($A255="",N($R255)&lt;=0),"",IF($S255="Ngày",$R255*24,$R255))</f>
      </c>
      <c r="AV255" s="224">
        <f>IF($A255="","",IF($B255="Đột xuất",IF(OR($AA255&lt;&gt;"Hoàn thành",N($X255)=0,N($J255)=0),"",IF($X255&lt;$J255,"",($X255-$J255)*24)),IFERROR(AVERAGEIFS('Nhật ký tiến độ'!$H$6:$H$3005,'Nhật ký tiến độ'!$C$6:$C$3005,$A255,'Nhật ký tiến độ'!$H$6:$H$3005,"&gt;0"),"")))</f>
      </c>
      <c r="AW255" s="233">
        <f>IF($A255="",0,IF($B255="Đột xuất",$AY255,IF($AX255=0,0,$AX255+1-1/1440)))</f>
      </c>
      <c r="AX255" s="234">
        <f>IF(OR($A255="",$B255&lt;&gt;"Định kỳ",N($I255)=0),0,IF($AL255="",$I255,IF($AJ255&gt;0,$I255+($AL255+1)*$AJ255,IF($AK255&gt;0,EDATE($I255,($AL255+1)*$AK255),$I255))))</f>
      </c>
      <c r="AY255" s="233">
        <f>IF(OR($A255="",$B255&lt;&gt;"Đột xuất"),0,IF(N($K255)&gt;0,IF(MOD($K255,1)=0,$K255+1-1/1440,$K255),IF(N($J255)=0,0,$J255+IF(N($AU255)&gt;0,$AU255,IFERROR(INDEX(DM_SLA_Gio,MATCH($L255,DM_SLA_Cap,0)),168))/24)))</f>
      </c>
      <c r="AZ255" s="225">
        <f>IF(OR($A255="",TRIM($N255)="",COUNTIF('Phản ánh'!$K$6:$K$505,$N255)&gt;0,COUNTIF($N$6:$N255,$N255)&gt;1),0,1)</f>
      </c>
      <c r="BA255" s="225">
        <f>IF($AZ255=1,SUM($AZ$6:$AZ255),"")</f>
      </c>
      <c r="BB255" s="225">
        <f>IF(OR($AO255=0,N($AW255)=0),0,IF(TDBC&lt;=$AW255,0,MAX(1,MIN(4,IF((TDBC-$AW255)*24&lt;24,1,IF((TDBC-$AW255)*24&lt;72,2,IF((TDBC-$AW255)*24&lt;168,3,4)))+IF($B255="Đột xuất",IFERROR(INDEX({2,1,0,-1},MATCH($L255,{"Khẩn cấp","Cao","Trung bình","Thấp"},0)),0),IF($D255="PCCC và an ninh",1,0))))))</f>
      </c>
    </row>
    <row r="256">
      <c r="A256" s="216"/>
      <c r="B256" s="216"/>
      <c r="C256" s="218"/>
      <c r="D256" s="218"/>
      <c r="E256" s="218"/>
      <c r="F256" s="216"/>
      <c r="G256" s="218"/>
      <c r="H256" s="218"/>
      <c r="I256" s="231"/>
      <c r="J256" s="217"/>
      <c r="K256" s="217"/>
      <c r="L256" s="216"/>
      <c r="M256" s="216"/>
      <c r="N256" s="218"/>
      <c r="O256" s="218"/>
      <c r="P256" s="218"/>
      <c r="Q256" s="218"/>
      <c r="R256" s="219"/>
      <c r="S256" s="216"/>
      <c r="T256" s="232"/>
      <c r="U256" s="232"/>
      <c r="V256" s="218"/>
      <c r="W256" s="218"/>
      <c r="X256" s="220">
        <f>IF($A256="","",IF(OR($B256="Định kỳ",$AA256="Hoàn thành"),MAX(_xlfn.MAXIFS('Nhật ký tiến độ'!$B$6:$B$3005,'Nhật ký tiến độ'!$C$6:$C$3005,$A256,'Nhật ký tiến độ'!$E$6:$E$3005,"Hoàn thành kỳ"),_xlfn.MAXIFS('Nhật ký tiến độ'!$B$6:$B$3005,'Nhật ký tiến độ'!$C$6:$C$3005,$A256,'Nhật ký tiến độ'!$E$6:$E$3005,"Hoàn thành")),0))</f>
      </c>
      <c r="Y256" s="220">
        <f>IF($A256="","",IF($B256="Đột xuất",IF($AY256=0,"",$AY256),IF($AX256=0,"",$AX256)))</f>
      </c>
      <c r="Z256" s="223">
        <f>IF(OR($AO256=0,$AW256=0),"",IF(TDBC&gt;$AW256,"Quá "&amp;IF($B256="Định kỳ",(NgayBC-$AP256)&amp;" ngày",IF(((TDBC-$AW256)*24)&lt;1,MAX(1,ROUND(((TDBC-$AW256)*24)*60,0))&amp;" phút",IF(ROUND(((TDBC-$AW256)*24),0)&lt;24,ROUND(((TDBC-$AW256)*24),0)&amp;" giờ",INT(ROUND(((TDBC-$AW256)*24),0)/24)&amp;" ngày"&amp;IF(MOD(ROUND(((TDBC-$AW256)*24),0),24)&gt;0," "&amp;MOD(ROUND(((TDBC-$AW256)*24),0),24)&amp;" giờ","")))),IF($B256="Định kỳ",IF($AP256=NgayBC,"Hôm nay","Còn "&amp;($AP256-NgayBC)&amp;" ngày"),"Còn "&amp;IF((($AW256-TDBC)*24)&lt;1,MAX(1,ROUND((($AW256-TDBC)*24)*60,0))&amp;" phút",IF(ROUND((($AW256-TDBC)*24),0)&lt;24,ROUND((($AW256-TDBC)*24),0)&amp;" giờ",INT(ROUND((($AW256-TDBC)*24),0)/24)&amp;" ngày"&amp;IF(MOD(ROUND((($AW256-TDBC)*24),0),24)&gt;0," "&amp;MOD(ROUND((($AW256-TDBC)*24),0),24)&amp;" giờ",""))))))</f>
      </c>
      <c r="AA256" s="221">
        <f>IF($A256="","",IF(N($AM256)=0,"Chưa bắt đầu",IF(OR($AN256="Hoàn thành kỳ",$AN256="Hoàn thành"),IF($B256="Định kỳ","Chưa bắt đầu","Hoàn thành"),$AN256)))</f>
      </c>
      <c r="AB256" s="222">
        <f>IF($A256="","",IF($AA256="Hoàn thành",1,IF(OR(N($AM256)=0,$AN256="Hoàn thành kỳ",$AN256="Hoàn thành"),0,N(INDEX('Nhật ký tiến độ'!$D:$D,$AM256)))))</f>
      </c>
      <c r="AC256" s="222">
        <f>IF(OR($A256="",$B256&lt;&gt;"Đột xuất",$AA256="Hoàn thành",N($J256)=0,$AW256=0),"",IF(TDBC&lt;=$J256,0,IF(TDBC&gt;=$AW256,1,(TDBC-$J256)/($AW256-$J256))))</f>
      </c>
      <c r="AD256" s="223">
        <f>IF($A256="","",IF($AA256="Hoàn thành","Hoàn thành",IF($AW256=0,"Chưa đặt hạn",IF(TDBC&gt;$AW256,"Quá hạn",IF(AND($B256="Đột xuất",ROUND((N($AC256)-$AB256)*100,0)&gt;=20),"Chậm tiến độ",IF($AP256=NgayBC,"Đến hạn hôm nay",IF($B256="Đột xuất",IF($AW256-TDBC&lt;=1,"Sắp đến hạn","Đúng tiến độ"),IF($AP256-NgayBC&lt;=3,"Sắp đến hạn","Theo lịch"))))))))</f>
      </c>
      <c r="AE256" s="223">
        <f>IF($AV256="","",IF($B256="Định kỳ","Bình quân "&amp;IF($AV256&lt;1,MAX(1,ROUND($AV256*60,0))&amp;" phút",IF(ROUND($AV256,0)&lt;24,ROUND($AV256,0)&amp;" giờ",INT(ROUND($AV256,0)/24)&amp;" ngày"&amp;IF(MOD(ROUND($AV256,0),24)&gt;0," "&amp;MOD(ROUND($AV256,0),24)&amp;" giờ","")))&amp;" mỗi kỳ",IF($AV256&lt;1,MAX(1,ROUND($AV256*60,0))&amp;" phút",IF(ROUND($AV256,0)&lt;24,ROUND($AV256,0)&amp;" giờ",INT(ROUND($AV256,0)/24)&amp;" ngày"&amp;IF(MOD(ROUND($AV256,0),24)&gt;0," "&amp;MOD(ROUND($AV256,0),24)&amp;" giờ","")))))</f>
      </c>
      <c r="AF256" s="223">
        <f>IF(OR($A256="",N($AU256)=0),"",IF($AV256&lt;&gt;"",IF($AV256&lt;=$AU256,"Trong ước tính","Vượt "&amp;IF(($AV256-$AU256)&lt;1,MAX(1,ROUND(($AV256-$AU256)*60,0))&amp;" phút",IF(ROUND(($AV256-$AU256),0)&lt;24,ROUND(($AV256-$AU256),0)&amp;" giờ",INT(ROUND(($AV256-$AU256),0)/24)&amp;" ngày"&amp;IF(MOD(ROUND(($AV256-$AU256),0),24)&gt;0," "&amp;MOD(ROUND(($AV256-$AU256),0),24)&amp;" giờ","")))),IF(OR($B256&lt;&gt;"Đột xuất",$AA256="Hoàn thành",N($J256)=0),"",IF((TDBC-$J256)*24&gt;$AU256,"Đã vượt ước tính","Đã dùng "&amp;TEXT((TDBC-$J256)*24/$AU256,"0%")))))</f>
      </c>
      <c r="AG256" s="223">
        <f>IF(N($BB256)=0,"",CHOOSE($BB256,"Nhắc nhở","Cảnh báo","Báo động","Báo động đỏ"))</f>
      </c>
      <c r="AH256" s="223">
        <f>IF(OR($B256&lt;&gt;"Đột xuất",$AA256&lt;&gt;"Hoàn thành",N($X256)=0,$AW256=0),"",IF($X256&lt;=$AW256,"Đúng hạn","Trễ hạn"))</f>
      </c>
      <c r="AI256" s="220">
        <f>IF($A256="","",_xlfn.MAXIFS('Nhật ký tiến độ'!$B$6:$B$3005,'Nhật ký tiến độ'!$C$6:$C$3005,$A256))</f>
      </c>
      <c r="AJ256" s="225">
        <f>IF(OR($A256="",$B256&lt;&gt;"Định kỳ"),0,IFERROR(INDEX(DM_TanSuatNgay,MATCH($H256,DM_TanSuat,0)),0))</f>
      </c>
      <c r="AK256" s="225">
        <f>IF(OR($A256="",$B256&lt;&gt;"Định kỳ"),0,IFERROR(INDEX(DM_TanSuatThang,MATCH($H256,DM_TanSuat,0)),0))</f>
      </c>
      <c r="AL256" s="225">
        <f>IF(OR($A256="",$B256&lt;&gt;"Định kỳ",N($X256)=0,N($I256)=0),"",IF(INT($X256)&lt;$I256,0,IF($AJ256&gt;0,ROUND((INT($X256)-$I256)/$AJ256,0),IF($AK256&gt;0,ROUND((DATEDIF($I256,INT($X256),"m")+(INT($X256)-EDATE($I256,DATEDIF($I256,INT($X256),"m")))/(EDATE($I256,DATEDIF($I256,INT($X256),"m")+1)-EDATE($I256,DATEDIF($I256,INT($X256),"m"))))/$AK256,0),0))))</f>
      </c>
      <c r="AM256" s="225">
        <f>IF($A256="","",IF(COUNTIF('Nhật ký tiến độ'!$C$6:$C$3005,$A256)=0,0,_xlfn.MAXIFS('Nhật ký tiến độ'!$N$6:$N$3005,'Nhật ký tiến độ'!$C$6:$C$3005,$A256,'Nhật ký tiến độ'!$B$6:$B$3005,_xlfn.MAXIFS('Nhật ký tiến độ'!$B$6:$B$3005,'Nhật ký tiến độ'!$C$6:$C$3005,$A256))))</f>
      </c>
      <c r="AN256" s="225">
        <f>IF($A256="","",IF(N($AM256)=0,"",INDEX('Nhật ký tiến độ'!$E:$E,$AM256)))</f>
      </c>
      <c r="AO256" s="225">
        <f>IF($A256="",0,IF($AA256="Hoàn thành",0,1))</f>
      </c>
      <c r="AP256" s="225">
        <f>IF($AO256=0,0,INT(N($AW256)))</f>
      </c>
      <c r="AQ256" s="225">
        <f>IF(AND($AO256=1,$AJ256&gt;1),$AJ256,0)</f>
      </c>
      <c r="AR256" s="225">
        <f>IF(AND($AO256=1,$AJ256=1),1,0)</f>
      </c>
      <c r="AS256" s="225">
        <f>IF(OR($AO256=0,AND($AR256=1,N($BB256)=0)),"",IF(N($BB256)&gt;0,5-$BB256,IF($AD256="Chậm tiến độ",6,IF($AD256="Đến hạn hôm nay",7,IF(AND($AP256&gt;0,$AP256-NgayBC&lt;=7),8,"")))))</f>
      </c>
      <c r="AT256" s="225">
        <f>IF($AS256="","",$AS256*100000+$AP256+ROW()/100000)</f>
      </c>
      <c r="AU256" s="224">
        <f>IF(OR($A256="",N($R256)&lt;=0),"",IF($S256="Ngày",$R256*24,$R256))</f>
      </c>
      <c r="AV256" s="224">
        <f>IF($A256="","",IF($B256="Đột xuất",IF(OR($AA256&lt;&gt;"Hoàn thành",N($X256)=0,N($J256)=0),"",IF($X256&lt;$J256,"",($X256-$J256)*24)),IFERROR(AVERAGEIFS('Nhật ký tiến độ'!$H$6:$H$3005,'Nhật ký tiến độ'!$C$6:$C$3005,$A256,'Nhật ký tiến độ'!$H$6:$H$3005,"&gt;0"),"")))</f>
      </c>
      <c r="AW256" s="233">
        <f>IF($A256="",0,IF($B256="Đột xuất",$AY256,IF($AX256=0,0,$AX256+1-1/1440)))</f>
      </c>
      <c r="AX256" s="234">
        <f>IF(OR($A256="",$B256&lt;&gt;"Định kỳ",N($I256)=0),0,IF($AL256="",$I256,IF($AJ256&gt;0,$I256+($AL256+1)*$AJ256,IF($AK256&gt;0,EDATE($I256,($AL256+1)*$AK256),$I256))))</f>
      </c>
      <c r="AY256" s="233">
        <f>IF(OR($A256="",$B256&lt;&gt;"Đột xuất"),0,IF(N($K256)&gt;0,IF(MOD($K256,1)=0,$K256+1-1/1440,$K256),IF(N($J256)=0,0,$J256+IF(N($AU256)&gt;0,$AU256,IFERROR(INDEX(DM_SLA_Gio,MATCH($L256,DM_SLA_Cap,0)),168))/24)))</f>
      </c>
      <c r="AZ256" s="225">
        <f>IF(OR($A256="",TRIM($N256)="",COUNTIF('Phản ánh'!$K$6:$K$505,$N256)&gt;0,COUNTIF($N$6:$N256,$N256)&gt;1),0,1)</f>
      </c>
      <c r="BA256" s="225">
        <f>IF($AZ256=1,SUM($AZ$6:$AZ256),"")</f>
      </c>
      <c r="BB256" s="225">
        <f>IF(OR($AO256=0,N($AW256)=0),0,IF(TDBC&lt;=$AW256,0,MAX(1,MIN(4,IF((TDBC-$AW256)*24&lt;24,1,IF((TDBC-$AW256)*24&lt;72,2,IF((TDBC-$AW256)*24&lt;168,3,4)))+IF($B256="Đột xuất",IFERROR(INDEX({2,1,0,-1},MATCH($L256,{"Khẩn cấp","Cao","Trung bình","Thấp"},0)),0),IF($D256="PCCC và an ninh",1,0))))))</f>
      </c>
    </row>
    <row r="257">
      <c r="A257" s="216"/>
      <c r="B257" s="216"/>
      <c r="C257" s="218"/>
      <c r="D257" s="218"/>
      <c r="E257" s="218"/>
      <c r="F257" s="216"/>
      <c r="G257" s="218"/>
      <c r="H257" s="218"/>
      <c r="I257" s="231"/>
      <c r="J257" s="217"/>
      <c r="K257" s="217"/>
      <c r="L257" s="216"/>
      <c r="M257" s="216"/>
      <c r="N257" s="218"/>
      <c r="O257" s="218"/>
      <c r="P257" s="218"/>
      <c r="Q257" s="218"/>
      <c r="R257" s="219"/>
      <c r="S257" s="216"/>
      <c r="T257" s="232"/>
      <c r="U257" s="232"/>
      <c r="V257" s="218"/>
      <c r="W257" s="218"/>
      <c r="X257" s="220">
        <f>IF($A257="","",IF(OR($B257="Định kỳ",$AA257="Hoàn thành"),MAX(_xlfn.MAXIFS('Nhật ký tiến độ'!$B$6:$B$3005,'Nhật ký tiến độ'!$C$6:$C$3005,$A257,'Nhật ký tiến độ'!$E$6:$E$3005,"Hoàn thành kỳ"),_xlfn.MAXIFS('Nhật ký tiến độ'!$B$6:$B$3005,'Nhật ký tiến độ'!$C$6:$C$3005,$A257,'Nhật ký tiến độ'!$E$6:$E$3005,"Hoàn thành")),0))</f>
      </c>
      <c r="Y257" s="220">
        <f>IF($A257="","",IF($B257="Đột xuất",IF($AY257=0,"",$AY257),IF($AX257=0,"",$AX257)))</f>
      </c>
      <c r="Z257" s="223">
        <f>IF(OR($AO257=0,$AW257=0),"",IF(TDBC&gt;$AW257,"Quá "&amp;IF($B257="Định kỳ",(NgayBC-$AP257)&amp;" ngày",IF(((TDBC-$AW257)*24)&lt;1,MAX(1,ROUND(((TDBC-$AW257)*24)*60,0))&amp;" phút",IF(ROUND(((TDBC-$AW257)*24),0)&lt;24,ROUND(((TDBC-$AW257)*24),0)&amp;" giờ",INT(ROUND(((TDBC-$AW257)*24),0)/24)&amp;" ngày"&amp;IF(MOD(ROUND(((TDBC-$AW257)*24),0),24)&gt;0," "&amp;MOD(ROUND(((TDBC-$AW257)*24),0),24)&amp;" giờ","")))),IF($B257="Định kỳ",IF($AP257=NgayBC,"Hôm nay","Còn "&amp;($AP257-NgayBC)&amp;" ngày"),"Còn "&amp;IF((($AW257-TDBC)*24)&lt;1,MAX(1,ROUND((($AW257-TDBC)*24)*60,0))&amp;" phút",IF(ROUND((($AW257-TDBC)*24),0)&lt;24,ROUND((($AW257-TDBC)*24),0)&amp;" giờ",INT(ROUND((($AW257-TDBC)*24),0)/24)&amp;" ngày"&amp;IF(MOD(ROUND((($AW257-TDBC)*24),0),24)&gt;0," "&amp;MOD(ROUND((($AW257-TDBC)*24),0),24)&amp;" giờ",""))))))</f>
      </c>
      <c r="AA257" s="221">
        <f>IF($A257="","",IF(N($AM257)=0,"Chưa bắt đầu",IF(OR($AN257="Hoàn thành kỳ",$AN257="Hoàn thành"),IF($B257="Định kỳ","Chưa bắt đầu","Hoàn thành"),$AN257)))</f>
      </c>
      <c r="AB257" s="222">
        <f>IF($A257="","",IF($AA257="Hoàn thành",1,IF(OR(N($AM257)=0,$AN257="Hoàn thành kỳ",$AN257="Hoàn thành"),0,N(INDEX('Nhật ký tiến độ'!$D:$D,$AM257)))))</f>
      </c>
      <c r="AC257" s="222">
        <f>IF(OR($A257="",$B257&lt;&gt;"Đột xuất",$AA257="Hoàn thành",N($J257)=0,$AW257=0),"",IF(TDBC&lt;=$J257,0,IF(TDBC&gt;=$AW257,1,(TDBC-$J257)/($AW257-$J257))))</f>
      </c>
      <c r="AD257" s="223">
        <f>IF($A257="","",IF($AA257="Hoàn thành","Hoàn thành",IF($AW257=0,"Chưa đặt hạn",IF(TDBC&gt;$AW257,"Quá hạn",IF(AND($B257="Đột xuất",ROUND((N($AC257)-$AB257)*100,0)&gt;=20),"Chậm tiến độ",IF($AP257=NgayBC,"Đến hạn hôm nay",IF($B257="Đột xuất",IF($AW257-TDBC&lt;=1,"Sắp đến hạn","Đúng tiến độ"),IF($AP257-NgayBC&lt;=3,"Sắp đến hạn","Theo lịch"))))))))</f>
      </c>
      <c r="AE257" s="223">
        <f>IF($AV257="","",IF($B257="Định kỳ","Bình quân "&amp;IF($AV257&lt;1,MAX(1,ROUND($AV257*60,0))&amp;" phút",IF(ROUND($AV257,0)&lt;24,ROUND($AV257,0)&amp;" giờ",INT(ROUND($AV257,0)/24)&amp;" ngày"&amp;IF(MOD(ROUND($AV257,0),24)&gt;0," "&amp;MOD(ROUND($AV257,0),24)&amp;" giờ","")))&amp;" mỗi kỳ",IF($AV257&lt;1,MAX(1,ROUND($AV257*60,0))&amp;" phút",IF(ROUND($AV257,0)&lt;24,ROUND($AV257,0)&amp;" giờ",INT(ROUND($AV257,0)/24)&amp;" ngày"&amp;IF(MOD(ROUND($AV257,0),24)&gt;0," "&amp;MOD(ROUND($AV257,0),24)&amp;" giờ","")))))</f>
      </c>
      <c r="AF257" s="223">
        <f>IF(OR($A257="",N($AU257)=0),"",IF($AV257&lt;&gt;"",IF($AV257&lt;=$AU257,"Trong ước tính","Vượt "&amp;IF(($AV257-$AU257)&lt;1,MAX(1,ROUND(($AV257-$AU257)*60,0))&amp;" phút",IF(ROUND(($AV257-$AU257),0)&lt;24,ROUND(($AV257-$AU257),0)&amp;" giờ",INT(ROUND(($AV257-$AU257),0)/24)&amp;" ngày"&amp;IF(MOD(ROUND(($AV257-$AU257),0),24)&gt;0," "&amp;MOD(ROUND(($AV257-$AU257),0),24)&amp;" giờ","")))),IF(OR($B257&lt;&gt;"Đột xuất",$AA257="Hoàn thành",N($J257)=0),"",IF((TDBC-$J257)*24&gt;$AU257,"Đã vượt ước tính","Đã dùng "&amp;TEXT((TDBC-$J257)*24/$AU257,"0%")))))</f>
      </c>
      <c r="AG257" s="223">
        <f>IF(N($BB257)=0,"",CHOOSE($BB257,"Nhắc nhở","Cảnh báo","Báo động","Báo động đỏ"))</f>
      </c>
      <c r="AH257" s="223">
        <f>IF(OR($B257&lt;&gt;"Đột xuất",$AA257&lt;&gt;"Hoàn thành",N($X257)=0,$AW257=0),"",IF($X257&lt;=$AW257,"Đúng hạn","Trễ hạn"))</f>
      </c>
      <c r="AI257" s="220">
        <f>IF($A257="","",_xlfn.MAXIFS('Nhật ký tiến độ'!$B$6:$B$3005,'Nhật ký tiến độ'!$C$6:$C$3005,$A257))</f>
      </c>
      <c r="AJ257" s="225">
        <f>IF(OR($A257="",$B257&lt;&gt;"Định kỳ"),0,IFERROR(INDEX(DM_TanSuatNgay,MATCH($H257,DM_TanSuat,0)),0))</f>
      </c>
      <c r="AK257" s="225">
        <f>IF(OR($A257="",$B257&lt;&gt;"Định kỳ"),0,IFERROR(INDEX(DM_TanSuatThang,MATCH($H257,DM_TanSuat,0)),0))</f>
      </c>
      <c r="AL257" s="225">
        <f>IF(OR($A257="",$B257&lt;&gt;"Định kỳ",N($X257)=0,N($I257)=0),"",IF(INT($X257)&lt;$I257,0,IF($AJ257&gt;0,ROUND((INT($X257)-$I257)/$AJ257,0),IF($AK257&gt;0,ROUND((DATEDIF($I257,INT($X257),"m")+(INT($X257)-EDATE($I257,DATEDIF($I257,INT($X257),"m")))/(EDATE($I257,DATEDIF($I257,INT($X257),"m")+1)-EDATE($I257,DATEDIF($I257,INT($X257),"m"))))/$AK257,0),0))))</f>
      </c>
      <c r="AM257" s="225">
        <f>IF($A257="","",IF(COUNTIF('Nhật ký tiến độ'!$C$6:$C$3005,$A257)=0,0,_xlfn.MAXIFS('Nhật ký tiến độ'!$N$6:$N$3005,'Nhật ký tiến độ'!$C$6:$C$3005,$A257,'Nhật ký tiến độ'!$B$6:$B$3005,_xlfn.MAXIFS('Nhật ký tiến độ'!$B$6:$B$3005,'Nhật ký tiến độ'!$C$6:$C$3005,$A257))))</f>
      </c>
      <c r="AN257" s="225">
        <f>IF($A257="","",IF(N($AM257)=0,"",INDEX('Nhật ký tiến độ'!$E:$E,$AM257)))</f>
      </c>
      <c r="AO257" s="225">
        <f>IF($A257="",0,IF($AA257="Hoàn thành",0,1))</f>
      </c>
      <c r="AP257" s="225">
        <f>IF($AO257=0,0,INT(N($AW257)))</f>
      </c>
      <c r="AQ257" s="225">
        <f>IF(AND($AO257=1,$AJ257&gt;1),$AJ257,0)</f>
      </c>
      <c r="AR257" s="225">
        <f>IF(AND($AO257=1,$AJ257=1),1,0)</f>
      </c>
      <c r="AS257" s="225">
        <f>IF(OR($AO257=0,AND($AR257=1,N($BB257)=0)),"",IF(N($BB257)&gt;0,5-$BB257,IF($AD257="Chậm tiến độ",6,IF($AD257="Đến hạn hôm nay",7,IF(AND($AP257&gt;0,$AP257-NgayBC&lt;=7),8,"")))))</f>
      </c>
      <c r="AT257" s="225">
        <f>IF($AS257="","",$AS257*100000+$AP257+ROW()/100000)</f>
      </c>
      <c r="AU257" s="224">
        <f>IF(OR($A257="",N($R257)&lt;=0),"",IF($S257="Ngày",$R257*24,$R257))</f>
      </c>
      <c r="AV257" s="224">
        <f>IF($A257="","",IF($B257="Đột xuất",IF(OR($AA257&lt;&gt;"Hoàn thành",N($X257)=0,N($J257)=0),"",IF($X257&lt;$J257,"",($X257-$J257)*24)),IFERROR(AVERAGEIFS('Nhật ký tiến độ'!$H$6:$H$3005,'Nhật ký tiến độ'!$C$6:$C$3005,$A257,'Nhật ký tiến độ'!$H$6:$H$3005,"&gt;0"),"")))</f>
      </c>
      <c r="AW257" s="233">
        <f>IF($A257="",0,IF($B257="Đột xuất",$AY257,IF($AX257=0,0,$AX257+1-1/1440)))</f>
      </c>
      <c r="AX257" s="234">
        <f>IF(OR($A257="",$B257&lt;&gt;"Định kỳ",N($I257)=0),0,IF($AL257="",$I257,IF($AJ257&gt;0,$I257+($AL257+1)*$AJ257,IF($AK257&gt;0,EDATE($I257,($AL257+1)*$AK257),$I257))))</f>
      </c>
      <c r="AY257" s="233">
        <f>IF(OR($A257="",$B257&lt;&gt;"Đột xuất"),0,IF(N($K257)&gt;0,IF(MOD($K257,1)=0,$K257+1-1/1440,$K257),IF(N($J257)=0,0,$J257+IF(N($AU257)&gt;0,$AU257,IFERROR(INDEX(DM_SLA_Gio,MATCH($L257,DM_SLA_Cap,0)),168))/24)))</f>
      </c>
      <c r="AZ257" s="225">
        <f>IF(OR($A257="",TRIM($N257)="",COUNTIF('Phản ánh'!$K$6:$K$505,$N257)&gt;0,COUNTIF($N$6:$N257,$N257)&gt;1),0,1)</f>
      </c>
      <c r="BA257" s="225">
        <f>IF($AZ257=1,SUM($AZ$6:$AZ257),"")</f>
      </c>
      <c r="BB257" s="225">
        <f>IF(OR($AO257=0,N($AW257)=0),0,IF(TDBC&lt;=$AW257,0,MAX(1,MIN(4,IF((TDBC-$AW257)*24&lt;24,1,IF((TDBC-$AW257)*24&lt;72,2,IF((TDBC-$AW257)*24&lt;168,3,4)))+IF($B257="Đột xuất",IFERROR(INDEX({2,1,0,-1},MATCH($L257,{"Khẩn cấp","Cao","Trung bình","Thấp"},0)),0),IF($D257="PCCC và an ninh",1,0))))))</f>
      </c>
    </row>
    <row r="258">
      <c r="A258" s="216"/>
      <c r="B258" s="216"/>
      <c r="C258" s="218"/>
      <c r="D258" s="218"/>
      <c r="E258" s="218"/>
      <c r="F258" s="216"/>
      <c r="G258" s="218"/>
      <c r="H258" s="218"/>
      <c r="I258" s="231"/>
      <c r="J258" s="217"/>
      <c r="K258" s="217"/>
      <c r="L258" s="216"/>
      <c r="M258" s="216"/>
      <c r="N258" s="218"/>
      <c r="O258" s="218"/>
      <c r="P258" s="218"/>
      <c r="Q258" s="218"/>
      <c r="R258" s="219"/>
      <c r="S258" s="216"/>
      <c r="T258" s="232"/>
      <c r="U258" s="232"/>
      <c r="V258" s="218"/>
      <c r="W258" s="218"/>
      <c r="X258" s="220">
        <f>IF($A258="","",IF(OR($B258="Định kỳ",$AA258="Hoàn thành"),MAX(_xlfn.MAXIFS('Nhật ký tiến độ'!$B$6:$B$3005,'Nhật ký tiến độ'!$C$6:$C$3005,$A258,'Nhật ký tiến độ'!$E$6:$E$3005,"Hoàn thành kỳ"),_xlfn.MAXIFS('Nhật ký tiến độ'!$B$6:$B$3005,'Nhật ký tiến độ'!$C$6:$C$3005,$A258,'Nhật ký tiến độ'!$E$6:$E$3005,"Hoàn thành")),0))</f>
      </c>
      <c r="Y258" s="220">
        <f>IF($A258="","",IF($B258="Đột xuất",IF($AY258=0,"",$AY258),IF($AX258=0,"",$AX258)))</f>
      </c>
      <c r="Z258" s="223">
        <f>IF(OR($AO258=0,$AW258=0),"",IF(TDBC&gt;$AW258,"Quá "&amp;IF($B258="Định kỳ",(NgayBC-$AP258)&amp;" ngày",IF(((TDBC-$AW258)*24)&lt;1,MAX(1,ROUND(((TDBC-$AW258)*24)*60,0))&amp;" phút",IF(ROUND(((TDBC-$AW258)*24),0)&lt;24,ROUND(((TDBC-$AW258)*24),0)&amp;" giờ",INT(ROUND(((TDBC-$AW258)*24),0)/24)&amp;" ngày"&amp;IF(MOD(ROUND(((TDBC-$AW258)*24),0),24)&gt;0," "&amp;MOD(ROUND(((TDBC-$AW258)*24),0),24)&amp;" giờ","")))),IF($B258="Định kỳ",IF($AP258=NgayBC,"Hôm nay","Còn "&amp;($AP258-NgayBC)&amp;" ngày"),"Còn "&amp;IF((($AW258-TDBC)*24)&lt;1,MAX(1,ROUND((($AW258-TDBC)*24)*60,0))&amp;" phút",IF(ROUND((($AW258-TDBC)*24),0)&lt;24,ROUND((($AW258-TDBC)*24),0)&amp;" giờ",INT(ROUND((($AW258-TDBC)*24),0)/24)&amp;" ngày"&amp;IF(MOD(ROUND((($AW258-TDBC)*24),0),24)&gt;0," "&amp;MOD(ROUND((($AW258-TDBC)*24),0),24)&amp;" giờ",""))))))</f>
      </c>
      <c r="AA258" s="221">
        <f>IF($A258="","",IF(N($AM258)=0,"Chưa bắt đầu",IF(OR($AN258="Hoàn thành kỳ",$AN258="Hoàn thành"),IF($B258="Định kỳ","Chưa bắt đầu","Hoàn thành"),$AN258)))</f>
      </c>
      <c r="AB258" s="222">
        <f>IF($A258="","",IF($AA258="Hoàn thành",1,IF(OR(N($AM258)=0,$AN258="Hoàn thành kỳ",$AN258="Hoàn thành"),0,N(INDEX('Nhật ký tiến độ'!$D:$D,$AM258)))))</f>
      </c>
      <c r="AC258" s="222">
        <f>IF(OR($A258="",$B258&lt;&gt;"Đột xuất",$AA258="Hoàn thành",N($J258)=0,$AW258=0),"",IF(TDBC&lt;=$J258,0,IF(TDBC&gt;=$AW258,1,(TDBC-$J258)/($AW258-$J258))))</f>
      </c>
      <c r="AD258" s="223">
        <f>IF($A258="","",IF($AA258="Hoàn thành","Hoàn thành",IF($AW258=0,"Chưa đặt hạn",IF(TDBC&gt;$AW258,"Quá hạn",IF(AND($B258="Đột xuất",ROUND((N($AC258)-$AB258)*100,0)&gt;=20),"Chậm tiến độ",IF($AP258=NgayBC,"Đến hạn hôm nay",IF($B258="Đột xuất",IF($AW258-TDBC&lt;=1,"Sắp đến hạn","Đúng tiến độ"),IF($AP258-NgayBC&lt;=3,"Sắp đến hạn","Theo lịch"))))))))</f>
      </c>
      <c r="AE258" s="223">
        <f>IF($AV258="","",IF($B258="Định kỳ","Bình quân "&amp;IF($AV258&lt;1,MAX(1,ROUND($AV258*60,0))&amp;" phút",IF(ROUND($AV258,0)&lt;24,ROUND($AV258,0)&amp;" giờ",INT(ROUND($AV258,0)/24)&amp;" ngày"&amp;IF(MOD(ROUND($AV258,0),24)&gt;0," "&amp;MOD(ROUND($AV258,0),24)&amp;" giờ","")))&amp;" mỗi kỳ",IF($AV258&lt;1,MAX(1,ROUND($AV258*60,0))&amp;" phút",IF(ROUND($AV258,0)&lt;24,ROUND($AV258,0)&amp;" giờ",INT(ROUND($AV258,0)/24)&amp;" ngày"&amp;IF(MOD(ROUND($AV258,0),24)&gt;0," "&amp;MOD(ROUND($AV258,0),24)&amp;" giờ","")))))</f>
      </c>
      <c r="AF258" s="223">
        <f>IF(OR($A258="",N($AU258)=0),"",IF($AV258&lt;&gt;"",IF($AV258&lt;=$AU258,"Trong ước tính","Vượt "&amp;IF(($AV258-$AU258)&lt;1,MAX(1,ROUND(($AV258-$AU258)*60,0))&amp;" phút",IF(ROUND(($AV258-$AU258),0)&lt;24,ROUND(($AV258-$AU258),0)&amp;" giờ",INT(ROUND(($AV258-$AU258),0)/24)&amp;" ngày"&amp;IF(MOD(ROUND(($AV258-$AU258),0),24)&gt;0," "&amp;MOD(ROUND(($AV258-$AU258),0),24)&amp;" giờ","")))),IF(OR($B258&lt;&gt;"Đột xuất",$AA258="Hoàn thành",N($J258)=0),"",IF((TDBC-$J258)*24&gt;$AU258,"Đã vượt ước tính","Đã dùng "&amp;TEXT((TDBC-$J258)*24/$AU258,"0%")))))</f>
      </c>
      <c r="AG258" s="223">
        <f>IF(N($BB258)=0,"",CHOOSE($BB258,"Nhắc nhở","Cảnh báo","Báo động","Báo động đỏ"))</f>
      </c>
      <c r="AH258" s="223">
        <f>IF(OR($B258&lt;&gt;"Đột xuất",$AA258&lt;&gt;"Hoàn thành",N($X258)=0,$AW258=0),"",IF($X258&lt;=$AW258,"Đúng hạn","Trễ hạn"))</f>
      </c>
      <c r="AI258" s="220">
        <f>IF($A258="","",_xlfn.MAXIFS('Nhật ký tiến độ'!$B$6:$B$3005,'Nhật ký tiến độ'!$C$6:$C$3005,$A258))</f>
      </c>
      <c r="AJ258" s="225">
        <f>IF(OR($A258="",$B258&lt;&gt;"Định kỳ"),0,IFERROR(INDEX(DM_TanSuatNgay,MATCH($H258,DM_TanSuat,0)),0))</f>
      </c>
      <c r="AK258" s="225">
        <f>IF(OR($A258="",$B258&lt;&gt;"Định kỳ"),0,IFERROR(INDEX(DM_TanSuatThang,MATCH($H258,DM_TanSuat,0)),0))</f>
      </c>
      <c r="AL258" s="225">
        <f>IF(OR($A258="",$B258&lt;&gt;"Định kỳ",N($X258)=0,N($I258)=0),"",IF(INT($X258)&lt;$I258,0,IF($AJ258&gt;0,ROUND((INT($X258)-$I258)/$AJ258,0),IF($AK258&gt;0,ROUND((DATEDIF($I258,INT($X258),"m")+(INT($X258)-EDATE($I258,DATEDIF($I258,INT($X258),"m")))/(EDATE($I258,DATEDIF($I258,INT($X258),"m")+1)-EDATE($I258,DATEDIF($I258,INT($X258),"m"))))/$AK258,0),0))))</f>
      </c>
      <c r="AM258" s="225">
        <f>IF($A258="","",IF(COUNTIF('Nhật ký tiến độ'!$C$6:$C$3005,$A258)=0,0,_xlfn.MAXIFS('Nhật ký tiến độ'!$N$6:$N$3005,'Nhật ký tiến độ'!$C$6:$C$3005,$A258,'Nhật ký tiến độ'!$B$6:$B$3005,_xlfn.MAXIFS('Nhật ký tiến độ'!$B$6:$B$3005,'Nhật ký tiến độ'!$C$6:$C$3005,$A258))))</f>
      </c>
      <c r="AN258" s="225">
        <f>IF($A258="","",IF(N($AM258)=0,"",INDEX('Nhật ký tiến độ'!$E:$E,$AM258)))</f>
      </c>
      <c r="AO258" s="225">
        <f>IF($A258="",0,IF($AA258="Hoàn thành",0,1))</f>
      </c>
      <c r="AP258" s="225">
        <f>IF($AO258=0,0,INT(N($AW258)))</f>
      </c>
      <c r="AQ258" s="225">
        <f>IF(AND($AO258=1,$AJ258&gt;1),$AJ258,0)</f>
      </c>
      <c r="AR258" s="225">
        <f>IF(AND($AO258=1,$AJ258=1),1,0)</f>
      </c>
      <c r="AS258" s="225">
        <f>IF(OR($AO258=0,AND($AR258=1,N($BB258)=0)),"",IF(N($BB258)&gt;0,5-$BB258,IF($AD258="Chậm tiến độ",6,IF($AD258="Đến hạn hôm nay",7,IF(AND($AP258&gt;0,$AP258-NgayBC&lt;=7),8,"")))))</f>
      </c>
      <c r="AT258" s="225">
        <f>IF($AS258="","",$AS258*100000+$AP258+ROW()/100000)</f>
      </c>
      <c r="AU258" s="224">
        <f>IF(OR($A258="",N($R258)&lt;=0),"",IF($S258="Ngày",$R258*24,$R258))</f>
      </c>
      <c r="AV258" s="224">
        <f>IF($A258="","",IF($B258="Đột xuất",IF(OR($AA258&lt;&gt;"Hoàn thành",N($X258)=0,N($J258)=0),"",IF($X258&lt;$J258,"",($X258-$J258)*24)),IFERROR(AVERAGEIFS('Nhật ký tiến độ'!$H$6:$H$3005,'Nhật ký tiến độ'!$C$6:$C$3005,$A258,'Nhật ký tiến độ'!$H$6:$H$3005,"&gt;0"),"")))</f>
      </c>
      <c r="AW258" s="233">
        <f>IF($A258="",0,IF($B258="Đột xuất",$AY258,IF($AX258=0,0,$AX258+1-1/1440)))</f>
      </c>
      <c r="AX258" s="234">
        <f>IF(OR($A258="",$B258&lt;&gt;"Định kỳ",N($I258)=0),0,IF($AL258="",$I258,IF($AJ258&gt;0,$I258+($AL258+1)*$AJ258,IF($AK258&gt;0,EDATE($I258,($AL258+1)*$AK258),$I258))))</f>
      </c>
      <c r="AY258" s="233">
        <f>IF(OR($A258="",$B258&lt;&gt;"Đột xuất"),0,IF(N($K258)&gt;0,IF(MOD($K258,1)=0,$K258+1-1/1440,$K258),IF(N($J258)=0,0,$J258+IF(N($AU258)&gt;0,$AU258,IFERROR(INDEX(DM_SLA_Gio,MATCH($L258,DM_SLA_Cap,0)),168))/24)))</f>
      </c>
      <c r="AZ258" s="225">
        <f>IF(OR($A258="",TRIM($N258)="",COUNTIF('Phản ánh'!$K$6:$K$505,$N258)&gt;0,COUNTIF($N$6:$N258,$N258)&gt;1),0,1)</f>
      </c>
      <c r="BA258" s="225">
        <f>IF($AZ258=1,SUM($AZ$6:$AZ258),"")</f>
      </c>
      <c r="BB258" s="225">
        <f>IF(OR($AO258=0,N($AW258)=0),0,IF(TDBC&lt;=$AW258,0,MAX(1,MIN(4,IF((TDBC-$AW258)*24&lt;24,1,IF((TDBC-$AW258)*24&lt;72,2,IF((TDBC-$AW258)*24&lt;168,3,4)))+IF($B258="Đột xuất",IFERROR(INDEX({2,1,0,-1},MATCH($L258,{"Khẩn cấp","Cao","Trung bình","Thấp"},0)),0),IF($D258="PCCC và an ninh",1,0))))))</f>
      </c>
    </row>
    <row r="259">
      <c r="A259" s="216"/>
      <c r="B259" s="216"/>
      <c r="C259" s="218"/>
      <c r="D259" s="218"/>
      <c r="E259" s="218"/>
      <c r="F259" s="216"/>
      <c r="G259" s="218"/>
      <c r="H259" s="218"/>
      <c r="I259" s="231"/>
      <c r="J259" s="217"/>
      <c r="K259" s="217"/>
      <c r="L259" s="216"/>
      <c r="M259" s="216"/>
      <c r="N259" s="218"/>
      <c r="O259" s="218"/>
      <c r="P259" s="218"/>
      <c r="Q259" s="218"/>
      <c r="R259" s="219"/>
      <c r="S259" s="216"/>
      <c r="T259" s="232"/>
      <c r="U259" s="232"/>
      <c r="V259" s="218"/>
      <c r="W259" s="218"/>
      <c r="X259" s="220">
        <f>IF($A259="","",IF(OR($B259="Định kỳ",$AA259="Hoàn thành"),MAX(_xlfn.MAXIFS('Nhật ký tiến độ'!$B$6:$B$3005,'Nhật ký tiến độ'!$C$6:$C$3005,$A259,'Nhật ký tiến độ'!$E$6:$E$3005,"Hoàn thành kỳ"),_xlfn.MAXIFS('Nhật ký tiến độ'!$B$6:$B$3005,'Nhật ký tiến độ'!$C$6:$C$3005,$A259,'Nhật ký tiến độ'!$E$6:$E$3005,"Hoàn thành")),0))</f>
      </c>
      <c r="Y259" s="220">
        <f>IF($A259="","",IF($B259="Đột xuất",IF($AY259=0,"",$AY259),IF($AX259=0,"",$AX259)))</f>
      </c>
      <c r="Z259" s="223">
        <f>IF(OR($AO259=0,$AW259=0),"",IF(TDBC&gt;$AW259,"Quá "&amp;IF($B259="Định kỳ",(NgayBC-$AP259)&amp;" ngày",IF(((TDBC-$AW259)*24)&lt;1,MAX(1,ROUND(((TDBC-$AW259)*24)*60,0))&amp;" phút",IF(ROUND(((TDBC-$AW259)*24),0)&lt;24,ROUND(((TDBC-$AW259)*24),0)&amp;" giờ",INT(ROUND(((TDBC-$AW259)*24),0)/24)&amp;" ngày"&amp;IF(MOD(ROUND(((TDBC-$AW259)*24),0),24)&gt;0," "&amp;MOD(ROUND(((TDBC-$AW259)*24),0),24)&amp;" giờ","")))),IF($B259="Định kỳ",IF($AP259=NgayBC,"Hôm nay","Còn "&amp;($AP259-NgayBC)&amp;" ngày"),"Còn "&amp;IF((($AW259-TDBC)*24)&lt;1,MAX(1,ROUND((($AW259-TDBC)*24)*60,0))&amp;" phút",IF(ROUND((($AW259-TDBC)*24),0)&lt;24,ROUND((($AW259-TDBC)*24),0)&amp;" giờ",INT(ROUND((($AW259-TDBC)*24),0)/24)&amp;" ngày"&amp;IF(MOD(ROUND((($AW259-TDBC)*24),0),24)&gt;0," "&amp;MOD(ROUND((($AW259-TDBC)*24),0),24)&amp;" giờ",""))))))</f>
      </c>
      <c r="AA259" s="221">
        <f>IF($A259="","",IF(N($AM259)=0,"Chưa bắt đầu",IF(OR($AN259="Hoàn thành kỳ",$AN259="Hoàn thành"),IF($B259="Định kỳ","Chưa bắt đầu","Hoàn thành"),$AN259)))</f>
      </c>
      <c r="AB259" s="222">
        <f>IF($A259="","",IF($AA259="Hoàn thành",1,IF(OR(N($AM259)=0,$AN259="Hoàn thành kỳ",$AN259="Hoàn thành"),0,N(INDEX('Nhật ký tiến độ'!$D:$D,$AM259)))))</f>
      </c>
      <c r="AC259" s="222">
        <f>IF(OR($A259="",$B259&lt;&gt;"Đột xuất",$AA259="Hoàn thành",N($J259)=0,$AW259=0),"",IF(TDBC&lt;=$J259,0,IF(TDBC&gt;=$AW259,1,(TDBC-$J259)/($AW259-$J259))))</f>
      </c>
      <c r="AD259" s="223">
        <f>IF($A259="","",IF($AA259="Hoàn thành","Hoàn thành",IF($AW259=0,"Chưa đặt hạn",IF(TDBC&gt;$AW259,"Quá hạn",IF(AND($B259="Đột xuất",ROUND((N($AC259)-$AB259)*100,0)&gt;=20),"Chậm tiến độ",IF($AP259=NgayBC,"Đến hạn hôm nay",IF($B259="Đột xuất",IF($AW259-TDBC&lt;=1,"Sắp đến hạn","Đúng tiến độ"),IF($AP259-NgayBC&lt;=3,"Sắp đến hạn","Theo lịch"))))))))</f>
      </c>
      <c r="AE259" s="223">
        <f>IF($AV259="","",IF($B259="Định kỳ","Bình quân "&amp;IF($AV259&lt;1,MAX(1,ROUND($AV259*60,0))&amp;" phút",IF(ROUND($AV259,0)&lt;24,ROUND($AV259,0)&amp;" giờ",INT(ROUND($AV259,0)/24)&amp;" ngày"&amp;IF(MOD(ROUND($AV259,0),24)&gt;0," "&amp;MOD(ROUND($AV259,0),24)&amp;" giờ","")))&amp;" mỗi kỳ",IF($AV259&lt;1,MAX(1,ROUND($AV259*60,0))&amp;" phút",IF(ROUND($AV259,0)&lt;24,ROUND($AV259,0)&amp;" giờ",INT(ROUND($AV259,0)/24)&amp;" ngày"&amp;IF(MOD(ROUND($AV259,0),24)&gt;0," "&amp;MOD(ROUND($AV259,0),24)&amp;" giờ","")))))</f>
      </c>
      <c r="AF259" s="223">
        <f>IF(OR($A259="",N($AU259)=0),"",IF($AV259&lt;&gt;"",IF($AV259&lt;=$AU259,"Trong ước tính","Vượt "&amp;IF(($AV259-$AU259)&lt;1,MAX(1,ROUND(($AV259-$AU259)*60,0))&amp;" phút",IF(ROUND(($AV259-$AU259),0)&lt;24,ROUND(($AV259-$AU259),0)&amp;" giờ",INT(ROUND(($AV259-$AU259),0)/24)&amp;" ngày"&amp;IF(MOD(ROUND(($AV259-$AU259),0),24)&gt;0," "&amp;MOD(ROUND(($AV259-$AU259),0),24)&amp;" giờ","")))),IF(OR($B259&lt;&gt;"Đột xuất",$AA259="Hoàn thành",N($J259)=0),"",IF((TDBC-$J259)*24&gt;$AU259,"Đã vượt ước tính","Đã dùng "&amp;TEXT((TDBC-$J259)*24/$AU259,"0%")))))</f>
      </c>
      <c r="AG259" s="223">
        <f>IF(N($BB259)=0,"",CHOOSE($BB259,"Nhắc nhở","Cảnh báo","Báo động","Báo động đỏ"))</f>
      </c>
      <c r="AH259" s="223">
        <f>IF(OR($B259&lt;&gt;"Đột xuất",$AA259&lt;&gt;"Hoàn thành",N($X259)=0,$AW259=0),"",IF($X259&lt;=$AW259,"Đúng hạn","Trễ hạn"))</f>
      </c>
      <c r="AI259" s="220">
        <f>IF($A259="","",_xlfn.MAXIFS('Nhật ký tiến độ'!$B$6:$B$3005,'Nhật ký tiến độ'!$C$6:$C$3005,$A259))</f>
      </c>
      <c r="AJ259" s="225">
        <f>IF(OR($A259="",$B259&lt;&gt;"Định kỳ"),0,IFERROR(INDEX(DM_TanSuatNgay,MATCH($H259,DM_TanSuat,0)),0))</f>
      </c>
      <c r="AK259" s="225">
        <f>IF(OR($A259="",$B259&lt;&gt;"Định kỳ"),0,IFERROR(INDEX(DM_TanSuatThang,MATCH($H259,DM_TanSuat,0)),0))</f>
      </c>
      <c r="AL259" s="225">
        <f>IF(OR($A259="",$B259&lt;&gt;"Định kỳ",N($X259)=0,N($I259)=0),"",IF(INT($X259)&lt;$I259,0,IF($AJ259&gt;0,ROUND((INT($X259)-$I259)/$AJ259,0),IF($AK259&gt;0,ROUND((DATEDIF($I259,INT($X259),"m")+(INT($X259)-EDATE($I259,DATEDIF($I259,INT($X259),"m")))/(EDATE($I259,DATEDIF($I259,INT($X259),"m")+1)-EDATE($I259,DATEDIF($I259,INT($X259),"m"))))/$AK259,0),0))))</f>
      </c>
      <c r="AM259" s="225">
        <f>IF($A259="","",IF(COUNTIF('Nhật ký tiến độ'!$C$6:$C$3005,$A259)=0,0,_xlfn.MAXIFS('Nhật ký tiến độ'!$N$6:$N$3005,'Nhật ký tiến độ'!$C$6:$C$3005,$A259,'Nhật ký tiến độ'!$B$6:$B$3005,_xlfn.MAXIFS('Nhật ký tiến độ'!$B$6:$B$3005,'Nhật ký tiến độ'!$C$6:$C$3005,$A259))))</f>
      </c>
      <c r="AN259" s="225">
        <f>IF($A259="","",IF(N($AM259)=0,"",INDEX('Nhật ký tiến độ'!$E:$E,$AM259)))</f>
      </c>
      <c r="AO259" s="225">
        <f>IF($A259="",0,IF($AA259="Hoàn thành",0,1))</f>
      </c>
      <c r="AP259" s="225">
        <f>IF($AO259=0,0,INT(N($AW259)))</f>
      </c>
      <c r="AQ259" s="225">
        <f>IF(AND($AO259=1,$AJ259&gt;1),$AJ259,0)</f>
      </c>
      <c r="AR259" s="225">
        <f>IF(AND($AO259=1,$AJ259=1),1,0)</f>
      </c>
      <c r="AS259" s="225">
        <f>IF(OR($AO259=0,AND($AR259=1,N($BB259)=0)),"",IF(N($BB259)&gt;0,5-$BB259,IF($AD259="Chậm tiến độ",6,IF($AD259="Đến hạn hôm nay",7,IF(AND($AP259&gt;0,$AP259-NgayBC&lt;=7),8,"")))))</f>
      </c>
      <c r="AT259" s="225">
        <f>IF($AS259="","",$AS259*100000+$AP259+ROW()/100000)</f>
      </c>
      <c r="AU259" s="224">
        <f>IF(OR($A259="",N($R259)&lt;=0),"",IF($S259="Ngày",$R259*24,$R259))</f>
      </c>
      <c r="AV259" s="224">
        <f>IF($A259="","",IF($B259="Đột xuất",IF(OR($AA259&lt;&gt;"Hoàn thành",N($X259)=0,N($J259)=0),"",IF($X259&lt;$J259,"",($X259-$J259)*24)),IFERROR(AVERAGEIFS('Nhật ký tiến độ'!$H$6:$H$3005,'Nhật ký tiến độ'!$C$6:$C$3005,$A259,'Nhật ký tiến độ'!$H$6:$H$3005,"&gt;0"),"")))</f>
      </c>
      <c r="AW259" s="233">
        <f>IF($A259="",0,IF($B259="Đột xuất",$AY259,IF($AX259=0,0,$AX259+1-1/1440)))</f>
      </c>
      <c r="AX259" s="234">
        <f>IF(OR($A259="",$B259&lt;&gt;"Định kỳ",N($I259)=0),0,IF($AL259="",$I259,IF($AJ259&gt;0,$I259+($AL259+1)*$AJ259,IF($AK259&gt;0,EDATE($I259,($AL259+1)*$AK259),$I259))))</f>
      </c>
      <c r="AY259" s="233">
        <f>IF(OR($A259="",$B259&lt;&gt;"Đột xuất"),0,IF(N($K259)&gt;0,IF(MOD($K259,1)=0,$K259+1-1/1440,$K259),IF(N($J259)=0,0,$J259+IF(N($AU259)&gt;0,$AU259,IFERROR(INDEX(DM_SLA_Gio,MATCH($L259,DM_SLA_Cap,0)),168))/24)))</f>
      </c>
      <c r="AZ259" s="225">
        <f>IF(OR($A259="",TRIM($N259)="",COUNTIF('Phản ánh'!$K$6:$K$505,$N259)&gt;0,COUNTIF($N$6:$N259,$N259)&gt;1),0,1)</f>
      </c>
      <c r="BA259" s="225">
        <f>IF($AZ259=1,SUM($AZ$6:$AZ259),"")</f>
      </c>
      <c r="BB259" s="225">
        <f>IF(OR($AO259=0,N($AW259)=0),0,IF(TDBC&lt;=$AW259,0,MAX(1,MIN(4,IF((TDBC-$AW259)*24&lt;24,1,IF((TDBC-$AW259)*24&lt;72,2,IF((TDBC-$AW259)*24&lt;168,3,4)))+IF($B259="Đột xuất",IFERROR(INDEX({2,1,0,-1},MATCH($L259,{"Khẩn cấp","Cao","Trung bình","Thấp"},0)),0),IF($D259="PCCC và an ninh",1,0))))))</f>
      </c>
    </row>
    <row r="260">
      <c r="A260" s="216"/>
      <c r="B260" s="216"/>
      <c r="C260" s="218"/>
      <c r="D260" s="218"/>
      <c r="E260" s="218"/>
      <c r="F260" s="216"/>
      <c r="G260" s="218"/>
      <c r="H260" s="218"/>
      <c r="I260" s="231"/>
      <c r="J260" s="217"/>
      <c r="K260" s="217"/>
      <c r="L260" s="216"/>
      <c r="M260" s="216"/>
      <c r="N260" s="218"/>
      <c r="O260" s="218"/>
      <c r="P260" s="218"/>
      <c r="Q260" s="218"/>
      <c r="R260" s="219"/>
      <c r="S260" s="216"/>
      <c r="T260" s="232"/>
      <c r="U260" s="232"/>
      <c r="V260" s="218"/>
      <c r="W260" s="218"/>
      <c r="X260" s="220">
        <f>IF($A260="","",IF(OR($B260="Định kỳ",$AA260="Hoàn thành"),MAX(_xlfn.MAXIFS('Nhật ký tiến độ'!$B$6:$B$3005,'Nhật ký tiến độ'!$C$6:$C$3005,$A260,'Nhật ký tiến độ'!$E$6:$E$3005,"Hoàn thành kỳ"),_xlfn.MAXIFS('Nhật ký tiến độ'!$B$6:$B$3005,'Nhật ký tiến độ'!$C$6:$C$3005,$A260,'Nhật ký tiến độ'!$E$6:$E$3005,"Hoàn thành")),0))</f>
      </c>
      <c r="Y260" s="220">
        <f>IF($A260="","",IF($B260="Đột xuất",IF($AY260=0,"",$AY260),IF($AX260=0,"",$AX260)))</f>
      </c>
      <c r="Z260" s="223">
        <f>IF(OR($AO260=0,$AW260=0),"",IF(TDBC&gt;$AW260,"Quá "&amp;IF($B260="Định kỳ",(NgayBC-$AP260)&amp;" ngày",IF(((TDBC-$AW260)*24)&lt;1,MAX(1,ROUND(((TDBC-$AW260)*24)*60,0))&amp;" phút",IF(ROUND(((TDBC-$AW260)*24),0)&lt;24,ROUND(((TDBC-$AW260)*24),0)&amp;" giờ",INT(ROUND(((TDBC-$AW260)*24),0)/24)&amp;" ngày"&amp;IF(MOD(ROUND(((TDBC-$AW260)*24),0),24)&gt;0," "&amp;MOD(ROUND(((TDBC-$AW260)*24),0),24)&amp;" giờ","")))),IF($B260="Định kỳ",IF($AP260=NgayBC,"Hôm nay","Còn "&amp;($AP260-NgayBC)&amp;" ngày"),"Còn "&amp;IF((($AW260-TDBC)*24)&lt;1,MAX(1,ROUND((($AW260-TDBC)*24)*60,0))&amp;" phút",IF(ROUND((($AW260-TDBC)*24),0)&lt;24,ROUND((($AW260-TDBC)*24),0)&amp;" giờ",INT(ROUND((($AW260-TDBC)*24),0)/24)&amp;" ngày"&amp;IF(MOD(ROUND((($AW260-TDBC)*24),0),24)&gt;0," "&amp;MOD(ROUND((($AW260-TDBC)*24),0),24)&amp;" giờ",""))))))</f>
      </c>
      <c r="AA260" s="221">
        <f>IF($A260="","",IF(N($AM260)=0,"Chưa bắt đầu",IF(OR($AN260="Hoàn thành kỳ",$AN260="Hoàn thành"),IF($B260="Định kỳ","Chưa bắt đầu","Hoàn thành"),$AN260)))</f>
      </c>
      <c r="AB260" s="222">
        <f>IF($A260="","",IF($AA260="Hoàn thành",1,IF(OR(N($AM260)=0,$AN260="Hoàn thành kỳ",$AN260="Hoàn thành"),0,N(INDEX('Nhật ký tiến độ'!$D:$D,$AM260)))))</f>
      </c>
      <c r="AC260" s="222">
        <f>IF(OR($A260="",$B260&lt;&gt;"Đột xuất",$AA260="Hoàn thành",N($J260)=0,$AW260=0),"",IF(TDBC&lt;=$J260,0,IF(TDBC&gt;=$AW260,1,(TDBC-$J260)/($AW260-$J260))))</f>
      </c>
      <c r="AD260" s="223">
        <f>IF($A260="","",IF($AA260="Hoàn thành","Hoàn thành",IF($AW260=0,"Chưa đặt hạn",IF(TDBC&gt;$AW260,"Quá hạn",IF(AND($B260="Đột xuất",ROUND((N($AC260)-$AB260)*100,0)&gt;=20),"Chậm tiến độ",IF($AP260=NgayBC,"Đến hạn hôm nay",IF($B260="Đột xuất",IF($AW260-TDBC&lt;=1,"Sắp đến hạn","Đúng tiến độ"),IF($AP260-NgayBC&lt;=3,"Sắp đến hạn","Theo lịch"))))))))</f>
      </c>
      <c r="AE260" s="223">
        <f>IF($AV260="","",IF($B260="Định kỳ","Bình quân "&amp;IF($AV260&lt;1,MAX(1,ROUND($AV260*60,0))&amp;" phút",IF(ROUND($AV260,0)&lt;24,ROUND($AV260,0)&amp;" giờ",INT(ROUND($AV260,0)/24)&amp;" ngày"&amp;IF(MOD(ROUND($AV260,0),24)&gt;0," "&amp;MOD(ROUND($AV260,0),24)&amp;" giờ","")))&amp;" mỗi kỳ",IF($AV260&lt;1,MAX(1,ROUND($AV260*60,0))&amp;" phút",IF(ROUND($AV260,0)&lt;24,ROUND($AV260,0)&amp;" giờ",INT(ROUND($AV260,0)/24)&amp;" ngày"&amp;IF(MOD(ROUND($AV260,0),24)&gt;0," "&amp;MOD(ROUND($AV260,0),24)&amp;" giờ","")))))</f>
      </c>
      <c r="AF260" s="223">
        <f>IF(OR($A260="",N($AU260)=0),"",IF($AV260&lt;&gt;"",IF($AV260&lt;=$AU260,"Trong ước tính","Vượt "&amp;IF(($AV260-$AU260)&lt;1,MAX(1,ROUND(($AV260-$AU260)*60,0))&amp;" phút",IF(ROUND(($AV260-$AU260),0)&lt;24,ROUND(($AV260-$AU260),0)&amp;" giờ",INT(ROUND(($AV260-$AU260),0)/24)&amp;" ngày"&amp;IF(MOD(ROUND(($AV260-$AU260),0),24)&gt;0," "&amp;MOD(ROUND(($AV260-$AU260),0),24)&amp;" giờ","")))),IF(OR($B260&lt;&gt;"Đột xuất",$AA260="Hoàn thành",N($J260)=0),"",IF((TDBC-$J260)*24&gt;$AU260,"Đã vượt ước tính","Đã dùng "&amp;TEXT((TDBC-$J260)*24/$AU260,"0%")))))</f>
      </c>
      <c r="AG260" s="223">
        <f>IF(N($BB260)=0,"",CHOOSE($BB260,"Nhắc nhở","Cảnh báo","Báo động","Báo động đỏ"))</f>
      </c>
      <c r="AH260" s="223">
        <f>IF(OR($B260&lt;&gt;"Đột xuất",$AA260&lt;&gt;"Hoàn thành",N($X260)=0,$AW260=0),"",IF($X260&lt;=$AW260,"Đúng hạn","Trễ hạn"))</f>
      </c>
      <c r="AI260" s="220">
        <f>IF($A260="","",_xlfn.MAXIFS('Nhật ký tiến độ'!$B$6:$B$3005,'Nhật ký tiến độ'!$C$6:$C$3005,$A260))</f>
      </c>
      <c r="AJ260" s="225">
        <f>IF(OR($A260="",$B260&lt;&gt;"Định kỳ"),0,IFERROR(INDEX(DM_TanSuatNgay,MATCH($H260,DM_TanSuat,0)),0))</f>
      </c>
      <c r="AK260" s="225">
        <f>IF(OR($A260="",$B260&lt;&gt;"Định kỳ"),0,IFERROR(INDEX(DM_TanSuatThang,MATCH($H260,DM_TanSuat,0)),0))</f>
      </c>
      <c r="AL260" s="225">
        <f>IF(OR($A260="",$B260&lt;&gt;"Định kỳ",N($X260)=0,N($I260)=0),"",IF(INT($X260)&lt;$I260,0,IF($AJ260&gt;0,ROUND((INT($X260)-$I260)/$AJ260,0),IF($AK260&gt;0,ROUND((DATEDIF($I260,INT($X260),"m")+(INT($X260)-EDATE($I260,DATEDIF($I260,INT($X260),"m")))/(EDATE($I260,DATEDIF($I260,INT($X260),"m")+1)-EDATE($I260,DATEDIF($I260,INT($X260),"m"))))/$AK260,0),0))))</f>
      </c>
      <c r="AM260" s="225">
        <f>IF($A260="","",IF(COUNTIF('Nhật ký tiến độ'!$C$6:$C$3005,$A260)=0,0,_xlfn.MAXIFS('Nhật ký tiến độ'!$N$6:$N$3005,'Nhật ký tiến độ'!$C$6:$C$3005,$A260,'Nhật ký tiến độ'!$B$6:$B$3005,_xlfn.MAXIFS('Nhật ký tiến độ'!$B$6:$B$3005,'Nhật ký tiến độ'!$C$6:$C$3005,$A260))))</f>
      </c>
      <c r="AN260" s="225">
        <f>IF($A260="","",IF(N($AM260)=0,"",INDEX('Nhật ký tiến độ'!$E:$E,$AM260)))</f>
      </c>
      <c r="AO260" s="225">
        <f>IF($A260="",0,IF($AA260="Hoàn thành",0,1))</f>
      </c>
      <c r="AP260" s="225">
        <f>IF($AO260=0,0,INT(N($AW260)))</f>
      </c>
      <c r="AQ260" s="225">
        <f>IF(AND($AO260=1,$AJ260&gt;1),$AJ260,0)</f>
      </c>
      <c r="AR260" s="225">
        <f>IF(AND($AO260=1,$AJ260=1),1,0)</f>
      </c>
      <c r="AS260" s="225">
        <f>IF(OR($AO260=0,AND($AR260=1,N($BB260)=0)),"",IF(N($BB260)&gt;0,5-$BB260,IF($AD260="Chậm tiến độ",6,IF($AD260="Đến hạn hôm nay",7,IF(AND($AP260&gt;0,$AP260-NgayBC&lt;=7),8,"")))))</f>
      </c>
      <c r="AT260" s="225">
        <f>IF($AS260="","",$AS260*100000+$AP260+ROW()/100000)</f>
      </c>
      <c r="AU260" s="224">
        <f>IF(OR($A260="",N($R260)&lt;=0),"",IF($S260="Ngày",$R260*24,$R260))</f>
      </c>
      <c r="AV260" s="224">
        <f>IF($A260="","",IF($B260="Đột xuất",IF(OR($AA260&lt;&gt;"Hoàn thành",N($X260)=0,N($J260)=0),"",IF($X260&lt;$J260,"",($X260-$J260)*24)),IFERROR(AVERAGEIFS('Nhật ký tiến độ'!$H$6:$H$3005,'Nhật ký tiến độ'!$C$6:$C$3005,$A260,'Nhật ký tiến độ'!$H$6:$H$3005,"&gt;0"),"")))</f>
      </c>
      <c r="AW260" s="233">
        <f>IF($A260="",0,IF($B260="Đột xuất",$AY260,IF($AX260=0,0,$AX260+1-1/1440)))</f>
      </c>
      <c r="AX260" s="234">
        <f>IF(OR($A260="",$B260&lt;&gt;"Định kỳ",N($I260)=0),0,IF($AL260="",$I260,IF($AJ260&gt;0,$I260+($AL260+1)*$AJ260,IF($AK260&gt;0,EDATE($I260,($AL260+1)*$AK260),$I260))))</f>
      </c>
      <c r="AY260" s="233">
        <f>IF(OR($A260="",$B260&lt;&gt;"Đột xuất"),0,IF(N($K260)&gt;0,IF(MOD($K260,1)=0,$K260+1-1/1440,$K260),IF(N($J260)=0,0,$J260+IF(N($AU260)&gt;0,$AU260,IFERROR(INDEX(DM_SLA_Gio,MATCH($L260,DM_SLA_Cap,0)),168))/24)))</f>
      </c>
      <c r="AZ260" s="225">
        <f>IF(OR($A260="",TRIM($N260)="",COUNTIF('Phản ánh'!$K$6:$K$505,$N260)&gt;0,COUNTIF($N$6:$N260,$N260)&gt;1),0,1)</f>
      </c>
      <c r="BA260" s="225">
        <f>IF($AZ260=1,SUM($AZ$6:$AZ260),"")</f>
      </c>
      <c r="BB260" s="225">
        <f>IF(OR($AO260=0,N($AW260)=0),0,IF(TDBC&lt;=$AW260,0,MAX(1,MIN(4,IF((TDBC-$AW260)*24&lt;24,1,IF((TDBC-$AW260)*24&lt;72,2,IF((TDBC-$AW260)*24&lt;168,3,4)))+IF($B260="Đột xuất",IFERROR(INDEX({2,1,0,-1},MATCH($L260,{"Khẩn cấp","Cao","Trung bình","Thấp"},0)),0),IF($D260="PCCC và an ninh",1,0))))))</f>
      </c>
    </row>
    <row r="261">
      <c r="A261" s="216"/>
      <c r="B261" s="216"/>
      <c r="C261" s="218"/>
      <c r="D261" s="218"/>
      <c r="E261" s="218"/>
      <c r="F261" s="216"/>
      <c r="G261" s="218"/>
      <c r="H261" s="218"/>
      <c r="I261" s="231"/>
      <c r="J261" s="217"/>
      <c r="K261" s="217"/>
      <c r="L261" s="216"/>
      <c r="M261" s="216"/>
      <c r="N261" s="218"/>
      <c r="O261" s="218"/>
      <c r="P261" s="218"/>
      <c r="Q261" s="218"/>
      <c r="R261" s="219"/>
      <c r="S261" s="216"/>
      <c r="T261" s="232"/>
      <c r="U261" s="232"/>
      <c r="V261" s="218"/>
      <c r="W261" s="218"/>
      <c r="X261" s="220">
        <f>IF($A261="","",IF(OR($B261="Định kỳ",$AA261="Hoàn thành"),MAX(_xlfn.MAXIFS('Nhật ký tiến độ'!$B$6:$B$3005,'Nhật ký tiến độ'!$C$6:$C$3005,$A261,'Nhật ký tiến độ'!$E$6:$E$3005,"Hoàn thành kỳ"),_xlfn.MAXIFS('Nhật ký tiến độ'!$B$6:$B$3005,'Nhật ký tiến độ'!$C$6:$C$3005,$A261,'Nhật ký tiến độ'!$E$6:$E$3005,"Hoàn thành")),0))</f>
      </c>
      <c r="Y261" s="220">
        <f>IF($A261="","",IF($B261="Đột xuất",IF($AY261=0,"",$AY261),IF($AX261=0,"",$AX261)))</f>
      </c>
      <c r="Z261" s="223">
        <f>IF(OR($AO261=0,$AW261=0),"",IF(TDBC&gt;$AW261,"Quá "&amp;IF($B261="Định kỳ",(NgayBC-$AP261)&amp;" ngày",IF(((TDBC-$AW261)*24)&lt;1,MAX(1,ROUND(((TDBC-$AW261)*24)*60,0))&amp;" phút",IF(ROUND(((TDBC-$AW261)*24),0)&lt;24,ROUND(((TDBC-$AW261)*24),0)&amp;" giờ",INT(ROUND(((TDBC-$AW261)*24),0)/24)&amp;" ngày"&amp;IF(MOD(ROUND(((TDBC-$AW261)*24),0),24)&gt;0," "&amp;MOD(ROUND(((TDBC-$AW261)*24),0),24)&amp;" giờ","")))),IF($B261="Định kỳ",IF($AP261=NgayBC,"Hôm nay","Còn "&amp;($AP261-NgayBC)&amp;" ngày"),"Còn "&amp;IF((($AW261-TDBC)*24)&lt;1,MAX(1,ROUND((($AW261-TDBC)*24)*60,0))&amp;" phút",IF(ROUND((($AW261-TDBC)*24),0)&lt;24,ROUND((($AW261-TDBC)*24),0)&amp;" giờ",INT(ROUND((($AW261-TDBC)*24),0)/24)&amp;" ngày"&amp;IF(MOD(ROUND((($AW261-TDBC)*24),0),24)&gt;0," "&amp;MOD(ROUND((($AW261-TDBC)*24),0),24)&amp;" giờ",""))))))</f>
      </c>
      <c r="AA261" s="221">
        <f>IF($A261="","",IF(N($AM261)=0,"Chưa bắt đầu",IF(OR($AN261="Hoàn thành kỳ",$AN261="Hoàn thành"),IF($B261="Định kỳ","Chưa bắt đầu","Hoàn thành"),$AN261)))</f>
      </c>
      <c r="AB261" s="222">
        <f>IF($A261="","",IF($AA261="Hoàn thành",1,IF(OR(N($AM261)=0,$AN261="Hoàn thành kỳ",$AN261="Hoàn thành"),0,N(INDEX('Nhật ký tiến độ'!$D:$D,$AM261)))))</f>
      </c>
      <c r="AC261" s="222">
        <f>IF(OR($A261="",$B261&lt;&gt;"Đột xuất",$AA261="Hoàn thành",N($J261)=0,$AW261=0),"",IF(TDBC&lt;=$J261,0,IF(TDBC&gt;=$AW261,1,(TDBC-$J261)/($AW261-$J261))))</f>
      </c>
      <c r="AD261" s="223">
        <f>IF($A261="","",IF($AA261="Hoàn thành","Hoàn thành",IF($AW261=0,"Chưa đặt hạn",IF(TDBC&gt;$AW261,"Quá hạn",IF(AND($B261="Đột xuất",ROUND((N($AC261)-$AB261)*100,0)&gt;=20),"Chậm tiến độ",IF($AP261=NgayBC,"Đến hạn hôm nay",IF($B261="Đột xuất",IF($AW261-TDBC&lt;=1,"Sắp đến hạn","Đúng tiến độ"),IF($AP261-NgayBC&lt;=3,"Sắp đến hạn","Theo lịch"))))))))</f>
      </c>
      <c r="AE261" s="223">
        <f>IF($AV261="","",IF($B261="Định kỳ","Bình quân "&amp;IF($AV261&lt;1,MAX(1,ROUND($AV261*60,0))&amp;" phút",IF(ROUND($AV261,0)&lt;24,ROUND($AV261,0)&amp;" giờ",INT(ROUND($AV261,0)/24)&amp;" ngày"&amp;IF(MOD(ROUND($AV261,0),24)&gt;0," "&amp;MOD(ROUND($AV261,0),24)&amp;" giờ","")))&amp;" mỗi kỳ",IF($AV261&lt;1,MAX(1,ROUND($AV261*60,0))&amp;" phút",IF(ROUND($AV261,0)&lt;24,ROUND($AV261,0)&amp;" giờ",INT(ROUND($AV261,0)/24)&amp;" ngày"&amp;IF(MOD(ROUND($AV261,0),24)&gt;0," "&amp;MOD(ROUND($AV261,0),24)&amp;" giờ","")))))</f>
      </c>
      <c r="AF261" s="223">
        <f>IF(OR($A261="",N($AU261)=0),"",IF($AV261&lt;&gt;"",IF($AV261&lt;=$AU261,"Trong ước tính","Vượt "&amp;IF(($AV261-$AU261)&lt;1,MAX(1,ROUND(($AV261-$AU261)*60,0))&amp;" phút",IF(ROUND(($AV261-$AU261),0)&lt;24,ROUND(($AV261-$AU261),0)&amp;" giờ",INT(ROUND(($AV261-$AU261),0)/24)&amp;" ngày"&amp;IF(MOD(ROUND(($AV261-$AU261),0),24)&gt;0," "&amp;MOD(ROUND(($AV261-$AU261),0),24)&amp;" giờ","")))),IF(OR($B261&lt;&gt;"Đột xuất",$AA261="Hoàn thành",N($J261)=0),"",IF((TDBC-$J261)*24&gt;$AU261,"Đã vượt ước tính","Đã dùng "&amp;TEXT((TDBC-$J261)*24/$AU261,"0%")))))</f>
      </c>
      <c r="AG261" s="223">
        <f>IF(N($BB261)=0,"",CHOOSE($BB261,"Nhắc nhở","Cảnh báo","Báo động","Báo động đỏ"))</f>
      </c>
      <c r="AH261" s="223">
        <f>IF(OR($B261&lt;&gt;"Đột xuất",$AA261&lt;&gt;"Hoàn thành",N($X261)=0,$AW261=0),"",IF($X261&lt;=$AW261,"Đúng hạn","Trễ hạn"))</f>
      </c>
      <c r="AI261" s="220">
        <f>IF($A261="","",_xlfn.MAXIFS('Nhật ký tiến độ'!$B$6:$B$3005,'Nhật ký tiến độ'!$C$6:$C$3005,$A261))</f>
      </c>
      <c r="AJ261" s="225">
        <f>IF(OR($A261="",$B261&lt;&gt;"Định kỳ"),0,IFERROR(INDEX(DM_TanSuatNgay,MATCH($H261,DM_TanSuat,0)),0))</f>
      </c>
      <c r="AK261" s="225">
        <f>IF(OR($A261="",$B261&lt;&gt;"Định kỳ"),0,IFERROR(INDEX(DM_TanSuatThang,MATCH($H261,DM_TanSuat,0)),0))</f>
      </c>
      <c r="AL261" s="225">
        <f>IF(OR($A261="",$B261&lt;&gt;"Định kỳ",N($X261)=0,N($I261)=0),"",IF(INT($X261)&lt;$I261,0,IF($AJ261&gt;0,ROUND((INT($X261)-$I261)/$AJ261,0),IF($AK261&gt;0,ROUND((DATEDIF($I261,INT($X261),"m")+(INT($X261)-EDATE($I261,DATEDIF($I261,INT($X261),"m")))/(EDATE($I261,DATEDIF($I261,INT($X261),"m")+1)-EDATE($I261,DATEDIF($I261,INT($X261),"m"))))/$AK261,0),0))))</f>
      </c>
      <c r="AM261" s="225">
        <f>IF($A261="","",IF(COUNTIF('Nhật ký tiến độ'!$C$6:$C$3005,$A261)=0,0,_xlfn.MAXIFS('Nhật ký tiến độ'!$N$6:$N$3005,'Nhật ký tiến độ'!$C$6:$C$3005,$A261,'Nhật ký tiến độ'!$B$6:$B$3005,_xlfn.MAXIFS('Nhật ký tiến độ'!$B$6:$B$3005,'Nhật ký tiến độ'!$C$6:$C$3005,$A261))))</f>
      </c>
      <c r="AN261" s="225">
        <f>IF($A261="","",IF(N($AM261)=0,"",INDEX('Nhật ký tiến độ'!$E:$E,$AM261)))</f>
      </c>
      <c r="AO261" s="225">
        <f>IF($A261="",0,IF($AA261="Hoàn thành",0,1))</f>
      </c>
      <c r="AP261" s="225">
        <f>IF($AO261=0,0,INT(N($AW261)))</f>
      </c>
      <c r="AQ261" s="225">
        <f>IF(AND($AO261=1,$AJ261&gt;1),$AJ261,0)</f>
      </c>
      <c r="AR261" s="225">
        <f>IF(AND($AO261=1,$AJ261=1),1,0)</f>
      </c>
      <c r="AS261" s="225">
        <f>IF(OR($AO261=0,AND($AR261=1,N($BB261)=0)),"",IF(N($BB261)&gt;0,5-$BB261,IF($AD261="Chậm tiến độ",6,IF($AD261="Đến hạn hôm nay",7,IF(AND($AP261&gt;0,$AP261-NgayBC&lt;=7),8,"")))))</f>
      </c>
      <c r="AT261" s="225">
        <f>IF($AS261="","",$AS261*100000+$AP261+ROW()/100000)</f>
      </c>
      <c r="AU261" s="224">
        <f>IF(OR($A261="",N($R261)&lt;=0),"",IF($S261="Ngày",$R261*24,$R261))</f>
      </c>
      <c r="AV261" s="224">
        <f>IF($A261="","",IF($B261="Đột xuất",IF(OR($AA261&lt;&gt;"Hoàn thành",N($X261)=0,N($J261)=0),"",IF($X261&lt;$J261,"",($X261-$J261)*24)),IFERROR(AVERAGEIFS('Nhật ký tiến độ'!$H$6:$H$3005,'Nhật ký tiến độ'!$C$6:$C$3005,$A261,'Nhật ký tiến độ'!$H$6:$H$3005,"&gt;0"),"")))</f>
      </c>
      <c r="AW261" s="233">
        <f>IF($A261="",0,IF($B261="Đột xuất",$AY261,IF($AX261=0,0,$AX261+1-1/1440)))</f>
      </c>
      <c r="AX261" s="234">
        <f>IF(OR($A261="",$B261&lt;&gt;"Định kỳ",N($I261)=0),0,IF($AL261="",$I261,IF($AJ261&gt;0,$I261+($AL261+1)*$AJ261,IF($AK261&gt;0,EDATE($I261,($AL261+1)*$AK261),$I261))))</f>
      </c>
      <c r="AY261" s="233">
        <f>IF(OR($A261="",$B261&lt;&gt;"Đột xuất"),0,IF(N($K261)&gt;0,IF(MOD($K261,1)=0,$K261+1-1/1440,$K261),IF(N($J261)=0,0,$J261+IF(N($AU261)&gt;0,$AU261,IFERROR(INDEX(DM_SLA_Gio,MATCH($L261,DM_SLA_Cap,0)),168))/24)))</f>
      </c>
      <c r="AZ261" s="225">
        <f>IF(OR($A261="",TRIM($N261)="",COUNTIF('Phản ánh'!$K$6:$K$505,$N261)&gt;0,COUNTIF($N$6:$N261,$N261)&gt;1),0,1)</f>
      </c>
      <c r="BA261" s="225">
        <f>IF($AZ261=1,SUM($AZ$6:$AZ261),"")</f>
      </c>
      <c r="BB261" s="225">
        <f>IF(OR($AO261=0,N($AW261)=0),0,IF(TDBC&lt;=$AW261,0,MAX(1,MIN(4,IF((TDBC-$AW261)*24&lt;24,1,IF((TDBC-$AW261)*24&lt;72,2,IF((TDBC-$AW261)*24&lt;168,3,4)))+IF($B261="Đột xuất",IFERROR(INDEX({2,1,0,-1},MATCH($L261,{"Khẩn cấp","Cao","Trung bình","Thấp"},0)),0),IF($D261="PCCC và an ninh",1,0))))))</f>
      </c>
    </row>
    <row r="262">
      <c r="A262" s="216"/>
      <c r="B262" s="216"/>
      <c r="C262" s="218"/>
      <c r="D262" s="218"/>
      <c r="E262" s="218"/>
      <c r="F262" s="216"/>
      <c r="G262" s="218"/>
      <c r="H262" s="218"/>
      <c r="I262" s="231"/>
      <c r="J262" s="217"/>
      <c r="K262" s="217"/>
      <c r="L262" s="216"/>
      <c r="M262" s="216"/>
      <c r="N262" s="218"/>
      <c r="O262" s="218"/>
      <c r="P262" s="218"/>
      <c r="Q262" s="218"/>
      <c r="R262" s="219"/>
      <c r="S262" s="216"/>
      <c r="T262" s="232"/>
      <c r="U262" s="232"/>
      <c r="V262" s="218"/>
      <c r="W262" s="218"/>
      <c r="X262" s="220">
        <f>IF($A262="","",IF(OR($B262="Định kỳ",$AA262="Hoàn thành"),MAX(_xlfn.MAXIFS('Nhật ký tiến độ'!$B$6:$B$3005,'Nhật ký tiến độ'!$C$6:$C$3005,$A262,'Nhật ký tiến độ'!$E$6:$E$3005,"Hoàn thành kỳ"),_xlfn.MAXIFS('Nhật ký tiến độ'!$B$6:$B$3005,'Nhật ký tiến độ'!$C$6:$C$3005,$A262,'Nhật ký tiến độ'!$E$6:$E$3005,"Hoàn thành")),0))</f>
      </c>
      <c r="Y262" s="220">
        <f>IF($A262="","",IF($B262="Đột xuất",IF($AY262=0,"",$AY262),IF($AX262=0,"",$AX262)))</f>
      </c>
      <c r="Z262" s="223">
        <f>IF(OR($AO262=0,$AW262=0),"",IF(TDBC&gt;$AW262,"Quá "&amp;IF($B262="Định kỳ",(NgayBC-$AP262)&amp;" ngày",IF(((TDBC-$AW262)*24)&lt;1,MAX(1,ROUND(((TDBC-$AW262)*24)*60,0))&amp;" phút",IF(ROUND(((TDBC-$AW262)*24),0)&lt;24,ROUND(((TDBC-$AW262)*24),0)&amp;" giờ",INT(ROUND(((TDBC-$AW262)*24),0)/24)&amp;" ngày"&amp;IF(MOD(ROUND(((TDBC-$AW262)*24),0),24)&gt;0," "&amp;MOD(ROUND(((TDBC-$AW262)*24),0),24)&amp;" giờ","")))),IF($B262="Định kỳ",IF($AP262=NgayBC,"Hôm nay","Còn "&amp;($AP262-NgayBC)&amp;" ngày"),"Còn "&amp;IF((($AW262-TDBC)*24)&lt;1,MAX(1,ROUND((($AW262-TDBC)*24)*60,0))&amp;" phút",IF(ROUND((($AW262-TDBC)*24),0)&lt;24,ROUND((($AW262-TDBC)*24),0)&amp;" giờ",INT(ROUND((($AW262-TDBC)*24),0)/24)&amp;" ngày"&amp;IF(MOD(ROUND((($AW262-TDBC)*24),0),24)&gt;0," "&amp;MOD(ROUND((($AW262-TDBC)*24),0),24)&amp;" giờ",""))))))</f>
      </c>
      <c r="AA262" s="221">
        <f>IF($A262="","",IF(N($AM262)=0,"Chưa bắt đầu",IF(OR($AN262="Hoàn thành kỳ",$AN262="Hoàn thành"),IF($B262="Định kỳ","Chưa bắt đầu","Hoàn thành"),$AN262)))</f>
      </c>
      <c r="AB262" s="222">
        <f>IF($A262="","",IF($AA262="Hoàn thành",1,IF(OR(N($AM262)=0,$AN262="Hoàn thành kỳ",$AN262="Hoàn thành"),0,N(INDEX('Nhật ký tiến độ'!$D:$D,$AM262)))))</f>
      </c>
      <c r="AC262" s="222">
        <f>IF(OR($A262="",$B262&lt;&gt;"Đột xuất",$AA262="Hoàn thành",N($J262)=0,$AW262=0),"",IF(TDBC&lt;=$J262,0,IF(TDBC&gt;=$AW262,1,(TDBC-$J262)/($AW262-$J262))))</f>
      </c>
      <c r="AD262" s="223">
        <f>IF($A262="","",IF($AA262="Hoàn thành","Hoàn thành",IF($AW262=0,"Chưa đặt hạn",IF(TDBC&gt;$AW262,"Quá hạn",IF(AND($B262="Đột xuất",ROUND((N($AC262)-$AB262)*100,0)&gt;=20),"Chậm tiến độ",IF($AP262=NgayBC,"Đến hạn hôm nay",IF($B262="Đột xuất",IF($AW262-TDBC&lt;=1,"Sắp đến hạn","Đúng tiến độ"),IF($AP262-NgayBC&lt;=3,"Sắp đến hạn","Theo lịch"))))))))</f>
      </c>
      <c r="AE262" s="223">
        <f>IF($AV262="","",IF($B262="Định kỳ","Bình quân "&amp;IF($AV262&lt;1,MAX(1,ROUND($AV262*60,0))&amp;" phút",IF(ROUND($AV262,0)&lt;24,ROUND($AV262,0)&amp;" giờ",INT(ROUND($AV262,0)/24)&amp;" ngày"&amp;IF(MOD(ROUND($AV262,0),24)&gt;0," "&amp;MOD(ROUND($AV262,0),24)&amp;" giờ","")))&amp;" mỗi kỳ",IF($AV262&lt;1,MAX(1,ROUND($AV262*60,0))&amp;" phút",IF(ROUND($AV262,0)&lt;24,ROUND($AV262,0)&amp;" giờ",INT(ROUND($AV262,0)/24)&amp;" ngày"&amp;IF(MOD(ROUND($AV262,0),24)&gt;0," "&amp;MOD(ROUND($AV262,0),24)&amp;" giờ","")))))</f>
      </c>
      <c r="AF262" s="223">
        <f>IF(OR($A262="",N($AU262)=0),"",IF($AV262&lt;&gt;"",IF($AV262&lt;=$AU262,"Trong ước tính","Vượt "&amp;IF(($AV262-$AU262)&lt;1,MAX(1,ROUND(($AV262-$AU262)*60,0))&amp;" phút",IF(ROUND(($AV262-$AU262),0)&lt;24,ROUND(($AV262-$AU262),0)&amp;" giờ",INT(ROUND(($AV262-$AU262),0)/24)&amp;" ngày"&amp;IF(MOD(ROUND(($AV262-$AU262),0),24)&gt;0," "&amp;MOD(ROUND(($AV262-$AU262),0),24)&amp;" giờ","")))),IF(OR($B262&lt;&gt;"Đột xuất",$AA262="Hoàn thành",N($J262)=0),"",IF((TDBC-$J262)*24&gt;$AU262,"Đã vượt ước tính","Đã dùng "&amp;TEXT((TDBC-$J262)*24/$AU262,"0%")))))</f>
      </c>
      <c r="AG262" s="223">
        <f>IF(N($BB262)=0,"",CHOOSE($BB262,"Nhắc nhở","Cảnh báo","Báo động","Báo động đỏ"))</f>
      </c>
      <c r="AH262" s="223">
        <f>IF(OR($B262&lt;&gt;"Đột xuất",$AA262&lt;&gt;"Hoàn thành",N($X262)=0,$AW262=0),"",IF($X262&lt;=$AW262,"Đúng hạn","Trễ hạn"))</f>
      </c>
      <c r="AI262" s="220">
        <f>IF($A262="","",_xlfn.MAXIFS('Nhật ký tiến độ'!$B$6:$B$3005,'Nhật ký tiến độ'!$C$6:$C$3005,$A262))</f>
      </c>
      <c r="AJ262" s="225">
        <f>IF(OR($A262="",$B262&lt;&gt;"Định kỳ"),0,IFERROR(INDEX(DM_TanSuatNgay,MATCH($H262,DM_TanSuat,0)),0))</f>
      </c>
      <c r="AK262" s="225">
        <f>IF(OR($A262="",$B262&lt;&gt;"Định kỳ"),0,IFERROR(INDEX(DM_TanSuatThang,MATCH($H262,DM_TanSuat,0)),0))</f>
      </c>
      <c r="AL262" s="225">
        <f>IF(OR($A262="",$B262&lt;&gt;"Định kỳ",N($X262)=0,N($I262)=0),"",IF(INT($X262)&lt;$I262,0,IF($AJ262&gt;0,ROUND((INT($X262)-$I262)/$AJ262,0),IF($AK262&gt;0,ROUND((DATEDIF($I262,INT($X262),"m")+(INT($X262)-EDATE($I262,DATEDIF($I262,INT($X262),"m")))/(EDATE($I262,DATEDIF($I262,INT($X262),"m")+1)-EDATE($I262,DATEDIF($I262,INT($X262),"m"))))/$AK262,0),0))))</f>
      </c>
      <c r="AM262" s="225">
        <f>IF($A262="","",IF(COUNTIF('Nhật ký tiến độ'!$C$6:$C$3005,$A262)=0,0,_xlfn.MAXIFS('Nhật ký tiến độ'!$N$6:$N$3005,'Nhật ký tiến độ'!$C$6:$C$3005,$A262,'Nhật ký tiến độ'!$B$6:$B$3005,_xlfn.MAXIFS('Nhật ký tiến độ'!$B$6:$B$3005,'Nhật ký tiến độ'!$C$6:$C$3005,$A262))))</f>
      </c>
      <c r="AN262" s="225">
        <f>IF($A262="","",IF(N($AM262)=0,"",INDEX('Nhật ký tiến độ'!$E:$E,$AM262)))</f>
      </c>
      <c r="AO262" s="225">
        <f>IF($A262="",0,IF($AA262="Hoàn thành",0,1))</f>
      </c>
      <c r="AP262" s="225">
        <f>IF($AO262=0,0,INT(N($AW262)))</f>
      </c>
      <c r="AQ262" s="225">
        <f>IF(AND($AO262=1,$AJ262&gt;1),$AJ262,0)</f>
      </c>
      <c r="AR262" s="225">
        <f>IF(AND($AO262=1,$AJ262=1),1,0)</f>
      </c>
      <c r="AS262" s="225">
        <f>IF(OR($AO262=0,AND($AR262=1,N($BB262)=0)),"",IF(N($BB262)&gt;0,5-$BB262,IF($AD262="Chậm tiến độ",6,IF($AD262="Đến hạn hôm nay",7,IF(AND($AP262&gt;0,$AP262-NgayBC&lt;=7),8,"")))))</f>
      </c>
      <c r="AT262" s="225">
        <f>IF($AS262="","",$AS262*100000+$AP262+ROW()/100000)</f>
      </c>
      <c r="AU262" s="224">
        <f>IF(OR($A262="",N($R262)&lt;=0),"",IF($S262="Ngày",$R262*24,$R262))</f>
      </c>
      <c r="AV262" s="224">
        <f>IF($A262="","",IF($B262="Đột xuất",IF(OR($AA262&lt;&gt;"Hoàn thành",N($X262)=0,N($J262)=0),"",IF($X262&lt;$J262,"",($X262-$J262)*24)),IFERROR(AVERAGEIFS('Nhật ký tiến độ'!$H$6:$H$3005,'Nhật ký tiến độ'!$C$6:$C$3005,$A262,'Nhật ký tiến độ'!$H$6:$H$3005,"&gt;0"),"")))</f>
      </c>
      <c r="AW262" s="233">
        <f>IF($A262="",0,IF($B262="Đột xuất",$AY262,IF($AX262=0,0,$AX262+1-1/1440)))</f>
      </c>
      <c r="AX262" s="234">
        <f>IF(OR($A262="",$B262&lt;&gt;"Định kỳ",N($I262)=0),0,IF($AL262="",$I262,IF($AJ262&gt;0,$I262+($AL262+1)*$AJ262,IF($AK262&gt;0,EDATE($I262,($AL262+1)*$AK262),$I262))))</f>
      </c>
      <c r="AY262" s="233">
        <f>IF(OR($A262="",$B262&lt;&gt;"Đột xuất"),0,IF(N($K262)&gt;0,IF(MOD($K262,1)=0,$K262+1-1/1440,$K262),IF(N($J262)=0,0,$J262+IF(N($AU262)&gt;0,$AU262,IFERROR(INDEX(DM_SLA_Gio,MATCH($L262,DM_SLA_Cap,0)),168))/24)))</f>
      </c>
      <c r="AZ262" s="225">
        <f>IF(OR($A262="",TRIM($N262)="",COUNTIF('Phản ánh'!$K$6:$K$505,$N262)&gt;0,COUNTIF($N$6:$N262,$N262)&gt;1),0,1)</f>
      </c>
      <c r="BA262" s="225">
        <f>IF($AZ262=1,SUM($AZ$6:$AZ262),"")</f>
      </c>
      <c r="BB262" s="225">
        <f>IF(OR($AO262=0,N($AW262)=0),0,IF(TDBC&lt;=$AW262,0,MAX(1,MIN(4,IF((TDBC-$AW262)*24&lt;24,1,IF((TDBC-$AW262)*24&lt;72,2,IF((TDBC-$AW262)*24&lt;168,3,4)))+IF($B262="Đột xuất",IFERROR(INDEX({2,1,0,-1},MATCH($L262,{"Khẩn cấp","Cao","Trung bình","Thấp"},0)),0),IF($D262="PCCC và an ninh",1,0))))))</f>
      </c>
    </row>
    <row r="263">
      <c r="A263" s="216"/>
      <c r="B263" s="216"/>
      <c r="C263" s="218"/>
      <c r="D263" s="218"/>
      <c r="E263" s="218"/>
      <c r="F263" s="216"/>
      <c r="G263" s="218"/>
      <c r="H263" s="218"/>
      <c r="I263" s="231"/>
      <c r="J263" s="217"/>
      <c r="K263" s="217"/>
      <c r="L263" s="216"/>
      <c r="M263" s="216"/>
      <c r="N263" s="218"/>
      <c r="O263" s="218"/>
      <c r="P263" s="218"/>
      <c r="Q263" s="218"/>
      <c r="R263" s="219"/>
      <c r="S263" s="216"/>
      <c r="T263" s="232"/>
      <c r="U263" s="232"/>
      <c r="V263" s="218"/>
      <c r="W263" s="218"/>
      <c r="X263" s="220">
        <f>IF($A263="","",IF(OR($B263="Định kỳ",$AA263="Hoàn thành"),MAX(_xlfn.MAXIFS('Nhật ký tiến độ'!$B$6:$B$3005,'Nhật ký tiến độ'!$C$6:$C$3005,$A263,'Nhật ký tiến độ'!$E$6:$E$3005,"Hoàn thành kỳ"),_xlfn.MAXIFS('Nhật ký tiến độ'!$B$6:$B$3005,'Nhật ký tiến độ'!$C$6:$C$3005,$A263,'Nhật ký tiến độ'!$E$6:$E$3005,"Hoàn thành")),0))</f>
      </c>
      <c r="Y263" s="220">
        <f>IF($A263="","",IF($B263="Đột xuất",IF($AY263=0,"",$AY263),IF($AX263=0,"",$AX263)))</f>
      </c>
      <c r="Z263" s="223">
        <f>IF(OR($AO263=0,$AW263=0),"",IF(TDBC&gt;$AW263,"Quá "&amp;IF($B263="Định kỳ",(NgayBC-$AP263)&amp;" ngày",IF(((TDBC-$AW263)*24)&lt;1,MAX(1,ROUND(((TDBC-$AW263)*24)*60,0))&amp;" phút",IF(ROUND(((TDBC-$AW263)*24),0)&lt;24,ROUND(((TDBC-$AW263)*24),0)&amp;" giờ",INT(ROUND(((TDBC-$AW263)*24),0)/24)&amp;" ngày"&amp;IF(MOD(ROUND(((TDBC-$AW263)*24),0),24)&gt;0," "&amp;MOD(ROUND(((TDBC-$AW263)*24),0),24)&amp;" giờ","")))),IF($B263="Định kỳ",IF($AP263=NgayBC,"Hôm nay","Còn "&amp;($AP263-NgayBC)&amp;" ngày"),"Còn "&amp;IF((($AW263-TDBC)*24)&lt;1,MAX(1,ROUND((($AW263-TDBC)*24)*60,0))&amp;" phút",IF(ROUND((($AW263-TDBC)*24),0)&lt;24,ROUND((($AW263-TDBC)*24),0)&amp;" giờ",INT(ROUND((($AW263-TDBC)*24),0)/24)&amp;" ngày"&amp;IF(MOD(ROUND((($AW263-TDBC)*24),0),24)&gt;0," "&amp;MOD(ROUND((($AW263-TDBC)*24),0),24)&amp;" giờ",""))))))</f>
      </c>
      <c r="AA263" s="221">
        <f>IF($A263="","",IF(N($AM263)=0,"Chưa bắt đầu",IF(OR($AN263="Hoàn thành kỳ",$AN263="Hoàn thành"),IF($B263="Định kỳ","Chưa bắt đầu","Hoàn thành"),$AN263)))</f>
      </c>
      <c r="AB263" s="222">
        <f>IF($A263="","",IF($AA263="Hoàn thành",1,IF(OR(N($AM263)=0,$AN263="Hoàn thành kỳ",$AN263="Hoàn thành"),0,N(INDEX('Nhật ký tiến độ'!$D:$D,$AM263)))))</f>
      </c>
      <c r="AC263" s="222">
        <f>IF(OR($A263="",$B263&lt;&gt;"Đột xuất",$AA263="Hoàn thành",N($J263)=0,$AW263=0),"",IF(TDBC&lt;=$J263,0,IF(TDBC&gt;=$AW263,1,(TDBC-$J263)/($AW263-$J263))))</f>
      </c>
      <c r="AD263" s="223">
        <f>IF($A263="","",IF($AA263="Hoàn thành","Hoàn thành",IF($AW263=0,"Chưa đặt hạn",IF(TDBC&gt;$AW263,"Quá hạn",IF(AND($B263="Đột xuất",ROUND((N($AC263)-$AB263)*100,0)&gt;=20),"Chậm tiến độ",IF($AP263=NgayBC,"Đến hạn hôm nay",IF($B263="Đột xuất",IF($AW263-TDBC&lt;=1,"Sắp đến hạn","Đúng tiến độ"),IF($AP263-NgayBC&lt;=3,"Sắp đến hạn","Theo lịch"))))))))</f>
      </c>
      <c r="AE263" s="223">
        <f>IF($AV263="","",IF($B263="Định kỳ","Bình quân "&amp;IF($AV263&lt;1,MAX(1,ROUND($AV263*60,0))&amp;" phút",IF(ROUND($AV263,0)&lt;24,ROUND($AV263,0)&amp;" giờ",INT(ROUND($AV263,0)/24)&amp;" ngày"&amp;IF(MOD(ROUND($AV263,0),24)&gt;0," "&amp;MOD(ROUND($AV263,0),24)&amp;" giờ","")))&amp;" mỗi kỳ",IF($AV263&lt;1,MAX(1,ROUND($AV263*60,0))&amp;" phút",IF(ROUND($AV263,0)&lt;24,ROUND($AV263,0)&amp;" giờ",INT(ROUND($AV263,0)/24)&amp;" ngày"&amp;IF(MOD(ROUND($AV263,0),24)&gt;0," "&amp;MOD(ROUND($AV263,0),24)&amp;" giờ","")))))</f>
      </c>
      <c r="AF263" s="223">
        <f>IF(OR($A263="",N($AU263)=0),"",IF($AV263&lt;&gt;"",IF($AV263&lt;=$AU263,"Trong ước tính","Vượt "&amp;IF(($AV263-$AU263)&lt;1,MAX(1,ROUND(($AV263-$AU263)*60,0))&amp;" phút",IF(ROUND(($AV263-$AU263),0)&lt;24,ROUND(($AV263-$AU263),0)&amp;" giờ",INT(ROUND(($AV263-$AU263),0)/24)&amp;" ngày"&amp;IF(MOD(ROUND(($AV263-$AU263),0),24)&gt;0," "&amp;MOD(ROUND(($AV263-$AU263),0),24)&amp;" giờ","")))),IF(OR($B263&lt;&gt;"Đột xuất",$AA263="Hoàn thành",N($J263)=0),"",IF((TDBC-$J263)*24&gt;$AU263,"Đã vượt ước tính","Đã dùng "&amp;TEXT((TDBC-$J263)*24/$AU263,"0%")))))</f>
      </c>
      <c r="AG263" s="223">
        <f>IF(N($BB263)=0,"",CHOOSE($BB263,"Nhắc nhở","Cảnh báo","Báo động","Báo động đỏ"))</f>
      </c>
      <c r="AH263" s="223">
        <f>IF(OR($B263&lt;&gt;"Đột xuất",$AA263&lt;&gt;"Hoàn thành",N($X263)=0,$AW263=0),"",IF($X263&lt;=$AW263,"Đúng hạn","Trễ hạn"))</f>
      </c>
      <c r="AI263" s="220">
        <f>IF($A263="","",_xlfn.MAXIFS('Nhật ký tiến độ'!$B$6:$B$3005,'Nhật ký tiến độ'!$C$6:$C$3005,$A263))</f>
      </c>
      <c r="AJ263" s="225">
        <f>IF(OR($A263="",$B263&lt;&gt;"Định kỳ"),0,IFERROR(INDEX(DM_TanSuatNgay,MATCH($H263,DM_TanSuat,0)),0))</f>
      </c>
      <c r="AK263" s="225">
        <f>IF(OR($A263="",$B263&lt;&gt;"Định kỳ"),0,IFERROR(INDEX(DM_TanSuatThang,MATCH($H263,DM_TanSuat,0)),0))</f>
      </c>
      <c r="AL263" s="225">
        <f>IF(OR($A263="",$B263&lt;&gt;"Định kỳ",N($X263)=0,N($I263)=0),"",IF(INT($X263)&lt;$I263,0,IF($AJ263&gt;0,ROUND((INT($X263)-$I263)/$AJ263,0),IF($AK263&gt;0,ROUND((DATEDIF($I263,INT($X263),"m")+(INT($X263)-EDATE($I263,DATEDIF($I263,INT($X263),"m")))/(EDATE($I263,DATEDIF($I263,INT($X263),"m")+1)-EDATE($I263,DATEDIF($I263,INT($X263),"m"))))/$AK263,0),0))))</f>
      </c>
      <c r="AM263" s="225">
        <f>IF($A263="","",IF(COUNTIF('Nhật ký tiến độ'!$C$6:$C$3005,$A263)=0,0,_xlfn.MAXIFS('Nhật ký tiến độ'!$N$6:$N$3005,'Nhật ký tiến độ'!$C$6:$C$3005,$A263,'Nhật ký tiến độ'!$B$6:$B$3005,_xlfn.MAXIFS('Nhật ký tiến độ'!$B$6:$B$3005,'Nhật ký tiến độ'!$C$6:$C$3005,$A263))))</f>
      </c>
      <c r="AN263" s="225">
        <f>IF($A263="","",IF(N($AM263)=0,"",INDEX('Nhật ký tiến độ'!$E:$E,$AM263)))</f>
      </c>
      <c r="AO263" s="225">
        <f>IF($A263="",0,IF($AA263="Hoàn thành",0,1))</f>
      </c>
      <c r="AP263" s="225">
        <f>IF($AO263=0,0,INT(N($AW263)))</f>
      </c>
      <c r="AQ263" s="225">
        <f>IF(AND($AO263=1,$AJ263&gt;1),$AJ263,0)</f>
      </c>
      <c r="AR263" s="225">
        <f>IF(AND($AO263=1,$AJ263=1),1,0)</f>
      </c>
      <c r="AS263" s="225">
        <f>IF(OR($AO263=0,AND($AR263=1,N($BB263)=0)),"",IF(N($BB263)&gt;0,5-$BB263,IF($AD263="Chậm tiến độ",6,IF($AD263="Đến hạn hôm nay",7,IF(AND($AP263&gt;0,$AP263-NgayBC&lt;=7),8,"")))))</f>
      </c>
      <c r="AT263" s="225">
        <f>IF($AS263="","",$AS263*100000+$AP263+ROW()/100000)</f>
      </c>
      <c r="AU263" s="224">
        <f>IF(OR($A263="",N($R263)&lt;=0),"",IF($S263="Ngày",$R263*24,$R263))</f>
      </c>
      <c r="AV263" s="224">
        <f>IF($A263="","",IF($B263="Đột xuất",IF(OR($AA263&lt;&gt;"Hoàn thành",N($X263)=0,N($J263)=0),"",IF($X263&lt;$J263,"",($X263-$J263)*24)),IFERROR(AVERAGEIFS('Nhật ký tiến độ'!$H$6:$H$3005,'Nhật ký tiến độ'!$C$6:$C$3005,$A263,'Nhật ký tiến độ'!$H$6:$H$3005,"&gt;0"),"")))</f>
      </c>
      <c r="AW263" s="233">
        <f>IF($A263="",0,IF($B263="Đột xuất",$AY263,IF($AX263=0,0,$AX263+1-1/1440)))</f>
      </c>
      <c r="AX263" s="234">
        <f>IF(OR($A263="",$B263&lt;&gt;"Định kỳ",N($I263)=0),0,IF($AL263="",$I263,IF($AJ263&gt;0,$I263+($AL263+1)*$AJ263,IF($AK263&gt;0,EDATE($I263,($AL263+1)*$AK263),$I263))))</f>
      </c>
      <c r="AY263" s="233">
        <f>IF(OR($A263="",$B263&lt;&gt;"Đột xuất"),0,IF(N($K263)&gt;0,IF(MOD($K263,1)=0,$K263+1-1/1440,$K263),IF(N($J263)=0,0,$J263+IF(N($AU263)&gt;0,$AU263,IFERROR(INDEX(DM_SLA_Gio,MATCH($L263,DM_SLA_Cap,0)),168))/24)))</f>
      </c>
      <c r="AZ263" s="225">
        <f>IF(OR($A263="",TRIM($N263)="",COUNTIF('Phản ánh'!$K$6:$K$505,$N263)&gt;0,COUNTIF($N$6:$N263,$N263)&gt;1),0,1)</f>
      </c>
      <c r="BA263" s="225">
        <f>IF($AZ263=1,SUM($AZ$6:$AZ263),"")</f>
      </c>
      <c r="BB263" s="225">
        <f>IF(OR($AO263=0,N($AW263)=0),0,IF(TDBC&lt;=$AW263,0,MAX(1,MIN(4,IF((TDBC-$AW263)*24&lt;24,1,IF((TDBC-$AW263)*24&lt;72,2,IF((TDBC-$AW263)*24&lt;168,3,4)))+IF($B263="Đột xuất",IFERROR(INDEX({2,1,0,-1},MATCH($L263,{"Khẩn cấp","Cao","Trung bình","Thấp"},0)),0),IF($D263="PCCC và an ninh",1,0))))))</f>
      </c>
    </row>
    <row r="264">
      <c r="A264" s="216"/>
      <c r="B264" s="216"/>
      <c r="C264" s="218"/>
      <c r="D264" s="218"/>
      <c r="E264" s="218"/>
      <c r="F264" s="216"/>
      <c r="G264" s="218"/>
      <c r="H264" s="218"/>
      <c r="I264" s="231"/>
      <c r="J264" s="217"/>
      <c r="K264" s="217"/>
      <c r="L264" s="216"/>
      <c r="M264" s="216"/>
      <c r="N264" s="218"/>
      <c r="O264" s="218"/>
      <c r="P264" s="218"/>
      <c r="Q264" s="218"/>
      <c r="R264" s="219"/>
      <c r="S264" s="216"/>
      <c r="T264" s="232"/>
      <c r="U264" s="232"/>
      <c r="V264" s="218"/>
      <c r="W264" s="218"/>
      <c r="X264" s="220">
        <f>IF($A264="","",IF(OR($B264="Định kỳ",$AA264="Hoàn thành"),MAX(_xlfn.MAXIFS('Nhật ký tiến độ'!$B$6:$B$3005,'Nhật ký tiến độ'!$C$6:$C$3005,$A264,'Nhật ký tiến độ'!$E$6:$E$3005,"Hoàn thành kỳ"),_xlfn.MAXIFS('Nhật ký tiến độ'!$B$6:$B$3005,'Nhật ký tiến độ'!$C$6:$C$3005,$A264,'Nhật ký tiến độ'!$E$6:$E$3005,"Hoàn thành")),0))</f>
      </c>
      <c r="Y264" s="220">
        <f>IF($A264="","",IF($B264="Đột xuất",IF($AY264=0,"",$AY264),IF($AX264=0,"",$AX264)))</f>
      </c>
      <c r="Z264" s="223">
        <f>IF(OR($AO264=0,$AW264=0),"",IF(TDBC&gt;$AW264,"Quá "&amp;IF($B264="Định kỳ",(NgayBC-$AP264)&amp;" ngày",IF(((TDBC-$AW264)*24)&lt;1,MAX(1,ROUND(((TDBC-$AW264)*24)*60,0))&amp;" phút",IF(ROUND(((TDBC-$AW264)*24),0)&lt;24,ROUND(((TDBC-$AW264)*24),0)&amp;" giờ",INT(ROUND(((TDBC-$AW264)*24),0)/24)&amp;" ngày"&amp;IF(MOD(ROUND(((TDBC-$AW264)*24),0),24)&gt;0," "&amp;MOD(ROUND(((TDBC-$AW264)*24),0),24)&amp;" giờ","")))),IF($B264="Định kỳ",IF($AP264=NgayBC,"Hôm nay","Còn "&amp;($AP264-NgayBC)&amp;" ngày"),"Còn "&amp;IF((($AW264-TDBC)*24)&lt;1,MAX(1,ROUND((($AW264-TDBC)*24)*60,0))&amp;" phút",IF(ROUND((($AW264-TDBC)*24),0)&lt;24,ROUND((($AW264-TDBC)*24),0)&amp;" giờ",INT(ROUND((($AW264-TDBC)*24),0)/24)&amp;" ngày"&amp;IF(MOD(ROUND((($AW264-TDBC)*24),0),24)&gt;0," "&amp;MOD(ROUND((($AW264-TDBC)*24),0),24)&amp;" giờ",""))))))</f>
      </c>
      <c r="AA264" s="221">
        <f>IF($A264="","",IF(N($AM264)=0,"Chưa bắt đầu",IF(OR($AN264="Hoàn thành kỳ",$AN264="Hoàn thành"),IF($B264="Định kỳ","Chưa bắt đầu","Hoàn thành"),$AN264)))</f>
      </c>
      <c r="AB264" s="222">
        <f>IF($A264="","",IF($AA264="Hoàn thành",1,IF(OR(N($AM264)=0,$AN264="Hoàn thành kỳ",$AN264="Hoàn thành"),0,N(INDEX('Nhật ký tiến độ'!$D:$D,$AM264)))))</f>
      </c>
      <c r="AC264" s="222">
        <f>IF(OR($A264="",$B264&lt;&gt;"Đột xuất",$AA264="Hoàn thành",N($J264)=0,$AW264=0),"",IF(TDBC&lt;=$J264,0,IF(TDBC&gt;=$AW264,1,(TDBC-$J264)/($AW264-$J264))))</f>
      </c>
      <c r="AD264" s="223">
        <f>IF($A264="","",IF($AA264="Hoàn thành","Hoàn thành",IF($AW264=0,"Chưa đặt hạn",IF(TDBC&gt;$AW264,"Quá hạn",IF(AND($B264="Đột xuất",ROUND((N($AC264)-$AB264)*100,0)&gt;=20),"Chậm tiến độ",IF($AP264=NgayBC,"Đến hạn hôm nay",IF($B264="Đột xuất",IF($AW264-TDBC&lt;=1,"Sắp đến hạn","Đúng tiến độ"),IF($AP264-NgayBC&lt;=3,"Sắp đến hạn","Theo lịch"))))))))</f>
      </c>
      <c r="AE264" s="223">
        <f>IF($AV264="","",IF($B264="Định kỳ","Bình quân "&amp;IF($AV264&lt;1,MAX(1,ROUND($AV264*60,0))&amp;" phút",IF(ROUND($AV264,0)&lt;24,ROUND($AV264,0)&amp;" giờ",INT(ROUND($AV264,0)/24)&amp;" ngày"&amp;IF(MOD(ROUND($AV264,0),24)&gt;0," "&amp;MOD(ROUND($AV264,0),24)&amp;" giờ","")))&amp;" mỗi kỳ",IF($AV264&lt;1,MAX(1,ROUND($AV264*60,0))&amp;" phút",IF(ROUND($AV264,0)&lt;24,ROUND($AV264,0)&amp;" giờ",INT(ROUND($AV264,0)/24)&amp;" ngày"&amp;IF(MOD(ROUND($AV264,0),24)&gt;0," "&amp;MOD(ROUND($AV264,0),24)&amp;" giờ","")))))</f>
      </c>
      <c r="AF264" s="223">
        <f>IF(OR($A264="",N($AU264)=0),"",IF($AV264&lt;&gt;"",IF($AV264&lt;=$AU264,"Trong ước tính","Vượt "&amp;IF(($AV264-$AU264)&lt;1,MAX(1,ROUND(($AV264-$AU264)*60,0))&amp;" phút",IF(ROUND(($AV264-$AU264),0)&lt;24,ROUND(($AV264-$AU264),0)&amp;" giờ",INT(ROUND(($AV264-$AU264),0)/24)&amp;" ngày"&amp;IF(MOD(ROUND(($AV264-$AU264),0),24)&gt;0," "&amp;MOD(ROUND(($AV264-$AU264),0),24)&amp;" giờ","")))),IF(OR($B264&lt;&gt;"Đột xuất",$AA264="Hoàn thành",N($J264)=0),"",IF((TDBC-$J264)*24&gt;$AU264,"Đã vượt ước tính","Đã dùng "&amp;TEXT((TDBC-$J264)*24/$AU264,"0%")))))</f>
      </c>
      <c r="AG264" s="223">
        <f>IF(N($BB264)=0,"",CHOOSE($BB264,"Nhắc nhở","Cảnh báo","Báo động","Báo động đỏ"))</f>
      </c>
      <c r="AH264" s="223">
        <f>IF(OR($B264&lt;&gt;"Đột xuất",$AA264&lt;&gt;"Hoàn thành",N($X264)=0,$AW264=0),"",IF($X264&lt;=$AW264,"Đúng hạn","Trễ hạn"))</f>
      </c>
      <c r="AI264" s="220">
        <f>IF($A264="","",_xlfn.MAXIFS('Nhật ký tiến độ'!$B$6:$B$3005,'Nhật ký tiến độ'!$C$6:$C$3005,$A264))</f>
      </c>
      <c r="AJ264" s="225">
        <f>IF(OR($A264="",$B264&lt;&gt;"Định kỳ"),0,IFERROR(INDEX(DM_TanSuatNgay,MATCH($H264,DM_TanSuat,0)),0))</f>
      </c>
      <c r="AK264" s="225">
        <f>IF(OR($A264="",$B264&lt;&gt;"Định kỳ"),0,IFERROR(INDEX(DM_TanSuatThang,MATCH($H264,DM_TanSuat,0)),0))</f>
      </c>
      <c r="AL264" s="225">
        <f>IF(OR($A264="",$B264&lt;&gt;"Định kỳ",N($X264)=0,N($I264)=0),"",IF(INT($X264)&lt;$I264,0,IF($AJ264&gt;0,ROUND((INT($X264)-$I264)/$AJ264,0),IF($AK264&gt;0,ROUND((DATEDIF($I264,INT($X264),"m")+(INT($X264)-EDATE($I264,DATEDIF($I264,INT($X264),"m")))/(EDATE($I264,DATEDIF($I264,INT($X264),"m")+1)-EDATE($I264,DATEDIF($I264,INT($X264),"m"))))/$AK264,0),0))))</f>
      </c>
      <c r="AM264" s="225">
        <f>IF($A264="","",IF(COUNTIF('Nhật ký tiến độ'!$C$6:$C$3005,$A264)=0,0,_xlfn.MAXIFS('Nhật ký tiến độ'!$N$6:$N$3005,'Nhật ký tiến độ'!$C$6:$C$3005,$A264,'Nhật ký tiến độ'!$B$6:$B$3005,_xlfn.MAXIFS('Nhật ký tiến độ'!$B$6:$B$3005,'Nhật ký tiến độ'!$C$6:$C$3005,$A264))))</f>
      </c>
      <c r="AN264" s="225">
        <f>IF($A264="","",IF(N($AM264)=0,"",INDEX('Nhật ký tiến độ'!$E:$E,$AM264)))</f>
      </c>
      <c r="AO264" s="225">
        <f>IF($A264="",0,IF($AA264="Hoàn thành",0,1))</f>
      </c>
      <c r="AP264" s="225">
        <f>IF($AO264=0,0,INT(N($AW264)))</f>
      </c>
      <c r="AQ264" s="225">
        <f>IF(AND($AO264=1,$AJ264&gt;1),$AJ264,0)</f>
      </c>
      <c r="AR264" s="225">
        <f>IF(AND($AO264=1,$AJ264=1),1,0)</f>
      </c>
      <c r="AS264" s="225">
        <f>IF(OR($AO264=0,AND($AR264=1,N($BB264)=0)),"",IF(N($BB264)&gt;0,5-$BB264,IF($AD264="Chậm tiến độ",6,IF($AD264="Đến hạn hôm nay",7,IF(AND($AP264&gt;0,$AP264-NgayBC&lt;=7),8,"")))))</f>
      </c>
      <c r="AT264" s="225">
        <f>IF($AS264="","",$AS264*100000+$AP264+ROW()/100000)</f>
      </c>
      <c r="AU264" s="224">
        <f>IF(OR($A264="",N($R264)&lt;=0),"",IF($S264="Ngày",$R264*24,$R264))</f>
      </c>
      <c r="AV264" s="224">
        <f>IF($A264="","",IF($B264="Đột xuất",IF(OR($AA264&lt;&gt;"Hoàn thành",N($X264)=0,N($J264)=0),"",IF($X264&lt;$J264,"",($X264-$J264)*24)),IFERROR(AVERAGEIFS('Nhật ký tiến độ'!$H$6:$H$3005,'Nhật ký tiến độ'!$C$6:$C$3005,$A264,'Nhật ký tiến độ'!$H$6:$H$3005,"&gt;0"),"")))</f>
      </c>
      <c r="AW264" s="233">
        <f>IF($A264="",0,IF($B264="Đột xuất",$AY264,IF($AX264=0,0,$AX264+1-1/1440)))</f>
      </c>
      <c r="AX264" s="234">
        <f>IF(OR($A264="",$B264&lt;&gt;"Định kỳ",N($I264)=0),0,IF($AL264="",$I264,IF($AJ264&gt;0,$I264+($AL264+1)*$AJ264,IF($AK264&gt;0,EDATE($I264,($AL264+1)*$AK264),$I264))))</f>
      </c>
      <c r="AY264" s="233">
        <f>IF(OR($A264="",$B264&lt;&gt;"Đột xuất"),0,IF(N($K264)&gt;0,IF(MOD($K264,1)=0,$K264+1-1/1440,$K264),IF(N($J264)=0,0,$J264+IF(N($AU264)&gt;0,$AU264,IFERROR(INDEX(DM_SLA_Gio,MATCH($L264,DM_SLA_Cap,0)),168))/24)))</f>
      </c>
      <c r="AZ264" s="225">
        <f>IF(OR($A264="",TRIM($N264)="",COUNTIF('Phản ánh'!$K$6:$K$505,$N264)&gt;0,COUNTIF($N$6:$N264,$N264)&gt;1),0,1)</f>
      </c>
      <c r="BA264" s="225">
        <f>IF($AZ264=1,SUM($AZ$6:$AZ264),"")</f>
      </c>
      <c r="BB264" s="225">
        <f>IF(OR($AO264=0,N($AW264)=0),0,IF(TDBC&lt;=$AW264,0,MAX(1,MIN(4,IF((TDBC-$AW264)*24&lt;24,1,IF((TDBC-$AW264)*24&lt;72,2,IF((TDBC-$AW264)*24&lt;168,3,4)))+IF($B264="Đột xuất",IFERROR(INDEX({2,1,0,-1},MATCH($L264,{"Khẩn cấp","Cao","Trung bình","Thấp"},0)),0),IF($D264="PCCC và an ninh",1,0))))))</f>
      </c>
    </row>
    <row r="265">
      <c r="A265" s="216"/>
      <c r="B265" s="216"/>
      <c r="C265" s="218"/>
      <c r="D265" s="218"/>
      <c r="E265" s="218"/>
      <c r="F265" s="216"/>
      <c r="G265" s="218"/>
      <c r="H265" s="218"/>
      <c r="I265" s="231"/>
      <c r="J265" s="217"/>
      <c r="K265" s="217"/>
      <c r="L265" s="216"/>
      <c r="M265" s="216"/>
      <c r="N265" s="218"/>
      <c r="O265" s="218"/>
      <c r="P265" s="218"/>
      <c r="Q265" s="218"/>
      <c r="R265" s="219"/>
      <c r="S265" s="216"/>
      <c r="T265" s="232"/>
      <c r="U265" s="232"/>
      <c r="V265" s="218"/>
      <c r="W265" s="218"/>
      <c r="X265" s="220">
        <f>IF($A265="","",IF(OR($B265="Định kỳ",$AA265="Hoàn thành"),MAX(_xlfn.MAXIFS('Nhật ký tiến độ'!$B$6:$B$3005,'Nhật ký tiến độ'!$C$6:$C$3005,$A265,'Nhật ký tiến độ'!$E$6:$E$3005,"Hoàn thành kỳ"),_xlfn.MAXIFS('Nhật ký tiến độ'!$B$6:$B$3005,'Nhật ký tiến độ'!$C$6:$C$3005,$A265,'Nhật ký tiến độ'!$E$6:$E$3005,"Hoàn thành")),0))</f>
      </c>
      <c r="Y265" s="220">
        <f>IF($A265="","",IF($B265="Đột xuất",IF($AY265=0,"",$AY265),IF($AX265=0,"",$AX265)))</f>
      </c>
      <c r="Z265" s="223">
        <f>IF(OR($AO265=0,$AW265=0),"",IF(TDBC&gt;$AW265,"Quá "&amp;IF($B265="Định kỳ",(NgayBC-$AP265)&amp;" ngày",IF(((TDBC-$AW265)*24)&lt;1,MAX(1,ROUND(((TDBC-$AW265)*24)*60,0))&amp;" phút",IF(ROUND(((TDBC-$AW265)*24),0)&lt;24,ROUND(((TDBC-$AW265)*24),0)&amp;" giờ",INT(ROUND(((TDBC-$AW265)*24),0)/24)&amp;" ngày"&amp;IF(MOD(ROUND(((TDBC-$AW265)*24),0),24)&gt;0," "&amp;MOD(ROUND(((TDBC-$AW265)*24),0),24)&amp;" giờ","")))),IF($B265="Định kỳ",IF($AP265=NgayBC,"Hôm nay","Còn "&amp;($AP265-NgayBC)&amp;" ngày"),"Còn "&amp;IF((($AW265-TDBC)*24)&lt;1,MAX(1,ROUND((($AW265-TDBC)*24)*60,0))&amp;" phút",IF(ROUND((($AW265-TDBC)*24),0)&lt;24,ROUND((($AW265-TDBC)*24),0)&amp;" giờ",INT(ROUND((($AW265-TDBC)*24),0)/24)&amp;" ngày"&amp;IF(MOD(ROUND((($AW265-TDBC)*24),0),24)&gt;0," "&amp;MOD(ROUND((($AW265-TDBC)*24),0),24)&amp;" giờ",""))))))</f>
      </c>
      <c r="AA265" s="221">
        <f>IF($A265="","",IF(N($AM265)=0,"Chưa bắt đầu",IF(OR($AN265="Hoàn thành kỳ",$AN265="Hoàn thành"),IF($B265="Định kỳ","Chưa bắt đầu","Hoàn thành"),$AN265)))</f>
      </c>
      <c r="AB265" s="222">
        <f>IF($A265="","",IF($AA265="Hoàn thành",1,IF(OR(N($AM265)=0,$AN265="Hoàn thành kỳ",$AN265="Hoàn thành"),0,N(INDEX('Nhật ký tiến độ'!$D:$D,$AM265)))))</f>
      </c>
      <c r="AC265" s="222">
        <f>IF(OR($A265="",$B265&lt;&gt;"Đột xuất",$AA265="Hoàn thành",N($J265)=0,$AW265=0),"",IF(TDBC&lt;=$J265,0,IF(TDBC&gt;=$AW265,1,(TDBC-$J265)/($AW265-$J265))))</f>
      </c>
      <c r="AD265" s="223">
        <f>IF($A265="","",IF($AA265="Hoàn thành","Hoàn thành",IF($AW265=0,"Chưa đặt hạn",IF(TDBC&gt;$AW265,"Quá hạn",IF(AND($B265="Đột xuất",ROUND((N($AC265)-$AB265)*100,0)&gt;=20),"Chậm tiến độ",IF($AP265=NgayBC,"Đến hạn hôm nay",IF($B265="Đột xuất",IF($AW265-TDBC&lt;=1,"Sắp đến hạn","Đúng tiến độ"),IF($AP265-NgayBC&lt;=3,"Sắp đến hạn","Theo lịch"))))))))</f>
      </c>
      <c r="AE265" s="223">
        <f>IF($AV265="","",IF($B265="Định kỳ","Bình quân "&amp;IF($AV265&lt;1,MAX(1,ROUND($AV265*60,0))&amp;" phút",IF(ROUND($AV265,0)&lt;24,ROUND($AV265,0)&amp;" giờ",INT(ROUND($AV265,0)/24)&amp;" ngày"&amp;IF(MOD(ROUND($AV265,0),24)&gt;0," "&amp;MOD(ROUND($AV265,0),24)&amp;" giờ","")))&amp;" mỗi kỳ",IF($AV265&lt;1,MAX(1,ROUND($AV265*60,0))&amp;" phút",IF(ROUND($AV265,0)&lt;24,ROUND($AV265,0)&amp;" giờ",INT(ROUND($AV265,0)/24)&amp;" ngày"&amp;IF(MOD(ROUND($AV265,0),24)&gt;0," "&amp;MOD(ROUND($AV265,0),24)&amp;" giờ","")))))</f>
      </c>
      <c r="AF265" s="223">
        <f>IF(OR($A265="",N($AU265)=0),"",IF($AV265&lt;&gt;"",IF($AV265&lt;=$AU265,"Trong ước tính","Vượt "&amp;IF(($AV265-$AU265)&lt;1,MAX(1,ROUND(($AV265-$AU265)*60,0))&amp;" phút",IF(ROUND(($AV265-$AU265),0)&lt;24,ROUND(($AV265-$AU265),0)&amp;" giờ",INT(ROUND(($AV265-$AU265),0)/24)&amp;" ngày"&amp;IF(MOD(ROUND(($AV265-$AU265),0),24)&gt;0," "&amp;MOD(ROUND(($AV265-$AU265),0),24)&amp;" giờ","")))),IF(OR($B265&lt;&gt;"Đột xuất",$AA265="Hoàn thành",N($J265)=0),"",IF((TDBC-$J265)*24&gt;$AU265,"Đã vượt ước tính","Đã dùng "&amp;TEXT((TDBC-$J265)*24/$AU265,"0%")))))</f>
      </c>
      <c r="AG265" s="223">
        <f>IF(N($BB265)=0,"",CHOOSE($BB265,"Nhắc nhở","Cảnh báo","Báo động","Báo động đỏ"))</f>
      </c>
      <c r="AH265" s="223">
        <f>IF(OR($B265&lt;&gt;"Đột xuất",$AA265&lt;&gt;"Hoàn thành",N($X265)=0,$AW265=0),"",IF($X265&lt;=$AW265,"Đúng hạn","Trễ hạn"))</f>
      </c>
      <c r="AI265" s="220">
        <f>IF($A265="","",_xlfn.MAXIFS('Nhật ký tiến độ'!$B$6:$B$3005,'Nhật ký tiến độ'!$C$6:$C$3005,$A265))</f>
      </c>
      <c r="AJ265" s="225">
        <f>IF(OR($A265="",$B265&lt;&gt;"Định kỳ"),0,IFERROR(INDEX(DM_TanSuatNgay,MATCH($H265,DM_TanSuat,0)),0))</f>
      </c>
      <c r="AK265" s="225">
        <f>IF(OR($A265="",$B265&lt;&gt;"Định kỳ"),0,IFERROR(INDEX(DM_TanSuatThang,MATCH($H265,DM_TanSuat,0)),0))</f>
      </c>
      <c r="AL265" s="225">
        <f>IF(OR($A265="",$B265&lt;&gt;"Định kỳ",N($X265)=0,N($I265)=0),"",IF(INT($X265)&lt;$I265,0,IF($AJ265&gt;0,ROUND((INT($X265)-$I265)/$AJ265,0),IF($AK265&gt;0,ROUND((DATEDIF($I265,INT($X265),"m")+(INT($X265)-EDATE($I265,DATEDIF($I265,INT($X265),"m")))/(EDATE($I265,DATEDIF($I265,INT($X265),"m")+1)-EDATE($I265,DATEDIF($I265,INT($X265),"m"))))/$AK265,0),0))))</f>
      </c>
      <c r="AM265" s="225">
        <f>IF($A265="","",IF(COUNTIF('Nhật ký tiến độ'!$C$6:$C$3005,$A265)=0,0,_xlfn.MAXIFS('Nhật ký tiến độ'!$N$6:$N$3005,'Nhật ký tiến độ'!$C$6:$C$3005,$A265,'Nhật ký tiến độ'!$B$6:$B$3005,_xlfn.MAXIFS('Nhật ký tiến độ'!$B$6:$B$3005,'Nhật ký tiến độ'!$C$6:$C$3005,$A265))))</f>
      </c>
      <c r="AN265" s="225">
        <f>IF($A265="","",IF(N($AM265)=0,"",INDEX('Nhật ký tiến độ'!$E:$E,$AM265)))</f>
      </c>
      <c r="AO265" s="225">
        <f>IF($A265="",0,IF($AA265="Hoàn thành",0,1))</f>
      </c>
      <c r="AP265" s="225">
        <f>IF($AO265=0,0,INT(N($AW265)))</f>
      </c>
      <c r="AQ265" s="225">
        <f>IF(AND($AO265=1,$AJ265&gt;1),$AJ265,0)</f>
      </c>
      <c r="AR265" s="225">
        <f>IF(AND($AO265=1,$AJ265=1),1,0)</f>
      </c>
      <c r="AS265" s="225">
        <f>IF(OR($AO265=0,AND($AR265=1,N($BB265)=0)),"",IF(N($BB265)&gt;0,5-$BB265,IF($AD265="Chậm tiến độ",6,IF($AD265="Đến hạn hôm nay",7,IF(AND($AP265&gt;0,$AP265-NgayBC&lt;=7),8,"")))))</f>
      </c>
      <c r="AT265" s="225">
        <f>IF($AS265="","",$AS265*100000+$AP265+ROW()/100000)</f>
      </c>
      <c r="AU265" s="224">
        <f>IF(OR($A265="",N($R265)&lt;=0),"",IF($S265="Ngày",$R265*24,$R265))</f>
      </c>
      <c r="AV265" s="224">
        <f>IF($A265="","",IF($B265="Đột xuất",IF(OR($AA265&lt;&gt;"Hoàn thành",N($X265)=0,N($J265)=0),"",IF($X265&lt;$J265,"",($X265-$J265)*24)),IFERROR(AVERAGEIFS('Nhật ký tiến độ'!$H$6:$H$3005,'Nhật ký tiến độ'!$C$6:$C$3005,$A265,'Nhật ký tiến độ'!$H$6:$H$3005,"&gt;0"),"")))</f>
      </c>
      <c r="AW265" s="233">
        <f>IF($A265="",0,IF($B265="Đột xuất",$AY265,IF($AX265=0,0,$AX265+1-1/1440)))</f>
      </c>
      <c r="AX265" s="234">
        <f>IF(OR($A265="",$B265&lt;&gt;"Định kỳ",N($I265)=0),0,IF($AL265="",$I265,IF($AJ265&gt;0,$I265+($AL265+1)*$AJ265,IF($AK265&gt;0,EDATE($I265,($AL265+1)*$AK265),$I265))))</f>
      </c>
      <c r="AY265" s="233">
        <f>IF(OR($A265="",$B265&lt;&gt;"Đột xuất"),0,IF(N($K265)&gt;0,IF(MOD($K265,1)=0,$K265+1-1/1440,$K265),IF(N($J265)=0,0,$J265+IF(N($AU265)&gt;0,$AU265,IFERROR(INDEX(DM_SLA_Gio,MATCH($L265,DM_SLA_Cap,0)),168))/24)))</f>
      </c>
      <c r="AZ265" s="225">
        <f>IF(OR($A265="",TRIM($N265)="",COUNTIF('Phản ánh'!$K$6:$K$505,$N265)&gt;0,COUNTIF($N$6:$N265,$N265)&gt;1),0,1)</f>
      </c>
      <c r="BA265" s="225">
        <f>IF($AZ265=1,SUM($AZ$6:$AZ265),"")</f>
      </c>
      <c r="BB265" s="225">
        <f>IF(OR($AO265=0,N($AW265)=0),0,IF(TDBC&lt;=$AW265,0,MAX(1,MIN(4,IF((TDBC-$AW265)*24&lt;24,1,IF((TDBC-$AW265)*24&lt;72,2,IF((TDBC-$AW265)*24&lt;168,3,4)))+IF($B265="Đột xuất",IFERROR(INDEX({2,1,0,-1},MATCH($L265,{"Khẩn cấp","Cao","Trung bình","Thấp"},0)),0),IF($D265="PCCC và an ninh",1,0))))))</f>
      </c>
    </row>
    <row r="266">
      <c r="A266" s="216"/>
      <c r="B266" s="216"/>
      <c r="C266" s="218"/>
      <c r="D266" s="218"/>
      <c r="E266" s="218"/>
      <c r="F266" s="216"/>
      <c r="G266" s="218"/>
      <c r="H266" s="218"/>
      <c r="I266" s="231"/>
      <c r="J266" s="217"/>
      <c r="K266" s="217"/>
      <c r="L266" s="216"/>
      <c r="M266" s="216"/>
      <c r="N266" s="218"/>
      <c r="O266" s="218"/>
      <c r="P266" s="218"/>
      <c r="Q266" s="218"/>
      <c r="R266" s="219"/>
      <c r="S266" s="216"/>
      <c r="T266" s="232"/>
      <c r="U266" s="232"/>
      <c r="V266" s="218"/>
      <c r="W266" s="218"/>
      <c r="X266" s="220">
        <f>IF($A266="","",IF(OR($B266="Định kỳ",$AA266="Hoàn thành"),MAX(_xlfn.MAXIFS('Nhật ký tiến độ'!$B$6:$B$3005,'Nhật ký tiến độ'!$C$6:$C$3005,$A266,'Nhật ký tiến độ'!$E$6:$E$3005,"Hoàn thành kỳ"),_xlfn.MAXIFS('Nhật ký tiến độ'!$B$6:$B$3005,'Nhật ký tiến độ'!$C$6:$C$3005,$A266,'Nhật ký tiến độ'!$E$6:$E$3005,"Hoàn thành")),0))</f>
      </c>
      <c r="Y266" s="220">
        <f>IF($A266="","",IF($B266="Đột xuất",IF($AY266=0,"",$AY266),IF($AX266=0,"",$AX266)))</f>
      </c>
      <c r="Z266" s="223">
        <f>IF(OR($AO266=0,$AW266=0),"",IF(TDBC&gt;$AW266,"Quá "&amp;IF($B266="Định kỳ",(NgayBC-$AP266)&amp;" ngày",IF(((TDBC-$AW266)*24)&lt;1,MAX(1,ROUND(((TDBC-$AW266)*24)*60,0))&amp;" phút",IF(ROUND(((TDBC-$AW266)*24),0)&lt;24,ROUND(((TDBC-$AW266)*24),0)&amp;" giờ",INT(ROUND(((TDBC-$AW266)*24),0)/24)&amp;" ngày"&amp;IF(MOD(ROUND(((TDBC-$AW266)*24),0),24)&gt;0," "&amp;MOD(ROUND(((TDBC-$AW266)*24),0),24)&amp;" giờ","")))),IF($B266="Định kỳ",IF($AP266=NgayBC,"Hôm nay","Còn "&amp;($AP266-NgayBC)&amp;" ngày"),"Còn "&amp;IF((($AW266-TDBC)*24)&lt;1,MAX(1,ROUND((($AW266-TDBC)*24)*60,0))&amp;" phút",IF(ROUND((($AW266-TDBC)*24),0)&lt;24,ROUND((($AW266-TDBC)*24),0)&amp;" giờ",INT(ROUND((($AW266-TDBC)*24),0)/24)&amp;" ngày"&amp;IF(MOD(ROUND((($AW266-TDBC)*24),0),24)&gt;0," "&amp;MOD(ROUND((($AW266-TDBC)*24),0),24)&amp;" giờ",""))))))</f>
      </c>
      <c r="AA266" s="221">
        <f>IF($A266="","",IF(N($AM266)=0,"Chưa bắt đầu",IF(OR($AN266="Hoàn thành kỳ",$AN266="Hoàn thành"),IF($B266="Định kỳ","Chưa bắt đầu","Hoàn thành"),$AN266)))</f>
      </c>
      <c r="AB266" s="222">
        <f>IF($A266="","",IF($AA266="Hoàn thành",1,IF(OR(N($AM266)=0,$AN266="Hoàn thành kỳ",$AN266="Hoàn thành"),0,N(INDEX('Nhật ký tiến độ'!$D:$D,$AM266)))))</f>
      </c>
      <c r="AC266" s="222">
        <f>IF(OR($A266="",$B266&lt;&gt;"Đột xuất",$AA266="Hoàn thành",N($J266)=0,$AW266=0),"",IF(TDBC&lt;=$J266,0,IF(TDBC&gt;=$AW266,1,(TDBC-$J266)/($AW266-$J266))))</f>
      </c>
      <c r="AD266" s="223">
        <f>IF($A266="","",IF($AA266="Hoàn thành","Hoàn thành",IF($AW266=0,"Chưa đặt hạn",IF(TDBC&gt;$AW266,"Quá hạn",IF(AND($B266="Đột xuất",ROUND((N($AC266)-$AB266)*100,0)&gt;=20),"Chậm tiến độ",IF($AP266=NgayBC,"Đến hạn hôm nay",IF($B266="Đột xuất",IF($AW266-TDBC&lt;=1,"Sắp đến hạn","Đúng tiến độ"),IF($AP266-NgayBC&lt;=3,"Sắp đến hạn","Theo lịch"))))))))</f>
      </c>
      <c r="AE266" s="223">
        <f>IF($AV266="","",IF($B266="Định kỳ","Bình quân "&amp;IF($AV266&lt;1,MAX(1,ROUND($AV266*60,0))&amp;" phút",IF(ROUND($AV266,0)&lt;24,ROUND($AV266,0)&amp;" giờ",INT(ROUND($AV266,0)/24)&amp;" ngày"&amp;IF(MOD(ROUND($AV266,0),24)&gt;0," "&amp;MOD(ROUND($AV266,0),24)&amp;" giờ","")))&amp;" mỗi kỳ",IF($AV266&lt;1,MAX(1,ROUND($AV266*60,0))&amp;" phút",IF(ROUND($AV266,0)&lt;24,ROUND($AV266,0)&amp;" giờ",INT(ROUND($AV266,0)/24)&amp;" ngày"&amp;IF(MOD(ROUND($AV266,0),24)&gt;0," "&amp;MOD(ROUND($AV266,0),24)&amp;" giờ","")))))</f>
      </c>
      <c r="AF266" s="223">
        <f>IF(OR($A266="",N($AU266)=0),"",IF($AV266&lt;&gt;"",IF($AV266&lt;=$AU266,"Trong ước tính","Vượt "&amp;IF(($AV266-$AU266)&lt;1,MAX(1,ROUND(($AV266-$AU266)*60,0))&amp;" phút",IF(ROUND(($AV266-$AU266),0)&lt;24,ROUND(($AV266-$AU266),0)&amp;" giờ",INT(ROUND(($AV266-$AU266),0)/24)&amp;" ngày"&amp;IF(MOD(ROUND(($AV266-$AU266),0),24)&gt;0," "&amp;MOD(ROUND(($AV266-$AU266),0),24)&amp;" giờ","")))),IF(OR($B266&lt;&gt;"Đột xuất",$AA266="Hoàn thành",N($J266)=0),"",IF((TDBC-$J266)*24&gt;$AU266,"Đã vượt ước tính","Đã dùng "&amp;TEXT((TDBC-$J266)*24/$AU266,"0%")))))</f>
      </c>
      <c r="AG266" s="223">
        <f>IF(N($BB266)=0,"",CHOOSE($BB266,"Nhắc nhở","Cảnh báo","Báo động","Báo động đỏ"))</f>
      </c>
      <c r="AH266" s="223">
        <f>IF(OR($B266&lt;&gt;"Đột xuất",$AA266&lt;&gt;"Hoàn thành",N($X266)=0,$AW266=0),"",IF($X266&lt;=$AW266,"Đúng hạn","Trễ hạn"))</f>
      </c>
      <c r="AI266" s="220">
        <f>IF($A266="","",_xlfn.MAXIFS('Nhật ký tiến độ'!$B$6:$B$3005,'Nhật ký tiến độ'!$C$6:$C$3005,$A266))</f>
      </c>
      <c r="AJ266" s="225">
        <f>IF(OR($A266="",$B266&lt;&gt;"Định kỳ"),0,IFERROR(INDEX(DM_TanSuatNgay,MATCH($H266,DM_TanSuat,0)),0))</f>
      </c>
      <c r="AK266" s="225">
        <f>IF(OR($A266="",$B266&lt;&gt;"Định kỳ"),0,IFERROR(INDEX(DM_TanSuatThang,MATCH($H266,DM_TanSuat,0)),0))</f>
      </c>
      <c r="AL266" s="225">
        <f>IF(OR($A266="",$B266&lt;&gt;"Định kỳ",N($X266)=0,N($I266)=0),"",IF(INT($X266)&lt;$I266,0,IF($AJ266&gt;0,ROUND((INT($X266)-$I266)/$AJ266,0),IF($AK266&gt;0,ROUND((DATEDIF($I266,INT($X266),"m")+(INT($X266)-EDATE($I266,DATEDIF($I266,INT($X266),"m")))/(EDATE($I266,DATEDIF($I266,INT($X266),"m")+1)-EDATE($I266,DATEDIF($I266,INT($X266),"m"))))/$AK266,0),0))))</f>
      </c>
      <c r="AM266" s="225">
        <f>IF($A266="","",IF(COUNTIF('Nhật ký tiến độ'!$C$6:$C$3005,$A266)=0,0,_xlfn.MAXIFS('Nhật ký tiến độ'!$N$6:$N$3005,'Nhật ký tiến độ'!$C$6:$C$3005,$A266,'Nhật ký tiến độ'!$B$6:$B$3005,_xlfn.MAXIFS('Nhật ký tiến độ'!$B$6:$B$3005,'Nhật ký tiến độ'!$C$6:$C$3005,$A266))))</f>
      </c>
      <c r="AN266" s="225">
        <f>IF($A266="","",IF(N($AM266)=0,"",INDEX('Nhật ký tiến độ'!$E:$E,$AM266)))</f>
      </c>
      <c r="AO266" s="225">
        <f>IF($A266="",0,IF($AA266="Hoàn thành",0,1))</f>
      </c>
      <c r="AP266" s="225">
        <f>IF($AO266=0,0,INT(N($AW266)))</f>
      </c>
      <c r="AQ266" s="225">
        <f>IF(AND($AO266=1,$AJ266&gt;1),$AJ266,0)</f>
      </c>
      <c r="AR266" s="225">
        <f>IF(AND($AO266=1,$AJ266=1),1,0)</f>
      </c>
      <c r="AS266" s="225">
        <f>IF(OR($AO266=0,AND($AR266=1,N($BB266)=0)),"",IF(N($BB266)&gt;0,5-$BB266,IF($AD266="Chậm tiến độ",6,IF($AD266="Đến hạn hôm nay",7,IF(AND($AP266&gt;0,$AP266-NgayBC&lt;=7),8,"")))))</f>
      </c>
      <c r="AT266" s="225">
        <f>IF($AS266="","",$AS266*100000+$AP266+ROW()/100000)</f>
      </c>
      <c r="AU266" s="224">
        <f>IF(OR($A266="",N($R266)&lt;=0),"",IF($S266="Ngày",$R266*24,$R266))</f>
      </c>
      <c r="AV266" s="224">
        <f>IF($A266="","",IF($B266="Đột xuất",IF(OR($AA266&lt;&gt;"Hoàn thành",N($X266)=0,N($J266)=0),"",IF($X266&lt;$J266,"",($X266-$J266)*24)),IFERROR(AVERAGEIFS('Nhật ký tiến độ'!$H$6:$H$3005,'Nhật ký tiến độ'!$C$6:$C$3005,$A266,'Nhật ký tiến độ'!$H$6:$H$3005,"&gt;0"),"")))</f>
      </c>
      <c r="AW266" s="233">
        <f>IF($A266="",0,IF($B266="Đột xuất",$AY266,IF($AX266=0,0,$AX266+1-1/1440)))</f>
      </c>
      <c r="AX266" s="234">
        <f>IF(OR($A266="",$B266&lt;&gt;"Định kỳ",N($I266)=0),0,IF($AL266="",$I266,IF($AJ266&gt;0,$I266+($AL266+1)*$AJ266,IF($AK266&gt;0,EDATE($I266,($AL266+1)*$AK266),$I266))))</f>
      </c>
      <c r="AY266" s="233">
        <f>IF(OR($A266="",$B266&lt;&gt;"Đột xuất"),0,IF(N($K266)&gt;0,IF(MOD($K266,1)=0,$K266+1-1/1440,$K266),IF(N($J266)=0,0,$J266+IF(N($AU266)&gt;0,$AU266,IFERROR(INDEX(DM_SLA_Gio,MATCH($L266,DM_SLA_Cap,0)),168))/24)))</f>
      </c>
      <c r="AZ266" s="225">
        <f>IF(OR($A266="",TRIM($N266)="",COUNTIF('Phản ánh'!$K$6:$K$505,$N266)&gt;0,COUNTIF($N$6:$N266,$N266)&gt;1),0,1)</f>
      </c>
      <c r="BA266" s="225">
        <f>IF($AZ266=1,SUM($AZ$6:$AZ266),"")</f>
      </c>
      <c r="BB266" s="225">
        <f>IF(OR($AO266=0,N($AW266)=0),0,IF(TDBC&lt;=$AW266,0,MAX(1,MIN(4,IF((TDBC-$AW266)*24&lt;24,1,IF((TDBC-$AW266)*24&lt;72,2,IF((TDBC-$AW266)*24&lt;168,3,4)))+IF($B266="Đột xuất",IFERROR(INDEX({2,1,0,-1},MATCH($L266,{"Khẩn cấp","Cao","Trung bình","Thấp"},0)),0),IF($D266="PCCC và an ninh",1,0))))))</f>
      </c>
    </row>
    <row r="267">
      <c r="A267" s="216"/>
      <c r="B267" s="216"/>
      <c r="C267" s="218"/>
      <c r="D267" s="218"/>
      <c r="E267" s="218"/>
      <c r="F267" s="216"/>
      <c r="G267" s="218"/>
      <c r="H267" s="218"/>
      <c r="I267" s="231"/>
      <c r="J267" s="217"/>
      <c r="K267" s="217"/>
      <c r="L267" s="216"/>
      <c r="M267" s="216"/>
      <c r="N267" s="218"/>
      <c r="O267" s="218"/>
      <c r="P267" s="218"/>
      <c r="Q267" s="218"/>
      <c r="R267" s="219"/>
      <c r="S267" s="216"/>
      <c r="T267" s="232"/>
      <c r="U267" s="232"/>
      <c r="V267" s="218"/>
      <c r="W267" s="218"/>
      <c r="X267" s="220">
        <f>IF($A267="","",IF(OR($B267="Định kỳ",$AA267="Hoàn thành"),MAX(_xlfn.MAXIFS('Nhật ký tiến độ'!$B$6:$B$3005,'Nhật ký tiến độ'!$C$6:$C$3005,$A267,'Nhật ký tiến độ'!$E$6:$E$3005,"Hoàn thành kỳ"),_xlfn.MAXIFS('Nhật ký tiến độ'!$B$6:$B$3005,'Nhật ký tiến độ'!$C$6:$C$3005,$A267,'Nhật ký tiến độ'!$E$6:$E$3005,"Hoàn thành")),0))</f>
      </c>
      <c r="Y267" s="220">
        <f>IF($A267="","",IF($B267="Đột xuất",IF($AY267=0,"",$AY267),IF($AX267=0,"",$AX267)))</f>
      </c>
      <c r="Z267" s="223">
        <f>IF(OR($AO267=0,$AW267=0),"",IF(TDBC&gt;$AW267,"Quá "&amp;IF($B267="Định kỳ",(NgayBC-$AP267)&amp;" ngày",IF(((TDBC-$AW267)*24)&lt;1,MAX(1,ROUND(((TDBC-$AW267)*24)*60,0))&amp;" phút",IF(ROUND(((TDBC-$AW267)*24),0)&lt;24,ROUND(((TDBC-$AW267)*24),0)&amp;" giờ",INT(ROUND(((TDBC-$AW267)*24),0)/24)&amp;" ngày"&amp;IF(MOD(ROUND(((TDBC-$AW267)*24),0),24)&gt;0," "&amp;MOD(ROUND(((TDBC-$AW267)*24),0),24)&amp;" giờ","")))),IF($B267="Định kỳ",IF($AP267=NgayBC,"Hôm nay","Còn "&amp;($AP267-NgayBC)&amp;" ngày"),"Còn "&amp;IF((($AW267-TDBC)*24)&lt;1,MAX(1,ROUND((($AW267-TDBC)*24)*60,0))&amp;" phút",IF(ROUND((($AW267-TDBC)*24),0)&lt;24,ROUND((($AW267-TDBC)*24),0)&amp;" giờ",INT(ROUND((($AW267-TDBC)*24),0)/24)&amp;" ngày"&amp;IF(MOD(ROUND((($AW267-TDBC)*24),0),24)&gt;0," "&amp;MOD(ROUND((($AW267-TDBC)*24),0),24)&amp;" giờ",""))))))</f>
      </c>
      <c r="AA267" s="221">
        <f>IF($A267="","",IF(N($AM267)=0,"Chưa bắt đầu",IF(OR($AN267="Hoàn thành kỳ",$AN267="Hoàn thành"),IF($B267="Định kỳ","Chưa bắt đầu","Hoàn thành"),$AN267)))</f>
      </c>
      <c r="AB267" s="222">
        <f>IF($A267="","",IF($AA267="Hoàn thành",1,IF(OR(N($AM267)=0,$AN267="Hoàn thành kỳ",$AN267="Hoàn thành"),0,N(INDEX('Nhật ký tiến độ'!$D:$D,$AM267)))))</f>
      </c>
      <c r="AC267" s="222">
        <f>IF(OR($A267="",$B267&lt;&gt;"Đột xuất",$AA267="Hoàn thành",N($J267)=0,$AW267=0),"",IF(TDBC&lt;=$J267,0,IF(TDBC&gt;=$AW267,1,(TDBC-$J267)/($AW267-$J267))))</f>
      </c>
      <c r="AD267" s="223">
        <f>IF($A267="","",IF($AA267="Hoàn thành","Hoàn thành",IF($AW267=0,"Chưa đặt hạn",IF(TDBC&gt;$AW267,"Quá hạn",IF(AND($B267="Đột xuất",ROUND((N($AC267)-$AB267)*100,0)&gt;=20),"Chậm tiến độ",IF($AP267=NgayBC,"Đến hạn hôm nay",IF($B267="Đột xuất",IF($AW267-TDBC&lt;=1,"Sắp đến hạn","Đúng tiến độ"),IF($AP267-NgayBC&lt;=3,"Sắp đến hạn","Theo lịch"))))))))</f>
      </c>
      <c r="AE267" s="223">
        <f>IF($AV267="","",IF($B267="Định kỳ","Bình quân "&amp;IF($AV267&lt;1,MAX(1,ROUND($AV267*60,0))&amp;" phút",IF(ROUND($AV267,0)&lt;24,ROUND($AV267,0)&amp;" giờ",INT(ROUND($AV267,0)/24)&amp;" ngày"&amp;IF(MOD(ROUND($AV267,0),24)&gt;0," "&amp;MOD(ROUND($AV267,0),24)&amp;" giờ","")))&amp;" mỗi kỳ",IF($AV267&lt;1,MAX(1,ROUND($AV267*60,0))&amp;" phút",IF(ROUND($AV267,0)&lt;24,ROUND($AV267,0)&amp;" giờ",INT(ROUND($AV267,0)/24)&amp;" ngày"&amp;IF(MOD(ROUND($AV267,0),24)&gt;0," "&amp;MOD(ROUND($AV267,0),24)&amp;" giờ","")))))</f>
      </c>
      <c r="AF267" s="223">
        <f>IF(OR($A267="",N($AU267)=0),"",IF($AV267&lt;&gt;"",IF($AV267&lt;=$AU267,"Trong ước tính","Vượt "&amp;IF(($AV267-$AU267)&lt;1,MAX(1,ROUND(($AV267-$AU267)*60,0))&amp;" phút",IF(ROUND(($AV267-$AU267),0)&lt;24,ROUND(($AV267-$AU267),0)&amp;" giờ",INT(ROUND(($AV267-$AU267),0)/24)&amp;" ngày"&amp;IF(MOD(ROUND(($AV267-$AU267),0),24)&gt;0," "&amp;MOD(ROUND(($AV267-$AU267),0),24)&amp;" giờ","")))),IF(OR($B267&lt;&gt;"Đột xuất",$AA267="Hoàn thành",N($J267)=0),"",IF((TDBC-$J267)*24&gt;$AU267,"Đã vượt ước tính","Đã dùng "&amp;TEXT((TDBC-$J267)*24/$AU267,"0%")))))</f>
      </c>
      <c r="AG267" s="223">
        <f>IF(N($BB267)=0,"",CHOOSE($BB267,"Nhắc nhở","Cảnh báo","Báo động","Báo động đỏ"))</f>
      </c>
      <c r="AH267" s="223">
        <f>IF(OR($B267&lt;&gt;"Đột xuất",$AA267&lt;&gt;"Hoàn thành",N($X267)=0,$AW267=0),"",IF($X267&lt;=$AW267,"Đúng hạn","Trễ hạn"))</f>
      </c>
      <c r="AI267" s="220">
        <f>IF($A267="","",_xlfn.MAXIFS('Nhật ký tiến độ'!$B$6:$B$3005,'Nhật ký tiến độ'!$C$6:$C$3005,$A267))</f>
      </c>
      <c r="AJ267" s="225">
        <f>IF(OR($A267="",$B267&lt;&gt;"Định kỳ"),0,IFERROR(INDEX(DM_TanSuatNgay,MATCH($H267,DM_TanSuat,0)),0))</f>
      </c>
      <c r="AK267" s="225">
        <f>IF(OR($A267="",$B267&lt;&gt;"Định kỳ"),0,IFERROR(INDEX(DM_TanSuatThang,MATCH($H267,DM_TanSuat,0)),0))</f>
      </c>
      <c r="AL267" s="225">
        <f>IF(OR($A267="",$B267&lt;&gt;"Định kỳ",N($X267)=0,N($I267)=0),"",IF(INT($X267)&lt;$I267,0,IF($AJ267&gt;0,ROUND((INT($X267)-$I267)/$AJ267,0),IF($AK267&gt;0,ROUND((DATEDIF($I267,INT($X267),"m")+(INT($X267)-EDATE($I267,DATEDIF($I267,INT($X267),"m")))/(EDATE($I267,DATEDIF($I267,INT($X267),"m")+1)-EDATE($I267,DATEDIF($I267,INT($X267),"m"))))/$AK267,0),0))))</f>
      </c>
      <c r="AM267" s="225">
        <f>IF($A267="","",IF(COUNTIF('Nhật ký tiến độ'!$C$6:$C$3005,$A267)=0,0,_xlfn.MAXIFS('Nhật ký tiến độ'!$N$6:$N$3005,'Nhật ký tiến độ'!$C$6:$C$3005,$A267,'Nhật ký tiến độ'!$B$6:$B$3005,_xlfn.MAXIFS('Nhật ký tiến độ'!$B$6:$B$3005,'Nhật ký tiến độ'!$C$6:$C$3005,$A267))))</f>
      </c>
      <c r="AN267" s="225">
        <f>IF($A267="","",IF(N($AM267)=0,"",INDEX('Nhật ký tiến độ'!$E:$E,$AM267)))</f>
      </c>
      <c r="AO267" s="225">
        <f>IF($A267="",0,IF($AA267="Hoàn thành",0,1))</f>
      </c>
      <c r="AP267" s="225">
        <f>IF($AO267=0,0,INT(N($AW267)))</f>
      </c>
      <c r="AQ267" s="225">
        <f>IF(AND($AO267=1,$AJ267&gt;1),$AJ267,0)</f>
      </c>
      <c r="AR267" s="225">
        <f>IF(AND($AO267=1,$AJ267=1),1,0)</f>
      </c>
      <c r="AS267" s="225">
        <f>IF(OR($AO267=0,AND($AR267=1,N($BB267)=0)),"",IF(N($BB267)&gt;0,5-$BB267,IF($AD267="Chậm tiến độ",6,IF($AD267="Đến hạn hôm nay",7,IF(AND($AP267&gt;0,$AP267-NgayBC&lt;=7),8,"")))))</f>
      </c>
      <c r="AT267" s="225">
        <f>IF($AS267="","",$AS267*100000+$AP267+ROW()/100000)</f>
      </c>
      <c r="AU267" s="224">
        <f>IF(OR($A267="",N($R267)&lt;=0),"",IF($S267="Ngày",$R267*24,$R267))</f>
      </c>
      <c r="AV267" s="224">
        <f>IF($A267="","",IF($B267="Đột xuất",IF(OR($AA267&lt;&gt;"Hoàn thành",N($X267)=0,N($J267)=0),"",IF($X267&lt;$J267,"",($X267-$J267)*24)),IFERROR(AVERAGEIFS('Nhật ký tiến độ'!$H$6:$H$3005,'Nhật ký tiến độ'!$C$6:$C$3005,$A267,'Nhật ký tiến độ'!$H$6:$H$3005,"&gt;0"),"")))</f>
      </c>
      <c r="AW267" s="233">
        <f>IF($A267="",0,IF($B267="Đột xuất",$AY267,IF($AX267=0,0,$AX267+1-1/1440)))</f>
      </c>
      <c r="AX267" s="234">
        <f>IF(OR($A267="",$B267&lt;&gt;"Định kỳ",N($I267)=0),0,IF($AL267="",$I267,IF($AJ267&gt;0,$I267+($AL267+1)*$AJ267,IF($AK267&gt;0,EDATE($I267,($AL267+1)*$AK267),$I267))))</f>
      </c>
      <c r="AY267" s="233">
        <f>IF(OR($A267="",$B267&lt;&gt;"Đột xuất"),0,IF(N($K267)&gt;0,IF(MOD($K267,1)=0,$K267+1-1/1440,$K267),IF(N($J267)=0,0,$J267+IF(N($AU267)&gt;0,$AU267,IFERROR(INDEX(DM_SLA_Gio,MATCH($L267,DM_SLA_Cap,0)),168))/24)))</f>
      </c>
      <c r="AZ267" s="225">
        <f>IF(OR($A267="",TRIM($N267)="",COUNTIF('Phản ánh'!$K$6:$K$505,$N267)&gt;0,COUNTIF($N$6:$N267,$N267)&gt;1),0,1)</f>
      </c>
      <c r="BA267" s="225">
        <f>IF($AZ267=1,SUM($AZ$6:$AZ267),"")</f>
      </c>
      <c r="BB267" s="225">
        <f>IF(OR($AO267=0,N($AW267)=0),0,IF(TDBC&lt;=$AW267,0,MAX(1,MIN(4,IF((TDBC-$AW267)*24&lt;24,1,IF((TDBC-$AW267)*24&lt;72,2,IF((TDBC-$AW267)*24&lt;168,3,4)))+IF($B267="Đột xuất",IFERROR(INDEX({2,1,0,-1},MATCH($L267,{"Khẩn cấp","Cao","Trung bình","Thấp"},0)),0),IF($D267="PCCC và an ninh",1,0))))))</f>
      </c>
    </row>
    <row r="268">
      <c r="A268" s="216"/>
      <c r="B268" s="216"/>
      <c r="C268" s="218"/>
      <c r="D268" s="218"/>
      <c r="E268" s="218"/>
      <c r="F268" s="216"/>
      <c r="G268" s="218"/>
      <c r="H268" s="218"/>
      <c r="I268" s="231"/>
      <c r="J268" s="217"/>
      <c r="K268" s="217"/>
      <c r="L268" s="216"/>
      <c r="M268" s="216"/>
      <c r="N268" s="218"/>
      <c r="O268" s="218"/>
      <c r="P268" s="218"/>
      <c r="Q268" s="218"/>
      <c r="R268" s="219"/>
      <c r="S268" s="216"/>
      <c r="T268" s="232"/>
      <c r="U268" s="232"/>
      <c r="V268" s="218"/>
      <c r="W268" s="218"/>
      <c r="X268" s="220">
        <f>IF($A268="","",IF(OR($B268="Định kỳ",$AA268="Hoàn thành"),MAX(_xlfn.MAXIFS('Nhật ký tiến độ'!$B$6:$B$3005,'Nhật ký tiến độ'!$C$6:$C$3005,$A268,'Nhật ký tiến độ'!$E$6:$E$3005,"Hoàn thành kỳ"),_xlfn.MAXIFS('Nhật ký tiến độ'!$B$6:$B$3005,'Nhật ký tiến độ'!$C$6:$C$3005,$A268,'Nhật ký tiến độ'!$E$6:$E$3005,"Hoàn thành")),0))</f>
      </c>
      <c r="Y268" s="220">
        <f>IF($A268="","",IF($B268="Đột xuất",IF($AY268=0,"",$AY268),IF($AX268=0,"",$AX268)))</f>
      </c>
      <c r="Z268" s="223">
        <f>IF(OR($AO268=0,$AW268=0),"",IF(TDBC&gt;$AW268,"Quá "&amp;IF($B268="Định kỳ",(NgayBC-$AP268)&amp;" ngày",IF(((TDBC-$AW268)*24)&lt;1,MAX(1,ROUND(((TDBC-$AW268)*24)*60,0))&amp;" phút",IF(ROUND(((TDBC-$AW268)*24),0)&lt;24,ROUND(((TDBC-$AW268)*24),0)&amp;" giờ",INT(ROUND(((TDBC-$AW268)*24),0)/24)&amp;" ngày"&amp;IF(MOD(ROUND(((TDBC-$AW268)*24),0),24)&gt;0," "&amp;MOD(ROUND(((TDBC-$AW268)*24),0),24)&amp;" giờ","")))),IF($B268="Định kỳ",IF($AP268=NgayBC,"Hôm nay","Còn "&amp;($AP268-NgayBC)&amp;" ngày"),"Còn "&amp;IF((($AW268-TDBC)*24)&lt;1,MAX(1,ROUND((($AW268-TDBC)*24)*60,0))&amp;" phút",IF(ROUND((($AW268-TDBC)*24),0)&lt;24,ROUND((($AW268-TDBC)*24),0)&amp;" giờ",INT(ROUND((($AW268-TDBC)*24),0)/24)&amp;" ngày"&amp;IF(MOD(ROUND((($AW268-TDBC)*24),0),24)&gt;0," "&amp;MOD(ROUND((($AW268-TDBC)*24),0),24)&amp;" giờ",""))))))</f>
      </c>
      <c r="AA268" s="221">
        <f>IF($A268="","",IF(N($AM268)=0,"Chưa bắt đầu",IF(OR($AN268="Hoàn thành kỳ",$AN268="Hoàn thành"),IF($B268="Định kỳ","Chưa bắt đầu","Hoàn thành"),$AN268)))</f>
      </c>
      <c r="AB268" s="222">
        <f>IF($A268="","",IF($AA268="Hoàn thành",1,IF(OR(N($AM268)=0,$AN268="Hoàn thành kỳ",$AN268="Hoàn thành"),0,N(INDEX('Nhật ký tiến độ'!$D:$D,$AM268)))))</f>
      </c>
      <c r="AC268" s="222">
        <f>IF(OR($A268="",$B268&lt;&gt;"Đột xuất",$AA268="Hoàn thành",N($J268)=0,$AW268=0),"",IF(TDBC&lt;=$J268,0,IF(TDBC&gt;=$AW268,1,(TDBC-$J268)/($AW268-$J268))))</f>
      </c>
      <c r="AD268" s="223">
        <f>IF($A268="","",IF($AA268="Hoàn thành","Hoàn thành",IF($AW268=0,"Chưa đặt hạn",IF(TDBC&gt;$AW268,"Quá hạn",IF(AND($B268="Đột xuất",ROUND((N($AC268)-$AB268)*100,0)&gt;=20),"Chậm tiến độ",IF($AP268=NgayBC,"Đến hạn hôm nay",IF($B268="Đột xuất",IF($AW268-TDBC&lt;=1,"Sắp đến hạn","Đúng tiến độ"),IF($AP268-NgayBC&lt;=3,"Sắp đến hạn","Theo lịch"))))))))</f>
      </c>
      <c r="AE268" s="223">
        <f>IF($AV268="","",IF($B268="Định kỳ","Bình quân "&amp;IF($AV268&lt;1,MAX(1,ROUND($AV268*60,0))&amp;" phút",IF(ROUND($AV268,0)&lt;24,ROUND($AV268,0)&amp;" giờ",INT(ROUND($AV268,0)/24)&amp;" ngày"&amp;IF(MOD(ROUND($AV268,0),24)&gt;0," "&amp;MOD(ROUND($AV268,0),24)&amp;" giờ","")))&amp;" mỗi kỳ",IF($AV268&lt;1,MAX(1,ROUND($AV268*60,0))&amp;" phút",IF(ROUND($AV268,0)&lt;24,ROUND($AV268,0)&amp;" giờ",INT(ROUND($AV268,0)/24)&amp;" ngày"&amp;IF(MOD(ROUND($AV268,0),24)&gt;0," "&amp;MOD(ROUND($AV268,0),24)&amp;" giờ","")))))</f>
      </c>
      <c r="AF268" s="223">
        <f>IF(OR($A268="",N($AU268)=0),"",IF($AV268&lt;&gt;"",IF($AV268&lt;=$AU268,"Trong ước tính","Vượt "&amp;IF(($AV268-$AU268)&lt;1,MAX(1,ROUND(($AV268-$AU268)*60,0))&amp;" phút",IF(ROUND(($AV268-$AU268),0)&lt;24,ROUND(($AV268-$AU268),0)&amp;" giờ",INT(ROUND(($AV268-$AU268),0)/24)&amp;" ngày"&amp;IF(MOD(ROUND(($AV268-$AU268),0),24)&gt;0," "&amp;MOD(ROUND(($AV268-$AU268),0),24)&amp;" giờ","")))),IF(OR($B268&lt;&gt;"Đột xuất",$AA268="Hoàn thành",N($J268)=0),"",IF((TDBC-$J268)*24&gt;$AU268,"Đã vượt ước tính","Đã dùng "&amp;TEXT((TDBC-$J268)*24/$AU268,"0%")))))</f>
      </c>
      <c r="AG268" s="223">
        <f>IF(N($BB268)=0,"",CHOOSE($BB268,"Nhắc nhở","Cảnh báo","Báo động","Báo động đỏ"))</f>
      </c>
      <c r="AH268" s="223">
        <f>IF(OR($B268&lt;&gt;"Đột xuất",$AA268&lt;&gt;"Hoàn thành",N($X268)=0,$AW268=0),"",IF($X268&lt;=$AW268,"Đúng hạn","Trễ hạn"))</f>
      </c>
      <c r="AI268" s="220">
        <f>IF($A268="","",_xlfn.MAXIFS('Nhật ký tiến độ'!$B$6:$B$3005,'Nhật ký tiến độ'!$C$6:$C$3005,$A268))</f>
      </c>
      <c r="AJ268" s="225">
        <f>IF(OR($A268="",$B268&lt;&gt;"Định kỳ"),0,IFERROR(INDEX(DM_TanSuatNgay,MATCH($H268,DM_TanSuat,0)),0))</f>
      </c>
      <c r="AK268" s="225">
        <f>IF(OR($A268="",$B268&lt;&gt;"Định kỳ"),0,IFERROR(INDEX(DM_TanSuatThang,MATCH($H268,DM_TanSuat,0)),0))</f>
      </c>
      <c r="AL268" s="225">
        <f>IF(OR($A268="",$B268&lt;&gt;"Định kỳ",N($X268)=0,N($I268)=0),"",IF(INT($X268)&lt;$I268,0,IF($AJ268&gt;0,ROUND((INT($X268)-$I268)/$AJ268,0),IF($AK268&gt;0,ROUND((DATEDIF($I268,INT($X268),"m")+(INT($X268)-EDATE($I268,DATEDIF($I268,INT($X268),"m")))/(EDATE($I268,DATEDIF($I268,INT($X268),"m")+1)-EDATE($I268,DATEDIF($I268,INT($X268),"m"))))/$AK268,0),0))))</f>
      </c>
      <c r="AM268" s="225">
        <f>IF($A268="","",IF(COUNTIF('Nhật ký tiến độ'!$C$6:$C$3005,$A268)=0,0,_xlfn.MAXIFS('Nhật ký tiến độ'!$N$6:$N$3005,'Nhật ký tiến độ'!$C$6:$C$3005,$A268,'Nhật ký tiến độ'!$B$6:$B$3005,_xlfn.MAXIFS('Nhật ký tiến độ'!$B$6:$B$3005,'Nhật ký tiến độ'!$C$6:$C$3005,$A268))))</f>
      </c>
      <c r="AN268" s="225">
        <f>IF($A268="","",IF(N($AM268)=0,"",INDEX('Nhật ký tiến độ'!$E:$E,$AM268)))</f>
      </c>
      <c r="AO268" s="225">
        <f>IF($A268="",0,IF($AA268="Hoàn thành",0,1))</f>
      </c>
      <c r="AP268" s="225">
        <f>IF($AO268=0,0,INT(N($AW268)))</f>
      </c>
      <c r="AQ268" s="225">
        <f>IF(AND($AO268=1,$AJ268&gt;1),$AJ268,0)</f>
      </c>
      <c r="AR268" s="225">
        <f>IF(AND($AO268=1,$AJ268=1),1,0)</f>
      </c>
      <c r="AS268" s="225">
        <f>IF(OR($AO268=0,AND($AR268=1,N($BB268)=0)),"",IF(N($BB268)&gt;0,5-$BB268,IF($AD268="Chậm tiến độ",6,IF($AD268="Đến hạn hôm nay",7,IF(AND($AP268&gt;0,$AP268-NgayBC&lt;=7),8,"")))))</f>
      </c>
      <c r="AT268" s="225">
        <f>IF($AS268="","",$AS268*100000+$AP268+ROW()/100000)</f>
      </c>
      <c r="AU268" s="224">
        <f>IF(OR($A268="",N($R268)&lt;=0),"",IF($S268="Ngày",$R268*24,$R268))</f>
      </c>
      <c r="AV268" s="224">
        <f>IF($A268="","",IF($B268="Đột xuất",IF(OR($AA268&lt;&gt;"Hoàn thành",N($X268)=0,N($J268)=0),"",IF($X268&lt;$J268,"",($X268-$J268)*24)),IFERROR(AVERAGEIFS('Nhật ký tiến độ'!$H$6:$H$3005,'Nhật ký tiến độ'!$C$6:$C$3005,$A268,'Nhật ký tiến độ'!$H$6:$H$3005,"&gt;0"),"")))</f>
      </c>
      <c r="AW268" s="233">
        <f>IF($A268="",0,IF($B268="Đột xuất",$AY268,IF($AX268=0,0,$AX268+1-1/1440)))</f>
      </c>
      <c r="AX268" s="234">
        <f>IF(OR($A268="",$B268&lt;&gt;"Định kỳ",N($I268)=0),0,IF($AL268="",$I268,IF($AJ268&gt;0,$I268+($AL268+1)*$AJ268,IF($AK268&gt;0,EDATE($I268,($AL268+1)*$AK268),$I268))))</f>
      </c>
      <c r="AY268" s="233">
        <f>IF(OR($A268="",$B268&lt;&gt;"Đột xuất"),0,IF(N($K268)&gt;0,IF(MOD($K268,1)=0,$K268+1-1/1440,$K268),IF(N($J268)=0,0,$J268+IF(N($AU268)&gt;0,$AU268,IFERROR(INDEX(DM_SLA_Gio,MATCH($L268,DM_SLA_Cap,0)),168))/24)))</f>
      </c>
      <c r="AZ268" s="225">
        <f>IF(OR($A268="",TRIM($N268)="",COUNTIF('Phản ánh'!$K$6:$K$505,$N268)&gt;0,COUNTIF($N$6:$N268,$N268)&gt;1),0,1)</f>
      </c>
      <c r="BA268" s="225">
        <f>IF($AZ268=1,SUM($AZ$6:$AZ268),"")</f>
      </c>
      <c r="BB268" s="225">
        <f>IF(OR($AO268=0,N($AW268)=0),0,IF(TDBC&lt;=$AW268,0,MAX(1,MIN(4,IF((TDBC-$AW268)*24&lt;24,1,IF((TDBC-$AW268)*24&lt;72,2,IF((TDBC-$AW268)*24&lt;168,3,4)))+IF($B268="Đột xuất",IFERROR(INDEX({2,1,0,-1},MATCH($L268,{"Khẩn cấp","Cao","Trung bình","Thấp"},0)),0),IF($D268="PCCC và an ninh",1,0))))))</f>
      </c>
    </row>
    <row r="269">
      <c r="A269" s="216"/>
      <c r="B269" s="216"/>
      <c r="C269" s="218"/>
      <c r="D269" s="218"/>
      <c r="E269" s="218"/>
      <c r="F269" s="216"/>
      <c r="G269" s="218"/>
      <c r="H269" s="218"/>
      <c r="I269" s="231"/>
      <c r="J269" s="217"/>
      <c r="K269" s="217"/>
      <c r="L269" s="216"/>
      <c r="M269" s="216"/>
      <c r="N269" s="218"/>
      <c r="O269" s="218"/>
      <c r="P269" s="218"/>
      <c r="Q269" s="218"/>
      <c r="R269" s="219"/>
      <c r="S269" s="216"/>
      <c r="T269" s="232"/>
      <c r="U269" s="232"/>
      <c r="V269" s="218"/>
      <c r="W269" s="218"/>
      <c r="X269" s="220">
        <f>IF($A269="","",IF(OR($B269="Định kỳ",$AA269="Hoàn thành"),MAX(_xlfn.MAXIFS('Nhật ký tiến độ'!$B$6:$B$3005,'Nhật ký tiến độ'!$C$6:$C$3005,$A269,'Nhật ký tiến độ'!$E$6:$E$3005,"Hoàn thành kỳ"),_xlfn.MAXIFS('Nhật ký tiến độ'!$B$6:$B$3005,'Nhật ký tiến độ'!$C$6:$C$3005,$A269,'Nhật ký tiến độ'!$E$6:$E$3005,"Hoàn thành")),0))</f>
      </c>
      <c r="Y269" s="220">
        <f>IF($A269="","",IF($B269="Đột xuất",IF($AY269=0,"",$AY269),IF($AX269=0,"",$AX269)))</f>
      </c>
      <c r="Z269" s="223">
        <f>IF(OR($AO269=0,$AW269=0),"",IF(TDBC&gt;$AW269,"Quá "&amp;IF($B269="Định kỳ",(NgayBC-$AP269)&amp;" ngày",IF(((TDBC-$AW269)*24)&lt;1,MAX(1,ROUND(((TDBC-$AW269)*24)*60,0))&amp;" phút",IF(ROUND(((TDBC-$AW269)*24),0)&lt;24,ROUND(((TDBC-$AW269)*24),0)&amp;" giờ",INT(ROUND(((TDBC-$AW269)*24),0)/24)&amp;" ngày"&amp;IF(MOD(ROUND(((TDBC-$AW269)*24),0),24)&gt;0," "&amp;MOD(ROUND(((TDBC-$AW269)*24),0),24)&amp;" giờ","")))),IF($B269="Định kỳ",IF($AP269=NgayBC,"Hôm nay","Còn "&amp;($AP269-NgayBC)&amp;" ngày"),"Còn "&amp;IF((($AW269-TDBC)*24)&lt;1,MAX(1,ROUND((($AW269-TDBC)*24)*60,0))&amp;" phút",IF(ROUND((($AW269-TDBC)*24),0)&lt;24,ROUND((($AW269-TDBC)*24),0)&amp;" giờ",INT(ROUND((($AW269-TDBC)*24),0)/24)&amp;" ngày"&amp;IF(MOD(ROUND((($AW269-TDBC)*24),0),24)&gt;0," "&amp;MOD(ROUND((($AW269-TDBC)*24),0),24)&amp;" giờ",""))))))</f>
      </c>
      <c r="AA269" s="221">
        <f>IF($A269="","",IF(N($AM269)=0,"Chưa bắt đầu",IF(OR($AN269="Hoàn thành kỳ",$AN269="Hoàn thành"),IF($B269="Định kỳ","Chưa bắt đầu","Hoàn thành"),$AN269)))</f>
      </c>
      <c r="AB269" s="222">
        <f>IF($A269="","",IF($AA269="Hoàn thành",1,IF(OR(N($AM269)=0,$AN269="Hoàn thành kỳ",$AN269="Hoàn thành"),0,N(INDEX('Nhật ký tiến độ'!$D:$D,$AM269)))))</f>
      </c>
      <c r="AC269" s="222">
        <f>IF(OR($A269="",$B269&lt;&gt;"Đột xuất",$AA269="Hoàn thành",N($J269)=0,$AW269=0),"",IF(TDBC&lt;=$J269,0,IF(TDBC&gt;=$AW269,1,(TDBC-$J269)/($AW269-$J269))))</f>
      </c>
      <c r="AD269" s="223">
        <f>IF($A269="","",IF($AA269="Hoàn thành","Hoàn thành",IF($AW269=0,"Chưa đặt hạn",IF(TDBC&gt;$AW269,"Quá hạn",IF(AND($B269="Đột xuất",ROUND((N($AC269)-$AB269)*100,0)&gt;=20),"Chậm tiến độ",IF($AP269=NgayBC,"Đến hạn hôm nay",IF($B269="Đột xuất",IF($AW269-TDBC&lt;=1,"Sắp đến hạn","Đúng tiến độ"),IF($AP269-NgayBC&lt;=3,"Sắp đến hạn","Theo lịch"))))))))</f>
      </c>
      <c r="AE269" s="223">
        <f>IF($AV269="","",IF($B269="Định kỳ","Bình quân "&amp;IF($AV269&lt;1,MAX(1,ROUND($AV269*60,0))&amp;" phút",IF(ROUND($AV269,0)&lt;24,ROUND($AV269,0)&amp;" giờ",INT(ROUND($AV269,0)/24)&amp;" ngày"&amp;IF(MOD(ROUND($AV269,0),24)&gt;0," "&amp;MOD(ROUND($AV269,0),24)&amp;" giờ","")))&amp;" mỗi kỳ",IF($AV269&lt;1,MAX(1,ROUND($AV269*60,0))&amp;" phút",IF(ROUND($AV269,0)&lt;24,ROUND($AV269,0)&amp;" giờ",INT(ROUND($AV269,0)/24)&amp;" ngày"&amp;IF(MOD(ROUND($AV269,0),24)&gt;0," "&amp;MOD(ROUND($AV269,0),24)&amp;" giờ","")))))</f>
      </c>
      <c r="AF269" s="223">
        <f>IF(OR($A269="",N($AU269)=0),"",IF($AV269&lt;&gt;"",IF($AV269&lt;=$AU269,"Trong ước tính","Vượt "&amp;IF(($AV269-$AU269)&lt;1,MAX(1,ROUND(($AV269-$AU269)*60,0))&amp;" phút",IF(ROUND(($AV269-$AU269),0)&lt;24,ROUND(($AV269-$AU269),0)&amp;" giờ",INT(ROUND(($AV269-$AU269),0)/24)&amp;" ngày"&amp;IF(MOD(ROUND(($AV269-$AU269),0),24)&gt;0," "&amp;MOD(ROUND(($AV269-$AU269),0),24)&amp;" giờ","")))),IF(OR($B269&lt;&gt;"Đột xuất",$AA269="Hoàn thành",N($J269)=0),"",IF((TDBC-$J269)*24&gt;$AU269,"Đã vượt ước tính","Đã dùng "&amp;TEXT((TDBC-$J269)*24/$AU269,"0%")))))</f>
      </c>
      <c r="AG269" s="223">
        <f>IF(N($BB269)=0,"",CHOOSE($BB269,"Nhắc nhở","Cảnh báo","Báo động","Báo động đỏ"))</f>
      </c>
      <c r="AH269" s="223">
        <f>IF(OR($B269&lt;&gt;"Đột xuất",$AA269&lt;&gt;"Hoàn thành",N($X269)=0,$AW269=0),"",IF($X269&lt;=$AW269,"Đúng hạn","Trễ hạn"))</f>
      </c>
      <c r="AI269" s="220">
        <f>IF($A269="","",_xlfn.MAXIFS('Nhật ký tiến độ'!$B$6:$B$3005,'Nhật ký tiến độ'!$C$6:$C$3005,$A269))</f>
      </c>
      <c r="AJ269" s="225">
        <f>IF(OR($A269="",$B269&lt;&gt;"Định kỳ"),0,IFERROR(INDEX(DM_TanSuatNgay,MATCH($H269,DM_TanSuat,0)),0))</f>
      </c>
      <c r="AK269" s="225">
        <f>IF(OR($A269="",$B269&lt;&gt;"Định kỳ"),0,IFERROR(INDEX(DM_TanSuatThang,MATCH($H269,DM_TanSuat,0)),0))</f>
      </c>
      <c r="AL269" s="225">
        <f>IF(OR($A269="",$B269&lt;&gt;"Định kỳ",N($X269)=0,N($I269)=0),"",IF(INT($X269)&lt;$I269,0,IF($AJ269&gt;0,ROUND((INT($X269)-$I269)/$AJ269,0),IF($AK269&gt;0,ROUND((DATEDIF($I269,INT($X269),"m")+(INT($X269)-EDATE($I269,DATEDIF($I269,INT($X269),"m")))/(EDATE($I269,DATEDIF($I269,INT($X269),"m")+1)-EDATE($I269,DATEDIF($I269,INT($X269),"m"))))/$AK269,0),0))))</f>
      </c>
      <c r="AM269" s="225">
        <f>IF($A269="","",IF(COUNTIF('Nhật ký tiến độ'!$C$6:$C$3005,$A269)=0,0,_xlfn.MAXIFS('Nhật ký tiến độ'!$N$6:$N$3005,'Nhật ký tiến độ'!$C$6:$C$3005,$A269,'Nhật ký tiến độ'!$B$6:$B$3005,_xlfn.MAXIFS('Nhật ký tiến độ'!$B$6:$B$3005,'Nhật ký tiến độ'!$C$6:$C$3005,$A269))))</f>
      </c>
      <c r="AN269" s="225">
        <f>IF($A269="","",IF(N($AM269)=0,"",INDEX('Nhật ký tiến độ'!$E:$E,$AM269)))</f>
      </c>
      <c r="AO269" s="225">
        <f>IF($A269="",0,IF($AA269="Hoàn thành",0,1))</f>
      </c>
      <c r="AP269" s="225">
        <f>IF($AO269=0,0,INT(N($AW269)))</f>
      </c>
      <c r="AQ269" s="225">
        <f>IF(AND($AO269=1,$AJ269&gt;1),$AJ269,0)</f>
      </c>
      <c r="AR269" s="225">
        <f>IF(AND($AO269=1,$AJ269=1),1,0)</f>
      </c>
      <c r="AS269" s="225">
        <f>IF(OR($AO269=0,AND($AR269=1,N($BB269)=0)),"",IF(N($BB269)&gt;0,5-$BB269,IF($AD269="Chậm tiến độ",6,IF($AD269="Đến hạn hôm nay",7,IF(AND($AP269&gt;0,$AP269-NgayBC&lt;=7),8,"")))))</f>
      </c>
      <c r="AT269" s="225">
        <f>IF($AS269="","",$AS269*100000+$AP269+ROW()/100000)</f>
      </c>
      <c r="AU269" s="224">
        <f>IF(OR($A269="",N($R269)&lt;=0),"",IF($S269="Ngày",$R269*24,$R269))</f>
      </c>
      <c r="AV269" s="224">
        <f>IF($A269="","",IF($B269="Đột xuất",IF(OR($AA269&lt;&gt;"Hoàn thành",N($X269)=0,N($J269)=0),"",IF($X269&lt;$J269,"",($X269-$J269)*24)),IFERROR(AVERAGEIFS('Nhật ký tiến độ'!$H$6:$H$3005,'Nhật ký tiến độ'!$C$6:$C$3005,$A269,'Nhật ký tiến độ'!$H$6:$H$3005,"&gt;0"),"")))</f>
      </c>
      <c r="AW269" s="233">
        <f>IF($A269="",0,IF($B269="Đột xuất",$AY269,IF($AX269=0,0,$AX269+1-1/1440)))</f>
      </c>
      <c r="AX269" s="234">
        <f>IF(OR($A269="",$B269&lt;&gt;"Định kỳ",N($I269)=0),0,IF($AL269="",$I269,IF($AJ269&gt;0,$I269+($AL269+1)*$AJ269,IF($AK269&gt;0,EDATE($I269,($AL269+1)*$AK269),$I269))))</f>
      </c>
      <c r="AY269" s="233">
        <f>IF(OR($A269="",$B269&lt;&gt;"Đột xuất"),0,IF(N($K269)&gt;0,IF(MOD($K269,1)=0,$K269+1-1/1440,$K269),IF(N($J269)=0,0,$J269+IF(N($AU269)&gt;0,$AU269,IFERROR(INDEX(DM_SLA_Gio,MATCH($L269,DM_SLA_Cap,0)),168))/24)))</f>
      </c>
      <c r="AZ269" s="225">
        <f>IF(OR($A269="",TRIM($N269)="",COUNTIF('Phản ánh'!$K$6:$K$505,$N269)&gt;0,COUNTIF($N$6:$N269,$N269)&gt;1),0,1)</f>
      </c>
      <c r="BA269" s="225">
        <f>IF($AZ269=1,SUM($AZ$6:$AZ269),"")</f>
      </c>
      <c r="BB269" s="225">
        <f>IF(OR($AO269=0,N($AW269)=0),0,IF(TDBC&lt;=$AW269,0,MAX(1,MIN(4,IF((TDBC-$AW269)*24&lt;24,1,IF((TDBC-$AW269)*24&lt;72,2,IF((TDBC-$AW269)*24&lt;168,3,4)))+IF($B269="Đột xuất",IFERROR(INDEX({2,1,0,-1},MATCH($L269,{"Khẩn cấp","Cao","Trung bình","Thấp"},0)),0),IF($D269="PCCC và an ninh",1,0))))))</f>
      </c>
    </row>
    <row r="270">
      <c r="A270" s="216"/>
      <c r="B270" s="216"/>
      <c r="C270" s="218"/>
      <c r="D270" s="218"/>
      <c r="E270" s="218"/>
      <c r="F270" s="216"/>
      <c r="G270" s="218"/>
      <c r="H270" s="218"/>
      <c r="I270" s="231"/>
      <c r="J270" s="217"/>
      <c r="K270" s="217"/>
      <c r="L270" s="216"/>
      <c r="M270" s="216"/>
      <c r="N270" s="218"/>
      <c r="O270" s="218"/>
      <c r="P270" s="218"/>
      <c r="Q270" s="218"/>
      <c r="R270" s="219"/>
      <c r="S270" s="216"/>
      <c r="T270" s="232"/>
      <c r="U270" s="232"/>
      <c r="V270" s="218"/>
      <c r="W270" s="218"/>
      <c r="X270" s="220">
        <f>IF($A270="","",IF(OR($B270="Định kỳ",$AA270="Hoàn thành"),MAX(_xlfn.MAXIFS('Nhật ký tiến độ'!$B$6:$B$3005,'Nhật ký tiến độ'!$C$6:$C$3005,$A270,'Nhật ký tiến độ'!$E$6:$E$3005,"Hoàn thành kỳ"),_xlfn.MAXIFS('Nhật ký tiến độ'!$B$6:$B$3005,'Nhật ký tiến độ'!$C$6:$C$3005,$A270,'Nhật ký tiến độ'!$E$6:$E$3005,"Hoàn thành")),0))</f>
      </c>
      <c r="Y270" s="220">
        <f>IF($A270="","",IF($B270="Đột xuất",IF($AY270=0,"",$AY270),IF($AX270=0,"",$AX270)))</f>
      </c>
      <c r="Z270" s="223">
        <f>IF(OR($AO270=0,$AW270=0),"",IF(TDBC&gt;$AW270,"Quá "&amp;IF($B270="Định kỳ",(NgayBC-$AP270)&amp;" ngày",IF(((TDBC-$AW270)*24)&lt;1,MAX(1,ROUND(((TDBC-$AW270)*24)*60,0))&amp;" phút",IF(ROUND(((TDBC-$AW270)*24),0)&lt;24,ROUND(((TDBC-$AW270)*24),0)&amp;" giờ",INT(ROUND(((TDBC-$AW270)*24),0)/24)&amp;" ngày"&amp;IF(MOD(ROUND(((TDBC-$AW270)*24),0),24)&gt;0," "&amp;MOD(ROUND(((TDBC-$AW270)*24),0),24)&amp;" giờ","")))),IF($B270="Định kỳ",IF($AP270=NgayBC,"Hôm nay","Còn "&amp;($AP270-NgayBC)&amp;" ngày"),"Còn "&amp;IF((($AW270-TDBC)*24)&lt;1,MAX(1,ROUND((($AW270-TDBC)*24)*60,0))&amp;" phút",IF(ROUND((($AW270-TDBC)*24),0)&lt;24,ROUND((($AW270-TDBC)*24),0)&amp;" giờ",INT(ROUND((($AW270-TDBC)*24),0)/24)&amp;" ngày"&amp;IF(MOD(ROUND((($AW270-TDBC)*24),0),24)&gt;0," "&amp;MOD(ROUND((($AW270-TDBC)*24),0),24)&amp;" giờ",""))))))</f>
      </c>
      <c r="AA270" s="221">
        <f>IF($A270="","",IF(N($AM270)=0,"Chưa bắt đầu",IF(OR($AN270="Hoàn thành kỳ",$AN270="Hoàn thành"),IF($B270="Định kỳ","Chưa bắt đầu","Hoàn thành"),$AN270)))</f>
      </c>
      <c r="AB270" s="222">
        <f>IF($A270="","",IF($AA270="Hoàn thành",1,IF(OR(N($AM270)=0,$AN270="Hoàn thành kỳ",$AN270="Hoàn thành"),0,N(INDEX('Nhật ký tiến độ'!$D:$D,$AM270)))))</f>
      </c>
      <c r="AC270" s="222">
        <f>IF(OR($A270="",$B270&lt;&gt;"Đột xuất",$AA270="Hoàn thành",N($J270)=0,$AW270=0),"",IF(TDBC&lt;=$J270,0,IF(TDBC&gt;=$AW270,1,(TDBC-$J270)/($AW270-$J270))))</f>
      </c>
      <c r="AD270" s="223">
        <f>IF($A270="","",IF($AA270="Hoàn thành","Hoàn thành",IF($AW270=0,"Chưa đặt hạn",IF(TDBC&gt;$AW270,"Quá hạn",IF(AND($B270="Đột xuất",ROUND((N($AC270)-$AB270)*100,0)&gt;=20),"Chậm tiến độ",IF($AP270=NgayBC,"Đến hạn hôm nay",IF($B270="Đột xuất",IF($AW270-TDBC&lt;=1,"Sắp đến hạn","Đúng tiến độ"),IF($AP270-NgayBC&lt;=3,"Sắp đến hạn","Theo lịch"))))))))</f>
      </c>
      <c r="AE270" s="223">
        <f>IF($AV270="","",IF($B270="Định kỳ","Bình quân "&amp;IF($AV270&lt;1,MAX(1,ROUND($AV270*60,0))&amp;" phút",IF(ROUND($AV270,0)&lt;24,ROUND($AV270,0)&amp;" giờ",INT(ROUND($AV270,0)/24)&amp;" ngày"&amp;IF(MOD(ROUND($AV270,0),24)&gt;0," "&amp;MOD(ROUND($AV270,0),24)&amp;" giờ","")))&amp;" mỗi kỳ",IF($AV270&lt;1,MAX(1,ROUND($AV270*60,0))&amp;" phút",IF(ROUND($AV270,0)&lt;24,ROUND($AV270,0)&amp;" giờ",INT(ROUND($AV270,0)/24)&amp;" ngày"&amp;IF(MOD(ROUND($AV270,0),24)&gt;0," "&amp;MOD(ROUND($AV270,0),24)&amp;" giờ","")))))</f>
      </c>
      <c r="AF270" s="223">
        <f>IF(OR($A270="",N($AU270)=0),"",IF($AV270&lt;&gt;"",IF($AV270&lt;=$AU270,"Trong ước tính","Vượt "&amp;IF(($AV270-$AU270)&lt;1,MAX(1,ROUND(($AV270-$AU270)*60,0))&amp;" phút",IF(ROUND(($AV270-$AU270),0)&lt;24,ROUND(($AV270-$AU270),0)&amp;" giờ",INT(ROUND(($AV270-$AU270),0)/24)&amp;" ngày"&amp;IF(MOD(ROUND(($AV270-$AU270),0),24)&gt;0," "&amp;MOD(ROUND(($AV270-$AU270),0),24)&amp;" giờ","")))),IF(OR($B270&lt;&gt;"Đột xuất",$AA270="Hoàn thành",N($J270)=0),"",IF((TDBC-$J270)*24&gt;$AU270,"Đã vượt ước tính","Đã dùng "&amp;TEXT((TDBC-$J270)*24/$AU270,"0%")))))</f>
      </c>
      <c r="AG270" s="223">
        <f>IF(N($BB270)=0,"",CHOOSE($BB270,"Nhắc nhở","Cảnh báo","Báo động","Báo động đỏ"))</f>
      </c>
      <c r="AH270" s="223">
        <f>IF(OR($B270&lt;&gt;"Đột xuất",$AA270&lt;&gt;"Hoàn thành",N($X270)=0,$AW270=0),"",IF($X270&lt;=$AW270,"Đúng hạn","Trễ hạn"))</f>
      </c>
      <c r="AI270" s="220">
        <f>IF($A270="","",_xlfn.MAXIFS('Nhật ký tiến độ'!$B$6:$B$3005,'Nhật ký tiến độ'!$C$6:$C$3005,$A270))</f>
      </c>
      <c r="AJ270" s="225">
        <f>IF(OR($A270="",$B270&lt;&gt;"Định kỳ"),0,IFERROR(INDEX(DM_TanSuatNgay,MATCH($H270,DM_TanSuat,0)),0))</f>
      </c>
      <c r="AK270" s="225">
        <f>IF(OR($A270="",$B270&lt;&gt;"Định kỳ"),0,IFERROR(INDEX(DM_TanSuatThang,MATCH($H270,DM_TanSuat,0)),0))</f>
      </c>
      <c r="AL270" s="225">
        <f>IF(OR($A270="",$B270&lt;&gt;"Định kỳ",N($X270)=0,N($I270)=0),"",IF(INT($X270)&lt;$I270,0,IF($AJ270&gt;0,ROUND((INT($X270)-$I270)/$AJ270,0),IF($AK270&gt;0,ROUND((DATEDIF($I270,INT($X270),"m")+(INT($X270)-EDATE($I270,DATEDIF($I270,INT($X270),"m")))/(EDATE($I270,DATEDIF($I270,INT($X270),"m")+1)-EDATE($I270,DATEDIF($I270,INT($X270),"m"))))/$AK270,0),0))))</f>
      </c>
      <c r="AM270" s="225">
        <f>IF($A270="","",IF(COUNTIF('Nhật ký tiến độ'!$C$6:$C$3005,$A270)=0,0,_xlfn.MAXIFS('Nhật ký tiến độ'!$N$6:$N$3005,'Nhật ký tiến độ'!$C$6:$C$3005,$A270,'Nhật ký tiến độ'!$B$6:$B$3005,_xlfn.MAXIFS('Nhật ký tiến độ'!$B$6:$B$3005,'Nhật ký tiến độ'!$C$6:$C$3005,$A270))))</f>
      </c>
      <c r="AN270" s="225">
        <f>IF($A270="","",IF(N($AM270)=0,"",INDEX('Nhật ký tiến độ'!$E:$E,$AM270)))</f>
      </c>
      <c r="AO270" s="225">
        <f>IF($A270="",0,IF($AA270="Hoàn thành",0,1))</f>
      </c>
      <c r="AP270" s="225">
        <f>IF($AO270=0,0,INT(N($AW270)))</f>
      </c>
      <c r="AQ270" s="225">
        <f>IF(AND($AO270=1,$AJ270&gt;1),$AJ270,0)</f>
      </c>
      <c r="AR270" s="225">
        <f>IF(AND($AO270=1,$AJ270=1),1,0)</f>
      </c>
      <c r="AS270" s="225">
        <f>IF(OR($AO270=0,AND($AR270=1,N($BB270)=0)),"",IF(N($BB270)&gt;0,5-$BB270,IF($AD270="Chậm tiến độ",6,IF($AD270="Đến hạn hôm nay",7,IF(AND($AP270&gt;0,$AP270-NgayBC&lt;=7),8,"")))))</f>
      </c>
      <c r="AT270" s="225">
        <f>IF($AS270="","",$AS270*100000+$AP270+ROW()/100000)</f>
      </c>
      <c r="AU270" s="224">
        <f>IF(OR($A270="",N($R270)&lt;=0),"",IF($S270="Ngày",$R270*24,$R270))</f>
      </c>
      <c r="AV270" s="224">
        <f>IF($A270="","",IF($B270="Đột xuất",IF(OR($AA270&lt;&gt;"Hoàn thành",N($X270)=0,N($J270)=0),"",IF($X270&lt;$J270,"",($X270-$J270)*24)),IFERROR(AVERAGEIFS('Nhật ký tiến độ'!$H$6:$H$3005,'Nhật ký tiến độ'!$C$6:$C$3005,$A270,'Nhật ký tiến độ'!$H$6:$H$3005,"&gt;0"),"")))</f>
      </c>
      <c r="AW270" s="233">
        <f>IF($A270="",0,IF($B270="Đột xuất",$AY270,IF($AX270=0,0,$AX270+1-1/1440)))</f>
      </c>
      <c r="AX270" s="234">
        <f>IF(OR($A270="",$B270&lt;&gt;"Định kỳ",N($I270)=0),0,IF($AL270="",$I270,IF($AJ270&gt;0,$I270+($AL270+1)*$AJ270,IF($AK270&gt;0,EDATE($I270,($AL270+1)*$AK270),$I270))))</f>
      </c>
      <c r="AY270" s="233">
        <f>IF(OR($A270="",$B270&lt;&gt;"Đột xuất"),0,IF(N($K270)&gt;0,IF(MOD($K270,1)=0,$K270+1-1/1440,$K270),IF(N($J270)=0,0,$J270+IF(N($AU270)&gt;0,$AU270,IFERROR(INDEX(DM_SLA_Gio,MATCH($L270,DM_SLA_Cap,0)),168))/24)))</f>
      </c>
      <c r="AZ270" s="225">
        <f>IF(OR($A270="",TRIM($N270)="",COUNTIF('Phản ánh'!$K$6:$K$505,$N270)&gt;0,COUNTIF($N$6:$N270,$N270)&gt;1),0,1)</f>
      </c>
      <c r="BA270" s="225">
        <f>IF($AZ270=1,SUM($AZ$6:$AZ270),"")</f>
      </c>
      <c r="BB270" s="225">
        <f>IF(OR($AO270=0,N($AW270)=0),0,IF(TDBC&lt;=$AW270,0,MAX(1,MIN(4,IF((TDBC-$AW270)*24&lt;24,1,IF((TDBC-$AW270)*24&lt;72,2,IF((TDBC-$AW270)*24&lt;168,3,4)))+IF($B270="Đột xuất",IFERROR(INDEX({2,1,0,-1},MATCH($L270,{"Khẩn cấp","Cao","Trung bình","Thấp"},0)),0),IF($D270="PCCC và an ninh",1,0))))))</f>
      </c>
    </row>
    <row r="271">
      <c r="A271" s="216"/>
      <c r="B271" s="216"/>
      <c r="C271" s="218"/>
      <c r="D271" s="218"/>
      <c r="E271" s="218"/>
      <c r="F271" s="216"/>
      <c r="G271" s="218"/>
      <c r="H271" s="218"/>
      <c r="I271" s="231"/>
      <c r="J271" s="217"/>
      <c r="K271" s="217"/>
      <c r="L271" s="216"/>
      <c r="M271" s="216"/>
      <c r="N271" s="218"/>
      <c r="O271" s="218"/>
      <c r="P271" s="218"/>
      <c r="Q271" s="218"/>
      <c r="R271" s="219"/>
      <c r="S271" s="216"/>
      <c r="T271" s="232"/>
      <c r="U271" s="232"/>
      <c r="V271" s="218"/>
      <c r="W271" s="218"/>
      <c r="X271" s="220">
        <f>IF($A271="","",IF(OR($B271="Định kỳ",$AA271="Hoàn thành"),MAX(_xlfn.MAXIFS('Nhật ký tiến độ'!$B$6:$B$3005,'Nhật ký tiến độ'!$C$6:$C$3005,$A271,'Nhật ký tiến độ'!$E$6:$E$3005,"Hoàn thành kỳ"),_xlfn.MAXIFS('Nhật ký tiến độ'!$B$6:$B$3005,'Nhật ký tiến độ'!$C$6:$C$3005,$A271,'Nhật ký tiến độ'!$E$6:$E$3005,"Hoàn thành")),0))</f>
      </c>
      <c r="Y271" s="220">
        <f>IF($A271="","",IF($B271="Đột xuất",IF($AY271=0,"",$AY271),IF($AX271=0,"",$AX271)))</f>
      </c>
      <c r="Z271" s="223">
        <f>IF(OR($AO271=0,$AW271=0),"",IF(TDBC&gt;$AW271,"Quá "&amp;IF($B271="Định kỳ",(NgayBC-$AP271)&amp;" ngày",IF(((TDBC-$AW271)*24)&lt;1,MAX(1,ROUND(((TDBC-$AW271)*24)*60,0))&amp;" phút",IF(ROUND(((TDBC-$AW271)*24),0)&lt;24,ROUND(((TDBC-$AW271)*24),0)&amp;" giờ",INT(ROUND(((TDBC-$AW271)*24),0)/24)&amp;" ngày"&amp;IF(MOD(ROUND(((TDBC-$AW271)*24),0),24)&gt;0," "&amp;MOD(ROUND(((TDBC-$AW271)*24),0),24)&amp;" giờ","")))),IF($B271="Định kỳ",IF($AP271=NgayBC,"Hôm nay","Còn "&amp;($AP271-NgayBC)&amp;" ngày"),"Còn "&amp;IF((($AW271-TDBC)*24)&lt;1,MAX(1,ROUND((($AW271-TDBC)*24)*60,0))&amp;" phút",IF(ROUND((($AW271-TDBC)*24),0)&lt;24,ROUND((($AW271-TDBC)*24),0)&amp;" giờ",INT(ROUND((($AW271-TDBC)*24),0)/24)&amp;" ngày"&amp;IF(MOD(ROUND((($AW271-TDBC)*24),0),24)&gt;0," "&amp;MOD(ROUND((($AW271-TDBC)*24),0),24)&amp;" giờ",""))))))</f>
      </c>
      <c r="AA271" s="221">
        <f>IF($A271="","",IF(N($AM271)=0,"Chưa bắt đầu",IF(OR($AN271="Hoàn thành kỳ",$AN271="Hoàn thành"),IF($B271="Định kỳ","Chưa bắt đầu","Hoàn thành"),$AN271)))</f>
      </c>
      <c r="AB271" s="222">
        <f>IF($A271="","",IF($AA271="Hoàn thành",1,IF(OR(N($AM271)=0,$AN271="Hoàn thành kỳ",$AN271="Hoàn thành"),0,N(INDEX('Nhật ký tiến độ'!$D:$D,$AM271)))))</f>
      </c>
      <c r="AC271" s="222">
        <f>IF(OR($A271="",$B271&lt;&gt;"Đột xuất",$AA271="Hoàn thành",N($J271)=0,$AW271=0),"",IF(TDBC&lt;=$J271,0,IF(TDBC&gt;=$AW271,1,(TDBC-$J271)/($AW271-$J271))))</f>
      </c>
      <c r="AD271" s="223">
        <f>IF($A271="","",IF($AA271="Hoàn thành","Hoàn thành",IF($AW271=0,"Chưa đặt hạn",IF(TDBC&gt;$AW271,"Quá hạn",IF(AND($B271="Đột xuất",ROUND((N($AC271)-$AB271)*100,0)&gt;=20),"Chậm tiến độ",IF($AP271=NgayBC,"Đến hạn hôm nay",IF($B271="Đột xuất",IF($AW271-TDBC&lt;=1,"Sắp đến hạn","Đúng tiến độ"),IF($AP271-NgayBC&lt;=3,"Sắp đến hạn","Theo lịch"))))))))</f>
      </c>
      <c r="AE271" s="223">
        <f>IF($AV271="","",IF($B271="Định kỳ","Bình quân "&amp;IF($AV271&lt;1,MAX(1,ROUND($AV271*60,0))&amp;" phút",IF(ROUND($AV271,0)&lt;24,ROUND($AV271,0)&amp;" giờ",INT(ROUND($AV271,0)/24)&amp;" ngày"&amp;IF(MOD(ROUND($AV271,0),24)&gt;0," "&amp;MOD(ROUND($AV271,0),24)&amp;" giờ","")))&amp;" mỗi kỳ",IF($AV271&lt;1,MAX(1,ROUND($AV271*60,0))&amp;" phút",IF(ROUND($AV271,0)&lt;24,ROUND($AV271,0)&amp;" giờ",INT(ROUND($AV271,0)/24)&amp;" ngày"&amp;IF(MOD(ROUND($AV271,0),24)&gt;0," "&amp;MOD(ROUND($AV271,0),24)&amp;" giờ","")))))</f>
      </c>
      <c r="AF271" s="223">
        <f>IF(OR($A271="",N($AU271)=0),"",IF($AV271&lt;&gt;"",IF($AV271&lt;=$AU271,"Trong ước tính","Vượt "&amp;IF(($AV271-$AU271)&lt;1,MAX(1,ROUND(($AV271-$AU271)*60,0))&amp;" phút",IF(ROUND(($AV271-$AU271),0)&lt;24,ROUND(($AV271-$AU271),0)&amp;" giờ",INT(ROUND(($AV271-$AU271),0)/24)&amp;" ngày"&amp;IF(MOD(ROUND(($AV271-$AU271),0),24)&gt;0," "&amp;MOD(ROUND(($AV271-$AU271),0),24)&amp;" giờ","")))),IF(OR($B271&lt;&gt;"Đột xuất",$AA271="Hoàn thành",N($J271)=0),"",IF((TDBC-$J271)*24&gt;$AU271,"Đã vượt ước tính","Đã dùng "&amp;TEXT((TDBC-$J271)*24/$AU271,"0%")))))</f>
      </c>
      <c r="AG271" s="223">
        <f>IF(N($BB271)=0,"",CHOOSE($BB271,"Nhắc nhở","Cảnh báo","Báo động","Báo động đỏ"))</f>
      </c>
      <c r="AH271" s="223">
        <f>IF(OR($B271&lt;&gt;"Đột xuất",$AA271&lt;&gt;"Hoàn thành",N($X271)=0,$AW271=0),"",IF($X271&lt;=$AW271,"Đúng hạn","Trễ hạn"))</f>
      </c>
      <c r="AI271" s="220">
        <f>IF($A271="","",_xlfn.MAXIFS('Nhật ký tiến độ'!$B$6:$B$3005,'Nhật ký tiến độ'!$C$6:$C$3005,$A271))</f>
      </c>
      <c r="AJ271" s="225">
        <f>IF(OR($A271="",$B271&lt;&gt;"Định kỳ"),0,IFERROR(INDEX(DM_TanSuatNgay,MATCH($H271,DM_TanSuat,0)),0))</f>
      </c>
      <c r="AK271" s="225">
        <f>IF(OR($A271="",$B271&lt;&gt;"Định kỳ"),0,IFERROR(INDEX(DM_TanSuatThang,MATCH($H271,DM_TanSuat,0)),0))</f>
      </c>
      <c r="AL271" s="225">
        <f>IF(OR($A271="",$B271&lt;&gt;"Định kỳ",N($X271)=0,N($I271)=0),"",IF(INT($X271)&lt;$I271,0,IF($AJ271&gt;0,ROUND((INT($X271)-$I271)/$AJ271,0),IF($AK271&gt;0,ROUND((DATEDIF($I271,INT($X271),"m")+(INT($X271)-EDATE($I271,DATEDIF($I271,INT($X271),"m")))/(EDATE($I271,DATEDIF($I271,INT($X271),"m")+1)-EDATE($I271,DATEDIF($I271,INT($X271),"m"))))/$AK271,0),0))))</f>
      </c>
      <c r="AM271" s="225">
        <f>IF($A271="","",IF(COUNTIF('Nhật ký tiến độ'!$C$6:$C$3005,$A271)=0,0,_xlfn.MAXIFS('Nhật ký tiến độ'!$N$6:$N$3005,'Nhật ký tiến độ'!$C$6:$C$3005,$A271,'Nhật ký tiến độ'!$B$6:$B$3005,_xlfn.MAXIFS('Nhật ký tiến độ'!$B$6:$B$3005,'Nhật ký tiến độ'!$C$6:$C$3005,$A271))))</f>
      </c>
      <c r="AN271" s="225">
        <f>IF($A271="","",IF(N($AM271)=0,"",INDEX('Nhật ký tiến độ'!$E:$E,$AM271)))</f>
      </c>
      <c r="AO271" s="225">
        <f>IF($A271="",0,IF($AA271="Hoàn thành",0,1))</f>
      </c>
      <c r="AP271" s="225">
        <f>IF($AO271=0,0,INT(N($AW271)))</f>
      </c>
      <c r="AQ271" s="225">
        <f>IF(AND($AO271=1,$AJ271&gt;1),$AJ271,0)</f>
      </c>
      <c r="AR271" s="225">
        <f>IF(AND($AO271=1,$AJ271=1),1,0)</f>
      </c>
      <c r="AS271" s="225">
        <f>IF(OR($AO271=0,AND($AR271=1,N($BB271)=0)),"",IF(N($BB271)&gt;0,5-$BB271,IF($AD271="Chậm tiến độ",6,IF($AD271="Đến hạn hôm nay",7,IF(AND($AP271&gt;0,$AP271-NgayBC&lt;=7),8,"")))))</f>
      </c>
      <c r="AT271" s="225">
        <f>IF($AS271="","",$AS271*100000+$AP271+ROW()/100000)</f>
      </c>
      <c r="AU271" s="224">
        <f>IF(OR($A271="",N($R271)&lt;=0),"",IF($S271="Ngày",$R271*24,$R271))</f>
      </c>
      <c r="AV271" s="224">
        <f>IF($A271="","",IF($B271="Đột xuất",IF(OR($AA271&lt;&gt;"Hoàn thành",N($X271)=0,N($J271)=0),"",IF($X271&lt;$J271,"",($X271-$J271)*24)),IFERROR(AVERAGEIFS('Nhật ký tiến độ'!$H$6:$H$3005,'Nhật ký tiến độ'!$C$6:$C$3005,$A271,'Nhật ký tiến độ'!$H$6:$H$3005,"&gt;0"),"")))</f>
      </c>
      <c r="AW271" s="233">
        <f>IF($A271="",0,IF($B271="Đột xuất",$AY271,IF($AX271=0,0,$AX271+1-1/1440)))</f>
      </c>
      <c r="AX271" s="234">
        <f>IF(OR($A271="",$B271&lt;&gt;"Định kỳ",N($I271)=0),0,IF($AL271="",$I271,IF($AJ271&gt;0,$I271+($AL271+1)*$AJ271,IF($AK271&gt;0,EDATE($I271,($AL271+1)*$AK271),$I271))))</f>
      </c>
      <c r="AY271" s="233">
        <f>IF(OR($A271="",$B271&lt;&gt;"Đột xuất"),0,IF(N($K271)&gt;0,IF(MOD($K271,1)=0,$K271+1-1/1440,$K271),IF(N($J271)=0,0,$J271+IF(N($AU271)&gt;0,$AU271,IFERROR(INDEX(DM_SLA_Gio,MATCH($L271,DM_SLA_Cap,0)),168))/24)))</f>
      </c>
      <c r="AZ271" s="225">
        <f>IF(OR($A271="",TRIM($N271)="",COUNTIF('Phản ánh'!$K$6:$K$505,$N271)&gt;0,COUNTIF($N$6:$N271,$N271)&gt;1),0,1)</f>
      </c>
      <c r="BA271" s="225">
        <f>IF($AZ271=1,SUM($AZ$6:$AZ271),"")</f>
      </c>
      <c r="BB271" s="225">
        <f>IF(OR($AO271=0,N($AW271)=0),0,IF(TDBC&lt;=$AW271,0,MAX(1,MIN(4,IF((TDBC-$AW271)*24&lt;24,1,IF((TDBC-$AW271)*24&lt;72,2,IF((TDBC-$AW271)*24&lt;168,3,4)))+IF($B271="Đột xuất",IFERROR(INDEX({2,1,0,-1},MATCH($L271,{"Khẩn cấp","Cao","Trung bình","Thấp"},0)),0),IF($D271="PCCC và an ninh",1,0))))))</f>
      </c>
    </row>
    <row r="272">
      <c r="A272" s="216"/>
      <c r="B272" s="216"/>
      <c r="C272" s="218"/>
      <c r="D272" s="218"/>
      <c r="E272" s="218"/>
      <c r="F272" s="216"/>
      <c r="G272" s="218"/>
      <c r="H272" s="218"/>
      <c r="I272" s="231"/>
      <c r="J272" s="217"/>
      <c r="K272" s="217"/>
      <c r="L272" s="216"/>
      <c r="M272" s="216"/>
      <c r="N272" s="218"/>
      <c r="O272" s="218"/>
      <c r="P272" s="218"/>
      <c r="Q272" s="218"/>
      <c r="R272" s="219"/>
      <c r="S272" s="216"/>
      <c r="T272" s="232"/>
      <c r="U272" s="232"/>
      <c r="V272" s="218"/>
      <c r="W272" s="218"/>
      <c r="X272" s="220">
        <f>IF($A272="","",IF(OR($B272="Định kỳ",$AA272="Hoàn thành"),MAX(_xlfn.MAXIFS('Nhật ký tiến độ'!$B$6:$B$3005,'Nhật ký tiến độ'!$C$6:$C$3005,$A272,'Nhật ký tiến độ'!$E$6:$E$3005,"Hoàn thành kỳ"),_xlfn.MAXIFS('Nhật ký tiến độ'!$B$6:$B$3005,'Nhật ký tiến độ'!$C$6:$C$3005,$A272,'Nhật ký tiến độ'!$E$6:$E$3005,"Hoàn thành")),0))</f>
      </c>
      <c r="Y272" s="220">
        <f>IF($A272="","",IF($B272="Đột xuất",IF($AY272=0,"",$AY272),IF($AX272=0,"",$AX272)))</f>
      </c>
      <c r="Z272" s="223">
        <f>IF(OR($AO272=0,$AW272=0),"",IF(TDBC&gt;$AW272,"Quá "&amp;IF($B272="Định kỳ",(NgayBC-$AP272)&amp;" ngày",IF(((TDBC-$AW272)*24)&lt;1,MAX(1,ROUND(((TDBC-$AW272)*24)*60,0))&amp;" phút",IF(ROUND(((TDBC-$AW272)*24),0)&lt;24,ROUND(((TDBC-$AW272)*24),0)&amp;" giờ",INT(ROUND(((TDBC-$AW272)*24),0)/24)&amp;" ngày"&amp;IF(MOD(ROUND(((TDBC-$AW272)*24),0),24)&gt;0," "&amp;MOD(ROUND(((TDBC-$AW272)*24),0),24)&amp;" giờ","")))),IF($B272="Định kỳ",IF($AP272=NgayBC,"Hôm nay","Còn "&amp;($AP272-NgayBC)&amp;" ngày"),"Còn "&amp;IF((($AW272-TDBC)*24)&lt;1,MAX(1,ROUND((($AW272-TDBC)*24)*60,0))&amp;" phút",IF(ROUND((($AW272-TDBC)*24),0)&lt;24,ROUND((($AW272-TDBC)*24),0)&amp;" giờ",INT(ROUND((($AW272-TDBC)*24),0)/24)&amp;" ngày"&amp;IF(MOD(ROUND((($AW272-TDBC)*24),0),24)&gt;0," "&amp;MOD(ROUND((($AW272-TDBC)*24),0),24)&amp;" giờ",""))))))</f>
      </c>
      <c r="AA272" s="221">
        <f>IF($A272="","",IF(N($AM272)=0,"Chưa bắt đầu",IF(OR($AN272="Hoàn thành kỳ",$AN272="Hoàn thành"),IF($B272="Định kỳ","Chưa bắt đầu","Hoàn thành"),$AN272)))</f>
      </c>
      <c r="AB272" s="222">
        <f>IF($A272="","",IF($AA272="Hoàn thành",1,IF(OR(N($AM272)=0,$AN272="Hoàn thành kỳ",$AN272="Hoàn thành"),0,N(INDEX('Nhật ký tiến độ'!$D:$D,$AM272)))))</f>
      </c>
      <c r="AC272" s="222">
        <f>IF(OR($A272="",$B272&lt;&gt;"Đột xuất",$AA272="Hoàn thành",N($J272)=0,$AW272=0),"",IF(TDBC&lt;=$J272,0,IF(TDBC&gt;=$AW272,1,(TDBC-$J272)/($AW272-$J272))))</f>
      </c>
      <c r="AD272" s="223">
        <f>IF($A272="","",IF($AA272="Hoàn thành","Hoàn thành",IF($AW272=0,"Chưa đặt hạn",IF(TDBC&gt;$AW272,"Quá hạn",IF(AND($B272="Đột xuất",ROUND((N($AC272)-$AB272)*100,0)&gt;=20),"Chậm tiến độ",IF($AP272=NgayBC,"Đến hạn hôm nay",IF($B272="Đột xuất",IF($AW272-TDBC&lt;=1,"Sắp đến hạn","Đúng tiến độ"),IF($AP272-NgayBC&lt;=3,"Sắp đến hạn","Theo lịch"))))))))</f>
      </c>
      <c r="AE272" s="223">
        <f>IF($AV272="","",IF($B272="Định kỳ","Bình quân "&amp;IF($AV272&lt;1,MAX(1,ROUND($AV272*60,0))&amp;" phút",IF(ROUND($AV272,0)&lt;24,ROUND($AV272,0)&amp;" giờ",INT(ROUND($AV272,0)/24)&amp;" ngày"&amp;IF(MOD(ROUND($AV272,0),24)&gt;0," "&amp;MOD(ROUND($AV272,0),24)&amp;" giờ","")))&amp;" mỗi kỳ",IF($AV272&lt;1,MAX(1,ROUND($AV272*60,0))&amp;" phút",IF(ROUND($AV272,0)&lt;24,ROUND($AV272,0)&amp;" giờ",INT(ROUND($AV272,0)/24)&amp;" ngày"&amp;IF(MOD(ROUND($AV272,0),24)&gt;0," "&amp;MOD(ROUND($AV272,0),24)&amp;" giờ","")))))</f>
      </c>
      <c r="AF272" s="223">
        <f>IF(OR($A272="",N($AU272)=0),"",IF($AV272&lt;&gt;"",IF($AV272&lt;=$AU272,"Trong ước tính","Vượt "&amp;IF(($AV272-$AU272)&lt;1,MAX(1,ROUND(($AV272-$AU272)*60,0))&amp;" phút",IF(ROUND(($AV272-$AU272),0)&lt;24,ROUND(($AV272-$AU272),0)&amp;" giờ",INT(ROUND(($AV272-$AU272),0)/24)&amp;" ngày"&amp;IF(MOD(ROUND(($AV272-$AU272),0),24)&gt;0," "&amp;MOD(ROUND(($AV272-$AU272),0),24)&amp;" giờ","")))),IF(OR($B272&lt;&gt;"Đột xuất",$AA272="Hoàn thành",N($J272)=0),"",IF((TDBC-$J272)*24&gt;$AU272,"Đã vượt ước tính","Đã dùng "&amp;TEXT((TDBC-$J272)*24/$AU272,"0%")))))</f>
      </c>
      <c r="AG272" s="223">
        <f>IF(N($BB272)=0,"",CHOOSE($BB272,"Nhắc nhở","Cảnh báo","Báo động","Báo động đỏ"))</f>
      </c>
      <c r="AH272" s="223">
        <f>IF(OR($B272&lt;&gt;"Đột xuất",$AA272&lt;&gt;"Hoàn thành",N($X272)=0,$AW272=0),"",IF($X272&lt;=$AW272,"Đúng hạn","Trễ hạn"))</f>
      </c>
      <c r="AI272" s="220">
        <f>IF($A272="","",_xlfn.MAXIFS('Nhật ký tiến độ'!$B$6:$B$3005,'Nhật ký tiến độ'!$C$6:$C$3005,$A272))</f>
      </c>
      <c r="AJ272" s="225">
        <f>IF(OR($A272="",$B272&lt;&gt;"Định kỳ"),0,IFERROR(INDEX(DM_TanSuatNgay,MATCH($H272,DM_TanSuat,0)),0))</f>
      </c>
      <c r="AK272" s="225">
        <f>IF(OR($A272="",$B272&lt;&gt;"Định kỳ"),0,IFERROR(INDEX(DM_TanSuatThang,MATCH($H272,DM_TanSuat,0)),0))</f>
      </c>
      <c r="AL272" s="225">
        <f>IF(OR($A272="",$B272&lt;&gt;"Định kỳ",N($X272)=0,N($I272)=0),"",IF(INT($X272)&lt;$I272,0,IF($AJ272&gt;0,ROUND((INT($X272)-$I272)/$AJ272,0),IF($AK272&gt;0,ROUND((DATEDIF($I272,INT($X272),"m")+(INT($X272)-EDATE($I272,DATEDIF($I272,INT($X272),"m")))/(EDATE($I272,DATEDIF($I272,INT($X272),"m")+1)-EDATE($I272,DATEDIF($I272,INT($X272),"m"))))/$AK272,0),0))))</f>
      </c>
      <c r="AM272" s="225">
        <f>IF($A272="","",IF(COUNTIF('Nhật ký tiến độ'!$C$6:$C$3005,$A272)=0,0,_xlfn.MAXIFS('Nhật ký tiến độ'!$N$6:$N$3005,'Nhật ký tiến độ'!$C$6:$C$3005,$A272,'Nhật ký tiến độ'!$B$6:$B$3005,_xlfn.MAXIFS('Nhật ký tiến độ'!$B$6:$B$3005,'Nhật ký tiến độ'!$C$6:$C$3005,$A272))))</f>
      </c>
      <c r="AN272" s="225">
        <f>IF($A272="","",IF(N($AM272)=0,"",INDEX('Nhật ký tiến độ'!$E:$E,$AM272)))</f>
      </c>
      <c r="AO272" s="225">
        <f>IF($A272="",0,IF($AA272="Hoàn thành",0,1))</f>
      </c>
      <c r="AP272" s="225">
        <f>IF($AO272=0,0,INT(N($AW272)))</f>
      </c>
      <c r="AQ272" s="225">
        <f>IF(AND($AO272=1,$AJ272&gt;1),$AJ272,0)</f>
      </c>
      <c r="AR272" s="225">
        <f>IF(AND($AO272=1,$AJ272=1),1,0)</f>
      </c>
      <c r="AS272" s="225">
        <f>IF(OR($AO272=0,AND($AR272=1,N($BB272)=0)),"",IF(N($BB272)&gt;0,5-$BB272,IF($AD272="Chậm tiến độ",6,IF($AD272="Đến hạn hôm nay",7,IF(AND($AP272&gt;0,$AP272-NgayBC&lt;=7),8,"")))))</f>
      </c>
      <c r="AT272" s="225">
        <f>IF($AS272="","",$AS272*100000+$AP272+ROW()/100000)</f>
      </c>
      <c r="AU272" s="224">
        <f>IF(OR($A272="",N($R272)&lt;=0),"",IF($S272="Ngày",$R272*24,$R272))</f>
      </c>
      <c r="AV272" s="224">
        <f>IF($A272="","",IF($B272="Đột xuất",IF(OR($AA272&lt;&gt;"Hoàn thành",N($X272)=0,N($J272)=0),"",IF($X272&lt;$J272,"",($X272-$J272)*24)),IFERROR(AVERAGEIFS('Nhật ký tiến độ'!$H$6:$H$3005,'Nhật ký tiến độ'!$C$6:$C$3005,$A272,'Nhật ký tiến độ'!$H$6:$H$3005,"&gt;0"),"")))</f>
      </c>
      <c r="AW272" s="233">
        <f>IF($A272="",0,IF($B272="Đột xuất",$AY272,IF($AX272=0,0,$AX272+1-1/1440)))</f>
      </c>
      <c r="AX272" s="234">
        <f>IF(OR($A272="",$B272&lt;&gt;"Định kỳ",N($I272)=0),0,IF($AL272="",$I272,IF($AJ272&gt;0,$I272+($AL272+1)*$AJ272,IF($AK272&gt;0,EDATE($I272,($AL272+1)*$AK272),$I272))))</f>
      </c>
      <c r="AY272" s="233">
        <f>IF(OR($A272="",$B272&lt;&gt;"Đột xuất"),0,IF(N($K272)&gt;0,IF(MOD($K272,1)=0,$K272+1-1/1440,$K272),IF(N($J272)=0,0,$J272+IF(N($AU272)&gt;0,$AU272,IFERROR(INDEX(DM_SLA_Gio,MATCH($L272,DM_SLA_Cap,0)),168))/24)))</f>
      </c>
      <c r="AZ272" s="225">
        <f>IF(OR($A272="",TRIM($N272)="",COUNTIF('Phản ánh'!$K$6:$K$505,$N272)&gt;0,COUNTIF($N$6:$N272,$N272)&gt;1),0,1)</f>
      </c>
      <c r="BA272" s="225">
        <f>IF($AZ272=1,SUM($AZ$6:$AZ272),"")</f>
      </c>
      <c r="BB272" s="225">
        <f>IF(OR($AO272=0,N($AW272)=0),0,IF(TDBC&lt;=$AW272,0,MAX(1,MIN(4,IF((TDBC-$AW272)*24&lt;24,1,IF((TDBC-$AW272)*24&lt;72,2,IF((TDBC-$AW272)*24&lt;168,3,4)))+IF($B272="Đột xuất",IFERROR(INDEX({2,1,0,-1},MATCH($L272,{"Khẩn cấp","Cao","Trung bình","Thấp"},0)),0),IF($D272="PCCC và an ninh",1,0))))))</f>
      </c>
    </row>
    <row r="273">
      <c r="A273" s="216"/>
      <c r="B273" s="216"/>
      <c r="C273" s="218"/>
      <c r="D273" s="218"/>
      <c r="E273" s="218"/>
      <c r="F273" s="216"/>
      <c r="G273" s="218"/>
      <c r="H273" s="218"/>
      <c r="I273" s="231"/>
      <c r="J273" s="217"/>
      <c r="K273" s="217"/>
      <c r="L273" s="216"/>
      <c r="M273" s="216"/>
      <c r="N273" s="218"/>
      <c r="O273" s="218"/>
      <c r="P273" s="218"/>
      <c r="Q273" s="218"/>
      <c r="R273" s="219"/>
      <c r="S273" s="216"/>
      <c r="T273" s="232"/>
      <c r="U273" s="232"/>
      <c r="V273" s="218"/>
      <c r="W273" s="218"/>
      <c r="X273" s="220">
        <f>IF($A273="","",IF(OR($B273="Định kỳ",$AA273="Hoàn thành"),MAX(_xlfn.MAXIFS('Nhật ký tiến độ'!$B$6:$B$3005,'Nhật ký tiến độ'!$C$6:$C$3005,$A273,'Nhật ký tiến độ'!$E$6:$E$3005,"Hoàn thành kỳ"),_xlfn.MAXIFS('Nhật ký tiến độ'!$B$6:$B$3005,'Nhật ký tiến độ'!$C$6:$C$3005,$A273,'Nhật ký tiến độ'!$E$6:$E$3005,"Hoàn thành")),0))</f>
      </c>
      <c r="Y273" s="220">
        <f>IF($A273="","",IF($B273="Đột xuất",IF($AY273=0,"",$AY273),IF($AX273=0,"",$AX273)))</f>
      </c>
      <c r="Z273" s="223">
        <f>IF(OR($AO273=0,$AW273=0),"",IF(TDBC&gt;$AW273,"Quá "&amp;IF($B273="Định kỳ",(NgayBC-$AP273)&amp;" ngày",IF(((TDBC-$AW273)*24)&lt;1,MAX(1,ROUND(((TDBC-$AW273)*24)*60,0))&amp;" phút",IF(ROUND(((TDBC-$AW273)*24),0)&lt;24,ROUND(((TDBC-$AW273)*24),0)&amp;" giờ",INT(ROUND(((TDBC-$AW273)*24),0)/24)&amp;" ngày"&amp;IF(MOD(ROUND(((TDBC-$AW273)*24),0),24)&gt;0," "&amp;MOD(ROUND(((TDBC-$AW273)*24),0),24)&amp;" giờ","")))),IF($B273="Định kỳ",IF($AP273=NgayBC,"Hôm nay","Còn "&amp;($AP273-NgayBC)&amp;" ngày"),"Còn "&amp;IF((($AW273-TDBC)*24)&lt;1,MAX(1,ROUND((($AW273-TDBC)*24)*60,0))&amp;" phút",IF(ROUND((($AW273-TDBC)*24),0)&lt;24,ROUND((($AW273-TDBC)*24),0)&amp;" giờ",INT(ROUND((($AW273-TDBC)*24),0)/24)&amp;" ngày"&amp;IF(MOD(ROUND((($AW273-TDBC)*24),0),24)&gt;0," "&amp;MOD(ROUND((($AW273-TDBC)*24),0),24)&amp;" giờ",""))))))</f>
      </c>
      <c r="AA273" s="221">
        <f>IF($A273="","",IF(N($AM273)=0,"Chưa bắt đầu",IF(OR($AN273="Hoàn thành kỳ",$AN273="Hoàn thành"),IF($B273="Định kỳ","Chưa bắt đầu","Hoàn thành"),$AN273)))</f>
      </c>
      <c r="AB273" s="222">
        <f>IF($A273="","",IF($AA273="Hoàn thành",1,IF(OR(N($AM273)=0,$AN273="Hoàn thành kỳ",$AN273="Hoàn thành"),0,N(INDEX('Nhật ký tiến độ'!$D:$D,$AM273)))))</f>
      </c>
      <c r="AC273" s="222">
        <f>IF(OR($A273="",$B273&lt;&gt;"Đột xuất",$AA273="Hoàn thành",N($J273)=0,$AW273=0),"",IF(TDBC&lt;=$J273,0,IF(TDBC&gt;=$AW273,1,(TDBC-$J273)/($AW273-$J273))))</f>
      </c>
      <c r="AD273" s="223">
        <f>IF($A273="","",IF($AA273="Hoàn thành","Hoàn thành",IF($AW273=0,"Chưa đặt hạn",IF(TDBC&gt;$AW273,"Quá hạn",IF(AND($B273="Đột xuất",ROUND((N($AC273)-$AB273)*100,0)&gt;=20),"Chậm tiến độ",IF($AP273=NgayBC,"Đến hạn hôm nay",IF($B273="Đột xuất",IF($AW273-TDBC&lt;=1,"Sắp đến hạn","Đúng tiến độ"),IF($AP273-NgayBC&lt;=3,"Sắp đến hạn","Theo lịch"))))))))</f>
      </c>
      <c r="AE273" s="223">
        <f>IF($AV273="","",IF($B273="Định kỳ","Bình quân "&amp;IF($AV273&lt;1,MAX(1,ROUND($AV273*60,0))&amp;" phút",IF(ROUND($AV273,0)&lt;24,ROUND($AV273,0)&amp;" giờ",INT(ROUND($AV273,0)/24)&amp;" ngày"&amp;IF(MOD(ROUND($AV273,0),24)&gt;0," "&amp;MOD(ROUND($AV273,0),24)&amp;" giờ","")))&amp;" mỗi kỳ",IF($AV273&lt;1,MAX(1,ROUND($AV273*60,0))&amp;" phút",IF(ROUND($AV273,0)&lt;24,ROUND($AV273,0)&amp;" giờ",INT(ROUND($AV273,0)/24)&amp;" ngày"&amp;IF(MOD(ROUND($AV273,0),24)&gt;0," "&amp;MOD(ROUND($AV273,0),24)&amp;" giờ","")))))</f>
      </c>
      <c r="AF273" s="223">
        <f>IF(OR($A273="",N($AU273)=0),"",IF($AV273&lt;&gt;"",IF($AV273&lt;=$AU273,"Trong ước tính","Vượt "&amp;IF(($AV273-$AU273)&lt;1,MAX(1,ROUND(($AV273-$AU273)*60,0))&amp;" phút",IF(ROUND(($AV273-$AU273),0)&lt;24,ROUND(($AV273-$AU273),0)&amp;" giờ",INT(ROUND(($AV273-$AU273),0)/24)&amp;" ngày"&amp;IF(MOD(ROUND(($AV273-$AU273),0),24)&gt;0," "&amp;MOD(ROUND(($AV273-$AU273),0),24)&amp;" giờ","")))),IF(OR($B273&lt;&gt;"Đột xuất",$AA273="Hoàn thành",N($J273)=0),"",IF((TDBC-$J273)*24&gt;$AU273,"Đã vượt ước tính","Đã dùng "&amp;TEXT((TDBC-$J273)*24/$AU273,"0%")))))</f>
      </c>
      <c r="AG273" s="223">
        <f>IF(N($BB273)=0,"",CHOOSE($BB273,"Nhắc nhở","Cảnh báo","Báo động","Báo động đỏ"))</f>
      </c>
      <c r="AH273" s="223">
        <f>IF(OR($B273&lt;&gt;"Đột xuất",$AA273&lt;&gt;"Hoàn thành",N($X273)=0,$AW273=0),"",IF($X273&lt;=$AW273,"Đúng hạn","Trễ hạn"))</f>
      </c>
      <c r="AI273" s="220">
        <f>IF($A273="","",_xlfn.MAXIFS('Nhật ký tiến độ'!$B$6:$B$3005,'Nhật ký tiến độ'!$C$6:$C$3005,$A273))</f>
      </c>
      <c r="AJ273" s="225">
        <f>IF(OR($A273="",$B273&lt;&gt;"Định kỳ"),0,IFERROR(INDEX(DM_TanSuatNgay,MATCH($H273,DM_TanSuat,0)),0))</f>
      </c>
      <c r="AK273" s="225">
        <f>IF(OR($A273="",$B273&lt;&gt;"Định kỳ"),0,IFERROR(INDEX(DM_TanSuatThang,MATCH($H273,DM_TanSuat,0)),0))</f>
      </c>
      <c r="AL273" s="225">
        <f>IF(OR($A273="",$B273&lt;&gt;"Định kỳ",N($X273)=0,N($I273)=0),"",IF(INT($X273)&lt;$I273,0,IF($AJ273&gt;0,ROUND((INT($X273)-$I273)/$AJ273,0),IF($AK273&gt;0,ROUND((DATEDIF($I273,INT($X273),"m")+(INT($X273)-EDATE($I273,DATEDIF($I273,INT($X273),"m")))/(EDATE($I273,DATEDIF($I273,INT($X273),"m")+1)-EDATE($I273,DATEDIF($I273,INT($X273),"m"))))/$AK273,0),0))))</f>
      </c>
      <c r="AM273" s="225">
        <f>IF($A273="","",IF(COUNTIF('Nhật ký tiến độ'!$C$6:$C$3005,$A273)=0,0,_xlfn.MAXIFS('Nhật ký tiến độ'!$N$6:$N$3005,'Nhật ký tiến độ'!$C$6:$C$3005,$A273,'Nhật ký tiến độ'!$B$6:$B$3005,_xlfn.MAXIFS('Nhật ký tiến độ'!$B$6:$B$3005,'Nhật ký tiến độ'!$C$6:$C$3005,$A273))))</f>
      </c>
      <c r="AN273" s="225">
        <f>IF($A273="","",IF(N($AM273)=0,"",INDEX('Nhật ký tiến độ'!$E:$E,$AM273)))</f>
      </c>
      <c r="AO273" s="225">
        <f>IF($A273="",0,IF($AA273="Hoàn thành",0,1))</f>
      </c>
      <c r="AP273" s="225">
        <f>IF($AO273=0,0,INT(N($AW273)))</f>
      </c>
      <c r="AQ273" s="225">
        <f>IF(AND($AO273=1,$AJ273&gt;1),$AJ273,0)</f>
      </c>
      <c r="AR273" s="225">
        <f>IF(AND($AO273=1,$AJ273=1),1,0)</f>
      </c>
      <c r="AS273" s="225">
        <f>IF(OR($AO273=0,AND($AR273=1,N($BB273)=0)),"",IF(N($BB273)&gt;0,5-$BB273,IF($AD273="Chậm tiến độ",6,IF($AD273="Đến hạn hôm nay",7,IF(AND($AP273&gt;0,$AP273-NgayBC&lt;=7),8,"")))))</f>
      </c>
      <c r="AT273" s="225">
        <f>IF($AS273="","",$AS273*100000+$AP273+ROW()/100000)</f>
      </c>
      <c r="AU273" s="224">
        <f>IF(OR($A273="",N($R273)&lt;=0),"",IF($S273="Ngày",$R273*24,$R273))</f>
      </c>
      <c r="AV273" s="224">
        <f>IF($A273="","",IF($B273="Đột xuất",IF(OR($AA273&lt;&gt;"Hoàn thành",N($X273)=0,N($J273)=0),"",IF($X273&lt;$J273,"",($X273-$J273)*24)),IFERROR(AVERAGEIFS('Nhật ký tiến độ'!$H$6:$H$3005,'Nhật ký tiến độ'!$C$6:$C$3005,$A273,'Nhật ký tiến độ'!$H$6:$H$3005,"&gt;0"),"")))</f>
      </c>
      <c r="AW273" s="233">
        <f>IF($A273="",0,IF($B273="Đột xuất",$AY273,IF($AX273=0,0,$AX273+1-1/1440)))</f>
      </c>
      <c r="AX273" s="234">
        <f>IF(OR($A273="",$B273&lt;&gt;"Định kỳ",N($I273)=0),0,IF($AL273="",$I273,IF($AJ273&gt;0,$I273+($AL273+1)*$AJ273,IF($AK273&gt;0,EDATE($I273,($AL273+1)*$AK273),$I273))))</f>
      </c>
      <c r="AY273" s="233">
        <f>IF(OR($A273="",$B273&lt;&gt;"Đột xuất"),0,IF(N($K273)&gt;0,IF(MOD($K273,1)=0,$K273+1-1/1440,$K273),IF(N($J273)=0,0,$J273+IF(N($AU273)&gt;0,$AU273,IFERROR(INDEX(DM_SLA_Gio,MATCH($L273,DM_SLA_Cap,0)),168))/24)))</f>
      </c>
      <c r="AZ273" s="225">
        <f>IF(OR($A273="",TRIM($N273)="",COUNTIF('Phản ánh'!$K$6:$K$505,$N273)&gt;0,COUNTIF($N$6:$N273,$N273)&gt;1),0,1)</f>
      </c>
      <c r="BA273" s="225">
        <f>IF($AZ273=1,SUM($AZ$6:$AZ273),"")</f>
      </c>
      <c r="BB273" s="225">
        <f>IF(OR($AO273=0,N($AW273)=0),0,IF(TDBC&lt;=$AW273,0,MAX(1,MIN(4,IF((TDBC-$AW273)*24&lt;24,1,IF((TDBC-$AW273)*24&lt;72,2,IF((TDBC-$AW273)*24&lt;168,3,4)))+IF($B273="Đột xuất",IFERROR(INDEX({2,1,0,-1},MATCH($L273,{"Khẩn cấp","Cao","Trung bình","Thấp"},0)),0),IF($D273="PCCC và an ninh",1,0))))))</f>
      </c>
    </row>
    <row r="274">
      <c r="A274" s="216"/>
      <c r="B274" s="216"/>
      <c r="C274" s="218"/>
      <c r="D274" s="218"/>
      <c r="E274" s="218"/>
      <c r="F274" s="216"/>
      <c r="G274" s="218"/>
      <c r="H274" s="218"/>
      <c r="I274" s="231"/>
      <c r="J274" s="217"/>
      <c r="K274" s="217"/>
      <c r="L274" s="216"/>
      <c r="M274" s="216"/>
      <c r="N274" s="218"/>
      <c r="O274" s="218"/>
      <c r="P274" s="218"/>
      <c r="Q274" s="218"/>
      <c r="R274" s="219"/>
      <c r="S274" s="216"/>
      <c r="T274" s="232"/>
      <c r="U274" s="232"/>
      <c r="V274" s="218"/>
      <c r="W274" s="218"/>
      <c r="X274" s="220">
        <f>IF($A274="","",IF(OR($B274="Định kỳ",$AA274="Hoàn thành"),MAX(_xlfn.MAXIFS('Nhật ký tiến độ'!$B$6:$B$3005,'Nhật ký tiến độ'!$C$6:$C$3005,$A274,'Nhật ký tiến độ'!$E$6:$E$3005,"Hoàn thành kỳ"),_xlfn.MAXIFS('Nhật ký tiến độ'!$B$6:$B$3005,'Nhật ký tiến độ'!$C$6:$C$3005,$A274,'Nhật ký tiến độ'!$E$6:$E$3005,"Hoàn thành")),0))</f>
      </c>
      <c r="Y274" s="220">
        <f>IF($A274="","",IF($B274="Đột xuất",IF($AY274=0,"",$AY274),IF($AX274=0,"",$AX274)))</f>
      </c>
      <c r="Z274" s="223">
        <f>IF(OR($AO274=0,$AW274=0),"",IF(TDBC&gt;$AW274,"Quá "&amp;IF($B274="Định kỳ",(NgayBC-$AP274)&amp;" ngày",IF(((TDBC-$AW274)*24)&lt;1,MAX(1,ROUND(((TDBC-$AW274)*24)*60,0))&amp;" phút",IF(ROUND(((TDBC-$AW274)*24),0)&lt;24,ROUND(((TDBC-$AW274)*24),0)&amp;" giờ",INT(ROUND(((TDBC-$AW274)*24),0)/24)&amp;" ngày"&amp;IF(MOD(ROUND(((TDBC-$AW274)*24),0),24)&gt;0," "&amp;MOD(ROUND(((TDBC-$AW274)*24),0),24)&amp;" giờ","")))),IF($B274="Định kỳ",IF($AP274=NgayBC,"Hôm nay","Còn "&amp;($AP274-NgayBC)&amp;" ngày"),"Còn "&amp;IF((($AW274-TDBC)*24)&lt;1,MAX(1,ROUND((($AW274-TDBC)*24)*60,0))&amp;" phút",IF(ROUND((($AW274-TDBC)*24),0)&lt;24,ROUND((($AW274-TDBC)*24),0)&amp;" giờ",INT(ROUND((($AW274-TDBC)*24),0)/24)&amp;" ngày"&amp;IF(MOD(ROUND((($AW274-TDBC)*24),0),24)&gt;0," "&amp;MOD(ROUND((($AW274-TDBC)*24),0),24)&amp;" giờ",""))))))</f>
      </c>
      <c r="AA274" s="221">
        <f>IF($A274="","",IF(N($AM274)=0,"Chưa bắt đầu",IF(OR($AN274="Hoàn thành kỳ",$AN274="Hoàn thành"),IF($B274="Định kỳ","Chưa bắt đầu","Hoàn thành"),$AN274)))</f>
      </c>
      <c r="AB274" s="222">
        <f>IF($A274="","",IF($AA274="Hoàn thành",1,IF(OR(N($AM274)=0,$AN274="Hoàn thành kỳ",$AN274="Hoàn thành"),0,N(INDEX('Nhật ký tiến độ'!$D:$D,$AM274)))))</f>
      </c>
      <c r="AC274" s="222">
        <f>IF(OR($A274="",$B274&lt;&gt;"Đột xuất",$AA274="Hoàn thành",N($J274)=0,$AW274=0),"",IF(TDBC&lt;=$J274,0,IF(TDBC&gt;=$AW274,1,(TDBC-$J274)/($AW274-$J274))))</f>
      </c>
      <c r="AD274" s="223">
        <f>IF($A274="","",IF($AA274="Hoàn thành","Hoàn thành",IF($AW274=0,"Chưa đặt hạn",IF(TDBC&gt;$AW274,"Quá hạn",IF(AND($B274="Đột xuất",ROUND((N($AC274)-$AB274)*100,0)&gt;=20),"Chậm tiến độ",IF($AP274=NgayBC,"Đến hạn hôm nay",IF($B274="Đột xuất",IF($AW274-TDBC&lt;=1,"Sắp đến hạn","Đúng tiến độ"),IF($AP274-NgayBC&lt;=3,"Sắp đến hạn","Theo lịch"))))))))</f>
      </c>
      <c r="AE274" s="223">
        <f>IF($AV274="","",IF($B274="Định kỳ","Bình quân "&amp;IF($AV274&lt;1,MAX(1,ROUND($AV274*60,0))&amp;" phút",IF(ROUND($AV274,0)&lt;24,ROUND($AV274,0)&amp;" giờ",INT(ROUND($AV274,0)/24)&amp;" ngày"&amp;IF(MOD(ROUND($AV274,0),24)&gt;0," "&amp;MOD(ROUND($AV274,0),24)&amp;" giờ","")))&amp;" mỗi kỳ",IF($AV274&lt;1,MAX(1,ROUND($AV274*60,0))&amp;" phút",IF(ROUND($AV274,0)&lt;24,ROUND($AV274,0)&amp;" giờ",INT(ROUND($AV274,0)/24)&amp;" ngày"&amp;IF(MOD(ROUND($AV274,0),24)&gt;0," "&amp;MOD(ROUND($AV274,0),24)&amp;" giờ","")))))</f>
      </c>
      <c r="AF274" s="223">
        <f>IF(OR($A274="",N($AU274)=0),"",IF($AV274&lt;&gt;"",IF($AV274&lt;=$AU274,"Trong ước tính","Vượt "&amp;IF(($AV274-$AU274)&lt;1,MAX(1,ROUND(($AV274-$AU274)*60,0))&amp;" phút",IF(ROUND(($AV274-$AU274),0)&lt;24,ROUND(($AV274-$AU274),0)&amp;" giờ",INT(ROUND(($AV274-$AU274),0)/24)&amp;" ngày"&amp;IF(MOD(ROUND(($AV274-$AU274),0),24)&gt;0," "&amp;MOD(ROUND(($AV274-$AU274),0),24)&amp;" giờ","")))),IF(OR($B274&lt;&gt;"Đột xuất",$AA274="Hoàn thành",N($J274)=0),"",IF((TDBC-$J274)*24&gt;$AU274,"Đã vượt ước tính","Đã dùng "&amp;TEXT((TDBC-$J274)*24/$AU274,"0%")))))</f>
      </c>
      <c r="AG274" s="223">
        <f>IF(N($BB274)=0,"",CHOOSE($BB274,"Nhắc nhở","Cảnh báo","Báo động","Báo động đỏ"))</f>
      </c>
      <c r="AH274" s="223">
        <f>IF(OR($B274&lt;&gt;"Đột xuất",$AA274&lt;&gt;"Hoàn thành",N($X274)=0,$AW274=0),"",IF($X274&lt;=$AW274,"Đúng hạn","Trễ hạn"))</f>
      </c>
      <c r="AI274" s="220">
        <f>IF($A274="","",_xlfn.MAXIFS('Nhật ký tiến độ'!$B$6:$B$3005,'Nhật ký tiến độ'!$C$6:$C$3005,$A274))</f>
      </c>
      <c r="AJ274" s="225">
        <f>IF(OR($A274="",$B274&lt;&gt;"Định kỳ"),0,IFERROR(INDEX(DM_TanSuatNgay,MATCH($H274,DM_TanSuat,0)),0))</f>
      </c>
      <c r="AK274" s="225">
        <f>IF(OR($A274="",$B274&lt;&gt;"Định kỳ"),0,IFERROR(INDEX(DM_TanSuatThang,MATCH($H274,DM_TanSuat,0)),0))</f>
      </c>
      <c r="AL274" s="225">
        <f>IF(OR($A274="",$B274&lt;&gt;"Định kỳ",N($X274)=0,N($I274)=0),"",IF(INT($X274)&lt;$I274,0,IF($AJ274&gt;0,ROUND((INT($X274)-$I274)/$AJ274,0),IF($AK274&gt;0,ROUND((DATEDIF($I274,INT($X274),"m")+(INT($X274)-EDATE($I274,DATEDIF($I274,INT($X274),"m")))/(EDATE($I274,DATEDIF($I274,INT($X274),"m")+1)-EDATE($I274,DATEDIF($I274,INT($X274),"m"))))/$AK274,0),0))))</f>
      </c>
      <c r="AM274" s="225">
        <f>IF($A274="","",IF(COUNTIF('Nhật ký tiến độ'!$C$6:$C$3005,$A274)=0,0,_xlfn.MAXIFS('Nhật ký tiến độ'!$N$6:$N$3005,'Nhật ký tiến độ'!$C$6:$C$3005,$A274,'Nhật ký tiến độ'!$B$6:$B$3005,_xlfn.MAXIFS('Nhật ký tiến độ'!$B$6:$B$3005,'Nhật ký tiến độ'!$C$6:$C$3005,$A274))))</f>
      </c>
      <c r="AN274" s="225">
        <f>IF($A274="","",IF(N($AM274)=0,"",INDEX('Nhật ký tiến độ'!$E:$E,$AM274)))</f>
      </c>
      <c r="AO274" s="225">
        <f>IF($A274="",0,IF($AA274="Hoàn thành",0,1))</f>
      </c>
      <c r="AP274" s="225">
        <f>IF($AO274=0,0,INT(N($AW274)))</f>
      </c>
      <c r="AQ274" s="225">
        <f>IF(AND($AO274=1,$AJ274&gt;1),$AJ274,0)</f>
      </c>
      <c r="AR274" s="225">
        <f>IF(AND($AO274=1,$AJ274=1),1,0)</f>
      </c>
      <c r="AS274" s="225">
        <f>IF(OR($AO274=0,AND($AR274=1,N($BB274)=0)),"",IF(N($BB274)&gt;0,5-$BB274,IF($AD274="Chậm tiến độ",6,IF($AD274="Đến hạn hôm nay",7,IF(AND($AP274&gt;0,$AP274-NgayBC&lt;=7),8,"")))))</f>
      </c>
      <c r="AT274" s="225">
        <f>IF($AS274="","",$AS274*100000+$AP274+ROW()/100000)</f>
      </c>
      <c r="AU274" s="224">
        <f>IF(OR($A274="",N($R274)&lt;=0),"",IF($S274="Ngày",$R274*24,$R274))</f>
      </c>
      <c r="AV274" s="224">
        <f>IF($A274="","",IF($B274="Đột xuất",IF(OR($AA274&lt;&gt;"Hoàn thành",N($X274)=0,N($J274)=0),"",IF($X274&lt;$J274,"",($X274-$J274)*24)),IFERROR(AVERAGEIFS('Nhật ký tiến độ'!$H$6:$H$3005,'Nhật ký tiến độ'!$C$6:$C$3005,$A274,'Nhật ký tiến độ'!$H$6:$H$3005,"&gt;0"),"")))</f>
      </c>
      <c r="AW274" s="233">
        <f>IF($A274="",0,IF($B274="Đột xuất",$AY274,IF($AX274=0,0,$AX274+1-1/1440)))</f>
      </c>
      <c r="AX274" s="234">
        <f>IF(OR($A274="",$B274&lt;&gt;"Định kỳ",N($I274)=0),0,IF($AL274="",$I274,IF($AJ274&gt;0,$I274+($AL274+1)*$AJ274,IF($AK274&gt;0,EDATE($I274,($AL274+1)*$AK274),$I274))))</f>
      </c>
      <c r="AY274" s="233">
        <f>IF(OR($A274="",$B274&lt;&gt;"Đột xuất"),0,IF(N($K274)&gt;0,IF(MOD($K274,1)=0,$K274+1-1/1440,$K274),IF(N($J274)=0,0,$J274+IF(N($AU274)&gt;0,$AU274,IFERROR(INDEX(DM_SLA_Gio,MATCH($L274,DM_SLA_Cap,0)),168))/24)))</f>
      </c>
      <c r="AZ274" s="225">
        <f>IF(OR($A274="",TRIM($N274)="",COUNTIF('Phản ánh'!$K$6:$K$505,$N274)&gt;0,COUNTIF($N$6:$N274,$N274)&gt;1),0,1)</f>
      </c>
      <c r="BA274" s="225">
        <f>IF($AZ274=1,SUM($AZ$6:$AZ274),"")</f>
      </c>
      <c r="BB274" s="225">
        <f>IF(OR($AO274=0,N($AW274)=0),0,IF(TDBC&lt;=$AW274,0,MAX(1,MIN(4,IF((TDBC-$AW274)*24&lt;24,1,IF((TDBC-$AW274)*24&lt;72,2,IF((TDBC-$AW274)*24&lt;168,3,4)))+IF($B274="Đột xuất",IFERROR(INDEX({2,1,0,-1},MATCH($L274,{"Khẩn cấp","Cao","Trung bình","Thấp"},0)),0),IF($D274="PCCC và an ninh",1,0))))))</f>
      </c>
    </row>
    <row r="275">
      <c r="A275" s="216"/>
      <c r="B275" s="216"/>
      <c r="C275" s="218"/>
      <c r="D275" s="218"/>
      <c r="E275" s="218"/>
      <c r="F275" s="216"/>
      <c r="G275" s="218"/>
      <c r="H275" s="218"/>
      <c r="I275" s="231"/>
      <c r="J275" s="217"/>
      <c r="K275" s="217"/>
      <c r="L275" s="216"/>
      <c r="M275" s="216"/>
      <c r="N275" s="218"/>
      <c r="O275" s="218"/>
      <c r="P275" s="218"/>
      <c r="Q275" s="218"/>
      <c r="R275" s="219"/>
      <c r="S275" s="216"/>
      <c r="T275" s="232"/>
      <c r="U275" s="232"/>
      <c r="V275" s="218"/>
      <c r="W275" s="218"/>
      <c r="X275" s="220">
        <f>IF($A275="","",IF(OR($B275="Định kỳ",$AA275="Hoàn thành"),MAX(_xlfn.MAXIFS('Nhật ký tiến độ'!$B$6:$B$3005,'Nhật ký tiến độ'!$C$6:$C$3005,$A275,'Nhật ký tiến độ'!$E$6:$E$3005,"Hoàn thành kỳ"),_xlfn.MAXIFS('Nhật ký tiến độ'!$B$6:$B$3005,'Nhật ký tiến độ'!$C$6:$C$3005,$A275,'Nhật ký tiến độ'!$E$6:$E$3005,"Hoàn thành")),0))</f>
      </c>
      <c r="Y275" s="220">
        <f>IF($A275="","",IF($B275="Đột xuất",IF($AY275=0,"",$AY275),IF($AX275=0,"",$AX275)))</f>
      </c>
      <c r="Z275" s="223">
        <f>IF(OR($AO275=0,$AW275=0),"",IF(TDBC&gt;$AW275,"Quá "&amp;IF($B275="Định kỳ",(NgayBC-$AP275)&amp;" ngày",IF(((TDBC-$AW275)*24)&lt;1,MAX(1,ROUND(((TDBC-$AW275)*24)*60,0))&amp;" phút",IF(ROUND(((TDBC-$AW275)*24),0)&lt;24,ROUND(((TDBC-$AW275)*24),0)&amp;" giờ",INT(ROUND(((TDBC-$AW275)*24),0)/24)&amp;" ngày"&amp;IF(MOD(ROUND(((TDBC-$AW275)*24),0),24)&gt;0," "&amp;MOD(ROUND(((TDBC-$AW275)*24),0),24)&amp;" giờ","")))),IF($B275="Định kỳ",IF($AP275=NgayBC,"Hôm nay","Còn "&amp;($AP275-NgayBC)&amp;" ngày"),"Còn "&amp;IF((($AW275-TDBC)*24)&lt;1,MAX(1,ROUND((($AW275-TDBC)*24)*60,0))&amp;" phút",IF(ROUND((($AW275-TDBC)*24),0)&lt;24,ROUND((($AW275-TDBC)*24),0)&amp;" giờ",INT(ROUND((($AW275-TDBC)*24),0)/24)&amp;" ngày"&amp;IF(MOD(ROUND((($AW275-TDBC)*24),0),24)&gt;0," "&amp;MOD(ROUND((($AW275-TDBC)*24),0),24)&amp;" giờ",""))))))</f>
      </c>
      <c r="AA275" s="221">
        <f>IF($A275="","",IF(N($AM275)=0,"Chưa bắt đầu",IF(OR($AN275="Hoàn thành kỳ",$AN275="Hoàn thành"),IF($B275="Định kỳ","Chưa bắt đầu","Hoàn thành"),$AN275)))</f>
      </c>
      <c r="AB275" s="222">
        <f>IF($A275="","",IF($AA275="Hoàn thành",1,IF(OR(N($AM275)=0,$AN275="Hoàn thành kỳ",$AN275="Hoàn thành"),0,N(INDEX('Nhật ký tiến độ'!$D:$D,$AM275)))))</f>
      </c>
      <c r="AC275" s="222">
        <f>IF(OR($A275="",$B275&lt;&gt;"Đột xuất",$AA275="Hoàn thành",N($J275)=0,$AW275=0),"",IF(TDBC&lt;=$J275,0,IF(TDBC&gt;=$AW275,1,(TDBC-$J275)/($AW275-$J275))))</f>
      </c>
      <c r="AD275" s="223">
        <f>IF($A275="","",IF($AA275="Hoàn thành","Hoàn thành",IF($AW275=0,"Chưa đặt hạn",IF(TDBC&gt;$AW275,"Quá hạn",IF(AND($B275="Đột xuất",ROUND((N($AC275)-$AB275)*100,0)&gt;=20),"Chậm tiến độ",IF($AP275=NgayBC,"Đến hạn hôm nay",IF($B275="Đột xuất",IF($AW275-TDBC&lt;=1,"Sắp đến hạn","Đúng tiến độ"),IF($AP275-NgayBC&lt;=3,"Sắp đến hạn","Theo lịch"))))))))</f>
      </c>
      <c r="AE275" s="223">
        <f>IF($AV275="","",IF($B275="Định kỳ","Bình quân "&amp;IF($AV275&lt;1,MAX(1,ROUND($AV275*60,0))&amp;" phút",IF(ROUND($AV275,0)&lt;24,ROUND($AV275,0)&amp;" giờ",INT(ROUND($AV275,0)/24)&amp;" ngày"&amp;IF(MOD(ROUND($AV275,0),24)&gt;0," "&amp;MOD(ROUND($AV275,0),24)&amp;" giờ","")))&amp;" mỗi kỳ",IF($AV275&lt;1,MAX(1,ROUND($AV275*60,0))&amp;" phút",IF(ROUND($AV275,0)&lt;24,ROUND($AV275,0)&amp;" giờ",INT(ROUND($AV275,0)/24)&amp;" ngày"&amp;IF(MOD(ROUND($AV275,0),24)&gt;0," "&amp;MOD(ROUND($AV275,0),24)&amp;" giờ","")))))</f>
      </c>
      <c r="AF275" s="223">
        <f>IF(OR($A275="",N($AU275)=0),"",IF($AV275&lt;&gt;"",IF($AV275&lt;=$AU275,"Trong ước tính","Vượt "&amp;IF(($AV275-$AU275)&lt;1,MAX(1,ROUND(($AV275-$AU275)*60,0))&amp;" phút",IF(ROUND(($AV275-$AU275),0)&lt;24,ROUND(($AV275-$AU275),0)&amp;" giờ",INT(ROUND(($AV275-$AU275),0)/24)&amp;" ngày"&amp;IF(MOD(ROUND(($AV275-$AU275),0),24)&gt;0," "&amp;MOD(ROUND(($AV275-$AU275),0),24)&amp;" giờ","")))),IF(OR($B275&lt;&gt;"Đột xuất",$AA275="Hoàn thành",N($J275)=0),"",IF((TDBC-$J275)*24&gt;$AU275,"Đã vượt ước tính","Đã dùng "&amp;TEXT((TDBC-$J275)*24/$AU275,"0%")))))</f>
      </c>
      <c r="AG275" s="223">
        <f>IF(N($BB275)=0,"",CHOOSE($BB275,"Nhắc nhở","Cảnh báo","Báo động","Báo động đỏ"))</f>
      </c>
      <c r="AH275" s="223">
        <f>IF(OR($B275&lt;&gt;"Đột xuất",$AA275&lt;&gt;"Hoàn thành",N($X275)=0,$AW275=0),"",IF($X275&lt;=$AW275,"Đúng hạn","Trễ hạn"))</f>
      </c>
      <c r="AI275" s="220">
        <f>IF($A275="","",_xlfn.MAXIFS('Nhật ký tiến độ'!$B$6:$B$3005,'Nhật ký tiến độ'!$C$6:$C$3005,$A275))</f>
      </c>
      <c r="AJ275" s="225">
        <f>IF(OR($A275="",$B275&lt;&gt;"Định kỳ"),0,IFERROR(INDEX(DM_TanSuatNgay,MATCH($H275,DM_TanSuat,0)),0))</f>
      </c>
      <c r="AK275" s="225">
        <f>IF(OR($A275="",$B275&lt;&gt;"Định kỳ"),0,IFERROR(INDEX(DM_TanSuatThang,MATCH($H275,DM_TanSuat,0)),0))</f>
      </c>
      <c r="AL275" s="225">
        <f>IF(OR($A275="",$B275&lt;&gt;"Định kỳ",N($X275)=0,N($I275)=0),"",IF(INT($X275)&lt;$I275,0,IF($AJ275&gt;0,ROUND((INT($X275)-$I275)/$AJ275,0),IF($AK275&gt;0,ROUND((DATEDIF($I275,INT($X275),"m")+(INT($X275)-EDATE($I275,DATEDIF($I275,INT($X275),"m")))/(EDATE($I275,DATEDIF($I275,INT($X275),"m")+1)-EDATE($I275,DATEDIF($I275,INT($X275),"m"))))/$AK275,0),0))))</f>
      </c>
      <c r="AM275" s="225">
        <f>IF($A275="","",IF(COUNTIF('Nhật ký tiến độ'!$C$6:$C$3005,$A275)=0,0,_xlfn.MAXIFS('Nhật ký tiến độ'!$N$6:$N$3005,'Nhật ký tiến độ'!$C$6:$C$3005,$A275,'Nhật ký tiến độ'!$B$6:$B$3005,_xlfn.MAXIFS('Nhật ký tiến độ'!$B$6:$B$3005,'Nhật ký tiến độ'!$C$6:$C$3005,$A275))))</f>
      </c>
      <c r="AN275" s="225">
        <f>IF($A275="","",IF(N($AM275)=0,"",INDEX('Nhật ký tiến độ'!$E:$E,$AM275)))</f>
      </c>
      <c r="AO275" s="225">
        <f>IF($A275="",0,IF($AA275="Hoàn thành",0,1))</f>
      </c>
      <c r="AP275" s="225">
        <f>IF($AO275=0,0,INT(N($AW275)))</f>
      </c>
      <c r="AQ275" s="225">
        <f>IF(AND($AO275=1,$AJ275&gt;1),$AJ275,0)</f>
      </c>
      <c r="AR275" s="225">
        <f>IF(AND($AO275=1,$AJ275=1),1,0)</f>
      </c>
      <c r="AS275" s="225">
        <f>IF(OR($AO275=0,AND($AR275=1,N($BB275)=0)),"",IF(N($BB275)&gt;0,5-$BB275,IF($AD275="Chậm tiến độ",6,IF($AD275="Đến hạn hôm nay",7,IF(AND($AP275&gt;0,$AP275-NgayBC&lt;=7),8,"")))))</f>
      </c>
      <c r="AT275" s="225">
        <f>IF($AS275="","",$AS275*100000+$AP275+ROW()/100000)</f>
      </c>
      <c r="AU275" s="224">
        <f>IF(OR($A275="",N($R275)&lt;=0),"",IF($S275="Ngày",$R275*24,$R275))</f>
      </c>
      <c r="AV275" s="224">
        <f>IF($A275="","",IF($B275="Đột xuất",IF(OR($AA275&lt;&gt;"Hoàn thành",N($X275)=0,N($J275)=0),"",IF($X275&lt;$J275,"",($X275-$J275)*24)),IFERROR(AVERAGEIFS('Nhật ký tiến độ'!$H$6:$H$3005,'Nhật ký tiến độ'!$C$6:$C$3005,$A275,'Nhật ký tiến độ'!$H$6:$H$3005,"&gt;0"),"")))</f>
      </c>
      <c r="AW275" s="233">
        <f>IF($A275="",0,IF($B275="Đột xuất",$AY275,IF($AX275=0,0,$AX275+1-1/1440)))</f>
      </c>
      <c r="AX275" s="234">
        <f>IF(OR($A275="",$B275&lt;&gt;"Định kỳ",N($I275)=0),0,IF($AL275="",$I275,IF($AJ275&gt;0,$I275+($AL275+1)*$AJ275,IF($AK275&gt;0,EDATE($I275,($AL275+1)*$AK275),$I275))))</f>
      </c>
      <c r="AY275" s="233">
        <f>IF(OR($A275="",$B275&lt;&gt;"Đột xuất"),0,IF(N($K275)&gt;0,IF(MOD($K275,1)=0,$K275+1-1/1440,$K275),IF(N($J275)=0,0,$J275+IF(N($AU275)&gt;0,$AU275,IFERROR(INDEX(DM_SLA_Gio,MATCH($L275,DM_SLA_Cap,0)),168))/24)))</f>
      </c>
      <c r="AZ275" s="225">
        <f>IF(OR($A275="",TRIM($N275)="",COUNTIF('Phản ánh'!$K$6:$K$505,$N275)&gt;0,COUNTIF($N$6:$N275,$N275)&gt;1),0,1)</f>
      </c>
      <c r="BA275" s="225">
        <f>IF($AZ275=1,SUM($AZ$6:$AZ275),"")</f>
      </c>
      <c r="BB275" s="225">
        <f>IF(OR($AO275=0,N($AW275)=0),0,IF(TDBC&lt;=$AW275,0,MAX(1,MIN(4,IF((TDBC-$AW275)*24&lt;24,1,IF((TDBC-$AW275)*24&lt;72,2,IF((TDBC-$AW275)*24&lt;168,3,4)))+IF($B275="Đột xuất",IFERROR(INDEX({2,1,0,-1},MATCH($L275,{"Khẩn cấp","Cao","Trung bình","Thấp"},0)),0),IF($D275="PCCC và an ninh",1,0))))))</f>
      </c>
    </row>
    <row r="276">
      <c r="A276" s="216"/>
      <c r="B276" s="216"/>
      <c r="C276" s="218"/>
      <c r="D276" s="218"/>
      <c r="E276" s="218"/>
      <c r="F276" s="216"/>
      <c r="G276" s="218"/>
      <c r="H276" s="218"/>
      <c r="I276" s="231"/>
      <c r="J276" s="217"/>
      <c r="K276" s="217"/>
      <c r="L276" s="216"/>
      <c r="M276" s="216"/>
      <c r="N276" s="218"/>
      <c r="O276" s="218"/>
      <c r="P276" s="218"/>
      <c r="Q276" s="218"/>
      <c r="R276" s="219"/>
      <c r="S276" s="216"/>
      <c r="T276" s="232"/>
      <c r="U276" s="232"/>
      <c r="V276" s="218"/>
      <c r="W276" s="218"/>
      <c r="X276" s="220">
        <f>IF($A276="","",IF(OR($B276="Định kỳ",$AA276="Hoàn thành"),MAX(_xlfn.MAXIFS('Nhật ký tiến độ'!$B$6:$B$3005,'Nhật ký tiến độ'!$C$6:$C$3005,$A276,'Nhật ký tiến độ'!$E$6:$E$3005,"Hoàn thành kỳ"),_xlfn.MAXIFS('Nhật ký tiến độ'!$B$6:$B$3005,'Nhật ký tiến độ'!$C$6:$C$3005,$A276,'Nhật ký tiến độ'!$E$6:$E$3005,"Hoàn thành")),0))</f>
      </c>
      <c r="Y276" s="220">
        <f>IF($A276="","",IF($B276="Đột xuất",IF($AY276=0,"",$AY276),IF($AX276=0,"",$AX276)))</f>
      </c>
      <c r="Z276" s="223">
        <f>IF(OR($AO276=0,$AW276=0),"",IF(TDBC&gt;$AW276,"Quá "&amp;IF($B276="Định kỳ",(NgayBC-$AP276)&amp;" ngày",IF(((TDBC-$AW276)*24)&lt;1,MAX(1,ROUND(((TDBC-$AW276)*24)*60,0))&amp;" phút",IF(ROUND(((TDBC-$AW276)*24),0)&lt;24,ROUND(((TDBC-$AW276)*24),0)&amp;" giờ",INT(ROUND(((TDBC-$AW276)*24),0)/24)&amp;" ngày"&amp;IF(MOD(ROUND(((TDBC-$AW276)*24),0),24)&gt;0," "&amp;MOD(ROUND(((TDBC-$AW276)*24),0),24)&amp;" giờ","")))),IF($B276="Định kỳ",IF($AP276=NgayBC,"Hôm nay","Còn "&amp;($AP276-NgayBC)&amp;" ngày"),"Còn "&amp;IF((($AW276-TDBC)*24)&lt;1,MAX(1,ROUND((($AW276-TDBC)*24)*60,0))&amp;" phút",IF(ROUND((($AW276-TDBC)*24),0)&lt;24,ROUND((($AW276-TDBC)*24),0)&amp;" giờ",INT(ROUND((($AW276-TDBC)*24),0)/24)&amp;" ngày"&amp;IF(MOD(ROUND((($AW276-TDBC)*24),0),24)&gt;0," "&amp;MOD(ROUND((($AW276-TDBC)*24),0),24)&amp;" giờ",""))))))</f>
      </c>
      <c r="AA276" s="221">
        <f>IF($A276="","",IF(N($AM276)=0,"Chưa bắt đầu",IF(OR($AN276="Hoàn thành kỳ",$AN276="Hoàn thành"),IF($B276="Định kỳ","Chưa bắt đầu","Hoàn thành"),$AN276)))</f>
      </c>
      <c r="AB276" s="222">
        <f>IF($A276="","",IF($AA276="Hoàn thành",1,IF(OR(N($AM276)=0,$AN276="Hoàn thành kỳ",$AN276="Hoàn thành"),0,N(INDEX('Nhật ký tiến độ'!$D:$D,$AM276)))))</f>
      </c>
      <c r="AC276" s="222">
        <f>IF(OR($A276="",$B276&lt;&gt;"Đột xuất",$AA276="Hoàn thành",N($J276)=0,$AW276=0),"",IF(TDBC&lt;=$J276,0,IF(TDBC&gt;=$AW276,1,(TDBC-$J276)/($AW276-$J276))))</f>
      </c>
      <c r="AD276" s="223">
        <f>IF($A276="","",IF($AA276="Hoàn thành","Hoàn thành",IF($AW276=0,"Chưa đặt hạn",IF(TDBC&gt;$AW276,"Quá hạn",IF(AND($B276="Đột xuất",ROUND((N($AC276)-$AB276)*100,0)&gt;=20),"Chậm tiến độ",IF($AP276=NgayBC,"Đến hạn hôm nay",IF($B276="Đột xuất",IF($AW276-TDBC&lt;=1,"Sắp đến hạn","Đúng tiến độ"),IF($AP276-NgayBC&lt;=3,"Sắp đến hạn","Theo lịch"))))))))</f>
      </c>
      <c r="AE276" s="223">
        <f>IF($AV276="","",IF($B276="Định kỳ","Bình quân "&amp;IF($AV276&lt;1,MAX(1,ROUND($AV276*60,0))&amp;" phút",IF(ROUND($AV276,0)&lt;24,ROUND($AV276,0)&amp;" giờ",INT(ROUND($AV276,0)/24)&amp;" ngày"&amp;IF(MOD(ROUND($AV276,0),24)&gt;0," "&amp;MOD(ROUND($AV276,0),24)&amp;" giờ","")))&amp;" mỗi kỳ",IF($AV276&lt;1,MAX(1,ROUND($AV276*60,0))&amp;" phút",IF(ROUND($AV276,0)&lt;24,ROUND($AV276,0)&amp;" giờ",INT(ROUND($AV276,0)/24)&amp;" ngày"&amp;IF(MOD(ROUND($AV276,0),24)&gt;0," "&amp;MOD(ROUND($AV276,0),24)&amp;" giờ","")))))</f>
      </c>
      <c r="AF276" s="223">
        <f>IF(OR($A276="",N($AU276)=0),"",IF($AV276&lt;&gt;"",IF($AV276&lt;=$AU276,"Trong ước tính","Vượt "&amp;IF(($AV276-$AU276)&lt;1,MAX(1,ROUND(($AV276-$AU276)*60,0))&amp;" phút",IF(ROUND(($AV276-$AU276),0)&lt;24,ROUND(($AV276-$AU276),0)&amp;" giờ",INT(ROUND(($AV276-$AU276),0)/24)&amp;" ngày"&amp;IF(MOD(ROUND(($AV276-$AU276),0),24)&gt;0," "&amp;MOD(ROUND(($AV276-$AU276),0),24)&amp;" giờ","")))),IF(OR($B276&lt;&gt;"Đột xuất",$AA276="Hoàn thành",N($J276)=0),"",IF((TDBC-$J276)*24&gt;$AU276,"Đã vượt ước tính","Đã dùng "&amp;TEXT((TDBC-$J276)*24/$AU276,"0%")))))</f>
      </c>
      <c r="AG276" s="223">
        <f>IF(N($BB276)=0,"",CHOOSE($BB276,"Nhắc nhở","Cảnh báo","Báo động","Báo động đỏ"))</f>
      </c>
      <c r="AH276" s="223">
        <f>IF(OR($B276&lt;&gt;"Đột xuất",$AA276&lt;&gt;"Hoàn thành",N($X276)=0,$AW276=0),"",IF($X276&lt;=$AW276,"Đúng hạn","Trễ hạn"))</f>
      </c>
      <c r="AI276" s="220">
        <f>IF($A276="","",_xlfn.MAXIFS('Nhật ký tiến độ'!$B$6:$B$3005,'Nhật ký tiến độ'!$C$6:$C$3005,$A276))</f>
      </c>
      <c r="AJ276" s="225">
        <f>IF(OR($A276="",$B276&lt;&gt;"Định kỳ"),0,IFERROR(INDEX(DM_TanSuatNgay,MATCH($H276,DM_TanSuat,0)),0))</f>
      </c>
      <c r="AK276" s="225">
        <f>IF(OR($A276="",$B276&lt;&gt;"Định kỳ"),0,IFERROR(INDEX(DM_TanSuatThang,MATCH($H276,DM_TanSuat,0)),0))</f>
      </c>
      <c r="AL276" s="225">
        <f>IF(OR($A276="",$B276&lt;&gt;"Định kỳ",N($X276)=0,N($I276)=0),"",IF(INT($X276)&lt;$I276,0,IF($AJ276&gt;0,ROUND((INT($X276)-$I276)/$AJ276,0),IF($AK276&gt;0,ROUND((DATEDIF($I276,INT($X276),"m")+(INT($X276)-EDATE($I276,DATEDIF($I276,INT($X276),"m")))/(EDATE($I276,DATEDIF($I276,INT($X276),"m")+1)-EDATE($I276,DATEDIF($I276,INT($X276),"m"))))/$AK276,0),0))))</f>
      </c>
      <c r="AM276" s="225">
        <f>IF($A276="","",IF(COUNTIF('Nhật ký tiến độ'!$C$6:$C$3005,$A276)=0,0,_xlfn.MAXIFS('Nhật ký tiến độ'!$N$6:$N$3005,'Nhật ký tiến độ'!$C$6:$C$3005,$A276,'Nhật ký tiến độ'!$B$6:$B$3005,_xlfn.MAXIFS('Nhật ký tiến độ'!$B$6:$B$3005,'Nhật ký tiến độ'!$C$6:$C$3005,$A276))))</f>
      </c>
      <c r="AN276" s="225">
        <f>IF($A276="","",IF(N($AM276)=0,"",INDEX('Nhật ký tiến độ'!$E:$E,$AM276)))</f>
      </c>
      <c r="AO276" s="225">
        <f>IF($A276="",0,IF($AA276="Hoàn thành",0,1))</f>
      </c>
      <c r="AP276" s="225">
        <f>IF($AO276=0,0,INT(N($AW276)))</f>
      </c>
      <c r="AQ276" s="225">
        <f>IF(AND($AO276=1,$AJ276&gt;1),$AJ276,0)</f>
      </c>
      <c r="AR276" s="225">
        <f>IF(AND($AO276=1,$AJ276=1),1,0)</f>
      </c>
      <c r="AS276" s="225">
        <f>IF(OR($AO276=0,AND($AR276=1,N($BB276)=0)),"",IF(N($BB276)&gt;0,5-$BB276,IF($AD276="Chậm tiến độ",6,IF($AD276="Đến hạn hôm nay",7,IF(AND($AP276&gt;0,$AP276-NgayBC&lt;=7),8,"")))))</f>
      </c>
      <c r="AT276" s="225">
        <f>IF($AS276="","",$AS276*100000+$AP276+ROW()/100000)</f>
      </c>
      <c r="AU276" s="224">
        <f>IF(OR($A276="",N($R276)&lt;=0),"",IF($S276="Ngày",$R276*24,$R276))</f>
      </c>
      <c r="AV276" s="224">
        <f>IF($A276="","",IF($B276="Đột xuất",IF(OR($AA276&lt;&gt;"Hoàn thành",N($X276)=0,N($J276)=0),"",IF($X276&lt;$J276,"",($X276-$J276)*24)),IFERROR(AVERAGEIFS('Nhật ký tiến độ'!$H$6:$H$3005,'Nhật ký tiến độ'!$C$6:$C$3005,$A276,'Nhật ký tiến độ'!$H$6:$H$3005,"&gt;0"),"")))</f>
      </c>
      <c r="AW276" s="233">
        <f>IF($A276="",0,IF($B276="Đột xuất",$AY276,IF($AX276=0,0,$AX276+1-1/1440)))</f>
      </c>
      <c r="AX276" s="234">
        <f>IF(OR($A276="",$B276&lt;&gt;"Định kỳ",N($I276)=0),0,IF($AL276="",$I276,IF($AJ276&gt;0,$I276+($AL276+1)*$AJ276,IF($AK276&gt;0,EDATE($I276,($AL276+1)*$AK276),$I276))))</f>
      </c>
      <c r="AY276" s="233">
        <f>IF(OR($A276="",$B276&lt;&gt;"Đột xuất"),0,IF(N($K276)&gt;0,IF(MOD($K276,1)=0,$K276+1-1/1440,$K276),IF(N($J276)=0,0,$J276+IF(N($AU276)&gt;0,$AU276,IFERROR(INDEX(DM_SLA_Gio,MATCH($L276,DM_SLA_Cap,0)),168))/24)))</f>
      </c>
      <c r="AZ276" s="225">
        <f>IF(OR($A276="",TRIM($N276)="",COUNTIF('Phản ánh'!$K$6:$K$505,$N276)&gt;0,COUNTIF($N$6:$N276,$N276)&gt;1),0,1)</f>
      </c>
      <c r="BA276" s="225">
        <f>IF($AZ276=1,SUM($AZ$6:$AZ276),"")</f>
      </c>
      <c r="BB276" s="225">
        <f>IF(OR($AO276=0,N($AW276)=0),0,IF(TDBC&lt;=$AW276,0,MAX(1,MIN(4,IF((TDBC-$AW276)*24&lt;24,1,IF((TDBC-$AW276)*24&lt;72,2,IF((TDBC-$AW276)*24&lt;168,3,4)))+IF($B276="Đột xuất",IFERROR(INDEX({2,1,0,-1},MATCH($L276,{"Khẩn cấp","Cao","Trung bình","Thấp"},0)),0),IF($D276="PCCC và an ninh",1,0))))))</f>
      </c>
    </row>
    <row r="277">
      <c r="A277" s="216"/>
      <c r="B277" s="216"/>
      <c r="C277" s="218"/>
      <c r="D277" s="218"/>
      <c r="E277" s="218"/>
      <c r="F277" s="216"/>
      <c r="G277" s="218"/>
      <c r="H277" s="218"/>
      <c r="I277" s="231"/>
      <c r="J277" s="217"/>
      <c r="K277" s="217"/>
      <c r="L277" s="216"/>
      <c r="M277" s="216"/>
      <c r="N277" s="218"/>
      <c r="O277" s="218"/>
      <c r="P277" s="218"/>
      <c r="Q277" s="218"/>
      <c r="R277" s="219"/>
      <c r="S277" s="216"/>
      <c r="T277" s="232"/>
      <c r="U277" s="232"/>
      <c r="V277" s="218"/>
      <c r="W277" s="218"/>
      <c r="X277" s="220">
        <f>IF($A277="","",IF(OR($B277="Định kỳ",$AA277="Hoàn thành"),MAX(_xlfn.MAXIFS('Nhật ký tiến độ'!$B$6:$B$3005,'Nhật ký tiến độ'!$C$6:$C$3005,$A277,'Nhật ký tiến độ'!$E$6:$E$3005,"Hoàn thành kỳ"),_xlfn.MAXIFS('Nhật ký tiến độ'!$B$6:$B$3005,'Nhật ký tiến độ'!$C$6:$C$3005,$A277,'Nhật ký tiến độ'!$E$6:$E$3005,"Hoàn thành")),0))</f>
      </c>
      <c r="Y277" s="220">
        <f>IF($A277="","",IF($B277="Đột xuất",IF($AY277=0,"",$AY277),IF($AX277=0,"",$AX277)))</f>
      </c>
      <c r="Z277" s="223">
        <f>IF(OR($AO277=0,$AW277=0),"",IF(TDBC&gt;$AW277,"Quá "&amp;IF($B277="Định kỳ",(NgayBC-$AP277)&amp;" ngày",IF(((TDBC-$AW277)*24)&lt;1,MAX(1,ROUND(((TDBC-$AW277)*24)*60,0))&amp;" phút",IF(ROUND(((TDBC-$AW277)*24),0)&lt;24,ROUND(((TDBC-$AW277)*24),0)&amp;" giờ",INT(ROUND(((TDBC-$AW277)*24),0)/24)&amp;" ngày"&amp;IF(MOD(ROUND(((TDBC-$AW277)*24),0),24)&gt;0," "&amp;MOD(ROUND(((TDBC-$AW277)*24),0),24)&amp;" giờ","")))),IF($B277="Định kỳ",IF($AP277=NgayBC,"Hôm nay","Còn "&amp;($AP277-NgayBC)&amp;" ngày"),"Còn "&amp;IF((($AW277-TDBC)*24)&lt;1,MAX(1,ROUND((($AW277-TDBC)*24)*60,0))&amp;" phút",IF(ROUND((($AW277-TDBC)*24),0)&lt;24,ROUND((($AW277-TDBC)*24),0)&amp;" giờ",INT(ROUND((($AW277-TDBC)*24),0)/24)&amp;" ngày"&amp;IF(MOD(ROUND((($AW277-TDBC)*24),0),24)&gt;0," "&amp;MOD(ROUND((($AW277-TDBC)*24),0),24)&amp;" giờ",""))))))</f>
      </c>
      <c r="AA277" s="221">
        <f>IF($A277="","",IF(N($AM277)=0,"Chưa bắt đầu",IF(OR($AN277="Hoàn thành kỳ",$AN277="Hoàn thành"),IF($B277="Định kỳ","Chưa bắt đầu","Hoàn thành"),$AN277)))</f>
      </c>
      <c r="AB277" s="222">
        <f>IF($A277="","",IF($AA277="Hoàn thành",1,IF(OR(N($AM277)=0,$AN277="Hoàn thành kỳ",$AN277="Hoàn thành"),0,N(INDEX('Nhật ký tiến độ'!$D:$D,$AM277)))))</f>
      </c>
      <c r="AC277" s="222">
        <f>IF(OR($A277="",$B277&lt;&gt;"Đột xuất",$AA277="Hoàn thành",N($J277)=0,$AW277=0),"",IF(TDBC&lt;=$J277,0,IF(TDBC&gt;=$AW277,1,(TDBC-$J277)/($AW277-$J277))))</f>
      </c>
      <c r="AD277" s="223">
        <f>IF($A277="","",IF($AA277="Hoàn thành","Hoàn thành",IF($AW277=0,"Chưa đặt hạn",IF(TDBC&gt;$AW277,"Quá hạn",IF(AND($B277="Đột xuất",ROUND((N($AC277)-$AB277)*100,0)&gt;=20),"Chậm tiến độ",IF($AP277=NgayBC,"Đến hạn hôm nay",IF($B277="Đột xuất",IF($AW277-TDBC&lt;=1,"Sắp đến hạn","Đúng tiến độ"),IF($AP277-NgayBC&lt;=3,"Sắp đến hạn","Theo lịch"))))))))</f>
      </c>
      <c r="AE277" s="223">
        <f>IF($AV277="","",IF($B277="Định kỳ","Bình quân "&amp;IF($AV277&lt;1,MAX(1,ROUND($AV277*60,0))&amp;" phút",IF(ROUND($AV277,0)&lt;24,ROUND($AV277,0)&amp;" giờ",INT(ROUND($AV277,0)/24)&amp;" ngày"&amp;IF(MOD(ROUND($AV277,0),24)&gt;0," "&amp;MOD(ROUND($AV277,0),24)&amp;" giờ","")))&amp;" mỗi kỳ",IF($AV277&lt;1,MAX(1,ROUND($AV277*60,0))&amp;" phút",IF(ROUND($AV277,0)&lt;24,ROUND($AV277,0)&amp;" giờ",INT(ROUND($AV277,0)/24)&amp;" ngày"&amp;IF(MOD(ROUND($AV277,0),24)&gt;0," "&amp;MOD(ROUND($AV277,0),24)&amp;" giờ","")))))</f>
      </c>
      <c r="AF277" s="223">
        <f>IF(OR($A277="",N($AU277)=0),"",IF($AV277&lt;&gt;"",IF($AV277&lt;=$AU277,"Trong ước tính","Vượt "&amp;IF(($AV277-$AU277)&lt;1,MAX(1,ROUND(($AV277-$AU277)*60,0))&amp;" phút",IF(ROUND(($AV277-$AU277),0)&lt;24,ROUND(($AV277-$AU277),0)&amp;" giờ",INT(ROUND(($AV277-$AU277),0)/24)&amp;" ngày"&amp;IF(MOD(ROUND(($AV277-$AU277),0),24)&gt;0," "&amp;MOD(ROUND(($AV277-$AU277),0),24)&amp;" giờ","")))),IF(OR($B277&lt;&gt;"Đột xuất",$AA277="Hoàn thành",N($J277)=0),"",IF((TDBC-$J277)*24&gt;$AU277,"Đã vượt ước tính","Đã dùng "&amp;TEXT((TDBC-$J277)*24/$AU277,"0%")))))</f>
      </c>
      <c r="AG277" s="223">
        <f>IF(N($BB277)=0,"",CHOOSE($BB277,"Nhắc nhở","Cảnh báo","Báo động","Báo động đỏ"))</f>
      </c>
      <c r="AH277" s="223">
        <f>IF(OR($B277&lt;&gt;"Đột xuất",$AA277&lt;&gt;"Hoàn thành",N($X277)=0,$AW277=0),"",IF($X277&lt;=$AW277,"Đúng hạn","Trễ hạn"))</f>
      </c>
      <c r="AI277" s="220">
        <f>IF($A277="","",_xlfn.MAXIFS('Nhật ký tiến độ'!$B$6:$B$3005,'Nhật ký tiến độ'!$C$6:$C$3005,$A277))</f>
      </c>
      <c r="AJ277" s="225">
        <f>IF(OR($A277="",$B277&lt;&gt;"Định kỳ"),0,IFERROR(INDEX(DM_TanSuatNgay,MATCH($H277,DM_TanSuat,0)),0))</f>
      </c>
      <c r="AK277" s="225">
        <f>IF(OR($A277="",$B277&lt;&gt;"Định kỳ"),0,IFERROR(INDEX(DM_TanSuatThang,MATCH($H277,DM_TanSuat,0)),0))</f>
      </c>
      <c r="AL277" s="225">
        <f>IF(OR($A277="",$B277&lt;&gt;"Định kỳ",N($X277)=0,N($I277)=0),"",IF(INT($X277)&lt;$I277,0,IF($AJ277&gt;0,ROUND((INT($X277)-$I277)/$AJ277,0),IF($AK277&gt;0,ROUND((DATEDIF($I277,INT($X277),"m")+(INT($X277)-EDATE($I277,DATEDIF($I277,INT($X277),"m")))/(EDATE($I277,DATEDIF($I277,INT($X277),"m")+1)-EDATE($I277,DATEDIF($I277,INT($X277),"m"))))/$AK277,0),0))))</f>
      </c>
      <c r="AM277" s="225">
        <f>IF($A277="","",IF(COUNTIF('Nhật ký tiến độ'!$C$6:$C$3005,$A277)=0,0,_xlfn.MAXIFS('Nhật ký tiến độ'!$N$6:$N$3005,'Nhật ký tiến độ'!$C$6:$C$3005,$A277,'Nhật ký tiến độ'!$B$6:$B$3005,_xlfn.MAXIFS('Nhật ký tiến độ'!$B$6:$B$3005,'Nhật ký tiến độ'!$C$6:$C$3005,$A277))))</f>
      </c>
      <c r="AN277" s="225">
        <f>IF($A277="","",IF(N($AM277)=0,"",INDEX('Nhật ký tiến độ'!$E:$E,$AM277)))</f>
      </c>
      <c r="AO277" s="225">
        <f>IF($A277="",0,IF($AA277="Hoàn thành",0,1))</f>
      </c>
      <c r="AP277" s="225">
        <f>IF($AO277=0,0,INT(N($AW277)))</f>
      </c>
      <c r="AQ277" s="225">
        <f>IF(AND($AO277=1,$AJ277&gt;1),$AJ277,0)</f>
      </c>
      <c r="AR277" s="225">
        <f>IF(AND($AO277=1,$AJ277=1),1,0)</f>
      </c>
      <c r="AS277" s="225">
        <f>IF(OR($AO277=0,AND($AR277=1,N($BB277)=0)),"",IF(N($BB277)&gt;0,5-$BB277,IF($AD277="Chậm tiến độ",6,IF($AD277="Đến hạn hôm nay",7,IF(AND($AP277&gt;0,$AP277-NgayBC&lt;=7),8,"")))))</f>
      </c>
      <c r="AT277" s="225">
        <f>IF($AS277="","",$AS277*100000+$AP277+ROW()/100000)</f>
      </c>
      <c r="AU277" s="224">
        <f>IF(OR($A277="",N($R277)&lt;=0),"",IF($S277="Ngày",$R277*24,$R277))</f>
      </c>
      <c r="AV277" s="224">
        <f>IF($A277="","",IF($B277="Đột xuất",IF(OR($AA277&lt;&gt;"Hoàn thành",N($X277)=0,N($J277)=0),"",IF($X277&lt;$J277,"",($X277-$J277)*24)),IFERROR(AVERAGEIFS('Nhật ký tiến độ'!$H$6:$H$3005,'Nhật ký tiến độ'!$C$6:$C$3005,$A277,'Nhật ký tiến độ'!$H$6:$H$3005,"&gt;0"),"")))</f>
      </c>
      <c r="AW277" s="233">
        <f>IF($A277="",0,IF($B277="Đột xuất",$AY277,IF($AX277=0,0,$AX277+1-1/1440)))</f>
      </c>
      <c r="AX277" s="234">
        <f>IF(OR($A277="",$B277&lt;&gt;"Định kỳ",N($I277)=0),0,IF($AL277="",$I277,IF($AJ277&gt;0,$I277+($AL277+1)*$AJ277,IF($AK277&gt;0,EDATE($I277,($AL277+1)*$AK277),$I277))))</f>
      </c>
      <c r="AY277" s="233">
        <f>IF(OR($A277="",$B277&lt;&gt;"Đột xuất"),0,IF(N($K277)&gt;0,IF(MOD($K277,1)=0,$K277+1-1/1440,$K277),IF(N($J277)=0,0,$J277+IF(N($AU277)&gt;0,$AU277,IFERROR(INDEX(DM_SLA_Gio,MATCH($L277,DM_SLA_Cap,0)),168))/24)))</f>
      </c>
      <c r="AZ277" s="225">
        <f>IF(OR($A277="",TRIM($N277)="",COUNTIF('Phản ánh'!$K$6:$K$505,$N277)&gt;0,COUNTIF($N$6:$N277,$N277)&gt;1),0,1)</f>
      </c>
      <c r="BA277" s="225">
        <f>IF($AZ277=1,SUM($AZ$6:$AZ277),"")</f>
      </c>
      <c r="BB277" s="225">
        <f>IF(OR($AO277=0,N($AW277)=0),0,IF(TDBC&lt;=$AW277,0,MAX(1,MIN(4,IF((TDBC-$AW277)*24&lt;24,1,IF((TDBC-$AW277)*24&lt;72,2,IF((TDBC-$AW277)*24&lt;168,3,4)))+IF($B277="Đột xuất",IFERROR(INDEX({2,1,0,-1},MATCH($L277,{"Khẩn cấp","Cao","Trung bình","Thấp"},0)),0),IF($D277="PCCC và an ninh",1,0))))))</f>
      </c>
    </row>
    <row r="278">
      <c r="A278" s="216"/>
      <c r="B278" s="216"/>
      <c r="C278" s="218"/>
      <c r="D278" s="218"/>
      <c r="E278" s="218"/>
      <c r="F278" s="216"/>
      <c r="G278" s="218"/>
      <c r="H278" s="218"/>
      <c r="I278" s="231"/>
      <c r="J278" s="217"/>
      <c r="K278" s="217"/>
      <c r="L278" s="216"/>
      <c r="M278" s="216"/>
      <c r="N278" s="218"/>
      <c r="O278" s="218"/>
      <c r="P278" s="218"/>
      <c r="Q278" s="218"/>
      <c r="R278" s="219"/>
      <c r="S278" s="216"/>
      <c r="T278" s="232"/>
      <c r="U278" s="232"/>
      <c r="V278" s="218"/>
      <c r="W278" s="218"/>
      <c r="X278" s="220">
        <f>IF($A278="","",IF(OR($B278="Định kỳ",$AA278="Hoàn thành"),MAX(_xlfn.MAXIFS('Nhật ký tiến độ'!$B$6:$B$3005,'Nhật ký tiến độ'!$C$6:$C$3005,$A278,'Nhật ký tiến độ'!$E$6:$E$3005,"Hoàn thành kỳ"),_xlfn.MAXIFS('Nhật ký tiến độ'!$B$6:$B$3005,'Nhật ký tiến độ'!$C$6:$C$3005,$A278,'Nhật ký tiến độ'!$E$6:$E$3005,"Hoàn thành")),0))</f>
      </c>
      <c r="Y278" s="220">
        <f>IF($A278="","",IF($B278="Đột xuất",IF($AY278=0,"",$AY278),IF($AX278=0,"",$AX278)))</f>
      </c>
      <c r="Z278" s="223">
        <f>IF(OR($AO278=0,$AW278=0),"",IF(TDBC&gt;$AW278,"Quá "&amp;IF($B278="Định kỳ",(NgayBC-$AP278)&amp;" ngày",IF(((TDBC-$AW278)*24)&lt;1,MAX(1,ROUND(((TDBC-$AW278)*24)*60,0))&amp;" phút",IF(ROUND(((TDBC-$AW278)*24),0)&lt;24,ROUND(((TDBC-$AW278)*24),0)&amp;" giờ",INT(ROUND(((TDBC-$AW278)*24),0)/24)&amp;" ngày"&amp;IF(MOD(ROUND(((TDBC-$AW278)*24),0),24)&gt;0," "&amp;MOD(ROUND(((TDBC-$AW278)*24),0),24)&amp;" giờ","")))),IF($B278="Định kỳ",IF($AP278=NgayBC,"Hôm nay","Còn "&amp;($AP278-NgayBC)&amp;" ngày"),"Còn "&amp;IF((($AW278-TDBC)*24)&lt;1,MAX(1,ROUND((($AW278-TDBC)*24)*60,0))&amp;" phút",IF(ROUND((($AW278-TDBC)*24),0)&lt;24,ROUND((($AW278-TDBC)*24),0)&amp;" giờ",INT(ROUND((($AW278-TDBC)*24),0)/24)&amp;" ngày"&amp;IF(MOD(ROUND((($AW278-TDBC)*24),0),24)&gt;0," "&amp;MOD(ROUND((($AW278-TDBC)*24),0),24)&amp;" giờ",""))))))</f>
      </c>
      <c r="AA278" s="221">
        <f>IF($A278="","",IF(N($AM278)=0,"Chưa bắt đầu",IF(OR($AN278="Hoàn thành kỳ",$AN278="Hoàn thành"),IF($B278="Định kỳ","Chưa bắt đầu","Hoàn thành"),$AN278)))</f>
      </c>
      <c r="AB278" s="222">
        <f>IF($A278="","",IF($AA278="Hoàn thành",1,IF(OR(N($AM278)=0,$AN278="Hoàn thành kỳ",$AN278="Hoàn thành"),0,N(INDEX('Nhật ký tiến độ'!$D:$D,$AM278)))))</f>
      </c>
      <c r="AC278" s="222">
        <f>IF(OR($A278="",$B278&lt;&gt;"Đột xuất",$AA278="Hoàn thành",N($J278)=0,$AW278=0),"",IF(TDBC&lt;=$J278,0,IF(TDBC&gt;=$AW278,1,(TDBC-$J278)/($AW278-$J278))))</f>
      </c>
      <c r="AD278" s="223">
        <f>IF($A278="","",IF($AA278="Hoàn thành","Hoàn thành",IF($AW278=0,"Chưa đặt hạn",IF(TDBC&gt;$AW278,"Quá hạn",IF(AND($B278="Đột xuất",ROUND((N($AC278)-$AB278)*100,0)&gt;=20),"Chậm tiến độ",IF($AP278=NgayBC,"Đến hạn hôm nay",IF($B278="Đột xuất",IF($AW278-TDBC&lt;=1,"Sắp đến hạn","Đúng tiến độ"),IF($AP278-NgayBC&lt;=3,"Sắp đến hạn","Theo lịch"))))))))</f>
      </c>
      <c r="AE278" s="223">
        <f>IF($AV278="","",IF($B278="Định kỳ","Bình quân "&amp;IF($AV278&lt;1,MAX(1,ROUND($AV278*60,0))&amp;" phút",IF(ROUND($AV278,0)&lt;24,ROUND($AV278,0)&amp;" giờ",INT(ROUND($AV278,0)/24)&amp;" ngày"&amp;IF(MOD(ROUND($AV278,0),24)&gt;0," "&amp;MOD(ROUND($AV278,0),24)&amp;" giờ","")))&amp;" mỗi kỳ",IF($AV278&lt;1,MAX(1,ROUND($AV278*60,0))&amp;" phút",IF(ROUND($AV278,0)&lt;24,ROUND($AV278,0)&amp;" giờ",INT(ROUND($AV278,0)/24)&amp;" ngày"&amp;IF(MOD(ROUND($AV278,0),24)&gt;0," "&amp;MOD(ROUND($AV278,0),24)&amp;" giờ","")))))</f>
      </c>
      <c r="AF278" s="223">
        <f>IF(OR($A278="",N($AU278)=0),"",IF($AV278&lt;&gt;"",IF($AV278&lt;=$AU278,"Trong ước tính","Vượt "&amp;IF(($AV278-$AU278)&lt;1,MAX(1,ROUND(($AV278-$AU278)*60,0))&amp;" phút",IF(ROUND(($AV278-$AU278),0)&lt;24,ROUND(($AV278-$AU278),0)&amp;" giờ",INT(ROUND(($AV278-$AU278),0)/24)&amp;" ngày"&amp;IF(MOD(ROUND(($AV278-$AU278),0),24)&gt;0," "&amp;MOD(ROUND(($AV278-$AU278),0),24)&amp;" giờ","")))),IF(OR($B278&lt;&gt;"Đột xuất",$AA278="Hoàn thành",N($J278)=0),"",IF((TDBC-$J278)*24&gt;$AU278,"Đã vượt ước tính","Đã dùng "&amp;TEXT((TDBC-$J278)*24/$AU278,"0%")))))</f>
      </c>
      <c r="AG278" s="223">
        <f>IF(N($BB278)=0,"",CHOOSE($BB278,"Nhắc nhở","Cảnh báo","Báo động","Báo động đỏ"))</f>
      </c>
      <c r="AH278" s="223">
        <f>IF(OR($B278&lt;&gt;"Đột xuất",$AA278&lt;&gt;"Hoàn thành",N($X278)=0,$AW278=0),"",IF($X278&lt;=$AW278,"Đúng hạn","Trễ hạn"))</f>
      </c>
      <c r="AI278" s="220">
        <f>IF($A278="","",_xlfn.MAXIFS('Nhật ký tiến độ'!$B$6:$B$3005,'Nhật ký tiến độ'!$C$6:$C$3005,$A278))</f>
      </c>
      <c r="AJ278" s="225">
        <f>IF(OR($A278="",$B278&lt;&gt;"Định kỳ"),0,IFERROR(INDEX(DM_TanSuatNgay,MATCH($H278,DM_TanSuat,0)),0))</f>
      </c>
      <c r="AK278" s="225">
        <f>IF(OR($A278="",$B278&lt;&gt;"Định kỳ"),0,IFERROR(INDEX(DM_TanSuatThang,MATCH($H278,DM_TanSuat,0)),0))</f>
      </c>
      <c r="AL278" s="225">
        <f>IF(OR($A278="",$B278&lt;&gt;"Định kỳ",N($X278)=0,N($I278)=0),"",IF(INT($X278)&lt;$I278,0,IF($AJ278&gt;0,ROUND((INT($X278)-$I278)/$AJ278,0),IF($AK278&gt;0,ROUND((DATEDIF($I278,INT($X278),"m")+(INT($X278)-EDATE($I278,DATEDIF($I278,INT($X278),"m")))/(EDATE($I278,DATEDIF($I278,INT($X278),"m")+1)-EDATE($I278,DATEDIF($I278,INT($X278),"m"))))/$AK278,0),0))))</f>
      </c>
      <c r="AM278" s="225">
        <f>IF($A278="","",IF(COUNTIF('Nhật ký tiến độ'!$C$6:$C$3005,$A278)=0,0,_xlfn.MAXIFS('Nhật ký tiến độ'!$N$6:$N$3005,'Nhật ký tiến độ'!$C$6:$C$3005,$A278,'Nhật ký tiến độ'!$B$6:$B$3005,_xlfn.MAXIFS('Nhật ký tiến độ'!$B$6:$B$3005,'Nhật ký tiến độ'!$C$6:$C$3005,$A278))))</f>
      </c>
      <c r="AN278" s="225">
        <f>IF($A278="","",IF(N($AM278)=0,"",INDEX('Nhật ký tiến độ'!$E:$E,$AM278)))</f>
      </c>
      <c r="AO278" s="225">
        <f>IF($A278="",0,IF($AA278="Hoàn thành",0,1))</f>
      </c>
      <c r="AP278" s="225">
        <f>IF($AO278=0,0,INT(N($AW278)))</f>
      </c>
      <c r="AQ278" s="225">
        <f>IF(AND($AO278=1,$AJ278&gt;1),$AJ278,0)</f>
      </c>
      <c r="AR278" s="225">
        <f>IF(AND($AO278=1,$AJ278=1),1,0)</f>
      </c>
      <c r="AS278" s="225">
        <f>IF(OR($AO278=0,AND($AR278=1,N($BB278)=0)),"",IF(N($BB278)&gt;0,5-$BB278,IF($AD278="Chậm tiến độ",6,IF($AD278="Đến hạn hôm nay",7,IF(AND($AP278&gt;0,$AP278-NgayBC&lt;=7),8,"")))))</f>
      </c>
      <c r="AT278" s="225">
        <f>IF($AS278="","",$AS278*100000+$AP278+ROW()/100000)</f>
      </c>
      <c r="AU278" s="224">
        <f>IF(OR($A278="",N($R278)&lt;=0),"",IF($S278="Ngày",$R278*24,$R278))</f>
      </c>
      <c r="AV278" s="224">
        <f>IF($A278="","",IF($B278="Đột xuất",IF(OR($AA278&lt;&gt;"Hoàn thành",N($X278)=0,N($J278)=0),"",IF($X278&lt;$J278,"",($X278-$J278)*24)),IFERROR(AVERAGEIFS('Nhật ký tiến độ'!$H$6:$H$3005,'Nhật ký tiến độ'!$C$6:$C$3005,$A278,'Nhật ký tiến độ'!$H$6:$H$3005,"&gt;0"),"")))</f>
      </c>
      <c r="AW278" s="233">
        <f>IF($A278="",0,IF($B278="Đột xuất",$AY278,IF($AX278=0,0,$AX278+1-1/1440)))</f>
      </c>
      <c r="AX278" s="234">
        <f>IF(OR($A278="",$B278&lt;&gt;"Định kỳ",N($I278)=0),0,IF($AL278="",$I278,IF($AJ278&gt;0,$I278+($AL278+1)*$AJ278,IF($AK278&gt;0,EDATE($I278,($AL278+1)*$AK278),$I278))))</f>
      </c>
      <c r="AY278" s="233">
        <f>IF(OR($A278="",$B278&lt;&gt;"Đột xuất"),0,IF(N($K278)&gt;0,IF(MOD($K278,1)=0,$K278+1-1/1440,$K278),IF(N($J278)=0,0,$J278+IF(N($AU278)&gt;0,$AU278,IFERROR(INDEX(DM_SLA_Gio,MATCH($L278,DM_SLA_Cap,0)),168))/24)))</f>
      </c>
      <c r="AZ278" s="225">
        <f>IF(OR($A278="",TRIM($N278)="",COUNTIF('Phản ánh'!$K$6:$K$505,$N278)&gt;0,COUNTIF($N$6:$N278,$N278)&gt;1),0,1)</f>
      </c>
      <c r="BA278" s="225">
        <f>IF($AZ278=1,SUM($AZ$6:$AZ278),"")</f>
      </c>
      <c r="BB278" s="225">
        <f>IF(OR($AO278=0,N($AW278)=0),0,IF(TDBC&lt;=$AW278,0,MAX(1,MIN(4,IF((TDBC-$AW278)*24&lt;24,1,IF((TDBC-$AW278)*24&lt;72,2,IF((TDBC-$AW278)*24&lt;168,3,4)))+IF($B278="Đột xuất",IFERROR(INDEX({2,1,0,-1},MATCH($L278,{"Khẩn cấp","Cao","Trung bình","Thấp"},0)),0),IF($D278="PCCC và an ninh",1,0))))))</f>
      </c>
    </row>
    <row r="279">
      <c r="A279" s="216"/>
      <c r="B279" s="216"/>
      <c r="C279" s="218"/>
      <c r="D279" s="218"/>
      <c r="E279" s="218"/>
      <c r="F279" s="216"/>
      <c r="G279" s="218"/>
      <c r="H279" s="218"/>
      <c r="I279" s="231"/>
      <c r="J279" s="217"/>
      <c r="K279" s="217"/>
      <c r="L279" s="216"/>
      <c r="M279" s="216"/>
      <c r="N279" s="218"/>
      <c r="O279" s="218"/>
      <c r="P279" s="218"/>
      <c r="Q279" s="218"/>
      <c r="R279" s="219"/>
      <c r="S279" s="216"/>
      <c r="T279" s="232"/>
      <c r="U279" s="232"/>
      <c r="V279" s="218"/>
      <c r="W279" s="218"/>
      <c r="X279" s="220">
        <f>IF($A279="","",IF(OR($B279="Định kỳ",$AA279="Hoàn thành"),MAX(_xlfn.MAXIFS('Nhật ký tiến độ'!$B$6:$B$3005,'Nhật ký tiến độ'!$C$6:$C$3005,$A279,'Nhật ký tiến độ'!$E$6:$E$3005,"Hoàn thành kỳ"),_xlfn.MAXIFS('Nhật ký tiến độ'!$B$6:$B$3005,'Nhật ký tiến độ'!$C$6:$C$3005,$A279,'Nhật ký tiến độ'!$E$6:$E$3005,"Hoàn thành")),0))</f>
      </c>
      <c r="Y279" s="220">
        <f>IF($A279="","",IF($B279="Đột xuất",IF($AY279=0,"",$AY279),IF($AX279=0,"",$AX279)))</f>
      </c>
      <c r="Z279" s="223">
        <f>IF(OR($AO279=0,$AW279=0),"",IF(TDBC&gt;$AW279,"Quá "&amp;IF($B279="Định kỳ",(NgayBC-$AP279)&amp;" ngày",IF(((TDBC-$AW279)*24)&lt;1,MAX(1,ROUND(((TDBC-$AW279)*24)*60,0))&amp;" phút",IF(ROUND(((TDBC-$AW279)*24),0)&lt;24,ROUND(((TDBC-$AW279)*24),0)&amp;" giờ",INT(ROUND(((TDBC-$AW279)*24),0)/24)&amp;" ngày"&amp;IF(MOD(ROUND(((TDBC-$AW279)*24),0),24)&gt;0," "&amp;MOD(ROUND(((TDBC-$AW279)*24),0),24)&amp;" giờ","")))),IF($B279="Định kỳ",IF($AP279=NgayBC,"Hôm nay","Còn "&amp;($AP279-NgayBC)&amp;" ngày"),"Còn "&amp;IF((($AW279-TDBC)*24)&lt;1,MAX(1,ROUND((($AW279-TDBC)*24)*60,0))&amp;" phút",IF(ROUND((($AW279-TDBC)*24),0)&lt;24,ROUND((($AW279-TDBC)*24),0)&amp;" giờ",INT(ROUND((($AW279-TDBC)*24),0)/24)&amp;" ngày"&amp;IF(MOD(ROUND((($AW279-TDBC)*24),0),24)&gt;0," "&amp;MOD(ROUND((($AW279-TDBC)*24),0),24)&amp;" giờ",""))))))</f>
      </c>
      <c r="AA279" s="221">
        <f>IF($A279="","",IF(N($AM279)=0,"Chưa bắt đầu",IF(OR($AN279="Hoàn thành kỳ",$AN279="Hoàn thành"),IF($B279="Định kỳ","Chưa bắt đầu","Hoàn thành"),$AN279)))</f>
      </c>
      <c r="AB279" s="222">
        <f>IF($A279="","",IF($AA279="Hoàn thành",1,IF(OR(N($AM279)=0,$AN279="Hoàn thành kỳ",$AN279="Hoàn thành"),0,N(INDEX('Nhật ký tiến độ'!$D:$D,$AM279)))))</f>
      </c>
      <c r="AC279" s="222">
        <f>IF(OR($A279="",$B279&lt;&gt;"Đột xuất",$AA279="Hoàn thành",N($J279)=0,$AW279=0),"",IF(TDBC&lt;=$J279,0,IF(TDBC&gt;=$AW279,1,(TDBC-$J279)/($AW279-$J279))))</f>
      </c>
      <c r="AD279" s="223">
        <f>IF($A279="","",IF($AA279="Hoàn thành","Hoàn thành",IF($AW279=0,"Chưa đặt hạn",IF(TDBC&gt;$AW279,"Quá hạn",IF(AND($B279="Đột xuất",ROUND((N($AC279)-$AB279)*100,0)&gt;=20),"Chậm tiến độ",IF($AP279=NgayBC,"Đến hạn hôm nay",IF($B279="Đột xuất",IF($AW279-TDBC&lt;=1,"Sắp đến hạn","Đúng tiến độ"),IF($AP279-NgayBC&lt;=3,"Sắp đến hạn","Theo lịch"))))))))</f>
      </c>
      <c r="AE279" s="223">
        <f>IF($AV279="","",IF($B279="Định kỳ","Bình quân "&amp;IF($AV279&lt;1,MAX(1,ROUND($AV279*60,0))&amp;" phút",IF(ROUND($AV279,0)&lt;24,ROUND($AV279,0)&amp;" giờ",INT(ROUND($AV279,0)/24)&amp;" ngày"&amp;IF(MOD(ROUND($AV279,0),24)&gt;0," "&amp;MOD(ROUND($AV279,0),24)&amp;" giờ","")))&amp;" mỗi kỳ",IF($AV279&lt;1,MAX(1,ROUND($AV279*60,0))&amp;" phút",IF(ROUND($AV279,0)&lt;24,ROUND($AV279,0)&amp;" giờ",INT(ROUND($AV279,0)/24)&amp;" ngày"&amp;IF(MOD(ROUND($AV279,0),24)&gt;0," "&amp;MOD(ROUND($AV279,0),24)&amp;" giờ","")))))</f>
      </c>
      <c r="AF279" s="223">
        <f>IF(OR($A279="",N($AU279)=0),"",IF($AV279&lt;&gt;"",IF($AV279&lt;=$AU279,"Trong ước tính","Vượt "&amp;IF(($AV279-$AU279)&lt;1,MAX(1,ROUND(($AV279-$AU279)*60,0))&amp;" phút",IF(ROUND(($AV279-$AU279),0)&lt;24,ROUND(($AV279-$AU279),0)&amp;" giờ",INT(ROUND(($AV279-$AU279),0)/24)&amp;" ngày"&amp;IF(MOD(ROUND(($AV279-$AU279),0),24)&gt;0," "&amp;MOD(ROUND(($AV279-$AU279),0),24)&amp;" giờ","")))),IF(OR($B279&lt;&gt;"Đột xuất",$AA279="Hoàn thành",N($J279)=0),"",IF((TDBC-$J279)*24&gt;$AU279,"Đã vượt ước tính","Đã dùng "&amp;TEXT((TDBC-$J279)*24/$AU279,"0%")))))</f>
      </c>
      <c r="AG279" s="223">
        <f>IF(N($BB279)=0,"",CHOOSE($BB279,"Nhắc nhở","Cảnh báo","Báo động","Báo động đỏ"))</f>
      </c>
      <c r="AH279" s="223">
        <f>IF(OR($B279&lt;&gt;"Đột xuất",$AA279&lt;&gt;"Hoàn thành",N($X279)=0,$AW279=0),"",IF($X279&lt;=$AW279,"Đúng hạn","Trễ hạn"))</f>
      </c>
      <c r="AI279" s="220">
        <f>IF($A279="","",_xlfn.MAXIFS('Nhật ký tiến độ'!$B$6:$B$3005,'Nhật ký tiến độ'!$C$6:$C$3005,$A279))</f>
      </c>
      <c r="AJ279" s="225">
        <f>IF(OR($A279="",$B279&lt;&gt;"Định kỳ"),0,IFERROR(INDEX(DM_TanSuatNgay,MATCH($H279,DM_TanSuat,0)),0))</f>
      </c>
      <c r="AK279" s="225">
        <f>IF(OR($A279="",$B279&lt;&gt;"Định kỳ"),0,IFERROR(INDEX(DM_TanSuatThang,MATCH($H279,DM_TanSuat,0)),0))</f>
      </c>
      <c r="AL279" s="225">
        <f>IF(OR($A279="",$B279&lt;&gt;"Định kỳ",N($X279)=0,N($I279)=0),"",IF(INT($X279)&lt;$I279,0,IF($AJ279&gt;0,ROUND((INT($X279)-$I279)/$AJ279,0),IF($AK279&gt;0,ROUND((DATEDIF($I279,INT($X279),"m")+(INT($X279)-EDATE($I279,DATEDIF($I279,INT($X279),"m")))/(EDATE($I279,DATEDIF($I279,INT($X279),"m")+1)-EDATE($I279,DATEDIF($I279,INT($X279),"m"))))/$AK279,0),0))))</f>
      </c>
      <c r="AM279" s="225">
        <f>IF($A279="","",IF(COUNTIF('Nhật ký tiến độ'!$C$6:$C$3005,$A279)=0,0,_xlfn.MAXIFS('Nhật ký tiến độ'!$N$6:$N$3005,'Nhật ký tiến độ'!$C$6:$C$3005,$A279,'Nhật ký tiến độ'!$B$6:$B$3005,_xlfn.MAXIFS('Nhật ký tiến độ'!$B$6:$B$3005,'Nhật ký tiến độ'!$C$6:$C$3005,$A279))))</f>
      </c>
      <c r="AN279" s="225">
        <f>IF($A279="","",IF(N($AM279)=0,"",INDEX('Nhật ký tiến độ'!$E:$E,$AM279)))</f>
      </c>
      <c r="AO279" s="225">
        <f>IF($A279="",0,IF($AA279="Hoàn thành",0,1))</f>
      </c>
      <c r="AP279" s="225">
        <f>IF($AO279=0,0,INT(N($AW279)))</f>
      </c>
      <c r="AQ279" s="225">
        <f>IF(AND($AO279=1,$AJ279&gt;1),$AJ279,0)</f>
      </c>
      <c r="AR279" s="225">
        <f>IF(AND($AO279=1,$AJ279=1),1,0)</f>
      </c>
      <c r="AS279" s="225">
        <f>IF(OR($AO279=0,AND($AR279=1,N($BB279)=0)),"",IF(N($BB279)&gt;0,5-$BB279,IF($AD279="Chậm tiến độ",6,IF($AD279="Đến hạn hôm nay",7,IF(AND($AP279&gt;0,$AP279-NgayBC&lt;=7),8,"")))))</f>
      </c>
      <c r="AT279" s="225">
        <f>IF($AS279="","",$AS279*100000+$AP279+ROW()/100000)</f>
      </c>
      <c r="AU279" s="224">
        <f>IF(OR($A279="",N($R279)&lt;=0),"",IF($S279="Ngày",$R279*24,$R279))</f>
      </c>
      <c r="AV279" s="224">
        <f>IF($A279="","",IF($B279="Đột xuất",IF(OR($AA279&lt;&gt;"Hoàn thành",N($X279)=0,N($J279)=0),"",IF($X279&lt;$J279,"",($X279-$J279)*24)),IFERROR(AVERAGEIFS('Nhật ký tiến độ'!$H$6:$H$3005,'Nhật ký tiến độ'!$C$6:$C$3005,$A279,'Nhật ký tiến độ'!$H$6:$H$3005,"&gt;0"),"")))</f>
      </c>
      <c r="AW279" s="233">
        <f>IF($A279="",0,IF($B279="Đột xuất",$AY279,IF($AX279=0,0,$AX279+1-1/1440)))</f>
      </c>
      <c r="AX279" s="234">
        <f>IF(OR($A279="",$B279&lt;&gt;"Định kỳ",N($I279)=0),0,IF($AL279="",$I279,IF($AJ279&gt;0,$I279+($AL279+1)*$AJ279,IF($AK279&gt;0,EDATE($I279,($AL279+1)*$AK279),$I279))))</f>
      </c>
      <c r="AY279" s="233">
        <f>IF(OR($A279="",$B279&lt;&gt;"Đột xuất"),0,IF(N($K279)&gt;0,IF(MOD($K279,1)=0,$K279+1-1/1440,$K279),IF(N($J279)=0,0,$J279+IF(N($AU279)&gt;0,$AU279,IFERROR(INDEX(DM_SLA_Gio,MATCH($L279,DM_SLA_Cap,0)),168))/24)))</f>
      </c>
      <c r="AZ279" s="225">
        <f>IF(OR($A279="",TRIM($N279)="",COUNTIF('Phản ánh'!$K$6:$K$505,$N279)&gt;0,COUNTIF($N$6:$N279,$N279)&gt;1),0,1)</f>
      </c>
      <c r="BA279" s="225">
        <f>IF($AZ279=1,SUM($AZ$6:$AZ279),"")</f>
      </c>
      <c r="BB279" s="225">
        <f>IF(OR($AO279=0,N($AW279)=0),0,IF(TDBC&lt;=$AW279,0,MAX(1,MIN(4,IF((TDBC-$AW279)*24&lt;24,1,IF((TDBC-$AW279)*24&lt;72,2,IF((TDBC-$AW279)*24&lt;168,3,4)))+IF($B279="Đột xuất",IFERROR(INDEX({2,1,0,-1},MATCH($L279,{"Khẩn cấp","Cao","Trung bình","Thấp"},0)),0),IF($D279="PCCC và an ninh",1,0))))))</f>
      </c>
    </row>
    <row r="280">
      <c r="A280" s="216"/>
      <c r="B280" s="216"/>
      <c r="C280" s="218"/>
      <c r="D280" s="218"/>
      <c r="E280" s="218"/>
      <c r="F280" s="216"/>
      <c r="G280" s="218"/>
      <c r="H280" s="218"/>
      <c r="I280" s="231"/>
      <c r="J280" s="217"/>
      <c r="K280" s="217"/>
      <c r="L280" s="216"/>
      <c r="M280" s="216"/>
      <c r="N280" s="218"/>
      <c r="O280" s="218"/>
      <c r="P280" s="218"/>
      <c r="Q280" s="218"/>
      <c r="R280" s="219"/>
      <c r="S280" s="216"/>
      <c r="T280" s="232"/>
      <c r="U280" s="232"/>
      <c r="V280" s="218"/>
      <c r="W280" s="218"/>
      <c r="X280" s="220">
        <f>IF($A280="","",IF(OR($B280="Định kỳ",$AA280="Hoàn thành"),MAX(_xlfn.MAXIFS('Nhật ký tiến độ'!$B$6:$B$3005,'Nhật ký tiến độ'!$C$6:$C$3005,$A280,'Nhật ký tiến độ'!$E$6:$E$3005,"Hoàn thành kỳ"),_xlfn.MAXIFS('Nhật ký tiến độ'!$B$6:$B$3005,'Nhật ký tiến độ'!$C$6:$C$3005,$A280,'Nhật ký tiến độ'!$E$6:$E$3005,"Hoàn thành")),0))</f>
      </c>
      <c r="Y280" s="220">
        <f>IF($A280="","",IF($B280="Đột xuất",IF($AY280=0,"",$AY280),IF($AX280=0,"",$AX280)))</f>
      </c>
      <c r="Z280" s="223">
        <f>IF(OR($AO280=0,$AW280=0),"",IF(TDBC&gt;$AW280,"Quá "&amp;IF($B280="Định kỳ",(NgayBC-$AP280)&amp;" ngày",IF(((TDBC-$AW280)*24)&lt;1,MAX(1,ROUND(((TDBC-$AW280)*24)*60,0))&amp;" phút",IF(ROUND(((TDBC-$AW280)*24),0)&lt;24,ROUND(((TDBC-$AW280)*24),0)&amp;" giờ",INT(ROUND(((TDBC-$AW280)*24),0)/24)&amp;" ngày"&amp;IF(MOD(ROUND(((TDBC-$AW280)*24),0),24)&gt;0," "&amp;MOD(ROUND(((TDBC-$AW280)*24),0),24)&amp;" giờ","")))),IF($B280="Định kỳ",IF($AP280=NgayBC,"Hôm nay","Còn "&amp;($AP280-NgayBC)&amp;" ngày"),"Còn "&amp;IF((($AW280-TDBC)*24)&lt;1,MAX(1,ROUND((($AW280-TDBC)*24)*60,0))&amp;" phút",IF(ROUND((($AW280-TDBC)*24),0)&lt;24,ROUND((($AW280-TDBC)*24),0)&amp;" giờ",INT(ROUND((($AW280-TDBC)*24),0)/24)&amp;" ngày"&amp;IF(MOD(ROUND((($AW280-TDBC)*24),0),24)&gt;0," "&amp;MOD(ROUND((($AW280-TDBC)*24),0),24)&amp;" giờ",""))))))</f>
      </c>
      <c r="AA280" s="221">
        <f>IF($A280="","",IF(N($AM280)=0,"Chưa bắt đầu",IF(OR($AN280="Hoàn thành kỳ",$AN280="Hoàn thành"),IF($B280="Định kỳ","Chưa bắt đầu","Hoàn thành"),$AN280)))</f>
      </c>
      <c r="AB280" s="222">
        <f>IF($A280="","",IF($AA280="Hoàn thành",1,IF(OR(N($AM280)=0,$AN280="Hoàn thành kỳ",$AN280="Hoàn thành"),0,N(INDEX('Nhật ký tiến độ'!$D:$D,$AM280)))))</f>
      </c>
      <c r="AC280" s="222">
        <f>IF(OR($A280="",$B280&lt;&gt;"Đột xuất",$AA280="Hoàn thành",N($J280)=0,$AW280=0),"",IF(TDBC&lt;=$J280,0,IF(TDBC&gt;=$AW280,1,(TDBC-$J280)/($AW280-$J280))))</f>
      </c>
      <c r="AD280" s="223">
        <f>IF($A280="","",IF($AA280="Hoàn thành","Hoàn thành",IF($AW280=0,"Chưa đặt hạn",IF(TDBC&gt;$AW280,"Quá hạn",IF(AND($B280="Đột xuất",ROUND((N($AC280)-$AB280)*100,0)&gt;=20),"Chậm tiến độ",IF($AP280=NgayBC,"Đến hạn hôm nay",IF($B280="Đột xuất",IF($AW280-TDBC&lt;=1,"Sắp đến hạn","Đúng tiến độ"),IF($AP280-NgayBC&lt;=3,"Sắp đến hạn","Theo lịch"))))))))</f>
      </c>
      <c r="AE280" s="223">
        <f>IF($AV280="","",IF($B280="Định kỳ","Bình quân "&amp;IF($AV280&lt;1,MAX(1,ROUND($AV280*60,0))&amp;" phút",IF(ROUND($AV280,0)&lt;24,ROUND($AV280,0)&amp;" giờ",INT(ROUND($AV280,0)/24)&amp;" ngày"&amp;IF(MOD(ROUND($AV280,0),24)&gt;0," "&amp;MOD(ROUND($AV280,0),24)&amp;" giờ","")))&amp;" mỗi kỳ",IF($AV280&lt;1,MAX(1,ROUND($AV280*60,0))&amp;" phút",IF(ROUND($AV280,0)&lt;24,ROUND($AV280,0)&amp;" giờ",INT(ROUND($AV280,0)/24)&amp;" ngày"&amp;IF(MOD(ROUND($AV280,0),24)&gt;0," "&amp;MOD(ROUND($AV280,0),24)&amp;" giờ","")))))</f>
      </c>
      <c r="AF280" s="223">
        <f>IF(OR($A280="",N($AU280)=0),"",IF($AV280&lt;&gt;"",IF($AV280&lt;=$AU280,"Trong ước tính","Vượt "&amp;IF(($AV280-$AU280)&lt;1,MAX(1,ROUND(($AV280-$AU280)*60,0))&amp;" phút",IF(ROUND(($AV280-$AU280),0)&lt;24,ROUND(($AV280-$AU280),0)&amp;" giờ",INT(ROUND(($AV280-$AU280),0)/24)&amp;" ngày"&amp;IF(MOD(ROUND(($AV280-$AU280),0),24)&gt;0," "&amp;MOD(ROUND(($AV280-$AU280),0),24)&amp;" giờ","")))),IF(OR($B280&lt;&gt;"Đột xuất",$AA280="Hoàn thành",N($J280)=0),"",IF((TDBC-$J280)*24&gt;$AU280,"Đã vượt ước tính","Đã dùng "&amp;TEXT((TDBC-$J280)*24/$AU280,"0%")))))</f>
      </c>
      <c r="AG280" s="223">
        <f>IF(N($BB280)=0,"",CHOOSE($BB280,"Nhắc nhở","Cảnh báo","Báo động","Báo động đỏ"))</f>
      </c>
      <c r="AH280" s="223">
        <f>IF(OR($B280&lt;&gt;"Đột xuất",$AA280&lt;&gt;"Hoàn thành",N($X280)=0,$AW280=0),"",IF($X280&lt;=$AW280,"Đúng hạn","Trễ hạn"))</f>
      </c>
      <c r="AI280" s="220">
        <f>IF($A280="","",_xlfn.MAXIFS('Nhật ký tiến độ'!$B$6:$B$3005,'Nhật ký tiến độ'!$C$6:$C$3005,$A280))</f>
      </c>
      <c r="AJ280" s="225">
        <f>IF(OR($A280="",$B280&lt;&gt;"Định kỳ"),0,IFERROR(INDEX(DM_TanSuatNgay,MATCH($H280,DM_TanSuat,0)),0))</f>
      </c>
      <c r="AK280" s="225">
        <f>IF(OR($A280="",$B280&lt;&gt;"Định kỳ"),0,IFERROR(INDEX(DM_TanSuatThang,MATCH($H280,DM_TanSuat,0)),0))</f>
      </c>
      <c r="AL280" s="225">
        <f>IF(OR($A280="",$B280&lt;&gt;"Định kỳ",N($X280)=0,N($I280)=0),"",IF(INT($X280)&lt;$I280,0,IF($AJ280&gt;0,ROUND((INT($X280)-$I280)/$AJ280,0),IF($AK280&gt;0,ROUND((DATEDIF($I280,INT($X280),"m")+(INT($X280)-EDATE($I280,DATEDIF($I280,INT($X280),"m")))/(EDATE($I280,DATEDIF($I280,INT($X280),"m")+1)-EDATE($I280,DATEDIF($I280,INT($X280),"m"))))/$AK280,0),0))))</f>
      </c>
      <c r="AM280" s="225">
        <f>IF($A280="","",IF(COUNTIF('Nhật ký tiến độ'!$C$6:$C$3005,$A280)=0,0,_xlfn.MAXIFS('Nhật ký tiến độ'!$N$6:$N$3005,'Nhật ký tiến độ'!$C$6:$C$3005,$A280,'Nhật ký tiến độ'!$B$6:$B$3005,_xlfn.MAXIFS('Nhật ký tiến độ'!$B$6:$B$3005,'Nhật ký tiến độ'!$C$6:$C$3005,$A280))))</f>
      </c>
      <c r="AN280" s="225">
        <f>IF($A280="","",IF(N($AM280)=0,"",INDEX('Nhật ký tiến độ'!$E:$E,$AM280)))</f>
      </c>
      <c r="AO280" s="225">
        <f>IF($A280="",0,IF($AA280="Hoàn thành",0,1))</f>
      </c>
      <c r="AP280" s="225">
        <f>IF($AO280=0,0,INT(N($AW280)))</f>
      </c>
      <c r="AQ280" s="225">
        <f>IF(AND($AO280=1,$AJ280&gt;1),$AJ280,0)</f>
      </c>
      <c r="AR280" s="225">
        <f>IF(AND($AO280=1,$AJ280=1),1,0)</f>
      </c>
      <c r="AS280" s="225">
        <f>IF(OR($AO280=0,AND($AR280=1,N($BB280)=0)),"",IF(N($BB280)&gt;0,5-$BB280,IF($AD280="Chậm tiến độ",6,IF($AD280="Đến hạn hôm nay",7,IF(AND($AP280&gt;0,$AP280-NgayBC&lt;=7),8,"")))))</f>
      </c>
      <c r="AT280" s="225">
        <f>IF($AS280="","",$AS280*100000+$AP280+ROW()/100000)</f>
      </c>
      <c r="AU280" s="224">
        <f>IF(OR($A280="",N($R280)&lt;=0),"",IF($S280="Ngày",$R280*24,$R280))</f>
      </c>
      <c r="AV280" s="224">
        <f>IF($A280="","",IF($B280="Đột xuất",IF(OR($AA280&lt;&gt;"Hoàn thành",N($X280)=0,N($J280)=0),"",IF($X280&lt;$J280,"",($X280-$J280)*24)),IFERROR(AVERAGEIFS('Nhật ký tiến độ'!$H$6:$H$3005,'Nhật ký tiến độ'!$C$6:$C$3005,$A280,'Nhật ký tiến độ'!$H$6:$H$3005,"&gt;0"),"")))</f>
      </c>
      <c r="AW280" s="233">
        <f>IF($A280="",0,IF($B280="Đột xuất",$AY280,IF($AX280=0,0,$AX280+1-1/1440)))</f>
      </c>
      <c r="AX280" s="234">
        <f>IF(OR($A280="",$B280&lt;&gt;"Định kỳ",N($I280)=0),0,IF($AL280="",$I280,IF($AJ280&gt;0,$I280+($AL280+1)*$AJ280,IF($AK280&gt;0,EDATE($I280,($AL280+1)*$AK280),$I280))))</f>
      </c>
      <c r="AY280" s="233">
        <f>IF(OR($A280="",$B280&lt;&gt;"Đột xuất"),0,IF(N($K280)&gt;0,IF(MOD($K280,1)=0,$K280+1-1/1440,$K280),IF(N($J280)=0,0,$J280+IF(N($AU280)&gt;0,$AU280,IFERROR(INDEX(DM_SLA_Gio,MATCH($L280,DM_SLA_Cap,0)),168))/24)))</f>
      </c>
      <c r="AZ280" s="225">
        <f>IF(OR($A280="",TRIM($N280)="",COUNTIF('Phản ánh'!$K$6:$K$505,$N280)&gt;0,COUNTIF($N$6:$N280,$N280)&gt;1),0,1)</f>
      </c>
      <c r="BA280" s="225">
        <f>IF($AZ280=1,SUM($AZ$6:$AZ280),"")</f>
      </c>
      <c r="BB280" s="225">
        <f>IF(OR($AO280=0,N($AW280)=0),0,IF(TDBC&lt;=$AW280,0,MAX(1,MIN(4,IF((TDBC-$AW280)*24&lt;24,1,IF((TDBC-$AW280)*24&lt;72,2,IF((TDBC-$AW280)*24&lt;168,3,4)))+IF($B280="Đột xuất",IFERROR(INDEX({2,1,0,-1},MATCH($L280,{"Khẩn cấp","Cao","Trung bình","Thấp"},0)),0),IF($D280="PCCC và an ninh",1,0))))))</f>
      </c>
    </row>
    <row r="281">
      <c r="A281" s="216"/>
      <c r="B281" s="216"/>
      <c r="C281" s="218"/>
      <c r="D281" s="218"/>
      <c r="E281" s="218"/>
      <c r="F281" s="216"/>
      <c r="G281" s="218"/>
      <c r="H281" s="218"/>
      <c r="I281" s="231"/>
      <c r="J281" s="217"/>
      <c r="K281" s="217"/>
      <c r="L281" s="216"/>
      <c r="M281" s="216"/>
      <c r="N281" s="218"/>
      <c r="O281" s="218"/>
      <c r="P281" s="218"/>
      <c r="Q281" s="218"/>
      <c r="R281" s="219"/>
      <c r="S281" s="216"/>
      <c r="T281" s="232"/>
      <c r="U281" s="232"/>
      <c r="V281" s="218"/>
      <c r="W281" s="218"/>
      <c r="X281" s="220">
        <f>IF($A281="","",IF(OR($B281="Định kỳ",$AA281="Hoàn thành"),MAX(_xlfn.MAXIFS('Nhật ký tiến độ'!$B$6:$B$3005,'Nhật ký tiến độ'!$C$6:$C$3005,$A281,'Nhật ký tiến độ'!$E$6:$E$3005,"Hoàn thành kỳ"),_xlfn.MAXIFS('Nhật ký tiến độ'!$B$6:$B$3005,'Nhật ký tiến độ'!$C$6:$C$3005,$A281,'Nhật ký tiến độ'!$E$6:$E$3005,"Hoàn thành")),0))</f>
      </c>
      <c r="Y281" s="220">
        <f>IF($A281="","",IF($B281="Đột xuất",IF($AY281=0,"",$AY281),IF($AX281=0,"",$AX281)))</f>
      </c>
      <c r="Z281" s="223">
        <f>IF(OR($AO281=0,$AW281=0),"",IF(TDBC&gt;$AW281,"Quá "&amp;IF($B281="Định kỳ",(NgayBC-$AP281)&amp;" ngày",IF(((TDBC-$AW281)*24)&lt;1,MAX(1,ROUND(((TDBC-$AW281)*24)*60,0))&amp;" phút",IF(ROUND(((TDBC-$AW281)*24),0)&lt;24,ROUND(((TDBC-$AW281)*24),0)&amp;" giờ",INT(ROUND(((TDBC-$AW281)*24),0)/24)&amp;" ngày"&amp;IF(MOD(ROUND(((TDBC-$AW281)*24),0),24)&gt;0," "&amp;MOD(ROUND(((TDBC-$AW281)*24),0),24)&amp;" giờ","")))),IF($B281="Định kỳ",IF($AP281=NgayBC,"Hôm nay","Còn "&amp;($AP281-NgayBC)&amp;" ngày"),"Còn "&amp;IF((($AW281-TDBC)*24)&lt;1,MAX(1,ROUND((($AW281-TDBC)*24)*60,0))&amp;" phút",IF(ROUND((($AW281-TDBC)*24),0)&lt;24,ROUND((($AW281-TDBC)*24),0)&amp;" giờ",INT(ROUND((($AW281-TDBC)*24),0)/24)&amp;" ngày"&amp;IF(MOD(ROUND((($AW281-TDBC)*24),0),24)&gt;0," "&amp;MOD(ROUND((($AW281-TDBC)*24),0),24)&amp;" giờ",""))))))</f>
      </c>
      <c r="AA281" s="221">
        <f>IF($A281="","",IF(N($AM281)=0,"Chưa bắt đầu",IF(OR($AN281="Hoàn thành kỳ",$AN281="Hoàn thành"),IF($B281="Định kỳ","Chưa bắt đầu","Hoàn thành"),$AN281)))</f>
      </c>
      <c r="AB281" s="222">
        <f>IF($A281="","",IF($AA281="Hoàn thành",1,IF(OR(N($AM281)=0,$AN281="Hoàn thành kỳ",$AN281="Hoàn thành"),0,N(INDEX('Nhật ký tiến độ'!$D:$D,$AM281)))))</f>
      </c>
      <c r="AC281" s="222">
        <f>IF(OR($A281="",$B281&lt;&gt;"Đột xuất",$AA281="Hoàn thành",N($J281)=0,$AW281=0),"",IF(TDBC&lt;=$J281,0,IF(TDBC&gt;=$AW281,1,(TDBC-$J281)/($AW281-$J281))))</f>
      </c>
      <c r="AD281" s="223">
        <f>IF($A281="","",IF($AA281="Hoàn thành","Hoàn thành",IF($AW281=0,"Chưa đặt hạn",IF(TDBC&gt;$AW281,"Quá hạn",IF(AND($B281="Đột xuất",ROUND((N($AC281)-$AB281)*100,0)&gt;=20),"Chậm tiến độ",IF($AP281=NgayBC,"Đến hạn hôm nay",IF($B281="Đột xuất",IF($AW281-TDBC&lt;=1,"Sắp đến hạn","Đúng tiến độ"),IF($AP281-NgayBC&lt;=3,"Sắp đến hạn","Theo lịch"))))))))</f>
      </c>
      <c r="AE281" s="223">
        <f>IF($AV281="","",IF($B281="Định kỳ","Bình quân "&amp;IF($AV281&lt;1,MAX(1,ROUND($AV281*60,0))&amp;" phút",IF(ROUND($AV281,0)&lt;24,ROUND($AV281,0)&amp;" giờ",INT(ROUND($AV281,0)/24)&amp;" ngày"&amp;IF(MOD(ROUND($AV281,0),24)&gt;0," "&amp;MOD(ROUND($AV281,0),24)&amp;" giờ","")))&amp;" mỗi kỳ",IF($AV281&lt;1,MAX(1,ROUND($AV281*60,0))&amp;" phút",IF(ROUND($AV281,0)&lt;24,ROUND($AV281,0)&amp;" giờ",INT(ROUND($AV281,0)/24)&amp;" ngày"&amp;IF(MOD(ROUND($AV281,0),24)&gt;0," "&amp;MOD(ROUND($AV281,0),24)&amp;" giờ","")))))</f>
      </c>
      <c r="AF281" s="223">
        <f>IF(OR($A281="",N($AU281)=0),"",IF($AV281&lt;&gt;"",IF($AV281&lt;=$AU281,"Trong ước tính","Vượt "&amp;IF(($AV281-$AU281)&lt;1,MAX(1,ROUND(($AV281-$AU281)*60,0))&amp;" phút",IF(ROUND(($AV281-$AU281),0)&lt;24,ROUND(($AV281-$AU281),0)&amp;" giờ",INT(ROUND(($AV281-$AU281),0)/24)&amp;" ngày"&amp;IF(MOD(ROUND(($AV281-$AU281),0),24)&gt;0," "&amp;MOD(ROUND(($AV281-$AU281),0),24)&amp;" giờ","")))),IF(OR($B281&lt;&gt;"Đột xuất",$AA281="Hoàn thành",N($J281)=0),"",IF((TDBC-$J281)*24&gt;$AU281,"Đã vượt ước tính","Đã dùng "&amp;TEXT((TDBC-$J281)*24/$AU281,"0%")))))</f>
      </c>
      <c r="AG281" s="223">
        <f>IF(N($BB281)=0,"",CHOOSE($BB281,"Nhắc nhở","Cảnh báo","Báo động","Báo động đỏ"))</f>
      </c>
      <c r="AH281" s="223">
        <f>IF(OR($B281&lt;&gt;"Đột xuất",$AA281&lt;&gt;"Hoàn thành",N($X281)=0,$AW281=0),"",IF($X281&lt;=$AW281,"Đúng hạn","Trễ hạn"))</f>
      </c>
      <c r="AI281" s="220">
        <f>IF($A281="","",_xlfn.MAXIFS('Nhật ký tiến độ'!$B$6:$B$3005,'Nhật ký tiến độ'!$C$6:$C$3005,$A281))</f>
      </c>
      <c r="AJ281" s="225">
        <f>IF(OR($A281="",$B281&lt;&gt;"Định kỳ"),0,IFERROR(INDEX(DM_TanSuatNgay,MATCH($H281,DM_TanSuat,0)),0))</f>
      </c>
      <c r="AK281" s="225">
        <f>IF(OR($A281="",$B281&lt;&gt;"Định kỳ"),0,IFERROR(INDEX(DM_TanSuatThang,MATCH($H281,DM_TanSuat,0)),0))</f>
      </c>
      <c r="AL281" s="225">
        <f>IF(OR($A281="",$B281&lt;&gt;"Định kỳ",N($X281)=0,N($I281)=0),"",IF(INT($X281)&lt;$I281,0,IF($AJ281&gt;0,ROUND((INT($X281)-$I281)/$AJ281,0),IF($AK281&gt;0,ROUND((DATEDIF($I281,INT($X281),"m")+(INT($X281)-EDATE($I281,DATEDIF($I281,INT($X281),"m")))/(EDATE($I281,DATEDIF($I281,INT($X281),"m")+1)-EDATE($I281,DATEDIF($I281,INT($X281),"m"))))/$AK281,0),0))))</f>
      </c>
      <c r="AM281" s="225">
        <f>IF($A281="","",IF(COUNTIF('Nhật ký tiến độ'!$C$6:$C$3005,$A281)=0,0,_xlfn.MAXIFS('Nhật ký tiến độ'!$N$6:$N$3005,'Nhật ký tiến độ'!$C$6:$C$3005,$A281,'Nhật ký tiến độ'!$B$6:$B$3005,_xlfn.MAXIFS('Nhật ký tiến độ'!$B$6:$B$3005,'Nhật ký tiến độ'!$C$6:$C$3005,$A281))))</f>
      </c>
      <c r="AN281" s="225">
        <f>IF($A281="","",IF(N($AM281)=0,"",INDEX('Nhật ký tiến độ'!$E:$E,$AM281)))</f>
      </c>
      <c r="AO281" s="225">
        <f>IF($A281="",0,IF($AA281="Hoàn thành",0,1))</f>
      </c>
      <c r="AP281" s="225">
        <f>IF($AO281=0,0,INT(N($AW281)))</f>
      </c>
      <c r="AQ281" s="225">
        <f>IF(AND($AO281=1,$AJ281&gt;1),$AJ281,0)</f>
      </c>
      <c r="AR281" s="225">
        <f>IF(AND($AO281=1,$AJ281=1),1,0)</f>
      </c>
      <c r="AS281" s="225">
        <f>IF(OR($AO281=0,AND($AR281=1,N($BB281)=0)),"",IF(N($BB281)&gt;0,5-$BB281,IF($AD281="Chậm tiến độ",6,IF($AD281="Đến hạn hôm nay",7,IF(AND($AP281&gt;0,$AP281-NgayBC&lt;=7),8,"")))))</f>
      </c>
      <c r="AT281" s="225">
        <f>IF($AS281="","",$AS281*100000+$AP281+ROW()/100000)</f>
      </c>
      <c r="AU281" s="224">
        <f>IF(OR($A281="",N($R281)&lt;=0),"",IF($S281="Ngày",$R281*24,$R281))</f>
      </c>
      <c r="AV281" s="224">
        <f>IF($A281="","",IF($B281="Đột xuất",IF(OR($AA281&lt;&gt;"Hoàn thành",N($X281)=0,N($J281)=0),"",IF($X281&lt;$J281,"",($X281-$J281)*24)),IFERROR(AVERAGEIFS('Nhật ký tiến độ'!$H$6:$H$3005,'Nhật ký tiến độ'!$C$6:$C$3005,$A281,'Nhật ký tiến độ'!$H$6:$H$3005,"&gt;0"),"")))</f>
      </c>
      <c r="AW281" s="233">
        <f>IF($A281="",0,IF($B281="Đột xuất",$AY281,IF($AX281=0,0,$AX281+1-1/1440)))</f>
      </c>
      <c r="AX281" s="234">
        <f>IF(OR($A281="",$B281&lt;&gt;"Định kỳ",N($I281)=0),0,IF($AL281="",$I281,IF($AJ281&gt;0,$I281+($AL281+1)*$AJ281,IF($AK281&gt;0,EDATE($I281,($AL281+1)*$AK281),$I281))))</f>
      </c>
      <c r="AY281" s="233">
        <f>IF(OR($A281="",$B281&lt;&gt;"Đột xuất"),0,IF(N($K281)&gt;0,IF(MOD($K281,1)=0,$K281+1-1/1440,$K281),IF(N($J281)=0,0,$J281+IF(N($AU281)&gt;0,$AU281,IFERROR(INDEX(DM_SLA_Gio,MATCH($L281,DM_SLA_Cap,0)),168))/24)))</f>
      </c>
      <c r="AZ281" s="225">
        <f>IF(OR($A281="",TRIM($N281)="",COUNTIF('Phản ánh'!$K$6:$K$505,$N281)&gt;0,COUNTIF($N$6:$N281,$N281)&gt;1),0,1)</f>
      </c>
      <c r="BA281" s="225">
        <f>IF($AZ281=1,SUM($AZ$6:$AZ281),"")</f>
      </c>
      <c r="BB281" s="225">
        <f>IF(OR($AO281=0,N($AW281)=0),0,IF(TDBC&lt;=$AW281,0,MAX(1,MIN(4,IF((TDBC-$AW281)*24&lt;24,1,IF((TDBC-$AW281)*24&lt;72,2,IF((TDBC-$AW281)*24&lt;168,3,4)))+IF($B281="Đột xuất",IFERROR(INDEX({2,1,0,-1},MATCH($L281,{"Khẩn cấp","Cao","Trung bình","Thấp"},0)),0),IF($D281="PCCC và an ninh",1,0))))))</f>
      </c>
    </row>
    <row r="282">
      <c r="A282" s="216"/>
      <c r="B282" s="216"/>
      <c r="C282" s="218"/>
      <c r="D282" s="218"/>
      <c r="E282" s="218"/>
      <c r="F282" s="216"/>
      <c r="G282" s="218"/>
      <c r="H282" s="218"/>
      <c r="I282" s="231"/>
      <c r="J282" s="217"/>
      <c r="K282" s="217"/>
      <c r="L282" s="216"/>
      <c r="M282" s="216"/>
      <c r="N282" s="218"/>
      <c r="O282" s="218"/>
      <c r="P282" s="218"/>
      <c r="Q282" s="218"/>
      <c r="R282" s="219"/>
      <c r="S282" s="216"/>
      <c r="T282" s="232"/>
      <c r="U282" s="232"/>
      <c r="V282" s="218"/>
      <c r="W282" s="218"/>
      <c r="X282" s="220">
        <f>IF($A282="","",IF(OR($B282="Định kỳ",$AA282="Hoàn thành"),MAX(_xlfn.MAXIFS('Nhật ký tiến độ'!$B$6:$B$3005,'Nhật ký tiến độ'!$C$6:$C$3005,$A282,'Nhật ký tiến độ'!$E$6:$E$3005,"Hoàn thành kỳ"),_xlfn.MAXIFS('Nhật ký tiến độ'!$B$6:$B$3005,'Nhật ký tiến độ'!$C$6:$C$3005,$A282,'Nhật ký tiến độ'!$E$6:$E$3005,"Hoàn thành")),0))</f>
      </c>
      <c r="Y282" s="220">
        <f>IF($A282="","",IF($B282="Đột xuất",IF($AY282=0,"",$AY282),IF($AX282=0,"",$AX282)))</f>
      </c>
      <c r="Z282" s="223">
        <f>IF(OR($AO282=0,$AW282=0),"",IF(TDBC&gt;$AW282,"Quá "&amp;IF($B282="Định kỳ",(NgayBC-$AP282)&amp;" ngày",IF(((TDBC-$AW282)*24)&lt;1,MAX(1,ROUND(((TDBC-$AW282)*24)*60,0))&amp;" phút",IF(ROUND(((TDBC-$AW282)*24),0)&lt;24,ROUND(((TDBC-$AW282)*24),0)&amp;" giờ",INT(ROUND(((TDBC-$AW282)*24),0)/24)&amp;" ngày"&amp;IF(MOD(ROUND(((TDBC-$AW282)*24),0),24)&gt;0," "&amp;MOD(ROUND(((TDBC-$AW282)*24),0),24)&amp;" giờ","")))),IF($B282="Định kỳ",IF($AP282=NgayBC,"Hôm nay","Còn "&amp;($AP282-NgayBC)&amp;" ngày"),"Còn "&amp;IF((($AW282-TDBC)*24)&lt;1,MAX(1,ROUND((($AW282-TDBC)*24)*60,0))&amp;" phút",IF(ROUND((($AW282-TDBC)*24),0)&lt;24,ROUND((($AW282-TDBC)*24),0)&amp;" giờ",INT(ROUND((($AW282-TDBC)*24),0)/24)&amp;" ngày"&amp;IF(MOD(ROUND((($AW282-TDBC)*24),0),24)&gt;0," "&amp;MOD(ROUND((($AW282-TDBC)*24),0),24)&amp;" giờ",""))))))</f>
      </c>
      <c r="AA282" s="221">
        <f>IF($A282="","",IF(N($AM282)=0,"Chưa bắt đầu",IF(OR($AN282="Hoàn thành kỳ",$AN282="Hoàn thành"),IF($B282="Định kỳ","Chưa bắt đầu","Hoàn thành"),$AN282)))</f>
      </c>
      <c r="AB282" s="222">
        <f>IF($A282="","",IF($AA282="Hoàn thành",1,IF(OR(N($AM282)=0,$AN282="Hoàn thành kỳ",$AN282="Hoàn thành"),0,N(INDEX('Nhật ký tiến độ'!$D:$D,$AM282)))))</f>
      </c>
      <c r="AC282" s="222">
        <f>IF(OR($A282="",$B282&lt;&gt;"Đột xuất",$AA282="Hoàn thành",N($J282)=0,$AW282=0),"",IF(TDBC&lt;=$J282,0,IF(TDBC&gt;=$AW282,1,(TDBC-$J282)/($AW282-$J282))))</f>
      </c>
      <c r="AD282" s="223">
        <f>IF($A282="","",IF($AA282="Hoàn thành","Hoàn thành",IF($AW282=0,"Chưa đặt hạn",IF(TDBC&gt;$AW282,"Quá hạn",IF(AND($B282="Đột xuất",ROUND((N($AC282)-$AB282)*100,0)&gt;=20),"Chậm tiến độ",IF($AP282=NgayBC,"Đến hạn hôm nay",IF($B282="Đột xuất",IF($AW282-TDBC&lt;=1,"Sắp đến hạn","Đúng tiến độ"),IF($AP282-NgayBC&lt;=3,"Sắp đến hạn","Theo lịch"))))))))</f>
      </c>
      <c r="AE282" s="223">
        <f>IF($AV282="","",IF($B282="Định kỳ","Bình quân "&amp;IF($AV282&lt;1,MAX(1,ROUND($AV282*60,0))&amp;" phút",IF(ROUND($AV282,0)&lt;24,ROUND($AV282,0)&amp;" giờ",INT(ROUND($AV282,0)/24)&amp;" ngày"&amp;IF(MOD(ROUND($AV282,0),24)&gt;0," "&amp;MOD(ROUND($AV282,0),24)&amp;" giờ","")))&amp;" mỗi kỳ",IF($AV282&lt;1,MAX(1,ROUND($AV282*60,0))&amp;" phút",IF(ROUND($AV282,0)&lt;24,ROUND($AV282,0)&amp;" giờ",INT(ROUND($AV282,0)/24)&amp;" ngày"&amp;IF(MOD(ROUND($AV282,0),24)&gt;0," "&amp;MOD(ROUND($AV282,0),24)&amp;" giờ","")))))</f>
      </c>
      <c r="AF282" s="223">
        <f>IF(OR($A282="",N($AU282)=0),"",IF($AV282&lt;&gt;"",IF($AV282&lt;=$AU282,"Trong ước tính","Vượt "&amp;IF(($AV282-$AU282)&lt;1,MAX(1,ROUND(($AV282-$AU282)*60,0))&amp;" phút",IF(ROUND(($AV282-$AU282),0)&lt;24,ROUND(($AV282-$AU282),0)&amp;" giờ",INT(ROUND(($AV282-$AU282),0)/24)&amp;" ngày"&amp;IF(MOD(ROUND(($AV282-$AU282),0),24)&gt;0," "&amp;MOD(ROUND(($AV282-$AU282),0),24)&amp;" giờ","")))),IF(OR($B282&lt;&gt;"Đột xuất",$AA282="Hoàn thành",N($J282)=0),"",IF((TDBC-$J282)*24&gt;$AU282,"Đã vượt ước tính","Đã dùng "&amp;TEXT((TDBC-$J282)*24/$AU282,"0%")))))</f>
      </c>
      <c r="AG282" s="223">
        <f>IF(N($BB282)=0,"",CHOOSE($BB282,"Nhắc nhở","Cảnh báo","Báo động","Báo động đỏ"))</f>
      </c>
      <c r="AH282" s="223">
        <f>IF(OR($B282&lt;&gt;"Đột xuất",$AA282&lt;&gt;"Hoàn thành",N($X282)=0,$AW282=0),"",IF($X282&lt;=$AW282,"Đúng hạn","Trễ hạn"))</f>
      </c>
      <c r="AI282" s="220">
        <f>IF($A282="","",_xlfn.MAXIFS('Nhật ký tiến độ'!$B$6:$B$3005,'Nhật ký tiến độ'!$C$6:$C$3005,$A282))</f>
      </c>
      <c r="AJ282" s="225">
        <f>IF(OR($A282="",$B282&lt;&gt;"Định kỳ"),0,IFERROR(INDEX(DM_TanSuatNgay,MATCH($H282,DM_TanSuat,0)),0))</f>
      </c>
      <c r="AK282" s="225">
        <f>IF(OR($A282="",$B282&lt;&gt;"Định kỳ"),0,IFERROR(INDEX(DM_TanSuatThang,MATCH($H282,DM_TanSuat,0)),0))</f>
      </c>
      <c r="AL282" s="225">
        <f>IF(OR($A282="",$B282&lt;&gt;"Định kỳ",N($X282)=0,N($I282)=0),"",IF(INT($X282)&lt;$I282,0,IF($AJ282&gt;0,ROUND((INT($X282)-$I282)/$AJ282,0),IF($AK282&gt;0,ROUND((DATEDIF($I282,INT($X282),"m")+(INT($X282)-EDATE($I282,DATEDIF($I282,INT($X282),"m")))/(EDATE($I282,DATEDIF($I282,INT($X282),"m")+1)-EDATE($I282,DATEDIF($I282,INT($X282),"m"))))/$AK282,0),0))))</f>
      </c>
      <c r="AM282" s="225">
        <f>IF($A282="","",IF(COUNTIF('Nhật ký tiến độ'!$C$6:$C$3005,$A282)=0,0,_xlfn.MAXIFS('Nhật ký tiến độ'!$N$6:$N$3005,'Nhật ký tiến độ'!$C$6:$C$3005,$A282,'Nhật ký tiến độ'!$B$6:$B$3005,_xlfn.MAXIFS('Nhật ký tiến độ'!$B$6:$B$3005,'Nhật ký tiến độ'!$C$6:$C$3005,$A282))))</f>
      </c>
      <c r="AN282" s="225">
        <f>IF($A282="","",IF(N($AM282)=0,"",INDEX('Nhật ký tiến độ'!$E:$E,$AM282)))</f>
      </c>
      <c r="AO282" s="225">
        <f>IF($A282="",0,IF($AA282="Hoàn thành",0,1))</f>
      </c>
      <c r="AP282" s="225">
        <f>IF($AO282=0,0,INT(N($AW282)))</f>
      </c>
      <c r="AQ282" s="225">
        <f>IF(AND($AO282=1,$AJ282&gt;1),$AJ282,0)</f>
      </c>
      <c r="AR282" s="225">
        <f>IF(AND($AO282=1,$AJ282=1),1,0)</f>
      </c>
      <c r="AS282" s="225">
        <f>IF(OR($AO282=0,AND($AR282=1,N($BB282)=0)),"",IF(N($BB282)&gt;0,5-$BB282,IF($AD282="Chậm tiến độ",6,IF($AD282="Đến hạn hôm nay",7,IF(AND($AP282&gt;0,$AP282-NgayBC&lt;=7),8,"")))))</f>
      </c>
      <c r="AT282" s="225">
        <f>IF($AS282="","",$AS282*100000+$AP282+ROW()/100000)</f>
      </c>
      <c r="AU282" s="224">
        <f>IF(OR($A282="",N($R282)&lt;=0),"",IF($S282="Ngày",$R282*24,$R282))</f>
      </c>
      <c r="AV282" s="224">
        <f>IF($A282="","",IF($B282="Đột xuất",IF(OR($AA282&lt;&gt;"Hoàn thành",N($X282)=0,N($J282)=0),"",IF($X282&lt;$J282,"",($X282-$J282)*24)),IFERROR(AVERAGEIFS('Nhật ký tiến độ'!$H$6:$H$3005,'Nhật ký tiến độ'!$C$6:$C$3005,$A282,'Nhật ký tiến độ'!$H$6:$H$3005,"&gt;0"),"")))</f>
      </c>
      <c r="AW282" s="233">
        <f>IF($A282="",0,IF($B282="Đột xuất",$AY282,IF($AX282=0,0,$AX282+1-1/1440)))</f>
      </c>
      <c r="AX282" s="234">
        <f>IF(OR($A282="",$B282&lt;&gt;"Định kỳ",N($I282)=0),0,IF($AL282="",$I282,IF($AJ282&gt;0,$I282+($AL282+1)*$AJ282,IF($AK282&gt;0,EDATE($I282,($AL282+1)*$AK282),$I282))))</f>
      </c>
      <c r="AY282" s="233">
        <f>IF(OR($A282="",$B282&lt;&gt;"Đột xuất"),0,IF(N($K282)&gt;0,IF(MOD($K282,1)=0,$K282+1-1/1440,$K282),IF(N($J282)=0,0,$J282+IF(N($AU282)&gt;0,$AU282,IFERROR(INDEX(DM_SLA_Gio,MATCH($L282,DM_SLA_Cap,0)),168))/24)))</f>
      </c>
      <c r="AZ282" s="225">
        <f>IF(OR($A282="",TRIM($N282)="",COUNTIF('Phản ánh'!$K$6:$K$505,$N282)&gt;0,COUNTIF($N$6:$N282,$N282)&gt;1),0,1)</f>
      </c>
      <c r="BA282" s="225">
        <f>IF($AZ282=1,SUM($AZ$6:$AZ282),"")</f>
      </c>
      <c r="BB282" s="225">
        <f>IF(OR($AO282=0,N($AW282)=0),0,IF(TDBC&lt;=$AW282,0,MAX(1,MIN(4,IF((TDBC-$AW282)*24&lt;24,1,IF((TDBC-$AW282)*24&lt;72,2,IF((TDBC-$AW282)*24&lt;168,3,4)))+IF($B282="Đột xuất",IFERROR(INDEX({2,1,0,-1},MATCH($L282,{"Khẩn cấp","Cao","Trung bình","Thấp"},0)),0),IF($D282="PCCC và an ninh",1,0))))))</f>
      </c>
    </row>
    <row r="283">
      <c r="A283" s="216"/>
      <c r="B283" s="216"/>
      <c r="C283" s="218"/>
      <c r="D283" s="218"/>
      <c r="E283" s="218"/>
      <c r="F283" s="216"/>
      <c r="G283" s="218"/>
      <c r="H283" s="218"/>
      <c r="I283" s="231"/>
      <c r="J283" s="217"/>
      <c r="K283" s="217"/>
      <c r="L283" s="216"/>
      <c r="M283" s="216"/>
      <c r="N283" s="218"/>
      <c r="O283" s="218"/>
      <c r="P283" s="218"/>
      <c r="Q283" s="218"/>
      <c r="R283" s="219"/>
      <c r="S283" s="216"/>
      <c r="T283" s="232"/>
      <c r="U283" s="232"/>
      <c r="V283" s="218"/>
      <c r="W283" s="218"/>
      <c r="X283" s="220">
        <f>IF($A283="","",IF(OR($B283="Định kỳ",$AA283="Hoàn thành"),MAX(_xlfn.MAXIFS('Nhật ký tiến độ'!$B$6:$B$3005,'Nhật ký tiến độ'!$C$6:$C$3005,$A283,'Nhật ký tiến độ'!$E$6:$E$3005,"Hoàn thành kỳ"),_xlfn.MAXIFS('Nhật ký tiến độ'!$B$6:$B$3005,'Nhật ký tiến độ'!$C$6:$C$3005,$A283,'Nhật ký tiến độ'!$E$6:$E$3005,"Hoàn thành")),0))</f>
      </c>
      <c r="Y283" s="220">
        <f>IF($A283="","",IF($B283="Đột xuất",IF($AY283=0,"",$AY283),IF($AX283=0,"",$AX283)))</f>
      </c>
      <c r="Z283" s="223">
        <f>IF(OR($AO283=0,$AW283=0),"",IF(TDBC&gt;$AW283,"Quá "&amp;IF($B283="Định kỳ",(NgayBC-$AP283)&amp;" ngày",IF(((TDBC-$AW283)*24)&lt;1,MAX(1,ROUND(((TDBC-$AW283)*24)*60,0))&amp;" phút",IF(ROUND(((TDBC-$AW283)*24),0)&lt;24,ROUND(((TDBC-$AW283)*24),0)&amp;" giờ",INT(ROUND(((TDBC-$AW283)*24),0)/24)&amp;" ngày"&amp;IF(MOD(ROUND(((TDBC-$AW283)*24),0),24)&gt;0," "&amp;MOD(ROUND(((TDBC-$AW283)*24),0),24)&amp;" giờ","")))),IF($B283="Định kỳ",IF($AP283=NgayBC,"Hôm nay","Còn "&amp;($AP283-NgayBC)&amp;" ngày"),"Còn "&amp;IF((($AW283-TDBC)*24)&lt;1,MAX(1,ROUND((($AW283-TDBC)*24)*60,0))&amp;" phút",IF(ROUND((($AW283-TDBC)*24),0)&lt;24,ROUND((($AW283-TDBC)*24),0)&amp;" giờ",INT(ROUND((($AW283-TDBC)*24),0)/24)&amp;" ngày"&amp;IF(MOD(ROUND((($AW283-TDBC)*24),0),24)&gt;0," "&amp;MOD(ROUND((($AW283-TDBC)*24),0),24)&amp;" giờ",""))))))</f>
      </c>
      <c r="AA283" s="221">
        <f>IF($A283="","",IF(N($AM283)=0,"Chưa bắt đầu",IF(OR($AN283="Hoàn thành kỳ",$AN283="Hoàn thành"),IF($B283="Định kỳ","Chưa bắt đầu","Hoàn thành"),$AN283)))</f>
      </c>
      <c r="AB283" s="222">
        <f>IF($A283="","",IF($AA283="Hoàn thành",1,IF(OR(N($AM283)=0,$AN283="Hoàn thành kỳ",$AN283="Hoàn thành"),0,N(INDEX('Nhật ký tiến độ'!$D:$D,$AM283)))))</f>
      </c>
      <c r="AC283" s="222">
        <f>IF(OR($A283="",$B283&lt;&gt;"Đột xuất",$AA283="Hoàn thành",N($J283)=0,$AW283=0),"",IF(TDBC&lt;=$J283,0,IF(TDBC&gt;=$AW283,1,(TDBC-$J283)/($AW283-$J283))))</f>
      </c>
      <c r="AD283" s="223">
        <f>IF($A283="","",IF($AA283="Hoàn thành","Hoàn thành",IF($AW283=0,"Chưa đặt hạn",IF(TDBC&gt;$AW283,"Quá hạn",IF(AND($B283="Đột xuất",ROUND((N($AC283)-$AB283)*100,0)&gt;=20),"Chậm tiến độ",IF($AP283=NgayBC,"Đến hạn hôm nay",IF($B283="Đột xuất",IF($AW283-TDBC&lt;=1,"Sắp đến hạn","Đúng tiến độ"),IF($AP283-NgayBC&lt;=3,"Sắp đến hạn","Theo lịch"))))))))</f>
      </c>
      <c r="AE283" s="223">
        <f>IF($AV283="","",IF($B283="Định kỳ","Bình quân "&amp;IF($AV283&lt;1,MAX(1,ROUND($AV283*60,0))&amp;" phút",IF(ROUND($AV283,0)&lt;24,ROUND($AV283,0)&amp;" giờ",INT(ROUND($AV283,0)/24)&amp;" ngày"&amp;IF(MOD(ROUND($AV283,0),24)&gt;0," "&amp;MOD(ROUND($AV283,0),24)&amp;" giờ","")))&amp;" mỗi kỳ",IF($AV283&lt;1,MAX(1,ROUND($AV283*60,0))&amp;" phút",IF(ROUND($AV283,0)&lt;24,ROUND($AV283,0)&amp;" giờ",INT(ROUND($AV283,0)/24)&amp;" ngày"&amp;IF(MOD(ROUND($AV283,0),24)&gt;0," "&amp;MOD(ROUND($AV283,0),24)&amp;" giờ","")))))</f>
      </c>
      <c r="AF283" s="223">
        <f>IF(OR($A283="",N($AU283)=0),"",IF($AV283&lt;&gt;"",IF($AV283&lt;=$AU283,"Trong ước tính","Vượt "&amp;IF(($AV283-$AU283)&lt;1,MAX(1,ROUND(($AV283-$AU283)*60,0))&amp;" phút",IF(ROUND(($AV283-$AU283),0)&lt;24,ROUND(($AV283-$AU283),0)&amp;" giờ",INT(ROUND(($AV283-$AU283),0)/24)&amp;" ngày"&amp;IF(MOD(ROUND(($AV283-$AU283),0),24)&gt;0," "&amp;MOD(ROUND(($AV283-$AU283),0),24)&amp;" giờ","")))),IF(OR($B283&lt;&gt;"Đột xuất",$AA283="Hoàn thành",N($J283)=0),"",IF((TDBC-$J283)*24&gt;$AU283,"Đã vượt ước tính","Đã dùng "&amp;TEXT((TDBC-$J283)*24/$AU283,"0%")))))</f>
      </c>
      <c r="AG283" s="223">
        <f>IF(N($BB283)=0,"",CHOOSE($BB283,"Nhắc nhở","Cảnh báo","Báo động","Báo động đỏ"))</f>
      </c>
      <c r="AH283" s="223">
        <f>IF(OR($B283&lt;&gt;"Đột xuất",$AA283&lt;&gt;"Hoàn thành",N($X283)=0,$AW283=0),"",IF($X283&lt;=$AW283,"Đúng hạn","Trễ hạn"))</f>
      </c>
      <c r="AI283" s="220">
        <f>IF($A283="","",_xlfn.MAXIFS('Nhật ký tiến độ'!$B$6:$B$3005,'Nhật ký tiến độ'!$C$6:$C$3005,$A283))</f>
      </c>
      <c r="AJ283" s="225">
        <f>IF(OR($A283="",$B283&lt;&gt;"Định kỳ"),0,IFERROR(INDEX(DM_TanSuatNgay,MATCH($H283,DM_TanSuat,0)),0))</f>
      </c>
      <c r="AK283" s="225">
        <f>IF(OR($A283="",$B283&lt;&gt;"Định kỳ"),0,IFERROR(INDEX(DM_TanSuatThang,MATCH($H283,DM_TanSuat,0)),0))</f>
      </c>
      <c r="AL283" s="225">
        <f>IF(OR($A283="",$B283&lt;&gt;"Định kỳ",N($X283)=0,N($I283)=0),"",IF(INT($X283)&lt;$I283,0,IF($AJ283&gt;0,ROUND((INT($X283)-$I283)/$AJ283,0),IF($AK283&gt;0,ROUND((DATEDIF($I283,INT($X283),"m")+(INT($X283)-EDATE($I283,DATEDIF($I283,INT($X283),"m")))/(EDATE($I283,DATEDIF($I283,INT($X283),"m")+1)-EDATE($I283,DATEDIF($I283,INT($X283),"m"))))/$AK283,0),0))))</f>
      </c>
      <c r="AM283" s="225">
        <f>IF($A283="","",IF(COUNTIF('Nhật ký tiến độ'!$C$6:$C$3005,$A283)=0,0,_xlfn.MAXIFS('Nhật ký tiến độ'!$N$6:$N$3005,'Nhật ký tiến độ'!$C$6:$C$3005,$A283,'Nhật ký tiến độ'!$B$6:$B$3005,_xlfn.MAXIFS('Nhật ký tiến độ'!$B$6:$B$3005,'Nhật ký tiến độ'!$C$6:$C$3005,$A283))))</f>
      </c>
      <c r="AN283" s="225">
        <f>IF($A283="","",IF(N($AM283)=0,"",INDEX('Nhật ký tiến độ'!$E:$E,$AM283)))</f>
      </c>
      <c r="AO283" s="225">
        <f>IF($A283="",0,IF($AA283="Hoàn thành",0,1))</f>
      </c>
      <c r="AP283" s="225">
        <f>IF($AO283=0,0,INT(N($AW283)))</f>
      </c>
      <c r="AQ283" s="225">
        <f>IF(AND($AO283=1,$AJ283&gt;1),$AJ283,0)</f>
      </c>
      <c r="AR283" s="225">
        <f>IF(AND($AO283=1,$AJ283=1),1,0)</f>
      </c>
      <c r="AS283" s="225">
        <f>IF(OR($AO283=0,AND($AR283=1,N($BB283)=0)),"",IF(N($BB283)&gt;0,5-$BB283,IF($AD283="Chậm tiến độ",6,IF($AD283="Đến hạn hôm nay",7,IF(AND($AP283&gt;0,$AP283-NgayBC&lt;=7),8,"")))))</f>
      </c>
      <c r="AT283" s="225">
        <f>IF($AS283="","",$AS283*100000+$AP283+ROW()/100000)</f>
      </c>
      <c r="AU283" s="224">
        <f>IF(OR($A283="",N($R283)&lt;=0),"",IF($S283="Ngày",$R283*24,$R283))</f>
      </c>
      <c r="AV283" s="224">
        <f>IF($A283="","",IF($B283="Đột xuất",IF(OR($AA283&lt;&gt;"Hoàn thành",N($X283)=0,N($J283)=0),"",IF($X283&lt;$J283,"",($X283-$J283)*24)),IFERROR(AVERAGEIFS('Nhật ký tiến độ'!$H$6:$H$3005,'Nhật ký tiến độ'!$C$6:$C$3005,$A283,'Nhật ký tiến độ'!$H$6:$H$3005,"&gt;0"),"")))</f>
      </c>
      <c r="AW283" s="233">
        <f>IF($A283="",0,IF($B283="Đột xuất",$AY283,IF($AX283=0,0,$AX283+1-1/1440)))</f>
      </c>
      <c r="AX283" s="234">
        <f>IF(OR($A283="",$B283&lt;&gt;"Định kỳ",N($I283)=0),0,IF($AL283="",$I283,IF($AJ283&gt;0,$I283+($AL283+1)*$AJ283,IF($AK283&gt;0,EDATE($I283,($AL283+1)*$AK283),$I283))))</f>
      </c>
      <c r="AY283" s="233">
        <f>IF(OR($A283="",$B283&lt;&gt;"Đột xuất"),0,IF(N($K283)&gt;0,IF(MOD($K283,1)=0,$K283+1-1/1440,$K283),IF(N($J283)=0,0,$J283+IF(N($AU283)&gt;0,$AU283,IFERROR(INDEX(DM_SLA_Gio,MATCH($L283,DM_SLA_Cap,0)),168))/24)))</f>
      </c>
      <c r="AZ283" s="225">
        <f>IF(OR($A283="",TRIM($N283)="",COUNTIF('Phản ánh'!$K$6:$K$505,$N283)&gt;0,COUNTIF($N$6:$N283,$N283)&gt;1),0,1)</f>
      </c>
      <c r="BA283" s="225">
        <f>IF($AZ283=1,SUM($AZ$6:$AZ283),"")</f>
      </c>
      <c r="BB283" s="225">
        <f>IF(OR($AO283=0,N($AW283)=0),0,IF(TDBC&lt;=$AW283,0,MAX(1,MIN(4,IF((TDBC-$AW283)*24&lt;24,1,IF((TDBC-$AW283)*24&lt;72,2,IF((TDBC-$AW283)*24&lt;168,3,4)))+IF($B283="Đột xuất",IFERROR(INDEX({2,1,0,-1},MATCH($L283,{"Khẩn cấp","Cao","Trung bình","Thấp"},0)),0),IF($D283="PCCC và an ninh",1,0))))))</f>
      </c>
    </row>
    <row r="284">
      <c r="A284" s="216"/>
      <c r="B284" s="216"/>
      <c r="C284" s="218"/>
      <c r="D284" s="218"/>
      <c r="E284" s="218"/>
      <c r="F284" s="216"/>
      <c r="G284" s="218"/>
      <c r="H284" s="218"/>
      <c r="I284" s="231"/>
      <c r="J284" s="217"/>
      <c r="K284" s="217"/>
      <c r="L284" s="216"/>
      <c r="M284" s="216"/>
      <c r="N284" s="218"/>
      <c r="O284" s="218"/>
      <c r="P284" s="218"/>
      <c r="Q284" s="218"/>
      <c r="R284" s="219"/>
      <c r="S284" s="216"/>
      <c r="T284" s="232"/>
      <c r="U284" s="232"/>
      <c r="V284" s="218"/>
      <c r="W284" s="218"/>
      <c r="X284" s="220">
        <f>IF($A284="","",IF(OR($B284="Định kỳ",$AA284="Hoàn thành"),MAX(_xlfn.MAXIFS('Nhật ký tiến độ'!$B$6:$B$3005,'Nhật ký tiến độ'!$C$6:$C$3005,$A284,'Nhật ký tiến độ'!$E$6:$E$3005,"Hoàn thành kỳ"),_xlfn.MAXIFS('Nhật ký tiến độ'!$B$6:$B$3005,'Nhật ký tiến độ'!$C$6:$C$3005,$A284,'Nhật ký tiến độ'!$E$6:$E$3005,"Hoàn thành")),0))</f>
      </c>
      <c r="Y284" s="220">
        <f>IF($A284="","",IF($B284="Đột xuất",IF($AY284=0,"",$AY284),IF($AX284=0,"",$AX284)))</f>
      </c>
      <c r="Z284" s="223">
        <f>IF(OR($AO284=0,$AW284=0),"",IF(TDBC&gt;$AW284,"Quá "&amp;IF($B284="Định kỳ",(NgayBC-$AP284)&amp;" ngày",IF(((TDBC-$AW284)*24)&lt;1,MAX(1,ROUND(((TDBC-$AW284)*24)*60,0))&amp;" phút",IF(ROUND(((TDBC-$AW284)*24),0)&lt;24,ROUND(((TDBC-$AW284)*24),0)&amp;" giờ",INT(ROUND(((TDBC-$AW284)*24),0)/24)&amp;" ngày"&amp;IF(MOD(ROUND(((TDBC-$AW284)*24),0),24)&gt;0," "&amp;MOD(ROUND(((TDBC-$AW284)*24),0),24)&amp;" giờ","")))),IF($B284="Định kỳ",IF($AP284=NgayBC,"Hôm nay","Còn "&amp;($AP284-NgayBC)&amp;" ngày"),"Còn "&amp;IF((($AW284-TDBC)*24)&lt;1,MAX(1,ROUND((($AW284-TDBC)*24)*60,0))&amp;" phút",IF(ROUND((($AW284-TDBC)*24),0)&lt;24,ROUND((($AW284-TDBC)*24),0)&amp;" giờ",INT(ROUND((($AW284-TDBC)*24),0)/24)&amp;" ngày"&amp;IF(MOD(ROUND((($AW284-TDBC)*24),0),24)&gt;0," "&amp;MOD(ROUND((($AW284-TDBC)*24),0),24)&amp;" giờ",""))))))</f>
      </c>
      <c r="AA284" s="221">
        <f>IF($A284="","",IF(N($AM284)=0,"Chưa bắt đầu",IF(OR($AN284="Hoàn thành kỳ",$AN284="Hoàn thành"),IF($B284="Định kỳ","Chưa bắt đầu","Hoàn thành"),$AN284)))</f>
      </c>
      <c r="AB284" s="222">
        <f>IF($A284="","",IF($AA284="Hoàn thành",1,IF(OR(N($AM284)=0,$AN284="Hoàn thành kỳ",$AN284="Hoàn thành"),0,N(INDEX('Nhật ký tiến độ'!$D:$D,$AM284)))))</f>
      </c>
      <c r="AC284" s="222">
        <f>IF(OR($A284="",$B284&lt;&gt;"Đột xuất",$AA284="Hoàn thành",N($J284)=0,$AW284=0),"",IF(TDBC&lt;=$J284,0,IF(TDBC&gt;=$AW284,1,(TDBC-$J284)/($AW284-$J284))))</f>
      </c>
      <c r="AD284" s="223">
        <f>IF($A284="","",IF($AA284="Hoàn thành","Hoàn thành",IF($AW284=0,"Chưa đặt hạn",IF(TDBC&gt;$AW284,"Quá hạn",IF(AND($B284="Đột xuất",ROUND((N($AC284)-$AB284)*100,0)&gt;=20),"Chậm tiến độ",IF($AP284=NgayBC,"Đến hạn hôm nay",IF($B284="Đột xuất",IF($AW284-TDBC&lt;=1,"Sắp đến hạn","Đúng tiến độ"),IF($AP284-NgayBC&lt;=3,"Sắp đến hạn","Theo lịch"))))))))</f>
      </c>
      <c r="AE284" s="223">
        <f>IF($AV284="","",IF($B284="Định kỳ","Bình quân "&amp;IF($AV284&lt;1,MAX(1,ROUND($AV284*60,0))&amp;" phút",IF(ROUND($AV284,0)&lt;24,ROUND($AV284,0)&amp;" giờ",INT(ROUND($AV284,0)/24)&amp;" ngày"&amp;IF(MOD(ROUND($AV284,0),24)&gt;0," "&amp;MOD(ROUND($AV284,0),24)&amp;" giờ","")))&amp;" mỗi kỳ",IF($AV284&lt;1,MAX(1,ROUND($AV284*60,0))&amp;" phút",IF(ROUND($AV284,0)&lt;24,ROUND($AV284,0)&amp;" giờ",INT(ROUND($AV284,0)/24)&amp;" ngày"&amp;IF(MOD(ROUND($AV284,0),24)&gt;0," "&amp;MOD(ROUND($AV284,0),24)&amp;" giờ","")))))</f>
      </c>
      <c r="AF284" s="223">
        <f>IF(OR($A284="",N($AU284)=0),"",IF($AV284&lt;&gt;"",IF($AV284&lt;=$AU284,"Trong ước tính","Vượt "&amp;IF(($AV284-$AU284)&lt;1,MAX(1,ROUND(($AV284-$AU284)*60,0))&amp;" phút",IF(ROUND(($AV284-$AU284),0)&lt;24,ROUND(($AV284-$AU284),0)&amp;" giờ",INT(ROUND(($AV284-$AU284),0)/24)&amp;" ngày"&amp;IF(MOD(ROUND(($AV284-$AU284),0),24)&gt;0," "&amp;MOD(ROUND(($AV284-$AU284),0),24)&amp;" giờ","")))),IF(OR($B284&lt;&gt;"Đột xuất",$AA284="Hoàn thành",N($J284)=0),"",IF((TDBC-$J284)*24&gt;$AU284,"Đã vượt ước tính","Đã dùng "&amp;TEXT((TDBC-$J284)*24/$AU284,"0%")))))</f>
      </c>
      <c r="AG284" s="223">
        <f>IF(N($BB284)=0,"",CHOOSE($BB284,"Nhắc nhở","Cảnh báo","Báo động","Báo động đỏ"))</f>
      </c>
      <c r="AH284" s="223">
        <f>IF(OR($B284&lt;&gt;"Đột xuất",$AA284&lt;&gt;"Hoàn thành",N($X284)=0,$AW284=0),"",IF($X284&lt;=$AW284,"Đúng hạn","Trễ hạn"))</f>
      </c>
      <c r="AI284" s="220">
        <f>IF($A284="","",_xlfn.MAXIFS('Nhật ký tiến độ'!$B$6:$B$3005,'Nhật ký tiến độ'!$C$6:$C$3005,$A284))</f>
      </c>
      <c r="AJ284" s="225">
        <f>IF(OR($A284="",$B284&lt;&gt;"Định kỳ"),0,IFERROR(INDEX(DM_TanSuatNgay,MATCH($H284,DM_TanSuat,0)),0))</f>
      </c>
      <c r="AK284" s="225">
        <f>IF(OR($A284="",$B284&lt;&gt;"Định kỳ"),0,IFERROR(INDEX(DM_TanSuatThang,MATCH($H284,DM_TanSuat,0)),0))</f>
      </c>
      <c r="AL284" s="225">
        <f>IF(OR($A284="",$B284&lt;&gt;"Định kỳ",N($X284)=0,N($I284)=0),"",IF(INT($X284)&lt;$I284,0,IF($AJ284&gt;0,ROUND((INT($X284)-$I284)/$AJ284,0),IF($AK284&gt;0,ROUND((DATEDIF($I284,INT($X284),"m")+(INT($X284)-EDATE($I284,DATEDIF($I284,INT($X284),"m")))/(EDATE($I284,DATEDIF($I284,INT($X284),"m")+1)-EDATE($I284,DATEDIF($I284,INT($X284),"m"))))/$AK284,0),0))))</f>
      </c>
      <c r="AM284" s="225">
        <f>IF($A284="","",IF(COUNTIF('Nhật ký tiến độ'!$C$6:$C$3005,$A284)=0,0,_xlfn.MAXIFS('Nhật ký tiến độ'!$N$6:$N$3005,'Nhật ký tiến độ'!$C$6:$C$3005,$A284,'Nhật ký tiến độ'!$B$6:$B$3005,_xlfn.MAXIFS('Nhật ký tiến độ'!$B$6:$B$3005,'Nhật ký tiến độ'!$C$6:$C$3005,$A284))))</f>
      </c>
      <c r="AN284" s="225">
        <f>IF($A284="","",IF(N($AM284)=0,"",INDEX('Nhật ký tiến độ'!$E:$E,$AM284)))</f>
      </c>
      <c r="AO284" s="225">
        <f>IF($A284="",0,IF($AA284="Hoàn thành",0,1))</f>
      </c>
      <c r="AP284" s="225">
        <f>IF($AO284=0,0,INT(N($AW284)))</f>
      </c>
      <c r="AQ284" s="225">
        <f>IF(AND($AO284=1,$AJ284&gt;1),$AJ284,0)</f>
      </c>
      <c r="AR284" s="225">
        <f>IF(AND($AO284=1,$AJ284=1),1,0)</f>
      </c>
      <c r="AS284" s="225">
        <f>IF(OR($AO284=0,AND($AR284=1,N($BB284)=0)),"",IF(N($BB284)&gt;0,5-$BB284,IF($AD284="Chậm tiến độ",6,IF($AD284="Đến hạn hôm nay",7,IF(AND($AP284&gt;0,$AP284-NgayBC&lt;=7),8,"")))))</f>
      </c>
      <c r="AT284" s="225">
        <f>IF($AS284="","",$AS284*100000+$AP284+ROW()/100000)</f>
      </c>
      <c r="AU284" s="224">
        <f>IF(OR($A284="",N($R284)&lt;=0),"",IF($S284="Ngày",$R284*24,$R284))</f>
      </c>
      <c r="AV284" s="224">
        <f>IF($A284="","",IF($B284="Đột xuất",IF(OR($AA284&lt;&gt;"Hoàn thành",N($X284)=0,N($J284)=0),"",IF($X284&lt;$J284,"",($X284-$J284)*24)),IFERROR(AVERAGEIFS('Nhật ký tiến độ'!$H$6:$H$3005,'Nhật ký tiến độ'!$C$6:$C$3005,$A284,'Nhật ký tiến độ'!$H$6:$H$3005,"&gt;0"),"")))</f>
      </c>
      <c r="AW284" s="233">
        <f>IF($A284="",0,IF($B284="Đột xuất",$AY284,IF($AX284=0,0,$AX284+1-1/1440)))</f>
      </c>
      <c r="AX284" s="234">
        <f>IF(OR($A284="",$B284&lt;&gt;"Định kỳ",N($I284)=0),0,IF($AL284="",$I284,IF($AJ284&gt;0,$I284+($AL284+1)*$AJ284,IF($AK284&gt;0,EDATE($I284,($AL284+1)*$AK284),$I284))))</f>
      </c>
      <c r="AY284" s="233">
        <f>IF(OR($A284="",$B284&lt;&gt;"Đột xuất"),0,IF(N($K284)&gt;0,IF(MOD($K284,1)=0,$K284+1-1/1440,$K284),IF(N($J284)=0,0,$J284+IF(N($AU284)&gt;0,$AU284,IFERROR(INDEX(DM_SLA_Gio,MATCH($L284,DM_SLA_Cap,0)),168))/24)))</f>
      </c>
      <c r="AZ284" s="225">
        <f>IF(OR($A284="",TRIM($N284)="",COUNTIF('Phản ánh'!$K$6:$K$505,$N284)&gt;0,COUNTIF($N$6:$N284,$N284)&gt;1),0,1)</f>
      </c>
      <c r="BA284" s="225">
        <f>IF($AZ284=1,SUM($AZ$6:$AZ284),"")</f>
      </c>
      <c r="BB284" s="225">
        <f>IF(OR($AO284=0,N($AW284)=0),0,IF(TDBC&lt;=$AW284,0,MAX(1,MIN(4,IF((TDBC-$AW284)*24&lt;24,1,IF((TDBC-$AW284)*24&lt;72,2,IF((TDBC-$AW284)*24&lt;168,3,4)))+IF($B284="Đột xuất",IFERROR(INDEX({2,1,0,-1},MATCH($L284,{"Khẩn cấp","Cao","Trung bình","Thấp"},0)),0),IF($D284="PCCC và an ninh",1,0))))))</f>
      </c>
    </row>
    <row r="285">
      <c r="A285" s="216"/>
      <c r="B285" s="216"/>
      <c r="C285" s="218"/>
      <c r="D285" s="218"/>
      <c r="E285" s="218"/>
      <c r="F285" s="216"/>
      <c r="G285" s="218"/>
      <c r="H285" s="218"/>
      <c r="I285" s="231"/>
      <c r="J285" s="217"/>
      <c r="K285" s="217"/>
      <c r="L285" s="216"/>
      <c r="M285" s="216"/>
      <c r="N285" s="218"/>
      <c r="O285" s="218"/>
      <c r="P285" s="218"/>
      <c r="Q285" s="218"/>
      <c r="R285" s="219"/>
      <c r="S285" s="216"/>
      <c r="T285" s="232"/>
      <c r="U285" s="232"/>
      <c r="V285" s="218"/>
      <c r="W285" s="218"/>
      <c r="X285" s="220">
        <f>IF($A285="","",IF(OR($B285="Định kỳ",$AA285="Hoàn thành"),MAX(_xlfn.MAXIFS('Nhật ký tiến độ'!$B$6:$B$3005,'Nhật ký tiến độ'!$C$6:$C$3005,$A285,'Nhật ký tiến độ'!$E$6:$E$3005,"Hoàn thành kỳ"),_xlfn.MAXIFS('Nhật ký tiến độ'!$B$6:$B$3005,'Nhật ký tiến độ'!$C$6:$C$3005,$A285,'Nhật ký tiến độ'!$E$6:$E$3005,"Hoàn thành")),0))</f>
      </c>
      <c r="Y285" s="220">
        <f>IF($A285="","",IF($B285="Đột xuất",IF($AY285=0,"",$AY285),IF($AX285=0,"",$AX285)))</f>
      </c>
      <c r="Z285" s="223">
        <f>IF(OR($AO285=0,$AW285=0),"",IF(TDBC&gt;$AW285,"Quá "&amp;IF($B285="Định kỳ",(NgayBC-$AP285)&amp;" ngày",IF(((TDBC-$AW285)*24)&lt;1,MAX(1,ROUND(((TDBC-$AW285)*24)*60,0))&amp;" phút",IF(ROUND(((TDBC-$AW285)*24),0)&lt;24,ROUND(((TDBC-$AW285)*24),0)&amp;" giờ",INT(ROUND(((TDBC-$AW285)*24),0)/24)&amp;" ngày"&amp;IF(MOD(ROUND(((TDBC-$AW285)*24),0),24)&gt;0," "&amp;MOD(ROUND(((TDBC-$AW285)*24),0),24)&amp;" giờ","")))),IF($B285="Định kỳ",IF($AP285=NgayBC,"Hôm nay","Còn "&amp;($AP285-NgayBC)&amp;" ngày"),"Còn "&amp;IF((($AW285-TDBC)*24)&lt;1,MAX(1,ROUND((($AW285-TDBC)*24)*60,0))&amp;" phút",IF(ROUND((($AW285-TDBC)*24),0)&lt;24,ROUND((($AW285-TDBC)*24),0)&amp;" giờ",INT(ROUND((($AW285-TDBC)*24),0)/24)&amp;" ngày"&amp;IF(MOD(ROUND((($AW285-TDBC)*24),0),24)&gt;0," "&amp;MOD(ROUND((($AW285-TDBC)*24),0),24)&amp;" giờ",""))))))</f>
      </c>
      <c r="AA285" s="221">
        <f>IF($A285="","",IF(N($AM285)=0,"Chưa bắt đầu",IF(OR($AN285="Hoàn thành kỳ",$AN285="Hoàn thành"),IF($B285="Định kỳ","Chưa bắt đầu","Hoàn thành"),$AN285)))</f>
      </c>
      <c r="AB285" s="222">
        <f>IF($A285="","",IF($AA285="Hoàn thành",1,IF(OR(N($AM285)=0,$AN285="Hoàn thành kỳ",$AN285="Hoàn thành"),0,N(INDEX('Nhật ký tiến độ'!$D:$D,$AM285)))))</f>
      </c>
      <c r="AC285" s="222">
        <f>IF(OR($A285="",$B285&lt;&gt;"Đột xuất",$AA285="Hoàn thành",N($J285)=0,$AW285=0),"",IF(TDBC&lt;=$J285,0,IF(TDBC&gt;=$AW285,1,(TDBC-$J285)/($AW285-$J285))))</f>
      </c>
      <c r="AD285" s="223">
        <f>IF($A285="","",IF($AA285="Hoàn thành","Hoàn thành",IF($AW285=0,"Chưa đặt hạn",IF(TDBC&gt;$AW285,"Quá hạn",IF(AND($B285="Đột xuất",ROUND((N($AC285)-$AB285)*100,0)&gt;=20),"Chậm tiến độ",IF($AP285=NgayBC,"Đến hạn hôm nay",IF($B285="Đột xuất",IF($AW285-TDBC&lt;=1,"Sắp đến hạn","Đúng tiến độ"),IF($AP285-NgayBC&lt;=3,"Sắp đến hạn","Theo lịch"))))))))</f>
      </c>
      <c r="AE285" s="223">
        <f>IF($AV285="","",IF($B285="Định kỳ","Bình quân "&amp;IF($AV285&lt;1,MAX(1,ROUND($AV285*60,0))&amp;" phút",IF(ROUND($AV285,0)&lt;24,ROUND($AV285,0)&amp;" giờ",INT(ROUND($AV285,0)/24)&amp;" ngày"&amp;IF(MOD(ROUND($AV285,0),24)&gt;0," "&amp;MOD(ROUND($AV285,0),24)&amp;" giờ","")))&amp;" mỗi kỳ",IF($AV285&lt;1,MAX(1,ROUND($AV285*60,0))&amp;" phút",IF(ROUND($AV285,0)&lt;24,ROUND($AV285,0)&amp;" giờ",INT(ROUND($AV285,0)/24)&amp;" ngày"&amp;IF(MOD(ROUND($AV285,0),24)&gt;0," "&amp;MOD(ROUND($AV285,0),24)&amp;" giờ","")))))</f>
      </c>
      <c r="AF285" s="223">
        <f>IF(OR($A285="",N($AU285)=0),"",IF($AV285&lt;&gt;"",IF($AV285&lt;=$AU285,"Trong ước tính","Vượt "&amp;IF(($AV285-$AU285)&lt;1,MAX(1,ROUND(($AV285-$AU285)*60,0))&amp;" phút",IF(ROUND(($AV285-$AU285),0)&lt;24,ROUND(($AV285-$AU285),0)&amp;" giờ",INT(ROUND(($AV285-$AU285),0)/24)&amp;" ngày"&amp;IF(MOD(ROUND(($AV285-$AU285),0),24)&gt;0," "&amp;MOD(ROUND(($AV285-$AU285),0),24)&amp;" giờ","")))),IF(OR($B285&lt;&gt;"Đột xuất",$AA285="Hoàn thành",N($J285)=0),"",IF((TDBC-$J285)*24&gt;$AU285,"Đã vượt ước tính","Đã dùng "&amp;TEXT((TDBC-$J285)*24/$AU285,"0%")))))</f>
      </c>
      <c r="AG285" s="223">
        <f>IF(N($BB285)=0,"",CHOOSE($BB285,"Nhắc nhở","Cảnh báo","Báo động","Báo động đỏ"))</f>
      </c>
      <c r="AH285" s="223">
        <f>IF(OR($B285&lt;&gt;"Đột xuất",$AA285&lt;&gt;"Hoàn thành",N($X285)=0,$AW285=0),"",IF($X285&lt;=$AW285,"Đúng hạn","Trễ hạn"))</f>
      </c>
      <c r="AI285" s="220">
        <f>IF($A285="","",_xlfn.MAXIFS('Nhật ký tiến độ'!$B$6:$B$3005,'Nhật ký tiến độ'!$C$6:$C$3005,$A285))</f>
      </c>
      <c r="AJ285" s="225">
        <f>IF(OR($A285="",$B285&lt;&gt;"Định kỳ"),0,IFERROR(INDEX(DM_TanSuatNgay,MATCH($H285,DM_TanSuat,0)),0))</f>
      </c>
      <c r="AK285" s="225">
        <f>IF(OR($A285="",$B285&lt;&gt;"Định kỳ"),0,IFERROR(INDEX(DM_TanSuatThang,MATCH($H285,DM_TanSuat,0)),0))</f>
      </c>
      <c r="AL285" s="225">
        <f>IF(OR($A285="",$B285&lt;&gt;"Định kỳ",N($X285)=0,N($I285)=0),"",IF(INT($X285)&lt;$I285,0,IF($AJ285&gt;0,ROUND((INT($X285)-$I285)/$AJ285,0),IF($AK285&gt;0,ROUND((DATEDIF($I285,INT($X285),"m")+(INT($X285)-EDATE($I285,DATEDIF($I285,INT($X285),"m")))/(EDATE($I285,DATEDIF($I285,INT($X285),"m")+1)-EDATE($I285,DATEDIF($I285,INT($X285),"m"))))/$AK285,0),0))))</f>
      </c>
      <c r="AM285" s="225">
        <f>IF($A285="","",IF(COUNTIF('Nhật ký tiến độ'!$C$6:$C$3005,$A285)=0,0,_xlfn.MAXIFS('Nhật ký tiến độ'!$N$6:$N$3005,'Nhật ký tiến độ'!$C$6:$C$3005,$A285,'Nhật ký tiến độ'!$B$6:$B$3005,_xlfn.MAXIFS('Nhật ký tiến độ'!$B$6:$B$3005,'Nhật ký tiến độ'!$C$6:$C$3005,$A285))))</f>
      </c>
      <c r="AN285" s="225">
        <f>IF($A285="","",IF(N($AM285)=0,"",INDEX('Nhật ký tiến độ'!$E:$E,$AM285)))</f>
      </c>
      <c r="AO285" s="225">
        <f>IF($A285="",0,IF($AA285="Hoàn thành",0,1))</f>
      </c>
      <c r="AP285" s="225">
        <f>IF($AO285=0,0,INT(N($AW285)))</f>
      </c>
      <c r="AQ285" s="225">
        <f>IF(AND($AO285=1,$AJ285&gt;1),$AJ285,0)</f>
      </c>
      <c r="AR285" s="225">
        <f>IF(AND($AO285=1,$AJ285=1),1,0)</f>
      </c>
      <c r="AS285" s="225">
        <f>IF(OR($AO285=0,AND($AR285=1,N($BB285)=0)),"",IF(N($BB285)&gt;0,5-$BB285,IF($AD285="Chậm tiến độ",6,IF($AD285="Đến hạn hôm nay",7,IF(AND($AP285&gt;0,$AP285-NgayBC&lt;=7),8,"")))))</f>
      </c>
      <c r="AT285" s="225">
        <f>IF($AS285="","",$AS285*100000+$AP285+ROW()/100000)</f>
      </c>
      <c r="AU285" s="224">
        <f>IF(OR($A285="",N($R285)&lt;=0),"",IF($S285="Ngày",$R285*24,$R285))</f>
      </c>
      <c r="AV285" s="224">
        <f>IF($A285="","",IF($B285="Đột xuất",IF(OR($AA285&lt;&gt;"Hoàn thành",N($X285)=0,N($J285)=0),"",IF($X285&lt;$J285,"",($X285-$J285)*24)),IFERROR(AVERAGEIFS('Nhật ký tiến độ'!$H$6:$H$3005,'Nhật ký tiến độ'!$C$6:$C$3005,$A285,'Nhật ký tiến độ'!$H$6:$H$3005,"&gt;0"),"")))</f>
      </c>
      <c r="AW285" s="233">
        <f>IF($A285="",0,IF($B285="Đột xuất",$AY285,IF($AX285=0,0,$AX285+1-1/1440)))</f>
      </c>
      <c r="AX285" s="234">
        <f>IF(OR($A285="",$B285&lt;&gt;"Định kỳ",N($I285)=0),0,IF($AL285="",$I285,IF($AJ285&gt;0,$I285+($AL285+1)*$AJ285,IF($AK285&gt;0,EDATE($I285,($AL285+1)*$AK285),$I285))))</f>
      </c>
      <c r="AY285" s="233">
        <f>IF(OR($A285="",$B285&lt;&gt;"Đột xuất"),0,IF(N($K285)&gt;0,IF(MOD($K285,1)=0,$K285+1-1/1440,$K285),IF(N($J285)=0,0,$J285+IF(N($AU285)&gt;0,$AU285,IFERROR(INDEX(DM_SLA_Gio,MATCH($L285,DM_SLA_Cap,0)),168))/24)))</f>
      </c>
      <c r="AZ285" s="225">
        <f>IF(OR($A285="",TRIM($N285)="",COUNTIF('Phản ánh'!$K$6:$K$505,$N285)&gt;0,COUNTIF($N$6:$N285,$N285)&gt;1),0,1)</f>
      </c>
      <c r="BA285" s="225">
        <f>IF($AZ285=1,SUM($AZ$6:$AZ285),"")</f>
      </c>
      <c r="BB285" s="225">
        <f>IF(OR($AO285=0,N($AW285)=0),0,IF(TDBC&lt;=$AW285,0,MAX(1,MIN(4,IF((TDBC-$AW285)*24&lt;24,1,IF((TDBC-$AW285)*24&lt;72,2,IF((TDBC-$AW285)*24&lt;168,3,4)))+IF($B285="Đột xuất",IFERROR(INDEX({2,1,0,-1},MATCH($L285,{"Khẩn cấp","Cao","Trung bình","Thấp"},0)),0),IF($D285="PCCC và an ninh",1,0))))))</f>
      </c>
    </row>
    <row r="286">
      <c r="A286" s="216"/>
      <c r="B286" s="216"/>
      <c r="C286" s="218"/>
      <c r="D286" s="218"/>
      <c r="E286" s="218"/>
      <c r="F286" s="216"/>
      <c r="G286" s="218"/>
      <c r="H286" s="218"/>
      <c r="I286" s="231"/>
      <c r="J286" s="217"/>
      <c r="K286" s="217"/>
      <c r="L286" s="216"/>
      <c r="M286" s="216"/>
      <c r="N286" s="218"/>
      <c r="O286" s="218"/>
      <c r="P286" s="218"/>
      <c r="Q286" s="218"/>
      <c r="R286" s="219"/>
      <c r="S286" s="216"/>
      <c r="T286" s="232"/>
      <c r="U286" s="232"/>
      <c r="V286" s="218"/>
      <c r="W286" s="218"/>
      <c r="X286" s="220">
        <f>IF($A286="","",IF(OR($B286="Định kỳ",$AA286="Hoàn thành"),MAX(_xlfn.MAXIFS('Nhật ký tiến độ'!$B$6:$B$3005,'Nhật ký tiến độ'!$C$6:$C$3005,$A286,'Nhật ký tiến độ'!$E$6:$E$3005,"Hoàn thành kỳ"),_xlfn.MAXIFS('Nhật ký tiến độ'!$B$6:$B$3005,'Nhật ký tiến độ'!$C$6:$C$3005,$A286,'Nhật ký tiến độ'!$E$6:$E$3005,"Hoàn thành")),0))</f>
      </c>
      <c r="Y286" s="220">
        <f>IF($A286="","",IF($B286="Đột xuất",IF($AY286=0,"",$AY286),IF($AX286=0,"",$AX286)))</f>
      </c>
      <c r="Z286" s="223">
        <f>IF(OR($AO286=0,$AW286=0),"",IF(TDBC&gt;$AW286,"Quá "&amp;IF($B286="Định kỳ",(NgayBC-$AP286)&amp;" ngày",IF(((TDBC-$AW286)*24)&lt;1,MAX(1,ROUND(((TDBC-$AW286)*24)*60,0))&amp;" phút",IF(ROUND(((TDBC-$AW286)*24),0)&lt;24,ROUND(((TDBC-$AW286)*24),0)&amp;" giờ",INT(ROUND(((TDBC-$AW286)*24),0)/24)&amp;" ngày"&amp;IF(MOD(ROUND(((TDBC-$AW286)*24),0),24)&gt;0," "&amp;MOD(ROUND(((TDBC-$AW286)*24),0),24)&amp;" giờ","")))),IF($B286="Định kỳ",IF($AP286=NgayBC,"Hôm nay","Còn "&amp;($AP286-NgayBC)&amp;" ngày"),"Còn "&amp;IF((($AW286-TDBC)*24)&lt;1,MAX(1,ROUND((($AW286-TDBC)*24)*60,0))&amp;" phút",IF(ROUND((($AW286-TDBC)*24),0)&lt;24,ROUND((($AW286-TDBC)*24),0)&amp;" giờ",INT(ROUND((($AW286-TDBC)*24),0)/24)&amp;" ngày"&amp;IF(MOD(ROUND((($AW286-TDBC)*24),0),24)&gt;0," "&amp;MOD(ROUND((($AW286-TDBC)*24),0),24)&amp;" giờ",""))))))</f>
      </c>
      <c r="AA286" s="221">
        <f>IF($A286="","",IF(N($AM286)=0,"Chưa bắt đầu",IF(OR($AN286="Hoàn thành kỳ",$AN286="Hoàn thành"),IF($B286="Định kỳ","Chưa bắt đầu","Hoàn thành"),$AN286)))</f>
      </c>
      <c r="AB286" s="222">
        <f>IF($A286="","",IF($AA286="Hoàn thành",1,IF(OR(N($AM286)=0,$AN286="Hoàn thành kỳ",$AN286="Hoàn thành"),0,N(INDEX('Nhật ký tiến độ'!$D:$D,$AM286)))))</f>
      </c>
      <c r="AC286" s="222">
        <f>IF(OR($A286="",$B286&lt;&gt;"Đột xuất",$AA286="Hoàn thành",N($J286)=0,$AW286=0),"",IF(TDBC&lt;=$J286,0,IF(TDBC&gt;=$AW286,1,(TDBC-$J286)/($AW286-$J286))))</f>
      </c>
      <c r="AD286" s="223">
        <f>IF($A286="","",IF($AA286="Hoàn thành","Hoàn thành",IF($AW286=0,"Chưa đặt hạn",IF(TDBC&gt;$AW286,"Quá hạn",IF(AND($B286="Đột xuất",ROUND((N($AC286)-$AB286)*100,0)&gt;=20),"Chậm tiến độ",IF($AP286=NgayBC,"Đến hạn hôm nay",IF($B286="Đột xuất",IF($AW286-TDBC&lt;=1,"Sắp đến hạn","Đúng tiến độ"),IF($AP286-NgayBC&lt;=3,"Sắp đến hạn","Theo lịch"))))))))</f>
      </c>
      <c r="AE286" s="223">
        <f>IF($AV286="","",IF($B286="Định kỳ","Bình quân "&amp;IF($AV286&lt;1,MAX(1,ROUND($AV286*60,0))&amp;" phút",IF(ROUND($AV286,0)&lt;24,ROUND($AV286,0)&amp;" giờ",INT(ROUND($AV286,0)/24)&amp;" ngày"&amp;IF(MOD(ROUND($AV286,0),24)&gt;0," "&amp;MOD(ROUND($AV286,0),24)&amp;" giờ","")))&amp;" mỗi kỳ",IF($AV286&lt;1,MAX(1,ROUND($AV286*60,0))&amp;" phút",IF(ROUND($AV286,0)&lt;24,ROUND($AV286,0)&amp;" giờ",INT(ROUND($AV286,0)/24)&amp;" ngày"&amp;IF(MOD(ROUND($AV286,0),24)&gt;0," "&amp;MOD(ROUND($AV286,0),24)&amp;" giờ","")))))</f>
      </c>
      <c r="AF286" s="223">
        <f>IF(OR($A286="",N($AU286)=0),"",IF($AV286&lt;&gt;"",IF($AV286&lt;=$AU286,"Trong ước tính","Vượt "&amp;IF(($AV286-$AU286)&lt;1,MAX(1,ROUND(($AV286-$AU286)*60,0))&amp;" phút",IF(ROUND(($AV286-$AU286),0)&lt;24,ROUND(($AV286-$AU286),0)&amp;" giờ",INT(ROUND(($AV286-$AU286),0)/24)&amp;" ngày"&amp;IF(MOD(ROUND(($AV286-$AU286),0),24)&gt;0," "&amp;MOD(ROUND(($AV286-$AU286),0),24)&amp;" giờ","")))),IF(OR($B286&lt;&gt;"Đột xuất",$AA286="Hoàn thành",N($J286)=0),"",IF((TDBC-$J286)*24&gt;$AU286,"Đã vượt ước tính","Đã dùng "&amp;TEXT((TDBC-$J286)*24/$AU286,"0%")))))</f>
      </c>
      <c r="AG286" s="223">
        <f>IF(N($BB286)=0,"",CHOOSE($BB286,"Nhắc nhở","Cảnh báo","Báo động","Báo động đỏ"))</f>
      </c>
      <c r="AH286" s="223">
        <f>IF(OR($B286&lt;&gt;"Đột xuất",$AA286&lt;&gt;"Hoàn thành",N($X286)=0,$AW286=0),"",IF($X286&lt;=$AW286,"Đúng hạn","Trễ hạn"))</f>
      </c>
      <c r="AI286" s="220">
        <f>IF($A286="","",_xlfn.MAXIFS('Nhật ký tiến độ'!$B$6:$B$3005,'Nhật ký tiến độ'!$C$6:$C$3005,$A286))</f>
      </c>
      <c r="AJ286" s="225">
        <f>IF(OR($A286="",$B286&lt;&gt;"Định kỳ"),0,IFERROR(INDEX(DM_TanSuatNgay,MATCH($H286,DM_TanSuat,0)),0))</f>
      </c>
      <c r="AK286" s="225">
        <f>IF(OR($A286="",$B286&lt;&gt;"Định kỳ"),0,IFERROR(INDEX(DM_TanSuatThang,MATCH($H286,DM_TanSuat,0)),0))</f>
      </c>
      <c r="AL286" s="225">
        <f>IF(OR($A286="",$B286&lt;&gt;"Định kỳ",N($X286)=0,N($I286)=0),"",IF(INT($X286)&lt;$I286,0,IF($AJ286&gt;0,ROUND((INT($X286)-$I286)/$AJ286,0),IF($AK286&gt;0,ROUND((DATEDIF($I286,INT($X286),"m")+(INT($X286)-EDATE($I286,DATEDIF($I286,INT($X286),"m")))/(EDATE($I286,DATEDIF($I286,INT($X286),"m")+1)-EDATE($I286,DATEDIF($I286,INT($X286),"m"))))/$AK286,0),0))))</f>
      </c>
      <c r="AM286" s="225">
        <f>IF($A286="","",IF(COUNTIF('Nhật ký tiến độ'!$C$6:$C$3005,$A286)=0,0,_xlfn.MAXIFS('Nhật ký tiến độ'!$N$6:$N$3005,'Nhật ký tiến độ'!$C$6:$C$3005,$A286,'Nhật ký tiến độ'!$B$6:$B$3005,_xlfn.MAXIFS('Nhật ký tiến độ'!$B$6:$B$3005,'Nhật ký tiến độ'!$C$6:$C$3005,$A286))))</f>
      </c>
      <c r="AN286" s="225">
        <f>IF($A286="","",IF(N($AM286)=0,"",INDEX('Nhật ký tiến độ'!$E:$E,$AM286)))</f>
      </c>
      <c r="AO286" s="225">
        <f>IF($A286="",0,IF($AA286="Hoàn thành",0,1))</f>
      </c>
      <c r="AP286" s="225">
        <f>IF($AO286=0,0,INT(N($AW286)))</f>
      </c>
      <c r="AQ286" s="225">
        <f>IF(AND($AO286=1,$AJ286&gt;1),$AJ286,0)</f>
      </c>
      <c r="AR286" s="225">
        <f>IF(AND($AO286=1,$AJ286=1),1,0)</f>
      </c>
      <c r="AS286" s="225">
        <f>IF(OR($AO286=0,AND($AR286=1,N($BB286)=0)),"",IF(N($BB286)&gt;0,5-$BB286,IF($AD286="Chậm tiến độ",6,IF($AD286="Đến hạn hôm nay",7,IF(AND($AP286&gt;0,$AP286-NgayBC&lt;=7),8,"")))))</f>
      </c>
      <c r="AT286" s="225">
        <f>IF($AS286="","",$AS286*100000+$AP286+ROW()/100000)</f>
      </c>
      <c r="AU286" s="224">
        <f>IF(OR($A286="",N($R286)&lt;=0),"",IF($S286="Ngày",$R286*24,$R286))</f>
      </c>
      <c r="AV286" s="224">
        <f>IF($A286="","",IF($B286="Đột xuất",IF(OR($AA286&lt;&gt;"Hoàn thành",N($X286)=0,N($J286)=0),"",IF($X286&lt;$J286,"",($X286-$J286)*24)),IFERROR(AVERAGEIFS('Nhật ký tiến độ'!$H$6:$H$3005,'Nhật ký tiến độ'!$C$6:$C$3005,$A286,'Nhật ký tiến độ'!$H$6:$H$3005,"&gt;0"),"")))</f>
      </c>
      <c r="AW286" s="233">
        <f>IF($A286="",0,IF($B286="Đột xuất",$AY286,IF($AX286=0,0,$AX286+1-1/1440)))</f>
      </c>
      <c r="AX286" s="234">
        <f>IF(OR($A286="",$B286&lt;&gt;"Định kỳ",N($I286)=0),0,IF($AL286="",$I286,IF($AJ286&gt;0,$I286+($AL286+1)*$AJ286,IF($AK286&gt;0,EDATE($I286,($AL286+1)*$AK286),$I286))))</f>
      </c>
      <c r="AY286" s="233">
        <f>IF(OR($A286="",$B286&lt;&gt;"Đột xuất"),0,IF(N($K286)&gt;0,IF(MOD($K286,1)=0,$K286+1-1/1440,$K286),IF(N($J286)=0,0,$J286+IF(N($AU286)&gt;0,$AU286,IFERROR(INDEX(DM_SLA_Gio,MATCH($L286,DM_SLA_Cap,0)),168))/24)))</f>
      </c>
      <c r="AZ286" s="225">
        <f>IF(OR($A286="",TRIM($N286)="",COUNTIF('Phản ánh'!$K$6:$K$505,$N286)&gt;0,COUNTIF($N$6:$N286,$N286)&gt;1),0,1)</f>
      </c>
      <c r="BA286" s="225">
        <f>IF($AZ286=1,SUM($AZ$6:$AZ286),"")</f>
      </c>
      <c r="BB286" s="225">
        <f>IF(OR($AO286=0,N($AW286)=0),0,IF(TDBC&lt;=$AW286,0,MAX(1,MIN(4,IF((TDBC-$AW286)*24&lt;24,1,IF((TDBC-$AW286)*24&lt;72,2,IF((TDBC-$AW286)*24&lt;168,3,4)))+IF($B286="Đột xuất",IFERROR(INDEX({2,1,0,-1},MATCH($L286,{"Khẩn cấp","Cao","Trung bình","Thấp"},0)),0),IF($D286="PCCC và an ninh",1,0))))))</f>
      </c>
    </row>
    <row r="287">
      <c r="A287" s="216"/>
      <c r="B287" s="216"/>
      <c r="C287" s="218"/>
      <c r="D287" s="218"/>
      <c r="E287" s="218"/>
      <c r="F287" s="216"/>
      <c r="G287" s="218"/>
      <c r="H287" s="218"/>
      <c r="I287" s="231"/>
      <c r="J287" s="217"/>
      <c r="K287" s="217"/>
      <c r="L287" s="216"/>
      <c r="M287" s="216"/>
      <c r="N287" s="218"/>
      <c r="O287" s="218"/>
      <c r="P287" s="218"/>
      <c r="Q287" s="218"/>
      <c r="R287" s="219"/>
      <c r="S287" s="216"/>
      <c r="T287" s="232"/>
      <c r="U287" s="232"/>
      <c r="V287" s="218"/>
      <c r="W287" s="218"/>
      <c r="X287" s="220">
        <f>IF($A287="","",IF(OR($B287="Định kỳ",$AA287="Hoàn thành"),MAX(_xlfn.MAXIFS('Nhật ký tiến độ'!$B$6:$B$3005,'Nhật ký tiến độ'!$C$6:$C$3005,$A287,'Nhật ký tiến độ'!$E$6:$E$3005,"Hoàn thành kỳ"),_xlfn.MAXIFS('Nhật ký tiến độ'!$B$6:$B$3005,'Nhật ký tiến độ'!$C$6:$C$3005,$A287,'Nhật ký tiến độ'!$E$6:$E$3005,"Hoàn thành")),0))</f>
      </c>
      <c r="Y287" s="220">
        <f>IF($A287="","",IF($B287="Đột xuất",IF($AY287=0,"",$AY287),IF($AX287=0,"",$AX287)))</f>
      </c>
      <c r="Z287" s="223">
        <f>IF(OR($AO287=0,$AW287=0),"",IF(TDBC&gt;$AW287,"Quá "&amp;IF($B287="Định kỳ",(NgayBC-$AP287)&amp;" ngày",IF(((TDBC-$AW287)*24)&lt;1,MAX(1,ROUND(((TDBC-$AW287)*24)*60,0))&amp;" phút",IF(ROUND(((TDBC-$AW287)*24),0)&lt;24,ROUND(((TDBC-$AW287)*24),0)&amp;" giờ",INT(ROUND(((TDBC-$AW287)*24),0)/24)&amp;" ngày"&amp;IF(MOD(ROUND(((TDBC-$AW287)*24),0),24)&gt;0," "&amp;MOD(ROUND(((TDBC-$AW287)*24),0),24)&amp;" giờ","")))),IF($B287="Định kỳ",IF($AP287=NgayBC,"Hôm nay","Còn "&amp;($AP287-NgayBC)&amp;" ngày"),"Còn "&amp;IF((($AW287-TDBC)*24)&lt;1,MAX(1,ROUND((($AW287-TDBC)*24)*60,0))&amp;" phút",IF(ROUND((($AW287-TDBC)*24),0)&lt;24,ROUND((($AW287-TDBC)*24),0)&amp;" giờ",INT(ROUND((($AW287-TDBC)*24),0)/24)&amp;" ngày"&amp;IF(MOD(ROUND((($AW287-TDBC)*24),0),24)&gt;0," "&amp;MOD(ROUND((($AW287-TDBC)*24),0),24)&amp;" giờ",""))))))</f>
      </c>
      <c r="AA287" s="221">
        <f>IF($A287="","",IF(N($AM287)=0,"Chưa bắt đầu",IF(OR($AN287="Hoàn thành kỳ",$AN287="Hoàn thành"),IF($B287="Định kỳ","Chưa bắt đầu","Hoàn thành"),$AN287)))</f>
      </c>
      <c r="AB287" s="222">
        <f>IF($A287="","",IF($AA287="Hoàn thành",1,IF(OR(N($AM287)=0,$AN287="Hoàn thành kỳ",$AN287="Hoàn thành"),0,N(INDEX('Nhật ký tiến độ'!$D:$D,$AM287)))))</f>
      </c>
      <c r="AC287" s="222">
        <f>IF(OR($A287="",$B287&lt;&gt;"Đột xuất",$AA287="Hoàn thành",N($J287)=0,$AW287=0),"",IF(TDBC&lt;=$J287,0,IF(TDBC&gt;=$AW287,1,(TDBC-$J287)/($AW287-$J287))))</f>
      </c>
      <c r="AD287" s="223">
        <f>IF($A287="","",IF($AA287="Hoàn thành","Hoàn thành",IF($AW287=0,"Chưa đặt hạn",IF(TDBC&gt;$AW287,"Quá hạn",IF(AND($B287="Đột xuất",ROUND((N($AC287)-$AB287)*100,0)&gt;=20),"Chậm tiến độ",IF($AP287=NgayBC,"Đến hạn hôm nay",IF($B287="Đột xuất",IF($AW287-TDBC&lt;=1,"Sắp đến hạn","Đúng tiến độ"),IF($AP287-NgayBC&lt;=3,"Sắp đến hạn","Theo lịch"))))))))</f>
      </c>
      <c r="AE287" s="223">
        <f>IF($AV287="","",IF($B287="Định kỳ","Bình quân "&amp;IF($AV287&lt;1,MAX(1,ROUND($AV287*60,0))&amp;" phút",IF(ROUND($AV287,0)&lt;24,ROUND($AV287,0)&amp;" giờ",INT(ROUND($AV287,0)/24)&amp;" ngày"&amp;IF(MOD(ROUND($AV287,0),24)&gt;0," "&amp;MOD(ROUND($AV287,0),24)&amp;" giờ","")))&amp;" mỗi kỳ",IF($AV287&lt;1,MAX(1,ROUND($AV287*60,0))&amp;" phút",IF(ROUND($AV287,0)&lt;24,ROUND($AV287,0)&amp;" giờ",INT(ROUND($AV287,0)/24)&amp;" ngày"&amp;IF(MOD(ROUND($AV287,0),24)&gt;0," "&amp;MOD(ROUND($AV287,0),24)&amp;" giờ","")))))</f>
      </c>
      <c r="AF287" s="223">
        <f>IF(OR($A287="",N($AU287)=0),"",IF($AV287&lt;&gt;"",IF($AV287&lt;=$AU287,"Trong ước tính","Vượt "&amp;IF(($AV287-$AU287)&lt;1,MAX(1,ROUND(($AV287-$AU287)*60,0))&amp;" phút",IF(ROUND(($AV287-$AU287),0)&lt;24,ROUND(($AV287-$AU287),0)&amp;" giờ",INT(ROUND(($AV287-$AU287),0)/24)&amp;" ngày"&amp;IF(MOD(ROUND(($AV287-$AU287),0),24)&gt;0," "&amp;MOD(ROUND(($AV287-$AU287),0),24)&amp;" giờ","")))),IF(OR($B287&lt;&gt;"Đột xuất",$AA287="Hoàn thành",N($J287)=0),"",IF((TDBC-$J287)*24&gt;$AU287,"Đã vượt ước tính","Đã dùng "&amp;TEXT((TDBC-$J287)*24/$AU287,"0%")))))</f>
      </c>
      <c r="AG287" s="223">
        <f>IF(N($BB287)=0,"",CHOOSE($BB287,"Nhắc nhở","Cảnh báo","Báo động","Báo động đỏ"))</f>
      </c>
      <c r="AH287" s="223">
        <f>IF(OR($B287&lt;&gt;"Đột xuất",$AA287&lt;&gt;"Hoàn thành",N($X287)=0,$AW287=0),"",IF($X287&lt;=$AW287,"Đúng hạn","Trễ hạn"))</f>
      </c>
      <c r="AI287" s="220">
        <f>IF($A287="","",_xlfn.MAXIFS('Nhật ký tiến độ'!$B$6:$B$3005,'Nhật ký tiến độ'!$C$6:$C$3005,$A287))</f>
      </c>
      <c r="AJ287" s="225">
        <f>IF(OR($A287="",$B287&lt;&gt;"Định kỳ"),0,IFERROR(INDEX(DM_TanSuatNgay,MATCH($H287,DM_TanSuat,0)),0))</f>
      </c>
      <c r="AK287" s="225">
        <f>IF(OR($A287="",$B287&lt;&gt;"Định kỳ"),0,IFERROR(INDEX(DM_TanSuatThang,MATCH($H287,DM_TanSuat,0)),0))</f>
      </c>
      <c r="AL287" s="225">
        <f>IF(OR($A287="",$B287&lt;&gt;"Định kỳ",N($X287)=0,N($I287)=0),"",IF(INT($X287)&lt;$I287,0,IF($AJ287&gt;0,ROUND((INT($X287)-$I287)/$AJ287,0),IF($AK287&gt;0,ROUND((DATEDIF($I287,INT($X287),"m")+(INT($X287)-EDATE($I287,DATEDIF($I287,INT($X287),"m")))/(EDATE($I287,DATEDIF($I287,INT($X287),"m")+1)-EDATE($I287,DATEDIF($I287,INT($X287),"m"))))/$AK287,0),0))))</f>
      </c>
      <c r="AM287" s="225">
        <f>IF($A287="","",IF(COUNTIF('Nhật ký tiến độ'!$C$6:$C$3005,$A287)=0,0,_xlfn.MAXIFS('Nhật ký tiến độ'!$N$6:$N$3005,'Nhật ký tiến độ'!$C$6:$C$3005,$A287,'Nhật ký tiến độ'!$B$6:$B$3005,_xlfn.MAXIFS('Nhật ký tiến độ'!$B$6:$B$3005,'Nhật ký tiến độ'!$C$6:$C$3005,$A287))))</f>
      </c>
      <c r="AN287" s="225">
        <f>IF($A287="","",IF(N($AM287)=0,"",INDEX('Nhật ký tiến độ'!$E:$E,$AM287)))</f>
      </c>
      <c r="AO287" s="225">
        <f>IF($A287="",0,IF($AA287="Hoàn thành",0,1))</f>
      </c>
      <c r="AP287" s="225">
        <f>IF($AO287=0,0,INT(N($AW287)))</f>
      </c>
      <c r="AQ287" s="225">
        <f>IF(AND($AO287=1,$AJ287&gt;1),$AJ287,0)</f>
      </c>
      <c r="AR287" s="225">
        <f>IF(AND($AO287=1,$AJ287=1),1,0)</f>
      </c>
      <c r="AS287" s="225">
        <f>IF(OR($AO287=0,AND($AR287=1,N($BB287)=0)),"",IF(N($BB287)&gt;0,5-$BB287,IF($AD287="Chậm tiến độ",6,IF($AD287="Đến hạn hôm nay",7,IF(AND($AP287&gt;0,$AP287-NgayBC&lt;=7),8,"")))))</f>
      </c>
      <c r="AT287" s="225">
        <f>IF($AS287="","",$AS287*100000+$AP287+ROW()/100000)</f>
      </c>
      <c r="AU287" s="224">
        <f>IF(OR($A287="",N($R287)&lt;=0),"",IF($S287="Ngày",$R287*24,$R287))</f>
      </c>
      <c r="AV287" s="224">
        <f>IF($A287="","",IF($B287="Đột xuất",IF(OR($AA287&lt;&gt;"Hoàn thành",N($X287)=0,N($J287)=0),"",IF($X287&lt;$J287,"",($X287-$J287)*24)),IFERROR(AVERAGEIFS('Nhật ký tiến độ'!$H$6:$H$3005,'Nhật ký tiến độ'!$C$6:$C$3005,$A287,'Nhật ký tiến độ'!$H$6:$H$3005,"&gt;0"),"")))</f>
      </c>
      <c r="AW287" s="233">
        <f>IF($A287="",0,IF($B287="Đột xuất",$AY287,IF($AX287=0,0,$AX287+1-1/1440)))</f>
      </c>
      <c r="AX287" s="234">
        <f>IF(OR($A287="",$B287&lt;&gt;"Định kỳ",N($I287)=0),0,IF($AL287="",$I287,IF($AJ287&gt;0,$I287+($AL287+1)*$AJ287,IF($AK287&gt;0,EDATE($I287,($AL287+1)*$AK287),$I287))))</f>
      </c>
      <c r="AY287" s="233">
        <f>IF(OR($A287="",$B287&lt;&gt;"Đột xuất"),0,IF(N($K287)&gt;0,IF(MOD($K287,1)=0,$K287+1-1/1440,$K287),IF(N($J287)=0,0,$J287+IF(N($AU287)&gt;0,$AU287,IFERROR(INDEX(DM_SLA_Gio,MATCH($L287,DM_SLA_Cap,0)),168))/24)))</f>
      </c>
      <c r="AZ287" s="225">
        <f>IF(OR($A287="",TRIM($N287)="",COUNTIF('Phản ánh'!$K$6:$K$505,$N287)&gt;0,COUNTIF($N$6:$N287,$N287)&gt;1),0,1)</f>
      </c>
      <c r="BA287" s="225">
        <f>IF($AZ287=1,SUM($AZ$6:$AZ287),"")</f>
      </c>
      <c r="BB287" s="225">
        <f>IF(OR($AO287=0,N($AW287)=0),0,IF(TDBC&lt;=$AW287,0,MAX(1,MIN(4,IF((TDBC-$AW287)*24&lt;24,1,IF((TDBC-$AW287)*24&lt;72,2,IF((TDBC-$AW287)*24&lt;168,3,4)))+IF($B287="Đột xuất",IFERROR(INDEX({2,1,0,-1},MATCH($L287,{"Khẩn cấp","Cao","Trung bình","Thấp"},0)),0),IF($D287="PCCC và an ninh",1,0))))))</f>
      </c>
    </row>
    <row r="288">
      <c r="A288" s="216"/>
      <c r="B288" s="216"/>
      <c r="C288" s="218"/>
      <c r="D288" s="218"/>
      <c r="E288" s="218"/>
      <c r="F288" s="216"/>
      <c r="G288" s="218"/>
      <c r="H288" s="218"/>
      <c r="I288" s="231"/>
      <c r="J288" s="217"/>
      <c r="K288" s="217"/>
      <c r="L288" s="216"/>
      <c r="M288" s="216"/>
      <c r="N288" s="218"/>
      <c r="O288" s="218"/>
      <c r="P288" s="218"/>
      <c r="Q288" s="218"/>
      <c r="R288" s="219"/>
      <c r="S288" s="216"/>
      <c r="T288" s="232"/>
      <c r="U288" s="232"/>
      <c r="V288" s="218"/>
      <c r="W288" s="218"/>
      <c r="X288" s="220">
        <f>IF($A288="","",IF(OR($B288="Định kỳ",$AA288="Hoàn thành"),MAX(_xlfn.MAXIFS('Nhật ký tiến độ'!$B$6:$B$3005,'Nhật ký tiến độ'!$C$6:$C$3005,$A288,'Nhật ký tiến độ'!$E$6:$E$3005,"Hoàn thành kỳ"),_xlfn.MAXIFS('Nhật ký tiến độ'!$B$6:$B$3005,'Nhật ký tiến độ'!$C$6:$C$3005,$A288,'Nhật ký tiến độ'!$E$6:$E$3005,"Hoàn thành")),0))</f>
      </c>
      <c r="Y288" s="220">
        <f>IF($A288="","",IF($B288="Đột xuất",IF($AY288=0,"",$AY288),IF($AX288=0,"",$AX288)))</f>
      </c>
      <c r="Z288" s="223">
        <f>IF(OR($AO288=0,$AW288=0),"",IF(TDBC&gt;$AW288,"Quá "&amp;IF($B288="Định kỳ",(NgayBC-$AP288)&amp;" ngày",IF(((TDBC-$AW288)*24)&lt;1,MAX(1,ROUND(((TDBC-$AW288)*24)*60,0))&amp;" phút",IF(ROUND(((TDBC-$AW288)*24),0)&lt;24,ROUND(((TDBC-$AW288)*24),0)&amp;" giờ",INT(ROUND(((TDBC-$AW288)*24),0)/24)&amp;" ngày"&amp;IF(MOD(ROUND(((TDBC-$AW288)*24),0),24)&gt;0," "&amp;MOD(ROUND(((TDBC-$AW288)*24),0),24)&amp;" giờ","")))),IF($B288="Định kỳ",IF($AP288=NgayBC,"Hôm nay","Còn "&amp;($AP288-NgayBC)&amp;" ngày"),"Còn "&amp;IF((($AW288-TDBC)*24)&lt;1,MAX(1,ROUND((($AW288-TDBC)*24)*60,0))&amp;" phút",IF(ROUND((($AW288-TDBC)*24),0)&lt;24,ROUND((($AW288-TDBC)*24),0)&amp;" giờ",INT(ROUND((($AW288-TDBC)*24),0)/24)&amp;" ngày"&amp;IF(MOD(ROUND((($AW288-TDBC)*24),0),24)&gt;0," "&amp;MOD(ROUND((($AW288-TDBC)*24),0),24)&amp;" giờ",""))))))</f>
      </c>
      <c r="AA288" s="221">
        <f>IF($A288="","",IF(N($AM288)=0,"Chưa bắt đầu",IF(OR($AN288="Hoàn thành kỳ",$AN288="Hoàn thành"),IF($B288="Định kỳ","Chưa bắt đầu","Hoàn thành"),$AN288)))</f>
      </c>
      <c r="AB288" s="222">
        <f>IF($A288="","",IF($AA288="Hoàn thành",1,IF(OR(N($AM288)=0,$AN288="Hoàn thành kỳ",$AN288="Hoàn thành"),0,N(INDEX('Nhật ký tiến độ'!$D:$D,$AM288)))))</f>
      </c>
      <c r="AC288" s="222">
        <f>IF(OR($A288="",$B288&lt;&gt;"Đột xuất",$AA288="Hoàn thành",N($J288)=0,$AW288=0),"",IF(TDBC&lt;=$J288,0,IF(TDBC&gt;=$AW288,1,(TDBC-$J288)/($AW288-$J288))))</f>
      </c>
      <c r="AD288" s="223">
        <f>IF($A288="","",IF($AA288="Hoàn thành","Hoàn thành",IF($AW288=0,"Chưa đặt hạn",IF(TDBC&gt;$AW288,"Quá hạn",IF(AND($B288="Đột xuất",ROUND((N($AC288)-$AB288)*100,0)&gt;=20),"Chậm tiến độ",IF($AP288=NgayBC,"Đến hạn hôm nay",IF($B288="Đột xuất",IF($AW288-TDBC&lt;=1,"Sắp đến hạn","Đúng tiến độ"),IF($AP288-NgayBC&lt;=3,"Sắp đến hạn","Theo lịch"))))))))</f>
      </c>
      <c r="AE288" s="223">
        <f>IF($AV288="","",IF($B288="Định kỳ","Bình quân "&amp;IF($AV288&lt;1,MAX(1,ROUND($AV288*60,0))&amp;" phút",IF(ROUND($AV288,0)&lt;24,ROUND($AV288,0)&amp;" giờ",INT(ROUND($AV288,0)/24)&amp;" ngày"&amp;IF(MOD(ROUND($AV288,0),24)&gt;0," "&amp;MOD(ROUND($AV288,0),24)&amp;" giờ","")))&amp;" mỗi kỳ",IF($AV288&lt;1,MAX(1,ROUND($AV288*60,0))&amp;" phút",IF(ROUND($AV288,0)&lt;24,ROUND($AV288,0)&amp;" giờ",INT(ROUND($AV288,0)/24)&amp;" ngày"&amp;IF(MOD(ROUND($AV288,0),24)&gt;0," "&amp;MOD(ROUND($AV288,0),24)&amp;" giờ","")))))</f>
      </c>
      <c r="AF288" s="223">
        <f>IF(OR($A288="",N($AU288)=0),"",IF($AV288&lt;&gt;"",IF($AV288&lt;=$AU288,"Trong ước tính","Vượt "&amp;IF(($AV288-$AU288)&lt;1,MAX(1,ROUND(($AV288-$AU288)*60,0))&amp;" phút",IF(ROUND(($AV288-$AU288),0)&lt;24,ROUND(($AV288-$AU288),0)&amp;" giờ",INT(ROUND(($AV288-$AU288),0)/24)&amp;" ngày"&amp;IF(MOD(ROUND(($AV288-$AU288),0),24)&gt;0," "&amp;MOD(ROUND(($AV288-$AU288),0),24)&amp;" giờ","")))),IF(OR($B288&lt;&gt;"Đột xuất",$AA288="Hoàn thành",N($J288)=0),"",IF((TDBC-$J288)*24&gt;$AU288,"Đã vượt ước tính","Đã dùng "&amp;TEXT((TDBC-$J288)*24/$AU288,"0%")))))</f>
      </c>
      <c r="AG288" s="223">
        <f>IF(N($BB288)=0,"",CHOOSE($BB288,"Nhắc nhở","Cảnh báo","Báo động","Báo động đỏ"))</f>
      </c>
      <c r="AH288" s="223">
        <f>IF(OR($B288&lt;&gt;"Đột xuất",$AA288&lt;&gt;"Hoàn thành",N($X288)=0,$AW288=0),"",IF($X288&lt;=$AW288,"Đúng hạn","Trễ hạn"))</f>
      </c>
      <c r="AI288" s="220">
        <f>IF($A288="","",_xlfn.MAXIFS('Nhật ký tiến độ'!$B$6:$B$3005,'Nhật ký tiến độ'!$C$6:$C$3005,$A288))</f>
      </c>
      <c r="AJ288" s="225">
        <f>IF(OR($A288="",$B288&lt;&gt;"Định kỳ"),0,IFERROR(INDEX(DM_TanSuatNgay,MATCH($H288,DM_TanSuat,0)),0))</f>
      </c>
      <c r="AK288" s="225">
        <f>IF(OR($A288="",$B288&lt;&gt;"Định kỳ"),0,IFERROR(INDEX(DM_TanSuatThang,MATCH($H288,DM_TanSuat,0)),0))</f>
      </c>
      <c r="AL288" s="225">
        <f>IF(OR($A288="",$B288&lt;&gt;"Định kỳ",N($X288)=0,N($I288)=0),"",IF(INT($X288)&lt;$I288,0,IF($AJ288&gt;0,ROUND((INT($X288)-$I288)/$AJ288,0),IF($AK288&gt;0,ROUND((DATEDIF($I288,INT($X288),"m")+(INT($X288)-EDATE($I288,DATEDIF($I288,INT($X288),"m")))/(EDATE($I288,DATEDIF($I288,INT($X288),"m")+1)-EDATE($I288,DATEDIF($I288,INT($X288),"m"))))/$AK288,0),0))))</f>
      </c>
      <c r="AM288" s="225">
        <f>IF($A288="","",IF(COUNTIF('Nhật ký tiến độ'!$C$6:$C$3005,$A288)=0,0,_xlfn.MAXIFS('Nhật ký tiến độ'!$N$6:$N$3005,'Nhật ký tiến độ'!$C$6:$C$3005,$A288,'Nhật ký tiến độ'!$B$6:$B$3005,_xlfn.MAXIFS('Nhật ký tiến độ'!$B$6:$B$3005,'Nhật ký tiến độ'!$C$6:$C$3005,$A288))))</f>
      </c>
      <c r="AN288" s="225">
        <f>IF($A288="","",IF(N($AM288)=0,"",INDEX('Nhật ký tiến độ'!$E:$E,$AM288)))</f>
      </c>
      <c r="AO288" s="225">
        <f>IF($A288="",0,IF($AA288="Hoàn thành",0,1))</f>
      </c>
      <c r="AP288" s="225">
        <f>IF($AO288=0,0,INT(N($AW288)))</f>
      </c>
      <c r="AQ288" s="225">
        <f>IF(AND($AO288=1,$AJ288&gt;1),$AJ288,0)</f>
      </c>
      <c r="AR288" s="225">
        <f>IF(AND($AO288=1,$AJ288=1),1,0)</f>
      </c>
      <c r="AS288" s="225">
        <f>IF(OR($AO288=0,AND($AR288=1,N($BB288)=0)),"",IF(N($BB288)&gt;0,5-$BB288,IF($AD288="Chậm tiến độ",6,IF($AD288="Đến hạn hôm nay",7,IF(AND($AP288&gt;0,$AP288-NgayBC&lt;=7),8,"")))))</f>
      </c>
      <c r="AT288" s="225">
        <f>IF($AS288="","",$AS288*100000+$AP288+ROW()/100000)</f>
      </c>
      <c r="AU288" s="224">
        <f>IF(OR($A288="",N($R288)&lt;=0),"",IF($S288="Ngày",$R288*24,$R288))</f>
      </c>
      <c r="AV288" s="224">
        <f>IF($A288="","",IF($B288="Đột xuất",IF(OR($AA288&lt;&gt;"Hoàn thành",N($X288)=0,N($J288)=0),"",IF($X288&lt;$J288,"",($X288-$J288)*24)),IFERROR(AVERAGEIFS('Nhật ký tiến độ'!$H$6:$H$3005,'Nhật ký tiến độ'!$C$6:$C$3005,$A288,'Nhật ký tiến độ'!$H$6:$H$3005,"&gt;0"),"")))</f>
      </c>
      <c r="AW288" s="233">
        <f>IF($A288="",0,IF($B288="Đột xuất",$AY288,IF($AX288=0,0,$AX288+1-1/1440)))</f>
      </c>
      <c r="AX288" s="234">
        <f>IF(OR($A288="",$B288&lt;&gt;"Định kỳ",N($I288)=0),0,IF($AL288="",$I288,IF($AJ288&gt;0,$I288+($AL288+1)*$AJ288,IF($AK288&gt;0,EDATE($I288,($AL288+1)*$AK288),$I288))))</f>
      </c>
      <c r="AY288" s="233">
        <f>IF(OR($A288="",$B288&lt;&gt;"Đột xuất"),0,IF(N($K288)&gt;0,IF(MOD($K288,1)=0,$K288+1-1/1440,$K288),IF(N($J288)=0,0,$J288+IF(N($AU288)&gt;0,$AU288,IFERROR(INDEX(DM_SLA_Gio,MATCH($L288,DM_SLA_Cap,0)),168))/24)))</f>
      </c>
      <c r="AZ288" s="225">
        <f>IF(OR($A288="",TRIM($N288)="",COUNTIF('Phản ánh'!$K$6:$K$505,$N288)&gt;0,COUNTIF($N$6:$N288,$N288)&gt;1),0,1)</f>
      </c>
      <c r="BA288" s="225">
        <f>IF($AZ288=1,SUM($AZ$6:$AZ288),"")</f>
      </c>
      <c r="BB288" s="225">
        <f>IF(OR($AO288=0,N($AW288)=0),0,IF(TDBC&lt;=$AW288,0,MAX(1,MIN(4,IF((TDBC-$AW288)*24&lt;24,1,IF((TDBC-$AW288)*24&lt;72,2,IF((TDBC-$AW288)*24&lt;168,3,4)))+IF($B288="Đột xuất",IFERROR(INDEX({2,1,0,-1},MATCH($L288,{"Khẩn cấp","Cao","Trung bình","Thấp"},0)),0),IF($D288="PCCC và an ninh",1,0))))))</f>
      </c>
    </row>
    <row r="289">
      <c r="A289" s="216"/>
      <c r="B289" s="216"/>
      <c r="C289" s="218"/>
      <c r="D289" s="218"/>
      <c r="E289" s="218"/>
      <c r="F289" s="216"/>
      <c r="G289" s="218"/>
      <c r="H289" s="218"/>
      <c r="I289" s="231"/>
      <c r="J289" s="217"/>
      <c r="K289" s="217"/>
      <c r="L289" s="216"/>
      <c r="M289" s="216"/>
      <c r="N289" s="218"/>
      <c r="O289" s="218"/>
      <c r="P289" s="218"/>
      <c r="Q289" s="218"/>
      <c r="R289" s="219"/>
      <c r="S289" s="216"/>
      <c r="T289" s="232"/>
      <c r="U289" s="232"/>
      <c r="V289" s="218"/>
      <c r="W289" s="218"/>
      <c r="X289" s="220">
        <f>IF($A289="","",IF(OR($B289="Định kỳ",$AA289="Hoàn thành"),MAX(_xlfn.MAXIFS('Nhật ký tiến độ'!$B$6:$B$3005,'Nhật ký tiến độ'!$C$6:$C$3005,$A289,'Nhật ký tiến độ'!$E$6:$E$3005,"Hoàn thành kỳ"),_xlfn.MAXIFS('Nhật ký tiến độ'!$B$6:$B$3005,'Nhật ký tiến độ'!$C$6:$C$3005,$A289,'Nhật ký tiến độ'!$E$6:$E$3005,"Hoàn thành")),0))</f>
      </c>
      <c r="Y289" s="220">
        <f>IF($A289="","",IF($B289="Đột xuất",IF($AY289=0,"",$AY289),IF($AX289=0,"",$AX289)))</f>
      </c>
      <c r="Z289" s="223">
        <f>IF(OR($AO289=0,$AW289=0),"",IF(TDBC&gt;$AW289,"Quá "&amp;IF($B289="Định kỳ",(NgayBC-$AP289)&amp;" ngày",IF(((TDBC-$AW289)*24)&lt;1,MAX(1,ROUND(((TDBC-$AW289)*24)*60,0))&amp;" phút",IF(ROUND(((TDBC-$AW289)*24),0)&lt;24,ROUND(((TDBC-$AW289)*24),0)&amp;" giờ",INT(ROUND(((TDBC-$AW289)*24),0)/24)&amp;" ngày"&amp;IF(MOD(ROUND(((TDBC-$AW289)*24),0),24)&gt;0," "&amp;MOD(ROUND(((TDBC-$AW289)*24),0),24)&amp;" giờ","")))),IF($B289="Định kỳ",IF($AP289=NgayBC,"Hôm nay","Còn "&amp;($AP289-NgayBC)&amp;" ngày"),"Còn "&amp;IF((($AW289-TDBC)*24)&lt;1,MAX(1,ROUND((($AW289-TDBC)*24)*60,0))&amp;" phút",IF(ROUND((($AW289-TDBC)*24),0)&lt;24,ROUND((($AW289-TDBC)*24),0)&amp;" giờ",INT(ROUND((($AW289-TDBC)*24),0)/24)&amp;" ngày"&amp;IF(MOD(ROUND((($AW289-TDBC)*24),0),24)&gt;0," "&amp;MOD(ROUND((($AW289-TDBC)*24),0),24)&amp;" giờ",""))))))</f>
      </c>
      <c r="AA289" s="221">
        <f>IF($A289="","",IF(N($AM289)=0,"Chưa bắt đầu",IF(OR($AN289="Hoàn thành kỳ",$AN289="Hoàn thành"),IF($B289="Định kỳ","Chưa bắt đầu","Hoàn thành"),$AN289)))</f>
      </c>
      <c r="AB289" s="222">
        <f>IF($A289="","",IF($AA289="Hoàn thành",1,IF(OR(N($AM289)=0,$AN289="Hoàn thành kỳ",$AN289="Hoàn thành"),0,N(INDEX('Nhật ký tiến độ'!$D:$D,$AM289)))))</f>
      </c>
      <c r="AC289" s="222">
        <f>IF(OR($A289="",$B289&lt;&gt;"Đột xuất",$AA289="Hoàn thành",N($J289)=0,$AW289=0),"",IF(TDBC&lt;=$J289,0,IF(TDBC&gt;=$AW289,1,(TDBC-$J289)/($AW289-$J289))))</f>
      </c>
      <c r="AD289" s="223">
        <f>IF($A289="","",IF($AA289="Hoàn thành","Hoàn thành",IF($AW289=0,"Chưa đặt hạn",IF(TDBC&gt;$AW289,"Quá hạn",IF(AND($B289="Đột xuất",ROUND((N($AC289)-$AB289)*100,0)&gt;=20),"Chậm tiến độ",IF($AP289=NgayBC,"Đến hạn hôm nay",IF($B289="Đột xuất",IF($AW289-TDBC&lt;=1,"Sắp đến hạn","Đúng tiến độ"),IF($AP289-NgayBC&lt;=3,"Sắp đến hạn","Theo lịch"))))))))</f>
      </c>
      <c r="AE289" s="223">
        <f>IF($AV289="","",IF($B289="Định kỳ","Bình quân "&amp;IF($AV289&lt;1,MAX(1,ROUND($AV289*60,0))&amp;" phút",IF(ROUND($AV289,0)&lt;24,ROUND($AV289,0)&amp;" giờ",INT(ROUND($AV289,0)/24)&amp;" ngày"&amp;IF(MOD(ROUND($AV289,0),24)&gt;0," "&amp;MOD(ROUND($AV289,0),24)&amp;" giờ","")))&amp;" mỗi kỳ",IF($AV289&lt;1,MAX(1,ROUND($AV289*60,0))&amp;" phút",IF(ROUND($AV289,0)&lt;24,ROUND($AV289,0)&amp;" giờ",INT(ROUND($AV289,0)/24)&amp;" ngày"&amp;IF(MOD(ROUND($AV289,0),24)&gt;0," "&amp;MOD(ROUND($AV289,0),24)&amp;" giờ","")))))</f>
      </c>
      <c r="AF289" s="223">
        <f>IF(OR($A289="",N($AU289)=0),"",IF($AV289&lt;&gt;"",IF($AV289&lt;=$AU289,"Trong ước tính","Vượt "&amp;IF(($AV289-$AU289)&lt;1,MAX(1,ROUND(($AV289-$AU289)*60,0))&amp;" phút",IF(ROUND(($AV289-$AU289),0)&lt;24,ROUND(($AV289-$AU289),0)&amp;" giờ",INT(ROUND(($AV289-$AU289),0)/24)&amp;" ngày"&amp;IF(MOD(ROUND(($AV289-$AU289),0),24)&gt;0," "&amp;MOD(ROUND(($AV289-$AU289),0),24)&amp;" giờ","")))),IF(OR($B289&lt;&gt;"Đột xuất",$AA289="Hoàn thành",N($J289)=0),"",IF((TDBC-$J289)*24&gt;$AU289,"Đã vượt ước tính","Đã dùng "&amp;TEXT((TDBC-$J289)*24/$AU289,"0%")))))</f>
      </c>
      <c r="AG289" s="223">
        <f>IF(N($BB289)=0,"",CHOOSE($BB289,"Nhắc nhở","Cảnh báo","Báo động","Báo động đỏ"))</f>
      </c>
      <c r="AH289" s="223">
        <f>IF(OR($B289&lt;&gt;"Đột xuất",$AA289&lt;&gt;"Hoàn thành",N($X289)=0,$AW289=0),"",IF($X289&lt;=$AW289,"Đúng hạn","Trễ hạn"))</f>
      </c>
      <c r="AI289" s="220">
        <f>IF($A289="","",_xlfn.MAXIFS('Nhật ký tiến độ'!$B$6:$B$3005,'Nhật ký tiến độ'!$C$6:$C$3005,$A289))</f>
      </c>
      <c r="AJ289" s="225">
        <f>IF(OR($A289="",$B289&lt;&gt;"Định kỳ"),0,IFERROR(INDEX(DM_TanSuatNgay,MATCH($H289,DM_TanSuat,0)),0))</f>
      </c>
      <c r="AK289" s="225">
        <f>IF(OR($A289="",$B289&lt;&gt;"Định kỳ"),0,IFERROR(INDEX(DM_TanSuatThang,MATCH($H289,DM_TanSuat,0)),0))</f>
      </c>
      <c r="AL289" s="225">
        <f>IF(OR($A289="",$B289&lt;&gt;"Định kỳ",N($X289)=0,N($I289)=0),"",IF(INT($X289)&lt;$I289,0,IF($AJ289&gt;0,ROUND((INT($X289)-$I289)/$AJ289,0),IF($AK289&gt;0,ROUND((DATEDIF($I289,INT($X289),"m")+(INT($X289)-EDATE($I289,DATEDIF($I289,INT($X289),"m")))/(EDATE($I289,DATEDIF($I289,INT($X289),"m")+1)-EDATE($I289,DATEDIF($I289,INT($X289),"m"))))/$AK289,0),0))))</f>
      </c>
      <c r="AM289" s="225">
        <f>IF($A289="","",IF(COUNTIF('Nhật ký tiến độ'!$C$6:$C$3005,$A289)=0,0,_xlfn.MAXIFS('Nhật ký tiến độ'!$N$6:$N$3005,'Nhật ký tiến độ'!$C$6:$C$3005,$A289,'Nhật ký tiến độ'!$B$6:$B$3005,_xlfn.MAXIFS('Nhật ký tiến độ'!$B$6:$B$3005,'Nhật ký tiến độ'!$C$6:$C$3005,$A289))))</f>
      </c>
      <c r="AN289" s="225">
        <f>IF($A289="","",IF(N($AM289)=0,"",INDEX('Nhật ký tiến độ'!$E:$E,$AM289)))</f>
      </c>
      <c r="AO289" s="225">
        <f>IF($A289="",0,IF($AA289="Hoàn thành",0,1))</f>
      </c>
      <c r="AP289" s="225">
        <f>IF($AO289=0,0,INT(N($AW289)))</f>
      </c>
      <c r="AQ289" s="225">
        <f>IF(AND($AO289=1,$AJ289&gt;1),$AJ289,0)</f>
      </c>
      <c r="AR289" s="225">
        <f>IF(AND($AO289=1,$AJ289=1),1,0)</f>
      </c>
      <c r="AS289" s="225">
        <f>IF(OR($AO289=0,AND($AR289=1,N($BB289)=0)),"",IF(N($BB289)&gt;0,5-$BB289,IF($AD289="Chậm tiến độ",6,IF($AD289="Đến hạn hôm nay",7,IF(AND($AP289&gt;0,$AP289-NgayBC&lt;=7),8,"")))))</f>
      </c>
      <c r="AT289" s="225">
        <f>IF($AS289="","",$AS289*100000+$AP289+ROW()/100000)</f>
      </c>
      <c r="AU289" s="224">
        <f>IF(OR($A289="",N($R289)&lt;=0),"",IF($S289="Ngày",$R289*24,$R289))</f>
      </c>
      <c r="AV289" s="224">
        <f>IF($A289="","",IF($B289="Đột xuất",IF(OR($AA289&lt;&gt;"Hoàn thành",N($X289)=0,N($J289)=0),"",IF($X289&lt;$J289,"",($X289-$J289)*24)),IFERROR(AVERAGEIFS('Nhật ký tiến độ'!$H$6:$H$3005,'Nhật ký tiến độ'!$C$6:$C$3005,$A289,'Nhật ký tiến độ'!$H$6:$H$3005,"&gt;0"),"")))</f>
      </c>
      <c r="AW289" s="233">
        <f>IF($A289="",0,IF($B289="Đột xuất",$AY289,IF($AX289=0,0,$AX289+1-1/1440)))</f>
      </c>
      <c r="AX289" s="234">
        <f>IF(OR($A289="",$B289&lt;&gt;"Định kỳ",N($I289)=0),0,IF($AL289="",$I289,IF($AJ289&gt;0,$I289+($AL289+1)*$AJ289,IF($AK289&gt;0,EDATE($I289,($AL289+1)*$AK289),$I289))))</f>
      </c>
      <c r="AY289" s="233">
        <f>IF(OR($A289="",$B289&lt;&gt;"Đột xuất"),0,IF(N($K289)&gt;0,IF(MOD($K289,1)=0,$K289+1-1/1440,$K289),IF(N($J289)=0,0,$J289+IF(N($AU289)&gt;0,$AU289,IFERROR(INDEX(DM_SLA_Gio,MATCH($L289,DM_SLA_Cap,0)),168))/24)))</f>
      </c>
      <c r="AZ289" s="225">
        <f>IF(OR($A289="",TRIM($N289)="",COUNTIF('Phản ánh'!$K$6:$K$505,$N289)&gt;0,COUNTIF($N$6:$N289,$N289)&gt;1),0,1)</f>
      </c>
      <c r="BA289" s="225">
        <f>IF($AZ289=1,SUM($AZ$6:$AZ289),"")</f>
      </c>
      <c r="BB289" s="225">
        <f>IF(OR($AO289=0,N($AW289)=0),0,IF(TDBC&lt;=$AW289,0,MAX(1,MIN(4,IF((TDBC-$AW289)*24&lt;24,1,IF((TDBC-$AW289)*24&lt;72,2,IF((TDBC-$AW289)*24&lt;168,3,4)))+IF($B289="Đột xuất",IFERROR(INDEX({2,1,0,-1},MATCH($L289,{"Khẩn cấp","Cao","Trung bình","Thấp"},0)),0),IF($D289="PCCC và an ninh",1,0))))))</f>
      </c>
    </row>
    <row r="290">
      <c r="A290" s="216"/>
      <c r="B290" s="216"/>
      <c r="C290" s="218"/>
      <c r="D290" s="218"/>
      <c r="E290" s="218"/>
      <c r="F290" s="216"/>
      <c r="G290" s="218"/>
      <c r="H290" s="218"/>
      <c r="I290" s="231"/>
      <c r="J290" s="217"/>
      <c r="K290" s="217"/>
      <c r="L290" s="216"/>
      <c r="M290" s="216"/>
      <c r="N290" s="218"/>
      <c r="O290" s="218"/>
      <c r="P290" s="218"/>
      <c r="Q290" s="218"/>
      <c r="R290" s="219"/>
      <c r="S290" s="216"/>
      <c r="T290" s="232"/>
      <c r="U290" s="232"/>
      <c r="V290" s="218"/>
      <c r="W290" s="218"/>
      <c r="X290" s="220">
        <f>IF($A290="","",IF(OR($B290="Định kỳ",$AA290="Hoàn thành"),MAX(_xlfn.MAXIFS('Nhật ký tiến độ'!$B$6:$B$3005,'Nhật ký tiến độ'!$C$6:$C$3005,$A290,'Nhật ký tiến độ'!$E$6:$E$3005,"Hoàn thành kỳ"),_xlfn.MAXIFS('Nhật ký tiến độ'!$B$6:$B$3005,'Nhật ký tiến độ'!$C$6:$C$3005,$A290,'Nhật ký tiến độ'!$E$6:$E$3005,"Hoàn thành")),0))</f>
      </c>
      <c r="Y290" s="220">
        <f>IF($A290="","",IF($B290="Đột xuất",IF($AY290=0,"",$AY290),IF($AX290=0,"",$AX290)))</f>
      </c>
      <c r="Z290" s="223">
        <f>IF(OR($AO290=0,$AW290=0),"",IF(TDBC&gt;$AW290,"Quá "&amp;IF($B290="Định kỳ",(NgayBC-$AP290)&amp;" ngày",IF(((TDBC-$AW290)*24)&lt;1,MAX(1,ROUND(((TDBC-$AW290)*24)*60,0))&amp;" phút",IF(ROUND(((TDBC-$AW290)*24),0)&lt;24,ROUND(((TDBC-$AW290)*24),0)&amp;" giờ",INT(ROUND(((TDBC-$AW290)*24),0)/24)&amp;" ngày"&amp;IF(MOD(ROUND(((TDBC-$AW290)*24),0),24)&gt;0," "&amp;MOD(ROUND(((TDBC-$AW290)*24),0),24)&amp;" giờ","")))),IF($B290="Định kỳ",IF($AP290=NgayBC,"Hôm nay","Còn "&amp;($AP290-NgayBC)&amp;" ngày"),"Còn "&amp;IF((($AW290-TDBC)*24)&lt;1,MAX(1,ROUND((($AW290-TDBC)*24)*60,0))&amp;" phút",IF(ROUND((($AW290-TDBC)*24),0)&lt;24,ROUND((($AW290-TDBC)*24),0)&amp;" giờ",INT(ROUND((($AW290-TDBC)*24),0)/24)&amp;" ngày"&amp;IF(MOD(ROUND((($AW290-TDBC)*24),0),24)&gt;0," "&amp;MOD(ROUND((($AW290-TDBC)*24),0),24)&amp;" giờ",""))))))</f>
      </c>
      <c r="AA290" s="221">
        <f>IF($A290="","",IF(N($AM290)=0,"Chưa bắt đầu",IF(OR($AN290="Hoàn thành kỳ",$AN290="Hoàn thành"),IF($B290="Định kỳ","Chưa bắt đầu","Hoàn thành"),$AN290)))</f>
      </c>
      <c r="AB290" s="222">
        <f>IF($A290="","",IF($AA290="Hoàn thành",1,IF(OR(N($AM290)=0,$AN290="Hoàn thành kỳ",$AN290="Hoàn thành"),0,N(INDEX('Nhật ký tiến độ'!$D:$D,$AM290)))))</f>
      </c>
      <c r="AC290" s="222">
        <f>IF(OR($A290="",$B290&lt;&gt;"Đột xuất",$AA290="Hoàn thành",N($J290)=0,$AW290=0),"",IF(TDBC&lt;=$J290,0,IF(TDBC&gt;=$AW290,1,(TDBC-$J290)/($AW290-$J290))))</f>
      </c>
      <c r="AD290" s="223">
        <f>IF($A290="","",IF($AA290="Hoàn thành","Hoàn thành",IF($AW290=0,"Chưa đặt hạn",IF(TDBC&gt;$AW290,"Quá hạn",IF(AND($B290="Đột xuất",ROUND((N($AC290)-$AB290)*100,0)&gt;=20),"Chậm tiến độ",IF($AP290=NgayBC,"Đến hạn hôm nay",IF($B290="Đột xuất",IF($AW290-TDBC&lt;=1,"Sắp đến hạn","Đúng tiến độ"),IF($AP290-NgayBC&lt;=3,"Sắp đến hạn","Theo lịch"))))))))</f>
      </c>
      <c r="AE290" s="223">
        <f>IF($AV290="","",IF($B290="Định kỳ","Bình quân "&amp;IF($AV290&lt;1,MAX(1,ROUND($AV290*60,0))&amp;" phút",IF(ROUND($AV290,0)&lt;24,ROUND($AV290,0)&amp;" giờ",INT(ROUND($AV290,0)/24)&amp;" ngày"&amp;IF(MOD(ROUND($AV290,0),24)&gt;0," "&amp;MOD(ROUND($AV290,0),24)&amp;" giờ","")))&amp;" mỗi kỳ",IF($AV290&lt;1,MAX(1,ROUND($AV290*60,0))&amp;" phút",IF(ROUND($AV290,0)&lt;24,ROUND($AV290,0)&amp;" giờ",INT(ROUND($AV290,0)/24)&amp;" ngày"&amp;IF(MOD(ROUND($AV290,0),24)&gt;0," "&amp;MOD(ROUND($AV290,0),24)&amp;" giờ","")))))</f>
      </c>
      <c r="AF290" s="223">
        <f>IF(OR($A290="",N($AU290)=0),"",IF($AV290&lt;&gt;"",IF($AV290&lt;=$AU290,"Trong ước tính","Vượt "&amp;IF(($AV290-$AU290)&lt;1,MAX(1,ROUND(($AV290-$AU290)*60,0))&amp;" phút",IF(ROUND(($AV290-$AU290),0)&lt;24,ROUND(($AV290-$AU290),0)&amp;" giờ",INT(ROUND(($AV290-$AU290),0)/24)&amp;" ngày"&amp;IF(MOD(ROUND(($AV290-$AU290),0),24)&gt;0," "&amp;MOD(ROUND(($AV290-$AU290),0),24)&amp;" giờ","")))),IF(OR($B290&lt;&gt;"Đột xuất",$AA290="Hoàn thành",N($J290)=0),"",IF((TDBC-$J290)*24&gt;$AU290,"Đã vượt ước tính","Đã dùng "&amp;TEXT((TDBC-$J290)*24/$AU290,"0%")))))</f>
      </c>
      <c r="AG290" s="223">
        <f>IF(N($BB290)=0,"",CHOOSE($BB290,"Nhắc nhở","Cảnh báo","Báo động","Báo động đỏ"))</f>
      </c>
      <c r="AH290" s="223">
        <f>IF(OR($B290&lt;&gt;"Đột xuất",$AA290&lt;&gt;"Hoàn thành",N($X290)=0,$AW290=0),"",IF($X290&lt;=$AW290,"Đúng hạn","Trễ hạn"))</f>
      </c>
      <c r="AI290" s="220">
        <f>IF($A290="","",_xlfn.MAXIFS('Nhật ký tiến độ'!$B$6:$B$3005,'Nhật ký tiến độ'!$C$6:$C$3005,$A290))</f>
      </c>
      <c r="AJ290" s="225">
        <f>IF(OR($A290="",$B290&lt;&gt;"Định kỳ"),0,IFERROR(INDEX(DM_TanSuatNgay,MATCH($H290,DM_TanSuat,0)),0))</f>
      </c>
      <c r="AK290" s="225">
        <f>IF(OR($A290="",$B290&lt;&gt;"Định kỳ"),0,IFERROR(INDEX(DM_TanSuatThang,MATCH($H290,DM_TanSuat,0)),0))</f>
      </c>
      <c r="AL290" s="225">
        <f>IF(OR($A290="",$B290&lt;&gt;"Định kỳ",N($X290)=0,N($I290)=0),"",IF(INT($X290)&lt;$I290,0,IF($AJ290&gt;0,ROUND((INT($X290)-$I290)/$AJ290,0),IF($AK290&gt;0,ROUND((DATEDIF($I290,INT($X290),"m")+(INT($X290)-EDATE($I290,DATEDIF($I290,INT($X290),"m")))/(EDATE($I290,DATEDIF($I290,INT($X290),"m")+1)-EDATE($I290,DATEDIF($I290,INT($X290),"m"))))/$AK290,0),0))))</f>
      </c>
      <c r="AM290" s="225">
        <f>IF($A290="","",IF(COUNTIF('Nhật ký tiến độ'!$C$6:$C$3005,$A290)=0,0,_xlfn.MAXIFS('Nhật ký tiến độ'!$N$6:$N$3005,'Nhật ký tiến độ'!$C$6:$C$3005,$A290,'Nhật ký tiến độ'!$B$6:$B$3005,_xlfn.MAXIFS('Nhật ký tiến độ'!$B$6:$B$3005,'Nhật ký tiến độ'!$C$6:$C$3005,$A290))))</f>
      </c>
      <c r="AN290" s="225">
        <f>IF($A290="","",IF(N($AM290)=0,"",INDEX('Nhật ký tiến độ'!$E:$E,$AM290)))</f>
      </c>
      <c r="AO290" s="225">
        <f>IF($A290="",0,IF($AA290="Hoàn thành",0,1))</f>
      </c>
      <c r="AP290" s="225">
        <f>IF($AO290=0,0,INT(N($AW290)))</f>
      </c>
      <c r="AQ290" s="225">
        <f>IF(AND($AO290=1,$AJ290&gt;1),$AJ290,0)</f>
      </c>
      <c r="AR290" s="225">
        <f>IF(AND($AO290=1,$AJ290=1),1,0)</f>
      </c>
      <c r="AS290" s="225">
        <f>IF(OR($AO290=0,AND($AR290=1,N($BB290)=0)),"",IF(N($BB290)&gt;0,5-$BB290,IF($AD290="Chậm tiến độ",6,IF($AD290="Đến hạn hôm nay",7,IF(AND($AP290&gt;0,$AP290-NgayBC&lt;=7),8,"")))))</f>
      </c>
      <c r="AT290" s="225">
        <f>IF($AS290="","",$AS290*100000+$AP290+ROW()/100000)</f>
      </c>
      <c r="AU290" s="224">
        <f>IF(OR($A290="",N($R290)&lt;=0),"",IF($S290="Ngày",$R290*24,$R290))</f>
      </c>
      <c r="AV290" s="224">
        <f>IF($A290="","",IF($B290="Đột xuất",IF(OR($AA290&lt;&gt;"Hoàn thành",N($X290)=0,N($J290)=0),"",IF($X290&lt;$J290,"",($X290-$J290)*24)),IFERROR(AVERAGEIFS('Nhật ký tiến độ'!$H$6:$H$3005,'Nhật ký tiến độ'!$C$6:$C$3005,$A290,'Nhật ký tiến độ'!$H$6:$H$3005,"&gt;0"),"")))</f>
      </c>
      <c r="AW290" s="233">
        <f>IF($A290="",0,IF($B290="Đột xuất",$AY290,IF($AX290=0,0,$AX290+1-1/1440)))</f>
      </c>
      <c r="AX290" s="234">
        <f>IF(OR($A290="",$B290&lt;&gt;"Định kỳ",N($I290)=0),0,IF($AL290="",$I290,IF($AJ290&gt;0,$I290+($AL290+1)*$AJ290,IF($AK290&gt;0,EDATE($I290,($AL290+1)*$AK290),$I290))))</f>
      </c>
      <c r="AY290" s="233">
        <f>IF(OR($A290="",$B290&lt;&gt;"Đột xuất"),0,IF(N($K290)&gt;0,IF(MOD($K290,1)=0,$K290+1-1/1440,$K290),IF(N($J290)=0,0,$J290+IF(N($AU290)&gt;0,$AU290,IFERROR(INDEX(DM_SLA_Gio,MATCH($L290,DM_SLA_Cap,0)),168))/24)))</f>
      </c>
      <c r="AZ290" s="225">
        <f>IF(OR($A290="",TRIM($N290)="",COUNTIF('Phản ánh'!$K$6:$K$505,$N290)&gt;0,COUNTIF($N$6:$N290,$N290)&gt;1),0,1)</f>
      </c>
      <c r="BA290" s="225">
        <f>IF($AZ290=1,SUM($AZ$6:$AZ290),"")</f>
      </c>
      <c r="BB290" s="225">
        <f>IF(OR($AO290=0,N($AW290)=0),0,IF(TDBC&lt;=$AW290,0,MAX(1,MIN(4,IF((TDBC-$AW290)*24&lt;24,1,IF((TDBC-$AW290)*24&lt;72,2,IF((TDBC-$AW290)*24&lt;168,3,4)))+IF($B290="Đột xuất",IFERROR(INDEX({2,1,0,-1},MATCH($L290,{"Khẩn cấp","Cao","Trung bình","Thấp"},0)),0),IF($D290="PCCC và an ninh",1,0))))))</f>
      </c>
    </row>
    <row r="291">
      <c r="A291" s="216"/>
      <c r="B291" s="216"/>
      <c r="C291" s="218"/>
      <c r="D291" s="218"/>
      <c r="E291" s="218"/>
      <c r="F291" s="216"/>
      <c r="G291" s="218"/>
      <c r="H291" s="218"/>
      <c r="I291" s="231"/>
      <c r="J291" s="217"/>
      <c r="K291" s="217"/>
      <c r="L291" s="216"/>
      <c r="M291" s="216"/>
      <c r="N291" s="218"/>
      <c r="O291" s="218"/>
      <c r="P291" s="218"/>
      <c r="Q291" s="218"/>
      <c r="R291" s="219"/>
      <c r="S291" s="216"/>
      <c r="T291" s="232"/>
      <c r="U291" s="232"/>
      <c r="V291" s="218"/>
      <c r="W291" s="218"/>
      <c r="X291" s="220">
        <f>IF($A291="","",IF(OR($B291="Định kỳ",$AA291="Hoàn thành"),MAX(_xlfn.MAXIFS('Nhật ký tiến độ'!$B$6:$B$3005,'Nhật ký tiến độ'!$C$6:$C$3005,$A291,'Nhật ký tiến độ'!$E$6:$E$3005,"Hoàn thành kỳ"),_xlfn.MAXIFS('Nhật ký tiến độ'!$B$6:$B$3005,'Nhật ký tiến độ'!$C$6:$C$3005,$A291,'Nhật ký tiến độ'!$E$6:$E$3005,"Hoàn thành")),0))</f>
      </c>
      <c r="Y291" s="220">
        <f>IF($A291="","",IF($B291="Đột xuất",IF($AY291=0,"",$AY291),IF($AX291=0,"",$AX291)))</f>
      </c>
      <c r="Z291" s="223">
        <f>IF(OR($AO291=0,$AW291=0),"",IF(TDBC&gt;$AW291,"Quá "&amp;IF($B291="Định kỳ",(NgayBC-$AP291)&amp;" ngày",IF(((TDBC-$AW291)*24)&lt;1,MAX(1,ROUND(((TDBC-$AW291)*24)*60,0))&amp;" phút",IF(ROUND(((TDBC-$AW291)*24),0)&lt;24,ROUND(((TDBC-$AW291)*24),0)&amp;" giờ",INT(ROUND(((TDBC-$AW291)*24),0)/24)&amp;" ngày"&amp;IF(MOD(ROUND(((TDBC-$AW291)*24),0),24)&gt;0," "&amp;MOD(ROUND(((TDBC-$AW291)*24),0),24)&amp;" giờ","")))),IF($B291="Định kỳ",IF($AP291=NgayBC,"Hôm nay","Còn "&amp;($AP291-NgayBC)&amp;" ngày"),"Còn "&amp;IF((($AW291-TDBC)*24)&lt;1,MAX(1,ROUND((($AW291-TDBC)*24)*60,0))&amp;" phút",IF(ROUND((($AW291-TDBC)*24),0)&lt;24,ROUND((($AW291-TDBC)*24),0)&amp;" giờ",INT(ROUND((($AW291-TDBC)*24),0)/24)&amp;" ngày"&amp;IF(MOD(ROUND((($AW291-TDBC)*24),0),24)&gt;0," "&amp;MOD(ROUND((($AW291-TDBC)*24),0),24)&amp;" giờ",""))))))</f>
      </c>
      <c r="AA291" s="221">
        <f>IF($A291="","",IF(N($AM291)=0,"Chưa bắt đầu",IF(OR($AN291="Hoàn thành kỳ",$AN291="Hoàn thành"),IF($B291="Định kỳ","Chưa bắt đầu","Hoàn thành"),$AN291)))</f>
      </c>
      <c r="AB291" s="222">
        <f>IF($A291="","",IF($AA291="Hoàn thành",1,IF(OR(N($AM291)=0,$AN291="Hoàn thành kỳ",$AN291="Hoàn thành"),0,N(INDEX('Nhật ký tiến độ'!$D:$D,$AM291)))))</f>
      </c>
      <c r="AC291" s="222">
        <f>IF(OR($A291="",$B291&lt;&gt;"Đột xuất",$AA291="Hoàn thành",N($J291)=0,$AW291=0),"",IF(TDBC&lt;=$J291,0,IF(TDBC&gt;=$AW291,1,(TDBC-$J291)/($AW291-$J291))))</f>
      </c>
      <c r="AD291" s="223">
        <f>IF($A291="","",IF($AA291="Hoàn thành","Hoàn thành",IF($AW291=0,"Chưa đặt hạn",IF(TDBC&gt;$AW291,"Quá hạn",IF(AND($B291="Đột xuất",ROUND((N($AC291)-$AB291)*100,0)&gt;=20),"Chậm tiến độ",IF($AP291=NgayBC,"Đến hạn hôm nay",IF($B291="Đột xuất",IF($AW291-TDBC&lt;=1,"Sắp đến hạn","Đúng tiến độ"),IF($AP291-NgayBC&lt;=3,"Sắp đến hạn","Theo lịch"))))))))</f>
      </c>
      <c r="AE291" s="223">
        <f>IF($AV291="","",IF($B291="Định kỳ","Bình quân "&amp;IF($AV291&lt;1,MAX(1,ROUND($AV291*60,0))&amp;" phút",IF(ROUND($AV291,0)&lt;24,ROUND($AV291,0)&amp;" giờ",INT(ROUND($AV291,0)/24)&amp;" ngày"&amp;IF(MOD(ROUND($AV291,0),24)&gt;0," "&amp;MOD(ROUND($AV291,0),24)&amp;" giờ","")))&amp;" mỗi kỳ",IF($AV291&lt;1,MAX(1,ROUND($AV291*60,0))&amp;" phút",IF(ROUND($AV291,0)&lt;24,ROUND($AV291,0)&amp;" giờ",INT(ROUND($AV291,0)/24)&amp;" ngày"&amp;IF(MOD(ROUND($AV291,0),24)&gt;0," "&amp;MOD(ROUND($AV291,0),24)&amp;" giờ","")))))</f>
      </c>
      <c r="AF291" s="223">
        <f>IF(OR($A291="",N($AU291)=0),"",IF($AV291&lt;&gt;"",IF($AV291&lt;=$AU291,"Trong ước tính","Vượt "&amp;IF(($AV291-$AU291)&lt;1,MAX(1,ROUND(($AV291-$AU291)*60,0))&amp;" phút",IF(ROUND(($AV291-$AU291),0)&lt;24,ROUND(($AV291-$AU291),0)&amp;" giờ",INT(ROUND(($AV291-$AU291),0)/24)&amp;" ngày"&amp;IF(MOD(ROUND(($AV291-$AU291),0),24)&gt;0," "&amp;MOD(ROUND(($AV291-$AU291),0),24)&amp;" giờ","")))),IF(OR($B291&lt;&gt;"Đột xuất",$AA291="Hoàn thành",N($J291)=0),"",IF((TDBC-$J291)*24&gt;$AU291,"Đã vượt ước tính","Đã dùng "&amp;TEXT((TDBC-$J291)*24/$AU291,"0%")))))</f>
      </c>
      <c r="AG291" s="223">
        <f>IF(N($BB291)=0,"",CHOOSE($BB291,"Nhắc nhở","Cảnh báo","Báo động","Báo động đỏ"))</f>
      </c>
      <c r="AH291" s="223">
        <f>IF(OR($B291&lt;&gt;"Đột xuất",$AA291&lt;&gt;"Hoàn thành",N($X291)=0,$AW291=0),"",IF($X291&lt;=$AW291,"Đúng hạn","Trễ hạn"))</f>
      </c>
      <c r="AI291" s="220">
        <f>IF($A291="","",_xlfn.MAXIFS('Nhật ký tiến độ'!$B$6:$B$3005,'Nhật ký tiến độ'!$C$6:$C$3005,$A291))</f>
      </c>
      <c r="AJ291" s="225">
        <f>IF(OR($A291="",$B291&lt;&gt;"Định kỳ"),0,IFERROR(INDEX(DM_TanSuatNgay,MATCH($H291,DM_TanSuat,0)),0))</f>
      </c>
      <c r="AK291" s="225">
        <f>IF(OR($A291="",$B291&lt;&gt;"Định kỳ"),0,IFERROR(INDEX(DM_TanSuatThang,MATCH($H291,DM_TanSuat,0)),0))</f>
      </c>
      <c r="AL291" s="225">
        <f>IF(OR($A291="",$B291&lt;&gt;"Định kỳ",N($X291)=0,N($I291)=0),"",IF(INT($X291)&lt;$I291,0,IF($AJ291&gt;0,ROUND((INT($X291)-$I291)/$AJ291,0),IF($AK291&gt;0,ROUND((DATEDIF($I291,INT($X291),"m")+(INT($X291)-EDATE($I291,DATEDIF($I291,INT($X291),"m")))/(EDATE($I291,DATEDIF($I291,INT($X291),"m")+1)-EDATE($I291,DATEDIF($I291,INT($X291),"m"))))/$AK291,0),0))))</f>
      </c>
      <c r="AM291" s="225">
        <f>IF($A291="","",IF(COUNTIF('Nhật ký tiến độ'!$C$6:$C$3005,$A291)=0,0,_xlfn.MAXIFS('Nhật ký tiến độ'!$N$6:$N$3005,'Nhật ký tiến độ'!$C$6:$C$3005,$A291,'Nhật ký tiến độ'!$B$6:$B$3005,_xlfn.MAXIFS('Nhật ký tiến độ'!$B$6:$B$3005,'Nhật ký tiến độ'!$C$6:$C$3005,$A291))))</f>
      </c>
      <c r="AN291" s="225">
        <f>IF($A291="","",IF(N($AM291)=0,"",INDEX('Nhật ký tiến độ'!$E:$E,$AM291)))</f>
      </c>
      <c r="AO291" s="225">
        <f>IF($A291="",0,IF($AA291="Hoàn thành",0,1))</f>
      </c>
      <c r="AP291" s="225">
        <f>IF($AO291=0,0,INT(N($AW291)))</f>
      </c>
      <c r="AQ291" s="225">
        <f>IF(AND($AO291=1,$AJ291&gt;1),$AJ291,0)</f>
      </c>
      <c r="AR291" s="225">
        <f>IF(AND($AO291=1,$AJ291=1),1,0)</f>
      </c>
      <c r="AS291" s="225">
        <f>IF(OR($AO291=0,AND($AR291=1,N($BB291)=0)),"",IF(N($BB291)&gt;0,5-$BB291,IF($AD291="Chậm tiến độ",6,IF($AD291="Đến hạn hôm nay",7,IF(AND($AP291&gt;0,$AP291-NgayBC&lt;=7),8,"")))))</f>
      </c>
      <c r="AT291" s="225">
        <f>IF($AS291="","",$AS291*100000+$AP291+ROW()/100000)</f>
      </c>
      <c r="AU291" s="224">
        <f>IF(OR($A291="",N($R291)&lt;=0),"",IF($S291="Ngày",$R291*24,$R291))</f>
      </c>
      <c r="AV291" s="224">
        <f>IF($A291="","",IF($B291="Đột xuất",IF(OR($AA291&lt;&gt;"Hoàn thành",N($X291)=0,N($J291)=0),"",IF($X291&lt;$J291,"",($X291-$J291)*24)),IFERROR(AVERAGEIFS('Nhật ký tiến độ'!$H$6:$H$3005,'Nhật ký tiến độ'!$C$6:$C$3005,$A291,'Nhật ký tiến độ'!$H$6:$H$3005,"&gt;0"),"")))</f>
      </c>
      <c r="AW291" s="233">
        <f>IF($A291="",0,IF($B291="Đột xuất",$AY291,IF($AX291=0,0,$AX291+1-1/1440)))</f>
      </c>
      <c r="AX291" s="234">
        <f>IF(OR($A291="",$B291&lt;&gt;"Định kỳ",N($I291)=0),0,IF($AL291="",$I291,IF($AJ291&gt;0,$I291+($AL291+1)*$AJ291,IF($AK291&gt;0,EDATE($I291,($AL291+1)*$AK291),$I291))))</f>
      </c>
      <c r="AY291" s="233">
        <f>IF(OR($A291="",$B291&lt;&gt;"Đột xuất"),0,IF(N($K291)&gt;0,IF(MOD($K291,1)=0,$K291+1-1/1440,$K291),IF(N($J291)=0,0,$J291+IF(N($AU291)&gt;0,$AU291,IFERROR(INDEX(DM_SLA_Gio,MATCH($L291,DM_SLA_Cap,0)),168))/24)))</f>
      </c>
      <c r="AZ291" s="225">
        <f>IF(OR($A291="",TRIM($N291)="",COUNTIF('Phản ánh'!$K$6:$K$505,$N291)&gt;0,COUNTIF($N$6:$N291,$N291)&gt;1),0,1)</f>
      </c>
      <c r="BA291" s="225">
        <f>IF($AZ291=1,SUM($AZ$6:$AZ291),"")</f>
      </c>
      <c r="BB291" s="225">
        <f>IF(OR($AO291=0,N($AW291)=0),0,IF(TDBC&lt;=$AW291,0,MAX(1,MIN(4,IF((TDBC-$AW291)*24&lt;24,1,IF((TDBC-$AW291)*24&lt;72,2,IF((TDBC-$AW291)*24&lt;168,3,4)))+IF($B291="Đột xuất",IFERROR(INDEX({2,1,0,-1},MATCH($L291,{"Khẩn cấp","Cao","Trung bình","Thấp"},0)),0),IF($D291="PCCC và an ninh",1,0))))))</f>
      </c>
    </row>
    <row r="292">
      <c r="A292" s="216"/>
      <c r="B292" s="216"/>
      <c r="C292" s="218"/>
      <c r="D292" s="218"/>
      <c r="E292" s="218"/>
      <c r="F292" s="216"/>
      <c r="G292" s="218"/>
      <c r="H292" s="218"/>
      <c r="I292" s="231"/>
      <c r="J292" s="217"/>
      <c r="K292" s="217"/>
      <c r="L292" s="216"/>
      <c r="M292" s="216"/>
      <c r="N292" s="218"/>
      <c r="O292" s="218"/>
      <c r="P292" s="218"/>
      <c r="Q292" s="218"/>
      <c r="R292" s="219"/>
      <c r="S292" s="216"/>
      <c r="T292" s="232"/>
      <c r="U292" s="232"/>
      <c r="V292" s="218"/>
      <c r="W292" s="218"/>
      <c r="X292" s="220">
        <f>IF($A292="","",IF(OR($B292="Định kỳ",$AA292="Hoàn thành"),MAX(_xlfn.MAXIFS('Nhật ký tiến độ'!$B$6:$B$3005,'Nhật ký tiến độ'!$C$6:$C$3005,$A292,'Nhật ký tiến độ'!$E$6:$E$3005,"Hoàn thành kỳ"),_xlfn.MAXIFS('Nhật ký tiến độ'!$B$6:$B$3005,'Nhật ký tiến độ'!$C$6:$C$3005,$A292,'Nhật ký tiến độ'!$E$6:$E$3005,"Hoàn thành")),0))</f>
      </c>
      <c r="Y292" s="220">
        <f>IF($A292="","",IF($B292="Đột xuất",IF($AY292=0,"",$AY292),IF($AX292=0,"",$AX292)))</f>
      </c>
      <c r="Z292" s="223">
        <f>IF(OR($AO292=0,$AW292=0),"",IF(TDBC&gt;$AW292,"Quá "&amp;IF($B292="Định kỳ",(NgayBC-$AP292)&amp;" ngày",IF(((TDBC-$AW292)*24)&lt;1,MAX(1,ROUND(((TDBC-$AW292)*24)*60,0))&amp;" phút",IF(ROUND(((TDBC-$AW292)*24),0)&lt;24,ROUND(((TDBC-$AW292)*24),0)&amp;" giờ",INT(ROUND(((TDBC-$AW292)*24),0)/24)&amp;" ngày"&amp;IF(MOD(ROUND(((TDBC-$AW292)*24),0),24)&gt;0," "&amp;MOD(ROUND(((TDBC-$AW292)*24),0),24)&amp;" giờ","")))),IF($B292="Định kỳ",IF($AP292=NgayBC,"Hôm nay","Còn "&amp;($AP292-NgayBC)&amp;" ngày"),"Còn "&amp;IF((($AW292-TDBC)*24)&lt;1,MAX(1,ROUND((($AW292-TDBC)*24)*60,0))&amp;" phút",IF(ROUND((($AW292-TDBC)*24),0)&lt;24,ROUND((($AW292-TDBC)*24),0)&amp;" giờ",INT(ROUND((($AW292-TDBC)*24),0)/24)&amp;" ngày"&amp;IF(MOD(ROUND((($AW292-TDBC)*24),0),24)&gt;0," "&amp;MOD(ROUND((($AW292-TDBC)*24),0),24)&amp;" giờ",""))))))</f>
      </c>
      <c r="AA292" s="221">
        <f>IF($A292="","",IF(N($AM292)=0,"Chưa bắt đầu",IF(OR($AN292="Hoàn thành kỳ",$AN292="Hoàn thành"),IF($B292="Định kỳ","Chưa bắt đầu","Hoàn thành"),$AN292)))</f>
      </c>
      <c r="AB292" s="222">
        <f>IF($A292="","",IF($AA292="Hoàn thành",1,IF(OR(N($AM292)=0,$AN292="Hoàn thành kỳ",$AN292="Hoàn thành"),0,N(INDEX('Nhật ký tiến độ'!$D:$D,$AM292)))))</f>
      </c>
      <c r="AC292" s="222">
        <f>IF(OR($A292="",$B292&lt;&gt;"Đột xuất",$AA292="Hoàn thành",N($J292)=0,$AW292=0),"",IF(TDBC&lt;=$J292,0,IF(TDBC&gt;=$AW292,1,(TDBC-$J292)/($AW292-$J292))))</f>
      </c>
      <c r="AD292" s="223">
        <f>IF($A292="","",IF($AA292="Hoàn thành","Hoàn thành",IF($AW292=0,"Chưa đặt hạn",IF(TDBC&gt;$AW292,"Quá hạn",IF(AND($B292="Đột xuất",ROUND((N($AC292)-$AB292)*100,0)&gt;=20),"Chậm tiến độ",IF($AP292=NgayBC,"Đến hạn hôm nay",IF($B292="Đột xuất",IF($AW292-TDBC&lt;=1,"Sắp đến hạn","Đúng tiến độ"),IF($AP292-NgayBC&lt;=3,"Sắp đến hạn","Theo lịch"))))))))</f>
      </c>
      <c r="AE292" s="223">
        <f>IF($AV292="","",IF($B292="Định kỳ","Bình quân "&amp;IF($AV292&lt;1,MAX(1,ROUND($AV292*60,0))&amp;" phút",IF(ROUND($AV292,0)&lt;24,ROUND($AV292,0)&amp;" giờ",INT(ROUND($AV292,0)/24)&amp;" ngày"&amp;IF(MOD(ROUND($AV292,0),24)&gt;0," "&amp;MOD(ROUND($AV292,0),24)&amp;" giờ","")))&amp;" mỗi kỳ",IF($AV292&lt;1,MAX(1,ROUND($AV292*60,0))&amp;" phút",IF(ROUND($AV292,0)&lt;24,ROUND($AV292,0)&amp;" giờ",INT(ROUND($AV292,0)/24)&amp;" ngày"&amp;IF(MOD(ROUND($AV292,0),24)&gt;0," "&amp;MOD(ROUND($AV292,0),24)&amp;" giờ","")))))</f>
      </c>
      <c r="AF292" s="223">
        <f>IF(OR($A292="",N($AU292)=0),"",IF($AV292&lt;&gt;"",IF($AV292&lt;=$AU292,"Trong ước tính","Vượt "&amp;IF(($AV292-$AU292)&lt;1,MAX(1,ROUND(($AV292-$AU292)*60,0))&amp;" phút",IF(ROUND(($AV292-$AU292),0)&lt;24,ROUND(($AV292-$AU292),0)&amp;" giờ",INT(ROUND(($AV292-$AU292),0)/24)&amp;" ngày"&amp;IF(MOD(ROUND(($AV292-$AU292),0),24)&gt;0," "&amp;MOD(ROUND(($AV292-$AU292),0),24)&amp;" giờ","")))),IF(OR($B292&lt;&gt;"Đột xuất",$AA292="Hoàn thành",N($J292)=0),"",IF((TDBC-$J292)*24&gt;$AU292,"Đã vượt ước tính","Đã dùng "&amp;TEXT((TDBC-$J292)*24/$AU292,"0%")))))</f>
      </c>
      <c r="AG292" s="223">
        <f>IF(N($BB292)=0,"",CHOOSE($BB292,"Nhắc nhở","Cảnh báo","Báo động","Báo động đỏ"))</f>
      </c>
      <c r="AH292" s="223">
        <f>IF(OR($B292&lt;&gt;"Đột xuất",$AA292&lt;&gt;"Hoàn thành",N($X292)=0,$AW292=0),"",IF($X292&lt;=$AW292,"Đúng hạn","Trễ hạn"))</f>
      </c>
      <c r="AI292" s="220">
        <f>IF($A292="","",_xlfn.MAXIFS('Nhật ký tiến độ'!$B$6:$B$3005,'Nhật ký tiến độ'!$C$6:$C$3005,$A292))</f>
      </c>
      <c r="AJ292" s="225">
        <f>IF(OR($A292="",$B292&lt;&gt;"Định kỳ"),0,IFERROR(INDEX(DM_TanSuatNgay,MATCH($H292,DM_TanSuat,0)),0))</f>
      </c>
      <c r="AK292" s="225">
        <f>IF(OR($A292="",$B292&lt;&gt;"Định kỳ"),0,IFERROR(INDEX(DM_TanSuatThang,MATCH($H292,DM_TanSuat,0)),0))</f>
      </c>
      <c r="AL292" s="225">
        <f>IF(OR($A292="",$B292&lt;&gt;"Định kỳ",N($X292)=0,N($I292)=0),"",IF(INT($X292)&lt;$I292,0,IF($AJ292&gt;0,ROUND((INT($X292)-$I292)/$AJ292,0),IF($AK292&gt;0,ROUND((DATEDIF($I292,INT($X292),"m")+(INT($X292)-EDATE($I292,DATEDIF($I292,INT($X292),"m")))/(EDATE($I292,DATEDIF($I292,INT($X292),"m")+1)-EDATE($I292,DATEDIF($I292,INT($X292),"m"))))/$AK292,0),0))))</f>
      </c>
      <c r="AM292" s="225">
        <f>IF($A292="","",IF(COUNTIF('Nhật ký tiến độ'!$C$6:$C$3005,$A292)=0,0,_xlfn.MAXIFS('Nhật ký tiến độ'!$N$6:$N$3005,'Nhật ký tiến độ'!$C$6:$C$3005,$A292,'Nhật ký tiến độ'!$B$6:$B$3005,_xlfn.MAXIFS('Nhật ký tiến độ'!$B$6:$B$3005,'Nhật ký tiến độ'!$C$6:$C$3005,$A292))))</f>
      </c>
      <c r="AN292" s="225">
        <f>IF($A292="","",IF(N($AM292)=0,"",INDEX('Nhật ký tiến độ'!$E:$E,$AM292)))</f>
      </c>
      <c r="AO292" s="225">
        <f>IF($A292="",0,IF($AA292="Hoàn thành",0,1))</f>
      </c>
      <c r="AP292" s="225">
        <f>IF($AO292=0,0,INT(N($AW292)))</f>
      </c>
      <c r="AQ292" s="225">
        <f>IF(AND($AO292=1,$AJ292&gt;1),$AJ292,0)</f>
      </c>
      <c r="AR292" s="225">
        <f>IF(AND($AO292=1,$AJ292=1),1,0)</f>
      </c>
      <c r="AS292" s="225">
        <f>IF(OR($AO292=0,AND($AR292=1,N($BB292)=0)),"",IF(N($BB292)&gt;0,5-$BB292,IF($AD292="Chậm tiến độ",6,IF($AD292="Đến hạn hôm nay",7,IF(AND($AP292&gt;0,$AP292-NgayBC&lt;=7),8,"")))))</f>
      </c>
      <c r="AT292" s="225">
        <f>IF($AS292="","",$AS292*100000+$AP292+ROW()/100000)</f>
      </c>
      <c r="AU292" s="224">
        <f>IF(OR($A292="",N($R292)&lt;=0),"",IF($S292="Ngày",$R292*24,$R292))</f>
      </c>
      <c r="AV292" s="224">
        <f>IF($A292="","",IF($B292="Đột xuất",IF(OR($AA292&lt;&gt;"Hoàn thành",N($X292)=0,N($J292)=0),"",IF($X292&lt;$J292,"",($X292-$J292)*24)),IFERROR(AVERAGEIFS('Nhật ký tiến độ'!$H$6:$H$3005,'Nhật ký tiến độ'!$C$6:$C$3005,$A292,'Nhật ký tiến độ'!$H$6:$H$3005,"&gt;0"),"")))</f>
      </c>
      <c r="AW292" s="233">
        <f>IF($A292="",0,IF($B292="Đột xuất",$AY292,IF($AX292=0,0,$AX292+1-1/1440)))</f>
      </c>
      <c r="AX292" s="234">
        <f>IF(OR($A292="",$B292&lt;&gt;"Định kỳ",N($I292)=0),0,IF($AL292="",$I292,IF($AJ292&gt;0,$I292+($AL292+1)*$AJ292,IF($AK292&gt;0,EDATE($I292,($AL292+1)*$AK292),$I292))))</f>
      </c>
      <c r="AY292" s="233">
        <f>IF(OR($A292="",$B292&lt;&gt;"Đột xuất"),0,IF(N($K292)&gt;0,IF(MOD($K292,1)=0,$K292+1-1/1440,$K292),IF(N($J292)=0,0,$J292+IF(N($AU292)&gt;0,$AU292,IFERROR(INDEX(DM_SLA_Gio,MATCH($L292,DM_SLA_Cap,0)),168))/24)))</f>
      </c>
      <c r="AZ292" s="225">
        <f>IF(OR($A292="",TRIM($N292)="",COUNTIF('Phản ánh'!$K$6:$K$505,$N292)&gt;0,COUNTIF($N$6:$N292,$N292)&gt;1),0,1)</f>
      </c>
      <c r="BA292" s="225">
        <f>IF($AZ292=1,SUM($AZ$6:$AZ292),"")</f>
      </c>
      <c r="BB292" s="225">
        <f>IF(OR($AO292=0,N($AW292)=0),0,IF(TDBC&lt;=$AW292,0,MAX(1,MIN(4,IF((TDBC-$AW292)*24&lt;24,1,IF((TDBC-$AW292)*24&lt;72,2,IF((TDBC-$AW292)*24&lt;168,3,4)))+IF($B292="Đột xuất",IFERROR(INDEX({2,1,0,-1},MATCH($L292,{"Khẩn cấp","Cao","Trung bình","Thấp"},0)),0),IF($D292="PCCC và an ninh",1,0))))))</f>
      </c>
    </row>
    <row r="293">
      <c r="A293" s="216"/>
      <c r="B293" s="216"/>
      <c r="C293" s="218"/>
      <c r="D293" s="218"/>
      <c r="E293" s="218"/>
      <c r="F293" s="216"/>
      <c r="G293" s="218"/>
      <c r="H293" s="218"/>
      <c r="I293" s="231"/>
      <c r="J293" s="217"/>
      <c r="K293" s="217"/>
      <c r="L293" s="216"/>
      <c r="M293" s="216"/>
      <c r="N293" s="218"/>
      <c r="O293" s="218"/>
      <c r="P293" s="218"/>
      <c r="Q293" s="218"/>
      <c r="R293" s="219"/>
      <c r="S293" s="216"/>
      <c r="T293" s="232"/>
      <c r="U293" s="232"/>
      <c r="V293" s="218"/>
      <c r="W293" s="218"/>
      <c r="X293" s="220">
        <f>IF($A293="","",IF(OR($B293="Định kỳ",$AA293="Hoàn thành"),MAX(_xlfn.MAXIFS('Nhật ký tiến độ'!$B$6:$B$3005,'Nhật ký tiến độ'!$C$6:$C$3005,$A293,'Nhật ký tiến độ'!$E$6:$E$3005,"Hoàn thành kỳ"),_xlfn.MAXIFS('Nhật ký tiến độ'!$B$6:$B$3005,'Nhật ký tiến độ'!$C$6:$C$3005,$A293,'Nhật ký tiến độ'!$E$6:$E$3005,"Hoàn thành")),0))</f>
      </c>
      <c r="Y293" s="220">
        <f>IF($A293="","",IF($B293="Đột xuất",IF($AY293=0,"",$AY293),IF($AX293=0,"",$AX293)))</f>
      </c>
      <c r="Z293" s="223">
        <f>IF(OR($AO293=0,$AW293=0),"",IF(TDBC&gt;$AW293,"Quá "&amp;IF($B293="Định kỳ",(NgayBC-$AP293)&amp;" ngày",IF(((TDBC-$AW293)*24)&lt;1,MAX(1,ROUND(((TDBC-$AW293)*24)*60,0))&amp;" phút",IF(ROUND(((TDBC-$AW293)*24),0)&lt;24,ROUND(((TDBC-$AW293)*24),0)&amp;" giờ",INT(ROUND(((TDBC-$AW293)*24),0)/24)&amp;" ngày"&amp;IF(MOD(ROUND(((TDBC-$AW293)*24),0),24)&gt;0," "&amp;MOD(ROUND(((TDBC-$AW293)*24),0),24)&amp;" giờ","")))),IF($B293="Định kỳ",IF($AP293=NgayBC,"Hôm nay","Còn "&amp;($AP293-NgayBC)&amp;" ngày"),"Còn "&amp;IF((($AW293-TDBC)*24)&lt;1,MAX(1,ROUND((($AW293-TDBC)*24)*60,0))&amp;" phút",IF(ROUND((($AW293-TDBC)*24),0)&lt;24,ROUND((($AW293-TDBC)*24),0)&amp;" giờ",INT(ROUND((($AW293-TDBC)*24),0)/24)&amp;" ngày"&amp;IF(MOD(ROUND((($AW293-TDBC)*24),0),24)&gt;0," "&amp;MOD(ROUND((($AW293-TDBC)*24),0),24)&amp;" giờ",""))))))</f>
      </c>
      <c r="AA293" s="221">
        <f>IF($A293="","",IF(N($AM293)=0,"Chưa bắt đầu",IF(OR($AN293="Hoàn thành kỳ",$AN293="Hoàn thành"),IF($B293="Định kỳ","Chưa bắt đầu","Hoàn thành"),$AN293)))</f>
      </c>
      <c r="AB293" s="222">
        <f>IF($A293="","",IF($AA293="Hoàn thành",1,IF(OR(N($AM293)=0,$AN293="Hoàn thành kỳ",$AN293="Hoàn thành"),0,N(INDEX('Nhật ký tiến độ'!$D:$D,$AM293)))))</f>
      </c>
      <c r="AC293" s="222">
        <f>IF(OR($A293="",$B293&lt;&gt;"Đột xuất",$AA293="Hoàn thành",N($J293)=0,$AW293=0),"",IF(TDBC&lt;=$J293,0,IF(TDBC&gt;=$AW293,1,(TDBC-$J293)/($AW293-$J293))))</f>
      </c>
      <c r="AD293" s="223">
        <f>IF($A293="","",IF($AA293="Hoàn thành","Hoàn thành",IF($AW293=0,"Chưa đặt hạn",IF(TDBC&gt;$AW293,"Quá hạn",IF(AND($B293="Đột xuất",ROUND((N($AC293)-$AB293)*100,0)&gt;=20),"Chậm tiến độ",IF($AP293=NgayBC,"Đến hạn hôm nay",IF($B293="Đột xuất",IF($AW293-TDBC&lt;=1,"Sắp đến hạn","Đúng tiến độ"),IF($AP293-NgayBC&lt;=3,"Sắp đến hạn","Theo lịch"))))))))</f>
      </c>
      <c r="AE293" s="223">
        <f>IF($AV293="","",IF($B293="Định kỳ","Bình quân "&amp;IF($AV293&lt;1,MAX(1,ROUND($AV293*60,0))&amp;" phút",IF(ROUND($AV293,0)&lt;24,ROUND($AV293,0)&amp;" giờ",INT(ROUND($AV293,0)/24)&amp;" ngày"&amp;IF(MOD(ROUND($AV293,0),24)&gt;0," "&amp;MOD(ROUND($AV293,0),24)&amp;" giờ","")))&amp;" mỗi kỳ",IF($AV293&lt;1,MAX(1,ROUND($AV293*60,0))&amp;" phút",IF(ROUND($AV293,0)&lt;24,ROUND($AV293,0)&amp;" giờ",INT(ROUND($AV293,0)/24)&amp;" ngày"&amp;IF(MOD(ROUND($AV293,0),24)&gt;0," "&amp;MOD(ROUND($AV293,0),24)&amp;" giờ","")))))</f>
      </c>
      <c r="AF293" s="223">
        <f>IF(OR($A293="",N($AU293)=0),"",IF($AV293&lt;&gt;"",IF($AV293&lt;=$AU293,"Trong ước tính","Vượt "&amp;IF(($AV293-$AU293)&lt;1,MAX(1,ROUND(($AV293-$AU293)*60,0))&amp;" phút",IF(ROUND(($AV293-$AU293),0)&lt;24,ROUND(($AV293-$AU293),0)&amp;" giờ",INT(ROUND(($AV293-$AU293),0)/24)&amp;" ngày"&amp;IF(MOD(ROUND(($AV293-$AU293),0),24)&gt;0," "&amp;MOD(ROUND(($AV293-$AU293),0),24)&amp;" giờ","")))),IF(OR($B293&lt;&gt;"Đột xuất",$AA293="Hoàn thành",N($J293)=0),"",IF((TDBC-$J293)*24&gt;$AU293,"Đã vượt ước tính","Đã dùng "&amp;TEXT((TDBC-$J293)*24/$AU293,"0%")))))</f>
      </c>
      <c r="AG293" s="223">
        <f>IF(N($BB293)=0,"",CHOOSE($BB293,"Nhắc nhở","Cảnh báo","Báo động","Báo động đỏ"))</f>
      </c>
      <c r="AH293" s="223">
        <f>IF(OR($B293&lt;&gt;"Đột xuất",$AA293&lt;&gt;"Hoàn thành",N($X293)=0,$AW293=0),"",IF($X293&lt;=$AW293,"Đúng hạn","Trễ hạn"))</f>
      </c>
      <c r="AI293" s="220">
        <f>IF($A293="","",_xlfn.MAXIFS('Nhật ký tiến độ'!$B$6:$B$3005,'Nhật ký tiến độ'!$C$6:$C$3005,$A293))</f>
      </c>
      <c r="AJ293" s="225">
        <f>IF(OR($A293="",$B293&lt;&gt;"Định kỳ"),0,IFERROR(INDEX(DM_TanSuatNgay,MATCH($H293,DM_TanSuat,0)),0))</f>
      </c>
      <c r="AK293" s="225">
        <f>IF(OR($A293="",$B293&lt;&gt;"Định kỳ"),0,IFERROR(INDEX(DM_TanSuatThang,MATCH($H293,DM_TanSuat,0)),0))</f>
      </c>
      <c r="AL293" s="225">
        <f>IF(OR($A293="",$B293&lt;&gt;"Định kỳ",N($X293)=0,N($I293)=0),"",IF(INT($X293)&lt;$I293,0,IF($AJ293&gt;0,ROUND((INT($X293)-$I293)/$AJ293,0),IF($AK293&gt;0,ROUND((DATEDIF($I293,INT($X293),"m")+(INT($X293)-EDATE($I293,DATEDIF($I293,INT($X293),"m")))/(EDATE($I293,DATEDIF($I293,INT($X293),"m")+1)-EDATE($I293,DATEDIF($I293,INT($X293),"m"))))/$AK293,0),0))))</f>
      </c>
      <c r="AM293" s="225">
        <f>IF($A293="","",IF(COUNTIF('Nhật ký tiến độ'!$C$6:$C$3005,$A293)=0,0,_xlfn.MAXIFS('Nhật ký tiến độ'!$N$6:$N$3005,'Nhật ký tiến độ'!$C$6:$C$3005,$A293,'Nhật ký tiến độ'!$B$6:$B$3005,_xlfn.MAXIFS('Nhật ký tiến độ'!$B$6:$B$3005,'Nhật ký tiến độ'!$C$6:$C$3005,$A293))))</f>
      </c>
      <c r="AN293" s="225">
        <f>IF($A293="","",IF(N($AM293)=0,"",INDEX('Nhật ký tiến độ'!$E:$E,$AM293)))</f>
      </c>
      <c r="AO293" s="225">
        <f>IF($A293="",0,IF($AA293="Hoàn thành",0,1))</f>
      </c>
      <c r="AP293" s="225">
        <f>IF($AO293=0,0,INT(N($AW293)))</f>
      </c>
      <c r="AQ293" s="225">
        <f>IF(AND($AO293=1,$AJ293&gt;1),$AJ293,0)</f>
      </c>
      <c r="AR293" s="225">
        <f>IF(AND($AO293=1,$AJ293=1),1,0)</f>
      </c>
      <c r="AS293" s="225">
        <f>IF(OR($AO293=0,AND($AR293=1,N($BB293)=0)),"",IF(N($BB293)&gt;0,5-$BB293,IF($AD293="Chậm tiến độ",6,IF($AD293="Đến hạn hôm nay",7,IF(AND($AP293&gt;0,$AP293-NgayBC&lt;=7),8,"")))))</f>
      </c>
      <c r="AT293" s="225">
        <f>IF($AS293="","",$AS293*100000+$AP293+ROW()/100000)</f>
      </c>
      <c r="AU293" s="224">
        <f>IF(OR($A293="",N($R293)&lt;=0),"",IF($S293="Ngày",$R293*24,$R293))</f>
      </c>
      <c r="AV293" s="224">
        <f>IF($A293="","",IF($B293="Đột xuất",IF(OR($AA293&lt;&gt;"Hoàn thành",N($X293)=0,N($J293)=0),"",IF($X293&lt;$J293,"",($X293-$J293)*24)),IFERROR(AVERAGEIFS('Nhật ký tiến độ'!$H$6:$H$3005,'Nhật ký tiến độ'!$C$6:$C$3005,$A293,'Nhật ký tiến độ'!$H$6:$H$3005,"&gt;0"),"")))</f>
      </c>
      <c r="AW293" s="233">
        <f>IF($A293="",0,IF($B293="Đột xuất",$AY293,IF($AX293=0,0,$AX293+1-1/1440)))</f>
      </c>
      <c r="AX293" s="234">
        <f>IF(OR($A293="",$B293&lt;&gt;"Định kỳ",N($I293)=0),0,IF($AL293="",$I293,IF($AJ293&gt;0,$I293+($AL293+1)*$AJ293,IF($AK293&gt;0,EDATE($I293,($AL293+1)*$AK293),$I293))))</f>
      </c>
      <c r="AY293" s="233">
        <f>IF(OR($A293="",$B293&lt;&gt;"Đột xuất"),0,IF(N($K293)&gt;0,IF(MOD($K293,1)=0,$K293+1-1/1440,$K293),IF(N($J293)=0,0,$J293+IF(N($AU293)&gt;0,$AU293,IFERROR(INDEX(DM_SLA_Gio,MATCH($L293,DM_SLA_Cap,0)),168))/24)))</f>
      </c>
      <c r="AZ293" s="225">
        <f>IF(OR($A293="",TRIM($N293)="",COUNTIF('Phản ánh'!$K$6:$K$505,$N293)&gt;0,COUNTIF($N$6:$N293,$N293)&gt;1),0,1)</f>
      </c>
      <c r="BA293" s="225">
        <f>IF($AZ293=1,SUM($AZ$6:$AZ293),"")</f>
      </c>
      <c r="BB293" s="225">
        <f>IF(OR($AO293=0,N($AW293)=0),0,IF(TDBC&lt;=$AW293,0,MAX(1,MIN(4,IF((TDBC-$AW293)*24&lt;24,1,IF((TDBC-$AW293)*24&lt;72,2,IF((TDBC-$AW293)*24&lt;168,3,4)))+IF($B293="Đột xuất",IFERROR(INDEX({2,1,0,-1},MATCH($L293,{"Khẩn cấp","Cao","Trung bình","Thấp"},0)),0),IF($D293="PCCC và an ninh",1,0))))))</f>
      </c>
    </row>
    <row r="294">
      <c r="A294" s="216"/>
      <c r="B294" s="216"/>
      <c r="C294" s="218"/>
      <c r="D294" s="218"/>
      <c r="E294" s="218"/>
      <c r="F294" s="216"/>
      <c r="G294" s="218"/>
      <c r="H294" s="218"/>
      <c r="I294" s="231"/>
      <c r="J294" s="217"/>
      <c r="K294" s="217"/>
      <c r="L294" s="216"/>
      <c r="M294" s="216"/>
      <c r="N294" s="218"/>
      <c r="O294" s="218"/>
      <c r="P294" s="218"/>
      <c r="Q294" s="218"/>
      <c r="R294" s="219"/>
      <c r="S294" s="216"/>
      <c r="T294" s="232"/>
      <c r="U294" s="232"/>
      <c r="V294" s="218"/>
      <c r="W294" s="218"/>
      <c r="X294" s="220">
        <f>IF($A294="","",IF(OR($B294="Định kỳ",$AA294="Hoàn thành"),MAX(_xlfn.MAXIFS('Nhật ký tiến độ'!$B$6:$B$3005,'Nhật ký tiến độ'!$C$6:$C$3005,$A294,'Nhật ký tiến độ'!$E$6:$E$3005,"Hoàn thành kỳ"),_xlfn.MAXIFS('Nhật ký tiến độ'!$B$6:$B$3005,'Nhật ký tiến độ'!$C$6:$C$3005,$A294,'Nhật ký tiến độ'!$E$6:$E$3005,"Hoàn thành")),0))</f>
      </c>
      <c r="Y294" s="220">
        <f>IF($A294="","",IF($B294="Đột xuất",IF($AY294=0,"",$AY294),IF($AX294=0,"",$AX294)))</f>
      </c>
      <c r="Z294" s="223">
        <f>IF(OR($AO294=0,$AW294=0),"",IF(TDBC&gt;$AW294,"Quá "&amp;IF($B294="Định kỳ",(NgayBC-$AP294)&amp;" ngày",IF(((TDBC-$AW294)*24)&lt;1,MAX(1,ROUND(((TDBC-$AW294)*24)*60,0))&amp;" phút",IF(ROUND(((TDBC-$AW294)*24),0)&lt;24,ROUND(((TDBC-$AW294)*24),0)&amp;" giờ",INT(ROUND(((TDBC-$AW294)*24),0)/24)&amp;" ngày"&amp;IF(MOD(ROUND(((TDBC-$AW294)*24),0),24)&gt;0," "&amp;MOD(ROUND(((TDBC-$AW294)*24),0),24)&amp;" giờ","")))),IF($B294="Định kỳ",IF($AP294=NgayBC,"Hôm nay","Còn "&amp;($AP294-NgayBC)&amp;" ngày"),"Còn "&amp;IF((($AW294-TDBC)*24)&lt;1,MAX(1,ROUND((($AW294-TDBC)*24)*60,0))&amp;" phút",IF(ROUND((($AW294-TDBC)*24),0)&lt;24,ROUND((($AW294-TDBC)*24),0)&amp;" giờ",INT(ROUND((($AW294-TDBC)*24),0)/24)&amp;" ngày"&amp;IF(MOD(ROUND((($AW294-TDBC)*24),0),24)&gt;0," "&amp;MOD(ROUND((($AW294-TDBC)*24),0),24)&amp;" giờ",""))))))</f>
      </c>
      <c r="AA294" s="221">
        <f>IF($A294="","",IF(N($AM294)=0,"Chưa bắt đầu",IF(OR($AN294="Hoàn thành kỳ",$AN294="Hoàn thành"),IF($B294="Định kỳ","Chưa bắt đầu","Hoàn thành"),$AN294)))</f>
      </c>
      <c r="AB294" s="222">
        <f>IF($A294="","",IF($AA294="Hoàn thành",1,IF(OR(N($AM294)=0,$AN294="Hoàn thành kỳ",$AN294="Hoàn thành"),0,N(INDEX('Nhật ký tiến độ'!$D:$D,$AM294)))))</f>
      </c>
      <c r="AC294" s="222">
        <f>IF(OR($A294="",$B294&lt;&gt;"Đột xuất",$AA294="Hoàn thành",N($J294)=0,$AW294=0),"",IF(TDBC&lt;=$J294,0,IF(TDBC&gt;=$AW294,1,(TDBC-$J294)/($AW294-$J294))))</f>
      </c>
      <c r="AD294" s="223">
        <f>IF($A294="","",IF($AA294="Hoàn thành","Hoàn thành",IF($AW294=0,"Chưa đặt hạn",IF(TDBC&gt;$AW294,"Quá hạn",IF(AND($B294="Đột xuất",ROUND((N($AC294)-$AB294)*100,0)&gt;=20),"Chậm tiến độ",IF($AP294=NgayBC,"Đến hạn hôm nay",IF($B294="Đột xuất",IF($AW294-TDBC&lt;=1,"Sắp đến hạn","Đúng tiến độ"),IF($AP294-NgayBC&lt;=3,"Sắp đến hạn","Theo lịch"))))))))</f>
      </c>
      <c r="AE294" s="223">
        <f>IF($AV294="","",IF($B294="Định kỳ","Bình quân "&amp;IF($AV294&lt;1,MAX(1,ROUND($AV294*60,0))&amp;" phút",IF(ROUND($AV294,0)&lt;24,ROUND($AV294,0)&amp;" giờ",INT(ROUND($AV294,0)/24)&amp;" ngày"&amp;IF(MOD(ROUND($AV294,0),24)&gt;0," "&amp;MOD(ROUND($AV294,0),24)&amp;" giờ","")))&amp;" mỗi kỳ",IF($AV294&lt;1,MAX(1,ROUND($AV294*60,0))&amp;" phút",IF(ROUND($AV294,0)&lt;24,ROUND($AV294,0)&amp;" giờ",INT(ROUND($AV294,0)/24)&amp;" ngày"&amp;IF(MOD(ROUND($AV294,0),24)&gt;0," "&amp;MOD(ROUND($AV294,0),24)&amp;" giờ","")))))</f>
      </c>
      <c r="AF294" s="223">
        <f>IF(OR($A294="",N($AU294)=0),"",IF($AV294&lt;&gt;"",IF($AV294&lt;=$AU294,"Trong ước tính","Vượt "&amp;IF(($AV294-$AU294)&lt;1,MAX(1,ROUND(($AV294-$AU294)*60,0))&amp;" phút",IF(ROUND(($AV294-$AU294),0)&lt;24,ROUND(($AV294-$AU294),0)&amp;" giờ",INT(ROUND(($AV294-$AU294),0)/24)&amp;" ngày"&amp;IF(MOD(ROUND(($AV294-$AU294),0),24)&gt;0," "&amp;MOD(ROUND(($AV294-$AU294),0),24)&amp;" giờ","")))),IF(OR($B294&lt;&gt;"Đột xuất",$AA294="Hoàn thành",N($J294)=0),"",IF((TDBC-$J294)*24&gt;$AU294,"Đã vượt ước tính","Đã dùng "&amp;TEXT((TDBC-$J294)*24/$AU294,"0%")))))</f>
      </c>
      <c r="AG294" s="223">
        <f>IF(N($BB294)=0,"",CHOOSE($BB294,"Nhắc nhở","Cảnh báo","Báo động","Báo động đỏ"))</f>
      </c>
      <c r="AH294" s="223">
        <f>IF(OR($B294&lt;&gt;"Đột xuất",$AA294&lt;&gt;"Hoàn thành",N($X294)=0,$AW294=0),"",IF($X294&lt;=$AW294,"Đúng hạn","Trễ hạn"))</f>
      </c>
      <c r="AI294" s="220">
        <f>IF($A294="","",_xlfn.MAXIFS('Nhật ký tiến độ'!$B$6:$B$3005,'Nhật ký tiến độ'!$C$6:$C$3005,$A294))</f>
      </c>
      <c r="AJ294" s="225">
        <f>IF(OR($A294="",$B294&lt;&gt;"Định kỳ"),0,IFERROR(INDEX(DM_TanSuatNgay,MATCH($H294,DM_TanSuat,0)),0))</f>
      </c>
      <c r="AK294" s="225">
        <f>IF(OR($A294="",$B294&lt;&gt;"Định kỳ"),0,IFERROR(INDEX(DM_TanSuatThang,MATCH($H294,DM_TanSuat,0)),0))</f>
      </c>
      <c r="AL294" s="225">
        <f>IF(OR($A294="",$B294&lt;&gt;"Định kỳ",N($X294)=0,N($I294)=0),"",IF(INT($X294)&lt;$I294,0,IF($AJ294&gt;0,ROUND((INT($X294)-$I294)/$AJ294,0),IF($AK294&gt;0,ROUND((DATEDIF($I294,INT($X294),"m")+(INT($X294)-EDATE($I294,DATEDIF($I294,INT($X294),"m")))/(EDATE($I294,DATEDIF($I294,INT($X294),"m")+1)-EDATE($I294,DATEDIF($I294,INT($X294),"m"))))/$AK294,0),0))))</f>
      </c>
      <c r="AM294" s="225">
        <f>IF($A294="","",IF(COUNTIF('Nhật ký tiến độ'!$C$6:$C$3005,$A294)=0,0,_xlfn.MAXIFS('Nhật ký tiến độ'!$N$6:$N$3005,'Nhật ký tiến độ'!$C$6:$C$3005,$A294,'Nhật ký tiến độ'!$B$6:$B$3005,_xlfn.MAXIFS('Nhật ký tiến độ'!$B$6:$B$3005,'Nhật ký tiến độ'!$C$6:$C$3005,$A294))))</f>
      </c>
      <c r="AN294" s="225">
        <f>IF($A294="","",IF(N($AM294)=0,"",INDEX('Nhật ký tiến độ'!$E:$E,$AM294)))</f>
      </c>
      <c r="AO294" s="225">
        <f>IF($A294="",0,IF($AA294="Hoàn thành",0,1))</f>
      </c>
      <c r="AP294" s="225">
        <f>IF($AO294=0,0,INT(N($AW294)))</f>
      </c>
      <c r="AQ294" s="225">
        <f>IF(AND($AO294=1,$AJ294&gt;1),$AJ294,0)</f>
      </c>
      <c r="AR294" s="225">
        <f>IF(AND($AO294=1,$AJ294=1),1,0)</f>
      </c>
      <c r="AS294" s="225">
        <f>IF(OR($AO294=0,AND($AR294=1,N($BB294)=0)),"",IF(N($BB294)&gt;0,5-$BB294,IF($AD294="Chậm tiến độ",6,IF($AD294="Đến hạn hôm nay",7,IF(AND($AP294&gt;0,$AP294-NgayBC&lt;=7),8,"")))))</f>
      </c>
      <c r="AT294" s="225">
        <f>IF($AS294="","",$AS294*100000+$AP294+ROW()/100000)</f>
      </c>
      <c r="AU294" s="224">
        <f>IF(OR($A294="",N($R294)&lt;=0),"",IF($S294="Ngày",$R294*24,$R294))</f>
      </c>
      <c r="AV294" s="224">
        <f>IF($A294="","",IF($B294="Đột xuất",IF(OR($AA294&lt;&gt;"Hoàn thành",N($X294)=0,N($J294)=0),"",IF($X294&lt;$J294,"",($X294-$J294)*24)),IFERROR(AVERAGEIFS('Nhật ký tiến độ'!$H$6:$H$3005,'Nhật ký tiến độ'!$C$6:$C$3005,$A294,'Nhật ký tiến độ'!$H$6:$H$3005,"&gt;0"),"")))</f>
      </c>
      <c r="AW294" s="233">
        <f>IF($A294="",0,IF($B294="Đột xuất",$AY294,IF($AX294=0,0,$AX294+1-1/1440)))</f>
      </c>
      <c r="AX294" s="234">
        <f>IF(OR($A294="",$B294&lt;&gt;"Định kỳ",N($I294)=0),0,IF($AL294="",$I294,IF($AJ294&gt;0,$I294+($AL294+1)*$AJ294,IF($AK294&gt;0,EDATE($I294,($AL294+1)*$AK294),$I294))))</f>
      </c>
      <c r="AY294" s="233">
        <f>IF(OR($A294="",$B294&lt;&gt;"Đột xuất"),0,IF(N($K294)&gt;0,IF(MOD($K294,1)=0,$K294+1-1/1440,$K294),IF(N($J294)=0,0,$J294+IF(N($AU294)&gt;0,$AU294,IFERROR(INDEX(DM_SLA_Gio,MATCH($L294,DM_SLA_Cap,0)),168))/24)))</f>
      </c>
      <c r="AZ294" s="225">
        <f>IF(OR($A294="",TRIM($N294)="",COUNTIF('Phản ánh'!$K$6:$K$505,$N294)&gt;0,COUNTIF($N$6:$N294,$N294)&gt;1),0,1)</f>
      </c>
      <c r="BA294" s="225">
        <f>IF($AZ294=1,SUM($AZ$6:$AZ294),"")</f>
      </c>
      <c r="BB294" s="225">
        <f>IF(OR($AO294=0,N($AW294)=0),0,IF(TDBC&lt;=$AW294,0,MAX(1,MIN(4,IF((TDBC-$AW294)*24&lt;24,1,IF((TDBC-$AW294)*24&lt;72,2,IF((TDBC-$AW294)*24&lt;168,3,4)))+IF($B294="Đột xuất",IFERROR(INDEX({2,1,0,-1},MATCH($L294,{"Khẩn cấp","Cao","Trung bình","Thấp"},0)),0),IF($D294="PCCC và an ninh",1,0))))))</f>
      </c>
    </row>
    <row r="295">
      <c r="A295" s="216"/>
      <c r="B295" s="216"/>
      <c r="C295" s="218"/>
      <c r="D295" s="218"/>
      <c r="E295" s="218"/>
      <c r="F295" s="216"/>
      <c r="G295" s="218"/>
      <c r="H295" s="218"/>
      <c r="I295" s="231"/>
      <c r="J295" s="217"/>
      <c r="K295" s="217"/>
      <c r="L295" s="216"/>
      <c r="M295" s="216"/>
      <c r="N295" s="218"/>
      <c r="O295" s="218"/>
      <c r="P295" s="218"/>
      <c r="Q295" s="218"/>
      <c r="R295" s="219"/>
      <c r="S295" s="216"/>
      <c r="T295" s="232"/>
      <c r="U295" s="232"/>
      <c r="V295" s="218"/>
      <c r="W295" s="218"/>
      <c r="X295" s="220">
        <f>IF($A295="","",IF(OR($B295="Định kỳ",$AA295="Hoàn thành"),MAX(_xlfn.MAXIFS('Nhật ký tiến độ'!$B$6:$B$3005,'Nhật ký tiến độ'!$C$6:$C$3005,$A295,'Nhật ký tiến độ'!$E$6:$E$3005,"Hoàn thành kỳ"),_xlfn.MAXIFS('Nhật ký tiến độ'!$B$6:$B$3005,'Nhật ký tiến độ'!$C$6:$C$3005,$A295,'Nhật ký tiến độ'!$E$6:$E$3005,"Hoàn thành")),0))</f>
      </c>
      <c r="Y295" s="220">
        <f>IF($A295="","",IF($B295="Đột xuất",IF($AY295=0,"",$AY295),IF($AX295=0,"",$AX295)))</f>
      </c>
      <c r="Z295" s="223">
        <f>IF(OR($AO295=0,$AW295=0),"",IF(TDBC&gt;$AW295,"Quá "&amp;IF($B295="Định kỳ",(NgayBC-$AP295)&amp;" ngày",IF(((TDBC-$AW295)*24)&lt;1,MAX(1,ROUND(((TDBC-$AW295)*24)*60,0))&amp;" phút",IF(ROUND(((TDBC-$AW295)*24),0)&lt;24,ROUND(((TDBC-$AW295)*24),0)&amp;" giờ",INT(ROUND(((TDBC-$AW295)*24),0)/24)&amp;" ngày"&amp;IF(MOD(ROUND(((TDBC-$AW295)*24),0),24)&gt;0," "&amp;MOD(ROUND(((TDBC-$AW295)*24),0),24)&amp;" giờ","")))),IF($B295="Định kỳ",IF($AP295=NgayBC,"Hôm nay","Còn "&amp;($AP295-NgayBC)&amp;" ngày"),"Còn "&amp;IF((($AW295-TDBC)*24)&lt;1,MAX(1,ROUND((($AW295-TDBC)*24)*60,0))&amp;" phút",IF(ROUND((($AW295-TDBC)*24),0)&lt;24,ROUND((($AW295-TDBC)*24),0)&amp;" giờ",INT(ROUND((($AW295-TDBC)*24),0)/24)&amp;" ngày"&amp;IF(MOD(ROUND((($AW295-TDBC)*24),0),24)&gt;0," "&amp;MOD(ROUND((($AW295-TDBC)*24),0),24)&amp;" giờ",""))))))</f>
      </c>
      <c r="AA295" s="221">
        <f>IF($A295="","",IF(N($AM295)=0,"Chưa bắt đầu",IF(OR($AN295="Hoàn thành kỳ",$AN295="Hoàn thành"),IF($B295="Định kỳ","Chưa bắt đầu","Hoàn thành"),$AN295)))</f>
      </c>
      <c r="AB295" s="222">
        <f>IF($A295="","",IF($AA295="Hoàn thành",1,IF(OR(N($AM295)=0,$AN295="Hoàn thành kỳ",$AN295="Hoàn thành"),0,N(INDEX('Nhật ký tiến độ'!$D:$D,$AM295)))))</f>
      </c>
      <c r="AC295" s="222">
        <f>IF(OR($A295="",$B295&lt;&gt;"Đột xuất",$AA295="Hoàn thành",N($J295)=0,$AW295=0),"",IF(TDBC&lt;=$J295,0,IF(TDBC&gt;=$AW295,1,(TDBC-$J295)/($AW295-$J295))))</f>
      </c>
      <c r="AD295" s="223">
        <f>IF($A295="","",IF($AA295="Hoàn thành","Hoàn thành",IF($AW295=0,"Chưa đặt hạn",IF(TDBC&gt;$AW295,"Quá hạn",IF(AND($B295="Đột xuất",ROUND((N($AC295)-$AB295)*100,0)&gt;=20),"Chậm tiến độ",IF($AP295=NgayBC,"Đến hạn hôm nay",IF($B295="Đột xuất",IF($AW295-TDBC&lt;=1,"Sắp đến hạn","Đúng tiến độ"),IF($AP295-NgayBC&lt;=3,"Sắp đến hạn","Theo lịch"))))))))</f>
      </c>
      <c r="AE295" s="223">
        <f>IF($AV295="","",IF($B295="Định kỳ","Bình quân "&amp;IF($AV295&lt;1,MAX(1,ROUND($AV295*60,0))&amp;" phút",IF(ROUND($AV295,0)&lt;24,ROUND($AV295,0)&amp;" giờ",INT(ROUND($AV295,0)/24)&amp;" ngày"&amp;IF(MOD(ROUND($AV295,0),24)&gt;0," "&amp;MOD(ROUND($AV295,0),24)&amp;" giờ","")))&amp;" mỗi kỳ",IF($AV295&lt;1,MAX(1,ROUND($AV295*60,0))&amp;" phút",IF(ROUND($AV295,0)&lt;24,ROUND($AV295,0)&amp;" giờ",INT(ROUND($AV295,0)/24)&amp;" ngày"&amp;IF(MOD(ROUND($AV295,0),24)&gt;0," "&amp;MOD(ROUND($AV295,0),24)&amp;" giờ","")))))</f>
      </c>
      <c r="AF295" s="223">
        <f>IF(OR($A295="",N($AU295)=0),"",IF($AV295&lt;&gt;"",IF($AV295&lt;=$AU295,"Trong ước tính","Vượt "&amp;IF(($AV295-$AU295)&lt;1,MAX(1,ROUND(($AV295-$AU295)*60,0))&amp;" phút",IF(ROUND(($AV295-$AU295),0)&lt;24,ROUND(($AV295-$AU295),0)&amp;" giờ",INT(ROUND(($AV295-$AU295),0)/24)&amp;" ngày"&amp;IF(MOD(ROUND(($AV295-$AU295),0),24)&gt;0," "&amp;MOD(ROUND(($AV295-$AU295),0),24)&amp;" giờ","")))),IF(OR($B295&lt;&gt;"Đột xuất",$AA295="Hoàn thành",N($J295)=0),"",IF((TDBC-$J295)*24&gt;$AU295,"Đã vượt ước tính","Đã dùng "&amp;TEXT((TDBC-$J295)*24/$AU295,"0%")))))</f>
      </c>
      <c r="AG295" s="223">
        <f>IF(N($BB295)=0,"",CHOOSE($BB295,"Nhắc nhở","Cảnh báo","Báo động","Báo động đỏ"))</f>
      </c>
      <c r="AH295" s="223">
        <f>IF(OR($B295&lt;&gt;"Đột xuất",$AA295&lt;&gt;"Hoàn thành",N($X295)=0,$AW295=0),"",IF($X295&lt;=$AW295,"Đúng hạn","Trễ hạn"))</f>
      </c>
      <c r="AI295" s="220">
        <f>IF($A295="","",_xlfn.MAXIFS('Nhật ký tiến độ'!$B$6:$B$3005,'Nhật ký tiến độ'!$C$6:$C$3005,$A295))</f>
      </c>
      <c r="AJ295" s="225">
        <f>IF(OR($A295="",$B295&lt;&gt;"Định kỳ"),0,IFERROR(INDEX(DM_TanSuatNgay,MATCH($H295,DM_TanSuat,0)),0))</f>
      </c>
      <c r="AK295" s="225">
        <f>IF(OR($A295="",$B295&lt;&gt;"Định kỳ"),0,IFERROR(INDEX(DM_TanSuatThang,MATCH($H295,DM_TanSuat,0)),0))</f>
      </c>
      <c r="AL295" s="225">
        <f>IF(OR($A295="",$B295&lt;&gt;"Định kỳ",N($X295)=0,N($I295)=0),"",IF(INT($X295)&lt;$I295,0,IF($AJ295&gt;0,ROUND((INT($X295)-$I295)/$AJ295,0),IF($AK295&gt;0,ROUND((DATEDIF($I295,INT($X295),"m")+(INT($X295)-EDATE($I295,DATEDIF($I295,INT($X295),"m")))/(EDATE($I295,DATEDIF($I295,INT($X295),"m")+1)-EDATE($I295,DATEDIF($I295,INT($X295),"m"))))/$AK295,0),0))))</f>
      </c>
      <c r="AM295" s="225">
        <f>IF($A295="","",IF(COUNTIF('Nhật ký tiến độ'!$C$6:$C$3005,$A295)=0,0,_xlfn.MAXIFS('Nhật ký tiến độ'!$N$6:$N$3005,'Nhật ký tiến độ'!$C$6:$C$3005,$A295,'Nhật ký tiến độ'!$B$6:$B$3005,_xlfn.MAXIFS('Nhật ký tiến độ'!$B$6:$B$3005,'Nhật ký tiến độ'!$C$6:$C$3005,$A295))))</f>
      </c>
      <c r="AN295" s="225">
        <f>IF($A295="","",IF(N($AM295)=0,"",INDEX('Nhật ký tiến độ'!$E:$E,$AM295)))</f>
      </c>
      <c r="AO295" s="225">
        <f>IF($A295="",0,IF($AA295="Hoàn thành",0,1))</f>
      </c>
      <c r="AP295" s="225">
        <f>IF($AO295=0,0,INT(N($AW295)))</f>
      </c>
      <c r="AQ295" s="225">
        <f>IF(AND($AO295=1,$AJ295&gt;1),$AJ295,0)</f>
      </c>
      <c r="AR295" s="225">
        <f>IF(AND($AO295=1,$AJ295=1),1,0)</f>
      </c>
      <c r="AS295" s="225">
        <f>IF(OR($AO295=0,AND($AR295=1,N($BB295)=0)),"",IF(N($BB295)&gt;0,5-$BB295,IF($AD295="Chậm tiến độ",6,IF($AD295="Đến hạn hôm nay",7,IF(AND($AP295&gt;0,$AP295-NgayBC&lt;=7),8,"")))))</f>
      </c>
      <c r="AT295" s="225">
        <f>IF($AS295="","",$AS295*100000+$AP295+ROW()/100000)</f>
      </c>
      <c r="AU295" s="224">
        <f>IF(OR($A295="",N($R295)&lt;=0),"",IF($S295="Ngày",$R295*24,$R295))</f>
      </c>
      <c r="AV295" s="224">
        <f>IF($A295="","",IF($B295="Đột xuất",IF(OR($AA295&lt;&gt;"Hoàn thành",N($X295)=0,N($J295)=0),"",IF($X295&lt;$J295,"",($X295-$J295)*24)),IFERROR(AVERAGEIFS('Nhật ký tiến độ'!$H$6:$H$3005,'Nhật ký tiến độ'!$C$6:$C$3005,$A295,'Nhật ký tiến độ'!$H$6:$H$3005,"&gt;0"),"")))</f>
      </c>
      <c r="AW295" s="233">
        <f>IF($A295="",0,IF($B295="Đột xuất",$AY295,IF($AX295=0,0,$AX295+1-1/1440)))</f>
      </c>
      <c r="AX295" s="234">
        <f>IF(OR($A295="",$B295&lt;&gt;"Định kỳ",N($I295)=0),0,IF($AL295="",$I295,IF($AJ295&gt;0,$I295+($AL295+1)*$AJ295,IF($AK295&gt;0,EDATE($I295,($AL295+1)*$AK295),$I295))))</f>
      </c>
      <c r="AY295" s="233">
        <f>IF(OR($A295="",$B295&lt;&gt;"Đột xuất"),0,IF(N($K295)&gt;0,IF(MOD($K295,1)=0,$K295+1-1/1440,$K295),IF(N($J295)=0,0,$J295+IF(N($AU295)&gt;0,$AU295,IFERROR(INDEX(DM_SLA_Gio,MATCH($L295,DM_SLA_Cap,0)),168))/24)))</f>
      </c>
      <c r="AZ295" s="225">
        <f>IF(OR($A295="",TRIM($N295)="",COUNTIF('Phản ánh'!$K$6:$K$505,$N295)&gt;0,COUNTIF($N$6:$N295,$N295)&gt;1),0,1)</f>
      </c>
      <c r="BA295" s="225">
        <f>IF($AZ295=1,SUM($AZ$6:$AZ295),"")</f>
      </c>
      <c r="BB295" s="225">
        <f>IF(OR($AO295=0,N($AW295)=0),0,IF(TDBC&lt;=$AW295,0,MAX(1,MIN(4,IF((TDBC-$AW295)*24&lt;24,1,IF((TDBC-$AW295)*24&lt;72,2,IF((TDBC-$AW295)*24&lt;168,3,4)))+IF($B295="Đột xuất",IFERROR(INDEX({2,1,0,-1},MATCH($L295,{"Khẩn cấp","Cao","Trung bình","Thấp"},0)),0),IF($D295="PCCC và an ninh",1,0))))))</f>
      </c>
    </row>
    <row r="296">
      <c r="A296" s="216"/>
      <c r="B296" s="216"/>
      <c r="C296" s="218"/>
      <c r="D296" s="218"/>
      <c r="E296" s="218"/>
      <c r="F296" s="216"/>
      <c r="G296" s="218"/>
      <c r="H296" s="218"/>
      <c r="I296" s="231"/>
      <c r="J296" s="217"/>
      <c r="K296" s="217"/>
      <c r="L296" s="216"/>
      <c r="M296" s="216"/>
      <c r="N296" s="218"/>
      <c r="O296" s="218"/>
      <c r="P296" s="218"/>
      <c r="Q296" s="218"/>
      <c r="R296" s="219"/>
      <c r="S296" s="216"/>
      <c r="T296" s="232"/>
      <c r="U296" s="232"/>
      <c r="V296" s="218"/>
      <c r="W296" s="218"/>
      <c r="X296" s="220">
        <f>IF($A296="","",IF(OR($B296="Định kỳ",$AA296="Hoàn thành"),MAX(_xlfn.MAXIFS('Nhật ký tiến độ'!$B$6:$B$3005,'Nhật ký tiến độ'!$C$6:$C$3005,$A296,'Nhật ký tiến độ'!$E$6:$E$3005,"Hoàn thành kỳ"),_xlfn.MAXIFS('Nhật ký tiến độ'!$B$6:$B$3005,'Nhật ký tiến độ'!$C$6:$C$3005,$A296,'Nhật ký tiến độ'!$E$6:$E$3005,"Hoàn thành")),0))</f>
      </c>
      <c r="Y296" s="220">
        <f>IF($A296="","",IF($B296="Đột xuất",IF($AY296=0,"",$AY296),IF($AX296=0,"",$AX296)))</f>
      </c>
      <c r="Z296" s="223">
        <f>IF(OR($AO296=0,$AW296=0),"",IF(TDBC&gt;$AW296,"Quá "&amp;IF($B296="Định kỳ",(NgayBC-$AP296)&amp;" ngày",IF(((TDBC-$AW296)*24)&lt;1,MAX(1,ROUND(((TDBC-$AW296)*24)*60,0))&amp;" phút",IF(ROUND(((TDBC-$AW296)*24),0)&lt;24,ROUND(((TDBC-$AW296)*24),0)&amp;" giờ",INT(ROUND(((TDBC-$AW296)*24),0)/24)&amp;" ngày"&amp;IF(MOD(ROUND(((TDBC-$AW296)*24),0),24)&gt;0," "&amp;MOD(ROUND(((TDBC-$AW296)*24),0),24)&amp;" giờ","")))),IF($B296="Định kỳ",IF($AP296=NgayBC,"Hôm nay","Còn "&amp;($AP296-NgayBC)&amp;" ngày"),"Còn "&amp;IF((($AW296-TDBC)*24)&lt;1,MAX(1,ROUND((($AW296-TDBC)*24)*60,0))&amp;" phút",IF(ROUND((($AW296-TDBC)*24),0)&lt;24,ROUND((($AW296-TDBC)*24),0)&amp;" giờ",INT(ROUND((($AW296-TDBC)*24),0)/24)&amp;" ngày"&amp;IF(MOD(ROUND((($AW296-TDBC)*24),0),24)&gt;0," "&amp;MOD(ROUND((($AW296-TDBC)*24),0),24)&amp;" giờ",""))))))</f>
      </c>
      <c r="AA296" s="221">
        <f>IF($A296="","",IF(N($AM296)=0,"Chưa bắt đầu",IF(OR($AN296="Hoàn thành kỳ",$AN296="Hoàn thành"),IF($B296="Định kỳ","Chưa bắt đầu","Hoàn thành"),$AN296)))</f>
      </c>
      <c r="AB296" s="222">
        <f>IF($A296="","",IF($AA296="Hoàn thành",1,IF(OR(N($AM296)=0,$AN296="Hoàn thành kỳ",$AN296="Hoàn thành"),0,N(INDEX('Nhật ký tiến độ'!$D:$D,$AM296)))))</f>
      </c>
      <c r="AC296" s="222">
        <f>IF(OR($A296="",$B296&lt;&gt;"Đột xuất",$AA296="Hoàn thành",N($J296)=0,$AW296=0),"",IF(TDBC&lt;=$J296,0,IF(TDBC&gt;=$AW296,1,(TDBC-$J296)/($AW296-$J296))))</f>
      </c>
      <c r="AD296" s="223">
        <f>IF($A296="","",IF($AA296="Hoàn thành","Hoàn thành",IF($AW296=0,"Chưa đặt hạn",IF(TDBC&gt;$AW296,"Quá hạn",IF(AND($B296="Đột xuất",ROUND((N($AC296)-$AB296)*100,0)&gt;=20),"Chậm tiến độ",IF($AP296=NgayBC,"Đến hạn hôm nay",IF($B296="Đột xuất",IF($AW296-TDBC&lt;=1,"Sắp đến hạn","Đúng tiến độ"),IF($AP296-NgayBC&lt;=3,"Sắp đến hạn","Theo lịch"))))))))</f>
      </c>
      <c r="AE296" s="223">
        <f>IF($AV296="","",IF($B296="Định kỳ","Bình quân "&amp;IF($AV296&lt;1,MAX(1,ROUND($AV296*60,0))&amp;" phút",IF(ROUND($AV296,0)&lt;24,ROUND($AV296,0)&amp;" giờ",INT(ROUND($AV296,0)/24)&amp;" ngày"&amp;IF(MOD(ROUND($AV296,0),24)&gt;0," "&amp;MOD(ROUND($AV296,0),24)&amp;" giờ","")))&amp;" mỗi kỳ",IF($AV296&lt;1,MAX(1,ROUND($AV296*60,0))&amp;" phút",IF(ROUND($AV296,0)&lt;24,ROUND($AV296,0)&amp;" giờ",INT(ROUND($AV296,0)/24)&amp;" ngày"&amp;IF(MOD(ROUND($AV296,0),24)&gt;0," "&amp;MOD(ROUND($AV296,0),24)&amp;" giờ","")))))</f>
      </c>
      <c r="AF296" s="223">
        <f>IF(OR($A296="",N($AU296)=0),"",IF($AV296&lt;&gt;"",IF($AV296&lt;=$AU296,"Trong ước tính","Vượt "&amp;IF(($AV296-$AU296)&lt;1,MAX(1,ROUND(($AV296-$AU296)*60,0))&amp;" phút",IF(ROUND(($AV296-$AU296),0)&lt;24,ROUND(($AV296-$AU296),0)&amp;" giờ",INT(ROUND(($AV296-$AU296),0)/24)&amp;" ngày"&amp;IF(MOD(ROUND(($AV296-$AU296),0),24)&gt;0," "&amp;MOD(ROUND(($AV296-$AU296),0),24)&amp;" giờ","")))),IF(OR($B296&lt;&gt;"Đột xuất",$AA296="Hoàn thành",N($J296)=0),"",IF((TDBC-$J296)*24&gt;$AU296,"Đã vượt ước tính","Đã dùng "&amp;TEXT((TDBC-$J296)*24/$AU296,"0%")))))</f>
      </c>
      <c r="AG296" s="223">
        <f>IF(N($BB296)=0,"",CHOOSE($BB296,"Nhắc nhở","Cảnh báo","Báo động","Báo động đỏ"))</f>
      </c>
      <c r="AH296" s="223">
        <f>IF(OR($B296&lt;&gt;"Đột xuất",$AA296&lt;&gt;"Hoàn thành",N($X296)=0,$AW296=0),"",IF($X296&lt;=$AW296,"Đúng hạn","Trễ hạn"))</f>
      </c>
      <c r="AI296" s="220">
        <f>IF($A296="","",_xlfn.MAXIFS('Nhật ký tiến độ'!$B$6:$B$3005,'Nhật ký tiến độ'!$C$6:$C$3005,$A296))</f>
      </c>
      <c r="AJ296" s="225">
        <f>IF(OR($A296="",$B296&lt;&gt;"Định kỳ"),0,IFERROR(INDEX(DM_TanSuatNgay,MATCH($H296,DM_TanSuat,0)),0))</f>
      </c>
      <c r="AK296" s="225">
        <f>IF(OR($A296="",$B296&lt;&gt;"Định kỳ"),0,IFERROR(INDEX(DM_TanSuatThang,MATCH($H296,DM_TanSuat,0)),0))</f>
      </c>
      <c r="AL296" s="225">
        <f>IF(OR($A296="",$B296&lt;&gt;"Định kỳ",N($X296)=0,N($I296)=0),"",IF(INT($X296)&lt;$I296,0,IF($AJ296&gt;0,ROUND((INT($X296)-$I296)/$AJ296,0),IF($AK296&gt;0,ROUND((DATEDIF($I296,INT($X296),"m")+(INT($X296)-EDATE($I296,DATEDIF($I296,INT($X296),"m")))/(EDATE($I296,DATEDIF($I296,INT($X296),"m")+1)-EDATE($I296,DATEDIF($I296,INT($X296),"m"))))/$AK296,0),0))))</f>
      </c>
      <c r="AM296" s="225">
        <f>IF($A296="","",IF(COUNTIF('Nhật ký tiến độ'!$C$6:$C$3005,$A296)=0,0,_xlfn.MAXIFS('Nhật ký tiến độ'!$N$6:$N$3005,'Nhật ký tiến độ'!$C$6:$C$3005,$A296,'Nhật ký tiến độ'!$B$6:$B$3005,_xlfn.MAXIFS('Nhật ký tiến độ'!$B$6:$B$3005,'Nhật ký tiến độ'!$C$6:$C$3005,$A296))))</f>
      </c>
      <c r="AN296" s="225">
        <f>IF($A296="","",IF(N($AM296)=0,"",INDEX('Nhật ký tiến độ'!$E:$E,$AM296)))</f>
      </c>
      <c r="AO296" s="225">
        <f>IF($A296="",0,IF($AA296="Hoàn thành",0,1))</f>
      </c>
      <c r="AP296" s="225">
        <f>IF($AO296=0,0,INT(N($AW296)))</f>
      </c>
      <c r="AQ296" s="225">
        <f>IF(AND($AO296=1,$AJ296&gt;1),$AJ296,0)</f>
      </c>
      <c r="AR296" s="225">
        <f>IF(AND($AO296=1,$AJ296=1),1,0)</f>
      </c>
      <c r="AS296" s="225">
        <f>IF(OR($AO296=0,AND($AR296=1,N($BB296)=0)),"",IF(N($BB296)&gt;0,5-$BB296,IF($AD296="Chậm tiến độ",6,IF($AD296="Đến hạn hôm nay",7,IF(AND($AP296&gt;0,$AP296-NgayBC&lt;=7),8,"")))))</f>
      </c>
      <c r="AT296" s="225">
        <f>IF($AS296="","",$AS296*100000+$AP296+ROW()/100000)</f>
      </c>
      <c r="AU296" s="224">
        <f>IF(OR($A296="",N($R296)&lt;=0),"",IF($S296="Ngày",$R296*24,$R296))</f>
      </c>
      <c r="AV296" s="224">
        <f>IF($A296="","",IF($B296="Đột xuất",IF(OR($AA296&lt;&gt;"Hoàn thành",N($X296)=0,N($J296)=0),"",IF($X296&lt;$J296,"",($X296-$J296)*24)),IFERROR(AVERAGEIFS('Nhật ký tiến độ'!$H$6:$H$3005,'Nhật ký tiến độ'!$C$6:$C$3005,$A296,'Nhật ký tiến độ'!$H$6:$H$3005,"&gt;0"),"")))</f>
      </c>
      <c r="AW296" s="233">
        <f>IF($A296="",0,IF($B296="Đột xuất",$AY296,IF($AX296=0,0,$AX296+1-1/1440)))</f>
      </c>
      <c r="AX296" s="234">
        <f>IF(OR($A296="",$B296&lt;&gt;"Định kỳ",N($I296)=0),0,IF($AL296="",$I296,IF($AJ296&gt;0,$I296+($AL296+1)*$AJ296,IF($AK296&gt;0,EDATE($I296,($AL296+1)*$AK296),$I296))))</f>
      </c>
      <c r="AY296" s="233">
        <f>IF(OR($A296="",$B296&lt;&gt;"Đột xuất"),0,IF(N($K296)&gt;0,IF(MOD($K296,1)=0,$K296+1-1/1440,$K296),IF(N($J296)=0,0,$J296+IF(N($AU296)&gt;0,$AU296,IFERROR(INDEX(DM_SLA_Gio,MATCH($L296,DM_SLA_Cap,0)),168))/24)))</f>
      </c>
      <c r="AZ296" s="225">
        <f>IF(OR($A296="",TRIM($N296)="",COUNTIF('Phản ánh'!$K$6:$K$505,$N296)&gt;0,COUNTIF($N$6:$N296,$N296)&gt;1),0,1)</f>
      </c>
      <c r="BA296" s="225">
        <f>IF($AZ296=1,SUM($AZ$6:$AZ296),"")</f>
      </c>
      <c r="BB296" s="225">
        <f>IF(OR($AO296=0,N($AW296)=0),0,IF(TDBC&lt;=$AW296,0,MAX(1,MIN(4,IF((TDBC-$AW296)*24&lt;24,1,IF((TDBC-$AW296)*24&lt;72,2,IF((TDBC-$AW296)*24&lt;168,3,4)))+IF($B296="Đột xuất",IFERROR(INDEX({2,1,0,-1},MATCH($L296,{"Khẩn cấp","Cao","Trung bình","Thấp"},0)),0),IF($D296="PCCC và an ninh",1,0))))))</f>
      </c>
    </row>
    <row r="297">
      <c r="A297" s="216"/>
      <c r="B297" s="216"/>
      <c r="C297" s="218"/>
      <c r="D297" s="218"/>
      <c r="E297" s="218"/>
      <c r="F297" s="216"/>
      <c r="G297" s="218"/>
      <c r="H297" s="218"/>
      <c r="I297" s="231"/>
      <c r="J297" s="217"/>
      <c r="K297" s="217"/>
      <c r="L297" s="216"/>
      <c r="M297" s="216"/>
      <c r="N297" s="218"/>
      <c r="O297" s="218"/>
      <c r="P297" s="218"/>
      <c r="Q297" s="218"/>
      <c r="R297" s="219"/>
      <c r="S297" s="216"/>
      <c r="T297" s="232"/>
      <c r="U297" s="232"/>
      <c r="V297" s="218"/>
      <c r="W297" s="218"/>
      <c r="X297" s="220">
        <f>IF($A297="","",IF(OR($B297="Định kỳ",$AA297="Hoàn thành"),MAX(_xlfn.MAXIFS('Nhật ký tiến độ'!$B$6:$B$3005,'Nhật ký tiến độ'!$C$6:$C$3005,$A297,'Nhật ký tiến độ'!$E$6:$E$3005,"Hoàn thành kỳ"),_xlfn.MAXIFS('Nhật ký tiến độ'!$B$6:$B$3005,'Nhật ký tiến độ'!$C$6:$C$3005,$A297,'Nhật ký tiến độ'!$E$6:$E$3005,"Hoàn thành")),0))</f>
      </c>
      <c r="Y297" s="220">
        <f>IF($A297="","",IF($B297="Đột xuất",IF($AY297=0,"",$AY297),IF($AX297=0,"",$AX297)))</f>
      </c>
      <c r="Z297" s="223">
        <f>IF(OR($AO297=0,$AW297=0),"",IF(TDBC&gt;$AW297,"Quá "&amp;IF($B297="Định kỳ",(NgayBC-$AP297)&amp;" ngày",IF(((TDBC-$AW297)*24)&lt;1,MAX(1,ROUND(((TDBC-$AW297)*24)*60,0))&amp;" phút",IF(ROUND(((TDBC-$AW297)*24),0)&lt;24,ROUND(((TDBC-$AW297)*24),0)&amp;" giờ",INT(ROUND(((TDBC-$AW297)*24),0)/24)&amp;" ngày"&amp;IF(MOD(ROUND(((TDBC-$AW297)*24),0),24)&gt;0," "&amp;MOD(ROUND(((TDBC-$AW297)*24),0),24)&amp;" giờ","")))),IF($B297="Định kỳ",IF($AP297=NgayBC,"Hôm nay","Còn "&amp;($AP297-NgayBC)&amp;" ngày"),"Còn "&amp;IF((($AW297-TDBC)*24)&lt;1,MAX(1,ROUND((($AW297-TDBC)*24)*60,0))&amp;" phút",IF(ROUND((($AW297-TDBC)*24),0)&lt;24,ROUND((($AW297-TDBC)*24),0)&amp;" giờ",INT(ROUND((($AW297-TDBC)*24),0)/24)&amp;" ngày"&amp;IF(MOD(ROUND((($AW297-TDBC)*24),0),24)&gt;0," "&amp;MOD(ROUND((($AW297-TDBC)*24),0),24)&amp;" giờ",""))))))</f>
      </c>
      <c r="AA297" s="221">
        <f>IF($A297="","",IF(N($AM297)=0,"Chưa bắt đầu",IF(OR($AN297="Hoàn thành kỳ",$AN297="Hoàn thành"),IF($B297="Định kỳ","Chưa bắt đầu","Hoàn thành"),$AN297)))</f>
      </c>
      <c r="AB297" s="222">
        <f>IF($A297="","",IF($AA297="Hoàn thành",1,IF(OR(N($AM297)=0,$AN297="Hoàn thành kỳ",$AN297="Hoàn thành"),0,N(INDEX('Nhật ký tiến độ'!$D:$D,$AM297)))))</f>
      </c>
      <c r="AC297" s="222">
        <f>IF(OR($A297="",$B297&lt;&gt;"Đột xuất",$AA297="Hoàn thành",N($J297)=0,$AW297=0),"",IF(TDBC&lt;=$J297,0,IF(TDBC&gt;=$AW297,1,(TDBC-$J297)/($AW297-$J297))))</f>
      </c>
      <c r="AD297" s="223">
        <f>IF($A297="","",IF($AA297="Hoàn thành","Hoàn thành",IF($AW297=0,"Chưa đặt hạn",IF(TDBC&gt;$AW297,"Quá hạn",IF(AND($B297="Đột xuất",ROUND((N($AC297)-$AB297)*100,0)&gt;=20),"Chậm tiến độ",IF($AP297=NgayBC,"Đến hạn hôm nay",IF($B297="Đột xuất",IF($AW297-TDBC&lt;=1,"Sắp đến hạn","Đúng tiến độ"),IF($AP297-NgayBC&lt;=3,"Sắp đến hạn","Theo lịch"))))))))</f>
      </c>
      <c r="AE297" s="223">
        <f>IF($AV297="","",IF($B297="Định kỳ","Bình quân "&amp;IF($AV297&lt;1,MAX(1,ROUND($AV297*60,0))&amp;" phút",IF(ROUND($AV297,0)&lt;24,ROUND($AV297,0)&amp;" giờ",INT(ROUND($AV297,0)/24)&amp;" ngày"&amp;IF(MOD(ROUND($AV297,0),24)&gt;0," "&amp;MOD(ROUND($AV297,0),24)&amp;" giờ","")))&amp;" mỗi kỳ",IF($AV297&lt;1,MAX(1,ROUND($AV297*60,0))&amp;" phút",IF(ROUND($AV297,0)&lt;24,ROUND($AV297,0)&amp;" giờ",INT(ROUND($AV297,0)/24)&amp;" ngày"&amp;IF(MOD(ROUND($AV297,0),24)&gt;0," "&amp;MOD(ROUND($AV297,0),24)&amp;" giờ","")))))</f>
      </c>
      <c r="AF297" s="223">
        <f>IF(OR($A297="",N($AU297)=0),"",IF($AV297&lt;&gt;"",IF($AV297&lt;=$AU297,"Trong ước tính","Vượt "&amp;IF(($AV297-$AU297)&lt;1,MAX(1,ROUND(($AV297-$AU297)*60,0))&amp;" phút",IF(ROUND(($AV297-$AU297),0)&lt;24,ROUND(($AV297-$AU297),0)&amp;" giờ",INT(ROUND(($AV297-$AU297),0)/24)&amp;" ngày"&amp;IF(MOD(ROUND(($AV297-$AU297),0),24)&gt;0," "&amp;MOD(ROUND(($AV297-$AU297),0),24)&amp;" giờ","")))),IF(OR($B297&lt;&gt;"Đột xuất",$AA297="Hoàn thành",N($J297)=0),"",IF((TDBC-$J297)*24&gt;$AU297,"Đã vượt ước tính","Đã dùng "&amp;TEXT((TDBC-$J297)*24/$AU297,"0%")))))</f>
      </c>
      <c r="AG297" s="223">
        <f>IF(N($BB297)=0,"",CHOOSE($BB297,"Nhắc nhở","Cảnh báo","Báo động","Báo động đỏ"))</f>
      </c>
      <c r="AH297" s="223">
        <f>IF(OR($B297&lt;&gt;"Đột xuất",$AA297&lt;&gt;"Hoàn thành",N($X297)=0,$AW297=0),"",IF($X297&lt;=$AW297,"Đúng hạn","Trễ hạn"))</f>
      </c>
      <c r="AI297" s="220">
        <f>IF($A297="","",_xlfn.MAXIFS('Nhật ký tiến độ'!$B$6:$B$3005,'Nhật ký tiến độ'!$C$6:$C$3005,$A297))</f>
      </c>
      <c r="AJ297" s="225">
        <f>IF(OR($A297="",$B297&lt;&gt;"Định kỳ"),0,IFERROR(INDEX(DM_TanSuatNgay,MATCH($H297,DM_TanSuat,0)),0))</f>
      </c>
      <c r="AK297" s="225">
        <f>IF(OR($A297="",$B297&lt;&gt;"Định kỳ"),0,IFERROR(INDEX(DM_TanSuatThang,MATCH($H297,DM_TanSuat,0)),0))</f>
      </c>
      <c r="AL297" s="225">
        <f>IF(OR($A297="",$B297&lt;&gt;"Định kỳ",N($X297)=0,N($I297)=0),"",IF(INT($X297)&lt;$I297,0,IF($AJ297&gt;0,ROUND((INT($X297)-$I297)/$AJ297,0),IF($AK297&gt;0,ROUND((DATEDIF($I297,INT($X297),"m")+(INT($X297)-EDATE($I297,DATEDIF($I297,INT($X297),"m")))/(EDATE($I297,DATEDIF($I297,INT($X297),"m")+1)-EDATE($I297,DATEDIF($I297,INT($X297),"m"))))/$AK297,0),0))))</f>
      </c>
      <c r="AM297" s="225">
        <f>IF($A297="","",IF(COUNTIF('Nhật ký tiến độ'!$C$6:$C$3005,$A297)=0,0,_xlfn.MAXIFS('Nhật ký tiến độ'!$N$6:$N$3005,'Nhật ký tiến độ'!$C$6:$C$3005,$A297,'Nhật ký tiến độ'!$B$6:$B$3005,_xlfn.MAXIFS('Nhật ký tiến độ'!$B$6:$B$3005,'Nhật ký tiến độ'!$C$6:$C$3005,$A297))))</f>
      </c>
      <c r="AN297" s="225">
        <f>IF($A297="","",IF(N($AM297)=0,"",INDEX('Nhật ký tiến độ'!$E:$E,$AM297)))</f>
      </c>
      <c r="AO297" s="225">
        <f>IF($A297="",0,IF($AA297="Hoàn thành",0,1))</f>
      </c>
      <c r="AP297" s="225">
        <f>IF($AO297=0,0,INT(N($AW297)))</f>
      </c>
      <c r="AQ297" s="225">
        <f>IF(AND($AO297=1,$AJ297&gt;1),$AJ297,0)</f>
      </c>
      <c r="AR297" s="225">
        <f>IF(AND($AO297=1,$AJ297=1),1,0)</f>
      </c>
      <c r="AS297" s="225">
        <f>IF(OR($AO297=0,AND($AR297=1,N($BB297)=0)),"",IF(N($BB297)&gt;0,5-$BB297,IF($AD297="Chậm tiến độ",6,IF($AD297="Đến hạn hôm nay",7,IF(AND($AP297&gt;0,$AP297-NgayBC&lt;=7),8,"")))))</f>
      </c>
      <c r="AT297" s="225">
        <f>IF($AS297="","",$AS297*100000+$AP297+ROW()/100000)</f>
      </c>
      <c r="AU297" s="224">
        <f>IF(OR($A297="",N($R297)&lt;=0),"",IF($S297="Ngày",$R297*24,$R297))</f>
      </c>
      <c r="AV297" s="224">
        <f>IF($A297="","",IF($B297="Đột xuất",IF(OR($AA297&lt;&gt;"Hoàn thành",N($X297)=0,N($J297)=0),"",IF($X297&lt;$J297,"",($X297-$J297)*24)),IFERROR(AVERAGEIFS('Nhật ký tiến độ'!$H$6:$H$3005,'Nhật ký tiến độ'!$C$6:$C$3005,$A297,'Nhật ký tiến độ'!$H$6:$H$3005,"&gt;0"),"")))</f>
      </c>
      <c r="AW297" s="233">
        <f>IF($A297="",0,IF($B297="Đột xuất",$AY297,IF($AX297=0,0,$AX297+1-1/1440)))</f>
      </c>
      <c r="AX297" s="234">
        <f>IF(OR($A297="",$B297&lt;&gt;"Định kỳ",N($I297)=0),0,IF($AL297="",$I297,IF($AJ297&gt;0,$I297+($AL297+1)*$AJ297,IF($AK297&gt;0,EDATE($I297,($AL297+1)*$AK297),$I297))))</f>
      </c>
      <c r="AY297" s="233">
        <f>IF(OR($A297="",$B297&lt;&gt;"Đột xuất"),0,IF(N($K297)&gt;0,IF(MOD($K297,1)=0,$K297+1-1/1440,$K297),IF(N($J297)=0,0,$J297+IF(N($AU297)&gt;0,$AU297,IFERROR(INDEX(DM_SLA_Gio,MATCH($L297,DM_SLA_Cap,0)),168))/24)))</f>
      </c>
      <c r="AZ297" s="225">
        <f>IF(OR($A297="",TRIM($N297)="",COUNTIF('Phản ánh'!$K$6:$K$505,$N297)&gt;0,COUNTIF($N$6:$N297,$N297)&gt;1),0,1)</f>
      </c>
      <c r="BA297" s="225">
        <f>IF($AZ297=1,SUM($AZ$6:$AZ297),"")</f>
      </c>
      <c r="BB297" s="225">
        <f>IF(OR($AO297=0,N($AW297)=0),0,IF(TDBC&lt;=$AW297,0,MAX(1,MIN(4,IF((TDBC-$AW297)*24&lt;24,1,IF((TDBC-$AW297)*24&lt;72,2,IF((TDBC-$AW297)*24&lt;168,3,4)))+IF($B297="Đột xuất",IFERROR(INDEX({2,1,0,-1},MATCH($L297,{"Khẩn cấp","Cao","Trung bình","Thấp"},0)),0),IF($D297="PCCC và an ninh",1,0))))))</f>
      </c>
    </row>
    <row r="298">
      <c r="A298" s="216"/>
      <c r="B298" s="216"/>
      <c r="C298" s="218"/>
      <c r="D298" s="218"/>
      <c r="E298" s="218"/>
      <c r="F298" s="216"/>
      <c r="G298" s="218"/>
      <c r="H298" s="218"/>
      <c r="I298" s="231"/>
      <c r="J298" s="217"/>
      <c r="K298" s="217"/>
      <c r="L298" s="216"/>
      <c r="M298" s="216"/>
      <c r="N298" s="218"/>
      <c r="O298" s="218"/>
      <c r="P298" s="218"/>
      <c r="Q298" s="218"/>
      <c r="R298" s="219"/>
      <c r="S298" s="216"/>
      <c r="T298" s="232"/>
      <c r="U298" s="232"/>
      <c r="V298" s="218"/>
      <c r="W298" s="218"/>
      <c r="X298" s="220">
        <f>IF($A298="","",IF(OR($B298="Định kỳ",$AA298="Hoàn thành"),MAX(_xlfn.MAXIFS('Nhật ký tiến độ'!$B$6:$B$3005,'Nhật ký tiến độ'!$C$6:$C$3005,$A298,'Nhật ký tiến độ'!$E$6:$E$3005,"Hoàn thành kỳ"),_xlfn.MAXIFS('Nhật ký tiến độ'!$B$6:$B$3005,'Nhật ký tiến độ'!$C$6:$C$3005,$A298,'Nhật ký tiến độ'!$E$6:$E$3005,"Hoàn thành")),0))</f>
      </c>
      <c r="Y298" s="220">
        <f>IF($A298="","",IF($B298="Đột xuất",IF($AY298=0,"",$AY298),IF($AX298=0,"",$AX298)))</f>
      </c>
      <c r="Z298" s="223">
        <f>IF(OR($AO298=0,$AW298=0),"",IF(TDBC&gt;$AW298,"Quá "&amp;IF($B298="Định kỳ",(NgayBC-$AP298)&amp;" ngày",IF(((TDBC-$AW298)*24)&lt;1,MAX(1,ROUND(((TDBC-$AW298)*24)*60,0))&amp;" phút",IF(ROUND(((TDBC-$AW298)*24),0)&lt;24,ROUND(((TDBC-$AW298)*24),0)&amp;" giờ",INT(ROUND(((TDBC-$AW298)*24),0)/24)&amp;" ngày"&amp;IF(MOD(ROUND(((TDBC-$AW298)*24),0),24)&gt;0," "&amp;MOD(ROUND(((TDBC-$AW298)*24),0),24)&amp;" giờ","")))),IF($B298="Định kỳ",IF($AP298=NgayBC,"Hôm nay","Còn "&amp;($AP298-NgayBC)&amp;" ngày"),"Còn "&amp;IF((($AW298-TDBC)*24)&lt;1,MAX(1,ROUND((($AW298-TDBC)*24)*60,0))&amp;" phút",IF(ROUND((($AW298-TDBC)*24),0)&lt;24,ROUND((($AW298-TDBC)*24),0)&amp;" giờ",INT(ROUND((($AW298-TDBC)*24),0)/24)&amp;" ngày"&amp;IF(MOD(ROUND((($AW298-TDBC)*24),0),24)&gt;0," "&amp;MOD(ROUND((($AW298-TDBC)*24),0),24)&amp;" giờ",""))))))</f>
      </c>
      <c r="AA298" s="221">
        <f>IF($A298="","",IF(N($AM298)=0,"Chưa bắt đầu",IF(OR($AN298="Hoàn thành kỳ",$AN298="Hoàn thành"),IF($B298="Định kỳ","Chưa bắt đầu","Hoàn thành"),$AN298)))</f>
      </c>
      <c r="AB298" s="222">
        <f>IF($A298="","",IF($AA298="Hoàn thành",1,IF(OR(N($AM298)=0,$AN298="Hoàn thành kỳ",$AN298="Hoàn thành"),0,N(INDEX('Nhật ký tiến độ'!$D:$D,$AM298)))))</f>
      </c>
      <c r="AC298" s="222">
        <f>IF(OR($A298="",$B298&lt;&gt;"Đột xuất",$AA298="Hoàn thành",N($J298)=0,$AW298=0),"",IF(TDBC&lt;=$J298,0,IF(TDBC&gt;=$AW298,1,(TDBC-$J298)/($AW298-$J298))))</f>
      </c>
      <c r="AD298" s="223">
        <f>IF($A298="","",IF($AA298="Hoàn thành","Hoàn thành",IF($AW298=0,"Chưa đặt hạn",IF(TDBC&gt;$AW298,"Quá hạn",IF(AND($B298="Đột xuất",ROUND((N($AC298)-$AB298)*100,0)&gt;=20),"Chậm tiến độ",IF($AP298=NgayBC,"Đến hạn hôm nay",IF($B298="Đột xuất",IF($AW298-TDBC&lt;=1,"Sắp đến hạn","Đúng tiến độ"),IF($AP298-NgayBC&lt;=3,"Sắp đến hạn","Theo lịch"))))))))</f>
      </c>
      <c r="AE298" s="223">
        <f>IF($AV298="","",IF($B298="Định kỳ","Bình quân "&amp;IF($AV298&lt;1,MAX(1,ROUND($AV298*60,0))&amp;" phút",IF(ROUND($AV298,0)&lt;24,ROUND($AV298,0)&amp;" giờ",INT(ROUND($AV298,0)/24)&amp;" ngày"&amp;IF(MOD(ROUND($AV298,0),24)&gt;0," "&amp;MOD(ROUND($AV298,0),24)&amp;" giờ","")))&amp;" mỗi kỳ",IF($AV298&lt;1,MAX(1,ROUND($AV298*60,0))&amp;" phút",IF(ROUND($AV298,0)&lt;24,ROUND($AV298,0)&amp;" giờ",INT(ROUND($AV298,0)/24)&amp;" ngày"&amp;IF(MOD(ROUND($AV298,0),24)&gt;0," "&amp;MOD(ROUND($AV298,0),24)&amp;" giờ","")))))</f>
      </c>
      <c r="AF298" s="223">
        <f>IF(OR($A298="",N($AU298)=0),"",IF($AV298&lt;&gt;"",IF($AV298&lt;=$AU298,"Trong ước tính","Vượt "&amp;IF(($AV298-$AU298)&lt;1,MAX(1,ROUND(($AV298-$AU298)*60,0))&amp;" phút",IF(ROUND(($AV298-$AU298),0)&lt;24,ROUND(($AV298-$AU298),0)&amp;" giờ",INT(ROUND(($AV298-$AU298),0)/24)&amp;" ngày"&amp;IF(MOD(ROUND(($AV298-$AU298),0),24)&gt;0," "&amp;MOD(ROUND(($AV298-$AU298),0),24)&amp;" giờ","")))),IF(OR($B298&lt;&gt;"Đột xuất",$AA298="Hoàn thành",N($J298)=0),"",IF((TDBC-$J298)*24&gt;$AU298,"Đã vượt ước tính","Đã dùng "&amp;TEXT((TDBC-$J298)*24/$AU298,"0%")))))</f>
      </c>
      <c r="AG298" s="223">
        <f>IF(N($BB298)=0,"",CHOOSE($BB298,"Nhắc nhở","Cảnh báo","Báo động","Báo động đỏ"))</f>
      </c>
      <c r="AH298" s="223">
        <f>IF(OR($B298&lt;&gt;"Đột xuất",$AA298&lt;&gt;"Hoàn thành",N($X298)=0,$AW298=0),"",IF($X298&lt;=$AW298,"Đúng hạn","Trễ hạn"))</f>
      </c>
      <c r="AI298" s="220">
        <f>IF($A298="","",_xlfn.MAXIFS('Nhật ký tiến độ'!$B$6:$B$3005,'Nhật ký tiến độ'!$C$6:$C$3005,$A298))</f>
      </c>
      <c r="AJ298" s="225">
        <f>IF(OR($A298="",$B298&lt;&gt;"Định kỳ"),0,IFERROR(INDEX(DM_TanSuatNgay,MATCH($H298,DM_TanSuat,0)),0))</f>
      </c>
      <c r="AK298" s="225">
        <f>IF(OR($A298="",$B298&lt;&gt;"Định kỳ"),0,IFERROR(INDEX(DM_TanSuatThang,MATCH($H298,DM_TanSuat,0)),0))</f>
      </c>
      <c r="AL298" s="225">
        <f>IF(OR($A298="",$B298&lt;&gt;"Định kỳ",N($X298)=0,N($I298)=0),"",IF(INT($X298)&lt;$I298,0,IF($AJ298&gt;0,ROUND((INT($X298)-$I298)/$AJ298,0),IF($AK298&gt;0,ROUND((DATEDIF($I298,INT($X298),"m")+(INT($X298)-EDATE($I298,DATEDIF($I298,INT($X298),"m")))/(EDATE($I298,DATEDIF($I298,INT($X298),"m")+1)-EDATE($I298,DATEDIF($I298,INT($X298),"m"))))/$AK298,0),0))))</f>
      </c>
      <c r="AM298" s="225">
        <f>IF($A298="","",IF(COUNTIF('Nhật ký tiến độ'!$C$6:$C$3005,$A298)=0,0,_xlfn.MAXIFS('Nhật ký tiến độ'!$N$6:$N$3005,'Nhật ký tiến độ'!$C$6:$C$3005,$A298,'Nhật ký tiến độ'!$B$6:$B$3005,_xlfn.MAXIFS('Nhật ký tiến độ'!$B$6:$B$3005,'Nhật ký tiến độ'!$C$6:$C$3005,$A298))))</f>
      </c>
      <c r="AN298" s="225">
        <f>IF($A298="","",IF(N($AM298)=0,"",INDEX('Nhật ký tiến độ'!$E:$E,$AM298)))</f>
      </c>
      <c r="AO298" s="225">
        <f>IF($A298="",0,IF($AA298="Hoàn thành",0,1))</f>
      </c>
      <c r="AP298" s="225">
        <f>IF($AO298=0,0,INT(N($AW298)))</f>
      </c>
      <c r="AQ298" s="225">
        <f>IF(AND($AO298=1,$AJ298&gt;1),$AJ298,0)</f>
      </c>
      <c r="AR298" s="225">
        <f>IF(AND($AO298=1,$AJ298=1),1,0)</f>
      </c>
      <c r="AS298" s="225">
        <f>IF(OR($AO298=0,AND($AR298=1,N($BB298)=0)),"",IF(N($BB298)&gt;0,5-$BB298,IF($AD298="Chậm tiến độ",6,IF($AD298="Đến hạn hôm nay",7,IF(AND($AP298&gt;0,$AP298-NgayBC&lt;=7),8,"")))))</f>
      </c>
      <c r="AT298" s="225">
        <f>IF($AS298="","",$AS298*100000+$AP298+ROW()/100000)</f>
      </c>
      <c r="AU298" s="224">
        <f>IF(OR($A298="",N($R298)&lt;=0),"",IF($S298="Ngày",$R298*24,$R298))</f>
      </c>
      <c r="AV298" s="224">
        <f>IF($A298="","",IF($B298="Đột xuất",IF(OR($AA298&lt;&gt;"Hoàn thành",N($X298)=0,N($J298)=0),"",IF($X298&lt;$J298,"",($X298-$J298)*24)),IFERROR(AVERAGEIFS('Nhật ký tiến độ'!$H$6:$H$3005,'Nhật ký tiến độ'!$C$6:$C$3005,$A298,'Nhật ký tiến độ'!$H$6:$H$3005,"&gt;0"),"")))</f>
      </c>
      <c r="AW298" s="233">
        <f>IF($A298="",0,IF($B298="Đột xuất",$AY298,IF($AX298=0,0,$AX298+1-1/1440)))</f>
      </c>
      <c r="AX298" s="234">
        <f>IF(OR($A298="",$B298&lt;&gt;"Định kỳ",N($I298)=0),0,IF($AL298="",$I298,IF($AJ298&gt;0,$I298+($AL298+1)*$AJ298,IF($AK298&gt;0,EDATE($I298,($AL298+1)*$AK298),$I298))))</f>
      </c>
      <c r="AY298" s="233">
        <f>IF(OR($A298="",$B298&lt;&gt;"Đột xuất"),0,IF(N($K298)&gt;0,IF(MOD($K298,1)=0,$K298+1-1/1440,$K298),IF(N($J298)=0,0,$J298+IF(N($AU298)&gt;0,$AU298,IFERROR(INDEX(DM_SLA_Gio,MATCH($L298,DM_SLA_Cap,0)),168))/24)))</f>
      </c>
      <c r="AZ298" s="225">
        <f>IF(OR($A298="",TRIM($N298)="",COUNTIF('Phản ánh'!$K$6:$K$505,$N298)&gt;0,COUNTIF($N$6:$N298,$N298)&gt;1),0,1)</f>
      </c>
      <c r="BA298" s="225">
        <f>IF($AZ298=1,SUM($AZ$6:$AZ298),"")</f>
      </c>
      <c r="BB298" s="225">
        <f>IF(OR($AO298=0,N($AW298)=0),0,IF(TDBC&lt;=$AW298,0,MAX(1,MIN(4,IF((TDBC-$AW298)*24&lt;24,1,IF((TDBC-$AW298)*24&lt;72,2,IF((TDBC-$AW298)*24&lt;168,3,4)))+IF($B298="Đột xuất",IFERROR(INDEX({2,1,0,-1},MATCH($L298,{"Khẩn cấp","Cao","Trung bình","Thấp"},0)),0),IF($D298="PCCC và an ninh",1,0))))))</f>
      </c>
    </row>
    <row r="299">
      <c r="A299" s="216"/>
      <c r="B299" s="216"/>
      <c r="C299" s="218"/>
      <c r="D299" s="218"/>
      <c r="E299" s="218"/>
      <c r="F299" s="216"/>
      <c r="G299" s="218"/>
      <c r="H299" s="218"/>
      <c r="I299" s="231"/>
      <c r="J299" s="217"/>
      <c r="K299" s="217"/>
      <c r="L299" s="216"/>
      <c r="M299" s="216"/>
      <c r="N299" s="218"/>
      <c r="O299" s="218"/>
      <c r="P299" s="218"/>
      <c r="Q299" s="218"/>
      <c r="R299" s="219"/>
      <c r="S299" s="216"/>
      <c r="T299" s="232"/>
      <c r="U299" s="232"/>
      <c r="V299" s="218"/>
      <c r="W299" s="218"/>
      <c r="X299" s="220">
        <f>IF($A299="","",IF(OR($B299="Định kỳ",$AA299="Hoàn thành"),MAX(_xlfn.MAXIFS('Nhật ký tiến độ'!$B$6:$B$3005,'Nhật ký tiến độ'!$C$6:$C$3005,$A299,'Nhật ký tiến độ'!$E$6:$E$3005,"Hoàn thành kỳ"),_xlfn.MAXIFS('Nhật ký tiến độ'!$B$6:$B$3005,'Nhật ký tiến độ'!$C$6:$C$3005,$A299,'Nhật ký tiến độ'!$E$6:$E$3005,"Hoàn thành")),0))</f>
      </c>
      <c r="Y299" s="220">
        <f>IF($A299="","",IF($B299="Đột xuất",IF($AY299=0,"",$AY299),IF($AX299=0,"",$AX299)))</f>
      </c>
      <c r="Z299" s="223">
        <f>IF(OR($AO299=0,$AW299=0),"",IF(TDBC&gt;$AW299,"Quá "&amp;IF($B299="Định kỳ",(NgayBC-$AP299)&amp;" ngày",IF(((TDBC-$AW299)*24)&lt;1,MAX(1,ROUND(((TDBC-$AW299)*24)*60,0))&amp;" phút",IF(ROUND(((TDBC-$AW299)*24),0)&lt;24,ROUND(((TDBC-$AW299)*24),0)&amp;" giờ",INT(ROUND(((TDBC-$AW299)*24),0)/24)&amp;" ngày"&amp;IF(MOD(ROUND(((TDBC-$AW299)*24),0),24)&gt;0," "&amp;MOD(ROUND(((TDBC-$AW299)*24),0),24)&amp;" giờ","")))),IF($B299="Định kỳ",IF($AP299=NgayBC,"Hôm nay","Còn "&amp;($AP299-NgayBC)&amp;" ngày"),"Còn "&amp;IF((($AW299-TDBC)*24)&lt;1,MAX(1,ROUND((($AW299-TDBC)*24)*60,0))&amp;" phút",IF(ROUND((($AW299-TDBC)*24),0)&lt;24,ROUND((($AW299-TDBC)*24),0)&amp;" giờ",INT(ROUND((($AW299-TDBC)*24),0)/24)&amp;" ngày"&amp;IF(MOD(ROUND((($AW299-TDBC)*24),0),24)&gt;0," "&amp;MOD(ROUND((($AW299-TDBC)*24),0),24)&amp;" giờ",""))))))</f>
      </c>
      <c r="AA299" s="221">
        <f>IF($A299="","",IF(N($AM299)=0,"Chưa bắt đầu",IF(OR($AN299="Hoàn thành kỳ",$AN299="Hoàn thành"),IF($B299="Định kỳ","Chưa bắt đầu","Hoàn thành"),$AN299)))</f>
      </c>
      <c r="AB299" s="222">
        <f>IF($A299="","",IF($AA299="Hoàn thành",1,IF(OR(N($AM299)=0,$AN299="Hoàn thành kỳ",$AN299="Hoàn thành"),0,N(INDEX('Nhật ký tiến độ'!$D:$D,$AM299)))))</f>
      </c>
      <c r="AC299" s="222">
        <f>IF(OR($A299="",$B299&lt;&gt;"Đột xuất",$AA299="Hoàn thành",N($J299)=0,$AW299=0),"",IF(TDBC&lt;=$J299,0,IF(TDBC&gt;=$AW299,1,(TDBC-$J299)/($AW299-$J299))))</f>
      </c>
      <c r="AD299" s="223">
        <f>IF($A299="","",IF($AA299="Hoàn thành","Hoàn thành",IF($AW299=0,"Chưa đặt hạn",IF(TDBC&gt;$AW299,"Quá hạn",IF(AND($B299="Đột xuất",ROUND((N($AC299)-$AB299)*100,0)&gt;=20),"Chậm tiến độ",IF($AP299=NgayBC,"Đến hạn hôm nay",IF($B299="Đột xuất",IF($AW299-TDBC&lt;=1,"Sắp đến hạn","Đúng tiến độ"),IF($AP299-NgayBC&lt;=3,"Sắp đến hạn","Theo lịch"))))))))</f>
      </c>
      <c r="AE299" s="223">
        <f>IF($AV299="","",IF($B299="Định kỳ","Bình quân "&amp;IF($AV299&lt;1,MAX(1,ROUND($AV299*60,0))&amp;" phút",IF(ROUND($AV299,0)&lt;24,ROUND($AV299,0)&amp;" giờ",INT(ROUND($AV299,0)/24)&amp;" ngày"&amp;IF(MOD(ROUND($AV299,0),24)&gt;0," "&amp;MOD(ROUND($AV299,0),24)&amp;" giờ","")))&amp;" mỗi kỳ",IF($AV299&lt;1,MAX(1,ROUND($AV299*60,0))&amp;" phút",IF(ROUND($AV299,0)&lt;24,ROUND($AV299,0)&amp;" giờ",INT(ROUND($AV299,0)/24)&amp;" ngày"&amp;IF(MOD(ROUND($AV299,0),24)&gt;0," "&amp;MOD(ROUND($AV299,0),24)&amp;" giờ","")))))</f>
      </c>
      <c r="AF299" s="223">
        <f>IF(OR($A299="",N($AU299)=0),"",IF($AV299&lt;&gt;"",IF($AV299&lt;=$AU299,"Trong ước tính","Vượt "&amp;IF(($AV299-$AU299)&lt;1,MAX(1,ROUND(($AV299-$AU299)*60,0))&amp;" phút",IF(ROUND(($AV299-$AU299),0)&lt;24,ROUND(($AV299-$AU299),0)&amp;" giờ",INT(ROUND(($AV299-$AU299),0)/24)&amp;" ngày"&amp;IF(MOD(ROUND(($AV299-$AU299),0),24)&gt;0," "&amp;MOD(ROUND(($AV299-$AU299),0),24)&amp;" giờ","")))),IF(OR($B299&lt;&gt;"Đột xuất",$AA299="Hoàn thành",N($J299)=0),"",IF((TDBC-$J299)*24&gt;$AU299,"Đã vượt ước tính","Đã dùng "&amp;TEXT((TDBC-$J299)*24/$AU299,"0%")))))</f>
      </c>
      <c r="AG299" s="223">
        <f>IF(N($BB299)=0,"",CHOOSE($BB299,"Nhắc nhở","Cảnh báo","Báo động","Báo động đỏ"))</f>
      </c>
      <c r="AH299" s="223">
        <f>IF(OR($B299&lt;&gt;"Đột xuất",$AA299&lt;&gt;"Hoàn thành",N($X299)=0,$AW299=0),"",IF($X299&lt;=$AW299,"Đúng hạn","Trễ hạn"))</f>
      </c>
      <c r="AI299" s="220">
        <f>IF($A299="","",_xlfn.MAXIFS('Nhật ký tiến độ'!$B$6:$B$3005,'Nhật ký tiến độ'!$C$6:$C$3005,$A299))</f>
      </c>
      <c r="AJ299" s="225">
        <f>IF(OR($A299="",$B299&lt;&gt;"Định kỳ"),0,IFERROR(INDEX(DM_TanSuatNgay,MATCH($H299,DM_TanSuat,0)),0))</f>
      </c>
      <c r="AK299" s="225">
        <f>IF(OR($A299="",$B299&lt;&gt;"Định kỳ"),0,IFERROR(INDEX(DM_TanSuatThang,MATCH($H299,DM_TanSuat,0)),0))</f>
      </c>
      <c r="AL299" s="225">
        <f>IF(OR($A299="",$B299&lt;&gt;"Định kỳ",N($X299)=0,N($I299)=0),"",IF(INT($X299)&lt;$I299,0,IF($AJ299&gt;0,ROUND((INT($X299)-$I299)/$AJ299,0),IF($AK299&gt;0,ROUND((DATEDIF($I299,INT($X299),"m")+(INT($X299)-EDATE($I299,DATEDIF($I299,INT($X299),"m")))/(EDATE($I299,DATEDIF($I299,INT($X299),"m")+1)-EDATE($I299,DATEDIF($I299,INT($X299),"m"))))/$AK299,0),0))))</f>
      </c>
      <c r="AM299" s="225">
        <f>IF($A299="","",IF(COUNTIF('Nhật ký tiến độ'!$C$6:$C$3005,$A299)=0,0,_xlfn.MAXIFS('Nhật ký tiến độ'!$N$6:$N$3005,'Nhật ký tiến độ'!$C$6:$C$3005,$A299,'Nhật ký tiến độ'!$B$6:$B$3005,_xlfn.MAXIFS('Nhật ký tiến độ'!$B$6:$B$3005,'Nhật ký tiến độ'!$C$6:$C$3005,$A299))))</f>
      </c>
      <c r="AN299" s="225">
        <f>IF($A299="","",IF(N($AM299)=0,"",INDEX('Nhật ký tiến độ'!$E:$E,$AM299)))</f>
      </c>
      <c r="AO299" s="225">
        <f>IF($A299="",0,IF($AA299="Hoàn thành",0,1))</f>
      </c>
      <c r="AP299" s="225">
        <f>IF($AO299=0,0,INT(N($AW299)))</f>
      </c>
      <c r="AQ299" s="225">
        <f>IF(AND($AO299=1,$AJ299&gt;1),$AJ299,0)</f>
      </c>
      <c r="AR299" s="225">
        <f>IF(AND($AO299=1,$AJ299=1),1,0)</f>
      </c>
      <c r="AS299" s="225">
        <f>IF(OR($AO299=0,AND($AR299=1,N($BB299)=0)),"",IF(N($BB299)&gt;0,5-$BB299,IF($AD299="Chậm tiến độ",6,IF($AD299="Đến hạn hôm nay",7,IF(AND($AP299&gt;0,$AP299-NgayBC&lt;=7),8,"")))))</f>
      </c>
      <c r="AT299" s="225">
        <f>IF($AS299="","",$AS299*100000+$AP299+ROW()/100000)</f>
      </c>
      <c r="AU299" s="224">
        <f>IF(OR($A299="",N($R299)&lt;=0),"",IF($S299="Ngày",$R299*24,$R299))</f>
      </c>
      <c r="AV299" s="224">
        <f>IF($A299="","",IF($B299="Đột xuất",IF(OR($AA299&lt;&gt;"Hoàn thành",N($X299)=0,N($J299)=0),"",IF($X299&lt;$J299,"",($X299-$J299)*24)),IFERROR(AVERAGEIFS('Nhật ký tiến độ'!$H$6:$H$3005,'Nhật ký tiến độ'!$C$6:$C$3005,$A299,'Nhật ký tiến độ'!$H$6:$H$3005,"&gt;0"),"")))</f>
      </c>
      <c r="AW299" s="233">
        <f>IF($A299="",0,IF($B299="Đột xuất",$AY299,IF($AX299=0,0,$AX299+1-1/1440)))</f>
      </c>
      <c r="AX299" s="234">
        <f>IF(OR($A299="",$B299&lt;&gt;"Định kỳ",N($I299)=0),0,IF($AL299="",$I299,IF($AJ299&gt;0,$I299+($AL299+1)*$AJ299,IF($AK299&gt;0,EDATE($I299,($AL299+1)*$AK299),$I299))))</f>
      </c>
      <c r="AY299" s="233">
        <f>IF(OR($A299="",$B299&lt;&gt;"Đột xuất"),0,IF(N($K299)&gt;0,IF(MOD($K299,1)=0,$K299+1-1/1440,$K299),IF(N($J299)=0,0,$J299+IF(N($AU299)&gt;0,$AU299,IFERROR(INDEX(DM_SLA_Gio,MATCH($L299,DM_SLA_Cap,0)),168))/24)))</f>
      </c>
      <c r="AZ299" s="225">
        <f>IF(OR($A299="",TRIM($N299)="",COUNTIF('Phản ánh'!$K$6:$K$505,$N299)&gt;0,COUNTIF($N$6:$N299,$N299)&gt;1),0,1)</f>
      </c>
      <c r="BA299" s="225">
        <f>IF($AZ299=1,SUM($AZ$6:$AZ299),"")</f>
      </c>
      <c r="BB299" s="225">
        <f>IF(OR($AO299=0,N($AW299)=0),0,IF(TDBC&lt;=$AW299,0,MAX(1,MIN(4,IF((TDBC-$AW299)*24&lt;24,1,IF((TDBC-$AW299)*24&lt;72,2,IF((TDBC-$AW299)*24&lt;168,3,4)))+IF($B299="Đột xuất",IFERROR(INDEX({2,1,0,-1},MATCH($L299,{"Khẩn cấp","Cao","Trung bình","Thấp"},0)),0),IF($D299="PCCC và an ninh",1,0))))))</f>
      </c>
    </row>
    <row r="300">
      <c r="A300" s="216"/>
      <c r="B300" s="216"/>
      <c r="C300" s="218"/>
      <c r="D300" s="218"/>
      <c r="E300" s="218"/>
      <c r="F300" s="216"/>
      <c r="G300" s="218"/>
      <c r="H300" s="218"/>
      <c r="I300" s="231"/>
      <c r="J300" s="217"/>
      <c r="K300" s="217"/>
      <c r="L300" s="216"/>
      <c r="M300" s="216"/>
      <c r="N300" s="218"/>
      <c r="O300" s="218"/>
      <c r="P300" s="218"/>
      <c r="Q300" s="218"/>
      <c r="R300" s="219"/>
      <c r="S300" s="216"/>
      <c r="T300" s="232"/>
      <c r="U300" s="232"/>
      <c r="V300" s="218"/>
      <c r="W300" s="218"/>
      <c r="X300" s="220">
        <f>IF($A300="","",IF(OR($B300="Định kỳ",$AA300="Hoàn thành"),MAX(_xlfn.MAXIFS('Nhật ký tiến độ'!$B$6:$B$3005,'Nhật ký tiến độ'!$C$6:$C$3005,$A300,'Nhật ký tiến độ'!$E$6:$E$3005,"Hoàn thành kỳ"),_xlfn.MAXIFS('Nhật ký tiến độ'!$B$6:$B$3005,'Nhật ký tiến độ'!$C$6:$C$3005,$A300,'Nhật ký tiến độ'!$E$6:$E$3005,"Hoàn thành")),0))</f>
      </c>
      <c r="Y300" s="220">
        <f>IF($A300="","",IF($B300="Đột xuất",IF($AY300=0,"",$AY300),IF($AX300=0,"",$AX300)))</f>
      </c>
      <c r="Z300" s="223">
        <f>IF(OR($AO300=0,$AW300=0),"",IF(TDBC&gt;$AW300,"Quá "&amp;IF($B300="Định kỳ",(NgayBC-$AP300)&amp;" ngày",IF(((TDBC-$AW300)*24)&lt;1,MAX(1,ROUND(((TDBC-$AW300)*24)*60,0))&amp;" phút",IF(ROUND(((TDBC-$AW300)*24),0)&lt;24,ROUND(((TDBC-$AW300)*24),0)&amp;" giờ",INT(ROUND(((TDBC-$AW300)*24),0)/24)&amp;" ngày"&amp;IF(MOD(ROUND(((TDBC-$AW300)*24),0),24)&gt;0," "&amp;MOD(ROUND(((TDBC-$AW300)*24),0),24)&amp;" giờ","")))),IF($B300="Định kỳ",IF($AP300=NgayBC,"Hôm nay","Còn "&amp;($AP300-NgayBC)&amp;" ngày"),"Còn "&amp;IF((($AW300-TDBC)*24)&lt;1,MAX(1,ROUND((($AW300-TDBC)*24)*60,0))&amp;" phút",IF(ROUND((($AW300-TDBC)*24),0)&lt;24,ROUND((($AW300-TDBC)*24),0)&amp;" giờ",INT(ROUND((($AW300-TDBC)*24),0)/24)&amp;" ngày"&amp;IF(MOD(ROUND((($AW300-TDBC)*24),0),24)&gt;0," "&amp;MOD(ROUND((($AW300-TDBC)*24),0),24)&amp;" giờ",""))))))</f>
      </c>
      <c r="AA300" s="221">
        <f>IF($A300="","",IF(N($AM300)=0,"Chưa bắt đầu",IF(OR($AN300="Hoàn thành kỳ",$AN300="Hoàn thành"),IF($B300="Định kỳ","Chưa bắt đầu","Hoàn thành"),$AN300)))</f>
      </c>
      <c r="AB300" s="222">
        <f>IF($A300="","",IF($AA300="Hoàn thành",1,IF(OR(N($AM300)=0,$AN300="Hoàn thành kỳ",$AN300="Hoàn thành"),0,N(INDEX('Nhật ký tiến độ'!$D:$D,$AM300)))))</f>
      </c>
      <c r="AC300" s="222">
        <f>IF(OR($A300="",$B300&lt;&gt;"Đột xuất",$AA300="Hoàn thành",N($J300)=0,$AW300=0),"",IF(TDBC&lt;=$J300,0,IF(TDBC&gt;=$AW300,1,(TDBC-$J300)/($AW300-$J300))))</f>
      </c>
      <c r="AD300" s="223">
        <f>IF($A300="","",IF($AA300="Hoàn thành","Hoàn thành",IF($AW300=0,"Chưa đặt hạn",IF(TDBC&gt;$AW300,"Quá hạn",IF(AND($B300="Đột xuất",ROUND((N($AC300)-$AB300)*100,0)&gt;=20),"Chậm tiến độ",IF($AP300=NgayBC,"Đến hạn hôm nay",IF($B300="Đột xuất",IF($AW300-TDBC&lt;=1,"Sắp đến hạn","Đúng tiến độ"),IF($AP300-NgayBC&lt;=3,"Sắp đến hạn","Theo lịch"))))))))</f>
      </c>
      <c r="AE300" s="223">
        <f>IF($AV300="","",IF($B300="Định kỳ","Bình quân "&amp;IF($AV300&lt;1,MAX(1,ROUND($AV300*60,0))&amp;" phút",IF(ROUND($AV300,0)&lt;24,ROUND($AV300,0)&amp;" giờ",INT(ROUND($AV300,0)/24)&amp;" ngày"&amp;IF(MOD(ROUND($AV300,0),24)&gt;0," "&amp;MOD(ROUND($AV300,0),24)&amp;" giờ","")))&amp;" mỗi kỳ",IF($AV300&lt;1,MAX(1,ROUND($AV300*60,0))&amp;" phút",IF(ROUND($AV300,0)&lt;24,ROUND($AV300,0)&amp;" giờ",INT(ROUND($AV300,0)/24)&amp;" ngày"&amp;IF(MOD(ROUND($AV300,0),24)&gt;0," "&amp;MOD(ROUND($AV300,0),24)&amp;" giờ","")))))</f>
      </c>
      <c r="AF300" s="223">
        <f>IF(OR($A300="",N($AU300)=0),"",IF($AV300&lt;&gt;"",IF($AV300&lt;=$AU300,"Trong ước tính","Vượt "&amp;IF(($AV300-$AU300)&lt;1,MAX(1,ROUND(($AV300-$AU300)*60,0))&amp;" phút",IF(ROUND(($AV300-$AU300),0)&lt;24,ROUND(($AV300-$AU300),0)&amp;" giờ",INT(ROUND(($AV300-$AU300),0)/24)&amp;" ngày"&amp;IF(MOD(ROUND(($AV300-$AU300),0),24)&gt;0," "&amp;MOD(ROUND(($AV300-$AU300),0),24)&amp;" giờ","")))),IF(OR($B300&lt;&gt;"Đột xuất",$AA300="Hoàn thành",N($J300)=0),"",IF((TDBC-$J300)*24&gt;$AU300,"Đã vượt ước tính","Đã dùng "&amp;TEXT((TDBC-$J300)*24/$AU300,"0%")))))</f>
      </c>
      <c r="AG300" s="223">
        <f>IF(N($BB300)=0,"",CHOOSE($BB300,"Nhắc nhở","Cảnh báo","Báo động","Báo động đỏ"))</f>
      </c>
      <c r="AH300" s="223">
        <f>IF(OR($B300&lt;&gt;"Đột xuất",$AA300&lt;&gt;"Hoàn thành",N($X300)=0,$AW300=0),"",IF($X300&lt;=$AW300,"Đúng hạn","Trễ hạn"))</f>
      </c>
      <c r="AI300" s="220">
        <f>IF($A300="","",_xlfn.MAXIFS('Nhật ký tiến độ'!$B$6:$B$3005,'Nhật ký tiến độ'!$C$6:$C$3005,$A300))</f>
      </c>
      <c r="AJ300" s="225">
        <f>IF(OR($A300="",$B300&lt;&gt;"Định kỳ"),0,IFERROR(INDEX(DM_TanSuatNgay,MATCH($H300,DM_TanSuat,0)),0))</f>
      </c>
      <c r="AK300" s="225">
        <f>IF(OR($A300="",$B300&lt;&gt;"Định kỳ"),0,IFERROR(INDEX(DM_TanSuatThang,MATCH($H300,DM_TanSuat,0)),0))</f>
      </c>
      <c r="AL300" s="225">
        <f>IF(OR($A300="",$B300&lt;&gt;"Định kỳ",N($X300)=0,N($I300)=0),"",IF(INT($X300)&lt;$I300,0,IF($AJ300&gt;0,ROUND((INT($X300)-$I300)/$AJ300,0),IF($AK300&gt;0,ROUND((DATEDIF($I300,INT($X300),"m")+(INT($X300)-EDATE($I300,DATEDIF($I300,INT($X300),"m")))/(EDATE($I300,DATEDIF($I300,INT($X300),"m")+1)-EDATE($I300,DATEDIF($I300,INT($X300),"m"))))/$AK300,0),0))))</f>
      </c>
      <c r="AM300" s="225">
        <f>IF($A300="","",IF(COUNTIF('Nhật ký tiến độ'!$C$6:$C$3005,$A300)=0,0,_xlfn.MAXIFS('Nhật ký tiến độ'!$N$6:$N$3005,'Nhật ký tiến độ'!$C$6:$C$3005,$A300,'Nhật ký tiến độ'!$B$6:$B$3005,_xlfn.MAXIFS('Nhật ký tiến độ'!$B$6:$B$3005,'Nhật ký tiến độ'!$C$6:$C$3005,$A300))))</f>
      </c>
      <c r="AN300" s="225">
        <f>IF($A300="","",IF(N($AM300)=0,"",INDEX('Nhật ký tiến độ'!$E:$E,$AM300)))</f>
      </c>
      <c r="AO300" s="225">
        <f>IF($A300="",0,IF($AA300="Hoàn thành",0,1))</f>
      </c>
      <c r="AP300" s="225">
        <f>IF($AO300=0,0,INT(N($AW300)))</f>
      </c>
      <c r="AQ300" s="225">
        <f>IF(AND($AO300=1,$AJ300&gt;1),$AJ300,0)</f>
      </c>
      <c r="AR300" s="225">
        <f>IF(AND($AO300=1,$AJ300=1),1,0)</f>
      </c>
      <c r="AS300" s="225">
        <f>IF(OR($AO300=0,AND($AR300=1,N($BB300)=0)),"",IF(N($BB300)&gt;0,5-$BB300,IF($AD300="Chậm tiến độ",6,IF($AD300="Đến hạn hôm nay",7,IF(AND($AP300&gt;0,$AP300-NgayBC&lt;=7),8,"")))))</f>
      </c>
      <c r="AT300" s="225">
        <f>IF($AS300="","",$AS300*100000+$AP300+ROW()/100000)</f>
      </c>
      <c r="AU300" s="224">
        <f>IF(OR($A300="",N($R300)&lt;=0),"",IF($S300="Ngày",$R300*24,$R300))</f>
      </c>
      <c r="AV300" s="224">
        <f>IF($A300="","",IF($B300="Đột xuất",IF(OR($AA300&lt;&gt;"Hoàn thành",N($X300)=0,N($J300)=0),"",IF($X300&lt;$J300,"",($X300-$J300)*24)),IFERROR(AVERAGEIFS('Nhật ký tiến độ'!$H$6:$H$3005,'Nhật ký tiến độ'!$C$6:$C$3005,$A300,'Nhật ký tiến độ'!$H$6:$H$3005,"&gt;0"),"")))</f>
      </c>
      <c r="AW300" s="233">
        <f>IF($A300="",0,IF($B300="Đột xuất",$AY300,IF($AX300=0,0,$AX300+1-1/1440)))</f>
      </c>
      <c r="AX300" s="234">
        <f>IF(OR($A300="",$B300&lt;&gt;"Định kỳ",N($I300)=0),0,IF($AL300="",$I300,IF($AJ300&gt;0,$I300+($AL300+1)*$AJ300,IF($AK300&gt;0,EDATE($I300,($AL300+1)*$AK300),$I300))))</f>
      </c>
      <c r="AY300" s="233">
        <f>IF(OR($A300="",$B300&lt;&gt;"Đột xuất"),0,IF(N($K300)&gt;0,IF(MOD($K300,1)=0,$K300+1-1/1440,$K300),IF(N($J300)=0,0,$J300+IF(N($AU300)&gt;0,$AU300,IFERROR(INDEX(DM_SLA_Gio,MATCH($L300,DM_SLA_Cap,0)),168))/24)))</f>
      </c>
      <c r="AZ300" s="225">
        <f>IF(OR($A300="",TRIM($N300)="",COUNTIF('Phản ánh'!$K$6:$K$505,$N300)&gt;0,COUNTIF($N$6:$N300,$N300)&gt;1),0,1)</f>
      </c>
      <c r="BA300" s="225">
        <f>IF($AZ300=1,SUM($AZ$6:$AZ300),"")</f>
      </c>
      <c r="BB300" s="225">
        <f>IF(OR($AO300=0,N($AW300)=0),0,IF(TDBC&lt;=$AW300,0,MAX(1,MIN(4,IF((TDBC-$AW300)*24&lt;24,1,IF((TDBC-$AW300)*24&lt;72,2,IF((TDBC-$AW300)*24&lt;168,3,4)))+IF($B300="Đột xuất",IFERROR(INDEX({2,1,0,-1},MATCH($L300,{"Khẩn cấp","Cao","Trung bình","Thấp"},0)),0),IF($D300="PCCC và an ninh",1,0))))))</f>
      </c>
    </row>
    <row r="301">
      <c r="A301" s="216"/>
      <c r="B301" s="216"/>
      <c r="C301" s="218"/>
      <c r="D301" s="218"/>
      <c r="E301" s="218"/>
      <c r="F301" s="216"/>
      <c r="G301" s="218"/>
      <c r="H301" s="218"/>
      <c r="I301" s="231"/>
      <c r="J301" s="217"/>
      <c r="K301" s="217"/>
      <c r="L301" s="216"/>
      <c r="M301" s="216"/>
      <c r="N301" s="218"/>
      <c r="O301" s="218"/>
      <c r="P301" s="218"/>
      <c r="Q301" s="218"/>
      <c r="R301" s="219"/>
      <c r="S301" s="216"/>
      <c r="T301" s="232"/>
      <c r="U301" s="232"/>
      <c r="V301" s="218"/>
      <c r="W301" s="218"/>
      <c r="X301" s="220">
        <f>IF($A301="","",IF(OR($B301="Định kỳ",$AA301="Hoàn thành"),MAX(_xlfn.MAXIFS('Nhật ký tiến độ'!$B$6:$B$3005,'Nhật ký tiến độ'!$C$6:$C$3005,$A301,'Nhật ký tiến độ'!$E$6:$E$3005,"Hoàn thành kỳ"),_xlfn.MAXIFS('Nhật ký tiến độ'!$B$6:$B$3005,'Nhật ký tiến độ'!$C$6:$C$3005,$A301,'Nhật ký tiến độ'!$E$6:$E$3005,"Hoàn thành")),0))</f>
      </c>
      <c r="Y301" s="220">
        <f>IF($A301="","",IF($B301="Đột xuất",IF($AY301=0,"",$AY301),IF($AX301=0,"",$AX301)))</f>
      </c>
      <c r="Z301" s="223">
        <f>IF(OR($AO301=0,$AW301=0),"",IF(TDBC&gt;$AW301,"Quá "&amp;IF($B301="Định kỳ",(NgayBC-$AP301)&amp;" ngày",IF(((TDBC-$AW301)*24)&lt;1,MAX(1,ROUND(((TDBC-$AW301)*24)*60,0))&amp;" phút",IF(ROUND(((TDBC-$AW301)*24),0)&lt;24,ROUND(((TDBC-$AW301)*24),0)&amp;" giờ",INT(ROUND(((TDBC-$AW301)*24),0)/24)&amp;" ngày"&amp;IF(MOD(ROUND(((TDBC-$AW301)*24),0),24)&gt;0," "&amp;MOD(ROUND(((TDBC-$AW301)*24),0),24)&amp;" giờ","")))),IF($B301="Định kỳ",IF($AP301=NgayBC,"Hôm nay","Còn "&amp;($AP301-NgayBC)&amp;" ngày"),"Còn "&amp;IF((($AW301-TDBC)*24)&lt;1,MAX(1,ROUND((($AW301-TDBC)*24)*60,0))&amp;" phút",IF(ROUND((($AW301-TDBC)*24),0)&lt;24,ROUND((($AW301-TDBC)*24),0)&amp;" giờ",INT(ROUND((($AW301-TDBC)*24),0)/24)&amp;" ngày"&amp;IF(MOD(ROUND((($AW301-TDBC)*24),0),24)&gt;0," "&amp;MOD(ROUND((($AW301-TDBC)*24),0),24)&amp;" giờ",""))))))</f>
      </c>
      <c r="AA301" s="221">
        <f>IF($A301="","",IF(N($AM301)=0,"Chưa bắt đầu",IF(OR($AN301="Hoàn thành kỳ",$AN301="Hoàn thành"),IF($B301="Định kỳ","Chưa bắt đầu","Hoàn thành"),$AN301)))</f>
      </c>
      <c r="AB301" s="222">
        <f>IF($A301="","",IF($AA301="Hoàn thành",1,IF(OR(N($AM301)=0,$AN301="Hoàn thành kỳ",$AN301="Hoàn thành"),0,N(INDEX('Nhật ký tiến độ'!$D:$D,$AM301)))))</f>
      </c>
      <c r="AC301" s="222">
        <f>IF(OR($A301="",$B301&lt;&gt;"Đột xuất",$AA301="Hoàn thành",N($J301)=0,$AW301=0),"",IF(TDBC&lt;=$J301,0,IF(TDBC&gt;=$AW301,1,(TDBC-$J301)/($AW301-$J301))))</f>
      </c>
      <c r="AD301" s="223">
        <f>IF($A301="","",IF($AA301="Hoàn thành","Hoàn thành",IF($AW301=0,"Chưa đặt hạn",IF(TDBC&gt;$AW301,"Quá hạn",IF(AND($B301="Đột xuất",ROUND((N($AC301)-$AB301)*100,0)&gt;=20),"Chậm tiến độ",IF($AP301=NgayBC,"Đến hạn hôm nay",IF($B301="Đột xuất",IF($AW301-TDBC&lt;=1,"Sắp đến hạn","Đúng tiến độ"),IF($AP301-NgayBC&lt;=3,"Sắp đến hạn","Theo lịch"))))))))</f>
      </c>
      <c r="AE301" s="223">
        <f>IF($AV301="","",IF($B301="Định kỳ","Bình quân "&amp;IF($AV301&lt;1,MAX(1,ROUND($AV301*60,0))&amp;" phút",IF(ROUND($AV301,0)&lt;24,ROUND($AV301,0)&amp;" giờ",INT(ROUND($AV301,0)/24)&amp;" ngày"&amp;IF(MOD(ROUND($AV301,0),24)&gt;0," "&amp;MOD(ROUND($AV301,0),24)&amp;" giờ","")))&amp;" mỗi kỳ",IF($AV301&lt;1,MAX(1,ROUND($AV301*60,0))&amp;" phút",IF(ROUND($AV301,0)&lt;24,ROUND($AV301,0)&amp;" giờ",INT(ROUND($AV301,0)/24)&amp;" ngày"&amp;IF(MOD(ROUND($AV301,0),24)&gt;0," "&amp;MOD(ROUND($AV301,0),24)&amp;" giờ","")))))</f>
      </c>
      <c r="AF301" s="223">
        <f>IF(OR($A301="",N($AU301)=0),"",IF($AV301&lt;&gt;"",IF($AV301&lt;=$AU301,"Trong ước tính","Vượt "&amp;IF(($AV301-$AU301)&lt;1,MAX(1,ROUND(($AV301-$AU301)*60,0))&amp;" phút",IF(ROUND(($AV301-$AU301),0)&lt;24,ROUND(($AV301-$AU301),0)&amp;" giờ",INT(ROUND(($AV301-$AU301),0)/24)&amp;" ngày"&amp;IF(MOD(ROUND(($AV301-$AU301),0),24)&gt;0," "&amp;MOD(ROUND(($AV301-$AU301),0),24)&amp;" giờ","")))),IF(OR($B301&lt;&gt;"Đột xuất",$AA301="Hoàn thành",N($J301)=0),"",IF((TDBC-$J301)*24&gt;$AU301,"Đã vượt ước tính","Đã dùng "&amp;TEXT((TDBC-$J301)*24/$AU301,"0%")))))</f>
      </c>
      <c r="AG301" s="223">
        <f>IF(N($BB301)=0,"",CHOOSE($BB301,"Nhắc nhở","Cảnh báo","Báo động","Báo động đỏ"))</f>
      </c>
      <c r="AH301" s="223">
        <f>IF(OR($B301&lt;&gt;"Đột xuất",$AA301&lt;&gt;"Hoàn thành",N($X301)=0,$AW301=0),"",IF($X301&lt;=$AW301,"Đúng hạn","Trễ hạn"))</f>
      </c>
      <c r="AI301" s="220">
        <f>IF($A301="","",_xlfn.MAXIFS('Nhật ký tiến độ'!$B$6:$B$3005,'Nhật ký tiến độ'!$C$6:$C$3005,$A301))</f>
      </c>
      <c r="AJ301" s="225">
        <f>IF(OR($A301="",$B301&lt;&gt;"Định kỳ"),0,IFERROR(INDEX(DM_TanSuatNgay,MATCH($H301,DM_TanSuat,0)),0))</f>
      </c>
      <c r="AK301" s="225">
        <f>IF(OR($A301="",$B301&lt;&gt;"Định kỳ"),0,IFERROR(INDEX(DM_TanSuatThang,MATCH($H301,DM_TanSuat,0)),0))</f>
      </c>
      <c r="AL301" s="225">
        <f>IF(OR($A301="",$B301&lt;&gt;"Định kỳ",N($X301)=0,N($I301)=0),"",IF(INT($X301)&lt;$I301,0,IF($AJ301&gt;0,ROUND((INT($X301)-$I301)/$AJ301,0),IF($AK301&gt;0,ROUND((DATEDIF($I301,INT($X301),"m")+(INT($X301)-EDATE($I301,DATEDIF($I301,INT($X301),"m")))/(EDATE($I301,DATEDIF($I301,INT($X301),"m")+1)-EDATE($I301,DATEDIF($I301,INT($X301),"m"))))/$AK301,0),0))))</f>
      </c>
      <c r="AM301" s="225">
        <f>IF($A301="","",IF(COUNTIF('Nhật ký tiến độ'!$C$6:$C$3005,$A301)=0,0,_xlfn.MAXIFS('Nhật ký tiến độ'!$N$6:$N$3005,'Nhật ký tiến độ'!$C$6:$C$3005,$A301,'Nhật ký tiến độ'!$B$6:$B$3005,_xlfn.MAXIFS('Nhật ký tiến độ'!$B$6:$B$3005,'Nhật ký tiến độ'!$C$6:$C$3005,$A301))))</f>
      </c>
      <c r="AN301" s="225">
        <f>IF($A301="","",IF(N($AM301)=0,"",INDEX('Nhật ký tiến độ'!$E:$E,$AM301)))</f>
      </c>
      <c r="AO301" s="225">
        <f>IF($A301="",0,IF($AA301="Hoàn thành",0,1))</f>
      </c>
      <c r="AP301" s="225">
        <f>IF($AO301=0,0,INT(N($AW301)))</f>
      </c>
      <c r="AQ301" s="225">
        <f>IF(AND($AO301=1,$AJ301&gt;1),$AJ301,0)</f>
      </c>
      <c r="AR301" s="225">
        <f>IF(AND($AO301=1,$AJ301=1),1,0)</f>
      </c>
      <c r="AS301" s="225">
        <f>IF(OR($AO301=0,AND($AR301=1,N($BB301)=0)),"",IF(N($BB301)&gt;0,5-$BB301,IF($AD301="Chậm tiến độ",6,IF($AD301="Đến hạn hôm nay",7,IF(AND($AP301&gt;0,$AP301-NgayBC&lt;=7),8,"")))))</f>
      </c>
      <c r="AT301" s="225">
        <f>IF($AS301="","",$AS301*100000+$AP301+ROW()/100000)</f>
      </c>
      <c r="AU301" s="224">
        <f>IF(OR($A301="",N($R301)&lt;=0),"",IF($S301="Ngày",$R301*24,$R301))</f>
      </c>
      <c r="AV301" s="224">
        <f>IF($A301="","",IF($B301="Đột xuất",IF(OR($AA301&lt;&gt;"Hoàn thành",N($X301)=0,N($J301)=0),"",IF($X301&lt;$J301,"",($X301-$J301)*24)),IFERROR(AVERAGEIFS('Nhật ký tiến độ'!$H$6:$H$3005,'Nhật ký tiến độ'!$C$6:$C$3005,$A301,'Nhật ký tiến độ'!$H$6:$H$3005,"&gt;0"),"")))</f>
      </c>
      <c r="AW301" s="233">
        <f>IF($A301="",0,IF($B301="Đột xuất",$AY301,IF($AX301=0,0,$AX301+1-1/1440)))</f>
      </c>
      <c r="AX301" s="234">
        <f>IF(OR($A301="",$B301&lt;&gt;"Định kỳ",N($I301)=0),0,IF($AL301="",$I301,IF($AJ301&gt;0,$I301+($AL301+1)*$AJ301,IF($AK301&gt;0,EDATE($I301,($AL301+1)*$AK301),$I301))))</f>
      </c>
      <c r="AY301" s="233">
        <f>IF(OR($A301="",$B301&lt;&gt;"Đột xuất"),0,IF(N($K301)&gt;0,IF(MOD($K301,1)=0,$K301+1-1/1440,$K301),IF(N($J301)=0,0,$J301+IF(N($AU301)&gt;0,$AU301,IFERROR(INDEX(DM_SLA_Gio,MATCH($L301,DM_SLA_Cap,0)),168))/24)))</f>
      </c>
      <c r="AZ301" s="225">
        <f>IF(OR($A301="",TRIM($N301)="",COUNTIF('Phản ánh'!$K$6:$K$505,$N301)&gt;0,COUNTIF($N$6:$N301,$N301)&gt;1),0,1)</f>
      </c>
      <c r="BA301" s="225">
        <f>IF($AZ301=1,SUM($AZ$6:$AZ301),"")</f>
      </c>
      <c r="BB301" s="225">
        <f>IF(OR($AO301=0,N($AW301)=0),0,IF(TDBC&lt;=$AW301,0,MAX(1,MIN(4,IF((TDBC-$AW301)*24&lt;24,1,IF((TDBC-$AW301)*24&lt;72,2,IF((TDBC-$AW301)*24&lt;168,3,4)))+IF($B301="Đột xuất",IFERROR(INDEX({2,1,0,-1},MATCH($L301,{"Khẩn cấp","Cao","Trung bình","Thấp"},0)),0),IF($D301="PCCC và an ninh",1,0))))))</f>
      </c>
    </row>
    <row r="302">
      <c r="A302" s="216"/>
      <c r="B302" s="216"/>
      <c r="C302" s="218"/>
      <c r="D302" s="218"/>
      <c r="E302" s="218"/>
      <c r="F302" s="216"/>
      <c r="G302" s="218"/>
      <c r="H302" s="218"/>
      <c r="I302" s="231"/>
      <c r="J302" s="217"/>
      <c r="K302" s="217"/>
      <c r="L302" s="216"/>
      <c r="M302" s="216"/>
      <c r="N302" s="218"/>
      <c r="O302" s="218"/>
      <c r="P302" s="218"/>
      <c r="Q302" s="218"/>
      <c r="R302" s="219"/>
      <c r="S302" s="216"/>
      <c r="T302" s="232"/>
      <c r="U302" s="232"/>
      <c r="V302" s="218"/>
      <c r="W302" s="218"/>
      <c r="X302" s="220">
        <f>IF($A302="","",IF(OR($B302="Định kỳ",$AA302="Hoàn thành"),MAX(_xlfn.MAXIFS('Nhật ký tiến độ'!$B$6:$B$3005,'Nhật ký tiến độ'!$C$6:$C$3005,$A302,'Nhật ký tiến độ'!$E$6:$E$3005,"Hoàn thành kỳ"),_xlfn.MAXIFS('Nhật ký tiến độ'!$B$6:$B$3005,'Nhật ký tiến độ'!$C$6:$C$3005,$A302,'Nhật ký tiến độ'!$E$6:$E$3005,"Hoàn thành")),0))</f>
      </c>
      <c r="Y302" s="220">
        <f>IF($A302="","",IF($B302="Đột xuất",IF($AY302=0,"",$AY302),IF($AX302=0,"",$AX302)))</f>
      </c>
      <c r="Z302" s="223">
        <f>IF(OR($AO302=0,$AW302=0),"",IF(TDBC&gt;$AW302,"Quá "&amp;IF($B302="Định kỳ",(NgayBC-$AP302)&amp;" ngày",IF(((TDBC-$AW302)*24)&lt;1,MAX(1,ROUND(((TDBC-$AW302)*24)*60,0))&amp;" phút",IF(ROUND(((TDBC-$AW302)*24),0)&lt;24,ROUND(((TDBC-$AW302)*24),0)&amp;" giờ",INT(ROUND(((TDBC-$AW302)*24),0)/24)&amp;" ngày"&amp;IF(MOD(ROUND(((TDBC-$AW302)*24),0),24)&gt;0," "&amp;MOD(ROUND(((TDBC-$AW302)*24),0),24)&amp;" giờ","")))),IF($B302="Định kỳ",IF($AP302=NgayBC,"Hôm nay","Còn "&amp;($AP302-NgayBC)&amp;" ngày"),"Còn "&amp;IF((($AW302-TDBC)*24)&lt;1,MAX(1,ROUND((($AW302-TDBC)*24)*60,0))&amp;" phút",IF(ROUND((($AW302-TDBC)*24),0)&lt;24,ROUND((($AW302-TDBC)*24),0)&amp;" giờ",INT(ROUND((($AW302-TDBC)*24),0)/24)&amp;" ngày"&amp;IF(MOD(ROUND((($AW302-TDBC)*24),0),24)&gt;0," "&amp;MOD(ROUND((($AW302-TDBC)*24),0),24)&amp;" giờ",""))))))</f>
      </c>
      <c r="AA302" s="221">
        <f>IF($A302="","",IF(N($AM302)=0,"Chưa bắt đầu",IF(OR($AN302="Hoàn thành kỳ",$AN302="Hoàn thành"),IF($B302="Định kỳ","Chưa bắt đầu","Hoàn thành"),$AN302)))</f>
      </c>
      <c r="AB302" s="222">
        <f>IF($A302="","",IF($AA302="Hoàn thành",1,IF(OR(N($AM302)=0,$AN302="Hoàn thành kỳ",$AN302="Hoàn thành"),0,N(INDEX('Nhật ký tiến độ'!$D:$D,$AM302)))))</f>
      </c>
      <c r="AC302" s="222">
        <f>IF(OR($A302="",$B302&lt;&gt;"Đột xuất",$AA302="Hoàn thành",N($J302)=0,$AW302=0),"",IF(TDBC&lt;=$J302,0,IF(TDBC&gt;=$AW302,1,(TDBC-$J302)/($AW302-$J302))))</f>
      </c>
      <c r="AD302" s="223">
        <f>IF($A302="","",IF($AA302="Hoàn thành","Hoàn thành",IF($AW302=0,"Chưa đặt hạn",IF(TDBC&gt;$AW302,"Quá hạn",IF(AND($B302="Đột xuất",ROUND((N($AC302)-$AB302)*100,0)&gt;=20),"Chậm tiến độ",IF($AP302=NgayBC,"Đến hạn hôm nay",IF($B302="Đột xuất",IF($AW302-TDBC&lt;=1,"Sắp đến hạn","Đúng tiến độ"),IF($AP302-NgayBC&lt;=3,"Sắp đến hạn","Theo lịch"))))))))</f>
      </c>
      <c r="AE302" s="223">
        <f>IF($AV302="","",IF($B302="Định kỳ","Bình quân "&amp;IF($AV302&lt;1,MAX(1,ROUND($AV302*60,0))&amp;" phút",IF(ROUND($AV302,0)&lt;24,ROUND($AV302,0)&amp;" giờ",INT(ROUND($AV302,0)/24)&amp;" ngày"&amp;IF(MOD(ROUND($AV302,0),24)&gt;0," "&amp;MOD(ROUND($AV302,0),24)&amp;" giờ","")))&amp;" mỗi kỳ",IF($AV302&lt;1,MAX(1,ROUND($AV302*60,0))&amp;" phút",IF(ROUND($AV302,0)&lt;24,ROUND($AV302,0)&amp;" giờ",INT(ROUND($AV302,0)/24)&amp;" ngày"&amp;IF(MOD(ROUND($AV302,0),24)&gt;0," "&amp;MOD(ROUND($AV302,0),24)&amp;" giờ","")))))</f>
      </c>
      <c r="AF302" s="223">
        <f>IF(OR($A302="",N($AU302)=0),"",IF($AV302&lt;&gt;"",IF($AV302&lt;=$AU302,"Trong ước tính","Vượt "&amp;IF(($AV302-$AU302)&lt;1,MAX(1,ROUND(($AV302-$AU302)*60,0))&amp;" phút",IF(ROUND(($AV302-$AU302),0)&lt;24,ROUND(($AV302-$AU302),0)&amp;" giờ",INT(ROUND(($AV302-$AU302),0)/24)&amp;" ngày"&amp;IF(MOD(ROUND(($AV302-$AU302),0),24)&gt;0," "&amp;MOD(ROUND(($AV302-$AU302),0),24)&amp;" giờ","")))),IF(OR($B302&lt;&gt;"Đột xuất",$AA302="Hoàn thành",N($J302)=0),"",IF((TDBC-$J302)*24&gt;$AU302,"Đã vượt ước tính","Đã dùng "&amp;TEXT((TDBC-$J302)*24/$AU302,"0%")))))</f>
      </c>
      <c r="AG302" s="223">
        <f>IF(N($BB302)=0,"",CHOOSE($BB302,"Nhắc nhở","Cảnh báo","Báo động","Báo động đỏ"))</f>
      </c>
      <c r="AH302" s="223">
        <f>IF(OR($B302&lt;&gt;"Đột xuất",$AA302&lt;&gt;"Hoàn thành",N($X302)=0,$AW302=0),"",IF($X302&lt;=$AW302,"Đúng hạn","Trễ hạn"))</f>
      </c>
      <c r="AI302" s="220">
        <f>IF($A302="","",_xlfn.MAXIFS('Nhật ký tiến độ'!$B$6:$B$3005,'Nhật ký tiến độ'!$C$6:$C$3005,$A302))</f>
      </c>
      <c r="AJ302" s="225">
        <f>IF(OR($A302="",$B302&lt;&gt;"Định kỳ"),0,IFERROR(INDEX(DM_TanSuatNgay,MATCH($H302,DM_TanSuat,0)),0))</f>
      </c>
      <c r="AK302" s="225">
        <f>IF(OR($A302="",$B302&lt;&gt;"Định kỳ"),0,IFERROR(INDEX(DM_TanSuatThang,MATCH($H302,DM_TanSuat,0)),0))</f>
      </c>
      <c r="AL302" s="225">
        <f>IF(OR($A302="",$B302&lt;&gt;"Định kỳ",N($X302)=0,N($I302)=0),"",IF(INT($X302)&lt;$I302,0,IF($AJ302&gt;0,ROUND((INT($X302)-$I302)/$AJ302,0),IF($AK302&gt;0,ROUND((DATEDIF($I302,INT($X302),"m")+(INT($X302)-EDATE($I302,DATEDIF($I302,INT($X302),"m")))/(EDATE($I302,DATEDIF($I302,INT($X302),"m")+1)-EDATE($I302,DATEDIF($I302,INT($X302),"m"))))/$AK302,0),0))))</f>
      </c>
      <c r="AM302" s="225">
        <f>IF($A302="","",IF(COUNTIF('Nhật ký tiến độ'!$C$6:$C$3005,$A302)=0,0,_xlfn.MAXIFS('Nhật ký tiến độ'!$N$6:$N$3005,'Nhật ký tiến độ'!$C$6:$C$3005,$A302,'Nhật ký tiến độ'!$B$6:$B$3005,_xlfn.MAXIFS('Nhật ký tiến độ'!$B$6:$B$3005,'Nhật ký tiến độ'!$C$6:$C$3005,$A302))))</f>
      </c>
      <c r="AN302" s="225">
        <f>IF($A302="","",IF(N($AM302)=0,"",INDEX('Nhật ký tiến độ'!$E:$E,$AM302)))</f>
      </c>
      <c r="AO302" s="225">
        <f>IF($A302="",0,IF($AA302="Hoàn thành",0,1))</f>
      </c>
      <c r="AP302" s="225">
        <f>IF($AO302=0,0,INT(N($AW302)))</f>
      </c>
      <c r="AQ302" s="225">
        <f>IF(AND($AO302=1,$AJ302&gt;1),$AJ302,0)</f>
      </c>
      <c r="AR302" s="225">
        <f>IF(AND($AO302=1,$AJ302=1),1,0)</f>
      </c>
      <c r="AS302" s="225">
        <f>IF(OR($AO302=0,AND($AR302=1,N($BB302)=0)),"",IF(N($BB302)&gt;0,5-$BB302,IF($AD302="Chậm tiến độ",6,IF($AD302="Đến hạn hôm nay",7,IF(AND($AP302&gt;0,$AP302-NgayBC&lt;=7),8,"")))))</f>
      </c>
      <c r="AT302" s="225">
        <f>IF($AS302="","",$AS302*100000+$AP302+ROW()/100000)</f>
      </c>
      <c r="AU302" s="224">
        <f>IF(OR($A302="",N($R302)&lt;=0),"",IF($S302="Ngày",$R302*24,$R302))</f>
      </c>
      <c r="AV302" s="224">
        <f>IF($A302="","",IF($B302="Đột xuất",IF(OR($AA302&lt;&gt;"Hoàn thành",N($X302)=0,N($J302)=0),"",IF($X302&lt;$J302,"",($X302-$J302)*24)),IFERROR(AVERAGEIFS('Nhật ký tiến độ'!$H$6:$H$3005,'Nhật ký tiến độ'!$C$6:$C$3005,$A302,'Nhật ký tiến độ'!$H$6:$H$3005,"&gt;0"),"")))</f>
      </c>
      <c r="AW302" s="233">
        <f>IF($A302="",0,IF($B302="Đột xuất",$AY302,IF($AX302=0,0,$AX302+1-1/1440)))</f>
      </c>
      <c r="AX302" s="234">
        <f>IF(OR($A302="",$B302&lt;&gt;"Định kỳ",N($I302)=0),0,IF($AL302="",$I302,IF($AJ302&gt;0,$I302+($AL302+1)*$AJ302,IF($AK302&gt;0,EDATE($I302,($AL302+1)*$AK302),$I302))))</f>
      </c>
      <c r="AY302" s="233">
        <f>IF(OR($A302="",$B302&lt;&gt;"Đột xuất"),0,IF(N($K302)&gt;0,IF(MOD($K302,1)=0,$K302+1-1/1440,$K302),IF(N($J302)=0,0,$J302+IF(N($AU302)&gt;0,$AU302,IFERROR(INDEX(DM_SLA_Gio,MATCH($L302,DM_SLA_Cap,0)),168))/24)))</f>
      </c>
      <c r="AZ302" s="225">
        <f>IF(OR($A302="",TRIM($N302)="",COUNTIF('Phản ánh'!$K$6:$K$505,$N302)&gt;0,COUNTIF($N$6:$N302,$N302)&gt;1),0,1)</f>
      </c>
      <c r="BA302" s="225">
        <f>IF($AZ302=1,SUM($AZ$6:$AZ302),"")</f>
      </c>
      <c r="BB302" s="225">
        <f>IF(OR($AO302=0,N($AW302)=0),0,IF(TDBC&lt;=$AW302,0,MAX(1,MIN(4,IF((TDBC-$AW302)*24&lt;24,1,IF((TDBC-$AW302)*24&lt;72,2,IF((TDBC-$AW302)*24&lt;168,3,4)))+IF($B302="Đột xuất",IFERROR(INDEX({2,1,0,-1},MATCH($L302,{"Khẩn cấp","Cao","Trung bình","Thấp"},0)),0),IF($D302="PCCC và an ninh",1,0))))))</f>
      </c>
    </row>
    <row r="303">
      <c r="A303" s="216"/>
      <c r="B303" s="216"/>
      <c r="C303" s="218"/>
      <c r="D303" s="218"/>
      <c r="E303" s="218"/>
      <c r="F303" s="216"/>
      <c r="G303" s="218"/>
      <c r="H303" s="218"/>
      <c r="I303" s="231"/>
      <c r="J303" s="217"/>
      <c r="K303" s="217"/>
      <c r="L303" s="216"/>
      <c r="M303" s="216"/>
      <c r="N303" s="218"/>
      <c r="O303" s="218"/>
      <c r="P303" s="218"/>
      <c r="Q303" s="218"/>
      <c r="R303" s="219"/>
      <c r="S303" s="216"/>
      <c r="T303" s="232"/>
      <c r="U303" s="232"/>
      <c r="V303" s="218"/>
      <c r="W303" s="218"/>
      <c r="X303" s="220">
        <f>IF($A303="","",IF(OR($B303="Định kỳ",$AA303="Hoàn thành"),MAX(_xlfn.MAXIFS('Nhật ký tiến độ'!$B$6:$B$3005,'Nhật ký tiến độ'!$C$6:$C$3005,$A303,'Nhật ký tiến độ'!$E$6:$E$3005,"Hoàn thành kỳ"),_xlfn.MAXIFS('Nhật ký tiến độ'!$B$6:$B$3005,'Nhật ký tiến độ'!$C$6:$C$3005,$A303,'Nhật ký tiến độ'!$E$6:$E$3005,"Hoàn thành")),0))</f>
      </c>
      <c r="Y303" s="220">
        <f>IF($A303="","",IF($B303="Đột xuất",IF($AY303=0,"",$AY303),IF($AX303=0,"",$AX303)))</f>
      </c>
      <c r="Z303" s="223">
        <f>IF(OR($AO303=0,$AW303=0),"",IF(TDBC&gt;$AW303,"Quá "&amp;IF($B303="Định kỳ",(NgayBC-$AP303)&amp;" ngày",IF(((TDBC-$AW303)*24)&lt;1,MAX(1,ROUND(((TDBC-$AW303)*24)*60,0))&amp;" phút",IF(ROUND(((TDBC-$AW303)*24),0)&lt;24,ROUND(((TDBC-$AW303)*24),0)&amp;" giờ",INT(ROUND(((TDBC-$AW303)*24),0)/24)&amp;" ngày"&amp;IF(MOD(ROUND(((TDBC-$AW303)*24),0),24)&gt;0," "&amp;MOD(ROUND(((TDBC-$AW303)*24),0),24)&amp;" giờ","")))),IF($B303="Định kỳ",IF($AP303=NgayBC,"Hôm nay","Còn "&amp;($AP303-NgayBC)&amp;" ngày"),"Còn "&amp;IF((($AW303-TDBC)*24)&lt;1,MAX(1,ROUND((($AW303-TDBC)*24)*60,0))&amp;" phút",IF(ROUND((($AW303-TDBC)*24),0)&lt;24,ROUND((($AW303-TDBC)*24),0)&amp;" giờ",INT(ROUND((($AW303-TDBC)*24),0)/24)&amp;" ngày"&amp;IF(MOD(ROUND((($AW303-TDBC)*24),0),24)&gt;0," "&amp;MOD(ROUND((($AW303-TDBC)*24),0),24)&amp;" giờ",""))))))</f>
      </c>
      <c r="AA303" s="221">
        <f>IF($A303="","",IF(N($AM303)=0,"Chưa bắt đầu",IF(OR($AN303="Hoàn thành kỳ",$AN303="Hoàn thành"),IF($B303="Định kỳ","Chưa bắt đầu","Hoàn thành"),$AN303)))</f>
      </c>
      <c r="AB303" s="222">
        <f>IF($A303="","",IF($AA303="Hoàn thành",1,IF(OR(N($AM303)=0,$AN303="Hoàn thành kỳ",$AN303="Hoàn thành"),0,N(INDEX('Nhật ký tiến độ'!$D:$D,$AM303)))))</f>
      </c>
      <c r="AC303" s="222">
        <f>IF(OR($A303="",$B303&lt;&gt;"Đột xuất",$AA303="Hoàn thành",N($J303)=0,$AW303=0),"",IF(TDBC&lt;=$J303,0,IF(TDBC&gt;=$AW303,1,(TDBC-$J303)/($AW303-$J303))))</f>
      </c>
      <c r="AD303" s="223">
        <f>IF($A303="","",IF($AA303="Hoàn thành","Hoàn thành",IF($AW303=0,"Chưa đặt hạn",IF(TDBC&gt;$AW303,"Quá hạn",IF(AND($B303="Đột xuất",ROUND((N($AC303)-$AB303)*100,0)&gt;=20),"Chậm tiến độ",IF($AP303=NgayBC,"Đến hạn hôm nay",IF($B303="Đột xuất",IF($AW303-TDBC&lt;=1,"Sắp đến hạn","Đúng tiến độ"),IF($AP303-NgayBC&lt;=3,"Sắp đến hạn","Theo lịch"))))))))</f>
      </c>
      <c r="AE303" s="223">
        <f>IF($AV303="","",IF($B303="Định kỳ","Bình quân "&amp;IF($AV303&lt;1,MAX(1,ROUND($AV303*60,0))&amp;" phút",IF(ROUND($AV303,0)&lt;24,ROUND($AV303,0)&amp;" giờ",INT(ROUND($AV303,0)/24)&amp;" ngày"&amp;IF(MOD(ROUND($AV303,0),24)&gt;0," "&amp;MOD(ROUND($AV303,0),24)&amp;" giờ","")))&amp;" mỗi kỳ",IF($AV303&lt;1,MAX(1,ROUND($AV303*60,0))&amp;" phút",IF(ROUND($AV303,0)&lt;24,ROUND($AV303,0)&amp;" giờ",INT(ROUND($AV303,0)/24)&amp;" ngày"&amp;IF(MOD(ROUND($AV303,0),24)&gt;0," "&amp;MOD(ROUND($AV303,0),24)&amp;" giờ","")))))</f>
      </c>
      <c r="AF303" s="223">
        <f>IF(OR($A303="",N($AU303)=0),"",IF($AV303&lt;&gt;"",IF($AV303&lt;=$AU303,"Trong ước tính","Vượt "&amp;IF(($AV303-$AU303)&lt;1,MAX(1,ROUND(($AV303-$AU303)*60,0))&amp;" phút",IF(ROUND(($AV303-$AU303),0)&lt;24,ROUND(($AV303-$AU303),0)&amp;" giờ",INT(ROUND(($AV303-$AU303),0)/24)&amp;" ngày"&amp;IF(MOD(ROUND(($AV303-$AU303),0),24)&gt;0," "&amp;MOD(ROUND(($AV303-$AU303),0),24)&amp;" giờ","")))),IF(OR($B303&lt;&gt;"Đột xuất",$AA303="Hoàn thành",N($J303)=0),"",IF((TDBC-$J303)*24&gt;$AU303,"Đã vượt ước tính","Đã dùng "&amp;TEXT((TDBC-$J303)*24/$AU303,"0%")))))</f>
      </c>
      <c r="AG303" s="223">
        <f>IF(N($BB303)=0,"",CHOOSE($BB303,"Nhắc nhở","Cảnh báo","Báo động","Báo động đỏ"))</f>
      </c>
      <c r="AH303" s="223">
        <f>IF(OR($B303&lt;&gt;"Đột xuất",$AA303&lt;&gt;"Hoàn thành",N($X303)=0,$AW303=0),"",IF($X303&lt;=$AW303,"Đúng hạn","Trễ hạn"))</f>
      </c>
      <c r="AI303" s="220">
        <f>IF($A303="","",_xlfn.MAXIFS('Nhật ký tiến độ'!$B$6:$B$3005,'Nhật ký tiến độ'!$C$6:$C$3005,$A303))</f>
      </c>
      <c r="AJ303" s="225">
        <f>IF(OR($A303="",$B303&lt;&gt;"Định kỳ"),0,IFERROR(INDEX(DM_TanSuatNgay,MATCH($H303,DM_TanSuat,0)),0))</f>
      </c>
      <c r="AK303" s="225">
        <f>IF(OR($A303="",$B303&lt;&gt;"Định kỳ"),0,IFERROR(INDEX(DM_TanSuatThang,MATCH($H303,DM_TanSuat,0)),0))</f>
      </c>
      <c r="AL303" s="225">
        <f>IF(OR($A303="",$B303&lt;&gt;"Định kỳ",N($X303)=0,N($I303)=0),"",IF(INT($X303)&lt;$I303,0,IF($AJ303&gt;0,ROUND((INT($X303)-$I303)/$AJ303,0),IF($AK303&gt;0,ROUND((DATEDIF($I303,INT($X303),"m")+(INT($X303)-EDATE($I303,DATEDIF($I303,INT($X303),"m")))/(EDATE($I303,DATEDIF($I303,INT($X303),"m")+1)-EDATE($I303,DATEDIF($I303,INT($X303),"m"))))/$AK303,0),0))))</f>
      </c>
      <c r="AM303" s="225">
        <f>IF($A303="","",IF(COUNTIF('Nhật ký tiến độ'!$C$6:$C$3005,$A303)=0,0,_xlfn.MAXIFS('Nhật ký tiến độ'!$N$6:$N$3005,'Nhật ký tiến độ'!$C$6:$C$3005,$A303,'Nhật ký tiến độ'!$B$6:$B$3005,_xlfn.MAXIFS('Nhật ký tiến độ'!$B$6:$B$3005,'Nhật ký tiến độ'!$C$6:$C$3005,$A303))))</f>
      </c>
      <c r="AN303" s="225">
        <f>IF($A303="","",IF(N($AM303)=0,"",INDEX('Nhật ký tiến độ'!$E:$E,$AM303)))</f>
      </c>
      <c r="AO303" s="225">
        <f>IF($A303="",0,IF($AA303="Hoàn thành",0,1))</f>
      </c>
      <c r="AP303" s="225">
        <f>IF($AO303=0,0,INT(N($AW303)))</f>
      </c>
      <c r="AQ303" s="225">
        <f>IF(AND($AO303=1,$AJ303&gt;1),$AJ303,0)</f>
      </c>
      <c r="AR303" s="225">
        <f>IF(AND($AO303=1,$AJ303=1),1,0)</f>
      </c>
      <c r="AS303" s="225">
        <f>IF(OR($AO303=0,AND($AR303=1,N($BB303)=0)),"",IF(N($BB303)&gt;0,5-$BB303,IF($AD303="Chậm tiến độ",6,IF($AD303="Đến hạn hôm nay",7,IF(AND($AP303&gt;0,$AP303-NgayBC&lt;=7),8,"")))))</f>
      </c>
      <c r="AT303" s="225">
        <f>IF($AS303="","",$AS303*100000+$AP303+ROW()/100000)</f>
      </c>
      <c r="AU303" s="224">
        <f>IF(OR($A303="",N($R303)&lt;=0),"",IF($S303="Ngày",$R303*24,$R303))</f>
      </c>
      <c r="AV303" s="224">
        <f>IF($A303="","",IF($B303="Đột xuất",IF(OR($AA303&lt;&gt;"Hoàn thành",N($X303)=0,N($J303)=0),"",IF($X303&lt;$J303,"",($X303-$J303)*24)),IFERROR(AVERAGEIFS('Nhật ký tiến độ'!$H$6:$H$3005,'Nhật ký tiến độ'!$C$6:$C$3005,$A303,'Nhật ký tiến độ'!$H$6:$H$3005,"&gt;0"),"")))</f>
      </c>
      <c r="AW303" s="233">
        <f>IF($A303="",0,IF($B303="Đột xuất",$AY303,IF($AX303=0,0,$AX303+1-1/1440)))</f>
      </c>
      <c r="AX303" s="234">
        <f>IF(OR($A303="",$B303&lt;&gt;"Định kỳ",N($I303)=0),0,IF($AL303="",$I303,IF($AJ303&gt;0,$I303+($AL303+1)*$AJ303,IF($AK303&gt;0,EDATE($I303,($AL303+1)*$AK303),$I303))))</f>
      </c>
      <c r="AY303" s="233">
        <f>IF(OR($A303="",$B303&lt;&gt;"Đột xuất"),0,IF(N($K303)&gt;0,IF(MOD($K303,1)=0,$K303+1-1/1440,$K303),IF(N($J303)=0,0,$J303+IF(N($AU303)&gt;0,$AU303,IFERROR(INDEX(DM_SLA_Gio,MATCH($L303,DM_SLA_Cap,0)),168))/24)))</f>
      </c>
      <c r="AZ303" s="225">
        <f>IF(OR($A303="",TRIM($N303)="",COUNTIF('Phản ánh'!$K$6:$K$505,$N303)&gt;0,COUNTIF($N$6:$N303,$N303)&gt;1),0,1)</f>
      </c>
      <c r="BA303" s="225">
        <f>IF($AZ303=1,SUM($AZ$6:$AZ303),"")</f>
      </c>
      <c r="BB303" s="225">
        <f>IF(OR($AO303=0,N($AW303)=0),0,IF(TDBC&lt;=$AW303,0,MAX(1,MIN(4,IF((TDBC-$AW303)*24&lt;24,1,IF((TDBC-$AW303)*24&lt;72,2,IF((TDBC-$AW303)*24&lt;168,3,4)))+IF($B303="Đột xuất",IFERROR(INDEX({2,1,0,-1},MATCH($L303,{"Khẩn cấp","Cao","Trung bình","Thấp"},0)),0),IF($D303="PCCC và an ninh",1,0))))))</f>
      </c>
    </row>
    <row r="304">
      <c r="A304" s="216"/>
      <c r="B304" s="216"/>
      <c r="C304" s="218"/>
      <c r="D304" s="218"/>
      <c r="E304" s="218"/>
      <c r="F304" s="216"/>
      <c r="G304" s="218"/>
      <c r="H304" s="218"/>
      <c r="I304" s="231"/>
      <c r="J304" s="217"/>
      <c r="K304" s="217"/>
      <c r="L304" s="216"/>
      <c r="M304" s="216"/>
      <c r="N304" s="218"/>
      <c r="O304" s="218"/>
      <c r="P304" s="218"/>
      <c r="Q304" s="218"/>
      <c r="R304" s="219"/>
      <c r="S304" s="216"/>
      <c r="T304" s="232"/>
      <c r="U304" s="232"/>
      <c r="V304" s="218"/>
      <c r="W304" s="218"/>
      <c r="X304" s="220">
        <f>IF($A304="","",IF(OR($B304="Định kỳ",$AA304="Hoàn thành"),MAX(_xlfn.MAXIFS('Nhật ký tiến độ'!$B$6:$B$3005,'Nhật ký tiến độ'!$C$6:$C$3005,$A304,'Nhật ký tiến độ'!$E$6:$E$3005,"Hoàn thành kỳ"),_xlfn.MAXIFS('Nhật ký tiến độ'!$B$6:$B$3005,'Nhật ký tiến độ'!$C$6:$C$3005,$A304,'Nhật ký tiến độ'!$E$6:$E$3005,"Hoàn thành")),0))</f>
      </c>
      <c r="Y304" s="220">
        <f>IF($A304="","",IF($B304="Đột xuất",IF($AY304=0,"",$AY304),IF($AX304=0,"",$AX304)))</f>
      </c>
      <c r="Z304" s="223">
        <f>IF(OR($AO304=0,$AW304=0),"",IF(TDBC&gt;$AW304,"Quá "&amp;IF($B304="Định kỳ",(NgayBC-$AP304)&amp;" ngày",IF(((TDBC-$AW304)*24)&lt;1,MAX(1,ROUND(((TDBC-$AW304)*24)*60,0))&amp;" phút",IF(ROUND(((TDBC-$AW304)*24),0)&lt;24,ROUND(((TDBC-$AW304)*24),0)&amp;" giờ",INT(ROUND(((TDBC-$AW304)*24),0)/24)&amp;" ngày"&amp;IF(MOD(ROUND(((TDBC-$AW304)*24),0),24)&gt;0," "&amp;MOD(ROUND(((TDBC-$AW304)*24),0),24)&amp;" giờ","")))),IF($B304="Định kỳ",IF($AP304=NgayBC,"Hôm nay","Còn "&amp;($AP304-NgayBC)&amp;" ngày"),"Còn "&amp;IF((($AW304-TDBC)*24)&lt;1,MAX(1,ROUND((($AW304-TDBC)*24)*60,0))&amp;" phút",IF(ROUND((($AW304-TDBC)*24),0)&lt;24,ROUND((($AW304-TDBC)*24),0)&amp;" giờ",INT(ROUND((($AW304-TDBC)*24),0)/24)&amp;" ngày"&amp;IF(MOD(ROUND((($AW304-TDBC)*24),0),24)&gt;0," "&amp;MOD(ROUND((($AW304-TDBC)*24),0),24)&amp;" giờ",""))))))</f>
      </c>
      <c r="AA304" s="221">
        <f>IF($A304="","",IF(N($AM304)=0,"Chưa bắt đầu",IF(OR($AN304="Hoàn thành kỳ",$AN304="Hoàn thành"),IF($B304="Định kỳ","Chưa bắt đầu","Hoàn thành"),$AN304)))</f>
      </c>
      <c r="AB304" s="222">
        <f>IF($A304="","",IF($AA304="Hoàn thành",1,IF(OR(N($AM304)=0,$AN304="Hoàn thành kỳ",$AN304="Hoàn thành"),0,N(INDEX('Nhật ký tiến độ'!$D:$D,$AM304)))))</f>
      </c>
      <c r="AC304" s="222">
        <f>IF(OR($A304="",$B304&lt;&gt;"Đột xuất",$AA304="Hoàn thành",N($J304)=0,$AW304=0),"",IF(TDBC&lt;=$J304,0,IF(TDBC&gt;=$AW304,1,(TDBC-$J304)/($AW304-$J304))))</f>
      </c>
      <c r="AD304" s="223">
        <f>IF($A304="","",IF($AA304="Hoàn thành","Hoàn thành",IF($AW304=0,"Chưa đặt hạn",IF(TDBC&gt;$AW304,"Quá hạn",IF(AND($B304="Đột xuất",ROUND((N($AC304)-$AB304)*100,0)&gt;=20),"Chậm tiến độ",IF($AP304=NgayBC,"Đến hạn hôm nay",IF($B304="Đột xuất",IF($AW304-TDBC&lt;=1,"Sắp đến hạn","Đúng tiến độ"),IF($AP304-NgayBC&lt;=3,"Sắp đến hạn","Theo lịch"))))))))</f>
      </c>
      <c r="AE304" s="223">
        <f>IF($AV304="","",IF($B304="Định kỳ","Bình quân "&amp;IF($AV304&lt;1,MAX(1,ROUND($AV304*60,0))&amp;" phút",IF(ROUND($AV304,0)&lt;24,ROUND($AV304,0)&amp;" giờ",INT(ROUND($AV304,0)/24)&amp;" ngày"&amp;IF(MOD(ROUND($AV304,0),24)&gt;0," "&amp;MOD(ROUND($AV304,0),24)&amp;" giờ","")))&amp;" mỗi kỳ",IF($AV304&lt;1,MAX(1,ROUND($AV304*60,0))&amp;" phút",IF(ROUND($AV304,0)&lt;24,ROUND($AV304,0)&amp;" giờ",INT(ROUND($AV304,0)/24)&amp;" ngày"&amp;IF(MOD(ROUND($AV304,0),24)&gt;0," "&amp;MOD(ROUND($AV304,0),24)&amp;" giờ","")))))</f>
      </c>
      <c r="AF304" s="223">
        <f>IF(OR($A304="",N($AU304)=0),"",IF($AV304&lt;&gt;"",IF($AV304&lt;=$AU304,"Trong ước tính","Vượt "&amp;IF(($AV304-$AU304)&lt;1,MAX(1,ROUND(($AV304-$AU304)*60,0))&amp;" phút",IF(ROUND(($AV304-$AU304),0)&lt;24,ROUND(($AV304-$AU304),0)&amp;" giờ",INT(ROUND(($AV304-$AU304),0)/24)&amp;" ngày"&amp;IF(MOD(ROUND(($AV304-$AU304),0),24)&gt;0," "&amp;MOD(ROUND(($AV304-$AU304),0),24)&amp;" giờ","")))),IF(OR($B304&lt;&gt;"Đột xuất",$AA304="Hoàn thành",N($J304)=0),"",IF((TDBC-$J304)*24&gt;$AU304,"Đã vượt ước tính","Đã dùng "&amp;TEXT((TDBC-$J304)*24/$AU304,"0%")))))</f>
      </c>
      <c r="AG304" s="223">
        <f>IF(N($BB304)=0,"",CHOOSE($BB304,"Nhắc nhở","Cảnh báo","Báo động","Báo động đỏ"))</f>
      </c>
      <c r="AH304" s="223">
        <f>IF(OR($B304&lt;&gt;"Đột xuất",$AA304&lt;&gt;"Hoàn thành",N($X304)=0,$AW304=0),"",IF($X304&lt;=$AW304,"Đúng hạn","Trễ hạn"))</f>
      </c>
      <c r="AI304" s="220">
        <f>IF($A304="","",_xlfn.MAXIFS('Nhật ký tiến độ'!$B$6:$B$3005,'Nhật ký tiến độ'!$C$6:$C$3005,$A304))</f>
      </c>
      <c r="AJ304" s="225">
        <f>IF(OR($A304="",$B304&lt;&gt;"Định kỳ"),0,IFERROR(INDEX(DM_TanSuatNgay,MATCH($H304,DM_TanSuat,0)),0))</f>
      </c>
      <c r="AK304" s="225">
        <f>IF(OR($A304="",$B304&lt;&gt;"Định kỳ"),0,IFERROR(INDEX(DM_TanSuatThang,MATCH($H304,DM_TanSuat,0)),0))</f>
      </c>
      <c r="AL304" s="225">
        <f>IF(OR($A304="",$B304&lt;&gt;"Định kỳ",N($X304)=0,N($I304)=0),"",IF(INT($X304)&lt;$I304,0,IF($AJ304&gt;0,ROUND((INT($X304)-$I304)/$AJ304,0),IF($AK304&gt;0,ROUND((DATEDIF($I304,INT($X304),"m")+(INT($X304)-EDATE($I304,DATEDIF($I304,INT($X304),"m")))/(EDATE($I304,DATEDIF($I304,INT($X304),"m")+1)-EDATE($I304,DATEDIF($I304,INT($X304),"m"))))/$AK304,0),0))))</f>
      </c>
      <c r="AM304" s="225">
        <f>IF($A304="","",IF(COUNTIF('Nhật ký tiến độ'!$C$6:$C$3005,$A304)=0,0,_xlfn.MAXIFS('Nhật ký tiến độ'!$N$6:$N$3005,'Nhật ký tiến độ'!$C$6:$C$3005,$A304,'Nhật ký tiến độ'!$B$6:$B$3005,_xlfn.MAXIFS('Nhật ký tiến độ'!$B$6:$B$3005,'Nhật ký tiến độ'!$C$6:$C$3005,$A304))))</f>
      </c>
      <c r="AN304" s="225">
        <f>IF($A304="","",IF(N($AM304)=0,"",INDEX('Nhật ký tiến độ'!$E:$E,$AM304)))</f>
      </c>
      <c r="AO304" s="225">
        <f>IF($A304="",0,IF($AA304="Hoàn thành",0,1))</f>
      </c>
      <c r="AP304" s="225">
        <f>IF($AO304=0,0,INT(N($AW304)))</f>
      </c>
      <c r="AQ304" s="225">
        <f>IF(AND($AO304=1,$AJ304&gt;1),$AJ304,0)</f>
      </c>
      <c r="AR304" s="225">
        <f>IF(AND($AO304=1,$AJ304=1),1,0)</f>
      </c>
      <c r="AS304" s="225">
        <f>IF(OR($AO304=0,AND($AR304=1,N($BB304)=0)),"",IF(N($BB304)&gt;0,5-$BB304,IF($AD304="Chậm tiến độ",6,IF($AD304="Đến hạn hôm nay",7,IF(AND($AP304&gt;0,$AP304-NgayBC&lt;=7),8,"")))))</f>
      </c>
      <c r="AT304" s="225">
        <f>IF($AS304="","",$AS304*100000+$AP304+ROW()/100000)</f>
      </c>
      <c r="AU304" s="224">
        <f>IF(OR($A304="",N($R304)&lt;=0),"",IF($S304="Ngày",$R304*24,$R304))</f>
      </c>
      <c r="AV304" s="224">
        <f>IF($A304="","",IF($B304="Đột xuất",IF(OR($AA304&lt;&gt;"Hoàn thành",N($X304)=0,N($J304)=0),"",IF($X304&lt;$J304,"",($X304-$J304)*24)),IFERROR(AVERAGEIFS('Nhật ký tiến độ'!$H$6:$H$3005,'Nhật ký tiến độ'!$C$6:$C$3005,$A304,'Nhật ký tiến độ'!$H$6:$H$3005,"&gt;0"),"")))</f>
      </c>
      <c r="AW304" s="233">
        <f>IF($A304="",0,IF($B304="Đột xuất",$AY304,IF($AX304=0,0,$AX304+1-1/1440)))</f>
      </c>
      <c r="AX304" s="234">
        <f>IF(OR($A304="",$B304&lt;&gt;"Định kỳ",N($I304)=0),0,IF($AL304="",$I304,IF($AJ304&gt;0,$I304+($AL304+1)*$AJ304,IF($AK304&gt;0,EDATE($I304,($AL304+1)*$AK304),$I304))))</f>
      </c>
      <c r="AY304" s="233">
        <f>IF(OR($A304="",$B304&lt;&gt;"Đột xuất"),0,IF(N($K304)&gt;0,IF(MOD($K304,1)=0,$K304+1-1/1440,$K304),IF(N($J304)=0,0,$J304+IF(N($AU304)&gt;0,$AU304,IFERROR(INDEX(DM_SLA_Gio,MATCH($L304,DM_SLA_Cap,0)),168))/24)))</f>
      </c>
      <c r="AZ304" s="225">
        <f>IF(OR($A304="",TRIM($N304)="",COUNTIF('Phản ánh'!$K$6:$K$505,$N304)&gt;0,COUNTIF($N$6:$N304,$N304)&gt;1),0,1)</f>
      </c>
      <c r="BA304" s="225">
        <f>IF($AZ304=1,SUM($AZ$6:$AZ304),"")</f>
      </c>
      <c r="BB304" s="225">
        <f>IF(OR($AO304=0,N($AW304)=0),0,IF(TDBC&lt;=$AW304,0,MAX(1,MIN(4,IF((TDBC-$AW304)*24&lt;24,1,IF((TDBC-$AW304)*24&lt;72,2,IF((TDBC-$AW304)*24&lt;168,3,4)))+IF($B304="Đột xuất",IFERROR(INDEX({2,1,0,-1},MATCH($L304,{"Khẩn cấp","Cao","Trung bình","Thấp"},0)),0),IF($D304="PCCC và an ninh",1,0))))))</f>
      </c>
    </row>
    <row r="305">
      <c r="A305" s="216"/>
      <c r="B305" s="216"/>
      <c r="C305" s="218"/>
      <c r="D305" s="218"/>
      <c r="E305" s="218"/>
      <c r="F305" s="216"/>
      <c r="G305" s="218"/>
      <c r="H305" s="218"/>
      <c r="I305" s="231"/>
      <c r="J305" s="217"/>
      <c r="K305" s="217"/>
      <c r="L305" s="216"/>
      <c r="M305" s="216"/>
      <c r="N305" s="218"/>
      <c r="O305" s="218"/>
      <c r="P305" s="218"/>
      <c r="Q305" s="218"/>
      <c r="R305" s="219"/>
      <c r="S305" s="216"/>
      <c r="T305" s="232"/>
      <c r="U305" s="232"/>
      <c r="V305" s="218"/>
      <c r="W305" s="218"/>
      <c r="X305" s="220">
        <f>IF($A305="","",IF(OR($B305="Định kỳ",$AA305="Hoàn thành"),MAX(_xlfn.MAXIFS('Nhật ký tiến độ'!$B$6:$B$3005,'Nhật ký tiến độ'!$C$6:$C$3005,$A305,'Nhật ký tiến độ'!$E$6:$E$3005,"Hoàn thành kỳ"),_xlfn.MAXIFS('Nhật ký tiến độ'!$B$6:$B$3005,'Nhật ký tiến độ'!$C$6:$C$3005,$A305,'Nhật ký tiến độ'!$E$6:$E$3005,"Hoàn thành")),0))</f>
      </c>
      <c r="Y305" s="220">
        <f>IF($A305="","",IF($B305="Đột xuất",IF($AY305=0,"",$AY305),IF($AX305=0,"",$AX305)))</f>
      </c>
      <c r="Z305" s="223">
        <f>IF(OR($AO305=0,$AW305=0),"",IF(TDBC&gt;$AW305,"Quá "&amp;IF($B305="Định kỳ",(NgayBC-$AP305)&amp;" ngày",IF(((TDBC-$AW305)*24)&lt;1,MAX(1,ROUND(((TDBC-$AW305)*24)*60,0))&amp;" phút",IF(ROUND(((TDBC-$AW305)*24),0)&lt;24,ROUND(((TDBC-$AW305)*24),0)&amp;" giờ",INT(ROUND(((TDBC-$AW305)*24),0)/24)&amp;" ngày"&amp;IF(MOD(ROUND(((TDBC-$AW305)*24),0),24)&gt;0," "&amp;MOD(ROUND(((TDBC-$AW305)*24),0),24)&amp;" giờ","")))),IF($B305="Định kỳ",IF($AP305=NgayBC,"Hôm nay","Còn "&amp;($AP305-NgayBC)&amp;" ngày"),"Còn "&amp;IF((($AW305-TDBC)*24)&lt;1,MAX(1,ROUND((($AW305-TDBC)*24)*60,0))&amp;" phút",IF(ROUND((($AW305-TDBC)*24),0)&lt;24,ROUND((($AW305-TDBC)*24),0)&amp;" giờ",INT(ROUND((($AW305-TDBC)*24),0)/24)&amp;" ngày"&amp;IF(MOD(ROUND((($AW305-TDBC)*24),0),24)&gt;0," "&amp;MOD(ROUND((($AW305-TDBC)*24),0),24)&amp;" giờ",""))))))</f>
      </c>
      <c r="AA305" s="221">
        <f>IF($A305="","",IF(N($AM305)=0,"Chưa bắt đầu",IF(OR($AN305="Hoàn thành kỳ",$AN305="Hoàn thành"),IF($B305="Định kỳ","Chưa bắt đầu","Hoàn thành"),$AN305)))</f>
      </c>
      <c r="AB305" s="222">
        <f>IF($A305="","",IF($AA305="Hoàn thành",1,IF(OR(N($AM305)=0,$AN305="Hoàn thành kỳ",$AN305="Hoàn thành"),0,N(INDEX('Nhật ký tiến độ'!$D:$D,$AM305)))))</f>
      </c>
      <c r="AC305" s="222">
        <f>IF(OR($A305="",$B305&lt;&gt;"Đột xuất",$AA305="Hoàn thành",N($J305)=0,$AW305=0),"",IF(TDBC&lt;=$J305,0,IF(TDBC&gt;=$AW305,1,(TDBC-$J305)/($AW305-$J305))))</f>
      </c>
      <c r="AD305" s="223">
        <f>IF($A305="","",IF($AA305="Hoàn thành","Hoàn thành",IF($AW305=0,"Chưa đặt hạn",IF(TDBC&gt;$AW305,"Quá hạn",IF(AND($B305="Đột xuất",ROUND((N($AC305)-$AB305)*100,0)&gt;=20),"Chậm tiến độ",IF($AP305=NgayBC,"Đến hạn hôm nay",IF($B305="Đột xuất",IF($AW305-TDBC&lt;=1,"Sắp đến hạn","Đúng tiến độ"),IF($AP305-NgayBC&lt;=3,"Sắp đến hạn","Theo lịch"))))))))</f>
      </c>
      <c r="AE305" s="223">
        <f>IF($AV305="","",IF($B305="Định kỳ","Bình quân "&amp;IF($AV305&lt;1,MAX(1,ROUND($AV305*60,0))&amp;" phút",IF(ROUND($AV305,0)&lt;24,ROUND($AV305,0)&amp;" giờ",INT(ROUND($AV305,0)/24)&amp;" ngày"&amp;IF(MOD(ROUND($AV305,0),24)&gt;0," "&amp;MOD(ROUND($AV305,0),24)&amp;" giờ","")))&amp;" mỗi kỳ",IF($AV305&lt;1,MAX(1,ROUND($AV305*60,0))&amp;" phút",IF(ROUND($AV305,0)&lt;24,ROUND($AV305,0)&amp;" giờ",INT(ROUND($AV305,0)/24)&amp;" ngày"&amp;IF(MOD(ROUND($AV305,0),24)&gt;0," "&amp;MOD(ROUND($AV305,0),24)&amp;" giờ","")))))</f>
      </c>
      <c r="AF305" s="223">
        <f>IF(OR($A305="",N($AU305)=0),"",IF($AV305&lt;&gt;"",IF($AV305&lt;=$AU305,"Trong ước tính","Vượt "&amp;IF(($AV305-$AU305)&lt;1,MAX(1,ROUND(($AV305-$AU305)*60,0))&amp;" phút",IF(ROUND(($AV305-$AU305),0)&lt;24,ROUND(($AV305-$AU305),0)&amp;" giờ",INT(ROUND(($AV305-$AU305),0)/24)&amp;" ngày"&amp;IF(MOD(ROUND(($AV305-$AU305),0),24)&gt;0," "&amp;MOD(ROUND(($AV305-$AU305),0),24)&amp;" giờ","")))),IF(OR($B305&lt;&gt;"Đột xuất",$AA305="Hoàn thành",N($J305)=0),"",IF((TDBC-$J305)*24&gt;$AU305,"Đã vượt ước tính","Đã dùng "&amp;TEXT((TDBC-$J305)*24/$AU305,"0%")))))</f>
      </c>
      <c r="AG305" s="223">
        <f>IF(N($BB305)=0,"",CHOOSE($BB305,"Nhắc nhở","Cảnh báo","Báo động","Báo động đỏ"))</f>
      </c>
      <c r="AH305" s="223">
        <f>IF(OR($B305&lt;&gt;"Đột xuất",$AA305&lt;&gt;"Hoàn thành",N($X305)=0,$AW305=0),"",IF($X305&lt;=$AW305,"Đúng hạn","Trễ hạn"))</f>
      </c>
      <c r="AI305" s="220">
        <f>IF($A305="","",_xlfn.MAXIFS('Nhật ký tiến độ'!$B$6:$B$3005,'Nhật ký tiến độ'!$C$6:$C$3005,$A305))</f>
      </c>
      <c r="AJ305" s="225">
        <f>IF(OR($A305="",$B305&lt;&gt;"Định kỳ"),0,IFERROR(INDEX(DM_TanSuatNgay,MATCH($H305,DM_TanSuat,0)),0))</f>
      </c>
      <c r="AK305" s="225">
        <f>IF(OR($A305="",$B305&lt;&gt;"Định kỳ"),0,IFERROR(INDEX(DM_TanSuatThang,MATCH($H305,DM_TanSuat,0)),0))</f>
      </c>
      <c r="AL305" s="225">
        <f>IF(OR($A305="",$B305&lt;&gt;"Định kỳ",N($X305)=0,N($I305)=0),"",IF(INT($X305)&lt;$I305,0,IF($AJ305&gt;0,ROUND((INT($X305)-$I305)/$AJ305,0),IF($AK305&gt;0,ROUND((DATEDIF($I305,INT($X305),"m")+(INT($X305)-EDATE($I305,DATEDIF($I305,INT($X305),"m")))/(EDATE($I305,DATEDIF($I305,INT($X305),"m")+1)-EDATE($I305,DATEDIF($I305,INT($X305),"m"))))/$AK305,0),0))))</f>
      </c>
      <c r="AM305" s="225">
        <f>IF($A305="","",IF(COUNTIF('Nhật ký tiến độ'!$C$6:$C$3005,$A305)=0,0,_xlfn.MAXIFS('Nhật ký tiến độ'!$N$6:$N$3005,'Nhật ký tiến độ'!$C$6:$C$3005,$A305,'Nhật ký tiến độ'!$B$6:$B$3005,_xlfn.MAXIFS('Nhật ký tiến độ'!$B$6:$B$3005,'Nhật ký tiến độ'!$C$6:$C$3005,$A305))))</f>
      </c>
      <c r="AN305" s="225">
        <f>IF($A305="","",IF(N($AM305)=0,"",INDEX('Nhật ký tiến độ'!$E:$E,$AM305)))</f>
      </c>
      <c r="AO305" s="225">
        <f>IF($A305="",0,IF($AA305="Hoàn thành",0,1))</f>
      </c>
      <c r="AP305" s="225">
        <f>IF($AO305=0,0,INT(N($AW305)))</f>
      </c>
      <c r="AQ305" s="225">
        <f>IF(AND($AO305=1,$AJ305&gt;1),$AJ305,0)</f>
      </c>
      <c r="AR305" s="225">
        <f>IF(AND($AO305=1,$AJ305=1),1,0)</f>
      </c>
      <c r="AS305" s="225">
        <f>IF(OR($AO305=0,AND($AR305=1,N($BB305)=0)),"",IF(N($BB305)&gt;0,5-$BB305,IF($AD305="Chậm tiến độ",6,IF($AD305="Đến hạn hôm nay",7,IF(AND($AP305&gt;0,$AP305-NgayBC&lt;=7),8,"")))))</f>
      </c>
      <c r="AT305" s="225">
        <f>IF($AS305="","",$AS305*100000+$AP305+ROW()/100000)</f>
      </c>
      <c r="AU305" s="224">
        <f>IF(OR($A305="",N($R305)&lt;=0),"",IF($S305="Ngày",$R305*24,$R305))</f>
      </c>
      <c r="AV305" s="224">
        <f>IF($A305="","",IF($B305="Đột xuất",IF(OR($AA305&lt;&gt;"Hoàn thành",N($X305)=0,N($J305)=0),"",IF($X305&lt;$J305,"",($X305-$J305)*24)),IFERROR(AVERAGEIFS('Nhật ký tiến độ'!$H$6:$H$3005,'Nhật ký tiến độ'!$C$6:$C$3005,$A305,'Nhật ký tiến độ'!$H$6:$H$3005,"&gt;0"),"")))</f>
      </c>
      <c r="AW305" s="233">
        <f>IF($A305="",0,IF($B305="Đột xuất",$AY305,IF($AX305=0,0,$AX305+1-1/1440)))</f>
      </c>
      <c r="AX305" s="234">
        <f>IF(OR($A305="",$B305&lt;&gt;"Định kỳ",N($I305)=0),0,IF($AL305="",$I305,IF($AJ305&gt;0,$I305+($AL305+1)*$AJ305,IF($AK305&gt;0,EDATE($I305,($AL305+1)*$AK305),$I305))))</f>
      </c>
      <c r="AY305" s="233">
        <f>IF(OR($A305="",$B305&lt;&gt;"Đột xuất"),0,IF(N($K305)&gt;0,IF(MOD($K305,1)=0,$K305+1-1/1440,$K305),IF(N($J305)=0,0,$J305+IF(N($AU305)&gt;0,$AU305,IFERROR(INDEX(DM_SLA_Gio,MATCH($L305,DM_SLA_Cap,0)),168))/24)))</f>
      </c>
      <c r="AZ305" s="225">
        <f>IF(OR($A305="",TRIM($N305)="",COUNTIF('Phản ánh'!$K$6:$K$505,$N305)&gt;0,COUNTIF($N$6:$N305,$N305)&gt;1),0,1)</f>
      </c>
      <c r="BA305" s="225">
        <f>IF($AZ305=1,SUM($AZ$6:$AZ305),"")</f>
      </c>
      <c r="BB305" s="225">
        <f>IF(OR($AO305=0,N($AW305)=0),0,IF(TDBC&lt;=$AW305,0,MAX(1,MIN(4,IF((TDBC-$AW305)*24&lt;24,1,IF((TDBC-$AW305)*24&lt;72,2,IF((TDBC-$AW305)*24&lt;168,3,4)))+IF($B305="Đột xuất",IFERROR(INDEX({2,1,0,-1},MATCH($L305,{"Khẩn cấp","Cao","Trung bình","Thấp"},0)),0),IF($D305="PCCC và an ninh",1,0))))))</f>
      </c>
    </row>
  </sheetData>
  <sheetProtection selectLockedCells="0" selectUnlockedCells="0" sheet="1" objects="0" insertRows="1" insertHyperlinks="1" autoFilter="0" scenarios="0" formatColumns="0" deleteColumns="1" insertColumns="1" pivotTables="1" deleteRows="1" formatCells="1" formatRows="0" sort="1" password="88D8"/>
  <protectedRanges>
    <protectedRange password="DF96" sqref="A6:W305" name="NhapLieuKeHoach"/>
  </protectedRanges>
  <autoFilter ref="A5:BB305"/>
  <mergeCells count="7">
    <mergeCell ref="A2:BB2"/>
    <mergeCell ref="A4:W4"/>
    <mergeCell ref="A1:BB1"/>
    <mergeCell ref="X4:AI4"/>
    <mergeCell ref="A3:F3"/>
    <mergeCell ref="AJ4:BB4"/>
    <mergeCell ref="G3:H3"/>
  </mergeCells>
  <conditionalFormatting sqref="A6:A305">
    <cfRule type="expression" priority="1" dxfId="1" stopIfTrue="1">
      <formula>AND($A6&lt;&gt;"",COUNTIF($A$6:$A$305,$A6)&gt;1)</formula>
    </cfRule>
  </conditionalFormatting>
  <conditionalFormatting sqref="L6:L305">
    <cfRule type="expression" priority="2" dxfId="1" stopIfTrue="0">
      <formula>$L6="Khẩn cấp"</formula>
    </cfRule>
    <cfRule type="expression" priority="3" dxfId="2" stopIfTrue="0">
      <formula>$L6="Cao"</formula>
    </cfRule>
    <cfRule type="expression" priority="4" dxfId="23" stopIfTrue="0">
      <formula>$L6="Trung bình"</formula>
    </cfRule>
    <cfRule type="expression" priority="5" dxfId="24" stopIfTrue="0">
      <formula>$L6="Thấp"</formula>
    </cfRule>
  </conditionalFormatting>
  <conditionalFormatting sqref="AA6:AA305">
    <cfRule type="expression" priority="6" dxfId="25" stopIfTrue="0">
      <formula>AA6="Chưa bắt đầu"</formula>
    </cfRule>
    <cfRule type="expression" priority="7" dxfId="26" stopIfTrue="0">
      <formula>AA6="Đang thực hiện"</formula>
    </cfRule>
    <cfRule type="expression" priority="8" dxfId="27" stopIfTrue="0">
      <formula>AA6="Tạm hoãn"</formula>
    </cfRule>
    <cfRule type="expression" priority="9" dxfId="20" stopIfTrue="0">
      <formula>AA6="Hoàn thành"</formula>
    </cfRule>
    <cfRule type="expression" priority="10" dxfId="20" stopIfTrue="0">
      <formula>AA6="Hoàn thành kỳ"</formula>
    </cfRule>
  </conditionalFormatting>
  <conditionalFormatting sqref="AB6:AB305">
    <cfRule type="dataBar" priority="11">
      <dataBar showValue="1">
        <cfvo type="num" val="0"/>
        <cfvo type="num" val="1"/>
        <color rgb="003FA36B"/>
      </dataBar>
    </cfRule>
  </conditionalFormatting>
  <conditionalFormatting sqref="AD6:AD305">
    <cfRule type="expression" priority="12" dxfId="0" stopIfTrue="0">
      <formula>AD6="Báo động đỏ"</formula>
    </cfRule>
    <cfRule type="expression" priority="13" dxfId="1" stopIfTrue="0">
      <formula>AD6="Báo động"</formula>
    </cfRule>
    <cfRule type="expression" priority="14" dxfId="2" stopIfTrue="0">
      <formula>AD6="Cảnh báo"</formula>
    </cfRule>
    <cfRule type="expression" priority="15" dxfId="14" stopIfTrue="0">
      <formula>AD6="Nhắc nhở"</formula>
    </cfRule>
    <cfRule type="expression" priority="16" dxfId="1" stopIfTrue="0">
      <formula>AD6="Quá hạn"</formula>
    </cfRule>
    <cfRule type="expression" priority="17" dxfId="15" stopIfTrue="0">
      <formula>AD6="Chậm tiến độ"</formula>
    </cfRule>
    <cfRule type="expression" priority="18" dxfId="16" stopIfTrue="0">
      <formula>AD6="Đúng tiến độ"</formula>
    </cfRule>
    <cfRule type="expression" priority="19" dxfId="11" stopIfTrue="0">
      <formula>AD6="Đến hạn hôm nay"</formula>
    </cfRule>
    <cfRule type="expression" priority="20" dxfId="17" stopIfTrue="0">
      <formula>AD6="Sắp đến hạn"</formula>
    </cfRule>
    <cfRule type="expression" priority="21" dxfId="18" stopIfTrue="0">
      <formula>AD6="Hoàn thành"</formula>
    </cfRule>
    <cfRule type="expression" priority="22" dxfId="19" stopIfTrue="0">
      <formula>AD6="Theo lịch"</formula>
    </cfRule>
    <cfRule type="expression" priority="23" dxfId="19" stopIfTrue="0">
      <formula>AD6="Chưa đặt hạn"</formula>
    </cfRule>
  </conditionalFormatting>
  <conditionalFormatting sqref="AG6:AG305">
    <cfRule type="expression" priority="24" dxfId="0" stopIfTrue="0">
      <formula>$BB6=4</formula>
    </cfRule>
    <cfRule type="expression" priority="25" dxfId="1" stopIfTrue="0">
      <formula>$BB6=3</formula>
    </cfRule>
    <cfRule type="expression" priority="26" dxfId="2" stopIfTrue="0">
      <formula>$BB6=2</formula>
    </cfRule>
    <cfRule type="expression" priority="27" dxfId="14" stopIfTrue="0">
      <formula>$BB6=1</formula>
    </cfRule>
  </conditionalFormatting>
  <conditionalFormatting sqref="A6:W305">
    <cfRule type="expression" priority="28" dxfId="28" stopIfTrue="0">
      <formula>$BB6=4</formula>
    </cfRule>
    <cfRule type="expression" priority="29" dxfId="29" stopIfTrue="0">
      <formula>$BB6=3</formula>
    </cfRule>
    <cfRule type="expression" priority="30" dxfId="30" stopIfTrue="0">
      <formula>$BB6=2</formula>
    </cfRule>
    <cfRule type="expression" priority="31" dxfId="31" stopIfTrue="0">
      <formula>$BB6=1</formula>
    </cfRule>
  </conditionalFormatting>
  <conditionalFormatting sqref="Z6:Z305">
    <cfRule type="expression" priority="32" dxfId="6" stopIfTrue="0">
      <formula>LEFT($Z6,3)="Quá"</formula>
    </cfRule>
  </conditionalFormatting>
  <conditionalFormatting sqref="AF6:AF305">
    <cfRule type="expression" priority="33" dxfId="21" stopIfTrue="0">
      <formula>OR(LEFT($AF6,4)="Vượt",LEFT($AF6,7)="Đã vượt")</formula>
    </cfRule>
    <cfRule type="expression" priority="34" dxfId="18" stopIfTrue="0">
      <formula>$AF6="Trong ước tính"</formula>
    </cfRule>
  </conditionalFormatting>
  <conditionalFormatting sqref="AH6:AH305">
    <cfRule type="expression" priority="35" dxfId="18" stopIfTrue="0">
      <formula>$AH6="Đúng hạn"</formula>
    </cfRule>
    <cfRule type="expression" priority="36" dxfId="21" stopIfTrue="0">
      <formula>$AH6="Trễ hạn"</formula>
    </cfRule>
  </conditionalFormatting>
  <conditionalFormatting sqref="S6:S305">
    <cfRule type="expression" priority="37" dxfId="32" stopIfTrue="0">
      <formula>AND(N($R6)&gt;0,$S6="")</formula>
    </cfRule>
  </conditionalFormatting>
  <conditionalFormatting sqref="B6:B305">
    <cfRule type="expression" priority="38" dxfId="16" stopIfTrue="0">
      <formula>$B6="Định kỳ"</formula>
    </cfRule>
    <cfRule type="expression" priority="39" dxfId="33" stopIfTrue="0">
      <formula>$B6="Đột xuất"</formula>
    </cfRule>
  </conditionalFormatting>
  <conditionalFormatting sqref="D6:D305">
    <cfRule type="expression" priority="40" dxfId="34" stopIfTrue="0">
      <formula>$D6="Bảo trì kỹ thuật"</formula>
    </cfRule>
    <cfRule type="expression" priority="41" dxfId="35" stopIfTrue="0">
      <formula>$D6="Sửa chữa xây dựng"</formula>
    </cfRule>
    <cfRule type="expression" priority="42" dxfId="36" stopIfTrue="0">
      <formula>$D6="Vệ sinh môi trường"</formula>
    </cfRule>
    <cfRule type="expression" priority="43" dxfId="37" stopIfTrue="0">
      <formula>$D6="Cảnh quan cây xanh"</formula>
    </cfRule>
    <cfRule type="expression" priority="44" dxfId="6" stopIfTrue="0">
      <formula>$D6="PCCC và an ninh"</formula>
    </cfRule>
    <cfRule type="expression" priority="45" dxfId="38" stopIfTrue="0">
      <formula>$D6="Hồ bơi và tiện ích"</formula>
    </cfRule>
    <cfRule type="expression" priority="46" dxfId="39" stopIfTrue="0">
      <formula>$D6="Khác"</formula>
    </cfRule>
  </conditionalFormatting>
  <conditionalFormatting sqref="H6:M305">
    <cfRule type="expression" priority="47" dxfId="40" stopIfTrue="0">
      <formula>AND($A6&lt;&gt;"",OR(AND($B6="Định kỳ",COLUMN()&gt;=10),AND($B6="Đột xuất",COLUMN()&lt;=9)))</formula>
    </cfRule>
  </conditionalFormatting>
  <conditionalFormatting sqref="U6:U305">
    <cfRule type="expression" priority="48" dxfId="21" stopIfTrue="0">
      <formula>AND(N($U6)&gt;0,N($T6)&gt;0,$U6&gt;$T6)</formula>
    </cfRule>
  </conditionalFormatting>
  <conditionalFormatting sqref="Y6:Y305">
    <cfRule type="expression" priority="49" dxfId="41" stopIfTrue="0">
      <formula>AND(ISNUMBER(Y6),MOD(Y6,1)=0)</formula>
    </cfRule>
  </conditionalFormatting>
  <conditionalFormatting sqref="X6:X305">
    <cfRule type="expression" priority="50" dxfId="42" stopIfTrue="0">
      <formula>AND(ISNUMBER(X6),MOD(X6,1)=0)</formula>
    </cfRule>
  </conditionalFormatting>
  <dataValidations count="18">
    <dataValidation sqref="B6:B305" showDropDown="0" showInputMessage="0" showErrorMessage="1" allowBlank="1" errorTitle="Kiểm tra dữ liệu" error="Giá trị chưa hợp lệ, vui lòng chọn trong danh sách hoặc nhập đúng định dạng." type="list">
      <formula1>=DM_Loai</formula1>
    </dataValidation>
    <dataValidation sqref="D6:D305" showDropDown="0" showInputMessage="0" showErrorMessage="1" allowBlank="1" errorTitle="Kiểm tra dữ liệu" error="Giá trị chưa hợp lệ, vui lòng chọn trong danh sách hoặc nhập đúng định dạng." type="list">
      <formula1>=DM_Nhom</formula1>
    </dataValidation>
    <dataValidation sqref="E6:E305" showDropDown="0" showInputMessage="0" showErrorMessage="1" allowBlank="1" errorTitle="Kiểm tra dữ liệu" error="Giá trị chưa hợp lệ, vui lòng chọn trong danh sách hoặc nhập đúng định dạng." type="list">
      <formula1>=DM_ViTri</formula1>
    </dataValidation>
    <dataValidation sqref="F6:F305" showDropDown="0" showInputMessage="0" showErrorMessage="1" allowBlank="1" errorTitle="Kiểm tra dữ liệu" error="Giá trị chưa hợp lệ, vui lòng chọn trong danh sách hoặc nhập đúng định dạng." type="list">
      <formula1>=DM_Tang</formula1>
    </dataValidation>
    <dataValidation sqref="H6:H305" showDropDown="0" showInputMessage="0" showErrorMessage="1" allowBlank="1" errorTitle="Kiểm tra dữ liệu" error="Giá trị chưa hợp lệ, vui lòng chọn trong danh sách hoặc nhập đúng định dạng." type="list">
      <formula1>=DM_TanSuat</formula1>
    </dataValidation>
    <dataValidation sqref="I6:I305" showDropDown="0" showInputMessage="0" showErrorMessage="0" allowBlank="1" errorTitle="Kiểm tra dữ liệu" error="Giá trị chưa hợp lệ, vui lòng chọn trong danh sách hoặc nhập đúng định dạng." type="date" operator="greaterThan">
      <formula1>36526</formula1>
    </dataValidation>
    <dataValidation sqref="J6:J305" showDropDown="0" showInputMessage="1" showErrorMessage="0" allowBlank="1" errorTitle="Kiểm tra dữ liệu" error="Nhập ngày giờ dạng dd/mm/yyyy hh:mm." promptTitle="Ngày và giờ" prompt="Ngày giờ dạng dd/mm/yyyy hh:mm, ví dụ 24/09/2026 14:30. Phím tắt: Ctrl+; (ngày), dấu cách, Ctrl+Shift+; (giờ)." type="decimal" operator="greaterThan">
      <formula1>36526</formula1>
    </dataValidation>
    <dataValidation sqref="K6:K305" showDropDown="0" showInputMessage="1" showErrorMessage="0" allowBlank="1" errorTitle="Kiểm tra dữ liệu" error="Nhập ngày giờ dạng dd/mm/yyyy hh:mm." promptTitle="Ngày và giờ" prompt="Ngày giờ dạng dd/mm/yyyy hh:mm, ví dụ 24/09/2026 14:30. Phím tắt: Ctrl+; (ngày), dấu cách, Ctrl+Shift+; (giờ)." type="decimal" operator="greaterThan">
      <formula1>36526</formula1>
    </dataValidation>
    <dataValidation sqref="L6:L305" showDropDown="0" showInputMessage="0" showErrorMessage="1" allowBlank="1" errorTitle="Kiểm tra dữ liệu" error="Giá trị chưa hợp lệ, vui lòng chọn trong danh sách hoặc nhập đúng định dạng." type="list">
      <formula1>=DM_CapDo</formula1>
    </dataValidation>
    <dataValidation sqref="M6:M305" showDropDown="0" showInputMessage="0" showErrorMessage="1" allowBlank="1" errorTitle="Kiểm tra dữ liệu" error="Giá trị chưa hợp lệ, vui lòng chọn trong danh sách hoặc nhập đúng định dạng." type="list">
      <formula1>=DS_PA</formula1>
    </dataValidation>
    <dataValidation sqref="N6:N305" showDropDown="0" showInputMessage="0" showErrorMessage="0" allowBlank="1" errorTitle="Kiểm tra dữ liệu" error="Giá trị chưa hợp lệ, vui lòng chọn trong danh sách hoặc nhập đúng định dạng." type="list">
      <formula1>=DM_PhuTrach</formula1>
    </dataValidation>
    <dataValidation sqref="O6:O305" showDropDown="0" showInputMessage="0" showErrorMessage="0" allowBlank="1" errorTitle="Kiểm tra dữ liệu" error="Giá trị chưa hợp lệ, vui lòng chọn trong danh sách hoặc nhập đúng định dạng." type="list">
      <formula1>=DM_ThucHien</formula1>
    </dataValidation>
    <dataValidation sqref="P6:P305" showDropDown="0" showInputMessage="0" showErrorMessage="0" allowBlank="1" errorTitle="Kiểm tra dữ liệu" error="Giá trị chưa hợp lệ, vui lòng chọn trong danh sách hoặc nhập đúng định dạng." type="list">
      <formula1>=DM_DonVi</formula1>
    </dataValidation>
    <dataValidation sqref="Q6:Q305" showDropDown="0" showInputMessage="0" showErrorMessage="0" allowBlank="1" errorTitle="Kiểm tra dữ liệu" error="Giá trị chưa hợp lệ, vui lòng chọn trong danh sách hoặc nhập đúng định dạng." type="list">
      <formula1>=DM_TVBQT</formula1>
    </dataValidation>
    <dataValidation sqref="R6:R305" showDropDown="0" showInputMessage="0" showErrorMessage="0" allowBlank="1" errorTitle="Kiểm tra dữ liệu" error="Nhập một số không âm." type="decimal" operator="greaterThanOrEqual">
      <formula1>0</formula1>
    </dataValidation>
    <dataValidation sqref="S6:S305" showDropDown="0" showInputMessage="0" showErrorMessage="1" allowBlank="1" errorTitle="Kiểm tra dữ liệu" error="Giá trị chưa hợp lệ, vui lòng chọn trong danh sách hoặc nhập đúng định dạng." type="list">
      <formula1>=DM_DonViTG</formula1>
    </dataValidation>
    <dataValidation sqref="T6:T305" showDropDown="0" showInputMessage="0" showErrorMessage="0" allowBlank="1" errorTitle="Kiểm tra dữ liệu" error="Nhập một số không âm." type="decimal" operator="greaterThanOrEqual">
      <formula1>0</formula1>
    </dataValidation>
    <dataValidation sqref="U6:U305" showDropDown="0" showInputMessage="0" showErrorMessage="0" allowBlank="1" errorTitle="Kiểm tra dữ liệu" error="Nhập một số không âm." type="decimal" operator="greaterThanOrEqual">
      <formula1>0</formula1>
    </dataValidation>
  </dataValidations>
  <pageMargins left="0.75" right="0.75" top="1" bottom="1" header="0.5" footer="0.5"/>
  <pageSetup orientation="landscape" paperSize="9" fitToHeight="0" fitToWidth="1"/>
  <legacyDrawing xmlns:r="http://schemas.openxmlformats.org/officeDocument/2006/relationships" r:id="anysvml"/>
</worksheet>
</file>

<file path=xl/worksheets/sheet6.xml><?xml version="1.0" encoding="utf-8"?>
<worksheet xmlns="http://schemas.openxmlformats.org/spreadsheetml/2006/main">
  <sheetPr>
    <tabColor rgb="0076479F"/>
    <outlinePr summaryBelow="1" summaryRight="1"/>
    <pageSetUpPr fitToPage="1"/>
  </sheetPr>
  <dimension ref="A1:R3005"/>
  <sheetViews>
    <sheetView showGridLines="0" tabSelected="0" zoomScale="10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5" customWidth="1" min="2" max="2"/>
    <col width="11" customWidth="1" min="3" max="3"/>
    <col width="10" customWidth="1" min="4" max="4"/>
    <col width="15" customWidth="1" min="5" max="5"/>
    <col width="40" customWidth="1" min="6" max="6"/>
    <col width="18" customWidth="1" min="7" max="7"/>
    <col width="10" customWidth="1" min="8" max="8"/>
    <col width="11" customWidth="1" min="9" max="9"/>
    <col width="36" customWidth="1" min="10" max="10"/>
    <col width="16" customWidth="1" min="11" max="11"/>
    <col width="15" customWidth="1" min="12" max="12"/>
    <col width="10" customWidth="1" min="13" max="13"/>
    <col hidden="1" outlineLevel="1" width="7" customWidth="1" min="14" max="18"/>
  </cols>
  <sheetData>
    <row r="1" ht="34" customHeight="1">
      <c r="A1" s="183" t="inlineStr">
        <is>
          <t>NHẬT KÝ CẬP NHẬT TIẾN ĐỘ</t>
        </is>
      </c>
    </row>
    <row r="2" ht="20" customHeight="1">
      <c r="A2" s="235" t="inlineStr">
        <is>
          <t>Mỗi lần cập nhật ghi thêm một dòng mới, không sửa dòng cũ. Dòng có thời điểm mới nhất quyết định tiến độ và trạng thái hiện tại.</t>
        </is>
      </c>
      <c r="B2" s="236" t="n"/>
      <c r="C2" s="236" t="n"/>
      <c r="D2" s="236" t="n"/>
      <c r="E2" s="236" t="n"/>
      <c r="F2" s="236" t="n"/>
      <c r="G2" s="236" t="n"/>
      <c r="H2" s="236" t="n"/>
      <c r="I2" s="236" t="n"/>
      <c r="J2" s="236" t="n"/>
      <c r="K2" s="236" t="n"/>
      <c r="L2" s="236" t="n"/>
      <c r="M2" s="236" t="n"/>
      <c r="N2" s="236" t="n"/>
      <c r="O2" s="236" t="n"/>
      <c r="P2" s="236" t="n"/>
      <c r="Q2" s="236" t="n"/>
      <c r="R2" s="236" t="n"/>
    </row>
    <row r="3" ht="22" customHeight="1">
      <c r="A3" s="204" t="inlineStr">
        <is>
          <t>Ô nền trắng: nhập liệu. Cột tiêu đề xám: tự tính, không sửa.</t>
        </is>
      </c>
      <c r="G3" s="205" t="inlineStr">
        <is>
          <t>Số lần cập nhật</t>
        </is>
      </c>
      <c r="I3" s="237">
        <f>COUNTIF($C$6:$C$3005,"?*")</f>
      </c>
    </row>
    <row r="4" ht="18" customHeight="1">
      <c r="A4" s="209" t="inlineStr">
        <is>
          <t>TỰ TÍNH</t>
        </is>
      </c>
      <c r="B4" s="238" t="inlineStr">
        <is>
          <t>THÔNG TIN NHẬP</t>
        </is>
      </c>
      <c r="C4" s="239" t="n"/>
      <c r="D4" s="239" t="n"/>
      <c r="E4" s="239" t="n"/>
      <c r="F4" s="239" t="n"/>
      <c r="G4" s="239" t="n"/>
      <c r="H4" s="239" t="n"/>
      <c r="I4" s="209" t="inlineStr">
        <is>
          <t>TỰ ĐỘNG TÍNH, KHÔNG SỬA</t>
        </is>
      </c>
      <c r="J4" s="210" t="n"/>
      <c r="K4" s="210" t="n"/>
      <c r="L4" s="210" t="n"/>
      <c r="M4" s="210" t="n"/>
      <c r="N4" s="211" t="inlineStr">
        <is>
          <t>CỘT KỸ THUẬT</t>
        </is>
      </c>
      <c r="O4" s="212" t="n"/>
      <c r="P4" s="212" t="n"/>
      <c r="Q4" s="212" t="n"/>
      <c r="R4" s="212" t="n"/>
    </row>
    <row r="5" ht="40" customHeight="1">
      <c r="A5" s="214" t="inlineStr">
        <is>
          <t>STT</t>
        </is>
      </c>
      <c r="B5" s="213" t="inlineStr">
        <is>
          <t>Thời điểm cập nhật</t>
        </is>
      </c>
      <c r="C5" s="213" t="inlineStr">
        <is>
          <t>Mã phản ánh hoặc công việc</t>
        </is>
      </c>
      <c r="D5" s="213" t="inlineStr">
        <is>
          <t>Tiến độ</t>
        </is>
      </c>
      <c r="E5" s="213" t="inlineStr">
        <is>
          <t>Trạng thái</t>
        </is>
      </c>
      <c r="F5" s="213" t="inlineStr">
        <is>
          <t>Nội dung cập nhật</t>
        </is>
      </c>
      <c r="G5" s="213" t="inlineStr">
        <is>
          <t>Người cập nhật</t>
        </is>
      </c>
      <c r="H5" s="213" t="inlineStr">
        <is>
          <t>Thời gian thực hiện (giờ)</t>
        </is>
      </c>
      <c r="I5" s="214" t="inlineStr">
        <is>
          <t>Đối tượng</t>
        </is>
      </c>
      <c r="J5" s="214" t="inlineStr">
        <is>
          <t>Tên phản ánh hoặc công việc</t>
        </is>
      </c>
      <c r="K5" s="214" t="inlineStr">
        <is>
          <t>Người phụ trách</t>
        </is>
      </c>
      <c r="L5" s="214" t="inlineStr">
        <is>
          <t>Hạn hoặc kỳ tương ứng</t>
        </is>
      </c>
      <c r="M5" s="214" t="inlineStr">
        <is>
          <t>Đúng hạn</t>
        </is>
      </c>
      <c r="N5" s="215" t="inlineStr">
        <is>
          <t>Dòng</t>
        </is>
      </c>
      <c r="O5" s="215" t="inlineStr">
        <is>
          <t>Dòng kế hoạch</t>
        </is>
      </c>
      <c r="P5" s="215" t="inlineStr">
        <is>
          <t>Ngày bắt đầu lịch</t>
        </is>
      </c>
      <c r="Q5" s="215" t="inlineStr">
        <is>
          <t>Số ngày mỗi kỳ</t>
        </is>
      </c>
      <c r="R5" s="215" t="inlineStr">
        <is>
          <t>Số tháng mỗi kỳ</t>
        </is>
      </c>
    </row>
    <row r="6">
      <c r="A6" s="223">
        <f>IF($C6="","",COUNTIF($C$6:$C6,"?*"))</f>
      </c>
      <c r="B6" s="217"/>
      <c r="C6" s="216"/>
      <c r="D6" s="240"/>
      <c r="E6" s="218"/>
      <c r="F6" s="218"/>
      <c r="G6" s="218"/>
      <c r="H6" s="219"/>
      <c r="I6" s="223">
        <f>IF($C6="","",IF(ISNUMBER(MATCH($C6,'Phản ánh'!$A$6:$A$505,0)),"Phản ánh",IF(ISNUMBER(MATCH($C6,'Kế hoạch'!$A$6:$A$305,0)),"Công việc","Mã chưa có")))</f>
      </c>
      <c r="J6" s="221">
        <f>IF($I6="Phản ánh",INDEX('Phản ánh'!$C$6:$C$505,MATCH($C6,'Phản ánh'!$A$6:$A$505,0)),IF($I6="Công việc",INDEX('Kế hoạch'!$C$6:$C$305,$O6),""))</f>
      </c>
      <c r="K6" s="221">
        <f>IF($I6="Phản ánh",INDEX('Phản ánh'!$K$6:$K$505,MATCH($C6,'Phản ánh'!$A$6:$A$505,0))&amp;"",IF($I6="Công việc",INDEX('Kế hoạch'!$N$6:$N$305,$O6)&amp;"",""))</f>
      </c>
      <c r="L6" s="220">
        <f>IF(OR($C6="",N($B6)=0),"",IF(AND($I6="Phản ánh",$E6="Đã xử lý"),INDEX('Phản ánh'!$U$6:$U$505,MATCH($C6,'Phản ánh'!$A$6:$A$505,0)),IF(AND($I6="Công việc",OR($E6="Hoàn thành",$E6="Hoàn thành kỳ")),IF(INDEX('Kế hoạch'!$B$6:$B$305,$O6)="Đột xuất",INDEX('Kế hoạch'!$AY$6:$AY$305,$O6),IF(N($P6)=0,"",IF(INT($B6)&lt;$P6,$P6,IF($Q6&gt;0,$P6+ROUND((INT($B6)-$P6)/$Q6,0)*$Q6,IF($R6&gt;0,EDATE($P6,ROUND((DATEDIF($P6,INT($B6),"m")+(INT($B6)-EDATE($P6,DATEDIF($P6,INT($B6),"m")))/(EDATE($P6,DATEDIF($P6,INT($B6),"m")+1)-EDATE($P6,DATEDIF($P6,INT($B6),"m"))))/$R6,0)*$R6),$P6))))),"")))</f>
      </c>
      <c r="M6" s="223">
        <f>IF(OR($C6="",N($L6)=0,N($B6)=0),"",IF(IF(MOD($L6,1)=0,INT($B6),$B6)&lt;=$L6,"Đúng hạn","Trễ hạn"))</f>
      </c>
      <c r="N6" s="225">
        <f>IF($C6="","",ROW())</f>
      </c>
      <c r="O6" s="225">
        <f>IF($I6="Công việc",MATCH($C6,'Kế hoạch'!$A$6:$A$305,0),"")</f>
      </c>
      <c r="P6" s="234">
        <f>IF($O6="","",INDEX('Kế hoạch'!$I$6:$I$305,$O6))</f>
      </c>
      <c r="Q6" s="225">
        <f>IF($O6="","",INDEX('Kế hoạch'!$AJ$6:$AJ$305,$O6))</f>
      </c>
      <c r="R6" s="225">
        <f>IF($O6="","",INDEX('Kế hoạch'!$AK$6:$AK$305,$O6))</f>
      </c>
    </row>
    <row r="7">
      <c r="A7" s="223">
        <f>IF($C7="","",COUNTIF($C$6:$C7,"?*"))</f>
      </c>
      <c r="B7" s="217"/>
      <c r="C7" s="216"/>
      <c r="D7" s="240"/>
      <c r="E7" s="218"/>
      <c r="F7" s="218"/>
      <c r="G7" s="218"/>
      <c r="H7" s="219"/>
      <c r="I7" s="223">
        <f>IF($C7="","",IF(ISNUMBER(MATCH($C7,'Phản ánh'!$A$6:$A$505,0)),"Phản ánh",IF(ISNUMBER(MATCH($C7,'Kế hoạch'!$A$6:$A$305,0)),"Công việc","Mã chưa có")))</f>
      </c>
      <c r="J7" s="221">
        <f>IF($I7="Phản ánh",INDEX('Phản ánh'!$C$6:$C$505,MATCH($C7,'Phản ánh'!$A$6:$A$505,0)),IF($I7="Công việc",INDEX('Kế hoạch'!$C$6:$C$305,$O7),""))</f>
      </c>
      <c r="K7" s="221">
        <f>IF($I7="Phản ánh",INDEX('Phản ánh'!$K$6:$K$505,MATCH($C7,'Phản ánh'!$A$6:$A$505,0))&amp;"",IF($I7="Công việc",INDEX('Kế hoạch'!$N$6:$N$305,$O7)&amp;"",""))</f>
      </c>
      <c r="L7" s="220">
        <f>IF(OR($C7="",N($B7)=0),"",IF(AND($I7="Phản ánh",$E7="Đã xử lý"),INDEX('Phản ánh'!$U$6:$U$505,MATCH($C7,'Phản ánh'!$A$6:$A$505,0)),IF(AND($I7="Công việc",OR($E7="Hoàn thành",$E7="Hoàn thành kỳ")),IF(INDEX('Kế hoạch'!$B$6:$B$305,$O7)="Đột xuất",INDEX('Kế hoạch'!$AY$6:$AY$305,$O7),IF(N($P7)=0,"",IF(INT($B7)&lt;$P7,$P7,IF($Q7&gt;0,$P7+ROUND((INT($B7)-$P7)/$Q7,0)*$Q7,IF($R7&gt;0,EDATE($P7,ROUND((DATEDIF($P7,INT($B7),"m")+(INT($B7)-EDATE($P7,DATEDIF($P7,INT($B7),"m")))/(EDATE($P7,DATEDIF($P7,INT($B7),"m")+1)-EDATE($P7,DATEDIF($P7,INT($B7),"m"))))/$R7,0)*$R7),$P7))))),"")))</f>
      </c>
      <c r="M7" s="223">
        <f>IF(OR($C7="",N($L7)=0,N($B7)=0),"",IF(IF(MOD($L7,1)=0,INT($B7),$B7)&lt;=$L7,"Đúng hạn","Trễ hạn"))</f>
      </c>
      <c r="N7" s="225">
        <f>IF($C7="","",ROW())</f>
      </c>
      <c r="O7" s="225">
        <f>IF($I7="Công việc",MATCH($C7,'Kế hoạch'!$A$6:$A$305,0),"")</f>
      </c>
      <c r="P7" s="234">
        <f>IF($O7="","",INDEX('Kế hoạch'!$I$6:$I$305,$O7))</f>
      </c>
      <c r="Q7" s="225">
        <f>IF($O7="","",INDEX('Kế hoạch'!$AJ$6:$AJ$305,$O7))</f>
      </c>
      <c r="R7" s="225">
        <f>IF($O7="","",INDEX('Kế hoạch'!$AK$6:$AK$305,$O7))</f>
      </c>
    </row>
    <row r="8">
      <c r="A8" s="223">
        <f>IF($C8="","",COUNTIF($C$6:$C8,"?*"))</f>
      </c>
      <c r="B8" s="217"/>
      <c r="C8" s="216"/>
      <c r="D8" s="240"/>
      <c r="E8" s="218"/>
      <c r="F8" s="218"/>
      <c r="G8" s="218"/>
      <c r="H8" s="219"/>
      <c r="I8" s="223">
        <f>IF($C8="","",IF(ISNUMBER(MATCH($C8,'Phản ánh'!$A$6:$A$505,0)),"Phản ánh",IF(ISNUMBER(MATCH($C8,'Kế hoạch'!$A$6:$A$305,0)),"Công việc","Mã chưa có")))</f>
      </c>
      <c r="J8" s="221">
        <f>IF($I8="Phản ánh",INDEX('Phản ánh'!$C$6:$C$505,MATCH($C8,'Phản ánh'!$A$6:$A$505,0)),IF($I8="Công việc",INDEX('Kế hoạch'!$C$6:$C$305,$O8),""))</f>
      </c>
      <c r="K8" s="221">
        <f>IF($I8="Phản ánh",INDEX('Phản ánh'!$K$6:$K$505,MATCH($C8,'Phản ánh'!$A$6:$A$505,0))&amp;"",IF($I8="Công việc",INDEX('Kế hoạch'!$N$6:$N$305,$O8)&amp;"",""))</f>
      </c>
      <c r="L8" s="220">
        <f>IF(OR($C8="",N($B8)=0),"",IF(AND($I8="Phản ánh",$E8="Đã xử lý"),INDEX('Phản ánh'!$U$6:$U$505,MATCH($C8,'Phản ánh'!$A$6:$A$505,0)),IF(AND($I8="Công việc",OR($E8="Hoàn thành",$E8="Hoàn thành kỳ")),IF(INDEX('Kế hoạch'!$B$6:$B$305,$O8)="Đột xuất",INDEX('Kế hoạch'!$AY$6:$AY$305,$O8),IF(N($P8)=0,"",IF(INT($B8)&lt;$P8,$P8,IF($Q8&gt;0,$P8+ROUND((INT($B8)-$P8)/$Q8,0)*$Q8,IF($R8&gt;0,EDATE($P8,ROUND((DATEDIF($P8,INT($B8),"m")+(INT($B8)-EDATE($P8,DATEDIF($P8,INT($B8),"m")))/(EDATE($P8,DATEDIF($P8,INT($B8),"m")+1)-EDATE($P8,DATEDIF($P8,INT($B8),"m"))))/$R8,0)*$R8),$P8))))),"")))</f>
      </c>
      <c r="M8" s="223">
        <f>IF(OR($C8="",N($L8)=0,N($B8)=0),"",IF(IF(MOD($L8,1)=0,INT($B8),$B8)&lt;=$L8,"Đúng hạn","Trễ hạn"))</f>
      </c>
      <c r="N8" s="225">
        <f>IF($C8="","",ROW())</f>
      </c>
      <c r="O8" s="225">
        <f>IF($I8="Công việc",MATCH($C8,'Kế hoạch'!$A$6:$A$305,0),"")</f>
      </c>
      <c r="P8" s="234">
        <f>IF($O8="","",INDEX('Kế hoạch'!$I$6:$I$305,$O8))</f>
      </c>
      <c r="Q8" s="225">
        <f>IF($O8="","",INDEX('Kế hoạch'!$AJ$6:$AJ$305,$O8))</f>
      </c>
      <c r="R8" s="225">
        <f>IF($O8="","",INDEX('Kế hoạch'!$AK$6:$AK$305,$O8))</f>
      </c>
    </row>
    <row r="9">
      <c r="A9" s="223">
        <f>IF($C9="","",COUNTIF($C$6:$C9,"?*"))</f>
      </c>
      <c r="B9" s="217"/>
      <c r="C9" s="216"/>
      <c r="D9" s="240"/>
      <c r="E9" s="218"/>
      <c r="F9" s="218"/>
      <c r="G9" s="218"/>
      <c r="H9" s="219"/>
      <c r="I9" s="223">
        <f>IF($C9="","",IF(ISNUMBER(MATCH($C9,'Phản ánh'!$A$6:$A$505,0)),"Phản ánh",IF(ISNUMBER(MATCH($C9,'Kế hoạch'!$A$6:$A$305,0)),"Công việc","Mã chưa có")))</f>
      </c>
      <c r="J9" s="221">
        <f>IF($I9="Phản ánh",INDEX('Phản ánh'!$C$6:$C$505,MATCH($C9,'Phản ánh'!$A$6:$A$505,0)),IF($I9="Công việc",INDEX('Kế hoạch'!$C$6:$C$305,$O9),""))</f>
      </c>
      <c r="K9" s="221">
        <f>IF($I9="Phản ánh",INDEX('Phản ánh'!$K$6:$K$505,MATCH($C9,'Phản ánh'!$A$6:$A$505,0))&amp;"",IF($I9="Công việc",INDEX('Kế hoạch'!$N$6:$N$305,$O9)&amp;"",""))</f>
      </c>
      <c r="L9" s="220">
        <f>IF(OR($C9="",N($B9)=0),"",IF(AND($I9="Phản ánh",$E9="Đã xử lý"),INDEX('Phản ánh'!$U$6:$U$505,MATCH($C9,'Phản ánh'!$A$6:$A$505,0)),IF(AND($I9="Công việc",OR($E9="Hoàn thành",$E9="Hoàn thành kỳ")),IF(INDEX('Kế hoạch'!$B$6:$B$305,$O9)="Đột xuất",INDEX('Kế hoạch'!$AY$6:$AY$305,$O9),IF(N($P9)=0,"",IF(INT($B9)&lt;$P9,$P9,IF($Q9&gt;0,$P9+ROUND((INT($B9)-$P9)/$Q9,0)*$Q9,IF($R9&gt;0,EDATE($P9,ROUND((DATEDIF($P9,INT($B9),"m")+(INT($B9)-EDATE($P9,DATEDIF($P9,INT($B9),"m")))/(EDATE($P9,DATEDIF($P9,INT($B9),"m")+1)-EDATE($P9,DATEDIF($P9,INT($B9),"m"))))/$R9,0)*$R9),$P9))))),"")))</f>
      </c>
      <c r="M9" s="223">
        <f>IF(OR($C9="",N($L9)=0,N($B9)=0),"",IF(IF(MOD($L9,1)=0,INT($B9),$B9)&lt;=$L9,"Đúng hạn","Trễ hạn"))</f>
      </c>
      <c r="N9" s="225">
        <f>IF($C9="","",ROW())</f>
      </c>
      <c r="O9" s="225">
        <f>IF($I9="Công việc",MATCH($C9,'Kế hoạch'!$A$6:$A$305,0),"")</f>
      </c>
      <c r="P9" s="234">
        <f>IF($O9="","",INDEX('Kế hoạch'!$I$6:$I$305,$O9))</f>
      </c>
      <c r="Q9" s="225">
        <f>IF($O9="","",INDEX('Kế hoạch'!$AJ$6:$AJ$305,$O9))</f>
      </c>
      <c r="R9" s="225">
        <f>IF($O9="","",INDEX('Kế hoạch'!$AK$6:$AK$305,$O9))</f>
      </c>
    </row>
    <row r="10">
      <c r="A10" s="223">
        <f>IF($C10="","",COUNTIF($C$6:$C10,"?*"))</f>
      </c>
      <c r="B10" s="217"/>
      <c r="C10" s="216"/>
      <c r="D10" s="240"/>
      <c r="E10" s="218"/>
      <c r="F10" s="218"/>
      <c r="G10" s="218"/>
      <c r="H10" s="219"/>
      <c r="I10" s="223">
        <f>IF($C10="","",IF(ISNUMBER(MATCH($C10,'Phản ánh'!$A$6:$A$505,0)),"Phản ánh",IF(ISNUMBER(MATCH($C10,'Kế hoạch'!$A$6:$A$305,0)),"Công việc","Mã chưa có")))</f>
      </c>
      <c r="J10" s="221">
        <f>IF($I10="Phản ánh",INDEX('Phản ánh'!$C$6:$C$505,MATCH($C10,'Phản ánh'!$A$6:$A$505,0)),IF($I10="Công việc",INDEX('Kế hoạch'!$C$6:$C$305,$O10),""))</f>
      </c>
      <c r="K10" s="221">
        <f>IF($I10="Phản ánh",INDEX('Phản ánh'!$K$6:$K$505,MATCH($C10,'Phản ánh'!$A$6:$A$505,0))&amp;"",IF($I10="Công việc",INDEX('Kế hoạch'!$N$6:$N$305,$O10)&amp;"",""))</f>
      </c>
      <c r="L10" s="220">
        <f>IF(OR($C10="",N($B10)=0),"",IF(AND($I10="Phản ánh",$E10="Đã xử lý"),INDEX('Phản ánh'!$U$6:$U$505,MATCH($C10,'Phản ánh'!$A$6:$A$505,0)),IF(AND($I10="Công việc",OR($E10="Hoàn thành",$E10="Hoàn thành kỳ")),IF(INDEX('Kế hoạch'!$B$6:$B$305,$O10)="Đột xuất",INDEX('Kế hoạch'!$AY$6:$AY$305,$O10),IF(N($P10)=0,"",IF(INT($B10)&lt;$P10,$P10,IF($Q10&gt;0,$P10+ROUND((INT($B10)-$P10)/$Q10,0)*$Q10,IF($R10&gt;0,EDATE($P10,ROUND((DATEDIF($P10,INT($B10),"m")+(INT($B10)-EDATE($P10,DATEDIF($P10,INT($B10),"m")))/(EDATE($P10,DATEDIF($P10,INT($B10),"m")+1)-EDATE($P10,DATEDIF($P10,INT($B10),"m"))))/$R10,0)*$R10),$P10))))),"")))</f>
      </c>
      <c r="M10" s="223">
        <f>IF(OR($C10="",N($L10)=0,N($B10)=0),"",IF(IF(MOD($L10,1)=0,INT($B10),$B10)&lt;=$L10,"Đúng hạn","Trễ hạn"))</f>
      </c>
      <c r="N10" s="225">
        <f>IF($C10="","",ROW())</f>
      </c>
      <c r="O10" s="225">
        <f>IF($I10="Công việc",MATCH($C10,'Kế hoạch'!$A$6:$A$305,0),"")</f>
      </c>
      <c r="P10" s="234">
        <f>IF($O10="","",INDEX('Kế hoạch'!$I$6:$I$305,$O10))</f>
      </c>
      <c r="Q10" s="225">
        <f>IF($O10="","",INDEX('Kế hoạch'!$AJ$6:$AJ$305,$O10))</f>
      </c>
      <c r="R10" s="225">
        <f>IF($O10="","",INDEX('Kế hoạch'!$AK$6:$AK$305,$O10))</f>
      </c>
    </row>
    <row r="11">
      <c r="A11" s="223">
        <f>IF($C11="","",COUNTIF($C$6:$C11,"?*"))</f>
      </c>
      <c r="B11" s="217"/>
      <c r="C11" s="216"/>
      <c r="D11" s="240"/>
      <c r="E11" s="218"/>
      <c r="F11" s="218"/>
      <c r="G11" s="218"/>
      <c r="H11" s="219"/>
      <c r="I11" s="223">
        <f>IF($C11="","",IF(ISNUMBER(MATCH($C11,'Phản ánh'!$A$6:$A$505,0)),"Phản ánh",IF(ISNUMBER(MATCH($C11,'Kế hoạch'!$A$6:$A$305,0)),"Công việc","Mã chưa có")))</f>
      </c>
      <c r="J11" s="221">
        <f>IF($I11="Phản ánh",INDEX('Phản ánh'!$C$6:$C$505,MATCH($C11,'Phản ánh'!$A$6:$A$505,0)),IF($I11="Công việc",INDEX('Kế hoạch'!$C$6:$C$305,$O11),""))</f>
      </c>
      <c r="K11" s="221">
        <f>IF($I11="Phản ánh",INDEX('Phản ánh'!$K$6:$K$505,MATCH($C11,'Phản ánh'!$A$6:$A$505,0))&amp;"",IF($I11="Công việc",INDEX('Kế hoạch'!$N$6:$N$305,$O11)&amp;"",""))</f>
      </c>
      <c r="L11" s="220">
        <f>IF(OR($C11="",N($B11)=0),"",IF(AND($I11="Phản ánh",$E11="Đã xử lý"),INDEX('Phản ánh'!$U$6:$U$505,MATCH($C11,'Phản ánh'!$A$6:$A$505,0)),IF(AND($I11="Công việc",OR($E11="Hoàn thành",$E11="Hoàn thành kỳ")),IF(INDEX('Kế hoạch'!$B$6:$B$305,$O11)="Đột xuất",INDEX('Kế hoạch'!$AY$6:$AY$305,$O11),IF(N($P11)=0,"",IF(INT($B11)&lt;$P11,$P11,IF($Q11&gt;0,$P11+ROUND((INT($B11)-$P11)/$Q11,0)*$Q11,IF($R11&gt;0,EDATE($P11,ROUND((DATEDIF($P11,INT($B11),"m")+(INT($B11)-EDATE($P11,DATEDIF($P11,INT($B11),"m")))/(EDATE($P11,DATEDIF($P11,INT($B11),"m")+1)-EDATE($P11,DATEDIF($P11,INT($B11),"m"))))/$R11,0)*$R11),$P11))))),"")))</f>
      </c>
      <c r="M11" s="223">
        <f>IF(OR($C11="",N($L11)=0,N($B11)=0),"",IF(IF(MOD($L11,1)=0,INT($B11),$B11)&lt;=$L11,"Đúng hạn","Trễ hạn"))</f>
      </c>
      <c r="N11" s="225">
        <f>IF($C11="","",ROW())</f>
      </c>
      <c r="O11" s="225">
        <f>IF($I11="Công việc",MATCH($C11,'Kế hoạch'!$A$6:$A$305,0),"")</f>
      </c>
      <c r="P11" s="234">
        <f>IF($O11="","",INDEX('Kế hoạch'!$I$6:$I$305,$O11))</f>
      </c>
      <c r="Q11" s="225">
        <f>IF($O11="","",INDEX('Kế hoạch'!$AJ$6:$AJ$305,$O11))</f>
      </c>
      <c r="R11" s="225">
        <f>IF($O11="","",INDEX('Kế hoạch'!$AK$6:$AK$305,$O11))</f>
      </c>
    </row>
    <row r="12">
      <c r="A12" s="223">
        <f>IF($C12="","",COUNTIF($C$6:$C12,"?*"))</f>
      </c>
      <c r="B12" s="217"/>
      <c r="C12" s="216"/>
      <c r="D12" s="240"/>
      <c r="E12" s="218"/>
      <c r="F12" s="218"/>
      <c r="G12" s="218"/>
      <c r="H12" s="219"/>
      <c r="I12" s="223">
        <f>IF($C12="","",IF(ISNUMBER(MATCH($C12,'Phản ánh'!$A$6:$A$505,0)),"Phản ánh",IF(ISNUMBER(MATCH($C12,'Kế hoạch'!$A$6:$A$305,0)),"Công việc","Mã chưa có")))</f>
      </c>
      <c r="J12" s="221">
        <f>IF($I12="Phản ánh",INDEX('Phản ánh'!$C$6:$C$505,MATCH($C12,'Phản ánh'!$A$6:$A$505,0)),IF($I12="Công việc",INDEX('Kế hoạch'!$C$6:$C$305,$O12),""))</f>
      </c>
      <c r="K12" s="221">
        <f>IF($I12="Phản ánh",INDEX('Phản ánh'!$K$6:$K$505,MATCH($C12,'Phản ánh'!$A$6:$A$505,0))&amp;"",IF($I12="Công việc",INDEX('Kế hoạch'!$N$6:$N$305,$O12)&amp;"",""))</f>
      </c>
      <c r="L12" s="220">
        <f>IF(OR($C12="",N($B12)=0),"",IF(AND($I12="Phản ánh",$E12="Đã xử lý"),INDEX('Phản ánh'!$U$6:$U$505,MATCH($C12,'Phản ánh'!$A$6:$A$505,0)),IF(AND($I12="Công việc",OR($E12="Hoàn thành",$E12="Hoàn thành kỳ")),IF(INDEX('Kế hoạch'!$B$6:$B$305,$O12)="Đột xuất",INDEX('Kế hoạch'!$AY$6:$AY$305,$O12),IF(N($P12)=0,"",IF(INT($B12)&lt;$P12,$P12,IF($Q12&gt;0,$P12+ROUND((INT($B12)-$P12)/$Q12,0)*$Q12,IF($R12&gt;0,EDATE($P12,ROUND((DATEDIF($P12,INT($B12),"m")+(INT($B12)-EDATE($P12,DATEDIF($P12,INT($B12),"m")))/(EDATE($P12,DATEDIF($P12,INT($B12),"m")+1)-EDATE($P12,DATEDIF($P12,INT($B12),"m"))))/$R12,0)*$R12),$P12))))),"")))</f>
      </c>
      <c r="M12" s="223">
        <f>IF(OR($C12="",N($L12)=0,N($B12)=0),"",IF(IF(MOD($L12,1)=0,INT($B12),$B12)&lt;=$L12,"Đúng hạn","Trễ hạn"))</f>
      </c>
      <c r="N12" s="225">
        <f>IF($C12="","",ROW())</f>
      </c>
      <c r="O12" s="225">
        <f>IF($I12="Công việc",MATCH($C12,'Kế hoạch'!$A$6:$A$305,0),"")</f>
      </c>
      <c r="P12" s="234">
        <f>IF($O12="","",INDEX('Kế hoạch'!$I$6:$I$305,$O12))</f>
      </c>
      <c r="Q12" s="225">
        <f>IF($O12="","",INDEX('Kế hoạch'!$AJ$6:$AJ$305,$O12))</f>
      </c>
      <c r="R12" s="225">
        <f>IF($O12="","",INDEX('Kế hoạch'!$AK$6:$AK$305,$O12))</f>
      </c>
    </row>
    <row r="13">
      <c r="A13" s="223">
        <f>IF($C13="","",COUNTIF($C$6:$C13,"?*"))</f>
      </c>
      <c r="B13" s="217"/>
      <c r="C13" s="216"/>
      <c r="D13" s="240"/>
      <c r="E13" s="218"/>
      <c r="F13" s="218"/>
      <c r="G13" s="218"/>
      <c r="H13" s="219"/>
      <c r="I13" s="223">
        <f>IF($C13="","",IF(ISNUMBER(MATCH($C13,'Phản ánh'!$A$6:$A$505,0)),"Phản ánh",IF(ISNUMBER(MATCH($C13,'Kế hoạch'!$A$6:$A$305,0)),"Công việc","Mã chưa có")))</f>
      </c>
      <c r="J13" s="221">
        <f>IF($I13="Phản ánh",INDEX('Phản ánh'!$C$6:$C$505,MATCH($C13,'Phản ánh'!$A$6:$A$505,0)),IF($I13="Công việc",INDEX('Kế hoạch'!$C$6:$C$305,$O13),""))</f>
      </c>
      <c r="K13" s="221">
        <f>IF($I13="Phản ánh",INDEX('Phản ánh'!$K$6:$K$505,MATCH($C13,'Phản ánh'!$A$6:$A$505,0))&amp;"",IF($I13="Công việc",INDEX('Kế hoạch'!$N$6:$N$305,$O13)&amp;"",""))</f>
      </c>
      <c r="L13" s="220">
        <f>IF(OR($C13="",N($B13)=0),"",IF(AND($I13="Phản ánh",$E13="Đã xử lý"),INDEX('Phản ánh'!$U$6:$U$505,MATCH($C13,'Phản ánh'!$A$6:$A$505,0)),IF(AND($I13="Công việc",OR($E13="Hoàn thành",$E13="Hoàn thành kỳ")),IF(INDEX('Kế hoạch'!$B$6:$B$305,$O13)="Đột xuất",INDEX('Kế hoạch'!$AY$6:$AY$305,$O13),IF(N($P13)=0,"",IF(INT($B13)&lt;$P13,$P13,IF($Q13&gt;0,$P13+ROUND((INT($B13)-$P13)/$Q13,0)*$Q13,IF($R13&gt;0,EDATE($P13,ROUND((DATEDIF($P13,INT($B13),"m")+(INT($B13)-EDATE($P13,DATEDIF($P13,INT($B13),"m")))/(EDATE($P13,DATEDIF($P13,INT($B13),"m")+1)-EDATE($P13,DATEDIF($P13,INT($B13),"m"))))/$R13,0)*$R13),$P13))))),"")))</f>
      </c>
      <c r="M13" s="223">
        <f>IF(OR($C13="",N($L13)=0,N($B13)=0),"",IF(IF(MOD($L13,1)=0,INT($B13),$B13)&lt;=$L13,"Đúng hạn","Trễ hạn"))</f>
      </c>
      <c r="N13" s="225">
        <f>IF($C13="","",ROW())</f>
      </c>
      <c r="O13" s="225">
        <f>IF($I13="Công việc",MATCH($C13,'Kế hoạch'!$A$6:$A$305,0),"")</f>
      </c>
      <c r="P13" s="234">
        <f>IF($O13="","",INDEX('Kế hoạch'!$I$6:$I$305,$O13))</f>
      </c>
      <c r="Q13" s="225">
        <f>IF($O13="","",INDEX('Kế hoạch'!$AJ$6:$AJ$305,$O13))</f>
      </c>
      <c r="R13" s="225">
        <f>IF($O13="","",INDEX('Kế hoạch'!$AK$6:$AK$305,$O13))</f>
      </c>
    </row>
    <row r="14">
      <c r="A14" s="223">
        <f>IF($C14="","",COUNTIF($C$6:$C14,"?*"))</f>
      </c>
      <c r="B14" s="217"/>
      <c r="C14" s="216"/>
      <c r="D14" s="240"/>
      <c r="E14" s="218"/>
      <c r="F14" s="218"/>
      <c r="G14" s="218"/>
      <c r="H14" s="219"/>
      <c r="I14" s="223">
        <f>IF($C14="","",IF(ISNUMBER(MATCH($C14,'Phản ánh'!$A$6:$A$505,0)),"Phản ánh",IF(ISNUMBER(MATCH($C14,'Kế hoạch'!$A$6:$A$305,0)),"Công việc","Mã chưa có")))</f>
      </c>
      <c r="J14" s="221">
        <f>IF($I14="Phản ánh",INDEX('Phản ánh'!$C$6:$C$505,MATCH($C14,'Phản ánh'!$A$6:$A$505,0)),IF($I14="Công việc",INDEX('Kế hoạch'!$C$6:$C$305,$O14),""))</f>
      </c>
      <c r="K14" s="221">
        <f>IF($I14="Phản ánh",INDEX('Phản ánh'!$K$6:$K$505,MATCH($C14,'Phản ánh'!$A$6:$A$505,0))&amp;"",IF($I14="Công việc",INDEX('Kế hoạch'!$N$6:$N$305,$O14)&amp;"",""))</f>
      </c>
      <c r="L14" s="220">
        <f>IF(OR($C14="",N($B14)=0),"",IF(AND($I14="Phản ánh",$E14="Đã xử lý"),INDEX('Phản ánh'!$U$6:$U$505,MATCH($C14,'Phản ánh'!$A$6:$A$505,0)),IF(AND($I14="Công việc",OR($E14="Hoàn thành",$E14="Hoàn thành kỳ")),IF(INDEX('Kế hoạch'!$B$6:$B$305,$O14)="Đột xuất",INDEX('Kế hoạch'!$AY$6:$AY$305,$O14),IF(N($P14)=0,"",IF(INT($B14)&lt;$P14,$P14,IF($Q14&gt;0,$P14+ROUND((INT($B14)-$P14)/$Q14,0)*$Q14,IF($R14&gt;0,EDATE($P14,ROUND((DATEDIF($P14,INT($B14),"m")+(INT($B14)-EDATE($P14,DATEDIF($P14,INT($B14),"m")))/(EDATE($P14,DATEDIF($P14,INT($B14),"m")+1)-EDATE($P14,DATEDIF($P14,INT($B14),"m"))))/$R14,0)*$R14),$P14))))),"")))</f>
      </c>
      <c r="M14" s="223">
        <f>IF(OR($C14="",N($L14)=0,N($B14)=0),"",IF(IF(MOD($L14,1)=0,INT($B14),$B14)&lt;=$L14,"Đúng hạn","Trễ hạn"))</f>
      </c>
      <c r="N14" s="225">
        <f>IF($C14="","",ROW())</f>
      </c>
      <c r="O14" s="225">
        <f>IF($I14="Công việc",MATCH($C14,'Kế hoạch'!$A$6:$A$305,0),"")</f>
      </c>
      <c r="P14" s="234">
        <f>IF($O14="","",INDEX('Kế hoạch'!$I$6:$I$305,$O14))</f>
      </c>
      <c r="Q14" s="225">
        <f>IF($O14="","",INDEX('Kế hoạch'!$AJ$6:$AJ$305,$O14))</f>
      </c>
      <c r="R14" s="225">
        <f>IF($O14="","",INDEX('Kế hoạch'!$AK$6:$AK$305,$O14))</f>
      </c>
    </row>
    <row r="15">
      <c r="A15" s="223">
        <f>IF($C15="","",COUNTIF($C$6:$C15,"?*"))</f>
      </c>
      <c r="B15" s="217"/>
      <c r="C15" s="216"/>
      <c r="D15" s="240"/>
      <c r="E15" s="218"/>
      <c r="F15" s="218"/>
      <c r="G15" s="218"/>
      <c r="H15" s="219"/>
      <c r="I15" s="223">
        <f>IF($C15="","",IF(ISNUMBER(MATCH($C15,'Phản ánh'!$A$6:$A$505,0)),"Phản ánh",IF(ISNUMBER(MATCH($C15,'Kế hoạch'!$A$6:$A$305,0)),"Công việc","Mã chưa có")))</f>
      </c>
      <c r="J15" s="221">
        <f>IF($I15="Phản ánh",INDEX('Phản ánh'!$C$6:$C$505,MATCH($C15,'Phản ánh'!$A$6:$A$505,0)),IF($I15="Công việc",INDEX('Kế hoạch'!$C$6:$C$305,$O15),""))</f>
      </c>
      <c r="K15" s="221">
        <f>IF($I15="Phản ánh",INDEX('Phản ánh'!$K$6:$K$505,MATCH($C15,'Phản ánh'!$A$6:$A$505,0))&amp;"",IF($I15="Công việc",INDEX('Kế hoạch'!$N$6:$N$305,$O15)&amp;"",""))</f>
      </c>
      <c r="L15" s="220">
        <f>IF(OR($C15="",N($B15)=0),"",IF(AND($I15="Phản ánh",$E15="Đã xử lý"),INDEX('Phản ánh'!$U$6:$U$505,MATCH($C15,'Phản ánh'!$A$6:$A$505,0)),IF(AND($I15="Công việc",OR($E15="Hoàn thành",$E15="Hoàn thành kỳ")),IF(INDEX('Kế hoạch'!$B$6:$B$305,$O15)="Đột xuất",INDEX('Kế hoạch'!$AY$6:$AY$305,$O15),IF(N($P15)=0,"",IF(INT($B15)&lt;$P15,$P15,IF($Q15&gt;0,$P15+ROUND((INT($B15)-$P15)/$Q15,0)*$Q15,IF($R15&gt;0,EDATE($P15,ROUND((DATEDIF($P15,INT($B15),"m")+(INT($B15)-EDATE($P15,DATEDIF($P15,INT($B15),"m")))/(EDATE($P15,DATEDIF($P15,INT($B15),"m")+1)-EDATE($P15,DATEDIF($P15,INT($B15),"m"))))/$R15,0)*$R15),$P15))))),"")))</f>
      </c>
      <c r="M15" s="223">
        <f>IF(OR($C15="",N($L15)=0,N($B15)=0),"",IF(IF(MOD($L15,1)=0,INT($B15),$B15)&lt;=$L15,"Đúng hạn","Trễ hạn"))</f>
      </c>
      <c r="N15" s="225">
        <f>IF($C15="","",ROW())</f>
      </c>
      <c r="O15" s="225">
        <f>IF($I15="Công việc",MATCH($C15,'Kế hoạch'!$A$6:$A$305,0),"")</f>
      </c>
      <c r="P15" s="234">
        <f>IF($O15="","",INDEX('Kế hoạch'!$I$6:$I$305,$O15))</f>
      </c>
      <c r="Q15" s="225">
        <f>IF($O15="","",INDEX('Kế hoạch'!$AJ$6:$AJ$305,$O15))</f>
      </c>
      <c r="R15" s="225">
        <f>IF($O15="","",INDEX('Kế hoạch'!$AK$6:$AK$305,$O15))</f>
      </c>
    </row>
    <row r="16">
      <c r="A16" s="223">
        <f>IF($C16="","",COUNTIF($C$6:$C16,"?*"))</f>
      </c>
      <c r="B16" s="217"/>
      <c r="C16" s="216"/>
      <c r="D16" s="240"/>
      <c r="E16" s="218"/>
      <c r="F16" s="218"/>
      <c r="G16" s="218"/>
      <c r="H16" s="219"/>
      <c r="I16" s="223">
        <f>IF($C16="","",IF(ISNUMBER(MATCH($C16,'Phản ánh'!$A$6:$A$505,0)),"Phản ánh",IF(ISNUMBER(MATCH($C16,'Kế hoạch'!$A$6:$A$305,0)),"Công việc","Mã chưa có")))</f>
      </c>
      <c r="J16" s="221">
        <f>IF($I16="Phản ánh",INDEX('Phản ánh'!$C$6:$C$505,MATCH($C16,'Phản ánh'!$A$6:$A$505,0)),IF($I16="Công việc",INDEX('Kế hoạch'!$C$6:$C$305,$O16),""))</f>
      </c>
      <c r="K16" s="221">
        <f>IF($I16="Phản ánh",INDEX('Phản ánh'!$K$6:$K$505,MATCH($C16,'Phản ánh'!$A$6:$A$505,0))&amp;"",IF($I16="Công việc",INDEX('Kế hoạch'!$N$6:$N$305,$O16)&amp;"",""))</f>
      </c>
      <c r="L16" s="220">
        <f>IF(OR($C16="",N($B16)=0),"",IF(AND($I16="Phản ánh",$E16="Đã xử lý"),INDEX('Phản ánh'!$U$6:$U$505,MATCH($C16,'Phản ánh'!$A$6:$A$505,0)),IF(AND($I16="Công việc",OR($E16="Hoàn thành",$E16="Hoàn thành kỳ")),IF(INDEX('Kế hoạch'!$B$6:$B$305,$O16)="Đột xuất",INDEX('Kế hoạch'!$AY$6:$AY$305,$O16),IF(N($P16)=0,"",IF(INT($B16)&lt;$P16,$P16,IF($Q16&gt;0,$P16+ROUND((INT($B16)-$P16)/$Q16,0)*$Q16,IF($R16&gt;0,EDATE($P16,ROUND((DATEDIF($P16,INT($B16),"m")+(INT($B16)-EDATE($P16,DATEDIF($P16,INT($B16),"m")))/(EDATE($P16,DATEDIF($P16,INT($B16),"m")+1)-EDATE($P16,DATEDIF($P16,INT($B16),"m"))))/$R16,0)*$R16),$P16))))),"")))</f>
      </c>
      <c r="M16" s="223">
        <f>IF(OR($C16="",N($L16)=0,N($B16)=0),"",IF(IF(MOD($L16,1)=0,INT($B16),$B16)&lt;=$L16,"Đúng hạn","Trễ hạn"))</f>
      </c>
      <c r="N16" s="225">
        <f>IF($C16="","",ROW())</f>
      </c>
      <c r="O16" s="225">
        <f>IF($I16="Công việc",MATCH($C16,'Kế hoạch'!$A$6:$A$305,0),"")</f>
      </c>
      <c r="P16" s="234">
        <f>IF($O16="","",INDEX('Kế hoạch'!$I$6:$I$305,$O16))</f>
      </c>
      <c r="Q16" s="225">
        <f>IF($O16="","",INDEX('Kế hoạch'!$AJ$6:$AJ$305,$O16))</f>
      </c>
      <c r="R16" s="225">
        <f>IF($O16="","",INDEX('Kế hoạch'!$AK$6:$AK$305,$O16))</f>
      </c>
    </row>
    <row r="17">
      <c r="A17" s="223">
        <f>IF($C17="","",COUNTIF($C$6:$C17,"?*"))</f>
      </c>
      <c r="B17" s="217"/>
      <c r="C17" s="216"/>
      <c r="D17" s="240"/>
      <c r="E17" s="218"/>
      <c r="F17" s="218"/>
      <c r="G17" s="218"/>
      <c r="H17" s="219"/>
      <c r="I17" s="223">
        <f>IF($C17="","",IF(ISNUMBER(MATCH($C17,'Phản ánh'!$A$6:$A$505,0)),"Phản ánh",IF(ISNUMBER(MATCH($C17,'Kế hoạch'!$A$6:$A$305,0)),"Công việc","Mã chưa có")))</f>
      </c>
      <c r="J17" s="221">
        <f>IF($I17="Phản ánh",INDEX('Phản ánh'!$C$6:$C$505,MATCH($C17,'Phản ánh'!$A$6:$A$505,0)),IF($I17="Công việc",INDEX('Kế hoạch'!$C$6:$C$305,$O17),""))</f>
      </c>
      <c r="K17" s="221">
        <f>IF($I17="Phản ánh",INDEX('Phản ánh'!$K$6:$K$505,MATCH($C17,'Phản ánh'!$A$6:$A$505,0))&amp;"",IF($I17="Công việc",INDEX('Kế hoạch'!$N$6:$N$305,$O17)&amp;"",""))</f>
      </c>
      <c r="L17" s="220">
        <f>IF(OR($C17="",N($B17)=0),"",IF(AND($I17="Phản ánh",$E17="Đã xử lý"),INDEX('Phản ánh'!$U$6:$U$505,MATCH($C17,'Phản ánh'!$A$6:$A$505,0)),IF(AND($I17="Công việc",OR($E17="Hoàn thành",$E17="Hoàn thành kỳ")),IF(INDEX('Kế hoạch'!$B$6:$B$305,$O17)="Đột xuất",INDEX('Kế hoạch'!$AY$6:$AY$305,$O17),IF(N($P17)=0,"",IF(INT($B17)&lt;$P17,$P17,IF($Q17&gt;0,$P17+ROUND((INT($B17)-$P17)/$Q17,0)*$Q17,IF($R17&gt;0,EDATE($P17,ROUND((DATEDIF($P17,INT($B17),"m")+(INT($B17)-EDATE($P17,DATEDIF($P17,INT($B17),"m")))/(EDATE($P17,DATEDIF($P17,INT($B17),"m")+1)-EDATE($P17,DATEDIF($P17,INT($B17),"m"))))/$R17,0)*$R17),$P17))))),"")))</f>
      </c>
      <c r="M17" s="223">
        <f>IF(OR($C17="",N($L17)=0,N($B17)=0),"",IF(IF(MOD($L17,1)=0,INT($B17),$B17)&lt;=$L17,"Đúng hạn","Trễ hạn"))</f>
      </c>
      <c r="N17" s="225">
        <f>IF($C17="","",ROW())</f>
      </c>
      <c r="O17" s="225">
        <f>IF($I17="Công việc",MATCH($C17,'Kế hoạch'!$A$6:$A$305,0),"")</f>
      </c>
      <c r="P17" s="234">
        <f>IF($O17="","",INDEX('Kế hoạch'!$I$6:$I$305,$O17))</f>
      </c>
      <c r="Q17" s="225">
        <f>IF($O17="","",INDEX('Kế hoạch'!$AJ$6:$AJ$305,$O17))</f>
      </c>
      <c r="R17" s="225">
        <f>IF($O17="","",INDEX('Kế hoạch'!$AK$6:$AK$305,$O17))</f>
      </c>
    </row>
    <row r="18">
      <c r="A18" s="223">
        <f>IF($C18="","",COUNTIF($C$6:$C18,"?*"))</f>
      </c>
      <c r="B18" s="217"/>
      <c r="C18" s="216"/>
      <c r="D18" s="240"/>
      <c r="E18" s="218"/>
      <c r="F18" s="218"/>
      <c r="G18" s="218"/>
      <c r="H18" s="219"/>
      <c r="I18" s="223">
        <f>IF($C18="","",IF(ISNUMBER(MATCH($C18,'Phản ánh'!$A$6:$A$505,0)),"Phản ánh",IF(ISNUMBER(MATCH($C18,'Kế hoạch'!$A$6:$A$305,0)),"Công việc","Mã chưa có")))</f>
      </c>
      <c r="J18" s="221">
        <f>IF($I18="Phản ánh",INDEX('Phản ánh'!$C$6:$C$505,MATCH($C18,'Phản ánh'!$A$6:$A$505,0)),IF($I18="Công việc",INDEX('Kế hoạch'!$C$6:$C$305,$O18),""))</f>
      </c>
      <c r="K18" s="221">
        <f>IF($I18="Phản ánh",INDEX('Phản ánh'!$K$6:$K$505,MATCH($C18,'Phản ánh'!$A$6:$A$505,0))&amp;"",IF($I18="Công việc",INDEX('Kế hoạch'!$N$6:$N$305,$O18)&amp;"",""))</f>
      </c>
      <c r="L18" s="220">
        <f>IF(OR($C18="",N($B18)=0),"",IF(AND($I18="Phản ánh",$E18="Đã xử lý"),INDEX('Phản ánh'!$U$6:$U$505,MATCH($C18,'Phản ánh'!$A$6:$A$505,0)),IF(AND($I18="Công việc",OR($E18="Hoàn thành",$E18="Hoàn thành kỳ")),IF(INDEX('Kế hoạch'!$B$6:$B$305,$O18)="Đột xuất",INDEX('Kế hoạch'!$AY$6:$AY$305,$O18),IF(N($P18)=0,"",IF(INT($B18)&lt;$P18,$P18,IF($Q18&gt;0,$P18+ROUND((INT($B18)-$P18)/$Q18,0)*$Q18,IF($R18&gt;0,EDATE($P18,ROUND((DATEDIF($P18,INT($B18),"m")+(INT($B18)-EDATE($P18,DATEDIF($P18,INT($B18),"m")))/(EDATE($P18,DATEDIF($P18,INT($B18),"m")+1)-EDATE($P18,DATEDIF($P18,INT($B18),"m"))))/$R18,0)*$R18),$P18))))),"")))</f>
      </c>
      <c r="M18" s="223">
        <f>IF(OR($C18="",N($L18)=0,N($B18)=0),"",IF(IF(MOD($L18,1)=0,INT($B18),$B18)&lt;=$L18,"Đúng hạn","Trễ hạn"))</f>
      </c>
      <c r="N18" s="225">
        <f>IF($C18="","",ROW())</f>
      </c>
      <c r="O18" s="225">
        <f>IF($I18="Công việc",MATCH($C18,'Kế hoạch'!$A$6:$A$305,0),"")</f>
      </c>
      <c r="P18" s="234">
        <f>IF($O18="","",INDEX('Kế hoạch'!$I$6:$I$305,$O18))</f>
      </c>
      <c r="Q18" s="225">
        <f>IF($O18="","",INDEX('Kế hoạch'!$AJ$6:$AJ$305,$O18))</f>
      </c>
      <c r="R18" s="225">
        <f>IF($O18="","",INDEX('Kế hoạch'!$AK$6:$AK$305,$O18))</f>
      </c>
    </row>
    <row r="19">
      <c r="A19" s="223">
        <f>IF($C19="","",COUNTIF($C$6:$C19,"?*"))</f>
      </c>
      <c r="B19" s="217"/>
      <c r="C19" s="216"/>
      <c r="D19" s="240"/>
      <c r="E19" s="218"/>
      <c r="F19" s="218"/>
      <c r="G19" s="218"/>
      <c r="H19" s="219"/>
      <c r="I19" s="223">
        <f>IF($C19="","",IF(ISNUMBER(MATCH($C19,'Phản ánh'!$A$6:$A$505,0)),"Phản ánh",IF(ISNUMBER(MATCH($C19,'Kế hoạch'!$A$6:$A$305,0)),"Công việc","Mã chưa có")))</f>
      </c>
      <c r="J19" s="221">
        <f>IF($I19="Phản ánh",INDEX('Phản ánh'!$C$6:$C$505,MATCH($C19,'Phản ánh'!$A$6:$A$505,0)),IF($I19="Công việc",INDEX('Kế hoạch'!$C$6:$C$305,$O19),""))</f>
      </c>
      <c r="K19" s="221">
        <f>IF($I19="Phản ánh",INDEX('Phản ánh'!$K$6:$K$505,MATCH($C19,'Phản ánh'!$A$6:$A$505,0))&amp;"",IF($I19="Công việc",INDEX('Kế hoạch'!$N$6:$N$305,$O19)&amp;"",""))</f>
      </c>
      <c r="L19" s="220">
        <f>IF(OR($C19="",N($B19)=0),"",IF(AND($I19="Phản ánh",$E19="Đã xử lý"),INDEX('Phản ánh'!$U$6:$U$505,MATCH($C19,'Phản ánh'!$A$6:$A$505,0)),IF(AND($I19="Công việc",OR($E19="Hoàn thành",$E19="Hoàn thành kỳ")),IF(INDEX('Kế hoạch'!$B$6:$B$305,$O19)="Đột xuất",INDEX('Kế hoạch'!$AY$6:$AY$305,$O19),IF(N($P19)=0,"",IF(INT($B19)&lt;$P19,$P19,IF($Q19&gt;0,$P19+ROUND((INT($B19)-$P19)/$Q19,0)*$Q19,IF($R19&gt;0,EDATE($P19,ROUND((DATEDIF($P19,INT($B19),"m")+(INT($B19)-EDATE($P19,DATEDIF($P19,INT($B19),"m")))/(EDATE($P19,DATEDIF($P19,INT($B19),"m")+1)-EDATE($P19,DATEDIF($P19,INT($B19),"m"))))/$R19,0)*$R19),$P19))))),"")))</f>
      </c>
      <c r="M19" s="223">
        <f>IF(OR($C19="",N($L19)=0,N($B19)=0),"",IF(IF(MOD($L19,1)=0,INT($B19),$B19)&lt;=$L19,"Đúng hạn","Trễ hạn"))</f>
      </c>
      <c r="N19" s="225">
        <f>IF($C19="","",ROW())</f>
      </c>
      <c r="O19" s="225">
        <f>IF($I19="Công việc",MATCH($C19,'Kế hoạch'!$A$6:$A$305,0),"")</f>
      </c>
      <c r="P19" s="234">
        <f>IF($O19="","",INDEX('Kế hoạch'!$I$6:$I$305,$O19))</f>
      </c>
      <c r="Q19" s="225">
        <f>IF($O19="","",INDEX('Kế hoạch'!$AJ$6:$AJ$305,$O19))</f>
      </c>
      <c r="R19" s="225">
        <f>IF($O19="","",INDEX('Kế hoạch'!$AK$6:$AK$305,$O19))</f>
      </c>
    </row>
    <row r="20">
      <c r="A20" s="223">
        <f>IF($C20="","",COUNTIF($C$6:$C20,"?*"))</f>
      </c>
      <c r="B20" s="217"/>
      <c r="C20" s="216"/>
      <c r="D20" s="240"/>
      <c r="E20" s="218"/>
      <c r="F20" s="218"/>
      <c r="G20" s="218"/>
      <c r="H20" s="219"/>
      <c r="I20" s="223">
        <f>IF($C20="","",IF(ISNUMBER(MATCH($C20,'Phản ánh'!$A$6:$A$505,0)),"Phản ánh",IF(ISNUMBER(MATCH($C20,'Kế hoạch'!$A$6:$A$305,0)),"Công việc","Mã chưa có")))</f>
      </c>
      <c r="J20" s="221">
        <f>IF($I20="Phản ánh",INDEX('Phản ánh'!$C$6:$C$505,MATCH($C20,'Phản ánh'!$A$6:$A$505,0)),IF($I20="Công việc",INDEX('Kế hoạch'!$C$6:$C$305,$O20),""))</f>
      </c>
      <c r="K20" s="221">
        <f>IF($I20="Phản ánh",INDEX('Phản ánh'!$K$6:$K$505,MATCH($C20,'Phản ánh'!$A$6:$A$505,0))&amp;"",IF($I20="Công việc",INDEX('Kế hoạch'!$N$6:$N$305,$O20)&amp;"",""))</f>
      </c>
      <c r="L20" s="220">
        <f>IF(OR($C20="",N($B20)=0),"",IF(AND($I20="Phản ánh",$E20="Đã xử lý"),INDEX('Phản ánh'!$U$6:$U$505,MATCH($C20,'Phản ánh'!$A$6:$A$505,0)),IF(AND($I20="Công việc",OR($E20="Hoàn thành",$E20="Hoàn thành kỳ")),IF(INDEX('Kế hoạch'!$B$6:$B$305,$O20)="Đột xuất",INDEX('Kế hoạch'!$AY$6:$AY$305,$O20),IF(N($P20)=0,"",IF(INT($B20)&lt;$P20,$P20,IF($Q20&gt;0,$P20+ROUND((INT($B20)-$P20)/$Q20,0)*$Q20,IF($R20&gt;0,EDATE($P20,ROUND((DATEDIF($P20,INT($B20),"m")+(INT($B20)-EDATE($P20,DATEDIF($P20,INT($B20),"m")))/(EDATE($P20,DATEDIF($P20,INT($B20),"m")+1)-EDATE($P20,DATEDIF($P20,INT($B20),"m"))))/$R20,0)*$R20),$P20))))),"")))</f>
      </c>
      <c r="M20" s="223">
        <f>IF(OR($C20="",N($L20)=0,N($B20)=0),"",IF(IF(MOD($L20,1)=0,INT($B20),$B20)&lt;=$L20,"Đúng hạn","Trễ hạn"))</f>
      </c>
      <c r="N20" s="225">
        <f>IF($C20="","",ROW())</f>
      </c>
      <c r="O20" s="225">
        <f>IF($I20="Công việc",MATCH($C20,'Kế hoạch'!$A$6:$A$305,0),"")</f>
      </c>
      <c r="P20" s="234">
        <f>IF($O20="","",INDEX('Kế hoạch'!$I$6:$I$305,$O20))</f>
      </c>
      <c r="Q20" s="225">
        <f>IF($O20="","",INDEX('Kế hoạch'!$AJ$6:$AJ$305,$O20))</f>
      </c>
      <c r="R20" s="225">
        <f>IF($O20="","",INDEX('Kế hoạch'!$AK$6:$AK$305,$O20))</f>
      </c>
    </row>
    <row r="21">
      <c r="A21" s="223">
        <f>IF($C21="","",COUNTIF($C$6:$C21,"?*"))</f>
      </c>
      <c r="B21" s="217"/>
      <c r="C21" s="216"/>
      <c r="D21" s="240"/>
      <c r="E21" s="218"/>
      <c r="F21" s="218"/>
      <c r="G21" s="218"/>
      <c r="H21" s="219"/>
      <c r="I21" s="223">
        <f>IF($C21="","",IF(ISNUMBER(MATCH($C21,'Phản ánh'!$A$6:$A$505,0)),"Phản ánh",IF(ISNUMBER(MATCH($C21,'Kế hoạch'!$A$6:$A$305,0)),"Công việc","Mã chưa có")))</f>
      </c>
      <c r="J21" s="221">
        <f>IF($I21="Phản ánh",INDEX('Phản ánh'!$C$6:$C$505,MATCH($C21,'Phản ánh'!$A$6:$A$505,0)),IF($I21="Công việc",INDEX('Kế hoạch'!$C$6:$C$305,$O21),""))</f>
      </c>
      <c r="K21" s="221">
        <f>IF($I21="Phản ánh",INDEX('Phản ánh'!$K$6:$K$505,MATCH($C21,'Phản ánh'!$A$6:$A$505,0))&amp;"",IF($I21="Công việc",INDEX('Kế hoạch'!$N$6:$N$305,$O21)&amp;"",""))</f>
      </c>
      <c r="L21" s="220">
        <f>IF(OR($C21="",N($B21)=0),"",IF(AND($I21="Phản ánh",$E21="Đã xử lý"),INDEX('Phản ánh'!$U$6:$U$505,MATCH($C21,'Phản ánh'!$A$6:$A$505,0)),IF(AND($I21="Công việc",OR($E21="Hoàn thành",$E21="Hoàn thành kỳ")),IF(INDEX('Kế hoạch'!$B$6:$B$305,$O21)="Đột xuất",INDEX('Kế hoạch'!$AY$6:$AY$305,$O21),IF(N($P21)=0,"",IF(INT($B21)&lt;$P21,$P21,IF($Q21&gt;0,$P21+ROUND((INT($B21)-$P21)/$Q21,0)*$Q21,IF($R21&gt;0,EDATE($P21,ROUND((DATEDIF($P21,INT($B21),"m")+(INT($B21)-EDATE($P21,DATEDIF($P21,INT($B21),"m")))/(EDATE($P21,DATEDIF($P21,INT($B21),"m")+1)-EDATE($P21,DATEDIF($P21,INT($B21),"m"))))/$R21,0)*$R21),$P21))))),"")))</f>
      </c>
      <c r="M21" s="223">
        <f>IF(OR($C21="",N($L21)=0,N($B21)=0),"",IF(IF(MOD($L21,1)=0,INT($B21),$B21)&lt;=$L21,"Đúng hạn","Trễ hạn"))</f>
      </c>
      <c r="N21" s="225">
        <f>IF($C21="","",ROW())</f>
      </c>
      <c r="O21" s="225">
        <f>IF($I21="Công việc",MATCH($C21,'Kế hoạch'!$A$6:$A$305,0),"")</f>
      </c>
      <c r="P21" s="234">
        <f>IF($O21="","",INDEX('Kế hoạch'!$I$6:$I$305,$O21))</f>
      </c>
      <c r="Q21" s="225">
        <f>IF($O21="","",INDEX('Kế hoạch'!$AJ$6:$AJ$305,$O21))</f>
      </c>
      <c r="R21" s="225">
        <f>IF($O21="","",INDEX('Kế hoạch'!$AK$6:$AK$305,$O21))</f>
      </c>
    </row>
    <row r="22">
      <c r="A22" s="223">
        <f>IF($C22="","",COUNTIF($C$6:$C22,"?*"))</f>
      </c>
      <c r="B22" s="217"/>
      <c r="C22" s="216"/>
      <c r="D22" s="240"/>
      <c r="E22" s="218"/>
      <c r="F22" s="218"/>
      <c r="G22" s="218"/>
      <c r="H22" s="219"/>
      <c r="I22" s="223">
        <f>IF($C22="","",IF(ISNUMBER(MATCH($C22,'Phản ánh'!$A$6:$A$505,0)),"Phản ánh",IF(ISNUMBER(MATCH($C22,'Kế hoạch'!$A$6:$A$305,0)),"Công việc","Mã chưa có")))</f>
      </c>
      <c r="J22" s="221">
        <f>IF($I22="Phản ánh",INDEX('Phản ánh'!$C$6:$C$505,MATCH($C22,'Phản ánh'!$A$6:$A$505,0)),IF($I22="Công việc",INDEX('Kế hoạch'!$C$6:$C$305,$O22),""))</f>
      </c>
      <c r="K22" s="221">
        <f>IF($I22="Phản ánh",INDEX('Phản ánh'!$K$6:$K$505,MATCH($C22,'Phản ánh'!$A$6:$A$505,0))&amp;"",IF($I22="Công việc",INDEX('Kế hoạch'!$N$6:$N$305,$O22)&amp;"",""))</f>
      </c>
      <c r="L22" s="220">
        <f>IF(OR($C22="",N($B22)=0),"",IF(AND($I22="Phản ánh",$E22="Đã xử lý"),INDEX('Phản ánh'!$U$6:$U$505,MATCH($C22,'Phản ánh'!$A$6:$A$505,0)),IF(AND($I22="Công việc",OR($E22="Hoàn thành",$E22="Hoàn thành kỳ")),IF(INDEX('Kế hoạch'!$B$6:$B$305,$O22)="Đột xuất",INDEX('Kế hoạch'!$AY$6:$AY$305,$O22),IF(N($P22)=0,"",IF(INT($B22)&lt;$P22,$P22,IF($Q22&gt;0,$P22+ROUND((INT($B22)-$P22)/$Q22,0)*$Q22,IF($R22&gt;0,EDATE($P22,ROUND((DATEDIF($P22,INT($B22),"m")+(INT($B22)-EDATE($P22,DATEDIF($P22,INT($B22),"m")))/(EDATE($P22,DATEDIF($P22,INT($B22),"m")+1)-EDATE($P22,DATEDIF($P22,INT($B22),"m"))))/$R22,0)*$R22),$P22))))),"")))</f>
      </c>
      <c r="M22" s="223">
        <f>IF(OR($C22="",N($L22)=0,N($B22)=0),"",IF(IF(MOD($L22,1)=0,INT($B22),$B22)&lt;=$L22,"Đúng hạn","Trễ hạn"))</f>
      </c>
      <c r="N22" s="225">
        <f>IF($C22="","",ROW())</f>
      </c>
      <c r="O22" s="225">
        <f>IF($I22="Công việc",MATCH($C22,'Kế hoạch'!$A$6:$A$305,0),"")</f>
      </c>
      <c r="P22" s="234">
        <f>IF($O22="","",INDEX('Kế hoạch'!$I$6:$I$305,$O22))</f>
      </c>
      <c r="Q22" s="225">
        <f>IF($O22="","",INDEX('Kế hoạch'!$AJ$6:$AJ$305,$O22))</f>
      </c>
      <c r="R22" s="225">
        <f>IF($O22="","",INDEX('Kế hoạch'!$AK$6:$AK$305,$O22))</f>
      </c>
    </row>
    <row r="23">
      <c r="A23" s="223">
        <f>IF($C23="","",COUNTIF($C$6:$C23,"?*"))</f>
      </c>
      <c r="B23" s="217"/>
      <c r="C23" s="216"/>
      <c r="D23" s="240"/>
      <c r="E23" s="218"/>
      <c r="F23" s="218"/>
      <c r="G23" s="218"/>
      <c r="H23" s="219"/>
      <c r="I23" s="223">
        <f>IF($C23="","",IF(ISNUMBER(MATCH($C23,'Phản ánh'!$A$6:$A$505,0)),"Phản ánh",IF(ISNUMBER(MATCH($C23,'Kế hoạch'!$A$6:$A$305,0)),"Công việc","Mã chưa có")))</f>
      </c>
      <c r="J23" s="221">
        <f>IF($I23="Phản ánh",INDEX('Phản ánh'!$C$6:$C$505,MATCH($C23,'Phản ánh'!$A$6:$A$505,0)),IF($I23="Công việc",INDEX('Kế hoạch'!$C$6:$C$305,$O23),""))</f>
      </c>
      <c r="K23" s="221">
        <f>IF($I23="Phản ánh",INDEX('Phản ánh'!$K$6:$K$505,MATCH($C23,'Phản ánh'!$A$6:$A$505,0))&amp;"",IF($I23="Công việc",INDEX('Kế hoạch'!$N$6:$N$305,$O23)&amp;"",""))</f>
      </c>
      <c r="L23" s="220">
        <f>IF(OR($C23="",N($B23)=0),"",IF(AND($I23="Phản ánh",$E23="Đã xử lý"),INDEX('Phản ánh'!$U$6:$U$505,MATCH($C23,'Phản ánh'!$A$6:$A$505,0)),IF(AND($I23="Công việc",OR($E23="Hoàn thành",$E23="Hoàn thành kỳ")),IF(INDEX('Kế hoạch'!$B$6:$B$305,$O23)="Đột xuất",INDEX('Kế hoạch'!$AY$6:$AY$305,$O23),IF(N($P23)=0,"",IF(INT($B23)&lt;$P23,$P23,IF($Q23&gt;0,$P23+ROUND((INT($B23)-$P23)/$Q23,0)*$Q23,IF($R23&gt;0,EDATE($P23,ROUND((DATEDIF($P23,INT($B23),"m")+(INT($B23)-EDATE($P23,DATEDIF($P23,INT($B23),"m")))/(EDATE($P23,DATEDIF($P23,INT($B23),"m")+1)-EDATE($P23,DATEDIF($P23,INT($B23),"m"))))/$R23,0)*$R23),$P23))))),"")))</f>
      </c>
      <c r="M23" s="223">
        <f>IF(OR($C23="",N($L23)=0,N($B23)=0),"",IF(IF(MOD($L23,1)=0,INT($B23),$B23)&lt;=$L23,"Đúng hạn","Trễ hạn"))</f>
      </c>
      <c r="N23" s="225">
        <f>IF($C23="","",ROW())</f>
      </c>
      <c r="O23" s="225">
        <f>IF($I23="Công việc",MATCH($C23,'Kế hoạch'!$A$6:$A$305,0),"")</f>
      </c>
      <c r="P23" s="234">
        <f>IF($O23="","",INDEX('Kế hoạch'!$I$6:$I$305,$O23))</f>
      </c>
      <c r="Q23" s="225">
        <f>IF($O23="","",INDEX('Kế hoạch'!$AJ$6:$AJ$305,$O23))</f>
      </c>
      <c r="R23" s="225">
        <f>IF($O23="","",INDEX('Kế hoạch'!$AK$6:$AK$305,$O23))</f>
      </c>
    </row>
    <row r="24">
      <c r="A24" s="223">
        <f>IF($C24="","",COUNTIF($C$6:$C24,"?*"))</f>
      </c>
      <c r="B24" s="217"/>
      <c r="C24" s="216"/>
      <c r="D24" s="240"/>
      <c r="E24" s="218"/>
      <c r="F24" s="218"/>
      <c r="G24" s="218"/>
      <c r="H24" s="219"/>
      <c r="I24" s="223">
        <f>IF($C24="","",IF(ISNUMBER(MATCH($C24,'Phản ánh'!$A$6:$A$505,0)),"Phản ánh",IF(ISNUMBER(MATCH($C24,'Kế hoạch'!$A$6:$A$305,0)),"Công việc","Mã chưa có")))</f>
      </c>
      <c r="J24" s="221">
        <f>IF($I24="Phản ánh",INDEX('Phản ánh'!$C$6:$C$505,MATCH($C24,'Phản ánh'!$A$6:$A$505,0)),IF($I24="Công việc",INDEX('Kế hoạch'!$C$6:$C$305,$O24),""))</f>
      </c>
      <c r="K24" s="221">
        <f>IF($I24="Phản ánh",INDEX('Phản ánh'!$K$6:$K$505,MATCH($C24,'Phản ánh'!$A$6:$A$505,0))&amp;"",IF($I24="Công việc",INDEX('Kế hoạch'!$N$6:$N$305,$O24)&amp;"",""))</f>
      </c>
      <c r="L24" s="220">
        <f>IF(OR($C24="",N($B24)=0),"",IF(AND($I24="Phản ánh",$E24="Đã xử lý"),INDEX('Phản ánh'!$U$6:$U$505,MATCH($C24,'Phản ánh'!$A$6:$A$505,0)),IF(AND($I24="Công việc",OR($E24="Hoàn thành",$E24="Hoàn thành kỳ")),IF(INDEX('Kế hoạch'!$B$6:$B$305,$O24)="Đột xuất",INDEX('Kế hoạch'!$AY$6:$AY$305,$O24),IF(N($P24)=0,"",IF(INT($B24)&lt;$P24,$P24,IF($Q24&gt;0,$P24+ROUND((INT($B24)-$P24)/$Q24,0)*$Q24,IF($R24&gt;0,EDATE($P24,ROUND((DATEDIF($P24,INT($B24),"m")+(INT($B24)-EDATE($P24,DATEDIF($P24,INT($B24),"m")))/(EDATE($P24,DATEDIF($P24,INT($B24),"m")+1)-EDATE($P24,DATEDIF($P24,INT($B24),"m"))))/$R24,0)*$R24),$P24))))),"")))</f>
      </c>
      <c r="M24" s="223">
        <f>IF(OR($C24="",N($L24)=0,N($B24)=0),"",IF(IF(MOD($L24,1)=0,INT($B24),$B24)&lt;=$L24,"Đúng hạn","Trễ hạn"))</f>
      </c>
      <c r="N24" s="225">
        <f>IF($C24="","",ROW())</f>
      </c>
      <c r="O24" s="225">
        <f>IF($I24="Công việc",MATCH($C24,'Kế hoạch'!$A$6:$A$305,0),"")</f>
      </c>
      <c r="P24" s="234">
        <f>IF($O24="","",INDEX('Kế hoạch'!$I$6:$I$305,$O24))</f>
      </c>
      <c r="Q24" s="225">
        <f>IF($O24="","",INDEX('Kế hoạch'!$AJ$6:$AJ$305,$O24))</f>
      </c>
      <c r="R24" s="225">
        <f>IF($O24="","",INDEX('Kế hoạch'!$AK$6:$AK$305,$O24))</f>
      </c>
    </row>
    <row r="25">
      <c r="A25" s="223">
        <f>IF($C25="","",COUNTIF($C$6:$C25,"?*"))</f>
      </c>
      <c r="B25" s="217"/>
      <c r="C25" s="216"/>
      <c r="D25" s="240"/>
      <c r="E25" s="218"/>
      <c r="F25" s="218"/>
      <c r="G25" s="218"/>
      <c r="H25" s="219"/>
      <c r="I25" s="223">
        <f>IF($C25="","",IF(ISNUMBER(MATCH($C25,'Phản ánh'!$A$6:$A$505,0)),"Phản ánh",IF(ISNUMBER(MATCH($C25,'Kế hoạch'!$A$6:$A$305,0)),"Công việc","Mã chưa có")))</f>
      </c>
      <c r="J25" s="221">
        <f>IF($I25="Phản ánh",INDEX('Phản ánh'!$C$6:$C$505,MATCH($C25,'Phản ánh'!$A$6:$A$505,0)),IF($I25="Công việc",INDEX('Kế hoạch'!$C$6:$C$305,$O25),""))</f>
      </c>
      <c r="K25" s="221">
        <f>IF($I25="Phản ánh",INDEX('Phản ánh'!$K$6:$K$505,MATCH($C25,'Phản ánh'!$A$6:$A$505,0))&amp;"",IF($I25="Công việc",INDEX('Kế hoạch'!$N$6:$N$305,$O25)&amp;"",""))</f>
      </c>
      <c r="L25" s="220">
        <f>IF(OR($C25="",N($B25)=0),"",IF(AND($I25="Phản ánh",$E25="Đã xử lý"),INDEX('Phản ánh'!$U$6:$U$505,MATCH($C25,'Phản ánh'!$A$6:$A$505,0)),IF(AND($I25="Công việc",OR($E25="Hoàn thành",$E25="Hoàn thành kỳ")),IF(INDEX('Kế hoạch'!$B$6:$B$305,$O25)="Đột xuất",INDEX('Kế hoạch'!$AY$6:$AY$305,$O25),IF(N($P25)=0,"",IF(INT($B25)&lt;$P25,$P25,IF($Q25&gt;0,$P25+ROUND((INT($B25)-$P25)/$Q25,0)*$Q25,IF($R25&gt;0,EDATE($P25,ROUND((DATEDIF($P25,INT($B25),"m")+(INT($B25)-EDATE($P25,DATEDIF($P25,INT($B25),"m")))/(EDATE($P25,DATEDIF($P25,INT($B25),"m")+1)-EDATE($P25,DATEDIF($P25,INT($B25),"m"))))/$R25,0)*$R25),$P25))))),"")))</f>
      </c>
      <c r="M25" s="223">
        <f>IF(OR($C25="",N($L25)=0,N($B25)=0),"",IF(IF(MOD($L25,1)=0,INT($B25),$B25)&lt;=$L25,"Đúng hạn","Trễ hạn"))</f>
      </c>
      <c r="N25" s="225">
        <f>IF($C25="","",ROW())</f>
      </c>
      <c r="O25" s="225">
        <f>IF($I25="Công việc",MATCH($C25,'Kế hoạch'!$A$6:$A$305,0),"")</f>
      </c>
      <c r="P25" s="234">
        <f>IF($O25="","",INDEX('Kế hoạch'!$I$6:$I$305,$O25))</f>
      </c>
      <c r="Q25" s="225">
        <f>IF($O25="","",INDEX('Kế hoạch'!$AJ$6:$AJ$305,$O25))</f>
      </c>
      <c r="R25" s="225">
        <f>IF($O25="","",INDEX('Kế hoạch'!$AK$6:$AK$305,$O25))</f>
      </c>
    </row>
    <row r="26">
      <c r="A26" s="223">
        <f>IF($C26="","",COUNTIF($C$6:$C26,"?*"))</f>
      </c>
      <c r="B26" s="217"/>
      <c r="C26" s="216"/>
      <c r="D26" s="240"/>
      <c r="E26" s="218"/>
      <c r="F26" s="218"/>
      <c r="G26" s="218"/>
      <c r="H26" s="219"/>
      <c r="I26" s="223">
        <f>IF($C26="","",IF(ISNUMBER(MATCH($C26,'Phản ánh'!$A$6:$A$505,0)),"Phản ánh",IF(ISNUMBER(MATCH($C26,'Kế hoạch'!$A$6:$A$305,0)),"Công việc","Mã chưa có")))</f>
      </c>
      <c r="J26" s="221">
        <f>IF($I26="Phản ánh",INDEX('Phản ánh'!$C$6:$C$505,MATCH($C26,'Phản ánh'!$A$6:$A$505,0)),IF($I26="Công việc",INDEX('Kế hoạch'!$C$6:$C$305,$O26),""))</f>
      </c>
      <c r="K26" s="221">
        <f>IF($I26="Phản ánh",INDEX('Phản ánh'!$K$6:$K$505,MATCH($C26,'Phản ánh'!$A$6:$A$505,0))&amp;"",IF($I26="Công việc",INDEX('Kế hoạch'!$N$6:$N$305,$O26)&amp;"",""))</f>
      </c>
      <c r="L26" s="220">
        <f>IF(OR($C26="",N($B26)=0),"",IF(AND($I26="Phản ánh",$E26="Đã xử lý"),INDEX('Phản ánh'!$U$6:$U$505,MATCH($C26,'Phản ánh'!$A$6:$A$505,0)),IF(AND($I26="Công việc",OR($E26="Hoàn thành",$E26="Hoàn thành kỳ")),IF(INDEX('Kế hoạch'!$B$6:$B$305,$O26)="Đột xuất",INDEX('Kế hoạch'!$AY$6:$AY$305,$O26),IF(N($P26)=0,"",IF(INT($B26)&lt;$P26,$P26,IF($Q26&gt;0,$P26+ROUND((INT($B26)-$P26)/$Q26,0)*$Q26,IF($R26&gt;0,EDATE($P26,ROUND((DATEDIF($P26,INT($B26),"m")+(INT($B26)-EDATE($P26,DATEDIF($P26,INT($B26),"m")))/(EDATE($P26,DATEDIF($P26,INT($B26),"m")+1)-EDATE($P26,DATEDIF($P26,INT($B26),"m"))))/$R26,0)*$R26),$P26))))),"")))</f>
      </c>
      <c r="M26" s="223">
        <f>IF(OR($C26="",N($L26)=0,N($B26)=0),"",IF(IF(MOD($L26,1)=0,INT($B26),$B26)&lt;=$L26,"Đúng hạn","Trễ hạn"))</f>
      </c>
      <c r="N26" s="225">
        <f>IF($C26="","",ROW())</f>
      </c>
      <c r="O26" s="225">
        <f>IF($I26="Công việc",MATCH($C26,'Kế hoạch'!$A$6:$A$305,0),"")</f>
      </c>
      <c r="P26" s="234">
        <f>IF($O26="","",INDEX('Kế hoạch'!$I$6:$I$305,$O26))</f>
      </c>
      <c r="Q26" s="225">
        <f>IF($O26="","",INDEX('Kế hoạch'!$AJ$6:$AJ$305,$O26))</f>
      </c>
      <c r="R26" s="225">
        <f>IF($O26="","",INDEX('Kế hoạch'!$AK$6:$AK$305,$O26))</f>
      </c>
    </row>
    <row r="27">
      <c r="A27" s="223">
        <f>IF($C27="","",COUNTIF($C$6:$C27,"?*"))</f>
      </c>
      <c r="B27" s="217"/>
      <c r="C27" s="216"/>
      <c r="D27" s="240"/>
      <c r="E27" s="218"/>
      <c r="F27" s="218"/>
      <c r="G27" s="218"/>
      <c r="H27" s="219"/>
      <c r="I27" s="223">
        <f>IF($C27="","",IF(ISNUMBER(MATCH($C27,'Phản ánh'!$A$6:$A$505,0)),"Phản ánh",IF(ISNUMBER(MATCH($C27,'Kế hoạch'!$A$6:$A$305,0)),"Công việc","Mã chưa có")))</f>
      </c>
      <c r="J27" s="221">
        <f>IF($I27="Phản ánh",INDEX('Phản ánh'!$C$6:$C$505,MATCH($C27,'Phản ánh'!$A$6:$A$505,0)),IF($I27="Công việc",INDEX('Kế hoạch'!$C$6:$C$305,$O27),""))</f>
      </c>
      <c r="K27" s="221">
        <f>IF($I27="Phản ánh",INDEX('Phản ánh'!$K$6:$K$505,MATCH($C27,'Phản ánh'!$A$6:$A$505,0))&amp;"",IF($I27="Công việc",INDEX('Kế hoạch'!$N$6:$N$305,$O27)&amp;"",""))</f>
      </c>
      <c r="L27" s="220">
        <f>IF(OR($C27="",N($B27)=0),"",IF(AND($I27="Phản ánh",$E27="Đã xử lý"),INDEX('Phản ánh'!$U$6:$U$505,MATCH($C27,'Phản ánh'!$A$6:$A$505,0)),IF(AND($I27="Công việc",OR($E27="Hoàn thành",$E27="Hoàn thành kỳ")),IF(INDEX('Kế hoạch'!$B$6:$B$305,$O27)="Đột xuất",INDEX('Kế hoạch'!$AY$6:$AY$305,$O27),IF(N($P27)=0,"",IF(INT($B27)&lt;$P27,$P27,IF($Q27&gt;0,$P27+ROUND((INT($B27)-$P27)/$Q27,0)*$Q27,IF($R27&gt;0,EDATE($P27,ROUND((DATEDIF($P27,INT($B27),"m")+(INT($B27)-EDATE($P27,DATEDIF($P27,INT($B27),"m")))/(EDATE($P27,DATEDIF($P27,INT($B27),"m")+1)-EDATE($P27,DATEDIF($P27,INT($B27),"m"))))/$R27,0)*$R27),$P27))))),"")))</f>
      </c>
      <c r="M27" s="223">
        <f>IF(OR($C27="",N($L27)=0,N($B27)=0),"",IF(IF(MOD($L27,1)=0,INT($B27),$B27)&lt;=$L27,"Đúng hạn","Trễ hạn"))</f>
      </c>
      <c r="N27" s="225">
        <f>IF($C27="","",ROW())</f>
      </c>
      <c r="O27" s="225">
        <f>IF($I27="Công việc",MATCH($C27,'Kế hoạch'!$A$6:$A$305,0),"")</f>
      </c>
      <c r="P27" s="234">
        <f>IF($O27="","",INDEX('Kế hoạch'!$I$6:$I$305,$O27))</f>
      </c>
      <c r="Q27" s="225">
        <f>IF($O27="","",INDEX('Kế hoạch'!$AJ$6:$AJ$305,$O27))</f>
      </c>
      <c r="R27" s="225">
        <f>IF($O27="","",INDEX('Kế hoạch'!$AK$6:$AK$305,$O27))</f>
      </c>
    </row>
    <row r="28">
      <c r="A28" s="223">
        <f>IF($C28="","",COUNTIF($C$6:$C28,"?*"))</f>
      </c>
      <c r="B28" s="217"/>
      <c r="C28" s="216"/>
      <c r="D28" s="240"/>
      <c r="E28" s="218"/>
      <c r="F28" s="218"/>
      <c r="G28" s="218"/>
      <c r="H28" s="219"/>
      <c r="I28" s="223">
        <f>IF($C28="","",IF(ISNUMBER(MATCH($C28,'Phản ánh'!$A$6:$A$505,0)),"Phản ánh",IF(ISNUMBER(MATCH($C28,'Kế hoạch'!$A$6:$A$305,0)),"Công việc","Mã chưa có")))</f>
      </c>
      <c r="J28" s="221">
        <f>IF($I28="Phản ánh",INDEX('Phản ánh'!$C$6:$C$505,MATCH($C28,'Phản ánh'!$A$6:$A$505,0)),IF($I28="Công việc",INDEX('Kế hoạch'!$C$6:$C$305,$O28),""))</f>
      </c>
      <c r="K28" s="221">
        <f>IF($I28="Phản ánh",INDEX('Phản ánh'!$K$6:$K$505,MATCH($C28,'Phản ánh'!$A$6:$A$505,0))&amp;"",IF($I28="Công việc",INDEX('Kế hoạch'!$N$6:$N$305,$O28)&amp;"",""))</f>
      </c>
      <c r="L28" s="220">
        <f>IF(OR($C28="",N($B28)=0),"",IF(AND($I28="Phản ánh",$E28="Đã xử lý"),INDEX('Phản ánh'!$U$6:$U$505,MATCH($C28,'Phản ánh'!$A$6:$A$505,0)),IF(AND($I28="Công việc",OR($E28="Hoàn thành",$E28="Hoàn thành kỳ")),IF(INDEX('Kế hoạch'!$B$6:$B$305,$O28)="Đột xuất",INDEX('Kế hoạch'!$AY$6:$AY$305,$O28),IF(N($P28)=0,"",IF(INT($B28)&lt;$P28,$P28,IF($Q28&gt;0,$P28+ROUND((INT($B28)-$P28)/$Q28,0)*$Q28,IF($R28&gt;0,EDATE($P28,ROUND((DATEDIF($P28,INT($B28),"m")+(INT($B28)-EDATE($P28,DATEDIF($P28,INT($B28),"m")))/(EDATE($P28,DATEDIF($P28,INT($B28),"m")+1)-EDATE($P28,DATEDIF($P28,INT($B28),"m"))))/$R28,0)*$R28),$P28))))),"")))</f>
      </c>
      <c r="M28" s="223">
        <f>IF(OR($C28="",N($L28)=0,N($B28)=0),"",IF(IF(MOD($L28,1)=0,INT($B28),$B28)&lt;=$L28,"Đúng hạn","Trễ hạn"))</f>
      </c>
      <c r="N28" s="225">
        <f>IF($C28="","",ROW())</f>
      </c>
      <c r="O28" s="225">
        <f>IF($I28="Công việc",MATCH($C28,'Kế hoạch'!$A$6:$A$305,0),"")</f>
      </c>
      <c r="P28" s="234">
        <f>IF($O28="","",INDEX('Kế hoạch'!$I$6:$I$305,$O28))</f>
      </c>
      <c r="Q28" s="225">
        <f>IF($O28="","",INDEX('Kế hoạch'!$AJ$6:$AJ$305,$O28))</f>
      </c>
      <c r="R28" s="225">
        <f>IF($O28="","",INDEX('Kế hoạch'!$AK$6:$AK$305,$O28))</f>
      </c>
    </row>
    <row r="29">
      <c r="A29" s="223">
        <f>IF($C29="","",COUNTIF($C$6:$C29,"?*"))</f>
      </c>
      <c r="B29" s="217"/>
      <c r="C29" s="216"/>
      <c r="D29" s="240"/>
      <c r="E29" s="218"/>
      <c r="F29" s="218"/>
      <c r="G29" s="218"/>
      <c r="H29" s="219"/>
      <c r="I29" s="223">
        <f>IF($C29="","",IF(ISNUMBER(MATCH($C29,'Phản ánh'!$A$6:$A$505,0)),"Phản ánh",IF(ISNUMBER(MATCH($C29,'Kế hoạch'!$A$6:$A$305,0)),"Công việc","Mã chưa có")))</f>
      </c>
      <c r="J29" s="221">
        <f>IF($I29="Phản ánh",INDEX('Phản ánh'!$C$6:$C$505,MATCH($C29,'Phản ánh'!$A$6:$A$505,0)),IF($I29="Công việc",INDEX('Kế hoạch'!$C$6:$C$305,$O29),""))</f>
      </c>
      <c r="K29" s="221">
        <f>IF($I29="Phản ánh",INDEX('Phản ánh'!$K$6:$K$505,MATCH($C29,'Phản ánh'!$A$6:$A$505,0))&amp;"",IF($I29="Công việc",INDEX('Kế hoạch'!$N$6:$N$305,$O29)&amp;"",""))</f>
      </c>
      <c r="L29" s="220">
        <f>IF(OR($C29="",N($B29)=0),"",IF(AND($I29="Phản ánh",$E29="Đã xử lý"),INDEX('Phản ánh'!$U$6:$U$505,MATCH($C29,'Phản ánh'!$A$6:$A$505,0)),IF(AND($I29="Công việc",OR($E29="Hoàn thành",$E29="Hoàn thành kỳ")),IF(INDEX('Kế hoạch'!$B$6:$B$305,$O29)="Đột xuất",INDEX('Kế hoạch'!$AY$6:$AY$305,$O29),IF(N($P29)=0,"",IF(INT($B29)&lt;$P29,$P29,IF($Q29&gt;0,$P29+ROUND((INT($B29)-$P29)/$Q29,0)*$Q29,IF($R29&gt;0,EDATE($P29,ROUND((DATEDIF($P29,INT($B29),"m")+(INT($B29)-EDATE($P29,DATEDIF($P29,INT($B29),"m")))/(EDATE($P29,DATEDIF($P29,INT($B29),"m")+1)-EDATE($P29,DATEDIF($P29,INT($B29),"m"))))/$R29,0)*$R29),$P29))))),"")))</f>
      </c>
      <c r="M29" s="223">
        <f>IF(OR($C29="",N($L29)=0,N($B29)=0),"",IF(IF(MOD($L29,1)=0,INT($B29),$B29)&lt;=$L29,"Đúng hạn","Trễ hạn"))</f>
      </c>
      <c r="N29" s="225">
        <f>IF($C29="","",ROW())</f>
      </c>
      <c r="O29" s="225">
        <f>IF($I29="Công việc",MATCH($C29,'Kế hoạch'!$A$6:$A$305,0),"")</f>
      </c>
      <c r="P29" s="234">
        <f>IF($O29="","",INDEX('Kế hoạch'!$I$6:$I$305,$O29))</f>
      </c>
      <c r="Q29" s="225">
        <f>IF($O29="","",INDEX('Kế hoạch'!$AJ$6:$AJ$305,$O29))</f>
      </c>
      <c r="R29" s="225">
        <f>IF($O29="","",INDEX('Kế hoạch'!$AK$6:$AK$305,$O29))</f>
      </c>
    </row>
    <row r="30">
      <c r="A30" s="223">
        <f>IF($C30="","",COUNTIF($C$6:$C30,"?*"))</f>
      </c>
      <c r="B30" s="217"/>
      <c r="C30" s="216"/>
      <c r="D30" s="240"/>
      <c r="E30" s="218"/>
      <c r="F30" s="218"/>
      <c r="G30" s="218"/>
      <c r="H30" s="219"/>
      <c r="I30" s="223">
        <f>IF($C30="","",IF(ISNUMBER(MATCH($C30,'Phản ánh'!$A$6:$A$505,0)),"Phản ánh",IF(ISNUMBER(MATCH($C30,'Kế hoạch'!$A$6:$A$305,0)),"Công việc","Mã chưa có")))</f>
      </c>
      <c r="J30" s="221">
        <f>IF($I30="Phản ánh",INDEX('Phản ánh'!$C$6:$C$505,MATCH($C30,'Phản ánh'!$A$6:$A$505,0)),IF($I30="Công việc",INDEX('Kế hoạch'!$C$6:$C$305,$O30),""))</f>
      </c>
      <c r="K30" s="221">
        <f>IF($I30="Phản ánh",INDEX('Phản ánh'!$K$6:$K$505,MATCH($C30,'Phản ánh'!$A$6:$A$505,0))&amp;"",IF($I30="Công việc",INDEX('Kế hoạch'!$N$6:$N$305,$O30)&amp;"",""))</f>
      </c>
      <c r="L30" s="220">
        <f>IF(OR($C30="",N($B30)=0),"",IF(AND($I30="Phản ánh",$E30="Đã xử lý"),INDEX('Phản ánh'!$U$6:$U$505,MATCH($C30,'Phản ánh'!$A$6:$A$505,0)),IF(AND($I30="Công việc",OR($E30="Hoàn thành",$E30="Hoàn thành kỳ")),IF(INDEX('Kế hoạch'!$B$6:$B$305,$O30)="Đột xuất",INDEX('Kế hoạch'!$AY$6:$AY$305,$O30),IF(N($P30)=0,"",IF(INT($B30)&lt;$P30,$P30,IF($Q30&gt;0,$P30+ROUND((INT($B30)-$P30)/$Q30,0)*$Q30,IF($R30&gt;0,EDATE($P30,ROUND((DATEDIF($P30,INT($B30),"m")+(INT($B30)-EDATE($P30,DATEDIF($P30,INT($B30),"m")))/(EDATE($P30,DATEDIF($P30,INT($B30),"m")+1)-EDATE($P30,DATEDIF($P30,INT($B30),"m"))))/$R30,0)*$R30),$P30))))),"")))</f>
      </c>
      <c r="M30" s="223">
        <f>IF(OR($C30="",N($L30)=0,N($B30)=0),"",IF(IF(MOD($L30,1)=0,INT($B30),$B30)&lt;=$L30,"Đúng hạn","Trễ hạn"))</f>
      </c>
      <c r="N30" s="225">
        <f>IF($C30="","",ROW())</f>
      </c>
      <c r="O30" s="225">
        <f>IF($I30="Công việc",MATCH($C30,'Kế hoạch'!$A$6:$A$305,0),"")</f>
      </c>
      <c r="P30" s="234">
        <f>IF($O30="","",INDEX('Kế hoạch'!$I$6:$I$305,$O30))</f>
      </c>
      <c r="Q30" s="225">
        <f>IF($O30="","",INDEX('Kế hoạch'!$AJ$6:$AJ$305,$O30))</f>
      </c>
      <c r="R30" s="225">
        <f>IF($O30="","",INDEX('Kế hoạch'!$AK$6:$AK$305,$O30))</f>
      </c>
    </row>
    <row r="31">
      <c r="A31" s="223">
        <f>IF($C31="","",COUNTIF($C$6:$C31,"?*"))</f>
      </c>
      <c r="B31" s="217"/>
      <c r="C31" s="216"/>
      <c r="D31" s="240"/>
      <c r="E31" s="218"/>
      <c r="F31" s="218"/>
      <c r="G31" s="218"/>
      <c r="H31" s="219"/>
      <c r="I31" s="223">
        <f>IF($C31="","",IF(ISNUMBER(MATCH($C31,'Phản ánh'!$A$6:$A$505,0)),"Phản ánh",IF(ISNUMBER(MATCH($C31,'Kế hoạch'!$A$6:$A$305,0)),"Công việc","Mã chưa có")))</f>
      </c>
      <c r="J31" s="221">
        <f>IF($I31="Phản ánh",INDEX('Phản ánh'!$C$6:$C$505,MATCH($C31,'Phản ánh'!$A$6:$A$505,0)),IF($I31="Công việc",INDEX('Kế hoạch'!$C$6:$C$305,$O31),""))</f>
      </c>
      <c r="K31" s="221">
        <f>IF($I31="Phản ánh",INDEX('Phản ánh'!$K$6:$K$505,MATCH($C31,'Phản ánh'!$A$6:$A$505,0))&amp;"",IF($I31="Công việc",INDEX('Kế hoạch'!$N$6:$N$305,$O31)&amp;"",""))</f>
      </c>
      <c r="L31" s="220">
        <f>IF(OR($C31="",N($B31)=0),"",IF(AND($I31="Phản ánh",$E31="Đã xử lý"),INDEX('Phản ánh'!$U$6:$U$505,MATCH($C31,'Phản ánh'!$A$6:$A$505,0)),IF(AND($I31="Công việc",OR($E31="Hoàn thành",$E31="Hoàn thành kỳ")),IF(INDEX('Kế hoạch'!$B$6:$B$305,$O31)="Đột xuất",INDEX('Kế hoạch'!$AY$6:$AY$305,$O31),IF(N($P31)=0,"",IF(INT($B31)&lt;$P31,$P31,IF($Q31&gt;0,$P31+ROUND((INT($B31)-$P31)/$Q31,0)*$Q31,IF($R31&gt;0,EDATE($P31,ROUND((DATEDIF($P31,INT($B31),"m")+(INT($B31)-EDATE($P31,DATEDIF($P31,INT($B31),"m")))/(EDATE($P31,DATEDIF($P31,INT($B31),"m")+1)-EDATE($P31,DATEDIF($P31,INT($B31),"m"))))/$R31,0)*$R31),$P31))))),"")))</f>
      </c>
      <c r="M31" s="223">
        <f>IF(OR($C31="",N($L31)=0,N($B31)=0),"",IF(IF(MOD($L31,1)=0,INT($B31),$B31)&lt;=$L31,"Đúng hạn","Trễ hạn"))</f>
      </c>
      <c r="N31" s="225">
        <f>IF($C31="","",ROW())</f>
      </c>
      <c r="O31" s="225">
        <f>IF($I31="Công việc",MATCH($C31,'Kế hoạch'!$A$6:$A$305,0),"")</f>
      </c>
      <c r="P31" s="234">
        <f>IF($O31="","",INDEX('Kế hoạch'!$I$6:$I$305,$O31))</f>
      </c>
      <c r="Q31" s="225">
        <f>IF($O31="","",INDEX('Kế hoạch'!$AJ$6:$AJ$305,$O31))</f>
      </c>
      <c r="R31" s="225">
        <f>IF($O31="","",INDEX('Kế hoạch'!$AK$6:$AK$305,$O31))</f>
      </c>
    </row>
    <row r="32">
      <c r="A32" s="223">
        <f>IF($C32="","",COUNTIF($C$6:$C32,"?*"))</f>
      </c>
      <c r="B32" s="217"/>
      <c r="C32" s="216"/>
      <c r="D32" s="240"/>
      <c r="E32" s="218"/>
      <c r="F32" s="218"/>
      <c r="G32" s="218"/>
      <c r="H32" s="219"/>
      <c r="I32" s="223">
        <f>IF($C32="","",IF(ISNUMBER(MATCH($C32,'Phản ánh'!$A$6:$A$505,0)),"Phản ánh",IF(ISNUMBER(MATCH($C32,'Kế hoạch'!$A$6:$A$305,0)),"Công việc","Mã chưa có")))</f>
      </c>
      <c r="J32" s="221">
        <f>IF($I32="Phản ánh",INDEX('Phản ánh'!$C$6:$C$505,MATCH($C32,'Phản ánh'!$A$6:$A$505,0)),IF($I32="Công việc",INDEX('Kế hoạch'!$C$6:$C$305,$O32),""))</f>
      </c>
      <c r="K32" s="221">
        <f>IF($I32="Phản ánh",INDEX('Phản ánh'!$K$6:$K$505,MATCH($C32,'Phản ánh'!$A$6:$A$505,0))&amp;"",IF($I32="Công việc",INDEX('Kế hoạch'!$N$6:$N$305,$O32)&amp;"",""))</f>
      </c>
      <c r="L32" s="220">
        <f>IF(OR($C32="",N($B32)=0),"",IF(AND($I32="Phản ánh",$E32="Đã xử lý"),INDEX('Phản ánh'!$U$6:$U$505,MATCH($C32,'Phản ánh'!$A$6:$A$505,0)),IF(AND($I32="Công việc",OR($E32="Hoàn thành",$E32="Hoàn thành kỳ")),IF(INDEX('Kế hoạch'!$B$6:$B$305,$O32)="Đột xuất",INDEX('Kế hoạch'!$AY$6:$AY$305,$O32),IF(N($P32)=0,"",IF(INT($B32)&lt;$P32,$P32,IF($Q32&gt;0,$P32+ROUND((INT($B32)-$P32)/$Q32,0)*$Q32,IF($R32&gt;0,EDATE($P32,ROUND((DATEDIF($P32,INT($B32),"m")+(INT($B32)-EDATE($P32,DATEDIF($P32,INT($B32),"m")))/(EDATE($P32,DATEDIF($P32,INT($B32),"m")+1)-EDATE($P32,DATEDIF($P32,INT($B32),"m"))))/$R32,0)*$R32),$P32))))),"")))</f>
      </c>
      <c r="M32" s="223">
        <f>IF(OR($C32="",N($L32)=0,N($B32)=0),"",IF(IF(MOD($L32,1)=0,INT($B32),$B32)&lt;=$L32,"Đúng hạn","Trễ hạn"))</f>
      </c>
      <c r="N32" s="225">
        <f>IF($C32="","",ROW())</f>
      </c>
      <c r="O32" s="225">
        <f>IF($I32="Công việc",MATCH($C32,'Kế hoạch'!$A$6:$A$305,0),"")</f>
      </c>
      <c r="P32" s="234">
        <f>IF($O32="","",INDEX('Kế hoạch'!$I$6:$I$305,$O32))</f>
      </c>
      <c r="Q32" s="225">
        <f>IF($O32="","",INDEX('Kế hoạch'!$AJ$6:$AJ$305,$O32))</f>
      </c>
      <c r="R32" s="225">
        <f>IF($O32="","",INDEX('Kế hoạch'!$AK$6:$AK$305,$O32))</f>
      </c>
    </row>
    <row r="33">
      <c r="A33" s="223">
        <f>IF($C33="","",COUNTIF($C$6:$C33,"?*"))</f>
      </c>
      <c r="B33" s="217"/>
      <c r="C33" s="216"/>
      <c r="D33" s="240"/>
      <c r="E33" s="218"/>
      <c r="F33" s="218"/>
      <c r="G33" s="218"/>
      <c r="H33" s="219"/>
      <c r="I33" s="223">
        <f>IF($C33="","",IF(ISNUMBER(MATCH($C33,'Phản ánh'!$A$6:$A$505,0)),"Phản ánh",IF(ISNUMBER(MATCH($C33,'Kế hoạch'!$A$6:$A$305,0)),"Công việc","Mã chưa có")))</f>
      </c>
      <c r="J33" s="221">
        <f>IF($I33="Phản ánh",INDEX('Phản ánh'!$C$6:$C$505,MATCH($C33,'Phản ánh'!$A$6:$A$505,0)),IF($I33="Công việc",INDEX('Kế hoạch'!$C$6:$C$305,$O33),""))</f>
      </c>
      <c r="K33" s="221">
        <f>IF($I33="Phản ánh",INDEX('Phản ánh'!$K$6:$K$505,MATCH($C33,'Phản ánh'!$A$6:$A$505,0))&amp;"",IF($I33="Công việc",INDEX('Kế hoạch'!$N$6:$N$305,$O33)&amp;"",""))</f>
      </c>
      <c r="L33" s="220">
        <f>IF(OR($C33="",N($B33)=0),"",IF(AND($I33="Phản ánh",$E33="Đã xử lý"),INDEX('Phản ánh'!$U$6:$U$505,MATCH($C33,'Phản ánh'!$A$6:$A$505,0)),IF(AND($I33="Công việc",OR($E33="Hoàn thành",$E33="Hoàn thành kỳ")),IF(INDEX('Kế hoạch'!$B$6:$B$305,$O33)="Đột xuất",INDEX('Kế hoạch'!$AY$6:$AY$305,$O33),IF(N($P33)=0,"",IF(INT($B33)&lt;$P33,$P33,IF($Q33&gt;0,$P33+ROUND((INT($B33)-$P33)/$Q33,0)*$Q33,IF($R33&gt;0,EDATE($P33,ROUND((DATEDIF($P33,INT($B33),"m")+(INT($B33)-EDATE($P33,DATEDIF($P33,INT($B33),"m")))/(EDATE($P33,DATEDIF($P33,INT($B33),"m")+1)-EDATE($P33,DATEDIF($P33,INT($B33),"m"))))/$R33,0)*$R33),$P33))))),"")))</f>
      </c>
      <c r="M33" s="223">
        <f>IF(OR($C33="",N($L33)=0,N($B33)=0),"",IF(IF(MOD($L33,1)=0,INT($B33),$B33)&lt;=$L33,"Đúng hạn","Trễ hạn"))</f>
      </c>
      <c r="N33" s="225">
        <f>IF($C33="","",ROW())</f>
      </c>
      <c r="O33" s="225">
        <f>IF($I33="Công việc",MATCH($C33,'Kế hoạch'!$A$6:$A$305,0),"")</f>
      </c>
      <c r="P33" s="234">
        <f>IF($O33="","",INDEX('Kế hoạch'!$I$6:$I$305,$O33))</f>
      </c>
      <c r="Q33" s="225">
        <f>IF($O33="","",INDEX('Kế hoạch'!$AJ$6:$AJ$305,$O33))</f>
      </c>
      <c r="R33" s="225">
        <f>IF($O33="","",INDEX('Kế hoạch'!$AK$6:$AK$305,$O33))</f>
      </c>
    </row>
    <row r="34">
      <c r="A34" s="223">
        <f>IF($C34="","",COUNTIF($C$6:$C34,"?*"))</f>
      </c>
      <c r="B34" s="217"/>
      <c r="C34" s="216"/>
      <c r="D34" s="240"/>
      <c r="E34" s="218"/>
      <c r="F34" s="218"/>
      <c r="G34" s="218"/>
      <c r="H34" s="219"/>
      <c r="I34" s="223">
        <f>IF($C34="","",IF(ISNUMBER(MATCH($C34,'Phản ánh'!$A$6:$A$505,0)),"Phản ánh",IF(ISNUMBER(MATCH($C34,'Kế hoạch'!$A$6:$A$305,0)),"Công việc","Mã chưa có")))</f>
      </c>
      <c r="J34" s="221">
        <f>IF($I34="Phản ánh",INDEX('Phản ánh'!$C$6:$C$505,MATCH($C34,'Phản ánh'!$A$6:$A$505,0)),IF($I34="Công việc",INDEX('Kế hoạch'!$C$6:$C$305,$O34),""))</f>
      </c>
      <c r="K34" s="221">
        <f>IF($I34="Phản ánh",INDEX('Phản ánh'!$K$6:$K$505,MATCH($C34,'Phản ánh'!$A$6:$A$505,0))&amp;"",IF($I34="Công việc",INDEX('Kế hoạch'!$N$6:$N$305,$O34)&amp;"",""))</f>
      </c>
      <c r="L34" s="220">
        <f>IF(OR($C34="",N($B34)=0),"",IF(AND($I34="Phản ánh",$E34="Đã xử lý"),INDEX('Phản ánh'!$U$6:$U$505,MATCH($C34,'Phản ánh'!$A$6:$A$505,0)),IF(AND($I34="Công việc",OR($E34="Hoàn thành",$E34="Hoàn thành kỳ")),IF(INDEX('Kế hoạch'!$B$6:$B$305,$O34)="Đột xuất",INDEX('Kế hoạch'!$AY$6:$AY$305,$O34),IF(N($P34)=0,"",IF(INT($B34)&lt;$P34,$P34,IF($Q34&gt;0,$P34+ROUND((INT($B34)-$P34)/$Q34,0)*$Q34,IF($R34&gt;0,EDATE($P34,ROUND((DATEDIF($P34,INT($B34),"m")+(INT($B34)-EDATE($P34,DATEDIF($P34,INT($B34),"m")))/(EDATE($P34,DATEDIF($P34,INT($B34),"m")+1)-EDATE($P34,DATEDIF($P34,INT($B34),"m"))))/$R34,0)*$R34),$P34))))),"")))</f>
      </c>
      <c r="M34" s="223">
        <f>IF(OR($C34="",N($L34)=0,N($B34)=0),"",IF(IF(MOD($L34,1)=0,INT($B34),$B34)&lt;=$L34,"Đúng hạn","Trễ hạn"))</f>
      </c>
      <c r="N34" s="225">
        <f>IF($C34="","",ROW())</f>
      </c>
      <c r="O34" s="225">
        <f>IF($I34="Công việc",MATCH($C34,'Kế hoạch'!$A$6:$A$305,0),"")</f>
      </c>
      <c r="P34" s="234">
        <f>IF($O34="","",INDEX('Kế hoạch'!$I$6:$I$305,$O34))</f>
      </c>
      <c r="Q34" s="225">
        <f>IF($O34="","",INDEX('Kế hoạch'!$AJ$6:$AJ$305,$O34))</f>
      </c>
      <c r="R34" s="225">
        <f>IF($O34="","",INDEX('Kế hoạch'!$AK$6:$AK$305,$O34))</f>
      </c>
    </row>
    <row r="35">
      <c r="A35" s="223">
        <f>IF($C35="","",COUNTIF($C$6:$C35,"?*"))</f>
      </c>
      <c r="B35" s="217"/>
      <c r="C35" s="216"/>
      <c r="D35" s="240"/>
      <c r="E35" s="218"/>
      <c r="F35" s="218"/>
      <c r="G35" s="218"/>
      <c r="H35" s="219"/>
      <c r="I35" s="223">
        <f>IF($C35="","",IF(ISNUMBER(MATCH($C35,'Phản ánh'!$A$6:$A$505,0)),"Phản ánh",IF(ISNUMBER(MATCH($C35,'Kế hoạch'!$A$6:$A$305,0)),"Công việc","Mã chưa có")))</f>
      </c>
      <c r="J35" s="221">
        <f>IF($I35="Phản ánh",INDEX('Phản ánh'!$C$6:$C$505,MATCH($C35,'Phản ánh'!$A$6:$A$505,0)),IF($I35="Công việc",INDEX('Kế hoạch'!$C$6:$C$305,$O35),""))</f>
      </c>
      <c r="K35" s="221">
        <f>IF($I35="Phản ánh",INDEX('Phản ánh'!$K$6:$K$505,MATCH($C35,'Phản ánh'!$A$6:$A$505,0))&amp;"",IF($I35="Công việc",INDEX('Kế hoạch'!$N$6:$N$305,$O35)&amp;"",""))</f>
      </c>
      <c r="L35" s="220">
        <f>IF(OR($C35="",N($B35)=0),"",IF(AND($I35="Phản ánh",$E35="Đã xử lý"),INDEX('Phản ánh'!$U$6:$U$505,MATCH($C35,'Phản ánh'!$A$6:$A$505,0)),IF(AND($I35="Công việc",OR($E35="Hoàn thành",$E35="Hoàn thành kỳ")),IF(INDEX('Kế hoạch'!$B$6:$B$305,$O35)="Đột xuất",INDEX('Kế hoạch'!$AY$6:$AY$305,$O35),IF(N($P35)=0,"",IF(INT($B35)&lt;$P35,$P35,IF($Q35&gt;0,$P35+ROUND((INT($B35)-$P35)/$Q35,0)*$Q35,IF($R35&gt;0,EDATE($P35,ROUND((DATEDIF($P35,INT($B35),"m")+(INT($B35)-EDATE($P35,DATEDIF($P35,INT($B35),"m")))/(EDATE($P35,DATEDIF($P35,INT($B35),"m")+1)-EDATE($P35,DATEDIF($P35,INT($B35),"m"))))/$R35,0)*$R35),$P35))))),"")))</f>
      </c>
      <c r="M35" s="223">
        <f>IF(OR($C35="",N($L35)=0,N($B35)=0),"",IF(IF(MOD($L35,1)=0,INT($B35),$B35)&lt;=$L35,"Đúng hạn","Trễ hạn"))</f>
      </c>
      <c r="N35" s="225">
        <f>IF($C35="","",ROW())</f>
      </c>
      <c r="O35" s="225">
        <f>IF($I35="Công việc",MATCH($C35,'Kế hoạch'!$A$6:$A$305,0),"")</f>
      </c>
      <c r="P35" s="234">
        <f>IF($O35="","",INDEX('Kế hoạch'!$I$6:$I$305,$O35))</f>
      </c>
      <c r="Q35" s="225">
        <f>IF($O35="","",INDEX('Kế hoạch'!$AJ$6:$AJ$305,$O35))</f>
      </c>
      <c r="R35" s="225">
        <f>IF($O35="","",INDEX('Kế hoạch'!$AK$6:$AK$305,$O35))</f>
      </c>
    </row>
    <row r="36">
      <c r="A36" s="223">
        <f>IF($C36="","",COUNTIF($C$6:$C36,"?*"))</f>
      </c>
      <c r="B36" s="217"/>
      <c r="C36" s="216"/>
      <c r="D36" s="240"/>
      <c r="E36" s="218"/>
      <c r="F36" s="218"/>
      <c r="G36" s="218"/>
      <c r="H36" s="219"/>
      <c r="I36" s="223">
        <f>IF($C36="","",IF(ISNUMBER(MATCH($C36,'Phản ánh'!$A$6:$A$505,0)),"Phản ánh",IF(ISNUMBER(MATCH($C36,'Kế hoạch'!$A$6:$A$305,0)),"Công việc","Mã chưa có")))</f>
      </c>
      <c r="J36" s="221">
        <f>IF($I36="Phản ánh",INDEX('Phản ánh'!$C$6:$C$505,MATCH($C36,'Phản ánh'!$A$6:$A$505,0)),IF($I36="Công việc",INDEX('Kế hoạch'!$C$6:$C$305,$O36),""))</f>
      </c>
      <c r="K36" s="221">
        <f>IF($I36="Phản ánh",INDEX('Phản ánh'!$K$6:$K$505,MATCH($C36,'Phản ánh'!$A$6:$A$505,0))&amp;"",IF($I36="Công việc",INDEX('Kế hoạch'!$N$6:$N$305,$O36)&amp;"",""))</f>
      </c>
      <c r="L36" s="220">
        <f>IF(OR($C36="",N($B36)=0),"",IF(AND($I36="Phản ánh",$E36="Đã xử lý"),INDEX('Phản ánh'!$U$6:$U$505,MATCH($C36,'Phản ánh'!$A$6:$A$505,0)),IF(AND($I36="Công việc",OR($E36="Hoàn thành",$E36="Hoàn thành kỳ")),IF(INDEX('Kế hoạch'!$B$6:$B$305,$O36)="Đột xuất",INDEX('Kế hoạch'!$AY$6:$AY$305,$O36),IF(N($P36)=0,"",IF(INT($B36)&lt;$P36,$P36,IF($Q36&gt;0,$P36+ROUND((INT($B36)-$P36)/$Q36,0)*$Q36,IF($R36&gt;0,EDATE($P36,ROUND((DATEDIF($P36,INT($B36),"m")+(INT($B36)-EDATE($P36,DATEDIF($P36,INT($B36),"m")))/(EDATE($P36,DATEDIF($P36,INT($B36),"m")+1)-EDATE($P36,DATEDIF($P36,INT($B36),"m"))))/$R36,0)*$R36),$P36))))),"")))</f>
      </c>
      <c r="M36" s="223">
        <f>IF(OR($C36="",N($L36)=0,N($B36)=0),"",IF(IF(MOD($L36,1)=0,INT($B36),$B36)&lt;=$L36,"Đúng hạn","Trễ hạn"))</f>
      </c>
      <c r="N36" s="225">
        <f>IF($C36="","",ROW())</f>
      </c>
      <c r="O36" s="225">
        <f>IF($I36="Công việc",MATCH($C36,'Kế hoạch'!$A$6:$A$305,0),"")</f>
      </c>
      <c r="P36" s="234">
        <f>IF($O36="","",INDEX('Kế hoạch'!$I$6:$I$305,$O36))</f>
      </c>
      <c r="Q36" s="225">
        <f>IF($O36="","",INDEX('Kế hoạch'!$AJ$6:$AJ$305,$O36))</f>
      </c>
      <c r="R36" s="225">
        <f>IF($O36="","",INDEX('Kế hoạch'!$AK$6:$AK$305,$O36))</f>
      </c>
    </row>
    <row r="37">
      <c r="A37" s="223">
        <f>IF($C37="","",COUNTIF($C$6:$C37,"?*"))</f>
      </c>
      <c r="B37" s="217"/>
      <c r="C37" s="216"/>
      <c r="D37" s="240"/>
      <c r="E37" s="218"/>
      <c r="F37" s="218"/>
      <c r="G37" s="218"/>
      <c r="H37" s="219"/>
      <c r="I37" s="223">
        <f>IF($C37="","",IF(ISNUMBER(MATCH($C37,'Phản ánh'!$A$6:$A$505,0)),"Phản ánh",IF(ISNUMBER(MATCH($C37,'Kế hoạch'!$A$6:$A$305,0)),"Công việc","Mã chưa có")))</f>
      </c>
      <c r="J37" s="221">
        <f>IF($I37="Phản ánh",INDEX('Phản ánh'!$C$6:$C$505,MATCH($C37,'Phản ánh'!$A$6:$A$505,0)),IF($I37="Công việc",INDEX('Kế hoạch'!$C$6:$C$305,$O37),""))</f>
      </c>
      <c r="K37" s="221">
        <f>IF($I37="Phản ánh",INDEX('Phản ánh'!$K$6:$K$505,MATCH($C37,'Phản ánh'!$A$6:$A$505,0))&amp;"",IF($I37="Công việc",INDEX('Kế hoạch'!$N$6:$N$305,$O37)&amp;"",""))</f>
      </c>
      <c r="L37" s="220">
        <f>IF(OR($C37="",N($B37)=0),"",IF(AND($I37="Phản ánh",$E37="Đã xử lý"),INDEX('Phản ánh'!$U$6:$U$505,MATCH($C37,'Phản ánh'!$A$6:$A$505,0)),IF(AND($I37="Công việc",OR($E37="Hoàn thành",$E37="Hoàn thành kỳ")),IF(INDEX('Kế hoạch'!$B$6:$B$305,$O37)="Đột xuất",INDEX('Kế hoạch'!$AY$6:$AY$305,$O37),IF(N($P37)=0,"",IF(INT($B37)&lt;$P37,$P37,IF($Q37&gt;0,$P37+ROUND((INT($B37)-$P37)/$Q37,0)*$Q37,IF($R37&gt;0,EDATE($P37,ROUND((DATEDIF($P37,INT($B37),"m")+(INT($B37)-EDATE($P37,DATEDIF($P37,INT($B37),"m")))/(EDATE($P37,DATEDIF($P37,INT($B37),"m")+1)-EDATE($P37,DATEDIF($P37,INT($B37),"m"))))/$R37,0)*$R37),$P37))))),"")))</f>
      </c>
      <c r="M37" s="223">
        <f>IF(OR($C37="",N($L37)=0,N($B37)=0),"",IF(IF(MOD($L37,1)=0,INT($B37),$B37)&lt;=$L37,"Đúng hạn","Trễ hạn"))</f>
      </c>
      <c r="N37" s="225">
        <f>IF($C37="","",ROW())</f>
      </c>
      <c r="O37" s="225">
        <f>IF($I37="Công việc",MATCH($C37,'Kế hoạch'!$A$6:$A$305,0),"")</f>
      </c>
      <c r="P37" s="234">
        <f>IF($O37="","",INDEX('Kế hoạch'!$I$6:$I$305,$O37))</f>
      </c>
      <c r="Q37" s="225">
        <f>IF($O37="","",INDEX('Kế hoạch'!$AJ$6:$AJ$305,$O37))</f>
      </c>
      <c r="R37" s="225">
        <f>IF($O37="","",INDEX('Kế hoạch'!$AK$6:$AK$305,$O37))</f>
      </c>
    </row>
    <row r="38">
      <c r="A38" s="223">
        <f>IF($C38="","",COUNTIF($C$6:$C38,"?*"))</f>
      </c>
      <c r="B38" s="217"/>
      <c r="C38" s="216"/>
      <c r="D38" s="240"/>
      <c r="E38" s="218"/>
      <c r="F38" s="218"/>
      <c r="G38" s="218"/>
      <c r="H38" s="219"/>
      <c r="I38" s="223">
        <f>IF($C38="","",IF(ISNUMBER(MATCH($C38,'Phản ánh'!$A$6:$A$505,0)),"Phản ánh",IF(ISNUMBER(MATCH($C38,'Kế hoạch'!$A$6:$A$305,0)),"Công việc","Mã chưa có")))</f>
      </c>
      <c r="J38" s="221">
        <f>IF($I38="Phản ánh",INDEX('Phản ánh'!$C$6:$C$505,MATCH($C38,'Phản ánh'!$A$6:$A$505,0)),IF($I38="Công việc",INDEX('Kế hoạch'!$C$6:$C$305,$O38),""))</f>
      </c>
      <c r="K38" s="221">
        <f>IF($I38="Phản ánh",INDEX('Phản ánh'!$K$6:$K$505,MATCH($C38,'Phản ánh'!$A$6:$A$505,0))&amp;"",IF($I38="Công việc",INDEX('Kế hoạch'!$N$6:$N$305,$O38)&amp;"",""))</f>
      </c>
      <c r="L38" s="220">
        <f>IF(OR($C38="",N($B38)=0),"",IF(AND($I38="Phản ánh",$E38="Đã xử lý"),INDEX('Phản ánh'!$U$6:$U$505,MATCH($C38,'Phản ánh'!$A$6:$A$505,0)),IF(AND($I38="Công việc",OR($E38="Hoàn thành",$E38="Hoàn thành kỳ")),IF(INDEX('Kế hoạch'!$B$6:$B$305,$O38)="Đột xuất",INDEX('Kế hoạch'!$AY$6:$AY$305,$O38),IF(N($P38)=0,"",IF(INT($B38)&lt;$P38,$P38,IF($Q38&gt;0,$P38+ROUND((INT($B38)-$P38)/$Q38,0)*$Q38,IF($R38&gt;0,EDATE($P38,ROUND((DATEDIF($P38,INT($B38),"m")+(INT($B38)-EDATE($P38,DATEDIF($P38,INT($B38),"m")))/(EDATE($P38,DATEDIF($P38,INT($B38),"m")+1)-EDATE($P38,DATEDIF($P38,INT($B38),"m"))))/$R38,0)*$R38),$P38))))),"")))</f>
      </c>
      <c r="M38" s="223">
        <f>IF(OR($C38="",N($L38)=0,N($B38)=0),"",IF(IF(MOD($L38,1)=0,INT($B38),$B38)&lt;=$L38,"Đúng hạn","Trễ hạn"))</f>
      </c>
      <c r="N38" s="225">
        <f>IF($C38="","",ROW())</f>
      </c>
      <c r="O38" s="225">
        <f>IF($I38="Công việc",MATCH($C38,'Kế hoạch'!$A$6:$A$305,0),"")</f>
      </c>
      <c r="P38" s="234">
        <f>IF($O38="","",INDEX('Kế hoạch'!$I$6:$I$305,$O38))</f>
      </c>
      <c r="Q38" s="225">
        <f>IF($O38="","",INDEX('Kế hoạch'!$AJ$6:$AJ$305,$O38))</f>
      </c>
      <c r="R38" s="225">
        <f>IF($O38="","",INDEX('Kế hoạch'!$AK$6:$AK$305,$O38))</f>
      </c>
    </row>
    <row r="39">
      <c r="A39" s="223">
        <f>IF($C39="","",COUNTIF($C$6:$C39,"?*"))</f>
      </c>
      <c r="B39" s="217"/>
      <c r="C39" s="216"/>
      <c r="D39" s="240"/>
      <c r="E39" s="218"/>
      <c r="F39" s="218"/>
      <c r="G39" s="218"/>
      <c r="H39" s="219"/>
      <c r="I39" s="223">
        <f>IF($C39="","",IF(ISNUMBER(MATCH($C39,'Phản ánh'!$A$6:$A$505,0)),"Phản ánh",IF(ISNUMBER(MATCH($C39,'Kế hoạch'!$A$6:$A$305,0)),"Công việc","Mã chưa có")))</f>
      </c>
      <c r="J39" s="221">
        <f>IF($I39="Phản ánh",INDEX('Phản ánh'!$C$6:$C$505,MATCH($C39,'Phản ánh'!$A$6:$A$505,0)),IF($I39="Công việc",INDEX('Kế hoạch'!$C$6:$C$305,$O39),""))</f>
      </c>
      <c r="K39" s="221">
        <f>IF($I39="Phản ánh",INDEX('Phản ánh'!$K$6:$K$505,MATCH($C39,'Phản ánh'!$A$6:$A$505,0))&amp;"",IF($I39="Công việc",INDEX('Kế hoạch'!$N$6:$N$305,$O39)&amp;"",""))</f>
      </c>
      <c r="L39" s="220">
        <f>IF(OR($C39="",N($B39)=0),"",IF(AND($I39="Phản ánh",$E39="Đã xử lý"),INDEX('Phản ánh'!$U$6:$U$505,MATCH($C39,'Phản ánh'!$A$6:$A$505,0)),IF(AND($I39="Công việc",OR($E39="Hoàn thành",$E39="Hoàn thành kỳ")),IF(INDEX('Kế hoạch'!$B$6:$B$305,$O39)="Đột xuất",INDEX('Kế hoạch'!$AY$6:$AY$305,$O39),IF(N($P39)=0,"",IF(INT($B39)&lt;$P39,$P39,IF($Q39&gt;0,$P39+ROUND((INT($B39)-$P39)/$Q39,0)*$Q39,IF($R39&gt;0,EDATE($P39,ROUND((DATEDIF($P39,INT($B39),"m")+(INT($B39)-EDATE($P39,DATEDIF($P39,INT($B39),"m")))/(EDATE($P39,DATEDIF($P39,INT($B39),"m")+1)-EDATE($P39,DATEDIF($P39,INT($B39),"m"))))/$R39,0)*$R39),$P39))))),"")))</f>
      </c>
      <c r="M39" s="223">
        <f>IF(OR($C39="",N($L39)=0,N($B39)=0),"",IF(IF(MOD($L39,1)=0,INT($B39),$B39)&lt;=$L39,"Đúng hạn","Trễ hạn"))</f>
      </c>
      <c r="N39" s="225">
        <f>IF($C39="","",ROW())</f>
      </c>
      <c r="O39" s="225">
        <f>IF($I39="Công việc",MATCH($C39,'Kế hoạch'!$A$6:$A$305,0),"")</f>
      </c>
      <c r="P39" s="234">
        <f>IF($O39="","",INDEX('Kế hoạch'!$I$6:$I$305,$O39))</f>
      </c>
      <c r="Q39" s="225">
        <f>IF($O39="","",INDEX('Kế hoạch'!$AJ$6:$AJ$305,$O39))</f>
      </c>
      <c r="R39" s="225">
        <f>IF($O39="","",INDEX('Kế hoạch'!$AK$6:$AK$305,$O39))</f>
      </c>
    </row>
    <row r="40">
      <c r="A40" s="223">
        <f>IF($C40="","",COUNTIF($C$6:$C40,"?*"))</f>
      </c>
      <c r="B40" s="217"/>
      <c r="C40" s="216"/>
      <c r="D40" s="240"/>
      <c r="E40" s="218"/>
      <c r="F40" s="218"/>
      <c r="G40" s="218"/>
      <c r="H40" s="219"/>
      <c r="I40" s="223">
        <f>IF($C40="","",IF(ISNUMBER(MATCH($C40,'Phản ánh'!$A$6:$A$505,0)),"Phản ánh",IF(ISNUMBER(MATCH($C40,'Kế hoạch'!$A$6:$A$305,0)),"Công việc","Mã chưa có")))</f>
      </c>
      <c r="J40" s="221">
        <f>IF($I40="Phản ánh",INDEX('Phản ánh'!$C$6:$C$505,MATCH($C40,'Phản ánh'!$A$6:$A$505,0)),IF($I40="Công việc",INDEX('Kế hoạch'!$C$6:$C$305,$O40),""))</f>
      </c>
      <c r="K40" s="221">
        <f>IF($I40="Phản ánh",INDEX('Phản ánh'!$K$6:$K$505,MATCH($C40,'Phản ánh'!$A$6:$A$505,0))&amp;"",IF($I40="Công việc",INDEX('Kế hoạch'!$N$6:$N$305,$O40)&amp;"",""))</f>
      </c>
      <c r="L40" s="220">
        <f>IF(OR($C40="",N($B40)=0),"",IF(AND($I40="Phản ánh",$E40="Đã xử lý"),INDEX('Phản ánh'!$U$6:$U$505,MATCH($C40,'Phản ánh'!$A$6:$A$505,0)),IF(AND($I40="Công việc",OR($E40="Hoàn thành",$E40="Hoàn thành kỳ")),IF(INDEX('Kế hoạch'!$B$6:$B$305,$O40)="Đột xuất",INDEX('Kế hoạch'!$AY$6:$AY$305,$O40),IF(N($P40)=0,"",IF(INT($B40)&lt;$P40,$P40,IF($Q40&gt;0,$P40+ROUND((INT($B40)-$P40)/$Q40,0)*$Q40,IF($R40&gt;0,EDATE($P40,ROUND((DATEDIF($P40,INT($B40),"m")+(INT($B40)-EDATE($P40,DATEDIF($P40,INT($B40),"m")))/(EDATE($P40,DATEDIF($P40,INT($B40),"m")+1)-EDATE($P40,DATEDIF($P40,INT($B40),"m"))))/$R40,0)*$R40),$P40))))),"")))</f>
      </c>
      <c r="M40" s="223">
        <f>IF(OR($C40="",N($L40)=0,N($B40)=0),"",IF(IF(MOD($L40,1)=0,INT($B40),$B40)&lt;=$L40,"Đúng hạn","Trễ hạn"))</f>
      </c>
      <c r="N40" s="225">
        <f>IF($C40="","",ROW())</f>
      </c>
      <c r="O40" s="225">
        <f>IF($I40="Công việc",MATCH($C40,'Kế hoạch'!$A$6:$A$305,0),"")</f>
      </c>
      <c r="P40" s="234">
        <f>IF($O40="","",INDEX('Kế hoạch'!$I$6:$I$305,$O40))</f>
      </c>
      <c r="Q40" s="225">
        <f>IF($O40="","",INDEX('Kế hoạch'!$AJ$6:$AJ$305,$O40))</f>
      </c>
      <c r="R40" s="225">
        <f>IF($O40="","",INDEX('Kế hoạch'!$AK$6:$AK$305,$O40))</f>
      </c>
    </row>
    <row r="41">
      <c r="A41" s="223">
        <f>IF($C41="","",COUNTIF($C$6:$C41,"?*"))</f>
      </c>
      <c r="B41" s="217"/>
      <c r="C41" s="216"/>
      <c r="D41" s="240"/>
      <c r="E41" s="218"/>
      <c r="F41" s="218"/>
      <c r="G41" s="218"/>
      <c r="H41" s="219"/>
      <c r="I41" s="223">
        <f>IF($C41="","",IF(ISNUMBER(MATCH($C41,'Phản ánh'!$A$6:$A$505,0)),"Phản ánh",IF(ISNUMBER(MATCH($C41,'Kế hoạch'!$A$6:$A$305,0)),"Công việc","Mã chưa có")))</f>
      </c>
      <c r="J41" s="221">
        <f>IF($I41="Phản ánh",INDEX('Phản ánh'!$C$6:$C$505,MATCH($C41,'Phản ánh'!$A$6:$A$505,0)),IF($I41="Công việc",INDEX('Kế hoạch'!$C$6:$C$305,$O41),""))</f>
      </c>
      <c r="K41" s="221">
        <f>IF($I41="Phản ánh",INDEX('Phản ánh'!$K$6:$K$505,MATCH($C41,'Phản ánh'!$A$6:$A$505,0))&amp;"",IF($I41="Công việc",INDEX('Kế hoạch'!$N$6:$N$305,$O41)&amp;"",""))</f>
      </c>
      <c r="L41" s="220">
        <f>IF(OR($C41="",N($B41)=0),"",IF(AND($I41="Phản ánh",$E41="Đã xử lý"),INDEX('Phản ánh'!$U$6:$U$505,MATCH($C41,'Phản ánh'!$A$6:$A$505,0)),IF(AND($I41="Công việc",OR($E41="Hoàn thành",$E41="Hoàn thành kỳ")),IF(INDEX('Kế hoạch'!$B$6:$B$305,$O41)="Đột xuất",INDEX('Kế hoạch'!$AY$6:$AY$305,$O41),IF(N($P41)=0,"",IF(INT($B41)&lt;$P41,$P41,IF($Q41&gt;0,$P41+ROUND((INT($B41)-$P41)/$Q41,0)*$Q41,IF($R41&gt;0,EDATE($P41,ROUND((DATEDIF($P41,INT($B41),"m")+(INT($B41)-EDATE($P41,DATEDIF($P41,INT($B41),"m")))/(EDATE($P41,DATEDIF($P41,INT($B41),"m")+1)-EDATE($P41,DATEDIF($P41,INT($B41),"m"))))/$R41,0)*$R41),$P41))))),"")))</f>
      </c>
      <c r="M41" s="223">
        <f>IF(OR($C41="",N($L41)=0,N($B41)=0),"",IF(IF(MOD($L41,1)=0,INT($B41),$B41)&lt;=$L41,"Đúng hạn","Trễ hạn"))</f>
      </c>
      <c r="N41" s="225">
        <f>IF($C41="","",ROW())</f>
      </c>
      <c r="O41" s="225">
        <f>IF($I41="Công việc",MATCH($C41,'Kế hoạch'!$A$6:$A$305,0),"")</f>
      </c>
      <c r="P41" s="234">
        <f>IF($O41="","",INDEX('Kế hoạch'!$I$6:$I$305,$O41))</f>
      </c>
      <c r="Q41" s="225">
        <f>IF($O41="","",INDEX('Kế hoạch'!$AJ$6:$AJ$305,$O41))</f>
      </c>
      <c r="R41" s="225">
        <f>IF($O41="","",INDEX('Kế hoạch'!$AK$6:$AK$305,$O41))</f>
      </c>
    </row>
    <row r="42">
      <c r="A42" s="223">
        <f>IF($C42="","",COUNTIF($C$6:$C42,"?*"))</f>
      </c>
      <c r="B42" s="217"/>
      <c r="C42" s="216"/>
      <c r="D42" s="240"/>
      <c r="E42" s="218"/>
      <c r="F42" s="218"/>
      <c r="G42" s="218"/>
      <c r="H42" s="219"/>
      <c r="I42" s="223">
        <f>IF($C42="","",IF(ISNUMBER(MATCH($C42,'Phản ánh'!$A$6:$A$505,0)),"Phản ánh",IF(ISNUMBER(MATCH($C42,'Kế hoạch'!$A$6:$A$305,0)),"Công việc","Mã chưa có")))</f>
      </c>
      <c r="J42" s="221">
        <f>IF($I42="Phản ánh",INDEX('Phản ánh'!$C$6:$C$505,MATCH($C42,'Phản ánh'!$A$6:$A$505,0)),IF($I42="Công việc",INDEX('Kế hoạch'!$C$6:$C$305,$O42),""))</f>
      </c>
      <c r="K42" s="221">
        <f>IF($I42="Phản ánh",INDEX('Phản ánh'!$K$6:$K$505,MATCH($C42,'Phản ánh'!$A$6:$A$505,0))&amp;"",IF($I42="Công việc",INDEX('Kế hoạch'!$N$6:$N$305,$O42)&amp;"",""))</f>
      </c>
      <c r="L42" s="220">
        <f>IF(OR($C42="",N($B42)=0),"",IF(AND($I42="Phản ánh",$E42="Đã xử lý"),INDEX('Phản ánh'!$U$6:$U$505,MATCH($C42,'Phản ánh'!$A$6:$A$505,0)),IF(AND($I42="Công việc",OR($E42="Hoàn thành",$E42="Hoàn thành kỳ")),IF(INDEX('Kế hoạch'!$B$6:$B$305,$O42)="Đột xuất",INDEX('Kế hoạch'!$AY$6:$AY$305,$O42),IF(N($P42)=0,"",IF(INT($B42)&lt;$P42,$P42,IF($Q42&gt;0,$P42+ROUND((INT($B42)-$P42)/$Q42,0)*$Q42,IF($R42&gt;0,EDATE($P42,ROUND((DATEDIF($P42,INT($B42),"m")+(INT($B42)-EDATE($P42,DATEDIF($P42,INT($B42),"m")))/(EDATE($P42,DATEDIF($P42,INT($B42),"m")+1)-EDATE($P42,DATEDIF($P42,INT($B42),"m"))))/$R42,0)*$R42),$P42))))),"")))</f>
      </c>
      <c r="M42" s="223">
        <f>IF(OR($C42="",N($L42)=0,N($B42)=0),"",IF(IF(MOD($L42,1)=0,INT($B42),$B42)&lt;=$L42,"Đúng hạn","Trễ hạn"))</f>
      </c>
      <c r="N42" s="225">
        <f>IF($C42="","",ROW())</f>
      </c>
      <c r="O42" s="225">
        <f>IF($I42="Công việc",MATCH($C42,'Kế hoạch'!$A$6:$A$305,0),"")</f>
      </c>
      <c r="P42" s="234">
        <f>IF($O42="","",INDEX('Kế hoạch'!$I$6:$I$305,$O42))</f>
      </c>
      <c r="Q42" s="225">
        <f>IF($O42="","",INDEX('Kế hoạch'!$AJ$6:$AJ$305,$O42))</f>
      </c>
      <c r="R42" s="225">
        <f>IF($O42="","",INDEX('Kế hoạch'!$AK$6:$AK$305,$O42))</f>
      </c>
    </row>
    <row r="43">
      <c r="A43" s="223">
        <f>IF($C43="","",COUNTIF($C$6:$C43,"?*"))</f>
      </c>
      <c r="B43" s="217"/>
      <c r="C43" s="216"/>
      <c r="D43" s="240"/>
      <c r="E43" s="218"/>
      <c r="F43" s="218"/>
      <c r="G43" s="218"/>
      <c r="H43" s="219"/>
      <c r="I43" s="223">
        <f>IF($C43="","",IF(ISNUMBER(MATCH($C43,'Phản ánh'!$A$6:$A$505,0)),"Phản ánh",IF(ISNUMBER(MATCH($C43,'Kế hoạch'!$A$6:$A$305,0)),"Công việc","Mã chưa có")))</f>
      </c>
      <c r="J43" s="221">
        <f>IF($I43="Phản ánh",INDEX('Phản ánh'!$C$6:$C$505,MATCH($C43,'Phản ánh'!$A$6:$A$505,0)),IF($I43="Công việc",INDEX('Kế hoạch'!$C$6:$C$305,$O43),""))</f>
      </c>
      <c r="K43" s="221">
        <f>IF($I43="Phản ánh",INDEX('Phản ánh'!$K$6:$K$505,MATCH($C43,'Phản ánh'!$A$6:$A$505,0))&amp;"",IF($I43="Công việc",INDEX('Kế hoạch'!$N$6:$N$305,$O43)&amp;"",""))</f>
      </c>
      <c r="L43" s="220">
        <f>IF(OR($C43="",N($B43)=0),"",IF(AND($I43="Phản ánh",$E43="Đã xử lý"),INDEX('Phản ánh'!$U$6:$U$505,MATCH($C43,'Phản ánh'!$A$6:$A$505,0)),IF(AND($I43="Công việc",OR($E43="Hoàn thành",$E43="Hoàn thành kỳ")),IF(INDEX('Kế hoạch'!$B$6:$B$305,$O43)="Đột xuất",INDEX('Kế hoạch'!$AY$6:$AY$305,$O43),IF(N($P43)=0,"",IF(INT($B43)&lt;$P43,$P43,IF($Q43&gt;0,$P43+ROUND((INT($B43)-$P43)/$Q43,0)*$Q43,IF($R43&gt;0,EDATE($P43,ROUND((DATEDIF($P43,INT($B43),"m")+(INT($B43)-EDATE($P43,DATEDIF($P43,INT($B43),"m")))/(EDATE($P43,DATEDIF($P43,INT($B43),"m")+1)-EDATE($P43,DATEDIF($P43,INT($B43),"m"))))/$R43,0)*$R43),$P43))))),"")))</f>
      </c>
      <c r="M43" s="223">
        <f>IF(OR($C43="",N($L43)=0,N($B43)=0),"",IF(IF(MOD($L43,1)=0,INT($B43),$B43)&lt;=$L43,"Đúng hạn","Trễ hạn"))</f>
      </c>
      <c r="N43" s="225">
        <f>IF($C43="","",ROW())</f>
      </c>
      <c r="O43" s="225">
        <f>IF($I43="Công việc",MATCH($C43,'Kế hoạch'!$A$6:$A$305,0),"")</f>
      </c>
      <c r="P43" s="234">
        <f>IF($O43="","",INDEX('Kế hoạch'!$I$6:$I$305,$O43))</f>
      </c>
      <c r="Q43" s="225">
        <f>IF($O43="","",INDEX('Kế hoạch'!$AJ$6:$AJ$305,$O43))</f>
      </c>
      <c r="R43" s="225">
        <f>IF($O43="","",INDEX('Kế hoạch'!$AK$6:$AK$305,$O43))</f>
      </c>
    </row>
    <row r="44">
      <c r="A44" s="223">
        <f>IF($C44="","",COUNTIF($C$6:$C44,"?*"))</f>
      </c>
      <c r="B44" s="217"/>
      <c r="C44" s="216"/>
      <c r="D44" s="240"/>
      <c r="E44" s="218"/>
      <c r="F44" s="218"/>
      <c r="G44" s="218"/>
      <c r="H44" s="219"/>
      <c r="I44" s="223">
        <f>IF($C44="","",IF(ISNUMBER(MATCH($C44,'Phản ánh'!$A$6:$A$505,0)),"Phản ánh",IF(ISNUMBER(MATCH($C44,'Kế hoạch'!$A$6:$A$305,0)),"Công việc","Mã chưa có")))</f>
      </c>
      <c r="J44" s="221">
        <f>IF($I44="Phản ánh",INDEX('Phản ánh'!$C$6:$C$505,MATCH($C44,'Phản ánh'!$A$6:$A$505,0)),IF($I44="Công việc",INDEX('Kế hoạch'!$C$6:$C$305,$O44),""))</f>
      </c>
      <c r="K44" s="221">
        <f>IF($I44="Phản ánh",INDEX('Phản ánh'!$K$6:$K$505,MATCH($C44,'Phản ánh'!$A$6:$A$505,0))&amp;"",IF($I44="Công việc",INDEX('Kế hoạch'!$N$6:$N$305,$O44)&amp;"",""))</f>
      </c>
      <c r="L44" s="220">
        <f>IF(OR($C44="",N($B44)=0),"",IF(AND($I44="Phản ánh",$E44="Đã xử lý"),INDEX('Phản ánh'!$U$6:$U$505,MATCH($C44,'Phản ánh'!$A$6:$A$505,0)),IF(AND($I44="Công việc",OR($E44="Hoàn thành",$E44="Hoàn thành kỳ")),IF(INDEX('Kế hoạch'!$B$6:$B$305,$O44)="Đột xuất",INDEX('Kế hoạch'!$AY$6:$AY$305,$O44),IF(N($P44)=0,"",IF(INT($B44)&lt;$P44,$P44,IF($Q44&gt;0,$P44+ROUND((INT($B44)-$P44)/$Q44,0)*$Q44,IF($R44&gt;0,EDATE($P44,ROUND((DATEDIF($P44,INT($B44),"m")+(INT($B44)-EDATE($P44,DATEDIF($P44,INT($B44),"m")))/(EDATE($P44,DATEDIF($P44,INT($B44),"m")+1)-EDATE($P44,DATEDIF($P44,INT($B44),"m"))))/$R44,0)*$R44),$P44))))),"")))</f>
      </c>
      <c r="M44" s="223">
        <f>IF(OR($C44="",N($L44)=0,N($B44)=0),"",IF(IF(MOD($L44,1)=0,INT($B44),$B44)&lt;=$L44,"Đúng hạn","Trễ hạn"))</f>
      </c>
      <c r="N44" s="225">
        <f>IF($C44="","",ROW())</f>
      </c>
      <c r="O44" s="225">
        <f>IF($I44="Công việc",MATCH($C44,'Kế hoạch'!$A$6:$A$305,0),"")</f>
      </c>
      <c r="P44" s="234">
        <f>IF($O44="","",INDEX('Kế hoạch'!$I$6:$I$305,$O44))</f>
      </c>
      <c r="Q44" s="225">
        <f>IF($O44="","",INDEX('Kế hoạch'!$AJ$6:$AJ$305,$O44))</f>
      </c>
      <c r="R44" s="225">
        <f>IF($O44="","",INDEX('Kế hoạch'!$AK$6:$AK$305,$O44))</f>
      </c>
    </row>
    <row r="45">
      <c r="A45" s="223">
        <f>IF($C45="","",COUNTIF($C$6:$C45,"?*"))</f>
      </c>
      <c r="B45" s="217"/>
      <c r="C45" s="216"/>
      <c r="D45" s="240"/>
      <c r="E45" s="218"/>
      <c r="F45" s="218"/>
      <c r="G45" s="218"/>
      <c r="H45" s="219"/>
      <c r="I45" s="223">
        <f>IF($C45="","",IF(ISNUMBER(MATCH($C45,'Phản ánh'!$A$6:$A$505,0)),"Phản ánh",IF(ISNUMBER(MATCH($C45,'Kế hoạch'!$A$6:$A$305,0)),"Công việc","Mã chưa có")))</f>
      </c>
      <c r="J45" s="221">
        <f>IF($I45="Phản ánh",INDEX('Phản ánh'!$C$6:$C$505,MATCH($C45,'Phản ánh'!$A$6:$A$505,0)),IF($I45="Công việc",INDEX('Kế hoạch'!$C$6:$C$305,$O45),""))</f>
      </c>
      <c r="K45" s="221">
        <f>IF($I45="Phản ánh",INDEX('Phản ánh'!$K$6:$K$505,MATCH($C45,'Phản ánh'!$A$6:$A$505,0))&amp;"",IF($I45="Công việc",INDEX('Kế hoạch'!$N$6:$N$305,$O45)&amp;"",""))</f>
      </c>
      <c r="L45" s="220">
        <f>IF(OR($C45="",N($B45)=0),"",IF(AND($I45="Phản ánh",$E45="Đã xử lý"),INDEX('Phản ánh'!$U$6:$U$505,MATCH($C45,'Phản ánh'!$A$6:$A$505,0)),IF(AND($I45="Công việc",OR($E45="Hoàn thành",$E45="Hoàn thành kỳ")),IF(INDEX('Kế hoạch'!$B$6:$B$305,$O45)="Đột xuất",INDEX('Kế hoạch'!$AY$6:$AY$305,$O45),IF(N($P45)=0,"",IF(INT($B45)&lt;$P45,$P45,IF($Q45&gt;0,$P45+ROUND((INT($B45)-$P45)/$Q45,0)*$Q45,IF($R45&gt;0,EDATE($P45,ROUND((DATEDIF($P45,INT($B45),"m")+(INT($B45)-EDATE($P45,DATEDIF($P45,INT($B45),"m")))/(EDATE($P45,DATEDIF($P45,INT($B45),"m")+1)-EDATE($P45,DATEDIF($P45,INT($B45),"m"))))/$R45,0)*$R45),$P45))))),"")))</f>
      </c>
      <c r="M45" s="223">
        <f>IF(OR($C45="",N($L45)=0,N($B45)=0),"",IF(IF(MOD($L45,1)=0,INT($B45),$B45)&lt;=$L45,"Đúng hạn","Trễ hạn"))</f>
      </c>
      <c r="N45" s="225">
        <f>IF($C45="","",ROW())</f>
      </c>
      <c r="O45" s="225">
        <f>IF($I45="Công việc",MATCH($C45,'Kế hoạch'!$A$6:$A$305,0),"")</f>
      </c>
      <c r="P45" s="234">
        <f>IF($O45="","",INDEX('Kế hoạch'!$I$6:$I$305,$O45))</f>
      </c>
      <c r="Q45" s="225">
        <f>IF($O45="","",INDEX('Kế hoạch'!$AJ$6:$AJ$305,$O45))</f>
      </c>
      <c r="R45" s="225">
        <f>IF($O45="","",INDEX('Kế hoạch'!$AK$6:$AK$305,$O45))</f>
      </c>
    </row>
    <row r="46">
      <c r="A46" s="223">
        <f>IF($C46="","",COUNTIF($C$6:$C46,"?*"))</f>
      </c>
      <c r="B46" s="217"/>
      <c r="C46" s="216"/>
      <c r="D46" s="240"/>
      <c r="E46" s="218"/>
      <c r="F46" s="218"/>
      <c r="G46" s="218"/>
      <c r="H46" s="219"/>
      <c r="I46" s="223">
        <f>IF($C46="","",IF(ISNUMBER(MATCH($C46,'Phản ánh'!$A$6:$A$505,0)),"Phản ánh",IF(ISNUMBER(MATCH($C46,'Kế hoạch'!$A$6:$A$305,0)),"Công việc","Mã chưa có")))</f>
      </c>
      <c r="J46" s="221">
        <f>IF($I46="Phản ánh",INDEX('Phản ánh'!$C$6:$C$505,MATCH($C46,'Phản ánh'!$A$6:$A$505,0)),IF($I46="Công việc",INDEX('Kế hoạch'!$C$6:$C$305,$O46),""))</f>
      </c>
      <c r="K46" s="221">
        <f>IF($I46="Phản ánh",INDEX('Phản ánh'!$K$6:$K$505,MATCH($C46,'Phản ánh'!$A$6:$A$505,0))&amp;"",IF($I46="Công việc",INDEX('Kế hoạch'!$N$6:$N$305,$O46)&amp;"",""))</f>
      </c>
      <c r="L46" s="220">
        <f>IF(OR($C46="",N($B46)=0),"",IF(AND($I46="Phản ánh",$E46="Đã xử lý"),INDEX('Phản ánh'!$U$6:$U$505,MATCH($C46,'Phản ánh'!$A$6:$A$505,0)),IF(AND($I46="Công việc",OR($E46="Hoàn thành",$E46="Hoàn thành kỳ")),IF(INDEX('Kế hoạch'!$B$6:$B$305,$O46)="Đột xuất",INDEX('Kế hoạch'!$AY$6:$AY$305,$O46),IF(N($P46)=0,"",IF(INT($B46)&lt;$P46,$P46,IF($Q46&gt;0,$P46+ROUND((INT($B46)-$P46)/$Q46,0)*$Q46,IF($R46&gt;0,EDATE($P46,ROUND((DATEDIF($P46,INT($B46),"m")+(INT($B46)-EDATE($P46,DATEDIF($P46,INT($B46),"m")))/(EDATE($P46,DATEDIF($P46,INT($B46),"m")+1)-EDATE($P46,DATEDIF($P46,INT($B46),"m"))))/$R46,0)*$R46),$P46))))),"")))</f>
      </c>
      <c r="M46" s="223">
        <f>IF(OR($C46="",N($L46)=0,N($B46)=0),"",IF(IF(MOD($L46,1)=0,INT($B46),$B46)&lt;=$L46,"Đúng hạn","Trễ hạn"))</f>
      </c>
      <c r="N46" s="225">
        <f>IF($C46="","",ROW())</f>
      </c>
      <c r="O46" s="225">
        <f>IF($I46="Công việc",MATCH($C46,'Kế hoạch'!$A$6:$A$305,0),"")</f>
      </c>
      <c r="P46" s="234">
        <f>IF($O46="","",INDEX('Kế hoạch'!$I$6:$I$305,$O46))</f>
      </c>
      <c r="Q46" s="225">
        <f>IF($O46="","",INDEX('Kế hoạch'!$AJ$6:$AJ$305,$O46))</f>
      </c>
      <c r="R46" s="225">
        <f>IF($O46="","",INDEX('Kế hoạch'!$AK$6:$AK$305,$O46))</f>
      </c>
    </row>
    <row r="47">
      <c r="A47" s="223">
        <f>IF($C47="","",COUNTIF($C$6:$C47,"?*"))</f>
      </c>
      <c r="B47" s="217"/>
      <c r="C47" s="216"/>
      <c r="D47" s="240"/>
      <c r="E47" s="218"/>
      <c r="F47" s="218"/>
      <c r="G47" s="218"/>
      <c r="H47" s="219"/>
      <c r="I47" s="223">
        <f>IF($C47="","",IF(ISNUMBER(MATCH($C47,'Phản ánh'!$A$6:$A$505,0)),"Phản ánh",IF(ISNUMBER(MATCH($C47,'Kế hoạch'!$A$6:$A$305,0)),"Công việc","Mã chưa có")))</f>
      </c>
      <c r="J47" s="221">
        <f>IF($I47="Phản ánh",INDEX('Phản ánh'!$C$6:$C$505,MATCH($C47,'Phản ánh'!$A$6:$A$505,0)),IF($I47="Công việc",INDEX('Kế hoạch'!$C$6:$C$305,$O47),""))</f>
      </c>
      <c r="K47" s="221">
        <f>IF($I47="Phản ánh",INDEX('Phản ánh'!$K$6:$K$505,MATCH($C47,'Phản ánh'!$A$6:$A$505,0))&amp;"",IF($I47="Công việc",INDEX('Kế hoạch'!$N$6:$N$305,$O47)&amp;"",""))</f>
      </c>
      <c r="L47" s="220">
        <f>IF(OR($C47="",N($B47)=0),"",IF(AND($I47="Phản ánh",$E47="Đã xử lý"),INDEX('Phản ánh'!$U$6:$U$505,MATCH($C47,'Phản ánh'!$A$6:$A$505,0)),IF(AND($I47="Công việc",OR($E47="Hoàn thành",$E47="Hoàn thành kỳ")),IF(INDEX('Kế hoạch'!$B$6:$B$305,$O47)="Đột xuất",INDEX('Kế hoạch'!$AY$6:$AY$305,$O47),IF(N($P47)=0,"",IF(INT($B47)&lt;$P47,$P47,IF($Q47&gt;0,$P47+ROUND((INT($B47)-$P47)/$Q47,0)*$Q47,IF($R47&gt;0,EDATE($P47,ROUND((DATEDIF($P47,INT($B47),"m")+(INT($B47)-EDATE($P47,DATEDIF($P47,INT($B47),"m")))/(EDATE($P47,DATEDIF($P47,INT($B47),"m")+1)-EDATE($P47,DATEDIF($P47,INT($B47),"m"))))/$R47,0)*$R47),$P47))))),"")))</f>
      </c>
      <c r="M47" s="223">
        <f>IF(OR($C47="",N($L47)=0,N($B47)=0),"",IF(IF(MOD($L47,1)=0,INT($B47),$B47)&lt;=$L47,"Đúng hạn","Trễ hạn"))</f>
      </c>
      <c r="N47" s="225">
        <f>IF($C47="","",ROW())</f>
      </c>
      <c r="O47" s="225">
        <f>IF($I47="Công việc",MATCH($C47,'Kế hoạch'!$A$6:$A$305,0),"")</f>
      </c>
      <c r="P47" s="234">
        <f>IF($O47="","",INDEX('Kế hoạch'!$I$6:$I$305,$O47))</f>
      </c>
      <c r="Q47" s="225">
        <f>IF($O47="","",INDEX('Kế hoạch'!$AJ$6:$AJ$305,$O47))</f>
      </c>
      <c r="R47" s="225">
        <f>IF($O47="","",INDEX('Kế hoạch'!$AK$6:$AK$305,$O47))</f>
      </c>
    </row>
    <row r="48">
      <c r="A48" s="223">
        <f>IF($C48="","",COUNTIF($C$6:$C48,"?*"))</f>
      </c>
      <c r="B48" s="217"/>
      <c r="C48" s="216"/>
      <c r="D48" s="240"/>
      <c r="E48" s="218"/>
      <c r="F48" s="218"/>
      <c r="G48" s="218"/>
      <c r="H48" s="219"/>
      <c r="I48" s="223">
        <f>IF($C48="","",IF(ISNUMBER(MATCH($C48,'Phản ánh'!$A$6:$A$505,0)),"Phản ánh",IF(ISNUMBER(MATCH($C48,'Kế hoạch'!$A$6:$A$305,0)),"Công việc","Mã chưa có")))</f>
      </c>
      <c r="J48" s="221">
        <f>IF($I48="Phản ánh",INDEX('Phản ánh'!$C$6:$C$505,MATCH($C48,'Phản ánh'!$A$6:$A$505,0)),IF($I48="Công việc",INDEX('Kế hoạch'!$C$6:$C$305,$O48),""))</f>
      </c>
      <c r="K48" s="221">
        <f>IF($I48="Phản ánh",INDEX('Phản ánh'!$K$6:$K$505,MATCH($C48,'Phản ánh'!$A$6:$A$505,0))&amp;"",IF($I48="Công việc",INDEX('Kế hoạch'!$N$6:$N$305,$O48)&amp;"",""))</f>
      </c>
      <c r="L48" s="220">
        <f>IF(OR($C48="",N($B48)=0),"",IF(AND($I48="Phản ánh",$E48="Đã xử lý"),INDEX('Phản ánh'!$U$6:$U$505,MATCH($C48,'Phản ánh'!$A$6:$A$505,0)),IF(AND($I48="Công việc",OR($E48="Hoàn thành",$E48="Hoàn thành kỳ")),IF(INDEX('Kế hoạch'!$B$6:$B$305,$O48)="Đột xuất",INDEX('Kế hoạch'!$AY$6:$AY$305,$O48),IF(N($P48)=0,"",IF(INT($B48)&lt;$P48,$P48,IF($Q48&gt;0,$P48+ROUND((INT($B48)-$P48)/$Q48,0)*$Q48,IF($R48&gt;0,EDATE($P48,ROUND((DATEDIF($P48,INT($B48),"m")+(INT($B48)-EDATE($P48,DATEDIF($P48,INT($B48),"m")))/(EDATE($P48,DATEDIF($P48,INT($B48),"m")+1)-EDATE($P48,DATEDIF($P48,INT($B48),"m"))))/$R48,0)*$R48),$P48))))),"")))</f>
      </c>
      <c r="M48" s="223">
        <f>IF(OR($C48="",N($L48)=0,N($B48)=0),"",IF(IF(MOD($L48,1)=0,INT($B48),$B48)&lt;=$L48,"Đúng hạn","Trễ hạn"))</f>
      </c>
      <c r="N48" s="225">
        <f>IF($C48="","",ROW())</f>
      </c>
      <c r="O48" s="225">
        <f>IF($I48="Công việc",MATCH($C48,'Kế hoạch'!$A$6:$A$305,0),"")</f>
      </c>
      <c r="P48" s="234">
        <f>IF($O48="","",INDEX('Kế hoạch'!$I$6:$I$305,$O48))</f>
      </c>
      <c r="Q48" s="225">
        <f>IF($O48="","",INDEX('Kế hoạch'!$AJ$6:$AJ$305,$O48))</f>
      </c>
      <c r="R48" s="225">
        <f>IF($O48="","",INDEX('Kế hoạch'!$AK$6:$AK$305,$O48))</f>
      </c>
    </row>
    <row r="49">
      <c r="A49" s="223">
        <f>IF($C49="","",COUNTIF($C$6:$C49,"?*"))</f>
      </c>
      <c r="B49" s="217"/>
      <c r="C49" s="216"/>
      <c r="D49" s="240"/>
      <c r="E49" s="218"/>
      <c r="F49" s="218"/>
      <c r="G49" s="218"/>
      <c r="H49" s="219"/>
      <c r="I49" s="223">
        <f>IF($C49="","",IF(ISNUMBER(MATCH($C49,'Phản ánh'!$A$6:$A$505,0)),"Phản ánh",IF(ISNUMBER(MATCH($C49,'Kế hoạch'!$A$6:$A$305,0)),"Công việc","Mã chưa có")))</f>
      </c>
      <c r="J49" s="221">
        <f>IF($I49="Phản ánh",INDEX('Phản ánh'!$C$6:$C$505,MATCH($C49,'Phản ánh'!$A$6:$A$505,0)),IF($I49="Công việc",INDEX('Kế hoạch'!$C$6:$C$305,$O49),""))</f>
      </c>
      <c r="K49" s="221">
        <f>IF($I49="Phản ánh",INDEX('Phản ánh'!$K$6:$K$505,MATCH($C49,'Phản ánh'!$A$6:$A$505,0))&amp;"",IF($I49="Công việc",INDEX('Kế hoạch'!$N$6:$N$305,$O49)&amp;"",""))</f>
      </c>
      <c r="L49" s="220">
        <f>IF(OR($C49="",N($B49)=0),"",IF(AND($I49="Phản ánh",$E49="Đã xử lý"),INDEX('Phản ánh'!$U$6:$U$505,MATCH($C49,'Phản ánh'!$A$6:$A$505,0)),IF(AND($I49="Công việc",OR($E49="Hoàn thành",$E49="Hoàn thành kỳ")),IF(INDEX('Kế hoạch'!$B$6:$B$305,$O49)="Đột xuất",INDEX('Kế hoạch'!$AY$6:$AY$305,$O49),IF(N($P49)=0,"",IF(INT($B49)&lt;$P49,$P49,IF($Q49&gt;0,$P49+ROUND((INT($B49)-$P49)/$Q49,0)*$Q49,IF($R49&gt;0,EDATE($P49,ROUND((DATEDIF($P49,INT($B49),"m")+(INT($B49)-EDATE($P49,DATEDIF($P49,INT($B49),"m")))/(EDATE($P49,DATEDIF($P49,INT($B49),"m")+1)-EDATE($P49,DATEDIF($P49,INT($B49),"m"))))/$R49,0)*$R49),$P49))))),"")))</f>
      </c>
      <c r="M49" s="223">
        <f>IF(OR($C49="",N($L49)=0,N($B49)=0),"",IF(IF(MOD($L49,1)=0,INT($B49),$B49)&lt;=$L49,"Đúng hạn","Trễ hạn"))</f>
      </c>
      <c r="N49" s="225">
        <f>IF($C49="","",ROW())</f>
      </c>
      <c r="O49" s="225">
        <f>IF($I49="Công việc",MATCH($C49,'Kế hoạch'!$A$6:$A$305,0),"")</f>
      </c>
      <c r="P49" s="234">
        <f>IF($O49="","",INDEX('Kế hoạch'!$I$6:$I$305,$O49))</f>
      </c>
      <c r="Q49" s="225">
        <f>IF($O49="","",INDEX('Kế hoạch'!$AJ$6:$AJ$305,$O49))</f>
      </c>
      <c r="R49" s="225">
        <f>IF($O49="","",INDEX('Kế hoạch'!$AK$6:$AK$305,$O49))</f>
      </c>
    </row>
    <row r="50">
      <c r="A50" s="223">
        <f>IF($C50="","",COUNTIF($C$6:$C50,"?*"))</f>
      </c>
      <c r="B50" s="217"/>
      <c r="C50" s="216"/>
      <c r="D50" s="240"/>
      <c r="E50" s="218"/>
      <c r="F50" s="218"/>
      <c r="G50" s="218"/>
      <c r="H50" s="219"/>
      <c r="I50" s="223">
        <f>IF($C50="","",IF(ISNUMBER(MATCH($C50,'Phản ánh'!$A$6:$A$505,0)),"Phản ánh",IF(ISNUMBER(MATCH($C50,'Kế hoạch'!$A$6:$A$305,0)),"Công việc","Mã chưa có")))</f>
      </c>
      <c r="J50" s="221">
        <f>IF($I50="Phản ánh",INDEX('Phản ánh'!$C$6:$C$505,MATCH($C50,'Phản ánh'!$A$6:$A$505,0)),IF($I50="Công việc",INDEX('Kế hoạch'!$C$6:$C$305,$O50),""))</f>
      </c>
      <c r="K50" s="221">
        <f>IF($I50="Phản ánh",INDEX('Phản ánh'!$K$6:$K$505,MATCH($C50,'Phản ánh'!$A$6:$A$505,0))&amp;"",IF($I50="Công việc",INDEX('Kế hoạch'!$N$6:$N$305,$O50)&amp;"",""))</f>
      </c>
      <c r="L50" s="220">
        <f>IF(OR($C50="",N($B50)=0),"",IF(AND($I50="Phản ánh",$E50="Đã xử lý"),INDEX('Phản ánh'!$U$6:$U$505,MATCH($C50,'Phản ánh'!$A$6:$A$505,0)),IF(AND($I50="Công việc",OR($E50="Hoàn thành",$E50="Hoàn thành kỳ")),IF(INDEX('Kế hoạch'!$B$6:$B$305,$O50)="Đột xuất",INDEX('Kế hoạch'!$AY$6:$AY$305,$O50),IF(N($P50)=0,"",IF(INT($B50)&lt;$P50,$P50,IF($Q50&gt;0,$P50+ROUND((INT($B50)-$P50)/$Q50,0)*$Q50,IF($R50&gt;0,EDATE($P50,ROUND((DATEDIF($P50,INT($B50),"m")+(INT($B50)-EDATE($P50,DATEDIF($P50,INT($B50),"m")))/(EDATE($P50,DATEDIF($P50,INT($B50),"m")+1)-EDATE($P50,DATEDIF($P50,INT($B50),"m"))))/$R50,0)*$R50),$P50))))),"")))</f>
      </c>
      <c r="M50" s="223">
        <f>IF(OR($C50="",N($L50)=0,N($B50)=0),"",IF(IF(MOD($L50,1)=0,INT($B50),$B50)&lt;=$L50,"Đúng hạn","Trễ hạn"))</f>
      </c>
      <c r="N50" s="225">
        <f>IF($C50="","",ROW())</f>
      </c>
      <c r="O50" s="225">
        <f>IF($I50="Công việc",MATCH($C50,'Kế hoạch'!$A$6:$A$305,0),"")</f>
      </c>
      <c r="P50" s="234">
        <f>IF($O50="","",INDEX('Kế hoạch'!$I$6:$I$305,$O50))</f>
      </c>
      <c r="Q50" s="225">
        <f>IF($O50="","",INDEX('Kế hoạch'!$AJ$6:$AJ$305,$O50))</f>
      </c>
      <c r="R50" s="225">
        <f>IF($O50="","",INDEX('Kế hoạch'!$AK$6:$AK$305,$O50))</f>
      </c>
    </row>
    <row r="51">
      <c r="A51" s="223">
        <f>IF($C51="","",COUNTIF($C$6:$C51,"?*"))</f>
      </c>
      <c r="B51" s="217"/>
      <c r="C51" s="216"/>
      <c r="D51" s="240"/>
      <c r="E51" s="218"/>
      <c r="F51" s="218"/>
      <c r="G51" s="218"/>
      <c r="H51" s="219"/>
      <c r="I51" s="223">
        <f>IF($C51="","",IF(ISNUMBER(MATCH($C51,'Phản ánh'!$A$6:$A$505,0)),"Phản ánh",IF(ISNUMBER(MATCH($C51,'Kế hoạch'!$A$6:$A$305,0)),"Công việc","Mã chưa có")))</f>
      </c>
      <c r="J51" s="221">
        <f>IF($I51="Phản ánh",INDEX('Phản ánh'!$C$6:$C$505,MATCH($C51,'Phản ánh'!$A$6:$A$505,0)),IF($I51="Công việc",INDEX('Kế hoạch'!$C$6:$C$305,$O51),""))</f>
      </c>
      <c r="K51" s="221">
        <f>IF($I51="Phản ánh",INDEX('Phản ánh'!$K$6:$K$505,MATCH($C51,'Phản ánh'!$A$6:$A$505,0))&amp;"",IF($I51="Công việc",INDEX('Kế hoạch'!$N$6:$N$305,$O51)&amp;"",""))</f>
      </c>
      <c r="L51" s="220">
        <f>IF(OR($C51="",N($B51)=0),"",IF(AND($I51="Phản ánh",$E51="Đã xử lý"),INDEX('Phản ánh'!$U$6:$U$505,MATCH($C51,'Phản ánh'!$A$6:$A$505,0)),IF(AND($I51="Công việc",OR($E51="Hoàn thành",$E51="Hoàn thành kỳ")),IF(INDEX('Kế hoạch'!$B$6:$B$305,$O51)="Đột xuất",INDEX('Kế hoạch'!$AY$6:$AY$305,$O51),IF(N($P51)=0,"",IF(INT($B51)&lt;$P51,$P51,IF($Q51&gt;0,$P51+ROUND((INT($B51)-$P51)/$Q51,0)*$Q51,IF($R51&gt;0,EDATE($P51,ROUND((DATEDIF($P51,INT($B51),"m")+(INT($B51)-EDATE($P51,DATEDIF($P51,INT($B51),"m")))/(EDATE($P51,DATEDIF($P51,INT($B51),"m")+1)-EDATE($P51,DATEDIF($P51,INT($B51),"m"))))/$R51,0)*$R51),$P51))))),"")))</f>
      </c>
      <c r="M51" s="223">
        <f>IF(OR($C51="",N($L51)=0,N($B51)=0),"",IF(IF(MOD($L51,1)=0,INT($B51),$B51)&lt;=$L51,"Đúng hạn","Trễ hạn"))</f>
      </c>
      <c r="N51" s="225">
        <f>IF($C51="","",ROW())</f>
      </c>
      <c r="O51" s="225">
        <f>IF($I51="Công việc",MATCH($C51,'Kế hoạch'!$A$6:$A$305,0),"")</f>
      </c>
      <c r="P51" s="234">
        <f>IF($O51="","",INDEX('Kế hoạch'!$I$6:$I$305,$O51))</f>
      </c>
      <c r="Q51" s="225">
        <f>IF($O51="","",INDEX('Kế hoạch'!$AJ$6:$AJ$305,$O51))</f>
      </c>
      <c r="R51" s="225">
        <f>IF($O51="","",INDEX('Kế hoạch'!$AK$6:$AK$305,$O51))</f>
      </c>
    </row>
    <row r="52">
      <c r="A52" s="223">
        <f>IF($C52="","",COUNTIF($C$6:$C52,"?*"))</f>
      </c>
      <c r="B52" s="217"/>
      <c r="C52" s="216"/>
      <c r="D52" s="240"/>
      <c r="E52" s="218"/>
      <c r="F52" s="218"/>
      <c r="G52" s="218"/>
      <c r="H52" s="219"/>
      <c r="I52" s="223">
        <f>IF($C52="","",IF(ISNUMBER(MATCH($C52,'Phản ánh'!$A$6:$A$505,0)),"Phản ánh",IF(ISNUMBER(MATCH($C52,'Kế hoạch'!$A$6:$A$305,0)),"Công việc","Mã chưa có")))</f>
      </c>
      <c r="J52" s="221">
        <f>IF($I52="Phản ánh",INDEX('Phản ánh'!$C$6:$C$505,MATCH($C52,'Phản ánh'!$A$6:$A$505,0)),IF($I52="Công việc",INDEX('Kế hoạch'!$C$6:$C$305,$O52),""))</f>
      </c>
      <c r="K52" s="221">
        <f>IF($I52="Phản ánh",INDEX('Phản ánh'!$K$6:$K$505,MATCH($C52,'Phản ánh'!$A$6:$A$505,0))&amp;"",IF($I52="Công việc",INDEX('Kế hoạch'!$N$6:$N$305,$O52)&amp;"",""))</f>
      </c>
      <c r="L52" s="220">
        <f>IF(OR($C52="",N($B52)=0),"",IF(AND($I52="Phản ánh",$E52="Đã xử lý"),INDEX('Phản ánh'!$U$6:$U$505,MATCH($C52,'Phản ánh'!$A$6:$A$505,0)),IF(AND($I52="Công việc",OR($E52="Hoàn thành",$E52="Hoàn thành kỳ")),IF(INDEX('Kế hoạch'!$B$6:$B$305,$O52)="Đột xuất",INDEX('Kế hoạch'!$AY$6:$AY$305,$O52),IF(N($P52)=0,"",IF(INT($B52)&lt;$P52,$P52,IF($Q52&gt;0,$P52+ROUND((INT($B52)-$P52)/$Q52,0)*$Q52,IF($R52&gt;0,EDATE($P52,ROUND((DATEDIF($P52,INT($B52),"m")+(INT($B52)-EDATE($P52,DATEDIF($P52,INT($B52),"m")))/(EDATE($P52,DATEDIF($P52,INT($B52),"m")+1)-EDATE($P52,DATEDIF($P52,INT($B52),"m"))))/$R52,0)*$R52),$P52))))),"")))</f>
      </c>
      <c r="M52" s="223">
        <f>IF(OR($C52="",N($L52)=0,N($B52)=0),"",IF(IF(MOD($L52,1)=0,INT($B52),$B52)&lt;=$L52,"Đúng hạn","Trễ hạn"))</f>
      </c>
      <c r="N52" s="225">
        <f>IF($C52="","",ROW())</f>
      </c>
      <c r="O52" s="225">
        <f>IF($I52="Công việc",MATCH($C52,'Kế hoạch'!$A$6:$A$305,0),"")</f>
      </c>
      <c r="P52" s="234">
        <f>IF($O52="","",INDEX('Kế hoạch'!$I$6:$I$305,$O52))</f>
      </c>
      <c r="Q52" s="225">
        <f>IF($O52="","",INDEX('Kế hoạch'!$AJ$6:$AJ$305,$O52))</f>
      </c>
      <c r="R52" s="225">
        <f>IF($O52="","",INDEX('Kế hoạch'!$AK$6:$AK$305,$O52))</f>
      </c>
    </row>
    <row r="53">
      <c r="A53" s="223">
        <f>IF($C53="","",COUNTIF($C$6:$C53,"?*"))</f>
      </c>
      <c r="B53" s="217"/>
      <c r="C53" s="216"/>
      <c r="D53" s="240"/>
      <c r="E53" s="218"/>
      <c r="F53" s="218"/>
      <c r="G53" s="218"/>
      <c r="H53" s="219"/>
      <c r="I53" s="223">
        <f>IF($C53="","",IF(ISNUMBER(MATCH($C53,'Phản ánh'!$A$6:$A$505,0)),"Phản ánh",IF(ISNUMBER(MATCH($C53,'Kế hoạch'!$A$6:$A$305,0)),"Công việc","Mã chưa có")))</f>
      </c>
      <c r="J53" s="221">
        <f>IF($I53="Phản ánh",INDEX('Phản ánh'!$C$6:$C$505,MATCH($C53,'Phản ánh'!$A$6:$A$505,0)),IF($I53="Công việc",INDEX('Kế hoạch'!$C$6:$C$305,$O53),""))</f>
      </c>
      <c r="K53" s="221">
        <f>IF($I53="Phản ánh",INDEX('Phản ánh'!$K$6:$K$505,MATCH($C53,'Phản ánh'!$A$6:$A$505,0))&amp;"",IF($I53="Công việc",INDEX('Kế hoạch'!$N$6:$N$305,$O53)&amp;"",""))</f>
      </c>
      <c r="L53" s="220">
        <f>IF(OR($C53="",N($B53)=0),"",IF(AND($I53="Phản ánh",$E53="Đã xử lý"),INDEX('Phản ánh'!$U$6:$U$505,MATCH($C53,'Phản ánh'!$A$6:$A$505,0)),IF(AND($I53="Công việc",OR($E53="Hoàn thành",$E53="Hoàn thành kỳ")),IF(INDEX('Kế hoạch'!$B$6:$B$305,$O53)="Đột xuất",INDEX('Kế hoạch'!$AY$6:$AY$305,$O53),IF(N($P53)=0,"",IF(INT($B53)&lt;$P53,$P53,IF($Q53&gt;0,$P53+ROUND((INT($B53)-$P53)/$Q53,0)*$Q53,IF($R53&gt;0,EDATE($P53,ROUND((DATEDIF($P53,INT($B53),"m")+(INT($B53)-EDATE($P53,DATEDIF($P53,INT($B53),"m")))/(EDATE($P53,DATEDIF($P53,INT($B53),"m")+1)-EDATE($P53,DATEDIF($P53,INT($B53),"m"))))/$R53,0)*$R53),$P53))))),"")))</f>
      </c>
      <c r="M53" s="223">
        <f>IF(OR($C53="",N($L53)=0,N($B53)=0),"",IF(IF(MOD($L53,1)=0,INT($B53),$B53)&lt;=$L53,"Đúng hạn","Trễ hạn"))</f>
      </c>
      <c r="N53" s="225">
        <f>IF($C53="","",ROW())</f>
      </c>
      <c r="O53" s="225">
        <f>IF($I53="Công việc",MATCH($C53,'Kế hoạch'!$A$6:$A$305,0),"")</f>
      </c>
      <c r="P53" s="234">
        <f>IF($O53="","",INDEX('Kế hoạch'!$I$6:$I$305,$O53))</f>
      </c>
      <c r="Q53" s="225">
        <f>IF($O53="","",INDEX('Kế hoạch'!$AJ$6:$AJ$305,$O53))</f>
      </c>
      <c r="R53" s="225">
        <f>IF($O53="","",INDEX('Kế hoạch'!$AK$6:$AK$305,$O53))</f>
      </c>
    </row>
    <row r="54">
      <c r="A54" s="223">
        <f>IF($C54="","",COUNTIF($C$6:$C54,"?*"))</f>
      </c>
      <c r="B54" s="217"/>
      <c r="C54" s="216"/>
      <c r="D54" s="240"/>
      <c r="E54" s="218"/>
      <c r="F54" s="218"/>
      <c r="G54" s="218"/>
      <c r="H54" s="219"/>
      <c r="I54" s="223">
        <f>IF($C54="","",IF(ISNUMBER(MATCH($C54,'Phản ánh'!$A$6:$A$505,0)),"Phản ánh",IF(ISNUMBER(MATCH($C54,'Kế hoạch'!$A$6:$A$305,0)),"Công việc","Mã chưa có")))</f>
      </c>
      <c r="J54" s="221">
        <f>IF($I54="Phản ánh",INDEX('Phản ánh'!$C$6:$C$505,MATCH($C54,'Phản ánh'!$A$6:$A$505,0)),IF($I54="Công việc",INDEX('Kế hoạch'!$C$6:$C$305,$O54),""))</f>
      </c>
      <c r="K54" s="221">
        <f>IF($I54="Phản ánh",INDEX('Phản ánh'!$K$6:$K$505,MATCH($C54,'Phản ánh'!$A$6:$A$505,0))&amp;"",IF($I54="Công việc",INDEX('Kế hoạch'!$N$6:$N$305,$O54)&amp;"",""))</f>
      </c>
      <c r="L54" s="220">
        <f>IF(OR($C54="",N($B54)=0),"",IF(AND($I54="Phản ánh",$E54="Đã xử lý"),INDEX('Phản ánh'!$U$6:$U$505,MATCH($C54,'Phản ánh'!$A$6:$A$505,0)),IF(AND($I54="Công việc",OR($E54="Hoàn thành",$E54="Hoàn thành kỳ")),IF(INDEX('Kế hoạch'!$B$6:$B$305,$O54)="Đột xuất",INDEX('Kế hoạch'!$AY$6:$AY$305,$O54),IF(N($P54)=0,"",IF(INT($B54)&lt;$P54,$P54,IF($Q54&gt;0,$P54+ROUND((INT($B54)-$P54)/$Q54,0)*$Q54,IF($R54&gt;0,EDATE($P54,ROUND((DATEDIF($P54,INT($B54),"m")+(INT($B54)-EDATE($P54,DATEDIF($P54,INT($B54),"m")))/(EDATE($P54,DATEDIF($P54,INT($B54),"m")+1)-EDATE($P54,DATEDIF($P54,INT($B54),"m"))))/$R54,0)*$R54),$P54))))),"")))</f>
      </c>
      <c r="M54" s="223">
        <f>IF(OR($C54="",N($L54)=0,N($B54)=0),"",IF(IF(MOD($L54,1)=0,INT($B54),$B54)&lt;=$L54,"Đúng hạn","Trễ hạn"))</f>
      </c>
      <c r="N54" s="225">
        <f>IF($C54="","",ROW())</f>
      </c>
      <c r="O54" s="225">
        <f>IF($I54="Công việc",MATCH($C54,'Kế hoạch'!$A$6:$A$305,0),"")</f>
      </c>
      <c r="P54" s="234">
        <f>IF($O54="","",INDEX('Kế hoạch'!$I$6:$I$305,$O54))</f>
      </c>
      <c r="Q54" s="225">
        <f>IF($O54="","",INDEX('Kế hoạch'!$AJ$6:$AJ$305,$O54))</f>
      </c>
      <c r="R54" s="225">
        <f>IF($O54="","",INDEX('Kế hoạch'!$AK$6:$AK$305,$O54))</f>
      </c>
    </row>
    <row r="55">
      <c r="A55" s="223">
        <f>IF($C55="","",COUNTIF($C$6:$C55,"?*"))</f>
      </c>
      <c r="B55" s="217"/>
      <c r="C55" s="216"/>
      <c r="D55" s="240"/>
      <c r="E55" s="218"/>
      <c r="F55" s="218"/>
      <c r="G55" s="218"/>
      <c r="H55" s="219"/>
      <c r="I55" s="223">
        <f>IF($C55="","",IF(ISNUMBER(MATCH($C55,'Phản ánh'!$A$6:$A$505,0)),"Phản ánh",IF(ISNUMBER(MATCH($C55,'Kế hoạch'!$A$6:$A$305,0)),"Công việc","Mã chưa có")))</f>
      </c>
      <c r="J55" s="221">
        <f>IF($I55="Phản ánh",INDEX('Phản ánh'!$C$6:$C$505,MATCH($C55,'Phản ánh'!$A$6:$A$505,0)),IF($I55="Công việc",INDEX('Kế hoạch'!$C$6:$C$305,$O55),""))</f>
      </c>
      <c r="K55" s="221">
        <f>IF($I55="Phản ánh",INDEX('Phản ánh'!$K$6:$K$505,MATCH($C55,'Phản ánh'!$A$6:$A$505,0))&amp;"",IF($I55="Công việc",INDEX('Kế hoạch'!$N$6:$N$305,$O55)&amp;"",""))</f>
      </c>
      <c r="L55" s="220">
        <f>IF(OR($C55="",N($B55)=0),"",IF(AND($I55="Phản ánh",$E55="Đã xử lý"),INDEX('Phản ánh'!$U$6:$U$505,MATCH($C55,'Phản ánh'!$A$6:$A$505,0)),IF(AND($I55="Công việc",OR($E55="Hoàn thành",$E55="Hoàn thành kỳ")),IF(INDEX('Kế hoạch'!$B$6:$B$305,$O55)="Đột xuất",INDEX('Kế hoạch'!$AY$6:$AY$305,$O55),IF(N($P55)=0,"",IF(INT($B55)&lt;$P55,$P55,IF($Q55&gt;0,$P55+ROUND((INT($B55)-$P55)/$Q55,0)*$Q55,IF($R55&gt;0,EDATE($P55,ROUND((DATEDIF($P55,INT($B55),"m")+(INT($B55)-EDATE($P55,DATEDIF($P55,INT($B55),"m")))/(EDATE($P55,DATEDIF($P55,INT($B55),"m")+1)-EDATE($P55,DATEDIF($P55,INT($B55),"m"))))/$R55,0)*$R55),$P55))))),"")))</f>
      </c>
      <c r="M55" s="223">
        <f>IF(OR($C55="",N($L55)=0,N($B55)=0),"",IF(IF(MOD($L55,1)=0,INT($B55),$B55)&lt;=$L55,"Đúng hạn","Trễ hạn"))</f>
      </c>
      <c r="N55" s="225">
        <f>IF($C55="","",ROW())</f>
      </c>
      <c r="O55" s="225">
        <f>IF($I55="Công việc",MATCH($C55,'Kế hoạch'!$A$6:$A$305,0),"")</f>
      </c>
      <c r="P55" s="234">
        <f>IF($O55="","",INDEX('Kế hoạch'!$I$6:$I$305,$O55))</f>
      </c>
      <c r="Q55" s="225">
        <f>IF($O55="","",INDEX('Kế hoạch'!$AJ$6:$AJ$305,$O55))</f>
      </c>
      <c r="R55" s="225">
        <f>IF($O55="","",INDEX('Kế hoạch'!$AK$6:$AK$305,$O55))</f>
      </c>
    </row>
    <row r="56">
      <c r="A56" s="223">
        <f>IF($C56="","",COUNTIF($C$6:$C56,"?*"))</f>
      </c>
      <c r="B56" s="217"/>
      <c r="C56" s="216"/>
      <c r="D56" s="240"/>
      <c r="E56" s="218"/>
      <c r="F56" s="218"/>
      <c r="G56" s="218"/>
      <c r="H56" s="219"/>
      <c r="I56" s="223">
        <f>IF($C56="","",IF(ISNUMBER(MATCH($C56,'Phản ánh'!$A$6:$A$505,0)),"Phản ánh",IF(ISNUMBER(MATCH($C56,'Kế hoạch'!$A$6:$A$305,0)),"Công việc","Mã chưa có")))</f>
      </c>
      <c r="J56" s="221">
        <f>IF($I56="Phản ánh",INDEX('Phản ánh'!$C$6:$C$505,MATCH($C56,'Phản ánh'!$A$6:$A$505,0)),IF($I56="Công việc",INDEX('Kế hoạch'!$C$6:$C$305,$O56),""))</f>
      </c>
      <c r="K56" s="221">
        <f>IF($I56="Phản ánh",INDEX('Phản ánh'!$K$6:$K$505,MATCH($C56,'Phản ánh'!$A$6:$A$505,0))&amp;"",IF($I56="Công việc",INDEX('Kế hoạch'!$N$6:$N$305,$O56)&amp;"",""))</f>
      </c>
      <c r="L56" s="220">
        <f>IF(OR($C56="",N($B56)=0),"",IF(AND($I56="Phản ánh",$E56="Đã xử lý"),INDEX('Phản ánh'!$U$6:$U$505,MATCH($C56,'Phản ánh'!$A$6:$A$505,0)),IF(AND($I56="Công việc",OR($E56="Hoàn thành",$E56="Hoàn thành kỳ")),IF(INDEX('Kế hoạch'!$B$6:$B$305,$O56)="Đột xuất",INDEX('Kế hoạch'!$AY$6:$AY$305,$O56),IF(N($P56)=0,"",IF(INT($B56)&lt;$P56,$P56,IF($Q56&gt;0,$P56+ROUND((INT($B56)-$P56)/$Q56,0)*$Q56,IF($R56&gt;0,EDATE($P56,ROUND((DATEDIF($P56,INT($B56),"m")+(INT($B56)-EDATE($P56,DATEDIF($P56,INT($B56),"m")))/(EDATE($P56,DATEDIF($P56,INT($B56),"m")+1)-EDATE($P56,DATEDIF($P56,INT($B56),"m"))))/$R56,0)*$R56),$P56))))),"")))</f>
      </c>
      <c r="M56" s="223">
        <f>IF(OR($C56="",N($L56)=0,N($B56)=0),"",IF(IF(MOD($L56,1)=0,INT($B56),$B56)&lt;=$L56,"Đúng hạn","Trễ hạn"))</f>
      </c>
      <c r="N56" s="225">
        <f>IF($C56="","",ROW())</f>
      </c>
      <c r="O56" s="225">
        <f>IF($I56="Công việc",MATCH($C56,'Kế hoạch'!$A$6:$A$305,0),"")</f>
      </c>
      <c r="P56" s="234">
        <f>IF($O56="","",INDEX('Kế hoạch'!$I$6:$I$305,$O56))</f>
      </c>
      <c r="Q56" s="225">
        <f>IF($O56="","",INDEX('Kế hoạch'!$AJ$6:$AJ$305,$O56))</f>
      </c>
      <c r="R56" s="225">
        <f>IF($O56="","",INDEX('Kế hoạch'!$AK$6:$AK$305,$O56))</f>
      </c>
    </row>
    <row r="57">
      <c r="A57" s="223">
        <f>IF($C57="","",COUNTIF($C$6:$C57,"?*"))</f>
      </c>
      <c r="B57" s="217"/>
      <c r="C57" s="216"/>
      <c r="D57" s="240"/>
      <c r="E57" s="218"/>
      <c r="F57" s="218"/>
      <c r="G57" s="218"/>
      <c r="H57" s="219"/>
      <c r="I57" s="223">
        <f>IF($C57="","",IF(ISNUMBER(MATCH($C57,'Phản ánh'!$A$6:$A$505,0)),"Phản ánh",IF(ISNUMBER(MATCH($C57,'Kế hoạch'!$A$6:$A$305,0)),"Công việc","Mã chưa có")))</f>
      </c>
      <c r="J57" s="221">
        <f>IF($I57="Phản ánh",INDEX('Phản ánh'!$C$6:$C$505,MATCH($C57,'Phản ánh'!$A$6:$A$505,0)),IF($I57="Công việc",INDEX('Kế hoạch'!$C$6:$C$305,$O57),""))</f>
      </c>
      <c r="K57" s="221">
        <f>IF($I57="Phản ánh",INDEX('Phản ánh'!$K$6:$K$505,MATCH($C57,'Phản ánh'!$A$6:$A$505,0))&amp;"",IF($I57="Công việc",INDEX('Kế hoạch'!$N$6:$N$305,$O57)&amp;"",""))</f>
      </c>
      <c r="L57" s="220">
        <f>IF(OR($C57="",N($B57)=0),"",IF(AND($I57="Phản ánh",$E57="Đã xử lý"),INDEX('Phản ánh'!$U$6:$U$505,MATCH($C57,'Phản ánh'!$A$6:$A$505,0)),IF(AND($I57="Công việc",OR($E57="Hoàn thành",$E57="Hoàn thành kỳ")),IF(INDEX('Kế hoạch'!$B$6:$B$305,$O57)="Đột xuất",INDEX('Kế hoạch'!$AY$6:$AY$305,$O57),IF(N($P57)=0,"",IF(INT($B57)&lt;$P57,$P57,IF($Q57&gt;0,$P57+ROUND((INT($B57)-$P57)/$Q57,0)*$Q57,IF($R57&gt;0,EDATE($P57,ROUND((DATEDIF($P57,INT($B57),"m")+(INT($B57)-EDATE($P57,DATEDIF($P57,INT($B57),"m")))/(EDATE($P57,DATEDIF($P57,INT($B57),"m")+1)-EDATE($P57,DATEDIF($P57,INT($B57),"m"))))/$R57,0)*$R57),$P57))))),"")))</f>
      </c>
      <c r="M57" s="223">
        <f>IF(OR($C57="",N($L57)=0,N($B57)=0),"",IF(IF(MOD($L57,1)=0,INT($B57),$B57)&lt;=$L57,"Đúng hạn","Trễ hạn"))</f>
      </c>
      <c r="N57" s="225">
        <f>IF($C57="","",ROW())</f>
      </c>
      <c r="O57" s="225">
        <f>IF($I57="Công việc",MATCH($C57,'Kế hoạch'!$A$6:$A$305,0),"")</f>
      </c>
      <c r="P57" s="234">
        <f>IF($O57="","",INDEX('Kế hoạch'!$I$6:$I$305,$O57))</f>
      </c>
      <c r="Q57" s="225">
        <f>IF($O57="","",INDEX('Kế hoạch'!$AJ$6:$AJ$305,$O57))</f>
      </c>
      <c r="R57" s="225">
        <f>IF($O57="","",INDEX('Kế hoạch'!$AK$6:$AK$305,$O57))</f>
      </c>
    </row>
    <row r="58">
      <c r="A58" s="223">
        <f>IF($C58="","",COUNTIF($C$6:$C58,"?*"))</f>
      </c>
      <c r="B58" s="217"/>
      <c r="C58" s="216"/>
      <c r="D58" s="240"/>
      <c r="E58" s="218"/>
      <c r="F58" s="218"/>
      <c r="G58" s="218"/>
      <c r="H58" s="219"/>
      <c r="I58" s="223">
        <f>IF($C58="","",IF(ISNUMBER(MATCH($C58,'Phản ánh'!$A$6:$A$505,0)),"Phản ánh",IF(ISNUMBER(MATCH($C58,'Kế hoạch'!$A$6:$A$305,0)),"Công việc","Mã chưa có")))</f>
      </c>
      <c r="J58" s="221">
        <f>IF($I58="Phản ánh",INDEX('Phản ánh'!$C$6:$C$505,MATCH($C58,'Phản ánh'!$A$6:$A$505,0)),IF($I58="Công việc",INDEX('Kế hoạch'!$C$6:$C$305,$O58),""))</f>
      </c>
      <c r="K58" s="221">
        <f>IF($I58="Phản ánh",INDEX('Phản ánh'!$K$6:$K$505,MATCH($C58,'Phản ánh'!$A$6:$A$505,0))&amp;"",IF($I58="Công việc",INDEX('Kế hoạch'!$N$6:$N$305,$O58)&amp;"",""))</f>
      </c>
      <c r="L58" s="220">
        <f>IF(OR($C58="",N($B58)=0),"",IF(AND($I58="Phản ánh",$E58="Đã xử lý"),INDEX('Phản ánh'!$U$6:$U$505,MATCH($C58,'Phản ánh'!$A$6:$A$505,0)),IF(AND($I58="Công việc",OR($E58="Hoàn thành",$E58="Hoàn thành kỳ")),IF(INDEX('Kế hoạch'!$B$6:$B$305,$O58)="Đột xuất",INDEX('Kế hoạch'!$AY$6:$AY$305,$O58),IF(N($P58)=0,"",IF(INT($B58)&lt;$P58,$P58,IF($Q58&gt;0,$P58+ROUND((INT($B58)-$P58)/$Q58,0)*$Q58,IF($R58&gt;0,EDATE($P58,ROUND((DATEDIF($P58,INT($B58),"m")+(INT($B58)-EDATE($P58,DATEDIF($P58,INT($B58),"m")))/(EDATE($P58,DATEDIF($P58,INT($B58),"m")+1)-EDATE($P58,DATEDIF($P58,INT($B58),"m"))))/$R58,0)*$R58),$P58))))),"")))</f>
      </c>
      <c r="M58" s="223">
        <f>IF(OR($C58="",N($L58)=0,N($B58)=0),"",IF(IF(MOD($L58,1)=0,INT($B58),$B58)&lt;=$L58,"Đúng hạn","Trễ hạn"))</f>
      </c>
      <c r="N58" s="225">
        <f>IF($C58="","",ROW())</f>
      </c>
      <c r="O58" s="225">
        <f>IF($I58="Công việc",MATCH($C58,'Kế hoạch'!$A$6:$A$305,0),"")</f>
      </c>
      <c r="P58" s="234">
        <f>IF($O58="","",INDEX('Kế hoạch'!$I$6:$I$305,$O58))</f>
      </c>
      <c r="Q58" s="225">
        <f>IF($O58="","",INDEX('Kế hoạch'!$AJ$6:$AJ$305,$O58))</f>
      </c>
      <c r="R58" s="225">
        <f>IF($O58="","",INDEX('Kế hoạch'!$AK$6:$AK$305,$O58))</f>
      </c>
    </row>
    <row r="59">
      <c r="A59" s="223">
        <f>IF($C59="","",COUNTIF($C$6:$C59,"?*"))</f>
      </c>
      <c r="B59" s="217"/>
      <c r="C59" s="216"/>
      <c r="D59" s="240"/>
      <c r="E59" s="218"/>
      <c r="F59" s="218"/>
      <c r="G59" s="218"/>
      <c r="H59" s="219"/>
      <c r="I59" s="223">
        <f>IF($C59="","",IF(ISNUMBER(MATCH($C59,'Phản ánh'!$A$6:$A$505,0)),"Phản ánh",IF(ISNUMBER(MATCH($C59,'Kế hoạch'!$A$6:$A$305,0)),"Công việc","Mã chưa có")))</f>
      </c>
      <c r="J59" s="221">
        <f>IF($I59="Phản ánh",INDEX('Phản ánh'!$C$6:$C$505,MATCH($C59,'Phản ánh'!$A$6:$A$505,0)),IF($I59="Công việc",INDEX('Kế hoạch'!$C$6:$C$305,$O59),""))</f>
      </c>
      <c r="K59" s="221">
        <f>IF($I59="Phản ánh",INDEX('Phản ánh'!$K$6:$K$505,MATCH($C59,'Phản ánh'!$A$6:$A$505,0))&amp;"",IF($I59="Công việc",INDEX('Kế hoạch'!$N$6:$N$305,$O59)&amp;"",""))</f>
      </c>
      <c r="L59" s="220">
        <f>IF(OR($C59="",N($B59)=0),"",IF(AND($I59="Phản ánh",$E59="Đã xử lý"),INDEX('Phản ánh'!$U$6:$U$505,MATCH($C59,'Phản ánh'!$A$6:$A$505,0)),IF(AND($I59="Công việc",OR($E59="Hoàn thành",$E59="Hoàn thành kỳ")),IF(INDEX('Kế hoạch'!$B$6:$B$305,$O59)="Đột xuất",INDEX('Kế hoạch'!$AY$6:$AY$305,$O59),IF(N($P59)=0,"",IF(INT($B59)&lt;$P59,$P59,IF($Q59&gt;0,$P59+ROUND((INT($B59)-$P59)/$Q59,0)*$Q59,IF($R59&gt;0,EDATE($P59,ROUND((DATEDIF($P59,INT($B59),"m")+(INT($B59)-EDATE($P59,DATEDIF($P59,INT($B59),"m")))/(EDATE($P59,DATEDIF($P59,INT($B59),"m")+1)-EDATE($P59,DATEDIF($P59,INT($B59),"m"))))/$R59,0)*$R59),$P59))))),"")))</f>
      </c>
      <c r="M59" s="223">
        <f>IF(OR($C59="",N($L59)=0,N($B59)=0),"",IF(IF(MOD($L59,1)=0,INT($B59),$B59)&lt;=$L59,"Đúng hạn","Trễ hạn"))</f>
      </c>
      <c r="N59" s="225">
        <f>IF($C59="","",ROW())</f>
      </c>
      <c r="O59" s="225">
        <f>IF($I59="Công việc",MATCH($C59,'Kế hoạch'!$A$6:$A$305,0),"")</f>
      </c>
      <c r="P59" s="234">
        <f>IF($O59="","",INDEX('Kế hoạch'!$I$6:$I$305,$O59))</f>
      </c>
      <c r="Q59" s="225">
        <f>IF($O59="","",INDEX('Kế hoạch'!$AJ$6:$AJ$305,$O59))</f>
      </c>
      <c r="R59" s="225">
        <f>IF($O59="","",INDEX('Kế hoạch'!$AK$6:$AK$305,$O59))</f>
      </c>
    </row>
    <row r="60">
      <c r="A60" s="223">
        <f>IF($C60="","",COUNTIF($C$6:$C60,"?*"))</f>
      </c>
      <c r="B60" s="217"/>
      <c r="C60" s="216"/>
      <c r="D60" s="240"/>
      <c r="E60" s="218"/>
      <c r="F60" s="218"/>
      <c r="G60" s="218"/>
      <c r="H60" s="219"/>
      <c r="I60" s="223">
        <f>IF($C60="","",IF(ISNUMBER(MATCH($C60,'Phản ánh'!$A$6:$A$505,0)),"Phản ánh",IF(ISNUMBER(MATCH($C60,'Kế hoạch'!$A$6:$A$305,0)),"Công việc","Mã chưa có")))</f>
      </c>
      <c r="J60" s="221">
        <f>IF($I60="Phản ánh",INDEX('Phản ánh'!$C$6:$C$505,MATCH($C60,'Phản ánh'!$A$6:$A$505,0)),IF($I60="Công việc",INDEX('Kế hoạch'!$C$6:$C$305,$O60),""))</f>
      </c>
      <c r="K60" s="221">
        <f>IF($I60="Phản ánh",INDEX('Phản ánh'!$K$6:$K$505,MATCH($C60,'Phản ánh'!$A$6:$A$505,0))&amp;"",IF($I60="Công việc",INDEX('Kế hoạch'!$N$6:$N$305,$O60)&amp;"",""))</f>
      </c>
      <c r="L60" s="220">
        <f>IF(OR($C60="",N($B60)=0),"",IF(AND($I60="Phản ánh",$E60="Đã xử lý"),INDEX('Phản ánh'!$U$6:$U$505,MATCH($C60,'Phản ánh'!$A$6:$A$505,0)),IF(AND($I60="Công việc",OR($E60="Hoàn thành",$E60="Hoàn thành kỳ")),IF(INDEX('Kế hoạch'!$B$6:$B$305,$O60)="Đột xuất",INDEX('Kế hoạch'!$AY$6:$AY$305,$O60),IF(N($P60)=0,"",IF(INT($B60)&lt;$P60,$P60,IF($Q60&gt;0,$P60+ROUND((INT($B60)-$P60)/$Q60,0)*$Q60,IF($R60&gt;0,EDATE($P60,ROUND((DATEDIF($P60,INT($B60),"m")+(INT($B60)-EDATE($P60,DATEDIF($P60,INT($B60),"m")))/(EDATE($P60,DATEDIF($P60,INT($B60),"m")+1)-EDATE($P60,DATEDIF($P60,INT($B60),"m"))))/$R60,0)*$R60),$P60))))),"")))</f>
      </c>
      <c r="M60" s="223">
        <f>IF(OR($C60="",N($L60)=0,N($B60)=0),"",IF(IF(MOD($L60,1)=0,INT($B60),$B60)&lt;=$L60,"Đúng hạn","Trễ hạn"))</f>
      </c>
      <c r="N60" s="225">
        <f>IF($C60="","",ROW())</f>
      </c>
      <c r="O60" s="225">
        <f>IF($I60="Công việc",MATCH($C60,'Kế hoạch'!$A$6:$A$305,0),"")</f>
      </c>
      <c r="P60" s="234">
        <f>IF($O60="","",INDEX('Kế hoạch'!$I$6:$I$305,$O60))</f>
      </c>
      <c r="Q60" s="225">
        <f>IF($O60="","",INDEX('Kế hoạch'!$AJ$6:$AJ$305,$O60))</f>
      </c>
      <c r="R60" s="225">
        <f>IF($O60="","",INDEX('Kế hoạch'!$AK$6:$AK$305,$O60))</f>
      </c>
    </row>
    <row r="61">
      <c r="A61" s="223">
        <f>IF($C61="","",COUNTIF($C$6:$C61,"?*"))</f>
      </c>
      <c r="B61" s="217"/>
      <c r="C61" s="216"/>
      <c r="D61" s="240"/>
      <c r="E61" s="218"/>
      <c r="F61" s="218"/>
      <c r="G61" s="218"/>
      <c r="H61" s="219"/>
      <c r="I61" s="223">
        <f>IF($C61="","",IF(ISNUMBER(MATCH($C61,'Phản ánh'!$A$6:$A$505,0)),"Phản ánh",IF(ISNUMBER(MATCH($C61,'Kế hoạch'!$A$6:$A$305,0)),"Công việc","Mã chưa có")))</f>
      </c>
      <c r="J61" s="221">
        <f>IF($I61="Phản ánh",INDEX('Phản ánh'!$C$6:$C$505,MATCH($C61,'Phản ánh'!$A$6:$A$505,0)),IF($I61="Công việc",INDEX('Kế hoạch'!$C$6:$C$305,$O61),""))</f>
      </c>
      <c r="K61" s="221">
        <f>IF($I61="Phản ánh",INDEX('Phản ánh'!$K$6:$K$505,MATCH($C61,'Phản ánh'!$A$6:$A$505,0))&amp;"",IF($I61="Công việc",INDEX('Kế hoạch'!$N$6:$N$305,$O61)&amp;"",""))</f>
      </c>
      <c r="L61" s="220">
        <f>IF(OR($C61="",N($B61)=0),"",IF(AND($I61="Phản ánh",$E61="Đã xử lý"),INDEX('Phản ánh'!$U$6:$U$505,MATCH($C61,'Phản ánh'!$A$6:$A$505,0)),IF(AND($I61="Công việc",OR($E61="Hoàn thành",$E61="Hoàn thành kỳ")),IF(INDEX('Kế hoạch'!$B$6:$B$305,$O61)="Đột xuất",INDEX('Kế hoạch'!$AY$6:$AY$305,$O61),IF(N($P61)=0,"",IF(INT($B61)&lt;$P61,$P61,IF($Q61&gt;0,$P61+ROUND((INT($B61)-$P61)/$Q61,0)*$Q61,IF($R61&gt;0,EDATE($P61,ROUND((DATEDIF($P61,INT($B61),"m")+(INT($B61)-EDATE($P61,DATEDIF($P61,INT($B61),"m")))/(EDATE($P61,DATEDIF($P61,INT($B61),"m")+1)-EDATE($P61,DATEDIF($P61,INT($B61),"m"))))/$R61,0)*$R61),$P61))))),"")))</f>
      </c>
      <c r="M61" s="223">
        <f>IF(OR($C61="",N($L61)=0,N($B61)=0),"",IF(IF(MOD($L61,1)=0,INT($B61),$B61)&lt;=$L61,"Đúng hạn","Trễ hạn"))</f>
      </c>
      <c r="N61" s="225">
        <f>IF($C61="","",ROW())</f>
      </c>
      <c r="O61" s="225">
        <f>IF($I61="Công việc",MATCH($C61,'Kế hoạch'!$A$6:$A$305,0),"")</f>
      </c>
      <c r="P61" s="234">
        <f>IF($O61="","",INDEX('Kế hoạch'!$I$6:$I$305,$O61))</f>
      </c>
      <c r="Q61" s="225">
        <f>IF($O61="","",INDEX('Kế hoạch'!$AJ$6:$AJ$305,$O61))</f>
      </c>
      <c r="R61" s="225">
        <f>IF($O61="","",INDEX('Kế hoạch'!$AK$6:$AK$305,$O61))</f>
      </c>
    </row>
    <row r="62">
      <c r="A62" s="223">
        <f>IF($C62="","",COUNTIF($C$6:$C62,"?*"))</f>
      </c>
      <c r="B62" s="217"/>
      <c r="C62" s="216"/>
      <c r="D62" s="240"/>
      <c r="E62" s="218"/>
      <c r="F62" s="218"/>
      <c r="G62" s="218"/>
      <c r="H62" s="219"/>
      <c r="I62" s="223">
        <f>IF($C62="","",IF(ISNUMBER(MATCH($C62,'Phản ánh'!$A$6:$A$505,0)),"Phản ánh",IF(ISNUMBER(MATCH($C62,'Kế hoạch'!$A$6:$A$305,0)),"Công việc","Mã chưa có")))</f>
      </c>
      <c r="J62" s="221">
        <f>IF($I62="Phản ánh",INDEX('Phản ánh'!$C$6:$C$505,MATCH($C62,'Phản ánh'!$A$6:$A$505,0)),IF($I62="Công việc",INDEX('Kế hoạch'!$C$6:$C$305,$O62),""))</f>
      </c>
      <c r="K62" s="221">
        <f>IF($I62="Phản ánh",INDEX('Phản ánh'!$K$6:$K$505,MATCH($C62,'Phản ánh'!$A$6:$A$505,0))&amp;"",IF($I62="Công việc",INDEX('Kế hoạch'!$N$6:$N$305,$O62)&amp;"",""))</f>
      </c>
      <c r="L62" s="220">
        <f>IF(OR($C62="",N($B62)=0),"",IF(AND($I62="Phản ánh",$E62="Đã xử lý"),INDEX('Phản ánh'!$U$6:$U$505,MATCH($C62,'Phản ánh'!$A$6:$A$505,0)),IF(AND($I62="Công việc",OR($E62="Hoàn thành",$E62="Hoàn thành kỳ")),IF(INDEX('Kế hoạch'!$B$6:$B$305,$O62)="Đột xuất",INDEX('Kế hoạch'!$AY$6:$AY$305,$O62),IF(N($P62)=0,"",IF(INT($B62)&lt;$P62,$P62,IF($Q62&gt;0,$P62+ROUND((INT($B62)-$P62)/$Q62,0)*$Q62,IF($R62&gt;0,EDATE($P62,ROUND((DATEDIF($P62,INT($B62),"m")+(INT($B62)-EDATE($P62,DATEDIF($P62,INT($B62),"m")))/(EDATE($P62,DATEDIF($P62,INT($B62),"m")+1)-EDATE($P62,DATEDIF($P62,INT($B62),"m"))))/$R62,0)*$R62),$P62))))),"")))</f>
      </c>
      <c r="M62" s="223">
        <f>IF(OR($C62="",N($L62)=0,N($B62)=0),"",IF(IF(MOD($L62,1)=0,INT($B62),$B62)&lt;=$L62,"Đúng hạn","Trễ hạn"))</f>
      </c>
      <c r="N62" s="225">
        <f>IF($C62="","",ROW())</f>
      </c>
      <c r="O62" s="225">
        <f>IF($I62="Công việc",MATCH($C62,'Kế hoạch'!$A$6:$A$305,0),"")</f>
      </c>
      <c r="P62" s="234">
        <f>IF($O62="","",INDEX('Kế hoạch'!$I$6:$I$305,$O62))</f>
      </c>
      <c r="Q62" s="225">
        <f>IF($O62="","",INDEX('Kế hoạch'!$AJ$6:$AJ$305,$O62))</f>
      </c>
      <c r="R62" s="225">
        <f>IF($O62="","",INDEX('Kế hoạch'!$AK$6:$AK$305,$O62))</f>
      </c>
    </row>
    <row r="63">
      <c r="A63" s="223">
        <f>IF($C63="","",COUNTIF($C$6:$C63,"?*"))</f>
      </c>
      <c r="B63" s="217"/>
      <c r="C63" s="216"/>
      <c r="D63" s="240"/>
      <c r="E63" s="218"/>
      <c r="F63" s="218"/>
      <c r="G63" s="218"/>
      <c r="H63" s="219"/>
      <c r="I63" s="223">
        <f>IF($C63="","",IF(ISNUMBER(MATCH($C63,'Phản ánh'!$A$6:$A$505,0)),"Phản ánh",IF(ISNUMBER(MATCH($C63,'Kế hoạch'!$A$6:$A$305,0)),"Công việc","Mã chưa có")))</f>
      </c>
      <c r="J63" s="221">
        <f>IF($I63="Phản ánh",INDEX('Phản ánh'!$C$6:$C$505,MATCH($C63,'Phản ánh'!$A$6:$A$505,0)),IF($I63="Công việc",INDEX('Kế hoạch'!$C$6:$C$305,$O63),""))</f>
      </c>
      <c r="K63" s="221">
        <f>IF($I63="Phản ánh",INDEX('Phản ánh'!$K$6:$K$505,MATCH($C63,'Phản ánh'!$A$6:$A$505,0))&amp;"",IF($I63="Công việc",INDEX('Kế hoạch'!$N$6:$N$305,$O63)&amp;"",""))</f>
      </c>
      <c r="L63" s="220">
        <f>IF(OR($C63="",N($B63)=0),"",IF(AND($I63="Phản ánh",$E63="Đã xử lý"),INDEX('Phản ánh'!$U$6:$U$505,MATCH($C63,'Phản ánh'!$A$6:$A$505,0)),IF(AND($I63="Công việc",OR($E63="Hoàn thành",$E63="Hoàn thành kỳ")),IF(INDEX('Kế hoạch'!$B$6:$B$305,$O63)="Đột xuất",INDEX('Kế hoạch'!$AY$6:$AY$305,$O63),IF(N($P63)=0,"",IF(INT($B63)&lt;$P63,$P63,IF($Q63&gt;0,$P63+ROUND((INT($B63)-$P63)/$Q63,0)*$Q63,IF($R63&gt;0,EDATE($P63,ROUND((DATEDIF($P63,INT($B63),"m")+(INT($B63)-EDATE($P63,DATEDIF($P63,INT($B63),"m")))/(EDATE($P63,DATEDIF($P63,INT($B63),"m")+1)-EDATE($P63,DATEDIF($P63,INT($B63),"m"))))/$R63,0)*$R63),$P63))))),"")))</f>
      </c>
      <c r="M63" s="223">
        <f>IF(OR($C63="",N($L63)=0,N($B63)=0),"",IF(IF(MOD($L63,1)=0,INT($B63),$B63)&lt;=$L63,"Đúng hạn","Trễ hạn"))</f>
      </c>
      <c r="N63" s="225">
        <f>IF($C63="","",ROW())</f>
      </c>
      <c r="O63" s="225">
        <f>IF($I63="Công việc",MATCH($C63,'Kế hoạch'!$A$6:$A$305,0),"")</f>
      </c>
      <c r="P63" s="234">
        <f>IF($O63="","",INDEX('Kế hoạch'!$I$6:$I$305,$O63))</f>
      </c>
      <c r="Q63" s="225">
        <f>IF($O63="","",INDEX('Kế hoạch'!$AJ$6:$AJ$305,$O63))</f>
      </c>
      <c r="R63" s="225">
        <f>IF($O63="","",INDEX('Kế hoạch'!$AK$6:$AK$305,$O63))</f>
      </c>
    </row>
    <row r="64">
      <c r="A64" s="223">
        <f>IF($C64="","",COUNTIF($C$6:$C64,"?*"))</f>
      </c>
      <c r="B64" s="217"/>
      <c r="C64" s="216"/>
      <c r="D64" s="240"/>
      <c r="E64" s="218"/>
      <c r="F64" s="218"/>
      <c r="G64" s="218"/>
      <c r="H64" s="219"/>
      <c r="I64" s="223">
        <f>IF($C64="","",IF(ISNUMBER(MATCH($C64,'Phản ánh'!$A$6:$A$505,0)),"Phản ánh",IF(ISNUMBER(MATCH($C64,'Kế hoạch'!$A$6:$A$305,0)),"Công việc","Mã chưa có")))</f>
      </c>
      <c r="J64" s="221">
        <f>IF($I64="Phản ánh",INDEX('Phản ánh'!$C$6:$C$505,MATCH($C64,'Phản ánh'!$A$6:$A$505,0)),IF($I64="Công việc",INDEX('Kế hoạch'!$C$6:$C$305,$O64),""))</f>
      </c>
      <c r="K64" s="221">
        <f>IF($I64="Phản ánh",INDEX('Phản ánh'!$K$6:$K$505,MATCH($C64,'Phản ánh'!$A$6:$A$505,0))&amp;"",IF($I64="Công việc",INDEX('Kế hoạch'!$N$6:$N$305,$O64)&amp;"",""))</f>
      </c>
      <c r="L64" s="220">
        <f>IF(OR($C64="",N($B64)=0),"",IF(AND($I64="Phản ánh",$E64="Đã xử lý"),INDEX('Phản ánh'!$U$6:$U$505,MATCH($C64,'Phản ánh'!$A$6:$A$505,0)),IF(AND($I64="Công việc",OR($E64="Hoàn thành",$E64="Hoàn thành kỳ")),IF(INDEX('Kế hoạch'!$B$6:$B$305,$O64)="Đột xuất",INDEX('Kế hoạch'!$AY$6:$AY$305,$O64),IF(N($P64)=0,"",IF(INT($B64)&lt;$P64,$P64,IF($Q64&gt;0,$P64+ROUND((INT($B64)-$P64)/$Q64,0)*$Q64,IF($R64&gt;0,EDATE($P64,ROUND((DATEDIF($P64,INT($B64),"m")+(INT($B64)-EDATE($P64,DATEDIF($P64,INT($B64),"m")))/(EDATE($P64,DATEDIF($P64,INT($B64),"m")+1)-EDATE($P64,DATEDIF($P64,INT($B64),"m"))))/$R64,0)*$R64),$P64))))),"")))</f>
      </c>
      <c r="M64" s="223">
        <f>IF(OR($C64="",N($L64)=0,N($B64)=0),"",IF(IF(MOD($L64,1)=0,INT($B64),$B64)&lt;=$L64,"Đúng hạn","Trễ hạn"))</f>
      </c>
      <c r="N64" s="225">
        <f>IF($C64="","",ROW())</f>
      </c>
      <c r="O64" s="225">
        <f>IF($I64="Công việc",MATCH($C64,'Kế hoạch'!$A$6:$A$305,0),"")</f>
      </c>
      <c r="P64" s="234">
        <f>IF($O64="","",INDEX('Kế hoạch'!$I$6:$I$305,$O64))</f>
      </c>
      <c r="Q64" s="225">
        <f>IF($O64="","",INDEX('Kế hoạch'!$AJ$6:$AJ$305,$O64))</f>
      </c>
      <c r="R64" s="225">
        <f>IF($O64="","",INDEX('Kế hoạch'!$AK$6:$AK$305,$O64))</f>
      </c>
    </row>
    <row r="65">
      <c r="A65" s="223">
        <f>IF($C65="","",COUNTIF($C$6:$C65,"?*"))</f>
      </c>
      <c r="B65" s="217"/>
      <c r="C65" s="216"/>
      <c r="D65" s="240"/>
      <c r="E65" s="218"/>
      <c r="F65" s="218"/>
      <c r="G65" s="218"/>
      <c r="H65" s="219"/>
      <c r="I65" s="223">
        <f>IF($C65="","",IF(ISNUMBER(MATCH($C65,'Phản ánh'!$A$6:$A$505,0)),"Phản ánh",IF(ISNUMBER(MATCH($C65,'Kế hoạch'!$A$6:$A$305,0)),"Công việc","Mã chưa có")))</f>
      </c>
      <c r="J65" s="221">
        <f>IF($I65="Phản ánh",INDEX('Phản ánh'!$C$6:$C$505,MATCH($C65,'Phản ánh'!$A$6:$A$505,0)),IF($I65="Công việc",INDEX('Kế hoạch'!$C$6:$C$305,$O65),""))</f>
      </c>
      <c r="K65" s="221">
        <f>IF($I65="Phản ánh",INDEX('Phản ánh'!$K$6:$K$505,MATCH($C65,'Phản ánh'!$A$6:$A$505,0))&amp;"",IF($I65="Công việc",INDEX('Kế hoạch'!$N$6:$N$305,$O65)&amp;"",""))</f>
      </c>
      <c r="L65" s="220">
        <f>IF(OR($C65="",N($B65)=0),"",IF(AND($I65="Phản ánh",$E65="Đã xử lý"),INDEX('Phản ánh'!$U$6:$U$505,MATCH($C65,'Phản ánh'!$A$6:$A$505,0)),IF(AND($I65="Công việc",OR($E65="Hoàn thành",$E65="Hoàn thành kỳ")),IF(INDEX('Kế hoạch'!$B$6:$B$305,$O65)="Đột xuất",INDEX('Kế hoạch'!$AY$6:$AY$305,$O65),IF(N($P65)=0,"",IF(INT($B65)&lt;$P65,$P65,IF($Q65&gt;0,$P65+ROUND((INT($B65)-$P65)/$Q65,0)*$Q65,IF($R65&gt;0,EDATE($P65,ROUND((DATEDIF($P65,INT($B65),"m")+(INT($B65)-EDATE($P65,DATEDIF($P65,INT($B65),"m")))/(EDATE($P65,DATEDIF($P65,INT($B65),"m")+1)-EDATE($P65,DATEDIF($P65,INT($B65),"m"))))/$R65,0)*$R65),$P65))))),"")))</f>
      </c>
      <c r="M65" s="223">
        <f>IF(OR($C65="",N($L65)=0,N($B65)=0),"",IF(IF(MOD($L65,1)=0,INT($B65),$B65)&lt;=$L65,"Đúng hạn","Trễ hạn"))</f>
      </c>
      <c r="N65" s="225">
        <f>IF($C65="","",ROW())</f>
      </c>
      <c r="O65" s="225">
        <f>IF($I65="Công việc",MATCH($C65,'Kế hoạch'!$A$6:$A$305,0),"")</f>
      </c>
      <c r="P65" s="234">
        <f>IF($O65="","",INDEX('Kế hoạch'!$I$6:$I$305,$O65))</f>
      </c>
      <c r="Q65" s="225">
        <f>IF($O65="","",INDEX('Kế hoạch'!$AJ$6:$AJ$305,$O65))</f>
      </c>
      <c r="R65" s="225">
        <f>IF($O65="","",INDEX('Kế hoạch'!$AK$6:$AK$305,$O65))</f>
      </c>
    </row>
    <row r="66">
      <c r="A66" s="223">
        <f>IF($C66="","",COUNTIF($C$6:$C66,"?*"))</f>
      </c>
      <c r="B66" s="217"/>
      <c r="C66" s="216"/>
      <c r="D66" s="240"/>
      <c r="E66" s="218"/>
      <c r="F66" s="218"/>
      <c r="G66" s="218"/>
      <c r="H66" s="219"/>
      <c r="I66" s="223">
        <f>IF($C66="","",IF(ISNUMBER(MATCH($C66,'Phản ánh'!$A$6:$A$505,0)),"Phản ánh",IF(ISNUMBER(MATCH($C66,'Kế hoạch'!$A$6:$A$305,0)),"Công việc","Mã chưa có")))</f>
      </c>
      <c r="J66" s="221">
        <f>IF($I66="Phản ánh",INDEX('Phản ánh'!$C$6:$C$505,MATCH($C66,'Phản ánh'!$A$6:$A$505,0)),IF($I66="Công việc",INDEX('Kế hoạch'!$C$6:$C$305,$O66),""))</f>
      </c>
      <c r="K66" s="221">
        <f>IF($I66="Phản ánh",INDEX('Phản ánh'!$K$6:$K$505,MATCH($C66,'Phản ánh'!$A$6:$A$505,0))&amp;"",IF($I66="Công việc",INDEX('Kế hoạch'!$N$6:$N$305,$O66)&amp;"",""))</f>
      </c>
      <c r="L66" s="220">
        <f>IF(OR($C66="",N($B66)=0),"",IF(AND($I66="Phản ánh",$E66="Đã xử lý"),INDEX('Phản ánh'!$U$6:$U$505,MATCH($C66,'Phản ánh'!$A$6:$A$505,0)),IF(AND($I66="Công việc",OR($E66="Hoàn thành",$E66="Hoàn thành kỳ")),IF(INDEX('Kế hoạch'!$B$6:$B$305,$O66)="Đột xuất",INDEX('Kế hoạch'!$AY$6:$AY$305,$O66),IF(N($P66)=0,"",IF(INT($B66)&lt;$P66,$P66,IF($Q66&gt;0,$P66+ROUND((INT($B66)-$P66)/$Q66,0)*$Q66,IF($R66&gt;0,EDATE($P66,ROUND((DATEDIF($P66,INT($B66),"m")+(INT($B66)-EDATE($P66,DATEDIF($P66,INT($B66),"m")))/(EDATE($P66,DATEDIF($P66,INT($B66),"m")+1)-EDATE($P66,DATEDIF($P66,INT($B66),"m"))))/$R66,0)*$R66),$P66))))),"")))</f>
      </c>
      <c r="M66" s="223">
        <f>IF(OR($C66="",N($L66)=0,N($B66)=0),"",IF(IF(MOD($L66,1)=0,INT($B66),$B66)&lt;=$L66,"Đúng hạn","Trễ hạn"))</f>
      </c>
      <c r="N66" s="225">
        <f>IF($C66="","",ROW())</f>
      </c>
      <c r="O66" s="225">
        <f>IF($I66="Công việc",MATCH($C66,'Kế hoạch'!$A$6:$A$305,0),"")</f>
      </c>
      <c r="P66" s="234">
        <f>IF($O66="","",INDEX('Kế hoạch'!$I$6:$I$305,$O66))</f>
      </c>
      <c r="Q66" s="225">
        <f>IF($O66="","",INDEX('Kế hoạch'!$AJ$6:$AJ$305,$O66))</f>
      </c>
      <c r="R66" s="225">
        <f>IF($O66="","",INDEX('Kế hoạch'!$AK$6:$AK$305,$O66))</f>
      </c>
    </row>
    <row r="67">
      <c r="A67" s="223">
        <f>IF($C67="","",COUNTIF($C$6:$C67,"?*"))</f>
      </c>
      <c r="B67" s="217"/>
      <c r="C67" s="216"/>
      <c r="D67" s="240"/>
      <c r="E67" s="218"/>
      <c r="F67" s="218"/>
      <c r="G67" s="218"/>
      <c r="H67" s="219"/>
      <c r="I67" s="223">
        <f>IF($C67="","",IF(ISNUMBER(MATCH($C67,'Phản ánh'!$A$6:$A$505,0)),"Phản ánh",IF(ISNUMBER(MATCH($C67,'Kế hoạch'!$A$6:$A$305,0)),"Công việc","Mã chưa có")))</f>
      </c>
      <c r="J67" s="221">
        <f>IF($I67="Phản ánh",INDEX('Phản ánh'!$C$6:$C$505,MATCH($C67,'Phản ánh'!$A$6:$A$505,0)),IF($I67="Công việc",INDEX('Kế hoạch'!$C$6:$C$305,$O67),""))</f>
      </c>
      <c r="K67" s="221">
        <f>IF($I67="Phản ánh",INDEX('Phản ánh'!$K$6:$K$505,MATCH($C67,'Phản ánh'!$A$6:$A$505,0))&amp;"",IF($I67="Công việc",INDEX('Kế hoạch'!$N$6:$N$305,$O67)&amp;"",""))</f>
      </c>
      <c r="L67" s="220">
        <f>IF(OR($C67="",N($B67)=0),"",IF(AND($I67="Phản ánh",$E67="Đã xử lý"),INDEX('Phản ánh'!$U$6:$U$505,MATCH($C67,'Phản ánh'!$A$6:$A$505,0)),IF(AND($I67="Công việc",OR($E67="Hoàn thành",$E67="Hoàn thành kỳ")),IF(INDEX('Kế hoạch'!$B$6:$B$305,$O67)="Đột xuất",INDEX('Kế hoạch'!$AY$6:$AY$305,$O67),IF(N($P67)=0,"",IF(INT($B67)&lt;$P67,$P67,IF($Q67&gt;0,$P67+ROUND((INT($B67)-$P67)/$Q67,0)*$Q67,IF($R67&gt;0,EDATE($P67,ROUND((DATEDIF($P67,INT($B67),"m")+(INT($B67)-EDATE($P67,DATEDIF($P67,INT($B67),"m")))/(EDATE($P67,DATEDIF($P67,INT($B67),"m")+1)-EDATE($P67,DATEDIF($P67,INT($B67),"m"))))/$R67,0)*$R67),$P67))))),"")))</f>
      </c>
      <c r="M67" s="223">
        <f>IF(OR($C67="",N($L67)=0,N($B67)=0),"",IF(IF(MOD($L67,1)=0,INT($B67),$B67)&lt;=$L67,"Đúng hạn","Trễ hạn"))</f>
      </c>
      <c r="N67" s="225">
        <f>IF($C67="","",ROW())</f>
      </c>
      <c r="O67" s="225">
        <f>IF($I67="Công việc",MATCH($C67,'Kế hoạch'!$A$6:$A$305,0),"")</f>
      </c>
      <c r="P67" s="234">
        <f>IF($O67="","",INDEX('Kế hoạch'!$I$6:$I$305,$O67))</f>
      </c>
      <c r="Q67" s="225">
        <f>IF($O67="","",INDEX('Kế hoạch'!$AJ$6:$AJ$305,$O67))</f>
      </c>
      <c r="R67" s="225">
        <f>IF($O67="","",INDEX('Kế hoạch'!$AK$6:$AK$305,$O67))</f>
      </c>
    </row>
    <row r="68">
      <c r="A68" s="223">
        <f>IF($C68="","",COUNTIF($C$6:$C68,"?*"))</f>
      </c>
      <c r="B68" s="217"/>
      <c r="C68" s="216"/>
      <c r="D68" s="240"/>
      <c r="E68" s="218"/>
      <c r="F68" s="218"/>
      <c r="G68" s="218"/>
      <c r="H68" s="219"/>
      <c r="I68" s="223">
        <f>IF($C68="","",IF(ISNUMBER(MATCH($C68,'Phản ánh'!$A$6:$A$505,0)),"Phản ánh",IF(ISNUMBER(MATCH($C68,'Kế hoạch'!$A$6:$A$305,0)),"Công việc","Mã chưa có")))</f>
      </c>
      <c r="J68" s="221">
        <f>IF($I68="Phản ánh",INDEX('Phản ánh'!$C$6:$C$505,MATCH($C68,'Phản ánh'!$A$6:$A$505,0)),IF($I68="Công việc",INDEX('Kế hoạch'!$C$6:$C$305,$O68),""))</f>
      </c>
      <c r="K68" s="221">
        <f>IF($I68="Phản ánh",INDEX('Phản ánh'!$K$6:$K$505,MATCH($C68,'Phản ánh'!$A$6:$A$505,0))&amp;"",IF($I68="Công việc",INDEX('Kế hoạch'!$N$6:$N$305,$O68)&amp;"",""))</f>
      </c>
      <c r="L68" s="220">
        <f>IF(OR($C68="",N($B68)=0),"",IF(AND($I68="Phản ánh",$E68="Đã xử lý"),INDEX('Phản ánh'!$U$6:$U$505,MATCH($C68,'Phản ánh'!$A$6:$A$505,0)),IF(AND($I68="Công việc",OR($E68="Hoàn thành",$E68="Hoàn thành kỳ")),IF(INDEX('Kế hoạch'!$B$6:$B$305,$O68)="Đột xuất",INDEX('Kế hoạch'!$AY$6:$AY$305,$O68),IF(N($P68)=0,"",IF(INT($B68)&lt;$P68,$P68,IF($Q68&gt;0,$P68+ROUND((INT($B68)-$P68)/$Q68,0)*$Q68,IF($R68&gt;0,EDATE($P68,ROUND((DATEDIF($P68,INT($B68),"m")+(INT($B68)-EDATE($P68,DATEDIF($P68,INT($B68),"m")))/(EDATE($P68,DATEDIF($P68,INT($B68),"m")+1)-EDATE($P68,DATEDIF($P68,INT($B68),"m"))))/$R68,0)*$R68),$P68))))),"")))</f>
      </c>
      <c r="M68" s="223">
        <f>IF(OR($C68="",N($L68)=0,N($B68)=0),"",IF(IF(MOD($L68,1)=0,INT($B68),$B68)&lt;=$L68,"Đúng hạn","Trễ hạn"))</f>
      </c>
      <c r="N68" s="225">
        <f>IF($C68="","",ROW())</f>
      </c>
      <c r="O68" s="225">
        <f>IF($I68="Công việc",MATCH($C68,'Kế hoạch'!$A$6:$A$305,0),"")</f>
      </c>
      <c r="P68" s="234">
        <f>IF($O68="","",INDEX('Kế hoạch'!$I$6:$I$305,$O68))</f>
      </c>
      <c r="Q68" s="225">
        <f>IF($O68="","",INDEX('Kế hoạch'!$AJ$6:$AJ$305,$O68))</f>
      </c>
      <c r="R68" s="225">
        <f>IF($O68="","",INDEX('Kế hoạch'!$AK$6:$AK$305,$O68))</f>
      </c>
    </row>
    <row r="69">
      <c r="A69" s="223">
        <f>IF($C69="","",COUNTIF($C$6:$C69,"?*"))</f>
      </c>
      <c r="B69" s="217"/>
      <c r="C69" s="216"/>
      <c r="D69" s="240"/>
      <c r="E69" s="218"/>
      <c r="F69" s="218"/>
      <c r="G69" s="218"/>
      <c r="H69" s="219"/>
      <c r="I69" s="223">
        <f>IF($C69="","",IF(ISNUMBER(MATCH($C69,'Phản ánh'!$A$6:$A$505,0)),"Phản ánh",IF(ISNUMBER(MATCH($C69,'Kế hoạch'!$A$6:$A$305,0)),"Công việc","Mã chưa có")))</f>
      </c>
      <c r="J69" s="221">
        <f>IF($I69="Phản ánh",INDEX('Phản ánh'!$C$6:$C$505,MATCH($C69,'Phản ánh'!$A$6:$A$505,0)),IF($I69="Công việc",INDEX('Kế hoạch'!$C$6:$C$305,$O69),""))</f>
      </c>
      <c r="K69" s="221">
        <f>IF($I69="Phản ánh",INDEX('Phản ánh'!$K$6:$K$505,MATCH($C69,'Phản ánh'!$A$6:$A$505,0))&amp;"",IF($I69="Công việc",INDEX('Kế hoạch'!$N$6:$N$305,$O69)&amp;"",""))</f>
      </c>
      <c r="L69" s="220">
        <f>IF(OR($C69="",N($B69)=0),"",IF(AND($I69="Phản ánh",$E69="Đã xử lý"),INDEX('Phản ánh'!$U$6:$U$505,MATCH($C69,'Phản ánh'!$A$6:$A$505,0)),IF(AND($I69="Công việc",OR($E69="Hoàn thành",$E69="Hoàn thành kỳ")),IF(INDEX('Kế hoạch'!$B$6:$B$305,$O69)="Đột xuất",INDEX('Kế hoạch'!$AY$6:$AY$305,$O69),IF(N($P69)=0,"",IF(INT($B69)&lt;$P69,$P69,IF($Q69&gt;0,$P69+ROUND((INT($B69)-$P69)/$Q69,0)*$Q69,IF($R69&gt;0,EDATE($P69,ROUND((DATEDIF($P69,INT($B69),"m")+(INT($B69)-EDATE($P69,DATEDIF($P69,INT($B69),"m")))/(EDATE($P69,DATEDIF($P69,INT($B69),"m")+1)-EDATE($P69,DATEDIF($P69,INT($B69),"m"))))/$R69,0)*$R69),$P69))))),"")))</f>
      </c>
      <c r="M69" s="223">
        <f>IF(OR($C69="",N($L69)=0,N($B69)=0),"",IF(IF(MOD($L69,1)=0,INT($B69),$B69)&lt;=$L69,"Đúng hạn","Trễ hạn"))</f>
      </c>
      <c r="N69" s="225">
        <f>IF($C69="","",ROW())</f>
      </c>
      <c r="O69" s="225">
        <f>IF($I69="Công việc",MATCH($C69,'Kế hoạch'!$A$6:$A$305,0),"")</f>
      </c>
      <c r="P69" s="234">
        <f>IF($O69="","",INDEX('Kế hoạch'!$I$6:$I$305,$O69))</f>
      </c>
      <c r="Q69" s="225">
        <f>IF($O69="","",INDEX('Kế hoạch'!$AJ$6:$AJ$305,$O69))</f>
      </c>
      <c r="R69" s="225">
        <f>IF($O69="","",INDEX('Kế hoạch'!$AK$6:$AK$305,$O69))</f>
      </c>
    </row>
    <row r="70">
      <c r="A70" s="223">
        <f>IF($C70="","",COUNTIF($C$6:$C70,"?*"))</f>
      </c>
      <c r="B70" s="217"/>
      <c r="C70" s="216"/>
      <c r="D70" s="240"/>
      <c r="E70" s="218"/>
      <c r="F70" s="218"/>
      <c r="G70" s="218"/>
      <c r="H70" s="219"/>
      <c r="I70" s="223">
        <f>IF($C70="","",IF(ISNUMBER(MATCH($C70,'Phản ánh'!$A$6:$A$505,0)),"Phản ánh",IF(ISNUMBER(MATCH($C70,'Kế hoạch'!$A$6:$A$305,0)),"Công việc","Mã chưa có")))</f>
      </c>
      <c r="J70" s="221">
        <f>IF($I70="Phản ánh",INDEX('Phản ánh'!$C$6:$C$505,MATCH($C70,'Phản ánh'!$A$6:$A$505,0)),IF($I70="Công việc",INDEX('Kế hoạch'!$C$6:$C$305,$O70),""))</f>
      </c>
      <c r="K70" s="221">
        <f>IF($I70="Phản ánh",INDEX('Phản ánh'!$K$6:$K$505,MATCH($C70,'Phản ánh'!$A$6:$A$505,0))&amp;"",IF($I70="Công việc",INDEX('Kế hoạch'!$N$6:$N$305,$O70)&amp;"",""))</f>
      </c>
      <c r="L70" s="220">
        <f>IF(OR($C70="",N($B70)=0),"",IF(AND($I70="Phản ánh",$E70="Đã xử lý"),INDEX('Phản ánh'!$U$6:$U$505,MATCH($C70,'Phản ánh'!$A$6:$A$505,0)),IF(AND($I70="Công việc",OR($E70="Hoàn thành",$E70="Hoàn thành kỳ")),IF(INDEX('Kế hoạch'!$B$6:$B$305,$O70)="Đột xuất",INDEX('Kế hoạch'!$AY$6:$AY$305,$O70),IF(N($P70)=0,"",IF(INT($B70)&lt;$P70,$P70,IF($Q70&gt;0,$P70+ROUND((INT($B70)-$P70)/$Q70,0)*$Q70,IF($R70&gt;0,EDATE($P70,ROUND((DATEDIF($P70,INT($B70),"m")+(INT($B70)-EDATE($P70,DATEDIF($P70,INT($B70),"m")))/(EDATE($P70,DATEDIF($P70,INT($B70),"m")+1)-EDATE($P70,DATEDIF($P70,INT($B70),"m"))))/$R70,0)*$R70),$P70))))),"")))</f>
      </c>
      <c r="M70" s="223">
        <f>IF(OR($C70="",N($L70)=0,N($B70)=0),"",IF(IF(MOD($L70,1)=0,INT($B70),$B70)&lt;=$L70,"Đúng hạn","Trễ hạn"))</f>
      </c>
      <c r="N70" s="225">
        <f>IF($C70="","",ROW())</f>
      </c>
      <c r="O70" s="225">
        <f>IF($I70="Công việc",MATCH($C70,'Kế hoạch'!$A$6:$A$305,0),"")</f>
      </c>
      <c r="P70" s="234">
        <f>IF($O70="","",INDEX('Kế hoạch'!$I$6:$I$305,$O70))</f>
      </c>
      <c r="Q70" s="225">
        <f>IF($O70="","",INDEX('Kế hoạch'!$AJ$6:$AJ$305,$O70))</f>
      </c>
      <c r="R70" s="225">
        <f>IF($O70="","",INDEX('Kế hoạch'!$AK$6:$AK$305,$O70))</f>
      </c>
    </row>
    <row r="71">
      <c r="A71" s="223">
        <f>IF($C71="","",COUNTIF($C$6:$C71,"?*"))</f>
      </c>
      <c r="B71" s="217"/>
      <c r="C71" s="216"/>
      <c r="D71" s="240"/>
      <c r="E71" s="218"/>
      <c r="F71" s="218"/>
      <c r="G71" s="218"/>
      <c r="H71" s="219"/>
      <c r="I71" s="223">
        <f>IF($C71="","",IF(ISNUMBER(MATCH($C71,'Phản ánh'!$A$6:$A$505,0)),"Phản ánh",IF(ISNUMBER(MATCH($C71,'Kế hoạch'!$A$6:$A$305,0)),"Công việc","Mã chưa có")))</f>
      </c>
      <c r="J71" s="221">
        <f>IF($I71="Phản ánh",INDEX('Phản ánh'!$C$6:$C$505,MATCH($C71,'Phản ánh'!$A$6:$A$505,0)),IF($I71="Công việc",INDEX('Kế hoạch'!$C$6:$C$305,$O71),""))</f>
      </c>
      <c r="K71" s="221">
        <f>IF($I71="Phản ánh",INDEX('Phản ánh'!$K$6:$K$505,MATCH($C71,'Phản ánh'!$A$6:$A$505,0))&amp;"",IF($I71="Công việc",INDEX('Kế hoạch'!$N$6:$N$305,$O71)&amp;"",""))</f>
      </c>
      <c r="L71" s="220">
        <f>IF(OR($C71="",N($B71)=0),"",IF(AND($I71="Phản ánh",$E71="Đã xử lý"),INDEX('Phản ánh'!$U$6:$U$505,MATCH($C71,'Phản ánh'!$A$6:$A$505,0)),IF(AND($I71="Công việc",OR($E71="Hoàn thành",$E71="Hoàn thành kỳ")),IF(INDEX('Kế hoạch'!$B$6:$B$305,$O71)="Đột xuất",INDEX('Kế hoạch'!$AY$6:$AY$305,$O71),IF(N($P71)=0,"",IF(INT($B71)&lt;$P71,$P71,IF($Q71&gt;0,$P71+ROUND((INT($B71)-$P71)/$Q71,0)*$Q71,IF($R71&gt;0,EDATE($P71,ROUND((DATEDIF($P71,INT($B71),"m")+(INT($B71)-EDATE($P71,DATEDIF($P71,INT($B71),"m")))/(EDATE($P71,DATEDIF($P71,INT($B71),"m")+1)-EDATE($P71,DATEDIF($P71,INT($B71),"m"))))/$R71,0)*$R71),$P71))))),"")))</f>
      </c>
      <c r="M71" s="223">
        <f>IF(OR($C71="",N($L71)=0,N($B71)=0),"",IF(IF(MOD($L71,1)=0,INT($B71),$B71)&lt;=$L71,"Đúng hạn","Trễ hạn"))</f>
      </c>
      <c r="N71" s="225">
        <f>IF($C71="","",ROW())</f>
      </c>
      <c r="O71" s="225">
        <f>IF($I71="Công việc",MATCH($C71,'Kế hoạch'!$A$6:$A$305,0),"")</f>
      </c>
      <c r="P71" s="234">
        <f>IF($O71="","",INDEX('Kế hoạch'!$I$6:$I$305,$O71))</f>
      </c>
      <c r="Q71" s="225">
        <f>IF($O71="","",INDEX('Kế hoạch'!$AJ$6:$AJ$305,$O71))</f>
      </c>
      <c r="R71" s="225">
        <f>IF($O71="","",INDEX('Kế hoạch'!$AK$6:$AK$305,$O71))</f>
      </c>
    </row>
    <row r="72">
      <c r="A72" s="223">
        <f>IF($C72="","",COUNTIF($C$6:$C72,"?*"))</f>
      </c>
      <c r="B72" s="217"/>
      <c r="C72" s="216"/>
      <c r="D72" s="240"/>
      <c r="E72" s="218"/>
      <c r="F72" s="218"/>
      <c r="G72" s="218"/>
      <c r="H72" s="219"/>
      <c r="I72" s="223">
        <f>IF($C72="","",IF(ISNUMBER(MATCH($C72,'Phản ánh'!$A$6:$A$505,0)),"Phản ánh",IF(ISNUMBER(MATCH($C72,'Kế hoạch'!$A$6:$A$305,0)),"Công việc","Mã chưa có")))</f>
      </c>
      <c r="J72" s="221">
        <f>IF($I72="Phản ánh",INDEX('Phản ánh'!$C$6:$C$505,MATCH($C72,'Phản ánh'!$A$6:$A$505,0)),IF($I72="Công việc",INDEX('Kế hoạch'!$C$6:$C$305,$O72),""))</f>
      </c>
      <c r="K72" s="221">
        <f>IF($I72="Phản ánh",INDEX('Phản ánh'!$K$6:$K$505,MATCH($C72,'Phản ánh'!$A$6:$A$505,0))&amp;"",IF($I72="Công việc",INDEX('Kế hoạch'!$N$6:$N$305,$O72)&amp;"",""))</f>
      </c>
      <c r="L72" s="220">
        <f>IF(OR($C72="",N($B72)=0),"",IF(AND($I72="Phản ánh",$E72="Đã xử lý"),INDEX('Phản ánh'!$U$6:$U$505,MATCH($C72,'Phản ánh'!$A$6:$A$505,0)),IF(AND($I72="Công việc",OR($E72="Hoàn thành",$E72="Hoàn thành kỳ")),IF(INDEX('Kế hoạch'!$B$6:$B$305,$O72)="Đột xuất",INDEX('Kế hoạch'!$AY$6:$AY$305,$O72),IF(N($P72)=0,"",IF(INT($B72)&lt;$P72,$P72,IF($Q72&gt;0,$P72+ROUND((INT($B72)-$P72)/$Q72,0)*$Q72,IF($R72&gt;0,EDATE($P72,ROUND((DATEDIF($P72,INT($B72),"m")+(INT($B72)-EDATE($P72,DATEDIF($P72,INT($B72),"m")))/(EDATE($P72,DATEDIF($P72,INT($B72),"m")+1)-EDATE($P72,DATEDIF($P72,INT($B72),"m"))))/$R72,0)*$R72),$P72))))),"")))</f>
      </c>
      <c r="M72" s="223">
        <f>IF(OR($C72="",N($L72)=0,N($B72)=0),"",IF(IF(MOD($L72,1)=0,INT($B72),$B72)&lt;=$L72,"Đúng hạn","Trễ hạn"))</f>
      </c>
      <c r="N72" s="225">
        <f>IF($C72="","",ROW())</f>
      </c>
      <c r="O72" s="225">
        <f>IF($I72="Công việc",MATCH($C72,'Kế hoạch'!$A$6:$A$305,0),"")</f>
      </c>
      <c r="P72" s="234">
        <f>IF($O72="","",INDEX('Kế hoạch'!$I$6:$I$305,$O72))</f>
      </c>
      <c r="Q72" s="225">
        <f>IF($O72="","",INDEX('Kế hoạch'!$AJ$6:$AJ$305,$O72))</f>
      </c>
      <c r="R72" s="225">
        <f>IF($O72="","",INDEX('Kế hoạch'!$AK$6:$AK$305,$O72))</f>
      </c>
    </row>
    <row r="73">
      <c r="A73" s="223">
        <f>IF($C73="","",COUNTIF($C$6:$C73,"?*"))</f>
      </c>
      <c r="B73" s="217"/>
      <c r="C73" s="216"/>
      <c r="D73" s="240"/>
      <c r="E73" s="218"/>
      <c r="F73" s="218"/>
      <c r="G73" s="218"/>
      <c r="H73" s="219"/>
      <c r="I73" s="223">
        <f>IF($C73="","",IF(ISNUMBER(MATCH($C73,'Phản ánh'!$A$6:$A$505,0)),"Phản ánh",IF(ISNUMBER(MATCH($C73,'Kế hoạch'!$A$6:$A$305,0)),"Công việc","Mã chưa có")))</f>
      </c>
      <c r="J73" s="221">
        <f>IF($I73="Phản ánh",INDEX('Phản ánh'!$C$6:$C$505,MATCH($C73,'Phản ánh'!$A$6:$A$505,0)),IF($I73="Công việc",INDEX('Kế hoạch'!$C$6:$C$305,$O73),""))</f>
      </c>
      <c r="K73" s="221">
        <f>IF($I73="Phản ánh",INDEX('Phản ánh'!$K$6:$K$505,MATCH($C73,'Phản ánh'!$A$6:$A$505,0))&amp;"",IF($I73="Công việc",INDEX('Kế hoạch'!$N$6:$N$305,$O73)&amp;"",""))</f>
      </c>
      <c r="L73" s="220">
        <f>IF(OR($C73="",N($B73)=0),"",IF(AND($I73="Phản ánh",$E73="Đã xử lý"),INDEX('Phản ánh'!$U$6:$U$505,MATCH($C73,'Phản ánh'!$A$6:$A$505,0)),IF(AND($I73="Công việc",OR($E73="Hoàn thành",$E73="Hoàn thành kỳ")),IF(INDEX('Kế hoạch'!$B$6:$B$305,$O73)="Đột xuất",INDEX('Kế hoạch'!$AY$6:$AY$305,$O73),IF(N($P73)=0,"",IF(INT($B73)&lt;$P73,$P73,IF($Q73&gt;0,$P73+ROUND((INT($B73)-$P73)/$Q73,0)*$Q73,IF($R73&gt;0,EDATE($P73,ROUND((DATEDIF($P73,INT($B73),"m")+(INT($B73)-EDATE($P73,DATEDIF($P73,INT($B73),"m")))/(EDATE($P73,DATEDIF($P73,INT($B73),"m")+1)-EDATE($P73,DATEDIF($P73,INT($B73),"m"))))/$R73,0)*$R73),$P73))))),"")))</f>
      </c>
      <c r="M73" s="223">
        <f>IF(OR($C73="",N($L73)=0,N($B73)=0),"",IF(IF(MOD($L73,1)=0,INT($B73),$B73)&lt;=$L73,"Đúng hạn","Trễ hạn"))</f>
      </c>
      <c r="N73" s="225">
        <f>IF($C73="","",ROW())</f>
      </c>
      <c r="O73" s="225">
        <f>IF($I73="Công việc",MATCH($C73,'Kế hoạch'!$A$6:$A$305,0),"")</f>
      </c>
      <c r="P73" s="234">
        <f>IF($O73="","",INDEX('Kế hoạch'!$I$6:$I$305,$O73))</f>
      </c>
      <c r="Q73" s="225">
        <f>IF($O73="","",INDEX('Kế hoạch'!$AJ$6:$AJ$305,$O73))</f>
      </c>
      <c r="R73" s="225">
        <f>IF($O73="","",INDEX('Kế hoạch'!$AK$6:$AK$305,$O73))</f>
      </c>
    </row>
    <row r="74">
      <c r="A74" s="223">
        <f>IF($C74="","",COUNTIF($C$6:$C74,"?*"))</f>
      </c>
      <c r="B74" s="217"/>
      <c r="C74" s="216"/>
      <c r="D74" s="240"/>
      <c r="E74" s="218"/>
      <c r="F74" s="218"/>
      <c r="G74" s="218"/>
      <c r="H74" s="219"/>
      <c r="I74" s="223">
        <f>IF($C74="","",IF(ISNUMBER(MATCH($C74,'Phản ánh'!$A$6:$A$505,0)),"Phản ánh",IF(ISNUMBER(MATCH($C74,'Kế hoạch'!$A$6:$A$305,0)),"Công việc","Mã chưa có")))</f>
      </c>
      <c r="J74" s="221">
        <f>IF($I74="Phản ánh",INDEX('Phản ánh'!$C$6:$C$505,MATCH($C74,'Phản ánh'!$A$6:$A$505,0)),IF($I74="Công việc",INDEX('Kế hoạch'!$C$6:$C$305,$O74),""))</f>
      </c>
      <c r="K74" s="221">
        <f>IF($I74="Phản ánh",INDEX('Phản ánh'!$K$6:$K$505,MATCH($C74,'Phản ánh'!$A$6:$A$505,0))&amp;"",IF($I74="Công việc",INDEX('Kế hoạch'!$N$6:$N$305,$O74)&amp;"",""))</f>
      </c>
      <c r="L74" s="220">
        <f>IF(OR($C74="",N($B74)=0),"",IF(AND($I74="Phản ánh",$E74="Đã xử lý"),INDEX('Phản ánh'!$U$6:$U$505,MATCH($C74,'Phản ánh'!$A$6:$A$505,0)),IF(AND($I74="Công việc",OR($E74="Hoàn thành",$E74="Hoàn thành kỳ")),IF(INDEX('Kế hoạch'!$B$6:$B$305,$O74)="Đột xuất",INDEX('Kế hoạch'!$AY$6:$AY$305,$O74),IF(N($P74)=0,"",IF(INT($B74)&lt;$P74,$P74,IF($Q74&gt;0,$P74+ROUND((INT($B74)-$P74)/$Q74,0)*$Q74,IF($R74&gt;0,EDATE($P74,ROUND((DATEDIF($P74,INT($B74),"m")+(INT($B74)-EDATE($P74,DATEDIF($P74,INT($B74),"m")))/(EDATE($P74,DATEDIF($P74,INT($B74),"m")+1)-EDATE($P74,DATEDIF($P74,INT($B74),"m"))))/$R74,0)*$R74),$P74))))),"")))</f>
      </c>
      <c r="M74" s="223">
        <f>IF(OR($C74="",N($L74)=0,N($B74)=0),"",IF(IF(MOD($L74,1)=0,INT($B74),$B74)&lt;=$L74,"Đúng hạn","Trễ hạn"))</f>
      </c>
      <c r="N74" s="225">
        <f>IF($C74="","",ROW())</f>
      </c>
      <c r="O74" s="225">
        <f>IF($I74="Công việc",MATCH($C74,'Kế hoạch'!$A$6:$A$305,0),"")</f>
      </c>
      <c r="P74" s="234">
        <f>IF($O74="","",INDEX('Kế hoạch'!$I$6:$I$305,$O74))</f>
      </c>
      <c r="Q74" s="225">
        <f>IF($O74="","",INDEX('Kế hoạch'!$AJ$6:$AJ$305,$O74))</f>
      </c>
      <c r="R74" s="225">
        <f>IF($O74="","",INDEX('Kế hoạch'!$AK$6:$AK$305,$O74))</f>
      </c>
    </row>
    <row r="75">
      <c r="A75" s="223">
        <f>IF($C75="","",COUNTIF($C$6:$C75,"?*"))</f>
      </c>
      <c r="B75" s="217"/>
      <c r="C75" s="216"/>
      <c r="D75" s="240"/>
      <c r="E75" s="218"/>
      <c r="F75" s="218"/>
      <c r="G75" s="218"/>
      <c r="H75" s="219"/>
      <c r="I75" s="223">
        <f>IF($C75="","",IF(ISNUMBER(MATCH($C75,'Phản ánh'!$A$6:$A$505,0)),"Phản ánh",IF(ISNUMBER(MATCH($C75,'Kế hoạch'!$A$6:$A$305,0)),"Công việc","Mã chưa có")))</f>
      </c>
      <c r="J75" s="221">
        <f>IF($I75="Phản ánh",INDEX('Phản ánh'!$C$6:$C$505,MATCH($C75,'Phản ánh'!$A$6:$A$505,0)),IF($I75="Công việc",INDEX('Kế hoạch'!$C$6:$C$305,$O75),""))</f>
      </c>
      <c r="K75" s="221">
        <f>IF($I75="Phản ánh",INDEX('Phản ánh'!$K$6:$K$505,MATCH($C75,'Phản ánh'!$A$6:$A$505,0))&amp;"",IF($I75="Công việc",INDEX('Kế hoạch'!$N$6:$N$305,$O75)&amp;"",""))</f>
      </c>
      <c r="L75" s="220">
        <f>IF(OR($C75="",N($B75)=0),"",IF(AND($I75="Phản ánh",$E75="Đã xử lý"),INDEX('Phản ánh'!$U$6:$U$505,MATCH($C75,'Phản ánh'!$A$6:$A$505,0)),IF(AND($I75="Công việc",OR($E75="Hoàn thành",$E75="Hoàn thành kỳ")),IF(INDEX('Kế hoạch'!$B$6:$B$305,$O75)="Đột xuất",INDEX('Kế hoạch'!$AY$6:$AY$305,$O75),IF(N($P75)=0,"",IF(INT($B75)&lt;$P75,$P75,IF($Q75&gt;0,$P75+ROUND((INT($B75)-$P75)/$Q75,0)*$Q75,IF($R75&gt;0,EDATE($P75,ROUND((DATEDIF($P75,INT($B75),"m")+(INT($B75)-EDATE($P75,DATEDIF($P75,INT($B75),"m")))/(EDATE($P75,DATEDIF($P75,INT($B75),"m")+1)-EDATE($P75,DATEDIF($P75,INT($B75),"m"))))/$R75,0)*$R75),$P75))))),"")))</f>
      </c>
      <c r="M75" s="223">
        <f>IF(OR($C75="",N($L75)=0,N($B75)=0),"",IF(IF(MOD($L75,1)=0,INT($B75),$B75)&lt;=$L75,"Đúng hạn","Trễ hạn"))</f>
      </c>
      <c r="N75" s="225">
        <f>IF($C75="","",ROW())</f>
      </c>
      <c r="O75" s="225">
        <f>IF($I75="Công việc",MATCH($C75,'Kế hoạch'!$A$6:$A$305,0),"")</f>
      </c>
      <c r="P75" s="234">
        <f>IF($O75="","",INDEX('Kế hoạch'!$I$6:$I$305,$O75))</f>
      </c>
      <c r="Q75" s="225">
        <f>IF($O75="","",INDEX('Kế hoạch'!$AJ$6:$AJ$305,$O75))</f>
      </c>
      <c r="R75" s="225">
        <f>IF($O75="","",INDEX('Kế hoạch'!$AK$6:$AK$305,$O75))</f>
      </c>
    </row>
    <row r="76">
      <c r="A76" s="223">
        <f>IF($C76="","",COUNTIF($C$6:$C76,"?*"))</f>
      </c>
      <c r="B76" s="217"/>
      <c r="C76" s="216"/>
      <c r="D76" s="240"/>
      <c r="E76" s="218"/>
      <c r="F76" s="218"/>
      <c r="G76" s="218"/>
      <c r="H76" s="219"/>
      <c r="I76" s="223">
        <f>IF($C76="","",IF(ISNUMBER(MATCH($C76,'Phản ánh'!$A$6:$A$505,0)),"Phản ánh",IF(ISNUMBER(MATCH($C76,'Kế hoạch'!$A$6:$A$305,0)),"Công việc","Mã chưa có")))</f>
      </c>
      <c r="J76" s="221">
        <f>IF($I76="Phản ánh",INDEX('Phản ánh'!$C$6:$C$505,MATCH($C76,'Phản ánh'!$A$6:$A$505,0)),IF($I76="Công việc",INDEX('Kế hoạch'!$C$6:$C$305,$O76),""))</f>
      </c>
      <c r="K76" s="221">
        <f>IF($I76="Phản ánh",INDEX('Phản ánh'!$K$6:$K$505,MATCH($C76,'Phản ánh'!$A$6:$A$505,0))&amp;"",IF($I76="Công việc",INDEX('Kế hoạch'!$N$6:$N$305,$O76)&amp;"",""))</f>
      </c>
      <c r="L76" s="220">
        <f>IF(OR($C76="",N($B76)=0),"",IF(AND($I76="Phản ánh",$E76="Đã xử lý"),INDEX('Phản ánh'!$U$6:$U$505,MATCH($C76,'Phản ánh'!$A$6:$A$505,0)),IF(AND($I76="Công việc",OR($E76="Hoàn thành",$E76="Hoàn thành kỳ")),IF(INDEX('Kế hoạch'!$B$6:$B$305,$O76)="Đột xuất",INDEX('Kế hoạch'!$AY$6:$AY$305,$O76),IF(N($P76)=0,"",IF(INT($B76)&lt;$P76,$P76,IF($Q76&gt;0,$P76+ROUND((INT($B76)-$P76)/$Q76,0)*$Q76,IF($R76&gt;0,EDATE($P76,ROUND((DATEDIF($P76,INT($B76),"m")+(INT($B76)-EDATE($P76,DATEDIF($P76,INT($B76),"m")))/(EDATE($P76,DATEDIF($P76,INT($B76),"m")+1)-EDATE($P76,DATEDIF($P76,INT($B76),"m"))))/$R76,0)*$R76),$P76))))),"")))</f>
      </c>
      <c r="M76" s="223">
        <f>IF(OR($C76="",N($L76)=0,N($B76)=0),"",IF(IF(MOD($L76,1)=0,INT($B76),$B76)&lt;=$L76,"Đúng hạn","Trễ hạn"))</f>
      </c>
      <c r="N76" s="225">
        <f>IF($C76="","",ROW())</f>
      </c>
      <c r="O76" s="225">
        <f>IF($I76="Công việc",MATCH($C76,'Kế hoạch'!$A$6:$A$305,0),"")</f>
      </c>
      <c r="P76" s="234">
        <f>IF($O76="","",INDEX('Kế hoạch'!$I$6:$I$305,$O76))</f>
      </c>
      <c r="Q76" s="225">
        <f>IF($O76="","",INDEX('Kế hoạch'!$AJ$6:$AJ$305,$O76))</f>
      </c>
      <c r="R76" s="225">
        <f>IF($O76="","",INDEX('Kế hoạch'!$AK$6:$AK$305,$O76))</f>
      </c>
    </row>
    <row r="77">
      <c r="A77" s="223">
        <f>IF($C77="","",COUNTIF($C$6:$C77,"?*"))</f>
      </c>
      <c r="B77" s="217"/>
      <c r="C77" s="216"/>
      <c r="D77" s="240"/>
      <c r="E77" s="218"/>
      <c r="F77" s="218"/>
      <c r="G77" s="218"/>
      <c r="H77" s="219"/>
      <c r="I77" s="223">
        <f>IF($C77="","",IF(ISNUMBER(MATCH($C77,'Phản ánh'!$A$6:$A$505,0)),"Phản ánh",IF(ISNUMBER(MATCH($C77,'Kế hoạch'!$A$6:$A$305,0)),"Công việc","Mã chưa có")))</f>
      </c>
      <c r="J77" s="221">
        <f>IF($I77="Phản ánh",INDEX('Phản ánh'!$C$6:$C$505,MATCH($C77,'Phản ánh'!$A$6:$A$505,0)),IF($I77="Công việc",INDEX('Kế hoạch'!$C$6:$C$305,$O77),""))</f>
      </c>
      <c r="K77" s="221">
        <f>IF($I77="Phản ánh",INDEX('Phản ánh'!$K$6:$K$505,MATCH($C77,'Phản ánh'!$A$6:$A$505,0))&amp;"",IF($I77="Công việc",INDEX('Kế hoạch'!$N$6:$N$305,$O77)&amp;"",""))</f>
      </c>
      <c r="L77" s="220">
        <f>IF(OR($C77="",N($B77)=0),"",IF(AND($I77="Phản ánh",$E77="Đã xử lý"),INDEX('Phản ánh'!$U$6:$U$505,MATCH($C77,'Phản ánh'!$A$6:$A$505,0)),IF(AND($I77="Công việc",OR($E77="Hoàn thành",$E77="Hoàn thành kỳ")),IF(INDEX('Kế hoạch'!$B$6:$B$305,$O77)="Đột xuất",INDEX('Kế hoạch'!$AY$6:$AY$305,$O77),IF(N($P77)=0,"",IF(INT($B77)&lt;$P77,$P77,IF($Q77&gt;0,$P77+ROUND((INT($B77)-$P77)/$Q77,0)*$Q77,IF($R77&gt;0,EDATE($P77,ROUND((DATEDIF($P77,INT($B77),"m")+(INT($B77)-EDATE($P77,DATEDIF($P77,INT($B77),"m")))/(EDATE($P77,DATEDIF($P77,INT($B77),"m")+1)-EDATE($P77,DATEDIF($P77,INT($B77),"m"))))/$R77,0)*$R77),$P77))))),"")))</f>
      </c>
      <c r="M77" s="223">
        <f>IF(OR($C77="",N($L77)=0,N($B77)=0),"",IF(IF(MOD($L77,1)=0,INT($B77),$B77)&lt;=$L77,"Đúng hạn","Trễ hạn"))</f>
      </c>
      <c r="N77" s="225">
        <f>IF($C77="","",ROW())</f>
      </c>
      <c r="O77" s="225">
        <f>IF($I77="Công việc",MATCH($C77,'Kế hoạch'!$A$6:$A$305,0),"")</f>
      </c>
      <c r="P77" s="234">
        <f>IF($O77="","",INDEX('Kế hoạch'!$I$6:$I$305,$O77))</f>
      </c>
      <c r="Q77" s="225">
        <f>IF($O77="","",INDEX('Kế hoạch'!$AJ$6:$AJ$305,$O77))</f>
      </c>
      <c r="R77" s="225">
        <f>IF($O77="","",INDEX('Kế hoạch'!$AK$6:$AK$305,$O77))</f>
      </c>
    </row>
    <row r="78">
      <c r="A78" s="223">
        <f>IF($C78="","",COUNTIF($C$6:$C78,"?*"))</f>
      </c>
      <c r="B78" s="217"/>
      <c r="C78" s="216"/>
      <c r="D78" s="240"/>
      <c r="E78" s="218"/>
      <c r="F78" s="218"/>
      <c r="G78" s="218"/>
      <c r="H78" s="219"/>
      <c r="I78" s="223">
        <f>IF($C78="","",IF(ISNUMBER(MATCH($C78,'Phản ánh'!$A$6:$A$505,0)),"Phản ánh",IF(ISNUMBER(MATCH($C78,'Kế hoạch'!$A$6:$A$305,0)),"Công việc","Mã chưa có")))</f>
      </c>
      <c r="J78" s="221">
        <f>IF($I78="Phản ánh",INDEX('Phản ánh'!$C$6:$C$505,MATCH($C78,'Phản ánh'!$A$6:$A$505,0)),IF($I78="Công việc",INDEX('Kế hoạch'!$C$6:$C$305,$O78),""))</f>
      </c>
      <c r="K78" s="221">
        <f>IF($I78="Phản ánh",INDEX('Phản ánh'!$K$6:$K$505,MATCH($C78,'Phản ánh'!$A$6:$A$505,0))&amp;"",IF($I78="Công việc",INDEX('Kế hoạch'!$N$6:$N$305,$O78)&amp;"",""))</f>
      </c>
      <c r="L78" s="220">
        <f>IF(OR($C78="",N($B78)=0),"",IF(AND($I78="Phản ánh",$E78="Đã xử lý"),INDEX('Phản ánh'!$U$6:$U$505,MATCH($C78,'Phản ánh'!$A$6:$A$505,0)),IF(AND($I78="Công việc",OR($E78="Hoàn thành",$E78="Hoàn thành kỳ")),IF(INDEX('Kế hoạch'!$B$6:$B$305,$O78)="Đột xuất",INDEX('Kế hoạch'!$AY$6:$AY$305,$O78),IF(N($P78)=0,"",IF(INT($B78)&lt;$P78,$P78,IF($Q78&gt;0,$P78+ROUND((INT($B78)-$P78)/$Q78,0)*$Q78,IF($R78&gt;0,EDATE($P78,ROUND((DATEDIF($P78,INT($B78),"m")+(INT($B78)-EDATE($P78,DATEDIF($P78,INT($B78),"m")))/(EDATE($P78,DATEDIF($P78,INT($B78),"m")+1)-EDATE($P78,DATEDIF($P78,INT($B78),"m"))))/$R78,0)*$R78),$P78))))),"")))</f>
      </c>
      <c r="M78" s="223">
        <f>IF(OR($C78="",N($L78)=0,N($B78)=0),"",IF(IF(MOD($L78,1)=0,INT($B78),$B78)&lt;=$L78,"Đúng hạn","Trễ hạn"))</f>
      </c>
      <c r="N78" s="225">
        <f>IF($C78="","",ROW())</f>
      </c>
      <c r="O78" s="225">
        <f>IF($I78="Công việc",MATCH($C78,'Kế hoạch'!$A$6:$A$305,0),"")</f>
      </c>
      <c r="P78" s="234">
        <f>IF($O78="","",INDEX('Kế hoạch'!$I$6:$I$305,$O78))</f>
      </c>
      <c r="Q78" s="225">
        <f>IF($O78="","",INDEX('Kế hoạch'!$AJ$6:$AJ$305,$O78))</f>
      </c>
      <c r="R78" s="225">
        <f>IF($O78="","",INDEX('Kế hoạch'!$AK$6:$AK$305,$O78))</f>
      </c>
    </row>
    <row r="79">
      <c r="A79" s="223">
        <f>IF($C79="","",COUNTIF($C$6:$C79,"?*"))</f>
      </c>
      <c r="B79" s="217"/>
      <c r="C79" s="216"/>
      <c r="D79" s="240"/>
      <c r="E79" s="218"/>
      <c r="F79" s="218"/>
      <c r="G79" s="218"/>
      <c r="H79" s="219"/>
      <c r="I79" s="223">
        <f>IF($C79="","",IF(ISNUMBER(MATCH($C79,'Phản ánh'!$A$6:$A$505,0)),"Phản ánh",IF(ISNUMBER(MATCH($C79,'Kế hoạch'!$A$6:$A$305,0)),"Công việc","Mã chưa có")))</f>
      </c>
      <c r="J79" s="221">
        <f>IF($I79="Phản ánh",INDEX('Phản ánh'!$C$6:$C$505,MATCH($C79,'Phản ánh'!$A$6:$A$505,0)),IF($I79="Công việc",INDEX('Kế hoạch'!$C$6:$C$305,$O79),""))</f>
      </c>
      <c r="K79" s="221">
        <f>IF($I79="Phản ánh",INDEX('Phản ánh'!$K$6:$K$505,MATCH($C79,'Phản ánh'!$A$6:$A$505,0))&amp;"",IF($I79="Công việc",INDEX('Kế hoạch'!$N$6:$N$305,$O79)&amp;"",""))</f>
      </c>
      <c r="L79" s="220">
        <f>IF(OR($C79="",N($B79)=0),"",IF(AND($I79="Phản ánh",$E79="Đã xử lý"),INDEX('Phản ánh'!$U$6:$U$505,MATCH($C79,'Phản ánh'!$A$6:$A$505,0)),IF(AND($I79="Công việc",OR($E79="Hoàn thành",$E79="Hoàn thành kỳ")),IF(INDEX('Kế hoạch'!$B$6:$B$305,$O79)="Đột xuất",INDEX('Kế hoạch'!$AY$6:$AY$305,$O79),IF(N($P79)=0,"",IF(INT($B79)&lt;$P79,$P79,IF($Q79&gt;0,$P79+ROUND((INT($B79)-$P79)/$Q79,0)*$Q79,IF($R79&gt;0,EDATE($P79,ROUND((DATEDIF($P79,INT($B79),"m")+(INT($B79)-EDATE($P79,DATEDIF($P79,INT($B79),"m")))/(EDATE($P79,DATEDIF($P79,INT($B79),"m")+1)-EDATE($P79,DATEDIF($P79,INT($B79),"m"))))/$R79,0)*$R79),$P79))))),"")))</f>
      </c>
      <c r="M79" s="223">
        <f>IF(OR($C79="",N($L79)=0,N($B79)=0),"",IF(IF(MOD($L79,1)=0,INT($B79),$B79)&lt;=$L79,"Đúng hạn","Trễ hạn"))</f>
      </c>
      <c r="N79" s="225">
        <f>IF($C79="","",ROW())</f>
      </c>
      <c r="O79" s="225">
        <f>IF($I79="Công việc",MATCH($C79,'Kế hoạch'!$A$6:$A$305,0),"")</f>
      </c>
      <c r="P79" s="234">
        <f>IF($O79="","",INDEX('Kế hoạch'!$I$6:$I$305,$O79))</f>
      </c>
      <c r="Q79" s="225">
        <f>IF($O79="","",INDEX('Kế hoạch'!$AJ$6:$AJ$305,$O79))</f>
      </c>
      <c r="R79" s="225">
        <f>IF($O79="","",INDEX('Kế hoạch'!$AK$6:$AK$305,$O79))</f>
      </c>
    </row>
    <row r="80">
      <c r="A80" s="223">
        <f>IF($C80="","",COUNTIF($C$6:$C80,"?*"))</f>
      </c>
      <c r="B80" s="217"/>
      <c r="C80" s="216"/>
      <c r="D80" s="240"/>
      <c r="E80" s="218"/>
      <c r="F80" s="218"/>
      <c r="G80" s="218"/>
      <c r="H80" s="219"/>
      <c r="I80" s="223">
        <f>IF($C80="","",IF(ISNUMBER(MATCH($C80,'Phản ánh'!$A$6:$A$505,0)),"Phản ánh",IF(ISNUMBER(MATCH($C80,'Kế hoạch'!$A$6:$A$305,0)),"Công việc","Mã chưa có")))</f>
      </c>
      <c r="J80" s="221">
        <f>IF($I80="Phản ánh",INDEX('Phản ánh'!$C$6:$C$505,MATCH($C80,'Phản ánh'!$A$6:$A$505,0)),IF($I80="Công việc",INDEX('Kế hoạch'!$C$6:$C$305,$O80),""))</f>
      </c>
      <c r="K80" s="221">
        <f>IF($I80="Phản ánh",INDEX('Phản ánh'!$K$6:$K$505,MATCH($C80,'Phản ánh'!$A$6:$A$505,0))&amp;"",IF($I80="Công việc",INDEX('Kế hoạch'!$N$6:$N$305,$O80)&amp;"",""))</f>
      </c>
      <c r="L80" s="220">
        <f>IF(OR($C80="",N($B80)=0),"",IF(AND($I80="Phản ánh",$E80="Đã xử lý"),INDEX('Phản ánh'!$U$6:$U$505,MATCH($C80,'Phản ánh'!$A$6:$A$505,0)),IF(AND($I80="Công việc",OR($E80="Hoàn thành",$E80="Hoàn thành kỳ")),IF(INDEX('Kế hoạch'!$B$6:$B$305,$O80)="Đột xuất",INDEX('Kế hoạch'!$AY$6:$AY$305,$O80),IF(N($P80)=0,"",IF(INT($B80)&lt;$P80,$P80,IF($Q80&gt;0,$P80+ROUND((INT($B80)-$P80)/$Q80,0)*$Q80,IF($R80&gt;0,EDATE($P80,ROUND((DATEDIF($P80,INT($B80),"m")+(INT($B80)-EDATE($P80,DATEDIF($P80,INT($B80),"m")))/(EDATE($P80,DATEDIF($P80,INT($B80),"m")+1)-EDATE($P80,DATEDIF($P80,INT($B80),"m"))))/$R80,0)*$R80),$P80))))),"")))</f>
      </c>
      <c r="M80" s="223">
        <f>IF(OR($C80="",N($L80)=0,N($B80)=0),"",IF(IF(MOD($L80,1)=0,INT($B80),$B80)&lt;=$L80,"Đúng hạn","Trễ hạn"))</f>
      </c>
      <c r="N80" s="225">
        <f>IF($C80="","",ROW())</f>
      </c>
      <c r="O80" s="225">
        <f>IF($I80="Công việc",MATCH($C80,'Kế hoạch'!$A$6:$A$305,0),"")</f>
      </c>
      <c r="P80" s="234">
        <f>IF($O80="","",INDEX('Kế hoạch'!$I$6:$I$305,$O80))</f>
      </c>
      <c r="Q80" s="225">
        <f>IF($O80="","",INDEX('Kế hoạch'!$AJ$6:$AJ$305,$O80))</f>
      </c>
      <c r="R80" s="225">
        <f>IF($O80="","",INDEX('Kế hoạch'!$AK$6:$AK$305,$O80))</f>
      </c>
    </row>
    <row r="81">
      <c r="A81" s="223">
        <f>IF($C81="","",COUNTIF($C$6:$C81,"?*"))</f>
      </c>
      <c r="B81" s="217"/>
      <c r="C81" s="216"/>
      <c r="D81" s="240"/>
      <c r="E81" s="218"/>
      <c r="F81" s="218"/>
      <c r="G81" s="218"/>
      <c r="H81" s="219"/>
      <c r="I81" s="223">
        <f>IF($C81="","",IF(ISNUMBER(MATCH($C81,'Phản ánh'!$A$6:$A$505,0)),"Phản ánh",IF(ISNUMBER(MATCH($C81,'Kế hoạch'!$A$6:$A$305,0)),"Công việc","Mã chưa có")))</f>
      </c>
      <c r="J81" s="221">
        <f>IF($I81="Phản ánh",INDEX('Phản ánh'!$C$6:$C$505,MATCH($C81,'Phản ánh'!$A$6:$A$505,0)),IF($I81="Công việc",INDEX('Kế hoạch'!$C$6:$C$305,$O81),""))</f>
      </c>
      <c r="K81" s="221">
        <f>IF($I81="Phản ánh",INDEX('Phản ánh'!$K$6:$K$505,MATCH($C81,'Phản ánh'!$A$6:$A$505,0))&amp;"",IF($I81="Công việc",INDEX('Kế hoạch'!$N$6:$N$305,$O81)&amp;"",""))</f>
      </c>
      <c r="L81" s="220">
        <f>IF(OR($C81="",N($B81)=0),"",IF(AND($I81="Phản ánh",$E81="Đã xử lý"),INDEX('Phản ánh'!$U$6:$U$505,MATCH($C81,'Phản ánh'!$A$6:$A$505,0)),IF(AND($I81="Công việc",OR($E81="Hoàn thành",$E81="Hoàn thành kỳ")),IF(INDEX('Kế hoạch'!$B$6:$B$305,$O81)="Đột xuất",INDEX('Kế hoạch'!$AY$6:$AY$305,$O81),IF(N($P81)=0,"",IF(INT($B81)&lt;$P81,$P81,IF($Q81&gt;0,$P81+ROUND((INT($B81)-$P81)/$Q81,0)*$Q81,IF($R81&gt;0,EDATE($P81,ROUND((DATEDIF($P81,INT($B81),"m")+(INT($B81)-EDATE($P81,DATEDIF($P81,INT($B81),"m")))/(EDATE($P81,DATEDIF($P81,INT($B81),"m")+1)-EDATE($P81,DATEDIF($P81,INT($B81),"m"))))/$R81,0)*$R81),$P81))))),"")))</f>
      </c>
      <c r="M81" s="223">
        <f>IF(OR($C81="",N($L81)=0,N($B81)=0),"",IF(IF(MOD($L81,1)=0,INT($B81),$B81)&lt;=$L81,"Đúng hạn","Trễ hạn"))</f>
      </c>
      <c r="N81" s="225">
        <f>IF($C81="","",ROW())</f>
      </c>
      <c r="O81" s="225">
        <f>IF($I81="Công việc",MATCH($C81,'Kế hoạch'!$A$6:$A$305,0),"")</f>
      </c>
      <c r="P81" s="234">
        <f>IF($O81="","",INDEX('Kế hoạch'!$I$6:$I$305,$O81))</f>
      </c>
      <c r="Q81" s="225">
        <f>IF($O81="","",INDEX('Kế hoạch'!$AJ$6:$AJ$305,$O81))</f>
      </c>
      <c r="R81" s="225">
        <f>IF($O81="","",INDEX('Kế hoạch'!$AK$6:$AK$305,$O81))</f>
      </c>
    </row>
    <row r="82">
      <c r="A82" s="223">
        <f>IF($C82="","",COUNTIF($C$6:$C82,"?*"))</f>
      </c>
      <c r="B82" s="217"/>
      <c r="C82" s="216"/>
      <c r="D82" s="240"/>
      <c r="E82" s="218"/>
      <c r="F82" s="218"/>
      <c r="G82" s="218"/>
      <c r="H82" s="219"/>
      <c r="I82" s="223">
        <f>IF($C82="","",IF(ISNUMBER(MATCH($C82,'Phản ánh'!$A$6:$A$505,0)),"Phản ánh",IF(ISNUMBER(MATCH($C82,'Kế hoạch'!$A$6:$A$305,0)),"Công việc","Mã chưa có")))</f>
      </c>
      <c r="J82" s="221">
        <f>IF($I82="Phản ánh",INDEX('Phản ánh'!$C$6:$C$505,MATCH($C82,'Phản ánh'!$A$6:$A$505,0)),IF($I82="Công việc",INDEX('Kế hoạch'!$C$6:$C$305,$O82),""))</f>
      </c>
      <c r="K82" s="221">
        <f>IF($I82="Phản ánh",INDEX('Phản ánh'!$K$6:$K$505,MATCH($C82,'Phản ánh'!$A$6:$A$505,0))&amp;"",IF($I82="Công việc",INDEX('Kế hoạch'!$N$6:$N$305,$O82)&amp;"",""))</f>
      </c>
      <c r="L82" s="220">
        <f>IF(OR($C82="",N($B82)=0),"",IF(AND($I82="Phản ánh",$E82="Đã xử lý"),INDEX('Phản ánh'!$U$6:$U$505,MATCH($C82,'Phản ánh'!$A$6:$A$505,0)),IF(AND($I82="Công việc",OR($E82="Hoàn thành",$E82="Hoàn thành kỳ")),IF(INDEX('Kế hoạch'!$B$6:$B$305,$O82)="Đột xuất",INDEX('Kế hoạch'!$AY$6:$AY$305,$O82),IF(N($P82)=0,"",IF(INT($B82)&lt;$P82,$P82,IF($Q82&gt;0,$P82+ROUND((INT($B82)-$P82)/$Q82,0)*$Q82,IF($R82&gt;0,EDATE($P82,ROUND((DATEDIF($P82,INT($B82),"m")+(INT($B82)-EDATE($P82,DATEDIF($P82,INT($B82),"m")))/(EDATE($P82,DATEDIF($P82,INT($B82),"m")+1)-EDATE($P82,DATEDIF($P82,INT($B82),"m"))))/$R82,0)*$R82),$P82))))),"")))</f>
      </c>
      <c r="M82" s="223">
        <f>IF(OR($C82="",N($L82)=0,N($B82)=0),"",IF(IF(MOD($L82,1)=0,INT($B82),$B82)&lt;=$L82,"Đúng hạn","Trễ hạn"))</f>
      </c>
      <c r="N82" s="225">
        <f>IF($C82="","",ROW())</f>
      </c>
      <c r="O82" s="225">
        <f>IF($I82="Công việc",MATCH($C82,'Kế hoạch'!$A$6:$A$305,0),"")</f>
      </c>
      <c r="P82" s="234">
        <f>IF($O82="","",INDEX('Kế hoạch'!$I$6:$I$305,$O82))</f>
      </c>
      <c r="Q82" s="225">
        <f>IF($O82="","",INDEX('Kế hoạch'!$AJ$6:$AJ$305,$O82))</f>
      </c>
      <c r="R82" s="225">
        <f>IF($O82="","",INDEX('Kế hoạch'!$AK$6:$AK$305,$O82))</f>
      </c>
    </row>
    <row r="83">
      <c r="A83" s="223">
        <f>IF($C83="","",COUNTIF($C$6:$C83,"?*"))</f>
      </c>
      <c r="B83" s="217"/>
      <c r="C83" s="216"/>
      <c r="D83" s="240"/>
      <c r="E83" s="218"/>
      <c r="F83" s="218"/>
      <c r="G83" s="218"/>
      <c r="H83" s="219"/>
      <c r="I83" s="223">
        <f>IF($C83="","",IF(ISNUMBER(MATCH($C83,'Phản ánh'!$A$6:$A$505,0)),"Phản ánh",IF(ISNUMBER(MATCH($C83,'Kế hoạch'!$A$6:$A$305,0)),"Công việc","Mã chưa có")))</f>
      </c>
      <c r="J83" s="221">
        <f>IF($I83="Phản ánh",INDEX('Phản ánh'!$C$6:$C$505,MATCH($C83,'Phản ánh'!$A$6:$A$505,0)),IF($I83="Công việc",INDEX('Kế hoạch'!$C$6:$C$305,$O83),""))</f>
      </c>
      <c r="K83" s="221">
        <f>IF($I83="Phản ánh",INDEX('Phản ánh'!$K$6:$K$505,MATCH($C83,'Phản ánh'!$A$6:$A$505,0))&amp;"",IF($I83="Công việc",INDEX('Kế hoạch'!$N$6:$N$305,$O83)&amp;"",""))</f>
      </c>
      <c r="L83" s="220">
        <f>IF(OR($C83="",N($B83)=0),"",IF(AND($I83="Phản ánh",$E83="Đã xử lý"),INDEX('Phản ánh'!$U$6:$U$505,MATCH($C83,'Phản ánh'!$A$6:$A$505,0)),IF(AND($I83="Công việc",OR($E83="Hoàn thành",$E83="Hoàn thành kỳ")),IF(INDEX('Kế hoạch'!$B$6:$B$305,$O83)="Đột xuất",INDEX('Kế hoạch'!$AY$6:$AY$305,$O83),IF(N($P83)=0,"",IF(INT($B83)&lt;$P83,$P83,IF($Q83&gt;0,$P83+ROUND((INT($B83)-$P83)/$Q83,0)*$Q83,IF($R83&gt;0,EDATE($P83,ROUND((DATEDIF($P83,INT($B83),"m")+(INT($B83)-EDATE($P83,DATEDIF($P83,INT($B83),"m")))/(EDATE($P83,DATEDIF($P83,INT($B83),"m")+1)-EDATE($P83,DATEDIF($P83,INT($B83),"m"))))/$R83,0)*$R83),$P83))))),"")))</f>
      </c>
      <c r="M83" s="223">
        <f>IF(OR($C83="",N($L83)=0,N($B83)=0),"",IF(IF(MOD($L83,1)=0,INT($B83),$B83)&lt;=$L83,"Đúng hạn","Trễ hạn"))</f>
      </c>
      <c r="N83" s="225">
        <f>IF($C83="","",ROW())</f>
      </c>
      <c r="O83" s="225">
        <f>IF($I83="Công việc",MATCH($C83,'Kế hoạch'!$A$6:$A$305,0),"")</f>
      </c>
      <c r="P83" s="234">
        <f>IF($O83="","",INDEX('Kế hoạch'!$I$6:$I$305,$O83))</f>
      </c>
      <c r="Q83" s="225">
        <f>IF($O83="","",INDEX('Kế hoạch'!$AJ$6:$AJ$305,$O83))</f>
      </c>
      <c r="R83" s="225">
        <f>IF($O83="","",INDEX('Kế hoạch'!$AK$6:$AK$305,$O83))</f>
      </c>
    </row>
    <row r="84">
      <c r="A84" s="223">
        <f>IF($C84="","",COUNTIF($C$6:$C84,"?*"))</f>
      </c>
      <c r="B84" s="217"/>
      <c r="C84" s="216"/>
      <c r="D84" s="240"/>
      <c r="E84" s="218"/>
      <c r="F84" s="218"/>
      <c r="G84" s="218"/>
      <c r="H84" s="219"/>
      <c r="I84" s="223">
        <f>IF($C84="","",IF(ISNUMBER(MATCH($C84,'Phản ánh'!$A$6:$A$505,0)),"Phản ánh",IF(ISNUMBER(MATCH($C84,'Kế hoạch'!$A$6:$A$305,0)),"Công việc","Mã chưa có")))</f>
      </c>
      <c r="J84" s="221">
        <f>IF($I84="Phản ánh",INDEX('Phản ánh'!$C$6:$C$505,MATCH($C84,'Phản ánh'!$A$6:$A$505,0)),IF($I84="Công việc",INDEX('Kế hoạch'!$C$6:$C$305,$O84),""))</f>
      </c>
      <c r="K84" s="221">
        <f>IF($I84="Phản ánh",INDEX('Phản ánh'!$K$6:$K$505,MATCH($C84,'Phản ánh'!$A$6:$A$505,0))&amp;"",IF($I84="Công việc",INDEX('Kế hoạch'!$N$6:$N$305,$O84)&amp;"",""))</f>
      </c>
      <c r="L84" s="220">
        <f>IF(OR($C84="",N($B84)=0),"",IF(AND($I84="Phản ánh",$E84="Đã xử lý"),INDEX('Phản ánh'!$U$6:$U$505,MATCH($C84,'Phản ánh'!$A$6:$A$505,0)),IF(AND($I84="Công việc",OR($E84="Hoàn thành",$E84="Hoàn thành kỳ")),IF(INDEX('Kế hoạch'!$B$6:$B$305,$O84)="Đột xuất",INDEX('Kế hoạch'!$AY$6:$AY$305,$O84),IF(N($P84)=0,"",IF(INT($B84)&lt;$P84,$P84,IF($Q84&gt;0,$P84+ROUND((INT($B84)-$P84)/$Q84,0)*$Q84,IF($R84&gt;0,EDATE($P84,ROUND((DATEDIF($P84,INT($B84),"m")+(INT($B84)-EDATE($P84,DATEDIF($P84,INT($B84),"m")))/(EDATE($P84,DATEDIF($P84,INT($B84),"m")+1)-EDATE($P84,DATEDIF($P84,INT($B84),"m"))))/$R84,0)*$R84),$P84))))),"")))</f>
      </c>
      <c r="M84" s="223">
        <f>IF(OR($C84="",N($L84)=0,N($B84)=0),"",IF(IF(MOD($L84,1)=0,INT($B84),$B84)&lt;=$L84,"Đúng hạn","Trễ hạn"))</f>
      </c>
      <c r="N84" s="225">
        <f>IF($C84="","",ROW())</f>
      </c>
      <c r="O84" s="225">
        <f>IF($I84="Công việc",MATCH($C84,'Kế hoạch'!$A$6:$A$305,0),"")</f>
      </c>
      <c r="P84" s="234">
        <f>IF($O84="","",INDEX('Kế hoạch'!$I$6:$I$305,$O84))</f>
      </c>
      <c r="Q84" s="225">
        <f>IF($O84="","",INDEX('Kế hoạch'!$AJ$6:$AJ$305,$O84))</f>
      </c>
      <c r="R84" s="225">
        <f>IF($O84="","",INDEX('Kế hoạch'!$AK$6:$AK$305,$O84))</f>
      </c>
    </row>
    <row r="85">
      <c r="A85" s="223">
        <f>IF($C85="","",COUNTIF($C$6:$C85,"?*"))</f>
      </c>
      <c r="B85" s="217"/>
      <c r="C85" s="216"/>
      <c r="D85" s="240"/>
      <c r="E85" s="218"/>
      <c r="F85" s="218"/>
      <c r="G85" s="218"/>
      <c r="H85" s="219"/>
      <c r="I85" s="223">
        <f>IF($C85="","",IF(ISNUMBER(MATCH($C85,'Phản ánh'!$A$6:$A$505,0)),"Phản ánh",IF(ISNUMBER(MATCH($C85,'Kế hoạch'!$A$6:$A$305,0)),"Công việc","Mã chưa có")))</f>
      </c>
      <c r="J85" s="221">
        <f>IF($I85="Phản ánh",INDEX('Phản ánh'!$C$6:$C$505,MATCH($C85,'Phản ánh'!$A$6:$A$505,0)),IF($I85="Công việc",INDEX('Kế hoạch'!$C$6:$C$305,$O85),""))</f>
      </c>
      <c r="K85" s="221">
        <f>IF($I85="Phản ánh",INDEX('Phản ánh'!$K$6:$K$505,MATCH($C85,'Phản ánh'!$A$6:$A$505,0))&amp;"",IF($I85="Công việc",INDEX('Kế hoạch'!$N$6:$N$305,$O85)&amp;"",""))</f>
      </c>
      <c r="L85" s="220">
        <f>IF(OR($C85="",N($B85)=0),"",IF(AND($I85="Phản ánh",$E85="Đã xử lý"),INDEX('Phản ánh'!$U$6:$U$505,MATCH($C85,'Phản ánh'!$A$6:$A$505,0)),IF(AND($I85="Công việc",OR($E85="Hoàn thành",$E85="Hoàn thành kỳ")),IF(INDEX('Kế hoạch'!$B$6:$B$305,$O85)="Đột xuất",INDEX('Kế hoạch'!$AY$6:$AY$305,$O85),IF(N($P85)=0,"",IF(INT($B85)&lt;$P85,$P85,IF($Q85&gt;0,$P85+ROUND((INT($B85)-$P85)/$Q85,0)*$Q85,IF($R85&gt;0,EDATE($P85,ROUND((DATEDIF($P85,INT($B85),"m")+(INT($B85)-EDATE($P85,DATEDIF($P85,INT($B85),"m")))/(EDATE($P85,DATEDIF($P85,INT($B85),"m")+1)-EDATE($P85,DATEDIF($P85,INT($B85),"m"))))/$R85,0)*$R85),$P85))))),"")))</f>
      </c>
      <c r="M85" s="223">
        <f>IF(OR($C85="",N($L85)=0,N($B85)=0),"",IF(IF(MOD($L85,1)=0,INT($B85),$B85)&lt;=$L85,"Đúng hạn","Trễ hạn"))</f>
      </c>
      <c r="N85" s="225">
        <f>IF($C85="","",ROW())</f>
      </c>
      <c r="O85" s="225">
        <f>IF($I85="Công việc",MATCH($C85,'Kế hoạch'!$A$6:$A$305,0),"")</f>
      </c>
      <c r="P85" s="234">
        <f>IF($O85="","",INDEX('Kế hoạch'!$I$6:$I$305,$O85))</f>
      </c>
      <c r="Q85" s="225">
        <f>IF($O85="","",INDEX('Kế hoạch'!$AJ$6:$AJ$305,$O85))</f>
      </c>
      <c r="R85" s="225">
        <f>IF($O85="","",INDEX('Kế hoạch'!$AK$6:$AK$305,$O85))</f>
      </c>
    </row>
    <row r="86">
      <c r="A86" s="223">
        <f>IF($C86="","",COUNTIF($C$6:$C86,"?*"))</f>
      </c>
      <c r="B86" s="217"/>
      <c r="C86" s="216"/>
      <c r="D86" s="240"/>
      <c r="E86" s="218"/>
      <c r="F86" s="218"/>
      <c r="G86" s="218"/>
      <c r="H86" s="219"/>
      <c r="I86" s="223">
        <f>IF($C86="","",IF(ISNUMBER(MATCH($C86,'Phản ánh'!$A$6:$A$505,0)),"Phản ánh",IF(ISNUMBER(MATCH($C86,'Kế hoạch'!$A$6:$A$305,0)),"Công việc","Mã chưa có")))</f>
      </c>
      <c r="J86" s="221">
        <f>IF($I86="Phản ánh",INDEX('Phản ánh'!$C$6:$C$505,MATCH($C86,'Phản ánh'!$A$6:$A$505,0)),IF($I86="Công việc",INDEX('Kế hoạch'!$C$6:$C$305,$O86),""))</f>
      </c>
      <c r="K86" s="221">
        <f>IF($I86="Phản ánh",INDEX('Phản ánh'!$K$6:$K$505,MATCH($C86,'Phản ánh'!$A$6:$A$505,0))&amp;"",IF($I86="Công việc",INDEX('Kế hoạch'!$N$6:$N$305,$O86)&amp;"",""))</f>
      </c>
      <c r="L86" s="220">
        <f>IF(OR($C86="",N($B86)=0),"",IF(AND($I86="Phản ánh",$E86="Đã xử lý"),INDEX('Phản ánh'!$U$6:$U$505,MATCH($C86,'Phản ánh'!$A$6:$A$505,0)),IF(AND($I86="Công việc",OR($E86="Hoàn thành",$E86="Hoàn thành kỳ")),IF(INDEX('Kế hoạch'!$B$6:$B$305,$O86)="Đột xuất",INDEX('Kế hoạch'!$AY$6:$AY$305,$O86),IF(N($P86)=0,"",IF(INT($B86)&lt;$P86,$P86,IF($Q86&gt;0,$P86+ROUND((INT($B86)-$P86)/$Q86,0)*$Q86,IF($R86&gt;0,EDATE($P86,ROUND((DATEDIF($P86,INT($B86),"m")+(INT($B86)-EDATE($P86,DATEDIF($P86,INT($B86),"m")))/(EDATE($P86,DATEDIF($P86,INT($B86),"m")+1)-EDATE($P86,DATEDIF($P86,INT($B86),"m"))))/$R86,0)*$R86),$P86))))),"")))</f>
      </c>
      <c r="M86" s="223">
        <f>IF(OR($C86="",N($L86)=0,N($B86)=0),"",IF(IF(MOD($L86,1)=0,INT($B86),$B86)&lt;=$L86,"Đúng hạn","Trễ hạn"))</f>
      </c>
      <c r="N86" s="225">
        <f>IF($C86="","",ROW())</f>
      </c>
      <c r="O86" s="225">
        <f>IF($I86="Công việc",MATCH($C86,'Kế hoạch'!$A$6:$A$305,0),"")</f>
      </c>
      <c r="P86" s="234">
        <f>IF($O86="","",INDEX('Kế hoạch'!$I$6:$I$305,$O86))</f>
      </c>
      <c r="Q86" s="225">
        <f>IF($O86="","",INDEX('Kế hoạch'!$AJ$6:$AJ$305,$O86))</f>
      </c>
      <c r="R86" s="225">
        <f>IF($O86="","",INDEX('Kế hoạch'!$AK$6:$AK$305,$O86))</f>
      </c>
    </row>
    <row r="87">
      <c r="A87" s="223">
        <f>IF($C87="","",COUNTIF($C$6:$C87,"?*"))</f>
      </c>
      <c r="B87" s="217"/>
      <c r="C87" s="216"/>
      <c r="D87" s="240"/>
      <c r="E87" s="218"/>
      <c r="F87" s="218"/>
      <c r="G87" s="218"/>
      <c r="H87" s="219"/>
      <c r="I87" s="223">
        <f>IF($C87="","",IF(ISNUMBER(MATCH($C87,'Phản ánh'!$A$6:$A$505,0)),"Phản ánh",IF(ISNUMBER(MATCH($C87,'Kế hoạch'!$A$6:$A$305,0)),"Công việc","Mã chưa có")))</f>
      </c>
      <c r="J87" s="221">
        <f>IF($I87="Phản ánh",INDEX('Phản ánh'!$C$6:$C$505,MATCH($C87,'Phản ánh'!$A$6:$A$505,0)),IF($I87="Công việc",INDEX('Kế hoạch'!$C$6:$C$305,$O87),""))</f>
      </c>
      <c r="K87" s="221">
        <f>IF($I87="Phản ánh",INDEX('Phản ánh'!$K$6:$K$505,MATCH($C87,'Phản ánh'!$A$6:$A$505,0))&amp;"",IF($I87="Công việc",INDEX('Kế hoạch'!$N$6:$N$305,$O87)&amp;"",""))</f>
      </c>
      <c r="L87" s="220">
        <f>IF(OR($C87="",N($B87)=0),"",IF(AND($I87="Phản ánh",$E87="Đã xử lý"),INDEX('Phản ánh'!$U$6:$U$505,MATCH($C87,'Phản ánh'!$A$6:$A$505,0)),IF(AND($I87="Công việc",OR($E87="Hoàn thành",$E87="Hoàn thành kỳ")),IF(INDEX('Kế hoạch'!$B$6:$B$305,$O87)="Đột xuất",INDEX('Kế hoạch'!$AY$6:$AY$305,$O87),IF(N($P87)=0,"",IF(INT($B87)&lt;$P87,$P87,IF($Q87&gt;0,$P87+ROUND((INT($B87)-$P87)/$Q87,0)*$Q87,IF($R87&gt;0,EDATE($P87,ROUND((DATEDIF($P87,INT($B87),"m")+(INT($B87)-EDATE($P87,DATEDIF($P87,INT($B87),"m")))/(EDATE($P87,DATEDIF($P87,INT($B87),"m")+1)-EDATE($P87,DATEDIF($P87,INT($B87),"m"))))/$R87,0)*$R87),$P87))))),"")))</f>
      </c>
      <c r="M87" s="223">
        <f>IF(OR($C87="",N($L87)=0,N($B87)=0),"",IF(IF(MOD($L87,1)=0,INT($B87),$B87)&lt;=$L87,"Đúng hạn","Trễ hạn"))</f>
      </c>
      <c r="N87" s="225">
        <f>IF($C87="","",ROW())</f>
      </c>
      <c r="O87" s="225">
        <f>IF($I87="Công việc",MATCH($C87,'Kế hoạch'!$A$6:$A$305,0),"")</f>
      </c>
      <c r="P87" s="234">
        <f>IF($O87="","",INDEX('Kế hoạch'!$I$6:$I$305,$O87))</f>
      </c>
      <c r="Q87" s="225">
        <f>IF($O87="","",INDEX('Kế hoạch'!$AJ$6:$AJ$305,$O87))</f>
      </c>
      <c r="R87" s="225">
        <f>IF($O87="","",INDEX('Kế hoạch'!$AK$6:$AK$305,$O87))</f>
      </c>
    </row>
    <row r="88">
      <c r="A88" s="223">
        <f>IF($C88="","",COUNTIF($C$6:$C88,"?*"))</f>
      </c>
      <c r="B88" s="217"/>
      <c r="C88" s="216"/>
      <c r="D88" s="240"/>
      <c r="E88" s="218"/>
      <c r="F88" s="218"/>
      <c r="G88" s="218"/>
      <c r="H88" s="219"/>
      <c r="I88" s="223">
        <f>IF($C88="","",IF(ISNUMBER(MATCH($C88,'Phản ánh'!$A$6:$A$505,0)),"Phản ánh",IF(ISNUMBER(MATCH($C88,'Kế hoạch'!$A$6:$A$305,0)),"Công việc","Mã chưa có")))</f>
      </c>
      <c r="J88" s="221">
        <f>IF($I88="Phản ánh",INDEX('Phản ánh'!$C$6:$C$505,MATCH($C88,'Phản ánh'!$A$6:$A$505,0)),IF($I88="Công việc",INDEX('Kế hoạch'!$C$6:$C$305,$O88),""))</f>
      </c>
      <c r="K88" s="221">
        <f>IF($I88="Phản ánh",INDEX('Phản ánh'!$K$6:$K$505,MATCH($C88,'Phản ánh'!$A$6:$A$505,0))&amp;"",IF($I88="Công việc",INDEX('Kế hoạch'!$N$6:$N$305,$O88)&amp;"",""))</f>
      </c>
      <c r="L88" s="220">
        <f>IF(OR($C88="",N($B88)=0),"",IF(AND($I88="Phản ánh",$E88="Đã xử lý"),INDEX('Phản ánh'!$U$6:$U$505,MATCH($C88,'Phản ánh'!$A$6:$A$505,0)),IF(AND($I88="Công việc",OR($E88="Hoàn thành",$E88="Hoàn thành kỳ")),IF(INDEX('Kế hoạch'!$B$6:$B$305,$O88)="Đột xuất",INDEX('Kế hoạch'!$AY$6:$AY$305,$O88),IF(N($P88)=0,"",IF(INT($B88)&lt;$P88,$P88,IF($Q88&gt;0,$P88+ROUND((INT($B88)-$P88)/$Q88,0)*$Q88,IF($R88&gt;0,EDATE($P88,ROUND((DATEDIF($P88,INT($B88),"m")+(INT($B88)-EDATE($P88,DATEDIF($P88,INT($B88),"m")))/(EDATE($P88,DATEDIF($P88,INT($B88),"m")+1)-EDATE($P88,DATEDIF($P88,INT($B88),"m"))))/$R88,0)*$R88),$P88))))),"")))</f>
      </c>
      <c r="M88" s="223">
        <f>IF(OR($C88="",N($L88)=0,N($B88)=0),"",IF(IF(MOD($L88,1)=0,INT($B88),$B88)&lt;=$L88,"Đúng hạn","Trễ hạn"))</f>
      </c>
      <c r="N88" s="225">
        <f>IF($C88="","",ROW())</f>
      </c>
      <c r="O88" s="225">
        <f>IF($I88="Công việc",MATCH($C88,'Kế hoạch'!$A$6:$A$305,0),"")</f>
      </c>
      <c r="P88" s="234">
        <f>IF($O88="","",INDEX('Kế hoạch'!$I$6:$I$305,$O88))</f>
      </c>
      <c r="Q88" s="225">
        <f>IF($O88="","",INDEX('Kế hoạch'!$AJ$6:$AJ$305,$O88))</f>
      </c>
      <c r="R88" s="225">
        <f>IF($O88="","",INDEX('Kế hoạch'!$AK$6:$AK$305,$O88))</f>
      </c>
    </row>
    <row r="89">
      <c r="A89" s="223">
        <f>IF($C89="","",COUNTIF($C$6:$C89,"?*"))</f>
      </c>
      <c r="B89" s="217"/>
      <c r="C89" s="216"/>
      <c r="D89" s="240"/>
      <c r="E89" s="218"/>
      <c r="F89" s="218"/>
      <c r="G89" s="218"/>
      <c r="H89" s="219"/>
      <c r="I89" s="223">
        <f>IF($C89="","",IF(ISNUMBER(MATCH($C89,'Phản ánh'!$A$6:$A$505,0)),"Phản ánh",IF(ISNUMBER(MATCH($C89,'Kế hoạch'!$A$6:$A$305,0)),"Công việc","Mã chưa có")))</f>
      </c>
      <c r="J89" s="221">
        <f>IF($I89="Phản ánh",INDEX('Phản ánh'!$C$6:$C$505,MATCH($C89,'Phản ánh'!$A$6:$A$505,0)),IF($I89="Công việc",INDEX('Kế hoạch'!$C$6:$C$305,$O89),""))</f>
      </c>
      <c r="K89" s="221">
        <f>IF($I89="Phản ánh",INDEX('Phản ánh'!$K$6:$K$505,MATCH($C89,'Phản ánh'!$A$6:$A$505,0))&amp;"",IF($I89="Công việc",INDEX('Kế hoạch'!$N$6:$N$305,$O89)&amp;"",""))</f>
      </c>
      <c r="L89" s="220">
        <f>IF(OR($C89="",N($B89)=0),"",IF(AND($I89="Phản ánh",$E89="Đã xử lý"),INDEX('Phản ánh'!$U$6:$U$505,MATCH($C89,'Phản ánh'!$A$6:$A$505,0)),IF(AND($I89="Công việc",OR($E89="Hoàn thành",$E89="Hoàn thành kỳ")),IF(INDEX('Kế hoạch'!$B$6:$B$305,$O89)="Đột xuất",INDEX('Kế hoạch'!$AY$6:$AY$305,$O89),IF(N($P89)=0,"",IF(INT($B89)&lt;$P89,$P89,IF($Q89&gt;0,$P89+ROUND((INT($B89)-$P89)/$Q89,0)*$Q89,IF($R89&gt;0,EDATE($P89,ROUND((DATEDIF($P89,INT($B89),"m")+(INT($B89)-EDATE($P89,DATEDIF($P89,INT($B89),"m")))/(EDATE($P89,DATEDIF($P89,INT($B89),"m")+1)-EDATE($P89,DATEDIF($P89,INT($B89),"m"))))/$R89,0)*$R89),$P89))))),"")))</f>
      </c>
      <c r="M89" s="223">
        <f>IF(OR($C89="",N($L89)=0,N($B89)=0),"",IF(IF(MOD($L89,1)=0,INT($B89),$B89)&lt;=$L89,"Đúng hạn","Trễ hạn"))</f>
      </c>
      <c r="N89" s="225">
        <f>IF($C89="","",ROW())</f>
      </c>
      <c r="O89" s="225">
        <f>IF($I89="Công việc",MATCH($C89,'Kế hoạch'!$A$6:$A$305,0),"")</f>
      </c>
      <c r="P89" s="234">
        <f>IF($O89="","",INDEX('Kế hoạch'!$I$6:$I$305,$O89))</f>
      </c>
      <c r="Q89" s="225">
        <f>IF($O89="","",INDEX('Kế hoạch'!$AJ$6:$AJ$305,$O89))</f>
      </c>
      <c r="R89" s="225">
        <f>IF($O89="","",INDEX('Kế hoạch'!$AK$6:$AK$305,$O89))</f>
      </c>
    </row>
    <row r="90">
      <c r="A90" s="223">
        <f>IF($C90="","",COUNTIF($C$6:$C90,"?*"))</f>
      </c>
      <c r="B90" s="217"/>
      <c r="C90" s="216"/>
      <c r="D90" s="240"/>
      <c r="E90" s="218"/>
      <c r="F90" s="218"/>
      <c r="G90" s="218"/>
      <c r="H90" s="219"/>
      <c r="I90" s="223">
        <f>IF($C90="","",IF(ISNUMBER(MATCH($C90,'Phản ánh'!$A$6:$A$505,0)),"Phản ánh",IF(ISNUMBER(MATCH($C90,'Kế hoạch'!$A$6:$A$305,0)),"Công việc","Mã chưa có")))</f>
      </c>
      <c r="J90" s="221">
        <f>IF($I90="Phản ánh",INDEX('Phản ánh'!$C$6:$C$505,MATCH($C90,'Phản ánh'!$A$6:$A$505,0)),IF($I90="Công việc",INDEX('Kế hoạch'!$C$6:$C$305,$O90),""))</f>
      </c>
      <c r="K90" s="221">
        <f>IF($I90="Phản ánh",INDEX('Phản ánh'!$K$6:$K$505,MATCH($C90,'Phản ánh'!$A$6:$A$505,0))&amp;"",IF($I90="Công việc",INDEX('Kế hoạch'!$N$6:$N$305,$O90)&amp;"",""))</f>
      </c>
      <c r="L90" s="220">
        <f>IF(OR($C90="",N($B90)=0),"",IF(AND($I90="Phản ánh",$E90="Đã xử lý"),INDEX('Phản ánh'!$U$6:$U$505,MATCH($C90,'Phản ánh'!$A$6:$A$505,0)),IF(AND($I90="Công việc",OR($E90="Hoàn thành",$E90="Hoàn thành kỳ")),IF(INDEX('Kế hoạch'!$B$6:$B$305,$O90)="Đột xuất",INDEX('Kế hoạch'!$AY$6:$AY$305,$O90),IF(N($P90)=0,"",IF(INT($B90)&lt;$P90,$P90,IF($Q90&gt;0,$P90+ROUND((INT($B90)-$P90)/$Q90,0)*$Q90,IF($R90&gt;0,EDATE($P90,ROUND((DATEDIF($P90,INT($B90),"m")+(INT($B90)-EDATE($P90,DATEDIF($P90,INT($B90),"m")))/(EDATE($P90,DATEDIF($P90,INT($B90),"m")+1)-EDATE($P90,DATEDIF($P90,INT($B90),"m"))))/$R90,0)*$R90),$P90))))),"")))</f>
      </c>
      <c r="M90" s="223">
        <f>IF(OR($C90="",N($L90)=0,N($B90)=0),"",IF(IF(MOD($L90,1)=0,INT($B90),$B90)&lt;=$L90,"Đúng hạn","Trễ hạn"))</f>
      </c>
      <c r="N90" s="225">
        <f>IF($C90="","",ROW())</f>
      </c>
      <c r="O90" s="225">
        <f>IF($I90="Công việc",MATCH($C90,'Kế hoạch'!$A$6:$A$305,0),"")</f>
      </c>
      <c r="P90" s="234">
        <f>IF($O90="","",INDEX('Kế hoạch'!$I$6:$I$305,$O90))</f>
      </c>
      <c r="Q90" s="225">
        <f>IF($O90="","",INDEX('Kế hoạch'!$AJ$6:$AJ$305,$O90))</f>
      </c>
      <c r="R90" s="225">
        <f>IF($O90="","",INDEX('Kế hoạch'!$AK$6:$AK$305,$O90))</f>
      </c>
    </row>
    <row r="91">
      <c r="A91" s="223">
        <f>IF($C91="","",COUNTIF($C$6:$C91,"?*"))</f>
      </c>
      <c r="B91" s="217"/>
      <c r="C91" s="216"/>
      <c r="D91" s="240"/>
      <c r="E91" s="218"/>
      <c r="F91" s="218"/>
      <c r="G91" s="218"/>
      <c r="H91" s="219"/>
      <c r="I91" s="223">
        <f>IF($C91="","",IF(ISNUMBER(MATCH($C91,'Phản ánh'!$A$6:$A$505,0)),"Phản ánh",IF(ISNUMBER(MATCH($C91,'Kế hoạch'!$A$6:$A$305,0)),"Công việc","Mã chưa có")))</f>
      </c>
      <c r="J91" s="221">
        <f>IF($I91="Phản ánh",INDEX('Phản ánh'!$C$6:$C$505,MATCH($C91,'Phản ánh'!$A$6:$A$505,0)),IF($I91="Công việc",INDEX('Kế hoạch'!$C$6:$C$305,$O91),""))</f>
      </c>
      <c r="K91" s="221">
        <f>IF($I91="Phản ánh",INDEX('Phản ánh'!$K$6:$K$505,MATCH($C91,'Phản ánh'!$A$6:$A$505,0))&amp;"",IF($I91="Công việc",INDEX('Kế hoạch'!$N$6:$N$305,$O91)&amp;"",""))</f>
      </c>
      <c r="L91" s="220">
        <f>IF(OR($C91="",N($B91)=0),"",IF(AND($I91="Phản ánh",$E91="Đã xử lý"),INDEX('Phản ánh'!$U$6:$U$505,MATCH($C91,'Phản ánh'!$A$6:$A$505,0)),IF(AND($I91="Công việc",OR($E91="Hoàn thành",$E91="Hoàn thành kỳ")),IF(INDEX('Kế hoạch'!$B$6:$B$305,$O91)="Đột xuất",INDEX('Kế hoạch'!$AY$6:$AY$305,$O91),IF(N($P91)=0,"",IF(INT($B91)&lt;$P91,$P91,IF($Q91&gt;0,$P91+ROUND((INT($B91)-$P91)/$Q91,0)*$Q91,IF($R91&gt;0,EDATE($P91,ROUND((DATEDIF($P91,INT($B91),"m")+(INT($B91)-EDATE($P91,DATEDIF($P91,INT($B91),"m")))/(EDATE($P91,DATEDIF($P91,INT($B91),"m")+1)-EDATE($P91,DATEDIF($P91,INT($B91),"m"))))/$R91,0)*$R91),$P91))))),"")))</f>
      </c>
      <c r="M91" s="223">
        <f>IF(OR($C91="",N($L91)=0,N($B91)=0),"",IF(IF(MOD($L91,1)=0,INT($B91),$B91)&lt;=$L91,"Đúng hạn","Trễ hạn"))</f>
      </c>
      <c r="N91" s="225">
        <f>IF($C91="","",ROW())</f>
      </c>
      <c r="O91" s="225">
        <f>IF($I91="Công việc",MATCH($C91,'Kế hoạch'!$A$6:$A$305,0),"")</f>
      </c>
      <c r="P91" s="234">
        <f>IF($O91="","",INDEX('Kế hoạch'!$I$6:$I$305,$O91))</f>
      </c>
      <c r="Q91" s="225">
        <f>IF($O91="","",INDEX('Kế hoạch'!$AJ$6:$AJ$305,$O91))</f>
      </c>
      <c r="R91" s="225">
        <f>IF($O91="","",INDEX('Kế hoạch'!$AK$6:$AK$305,$O91))</f>
      </c>
    </row>
    <row r="92">
      <c r="A92" s="223">
        <f>IF($C92="","",COUNTIF($C$6:$C92,"?*"))</f>
      </c>
      <c r="B92" s="217"/>
      <c r="C92" s="216"/>
      <c r="D92" s="240"/>
      <c r="E92" s="218"/>
      <c r="F92" s="218"/>
      <c r="G92" s="218"/>
      <c r="H92" s="219"/>
      <c r="I92" s="223">
        <f>IF($C92="","",IF(ISNUMBER(MATCH($C92,'Phản ánh'!$A$6:$A$505,0)),"Phản ánh",IF(ISNUMBER(MATCH($C92,'Kế hoạch'!$A$6:$A$305,0)),"Công việc","Mã chưa có")))</f>
      </c>
      <c r="J92" s="221">
        <f>IF($I92="Phản ánh",INDEX('Phản ánh'!$C$6:$C$505,MATCH($C92,'Phản ánh'!$A$6:$A$505,0)),IF($I92="Công việc",INDEX('Kế hoạch'!$C$6:$C$305,$O92),""))</f>
      </c>
      <c r="K92" s="221">
        <f>IF($I92="Phản ánh",INDEX('Phản ánh'!$K$6:$K$505,MATCH($C92,'Phản ánh'!$A$6:$A$505,0))&amp;"",IF($I92="Công việc",INDEX('Kế hoạch'!$N$6:$N$305,$O92)&amp;"",""))</f>
      </c>
      <c r="L92" s="220">
        <f>IF(OR($C92="",N($B92)=0),"",IF(AND($I92="Phản ánh",$E92="Đã xử lý"),INDEX('Phản ánh'!$U$6:$U$505,MATCH($C92,'Phản ánh'!$A$6:$A$505,0)),IF(AND($I92="Công việc",OR($E92="Hoàn thành",$E92="Hoàn thành kỳ")),IF(INDEX('Kế hoạch'!$B$6:$B$305,$O92)="Đột xuất",INDEX('Kế hoạch'!$AY$6:$AY$305,$O92),IF(N($P92)=0,"",IF(INT($B92)&lt;$P92,$P92,IF($Q92&gt;0,$P92+ROUND((INT($B92)-$P92)/$Q92,0)*$Q92,IF($R92&gt;0,EDATE($P92,ROUND((DATEDIF($P92,INT($B92),"m")+(INT($B92)-EDATE($P92,DATEDIF($P92,INT($B92),"m")))/(EDATE($P92,DATEDIF($P92,INT($B92),"m")+1)-EDATE($P92,DATEDIF($P92,INT($B92),"m"))))/$R92,0)*$R92),$P92))))),"")))</f>
      </c>
      <c r="M92" s="223">
        <f>IF(OR($C92="",N($L92)=0,N($B92)=0),"",IF(IF(MOD($L92,1)=0,INT($B92),$B92)&lt;=$L92,"Đúng hạn","Trễ hạn"))</f>
      </c>
      <c r="N92" s="225">
        <f>IF($C92="","",ROW())</f>
      </c>
      <c r="O92" s="225">
        <f>IF($I92="Công việc",MATCH($C92,'Kế hoạch'!$A$6:$A$305,0),"")</f>
      </c>
      <c r="P92" s="234">
        <f>IF($O92="","",INDEX('Kế hoạch'!$I$6:$I$305,$O92))</f>
      </c>
      <c r="Q92" s="225">
        <f>IF($O92="","",INDEX('Kế hoạch'!$AJ$6:$AJ$305,$O92))</f>
      </c>
      <c r="R92" s="225">
        <f>IF($O92="","",INDEX('Kế hoạch'!$AK$6:$AK$305,$O92))</f>
      </c>
    </row>
    <row r="93">
      <c r="A93" s="223">
        <f>IF($C93="","",COUNTIF($C$6:$C93,"?*"))</f>
      </c>
      <c r="B93" s="217"/>
      <c r="C93" s="216"/>
      <c r="D93" s="240"/>
      <c r="E93" s="218"/>
      <c r="F93" s="218"/>
      <c r="G93" s="218"/>
      <c r="H93" s="219"/>
      <c r="I93" s="223">
        <f>IF($C93="","",IF(ISNUMBER(MATCH($C93,'Phản ánh'!$A$6:$A$505,0)),"Phản ánh",IF(ISNUMBER(MATCH($C93,'Kế hoạch'!$A$6:$A$305,0)),"Công việc","Mã chưa có")))</f>
      </c>
      <c r="J93" s="221">
        <f>IF($I93="Phản ánh",INDEX('Phản ánh'!$C$6:$C$505,MATCH($C93,'Phản ánh'!$A$6:$A$505,0)),IF($I93="Công việc",INDEX('Kế hoạch'!$C$6:$C$305,$O93),""))</f>
      </c>
      <c r="K93" s="221">
        <f>IF($I93="Phản ánh",INDEX('Phản ánh'!$K$6:$K$505,MATCH($C93,'Phản ánh'!$A$6:$A$505,0))&amp;"",IF($I93="Công việc",INDEX('Kế hoạch'!$N$6:$N$305,$O93)&amp;"",""))</f>
      </c>
      <c r="L93" s="220">
        <f>IF(OR($C93="",N($B93)=0),"",IF(AND($I93="Phản ánh",$E93="Đã xử lý"),INDEX('Phản ánh'!$U$6:$U$505,MATCH($C93,'Phản ánh'!$A$6:$A$505,0)),IF(AND($I93="Công việc",OR($E93="Hoàn thành",$E93="Hoàn thành kỳ")),IF(INDEX('Kế hoạch'!$B$6:$B$305,$O93)="Đột xuất",INDEX('Kế hoạch'!$AY$6:$AY$305,$O93),IF(N($P93)=0,"",IF(INT($B93)&lt;$P93,$P93,IF($Q93&gt;0,$P93+ROUND((INT($B93)-$P93)/$Q93,0)*$Q93,IF($R93&gt;0,EDATE($P93,ROUND((DATEDIF($P93,INT($B93),"m")+(INT($B93)-EDATE($P93,DATEDIF($P93,INT($B93),"m")))/(EDATE($P93,DATEDIF($P93,INT($B93),"m")+1)-EDATE($P93,DATEDIF($P93,INT($B93),"m"))))/$R93,0)*$R93),$P93))))),"")))</f>
      </c>
      <c r="M93" s="223">
        <f>IF(OR($C93="",N($L93)=0,N($B93)=0),"",IF(IF(MOD($L93,1)=0,INT($B93),$B93)&lt;=$L93,"Đúng hạn","Trễ hạn"))</f>
      </c>
      <c r="N93" s="225">
        <f>IF($C93="","",ROW())</f>
      </c>
      <c r="O93" s="225">
        <f>IF($I93="Công việc",MATCH($C93,'Kế hoạch'!$A$6:$A$305,0),"")</f>
      </c>
      <c r="P93" s="234">
        <f>IF($O93="","",INDEX('Kế hoạch'!$I$6:$I$305,$O93))</f>
      </c>
      <c r="Q93" s="225">
        <f>IF($O93="","",INDEX('Kế hoạch'!$AJ$6:$AJ$305,$O93))</f>
      </c>
      <c r="R93" s="225">
        <f>IF($O93="","",INDEX('Kế hoạch'!$AK$6:$AK$305,$O93))</f>
      </c>
    </row>
    <row r="94">
      <c r="A94" s="223">
        <f>IF($C94="","",COUNTIF($C$6:$C94,"?*"))</f>
      </c>
      <c r="B94" s="217"/>
      <c r="C94" s="216"/>
      <c r="D94" s="240"/>
      <c r="E94" s="218"/>
      <c r="F94" s="218"/>
      <c r="G94" s="218"/>
      <c r="H94" s="219"/>
      <c r="I94" s="223">
        <f>IF($C94="","",IF(ISNUMBER(MATCH($C94,'Phản ánh'!$A$6:$A$505,0)),"Phản ánh",IF(ISNUMBER(MATCH($C94,'Kế hoạch'!$A$6:$A$305,0)),"Công việc","Mã chưa có")))</f>
      </c>
      <c r="J94" s="221">
        <f>IF($I94="Phản ánh",INDEX('Phản ánh'!$C$6:$C$505,MATCH($C94,'Phản ánh'!$A$6:$A$505,0)),IF($I94="Công việc",INDEX('Kế hoạch'!$C$6:$C$305,$O94),""))</f>
      </c>
      <c r="K94" s="221">
        <f>IF($I94="Phản ánh",INDEX('Phản ánh'!$K$6:$K$505,MATCH($C94,'Phản ánh'!$A$6:$A$505,0))&amp;"",IF($I94="Công việc",INDEX('Kế hoạch'!$N$6:$N$305,$O94)&amp;"",""))</f>
      </c>
      <c r="L94" s="220">
        <f>IF(OR($C94="",N($B94)=0),"",IF(AND($I94="Phản ánh",$E94="Đã xử lý"),INDEX('Phản ánh'!$U$6:$U$505,MATCH($C94,'Phản ánh'!$A$6:$A$505,0)),IF(AND($I94="Công việc",OR($E94="Hoàn thành",$E94="Hoàn thành kỳ")),IF(INDEX('Kế hoạch'!$B$6:$B$305,$O94)="Đột xuất",INDEX('Kế hoạch'!$AY$6:$AY$305,$O94),IF(N($P94)=0,"",IF(INT($B94)&lt;$P94,$P94,IF($Q94&gt;0,$P94+ROUND((INT($B94)-$P94)/$Q94,0)*$Q94,IF($R94&gt;0,EDATE($P94,ROUND((DATEDIF($P94,INT($B94),"m")+(INT($B94)-EDATE($P94,DATEDIF($P94,INT($B94),"m")))/(EDATE($P94,DATEDIF($P94,INT($B94),"m")+1)-EDATE($P94,DATEDIF($P94,INT($B94),"m"))))/$R94,0)*$R94),$P94))))),"")))</f>
      </c>
      <c r="M94" s="223">
        <f>IF(OR($C94="",N($L94)=0,N($B94)=0),"",IF(IF(MOD($L94,1)=0,INT($B94),$B94)&lt;=$L94,"Đúng hạn","Trễ hạn"))</f>
      </c>
      <c r="N94" s="225">
        <f>IF($C94="","",ROW())</f>
      </c>
      <c r="O94" s="225">
        <f>IF($I94="Công việc",MATCH($C94,'Kế hoạch'!$A$6:$A$305,0),"")</f>
      </c>
      <c r="P94" s="234">
        <f>IF($O94="","",INDEX('Kế hoạch'!$I$6:$I$305,$O94))</f>
      </c>
      <c r="Q94" s="225">
        <f>IF($O94="","",INDEX('Kế hoạch'!$AJ$6:$AJ$305,$O94))</f>
      </c>
      <c r="R94" s="225">
        <f>IF($O94="","",INDEX('Kế hoạch'!$AK$6:$AK$305,$O94))</f>
      </c>
    </row>
    <row r="95">
      <c r="A95" s="223">
        <f>IF($C95="","",COUNTIF($C$6:$C95,"?*"))</f>
      </c>
      <c r="B95" s="217"/>
      <c r="C95" s="216"/>
      <c r="D95" s="240"/>
      <c r="E95" s="218"/>
      <c r="F95" s="218"/>
      <c r="G95" s="218"/>
      <c r="H95" s="219"/>
      <c r="I95" s="223">
        <f>IF($C95="","",IF(ISNUMBER(MATCH($C95,'Phản ánh'!$A$6:$A$505,0)),"Phản ánh",IF(ISNUMBER(MATCH($C95,'Kế hoạch'!$A$6:$A$305,0)),"Công việc","Mã chưa có")))</f>
      </c>
      <c r="J95" s="221">
        <f>IF($I95="Phản ánh",INDEX('Phản ánh'!$C$6:$C$505,MATCH($C95,'Phản ánh'!$A$6:$A$505,0)),IF($I95="Công việc",INDEX('Kế hoạch'!$C$6:$C$305,$O95),""))</f>
      </c>
      <c r="K95" s="221">
        <f>IF($I95="Phản ánh",INDEX('Phản ánh'!$K$6:$K$505,MATCH($C95,'Phản ánh'!$A$6:$A$505,0))&amp;"",IF($I95="Công việc",INDEX('Kế hoạch'!$N$6:$N$305,$O95)&amp;"",""))</f>
      </c>
      <c r="L95" s="220">
        <f>IF(OR($C95="",N($B95)=0),"",IF(AND($I95="Phản ánh",$E95="Đã xử lý"),INDEX('Phản ánh'!$U$6:$U$505,MATCH($C95,'Phản ánh'!$A$6:$A$505,0)),IF(AND($I95="Công việc",OR($E95="Hoàn thành",$E95="Hoàn thành kỳ")),IF(INDEX('Kế hoạch'!$B$6:$B$305,$O95)="Đột xuất",INDEX('Kế hoạch'!$AY$6:$AY$305,$O95),IF(N($P95)=0,"",IF(INT($B95)&lt;$P95,$P95,IF($Q95&gt;0,$P95+ROUND((INT($B95)-$P95)/$Q95,0)*$Q95,IF($R95&gt;0,EDATE($P95,ROUND((DATEDIF($P95,INT($B95),"m")+(INT($B95)-EDATE($P95,DATEDIF($P95,INT($B95),"m")))/(EDATE($P95,DATEDIF($P95,INT($B95),"m")+1)-EDATE($P95,DATEDIF($P95,INT($B95),"m"))))/$R95,0)*$R95),$P95))))),"")))</f>
      </c>
      <c r="M95" s="223">
        <f>IF(OR($C95="",N($L95)=0,N($B95)=0),"",IF(IF(MOD($L95,1)=0,INT($B95),$B95)&lt;=$L95,"Đúng hạn","Trễ hạn"))</f>
      </c>
      <c r="N95" s="225">
        <f>IF($C95="","",ROW())</f>
      </c>
      <c r="O95" s="225">
        <f>IF($I95="Công việc",MATCH($C95,'Kế hoạch'!$A$6:$A$305,0),"")</f>
      </c>
      <c r="P95" s="234">
        <f>IF($O95="","",INDEX('Kế hoạch'!$I$6:$I$305,$O95))</f>
      </c>
      <c r="Q95" s="225">
        <f>IF($O95="","",INDEX('Kế hoạch'!$AJ$6:$AJ$305,$O95))</f>
      </c>
      <c r="R95" s="225">
        <f>IF($O95="","",INDEX('Kế hoạch'!$AK$6:$AK$305,$O95))</f>
      </c>
    </row>
    <row r="96">
      <c r="A96" s="223">
        <f>IF($C96="","",COUNTIF($C$6:$C96,"?*"))</f>
      </c>
      <c r="B96" s="217"/>
      <c r="C96" s="216"/>
      <c r="D96" s="240"/>
      <c r="E96" s="218"/>
      <c r="F96" s="218"/>
      <c r="G96" s="218"/>
      <c r="H96" s="219"/>
      <c r="I96" s="223">
        <f>IF($C96="","",IF(ISNUMBER(MATCH($C96,'Phản ánh'!$A$6:$A$505,0)),"Phản ánh",IF(ISNUMBER(MATCH($C96,'Kế hoạch'!$A$6:$A$305,0)),"Công việc","Mã chưa có")))</f>
      </c>
      <c r="J96" s="221">
        <f>IF($I96="Phản ánh",INDEX('Phản ánh'!$C$6:$C$505,MATCH($C96,'Phản ánh'!$A$6:$A$505,0)),IF($I96="Công việc",INDEX('Kế hoạch'!$C$6:$C$305,$O96),""))</f>
      </c>
      <c r="K96" s="221">
        <f>IF($I96="Phản ánh",INDEX('Phản ánh'!$K$6:$K$505,MATCH($C96,'Phản ánh'!$A$6:$A$505,0))&amp;"",IF($I96="Công việc",INDEX('Kế hoạch'!$N$6:$N$305,$O96)&amp;"",""))</f>
      </c>
      <c r="L96" s="220">
        <f>IF(OR($C96="",N($B96)=0),"",IF(AND($I96="Phản ánh",$E96="Đã xử lý"),INDEX('Phản ánh'!$U$6:$U$505,MATCH($C96,'Phản ánh'!$A$6:$A$505,0)),IF(AND($I96="Công việc",OR($E96="Hoàn thành",$E96="Hoàn thành kỳ")),IF(INDEX('Kế hoạch'!$B$6:$B$305,$O96)="Đột xuất",INDEX('Kế hoạch'!$AY$6:$AY$305,$O96),IF(N($P96)=0,"",IF(INT($B96)&lt;$P96,$P96,IF($Q96&gt;0,$P96+ROUND((INT($B96)-$P96)/$Q96,0)*$Q96,IF($R96&gt;0,EDATE($P96,ROUND((DATEDIF($P96,INT($B96),"m")+(INT($B96)-EDATE($P96,DATEDIF($P96,INT($B96),"m")))/(EDATE($P96,DATEDIF($P96,INT($B96),"m")+1)-EDATE($P96,DATEDIF($P96,INT($B96),"m"))))/$R96,0)*$R96),$P96))))),"")))</f>
      </c>
      <c r="M96" s="223">
        <f>IF(OR($C96="",N($L96)=0,N($B96)=0),"",IF(IF(MOD($L96,1)=0,INT($B96),$B96)&lt;=$L96,"Đúng hạn","Trễ hạn"))</f>
      </c>
      <c r="N96" s="225">
        <f>IF($C96="","",ROW())</f>
      </c>
      <c r="O96" s="225">
        <f>IF($I96="Công việc",MATCH($C96,'Kế hoạch'!$A$6:$A$305,0),"")</f>
      </c>
      <c r="P96" s="234">
        <f>IF($O96="","",INDEX('Kế hoạch'!$I$6:$I$305,$O96))</f>
      </c>
      <c r="Q96" s="225">
        <f>IF($O96="","",INDEX('Kế hoạch'!$AJ$6:$AJ$305,$O96))</f>
      </c>
      <c r="R96" s="225">
        <f>IF($O96="","",INDEX('Kế hoạch'!$AK$6:$AK$305,$O96))</f>
      </c>
    </row>
    <row r="97">
      <c r="A97" s="223">
        <f>IF($C97="","",COUNTIF($C$6:$C97,"?*"))</f>
      </c>
      <c r="B97" s="217"/>
      <c r="C97" s="216"/>
      <c r="D97" s="240"/>
      <c r="E97" s="218"/>
      <c r="F97" s="218"/>
      <c r="G97" s="218"/>
      <c r="H97" s="219"/>
      <c r="I97" s="223">
        <f>IF($C97="","",IF(ISNUMBER(MATCH($C97,'Phản ánh'!$A$6:$A$505,0)),"Phản ánh",IF(ISNUMBER(MATCH($C97,'Kế hoạch'!$A$6:$A$305,0)),"Công việc","Mã chưa có")))</f>
      </c>
      <c r="J97" s="221">
        <f>IF($I97="Phản ánh",INDEX('Phản ánh'!$C$6:$C$505,MATCH($C97,'Phản ánh'!$A$6:$A$505,0)),IF($I97="Công việc",INDEX('Kế hoạch'!$C$6:$C$305,$O97),""))</f>
      </c>
      <c r="K97" s="221">
        <f>IF($I97="Phản ánh",INDEX('Phản ánh'!$K$6:$K$505,MATCH($C97,'Phản ánh'!$A$6:$A$505,0))&amp;"",IF($I97="Công việc",INDEX('Kế hoạch'!$N$6:$N$305,$O97)&amp;"",""))</f>
      </c>
      <c r="L97" s="220">
        <f>IF(OR($C97="",N($B97)=0),"",IF(AND($I97="Phản ánh",$E97="Đã xử lý"),INDEX('Phản ánh'!$U$6:$U$505,MATCH($C97,'Phản ánh'!$A$6:$A$505,0)),IF(AND($I97="Công việc",OR($E97="Hoàn thành",$E97="Hoàn thành kỳ")),IF(INDEX('Kế hoạch'!$B$6:$B$305,$O97)="Đột xuất",INDEX('Kế hoạch'!$AY$6:$AY$305,$O97),IF(N($P97)=0,"",IF(INT($B97)&lt;$P97,$P97,IF($Q97&gt;0,$P97+ROUND((INT($B97)-$P97)/$Q97,0)*$Q97,IF($R97&gt;0,EDATE($P97,ROUND((DATEDIF($P97,INT($B97),"m")+(INT($B97)-EDATE($P97,DATEDIF($P97,INT($B97),"m")))/(EDATE($P97,DATEDIF($P97,INT($B97),"m")+1)-EDATE($P97,DATEDIF($P97,INT($B97),"m"))))/$R97,0)*$R97),$P97))))),"")))</f>
      </c>
      <c r="M97" s="223">
        <f>IF(OR($C97="",N($L97)=0,N($B97)=0),"",IF(IF(MOD($L97,1)=0,INT($B97),$B97)&lt;=$L97,"Đúng hạn","Trễ hạn"))</f>
      </c>
      <c r="N97" s="225">
        <f>IF($C97="","",ROW())</f>
      </c>
      <c r="O97" s="225">
        <f>IF($I97="Công việc",MATCH($C97,'Kế hoạch'!$A$6:$A$305,0),"")</f>
      </c>
      <c r="P97" s="234">
        <f>IF($O97="","",INDEX('Kế hoạch'!$I$6:$I$305,$O97))</f>
      </c>
      <c r="Q97" s="225">
        <f>IF($O97="","",INDEX('Kế hoạch'!$AJ$6:$AJ$305,$O97))</f>
      </c>
      <c r="R97" s="225">
        <f>IF($O97="","",INDEX('Kế hoạch'!$AK$6:$AK$305,$O97))</f>
      </c>
    </row>
    <row r="98">
      <c r="A98" s="223">
        <f>IF($C98="","",COUNTIF($C$6:$C98,"?*"))</f>
      </c>
      <c r="B98" s="217"/>
      <c r="C98" s="216"/>
      <c r="D98" s="240"/>
      <c r="E98" s="218"/>
      <c r="F98" s="218"/>
      <c r="G98" s="218"/>
      <c r="H98" s="219"/>
      <c r="I98" s="223">
        <f>IF($C98="","",IF(ISNUMBER(MATCH($C98,'Phản ánh'!$A$6:$A$505,0)),"Phản ánh",IF(ISNUMBER(MATCH($C98,'Kế hoạch'!$A$6:$A$305,0)),"Công việc","Mã chưa có")))</f>
      </c>
      <c r="J98" s="221">
        <f>IF($I98="Phản ánh",INDEX('Phản ánh'!$C$6:$C$505,MATCH($C98,'Phản ánh'!$A$6:$A$505,0)),IF($I98="Công việc",INDEX('Kế hoạch'!$C$6:$C$305,$O98),""))</f>
      </c>
      <c r="K98" s="221">
        <f>IF($I98="Phản ánh",INDEX('Phản ánh'!$K$6:$K$505,MATCH($C98,'Phản ánh'!$A$6:$A$505,0))&amp;"",IF($I98="Công việc",INDEX('Kế hoạch'!$N$6:$N$305,$O98)&amp;"",""))</f>
      </c>
      <c r="L98" s="220">
        <f>IF(OR($C98="",N($B98)=0),"",IF(AND($I98="Phản ánh",$E98="Đã xử lý"),INDEX('Phản ánh'!$U$6:$U$505,MATCH($C98,'Phản ánh'!$A$6:$A$505,0)),IF(AND($I98="Công việc",OR($E98="Hoàn thành",$E98="Hoàn thành kỳ")),IF(INDEX('Kế hoạch'!$B$6:$B$305,$O98)="Đột xuất",INDEX('Kế hoạch'!$AY$6:$AY$305,$O98),IF(N($P98)=0,"",IF(INT($B98)&lt;$P98,$P98,IF($Q98&gt;0,$P98+ROUND((INT($B98)-$P98)/$Q98,0)*$Q98,IF($R98&gt;0,EDATE($P98,ROUND((DATEDIF($P98,INT($B98),"m")+(INT($B98)-EDATE($P98,DATEDIF($P98,INT($B98),"m")))/(EDATE($P98,DATEDIF($P98,INT($B98),"m")+1)-EDATE($P98,DATEDIF($P98,INT($B98),"m"))))/$R98,0)*$R98),$P98))))),"")))</f>
      </c>
      <c r="M98" s="223">
        <f>IF(OR($C98="",N($L98)=0,N($B98)=0),"",IF(IF(MOD($L98,1)=0,INT($B98),$B98)&lt;=$L98,"Đúng hạn","Trễ hạn"))</f>
      </c>
      <c r="N98" s="225">
        <f>IF($C98="","",ROW())</f>
      </c>
      <c r="O98" s="225">
        <f>IF($I98="Công việc",MATCH($C98,'Kế hoạch'!$A$6:$A$305,0),"")</f>
      </c>
      <c r="P98" s="234">
        <f>IF($O98="","",INDEX('Kế hoạch'!$I$6:$I$305,$O98))</f>
      </c>
      <c r="Q98" s="225">
        <f>IF($O98="","",INDEX('Kế hoạch'!$AJ$6:$AJ$305,$O98))</f>
      </c>
      <c r="R98" s="225">
        <f>IF($O98="","",INDEX('Kế hoạch'!$AK$6:$AK$305,$O98))</f>
      </c>
    </row>
    <row r="99">
      <c r="A99" s="223">
        <f>IF($C99="","",COUNTIF($C$6:$C99,"?*"))</f>
      </c>
      <c r="B99" s="217"/>
      <c r="C99" s="216"/>
      <c r="D99" s="240"/>
      <c r="E99" s="218"/>
      <c r="F99" s="218"/>
      <c r="G99" s="218"/>
      <c r="H99" s="219"/>
      <c r="I99" s="223">
        <f>IF($C99="","",IF(ISNUMBER(MATCH($C99,'Phản ánh'!$A$6:$A$505,0)),"Phản ánh",IF(ISNUMBER(MATCH($C99,'Kế hoạch'!$A$6:$A$305,0)),"Công việc","Mã chưa có")))</f>
      </c>
      <c r="J99" s="221">
        <f>IF($I99="Phản ánh",INDEX('Phản ánh'!$C$6:$C$505,MATCH($C99,'Phản ánh'!$A$6:$A$505,0)),IF($I99="Công việc",INDEX('Kế hoạch'!$C$6:$C$305,$O99),""))</f>
      </c>
      <c r="K99" s="221">
        <f>IF($I99="Phản ánh",INDEX('Phản ánh'!$K$6:$K$505,MATCH($C99,'Phản ánh'!$A$6:$A$505,0))&amp;"",IF($I99="Công việc",INDEX('Kế hoạch'!$N$6:$N$305,$O99)&amp;"",""))</f>
      </c>
      <c r="L99" s="220">
        <f>IF(OR($C99="",N($B99)=0),"",IF(AND($I99="Phản ánh",$E99="Đã xử lý"),INDEX('Phản ánh'!$U$6:$U$505,MATCH($C99,'Phản ánh'!$A$6:$A$505,0)),IF(AND($I99="Công việc",OR($E99="Hoàn thành",$E99="Hoàn thành kỳ")),IF(INDEX('Kế hoạch'!$B$6:$B$305,$O99)="Đột xuất",INDEX('Kế hoạch'!$AY$6:$AY$305,$O99),IF(N($P99)=0,"",IF(INT($B99)&lt;$P99,$P99,IF($Q99&gt;0,$P99+ROUND((INT($B99)-$P99)/$Q99,0)*$Q99,IF($R99&gt;0,EDATE($P99,ROUND((DATEDIF($P99,INT($B99),"m")+(INT($B99)-EDATE($P99,DATEDIF($P99,INT($B99),"m")))/(EDATE($P99,DATEDIF($P99,INT($B99),"m")+1)-EDATE($P99,DATEDIF($P99,INT($B99),"m"))))/$R99,0)*$R99),$P99))))),"")))</f>
      </c>
      <c r="M99" s="223">
        <f>IF(OR($C99="",N($L99)=0,N($B99)=0),"",IF(IF(MOD($L99,1)=0,INT($B99),$B99)&lt;=$L99,"Đúng hạn","Trễ hạn"))</f>
      </c>
      <c r="N99" s="225">
        <f>IF($C99="","",ROW())</f>
      </c>
      <c r="O99" s="225">
        <f>IF($I99="Công việc",MATCH($C99,'Kế hoạch'!$A$6:$A$305,0),"")</f>
      </c>
      <c r="P99" s="234">
        <f>IF($O99="","",INDEX('Kế hoạch'!$I$6:$I$305,$O99))</f>
      </c>
      <c r="Q99" s="225">
        <f>IF($O99="","",INDEX('Kế hoạch'!$AJ$6:$AJ$305,$O99))</f>
      </c>
      <c r="R99" s="225">
        <f>IF($O99="","",INDEX('Kế hoạch'!$AK$6:$AK$305,$O99))</f>
      </c>
    </row>
    <row r="100">
      <c r="A100" s="223">
        <f>IF($C100="","",COUNTIF($C$6:$C100,"?*"))</f>
      </c>
      <c r="B100" s="217"/>
      <c r="C100" s="216"/>
      <c r="D100" s="240"/>
      <c r="E100" s="218"/>
      <c r="F100" s="218"/>
      <c r="G100" s="218"/>
      <c r="H100" s="219"/>
      <c r="I100" s="223">
        <f>IF($C100="","",IF(ISNUMBER(MATCH($C100,'Phản ánh'!$A$6:$A$505,0)),"Phản ánh",IF(ISNUMBER(MATCH($C100,'Kế hoạch'!$A$6:$A$305,0)),"Công việc","Mã chưa có")))</f>
      </c>
      <c r="J100" s="221">
        <f>IF($I100="Phản ánh",INDEX('Phản ánh'!$C$6:$C$505,MATCH($C100,'Phản ánh'!$A$6:$A$505,0)),IF($I100="Công việc",INDEX('Kế hoạch'!$C$6:$C$305,$O100),""))</f>
      </c>
      <c r="K100" s="221">
        <f>IF($I100="Phản ánh",INDEX('Phản ánh'!$K$6:$K$505,MATCH($C100,'Phản ánh'!$A$6:$A$505,0))&amp;"",IF($I100="Công việc",INDEX('Kế hoạch'!$N$6:$N$305,$O100)&amp;"",""))</f>
      </c>
      <c r="L100" s="220">
        <f>IF(OR($C100="",N($B100)=0),"",IF(AND($I100="Phản ánh",$E100="Đã xử lý"),INDEX('Phản ánh'!$U$6:$U$505,MATCH($C100,'Phản ánh'!$A$6:$A$505,0)),IF(AND($I100="Công việc",OR($E100="Hoàn thành",$E100="Hoàn thành kỳ")),IF(INDEX('Kế hoạch'!$B$6:$B$305,$O100)="Đột xuất",INDEX('Kế hoạch'!$AY$6:$AY$305,$O100),IF(N($P100)=0,"",IF(INT($B100)&lt;$P100,$P100,IF($Q100&gt;0,$P100+ROUND((INT($B100)-$P100)/$Q100,0)*$Q100,IF($R100&gt;0,EDATE($P100,ROUND((DATEDIF($P100,INT($B100),"m")+(INT($B100)-EDATE($P100,DATEDIF($P100,INT($B100),"m")))/(EDATE($P100,DATEDIF($P100,INT($B100),"m")+1)-EDATE($P100,DATEDIF($P100,INT($B100),"m"))))/$R100,0)*$R100),$P100))))),"")))</f>
      </c>
      <c r="M100" s="223">
        <f>IF(OR($C100="",N($L100)=0,N($B100)=0),"",IF(IF(MOD($L100,1)=0,INT($B100),$B100)&lt;=$L100,"Đúng hạn","Trễ hạn"))</f>
      </c>
      <c r="N100" s="225">
        <f>IF($C100="","",ROW())</f>
      </c>
      <c r="O100" s="225">
        <f>IF($I100="Công việc",MATCH($C100,'Kế hoạch'!$A$6:$A$305,0),"")</f>
      </c>
      <c r="P100" s="234">
        <f>IF($O100="","",INDEX('Kế hoạch'!$I$6:$I$305,$O100))</f>
      </c>
      <c r="Q100" s="225">
        <f>IF($O100="","",INDEX('Kế hoạch'!$AJ$6:$AJ$305,$O100))</f>
      </c>
      <c r="R100" s="225">
        <f>IF($O100="","",INDEX('Kế hoạch'!$AK$6:$AK$305,$O100))</f>
      </c>
    </row>
    <row r="101">
      <c r="A101" s="223">
        <f>IF($C101="","",COUNTIF($C$6:$C101,"?*"))</f>
      </c>
      <c r="B101" s="217"/>
      <c r="C101" s="216"/>
      <c r="D101" s="240"/>
      <c r="E101" s="218"/>
      <c r="F101" s="218"/>
      <c r="G101" s="218"/>
      <c r="H101" s="219"/>
      <c r="I101" s="223">
        <f>IF($C101="","",IF(ISNUMBER(MATCH($C101,'Phản ánh'!$A$6:$A$505,0)),"Phản ánh",IF(ISNUMBER(MATCH($C101,'Kế hoạch'!$A$6:$A$305,0)),"Công việc","Mã chưa có")))</f>
      </c>
      <c r="J101" s="221">
        <f>IF($I101="Phản ánh",INDEX('Phản ánh'!$C$6:$C$505,MATCH($C101,'Phản ánh'!$A$6:$A$505,0)),IF($I101="Công việc",INDEX('Kế hoạch'!$C$6:$C$305,$O101),""))</f>
      </c>
      <c r="K101" s="221">
        <f>IF($I101="Phản ánh",INDEX('Phản ánh'!$K$6:$K$505,MATCH($C101,'Phản ánh'!$A$6:$A$505,0))&amp;"",IF($I101="Công việc",INDEX('Kế hoạch'!$N$6:$N$305,$O101)&amp;"",""))</f>
      </c>
      <c r="L101" s="220">
        <f>IF(OR($C101="",N($B101)=0),"",IF(AND($I101="Phản ánh",$E101="Đã xử lý"),INDEX('Phản ánh'!$U$6:$U$505,MATCH($C101,'Phản ánh'!$A$6:$A$505,0)),IF(AND($I101="Công việc",OR($E101="Hoàn thành",$E101="Hoàn thành kỳ")),IF(INDEX('Kế hoạch'!$B$6:$B$305,$O101)="Đột xuất",INDEX('Kế hoạch'!$AY$6:$AY$305,$O101),IF(N($P101)=0,"",IF(INT($B101)&lt;$P101,$P101,IF($Q101&gt;0,$P101+ROUND((INT($B101)-$P101)/$Q101,0)*$Q101,IF($R101&gt;0,EDATE($P101,ROUND((DATEDIF($P101,INT($B101),"m")+(INT($B101)-EDATE($P101,DATEDIF($P101,INT($B101),"m")))/(EDATE($P101,DATEDIF($P101,INT($B101),"m")+1)-EDATE($P101,DATEDIF($P101,INT($B101),"m"))))/$R101,0)*$R101),$P101))))),"")))</f>
      </c>
      <c r="M101" s="223">
        <f>IF(OR($C101="",N($L101)=0,N($B101)=0),"",IF(IF(MOD($L101,1)=0,INT($B101),$B101)&lt;=$L101,"Đúng hạn","Trễ hạn"))</f>
      </c>
      <c r="N101" s="225">
        <f>IF($C101="","",ROW())</f>
      </c>
      <c r="O101" s="225">
        <f>IF($I101="Công việc",MATCH($C101,'Kế hoạch'!$A$6:$A$305,0),"")</f>
      </c>
      <c r="P101" s="234">
        <f>IF($O101="","",INDEX('Kế hoạch'!$I$6:$I$305,$O101))</f>
      </c>
      <c r="Q101" s="225">
        <f>IF($O101="","",INDEX('Kế hoạch'!$AJ$6:$AJ$305,$O101))</f>
      </c>
      <c r="R101" s="225">
        <f>IF($O101="","",INDEX('Kế hoạch'!$AK$6:$AK$305,$O101))</f>
      </c>
    </row>
    <row r="102">
      <c r="A102" s="223">
        <f>IF($C102="","",COUNTIF($C$6:$C102,"?*"))</f>
      </c>
      <c r="B102" s="217"/>
      <c r="C102" s="216"/>
      <c r="D102" s="240"/>
      <c r="E102" s="218"/>
      <c r="F102" s="218"/>
      <c r="G102" s="218"/>
      <c r="H102" s="219"/>
      <c r="I102" s="223">
        <f>IF($C102="","",IF(ISNUMBER(MATCH($C102,'Phản ánh'!$A$6:$A$505,0)),"Phản ánh",IF(ISNUMBER(MATCH($C102,'Kế hoạch'!$A$6:$A$305,0)),"Công việc","Mã chưa có")))</f>
      </c>
      <c r="J102" s="221">
        <f>IF($I102="Phản ánh",INDEX('Phản ánh'!$C$6:$C$505,MATCH($C102,'Phản ánh'!$A$6:$A$505,0)),IF($I102="Công việc",INDEX('Kế hoạch'!$C$6:$C$305,$O102),""))</f>
      </c>
      <c r="K102" s="221">
        <f>IF($I102="Phản ánh",INDEX('Phản ánh'!$K$6:$K$505,MATCH($C102,'Phản ánh'!$A$6:$A$505,0))&amp;"",IF($I102="Công việc",INDEX('Kế hoạch'!$N$6:$N$305,$O102)&amp;"",""))</f>
      </c>
      <c r="L102" s="220">
        <f>IF(OR($C102="",N($B102)=0),"",IF(AND($I102="Phản ánh",$E102="Đã xử lý"),INDEX('Phản ánh'!$U$6:$U$505,MATCH($C102,'Phản ánh'!$A$6:$A$505,0)),IF(AND($I102="Công việc",OR($E102="Hoàn thành",$E102="Hoàn thành kỳ")),IF(INDEX('Kế hoạch'!$B$6:$B$305,$O102)="Đột xuất",INDEX('Kế hoạch'!$AY$6:$AY$305,$O102),IF(N($P102)=0,"",IF(INT($B102)&lt;$P102,$P102,IF($Q102&gt;0,$P102+ROUND((INT($B102)-$P102)/$Q102,0)*$Q102,IF($R102&gt;0,EDATE($P102,ROUND((DATEDIF($P102,INT($B102),"m")+(INT($B102)-EDATE($P102,DATEDIF($P102,INT($B102),"m")))/(EDATE($P102,DATEDIF($P102,INT($B102),"m")+1)-EDATE($P102,DATEDIF($P102,INT($B102),"m"))))/$R102,0)*$R102),$P102))))),"")))</f>
      </c>
      <c r="M102" s="223">
        <f>IF(OR($C102="",N($L102)=0,N($B102)=0),"",IF(IF(MOD($L102,1)=0,INT($B102),$B102)&lt;=$L102,"Đúng hạn","Trễ hạn"))</f>
      </c>
      <c r="N102" s="225">
        <f>IF($C102="","",ROW())</f>
      </c>
      <c r="O102" s="225">
        <f>IF($I102="Công việc",MATCH($C102,'Kế hoạch'!$A$6:$A$305,0),"")</f>
      </c>
      <c r="P102" s="234">
        <f>IF($O102="","",INDEX('Kế hoạch'!$I$6:$I$305,$O102))</f>
      </c>
      <c r="Q102" s="225">
        <f>IF($O102="","",INDEX('Kế hoạch'!$AJ$6:$AJ$305,$O102))</f>
      </c>
      <c r="R102" s="225">
        <f>IF($O102="","",INDEX('Kế hoạch'!$AK$6:$AK$305,$O102))</f>
      </c>
    </row>
    <row r="103">
      <c r="A103" s="223">
        <f>IF($C103="","",COUNTIF($C$6:$C103,"?*"))</f>
      </c>
      <c r="B103" s="217"/>
      <c r="C103" s="216"/>
      <c r="D103" s="240"/>
      <c r="E103" s="218"/>
      <c r="F103" s="218"/>
      <c r="G103" s="218"/>
      <c r="H103" s="219"/>
      <c r="I103" s="223">
        <f>IF($C103="","",IF(ISNUMBER(MATCH($C103,'Phản ánh'!$A$6:$A$505,0)),"Phản ánh",IF(ISNUMBER(MATCH($C103,'Kế hoạch'!$A$6:$A$305,0)),"Công việc","Mã chưa có")))</f>
      </c>
      <c r="J103" s="221">
        <f>IF($I103="Phản ánh",INDEX('Phản ánh'!$C$6:$C$505,MATCH($C103,'Phản ánh'!$A$6:$A$505,0)),IF($I103="Công việc",INDEX('Kế hoạch'!$C$6:$C$305,$O103),""))</f>
      </c>
      <c r="K103" s="221">
        <f>IF($I103="Phản ánh",INDEX('Phản ánh'!$K$6:$K$505,MATCH($C103,'Phản ánh'!$A$6:$A$505,0))&amp;"",IF($I103="Công việc",INDEX('Kế hoạch'!$N$6:$N$305,$O103)&amp;"",""))</f>
      </c>
      <c r="L103" s="220">
        <f>IF(OR($C103="",N($B103)=0),"",IF(AND($I103="Phản ánh",$E103="Đã xử lý"),INDEX('Phản ánh'!$U$6:$U$505,MATCH($C103,'Phản ánh'!$A$6:$A$505,0)),IF(AND($I103="Công việc",OR($E103="Hoàn thành",$E103="Hoàn thành kỳ")),IF(INDEX('Kế hoạch'!$B$6:$B$305,$O103)="Đột xuất",INDEX('Kế hoạch'!$AY$6:$AY$305,$O103),IF(N($P103)=0,"",IF(INT($B103)&lt;$P103,$P103,IF($Q103&gt;0,$P103+ROUND((INT($B103)-$P103)/$Q103,0)*$Q103,IF($R103&gt;0,EDATE($P103,ROUND((DATEDIF($P103,INT($B103),"m")+(INT($B103)-EDATE($P103,DATEDIF($P103,INT($B103),"m")))/(EDATE($P103,DATEDIF($P103,INT($B103),"m")+1)-EDATE($P103,DATEDIF($P103,INT($B103),"m"))))/$R103,0)*$R103),$P103))))),"")))</f>
      </c>
      <c r="M103" s="223">
        <f>IF(OR($C103="",N($L103)=0,N($B103)=0),"",IF(IF(MOD($L103,1)=0,INT($B103),$B103)&lt;=$L103,"Đúng hạn","Trễ hạn"))</f>
      </c>
      <c r="N103" s="225">
        <f>IF($C103="","",ROW())</f>
      </c>
      <c r="O103" s="225">
        <f>IF($I103="Công việc",MATCH($C103,'Kế hoạch'!$A$6:$A$305,0),"")</f>
      </c>
      <c r="P103" s="234">
        <f>IF($O103="","",INDEX('Kế hoạch'!$I$6:$I$305,$O103))</f>
      </c>
      <c r="Q103" s="225">
        <f>IF($O103="","",INDEX('Kế hoạch'!$AJ$6:$AJ$305,$O103))</f>
      </c>
      <c r="R103" s="225">
        <f>IF($O103="","",INDEX('Kế hoạch'!$AK$6:$AK$305,$O103))</f>
      </c>
    </row>
    <row r="104">
      <c r="A104" s="223">
        <f>IF($C104="","",COUNTIF($C$6:$C104,"?*"))</f>
      </c>
      <c r="B104" s="217"/>
      <c r="C104" s="216"/>
      <c r="D104" s="240"/>
      <c r="E104" s="218"/>
      <c r="F104" s="218"/>
      <c r="G104" s="218"/>
      <c r="H104" s="219"/>
      <c r="I104" s="223">
        <f>IF($C104="","",IF(ISNUMBER(MATCH($C104,'Phản ánh'!$A$6:$A$505,0)),"Phản ánh",IF(ISNUMBER(MATCH($C104,'Kế hoạch'!$A$6:$A$305,0)),"Công việc","Mã chưa có")))</f>
      </c>
      <c r="J104" s="221">
        <f>IF($I104="Phản ánh",INDEX('Phản ánh'!$C$6:$C$505,MATCH($C104,'Phản ánh'!$A$6:$A$505,0)),IF($I104="Công việc",INDEX('Kế hoạch'!$C$6:$C$305,$O104),""))</f>
      </c>
      <c r="K104" s="221">
        <f>IF($I104="Phản ánh",INDEX('Phản ánh'!$K$6:$K$505,MATCH($C104,'Phản ánh'!$A$6:$A$505,0))&amp;"",IF($I104="Công việc",INDEX('Kế hoạch'!$N$6:$N$305,$O104)&amp;"",""))</f>
      </c>
      <c r="L104" s="220">
        <f>IF(OR($C104="",N($B104)=0),"",IF(AND($I104="Phản ánh",$E104="Đã xử lý"),INDEX('Phản ánh'!$U$6:$U$505,MATCH($C104,'Phản ánh'!$A$6:$A$505,0)),IF(AND($I104="Công việc",OR($E104="Hoàn thành",$E104="Hoàn thành kỳ")),IF(INDEX('Kế hoạch'!$B$6:$B$305,$O104)="Đột xuất",INDEX('Kế hoạch'!$AY$6:$AY$305,$O104),IF(N($P104)=0,"",IF(INT($B104)&lt;$P104,$P104,IF($Q104&gt;0,$P104+ROUND((INT($B104)-$P104)/$Q104,0)*$Q104,IF($R104&gt;0,EDATE($P104,ROUND((DATEDIF($P104,INT($B104),"m")+(INT($B104)-EDATE($P104,DATEDIF($P104,INT($B104),"m")))/(EDATE($P104,DATEDIF($P104,INT($B104),"m")+1)-EDATE($P104,DATEDIF($P104,INT($B104),"m"))))/$R104,0)*$R104),$P104))))),"")))</f>
      </c>
      <c r="M104" s="223">
        <f>IF(OR($C104="",N($L104)=0,N($B104)=0),"",IF(IF(MOD($L104,1)=0,INT($B104),$B104)&lt;=$L104,"Đúng hạn","Trễ hạn"))</f>
      </c>
      <c r="N104" s="225">
        <f>IF($C104="","",ROW())</f>
      </c>
      <c r="O104" s="225">
        <f>IF($I104="Công việc",MATCH($C104,'Kế hoạch'!$A$6:$A$305,0),"")</f>
      </c>
      <c r="P104" s="234">
        <f>IF($O104="","",INDEX('Kế hoạch'!$I$6:$I$305,$O104))</f>
      </c>
      <c r="Q104" s="225">
        <f>IF($O104="","",INDEX('Kế hoạch'!$AJ$6:$AJ$305,$O104))</f>
      </c>
      <c r="R104" s="225">
        <f>IF($O104="","",INDEX('Kế hoạch'!$AK$6:$AK$305,$O104))</f>
      </c>
    </row>
    <row r="105">
      <c r="A105" s="223">
        <f>IF($C105="","",COUNTIF($C$6:$C105,"?*"))</f>
      </c>
      <c r="B105" s="217"/>
      <c r="C105" s="216"/>
      <c r="D105" s="240"/>
      <c r="E105" s="218"/>
      <c r="F105" s="218"/>
      <c r="G105" s="218"/>
      <c r="H105" s="219"/>
      <c r="I105" s="223">
        <f>IF($C105="","",IF(ISNUMBER(MATCH($C105,'Phản ánh'!$A$6:$A$505,0)),"Phản ánh",IF(ISNUMBER(MATCH($C105,'Kế hoạch'!$A$6:$A$305,0)),"Công việc","Mã chưa có")))</f>
      </c>
      <c r="J105" s="221">
        <f>IF($I105="Phản ánh",INDEX('Phản ánh'!$C$6:$C$505,MATCH($C105,'Phản ánh'!$A$6:$A$505,0)),IF($I105="Công việc",INDEX('Kế hoạch'!$C$6:$C$305,$O105),""))</f>
      </c>
      <c r="K105" s="221">
        <f>IF($I105="Phản ánh",INDEX('Phản ánh'!$K$6:$K$505,MATCH($C105,'Phản ánh'!$A$6:$A$505,0))&amp;"",IF($I105="Công việc",INDEX('Kế hoạch'!$N$6:$N$305,$O105)&amp;"",""))</f>
      </c>
      <c r="L105" s="220">
        <f>IF(OR($C105="",N($B105)=0),"",IF(AND($I105="Phản ánh",$E105="Đã xử lý"),INDEX('Phản ánh'!$U$6:$U$505,MATCH($C105,'Phản ánh'!$A$6:$A$505,0)),IF(AND($I105="Công việc",OR($E105="Hoàn thành",$E105="Hoàn thành kỳ")),IF(INDEX('Kế hoạch'!$B$6:$B$305,$O105)="Đột xuất",INDEX('Kế hoạch'!$AY$6:$AY$305,$O105),IF(N($P105)=0,"",IF(INT($B105)&lt;$P105,$P105,IF($Q105&gt;0,$P105+ROUND((INT($B105)-$P105)/$Q105,0)*$Q105,IF($R105&gt;0,EDATE($P105,ROUND((DATEDIF($P105,INT($B105),"m")+(INT($B105)-EDATE($P105,DATEDIF($P105,INT($B105),"m")))/(EDATE($P105,DATEDIF($P105,INT($B105),"m")+1)-EDATE($P105,DATEDIF($P105,INT($B105),"m"))))/$R105,0)*$R105),$P105))))),"")))</f>
      </c>
      <c r="M105" s="223">
        <f>IF(OR($C105="",N($L105)=0,N($B105)=0),"",IF(IF(MOD($L105,1)=0,INT($B105),$B105)&lt;=$L105,"Đúng hạn","Trễ hạn"))</f>
      </c>
      <c r="N105" s="225">
        <f>IF($C105="","",ROW())</f>
      </c>
      <c r="O105" s="225">
        <f>IF($I105="Công việc",MATCH($C105,'Kế hoạch'!$A$6:$A$305,0),"")</f>
      </c>
      <c r="P105" s="234">
        <f>IF($O105="","",INDEX('Kế hoạch'!$I$6:$I$305,$O105))</f>
      </c>
      <c r="Q105" s="225">
        <f>IF($O105="","",INDEX('Kế hoạch'!$AJ$6:$AJ$305,$O105))</f>
      </c>
      <c r="R105" s="225">
        <f>IF($O105="","",INDEX('Kế hoạch'!$AK$6:$AK$305,$O105))</f>
      </c>
    </row>
    <row r="106">
      <c r="A106" s="223">
        <f>IF($C106="","",COUNTIF($C$6:$C106,"?*"))</f>
      </c>
      <c r="B106" s="217"/>
      <c r="C106" s="216"/>
      <c r="D106" s="240"/>
      <c r="E106" s="218"/>
      <c r="F106" s="218"/>
      <c r="G106" s="218"/>
      <c r="H106" s="219"/>
      <c r="I106" s="223">
        <f>IF($C106="","",IF(ISNUMBER(MATCH($C106,'Phản ánh'!$A$6:$A$505,0)),"Phản ánh",IF(ISNUMBER(MATCH($C106,'Kế hoạch'!$A$6:$A$305,0)),"Công việc","Mã chưa có")))</f>
      </c>
      <c r="J106" s="221">
        <f>IF($I106="Phản ánh",INDEX('Phản ánh'!$C$6:$C$505,MATCH($C106,'Phản ánh'!$A$6:$A$505,0)),IF($I106="Công việc",INDEX('Kế hoạch'!$C$6:$C$305,$O106),""))</f>
      </c>
      <c r="K106" s="221">
        <f>IF($I106="Phản ánh",INDEX('Phản ánh'!$K$6:$K$505,MATCH($C106,'Phản ánh'!$A$6:$A$505,0))&amp;"",IF($I106="Công việc",INDEX('Kế hoạch'!$N$6:$N$305,$O106)&amp;"",""))</f>
      </c>
      <c r="L106" s="220">
        <f>IF(OR($C106="",N($B106)=0),"",IF(AND($I106="Phản ánh",$E106="Đã xử lý"),INDEX('Phản ánh'!$U$6:$U$505,MATCH($C106,'Phản ánh'!$A$6:$A$505,0)),IF(AND($I106="Công việc",OR($E106="Hoàn thành",$E106="Hoàn thành kỳ")),IF(INDEX('Kế hoạch'!$B$6:$B$305,$O106)="Đột xuất",INDEX('Kế hoạch'!$AY$6:$AY$305,$O106),IF(N($P106)=0,"",IF(INT($B106)&lt;$P106,$P106,IF($Q106&gt;0,$P106+ROUND((INT($B106)-$P106)/$Q106,0)*$Q106,IF($R106&gt;0,EDATE($P106,ROUND((DATEDIF($P106,INT($B106),"m")+(INT($B106)-EDATE($P106,DATEDIF($P106,INT($B106),"m")))/(EDATE($P106,DATEDIF($P106,INT($B106),"m")+1)-EDATE($P106,DATEDIF($P106,INT($B106),"m"))))/$R106,0)*$R106),$P106))))),"")))</f>
      </c>
      <c r="M106" s="223">
        <f>IF(OR($C106="",N($L106)=0,N($B106)=0),"",IF(IF(MOD($L106,1)=0,INT($B106),$B106)&lt;=$L106,"Đúng hạn","Trễ hạn"))</f>
      </c>
      <c r="N106" s="225">
        <f>IF($C106="","",ROW())</f>
      </c>
      <c r="O106" s="225">
        <f>IF($I106="Công việc",MATCH($C106,'Kế hoạch'!$A$6:$A$305,0),"")</f>
      </c>
      <c r="P106" s="234">
        <f>IF($O106="","",INDEX('Kế hoạch'!$I$6:$I$305,$O106))</f>
      </c>
      <c r="Q106" s="225">
        <f>IF($O106="","",INDEX('Kế hoạch'!$AJ$6:$AJ$305,$O106))</f>
      </c>
      <c r="R106" s="225">
        <f>IF($O106="","",INDEX('Kế hoạch'!$AK$6:$AK$305,$O106))</f>
      </c>
    </row>
    <row r="107">
      <c r="A107" s="223">
        <f>IF($C107="","",COUNTIF($C$6:$C107,"?*"))</f>
      </c>
      <c r="B107" s="217"/>
      <c r="C107" s="216"/>
      <c r="D107" s="240"/>
      <c r="E107" s="218"/>
      <c r="F107" s="218"/>
      <c r="G107" s="218"/>
      <c r="H107" s="219"/>
      <c r="I107" s="223">
        <f>IF($C107="","",IF(ISNUMBER(MATCH($C107,'Phản ánh'!$A$6:$A$505,0)),"Phản ánh",IF(ISNUMBER(MATCH($C107,'Kế hoạch'!$A$6:$A$305,0)),"Công việc","Mã chưa có")))</f>
      </c>
      <c r="J107" s="221">
        <f>IF($I107="Phản ánh",INDEX('Phản ánh'!$C$6:$C$505,MATCH($C107,'Phản ánh'!$A$6:$A$505,0)),IF($I107="Công việc",INDEX('Kế hoạch'!$C$6:$C$305,$O107),""))</f>
      </c>
      <c r="K107" s="221">
        <f>IF($I107="Phản ánh",INDEX('Phản ánh'!$K$6:$K$505,MATCH($C107,'Phản ánh'!$A$6:$A$505,0))&amp;"",IF($I107="Công việc",INDEX('Kế hoạch'!$N$6:$N$305,$O107)&amp;"",""))</f>
      </c>
      <c r="L107" s="220">
        <f>IF(OR($C107="",N($B107)=0),"",IF(AND($I107="Phản ánh",$E107="Đã xử lý"),INDEX('Phản ánh'!$U$6:$U$505,MATCH($C107,'Phản ánh'!$A$6:$A$505,0)),IF(AND($I107="Công việc",OR($E107="Hoàn thành",$E107="Hoàn thành kỳ")),IF(INDEX('Kế hoạch'!$B$6:$B$305,$O107)="Đột xuất",INDEX('Kế hoạch'!$AY$6:$AY$305,$O107),IF(N($P107)=0,"",IF(INT($B107)&lt;$P107,$P107,IF($Q107&gt;0,$P107+ROUND((INT($B107)-$P107)/$Q107,0)*$Q107,IF($R107&gt;0,EDATE($P107,ROUND((DATEDIF($P107,INT($B107),"m")+(INT($B107)-EDATE($P107,DATEDIF($P107,INT($B107),"m")))/(EDATE($P107,DATEDIF($P107,INT($B107),"m")+1)-EDATE($P107,DATEDIF($P107,INT($B107),"m"))))/$R107,0)*$R107),$P107))))),"")))</f>
      </c>
      <c r="M107" s="223">
        <f>IF(OR($C107="",N($L107)=0,N($B107)=0),"",IF(IF(MOD($L107,1)=0,INT($B107),$B107)&lt;=$L107,"Đúng hạn","Trễ hạn"))</f>
      </c>
      <c r="N107" s="225">
        <f>IF($C107="","",ROW())</f>
      </c>
      <c r="O107" s="225">
        <f>IF($I107="Công việc",MATCH($C107,'Kế hoạch'!$A$6:$A$305,0),"")</f>
      </c>
      <c r="P107" s="234">
        <f>IF($O107="","",INDEX('Kế hoạch'!$I$6:$I$305,$O107))</f>
      </c>
      <c r="Q107" s="225">
        <f>IF($O107="","",INDEX('Kế hoạch'!$AJ$6:$AJ$305,$O107))</f>
      </c>
      <c r="R107" s="225">
        <f>IF($O107="","",INDEX('Kế hoạch'!$AK$6:$AK$305,$O107))</f>
      </c>
    </row>
    <row r="108">
      <c r="A108" s="223">
        <f>IF($C108="","",COUNTIF($C$6:$C108,"?*"))</f>
      </c>
      <c r="B108" s="217"/>
      <c r="C108" s="216"/>
      <c r="D108" s="240"/>
      <c r="E108" s="218"/>
      <c r="F108" s="218"/>
      <c r="G108" s="218"/>
      <c r="H108" s="219"/>
      <c r="I108" s="223">
        <f>IF($C108="","",IF(ISNUMBER(MATCH($C108,'Phản ánh'!$A$6:$A$505,0)),"Phản ánh",IF(ISNUMBER(MATCH($C108,'Kế hoạch'!$A$6:$A$305,0)),"Công việc","Mã chưa có")))</f>
      </c>
      <c r="J108" s="221">
        <f>IF($I108="Phản ánh",INDEX('Phản ánh'!$C$6:$C$505,MATCH($C108,'Phản ánh'!$A$6:$A$505,0)),IF($I108="Công việc",INDEX('Kế hoạch'!$C$6:$C$305,$O108),""))</f>
      </c>
      <c r="K108" s="221">
        <f>IF($I108="Phản ánh",INDEX('Phản ánh'!$K$6:$K$505,MATCH($C108,'Phản ánh'!$A$6:$A$505,0))&amp;"",IF($I108="Công việc",INDEX('Kế hoạch'!$N$6:$N$305,$O108)&amp;"",""))</f>
      </c>
      <c r="L108" s="220">
        <f>IF(OR($C108="",N($B108)=0),"",IF(AND($I108="Phản ánh",$E108="Đã xử lý"),INDEX('Phản ánh'!$U$6:$U$505,MATCH($C108,'Phản ánh'!$A$6:$A$505,0)),IF(AND($I108="Công việc",OR($E108="Hoàn thành",$E108="Hoàn thành kỳ")),IF(INDEX('Kế hoạch'!$B$6:$B$305,$O108)="Đột xuất",INDEX('Kế hoạch'!$AY$6:$AY$305,$O108),IF(N($P108)=0,"",IF(INT($B108)&lt;$P108,$P108,IF($Q108&gt;0,$P108+ROUND((INT($B108)-$P108)/$Q108,0)*$Q108,IF($R108&gt;0,EDATE($P108,ROUND((DATEDIF($P108,INT($B108),"m")+(INT($B108)-EDATE($P108,DATEDIF($P108,INT($B108),"m")))/(EDATE($P108,DATEDIF($P108,INT($B108),"m")+1)-EDATE($P108,DATEDIF($P108,INT($B108),"m"))))/$R108,0)*$R108),$P108))))),"")))</f>
      </c>
      <c r="M108" s="223">
        <f>IF(OR($C108="",N($L108)=0,N($B108)=0),"",IF(IF(MOD($L108,1)=0,INT($B108),$B108)&lt;=$L108,"Đúng hạn","Trễ hạn"))</f>
      </c>
      <c r="N108" s="225">
        <f>IF($C108="","",ROW())</f>
      </c>
      <c r="O108" s="225">
        <f>IF($I108="Công việc",MATCH($C108,'Kế hoạch'!$A$6:$A$305,0),"")</f>
      </c>
      <c r="P108" s="234">
        <f>IF($O108="","",INDEX('Kế hoạch'!$I$6:$I$305,$O108))</f>
      </c>
      <c r="Q108" s="225">
        <f>IF($O108="","",INDEX('Kế hoạch'!$AJ$6:$AJ$305,$O108))</f>
      </c>
      <c r="R108" s="225">
        <f>IF($O108="","",INDEX('Kế hoạch'!$AK$6:$AK$305,$O108))</f>
      </c>
    </row>
    <row r="109">
      <c r="A109" s="223">
        <f>IF($C109="","",COUNTIF($C$6:$C109,"?*"))</f>
      </c>
      <c r="B109" s="217"/>
      <c r="C109" s="216"/>
      <c r="D109" s="240"/>
      <c r="E109" s="218"/>
      <c r="F109" s="218"/>
      <c r="G109" s="218"/>
      <c r="H109" s="219"/>
      <c r="I109" s="223">
        <f>IF($C109="","",IF(ISNUMBER(MATCH($C109,'Phản ánh'!$A$6:$A$505,0)),"Phản ánh",IF(ISNUMBER(MATCH($C109,'Kế hoạch'!$A$6:$A$305,0)),"Công việc","Mã chưa có")))</f>
      </c>
      <c r="J109" s="221">
        <f>IF($I109="Phản ánh",INDEX('Phản ánh'!$C$6:$C$505,MATCH($C109,'Phản ánh'!$A$6:$A$505,0)),IF($I109="Công việc",INDEX('Kế hoạch'!$C$6:$C$305,$O109),""))</f>
      </c>
      <c r="K109" s="221">
        <f>IF($I109="Phản ánh",INDEX('Phản ánh'!$K$6:$K$505,MATCH($C109,'Phản ánh'!$A$6:$A$505,0))&amp;"",IF($I109="Công việc",INDEX('Kế hoạch'!$N$6:$N$305,$O109)&amp;"",""))</f>
      </c>
      <c r="L109" s="220">
        <f>IF(OR($C109="",N($B109)=0),"",IF(AND($I109="Phản ánh",$E109="Đã xử lý"),INDEX('Phản ánh'!$U$6:$U$505,MATCH($C109,'Phản ánh'!$A$6:$A$505,0)),IF(AND($I109="Công việc",OR($E109="Hoàn thành",$E109="Hoàn thành kỳ")),IF(INDEX('Kế hoạch'!$B$6:$B$305,$O109)="Đột xuất",INDEX('Kế hoạch'!$AY$6:$AY$305,$O109),IF(N($P109)=0,"",IF(INT($B109)&lt;$P109,$P109,IF($Q109&gt;0,$P109+ROUND((INT($B109)-$P109)/$Q109,0)*$Q109,IF($R109&gt;0,EDATE($P109,ROUND((DATEDIF($P109,INT($B109),"m")+(INT($B109)-EDATE($P109,DATEDIF($P109,INT($B109),"m")))/(EDATE($P109,DATEDIF($P109,INT($B109),"m")+1)-EDATE($P109,DATEDIF($P109,INT($B109),"m"))))/$R109,0)*$R109),$P109))))),"")))</f>
      </c>
      <c r="M109" s="223">
        <f>IF(OR($C109="",N($L109)=0,N($B109)=0),"",IF(IF(MOD($L109,1)=0,INT($B109),$B109)&lt;=$L109,"Đúng hạn","Trễ hạn"))</f>
      </c>
      <c r="N109" s="225">
        <f>IF($C109="","",ROW())</f>
      </c>
      <c r="O109" s="225">
        <f>IF($I109="Công việc",MATCH($C109,'Kế hoạch'!$A$6:$A$305,0),"")</f>
      </c>
      <c r="P109" s="234">
        <f>IF($O109="","",INDEX('Kế hoạch'!$I$6:$I$305,$O109))</f>
      </c>
      <c r="Q109" s="225">
        <f>IF($O109="","",INDEX('Kế hoạch'!$AJ$6:$AJ$305,$O109))</f>
      </c>
      <c r="R109" s="225">
        <f>IF($O109="","",INDEX('Kế hoạch'!$AK$6:$AK$305,$O109))</f>
      </c>
    </row>
    <row r="110">
      <c r="A110" s="223">
        <f>IF($C110="","",COUNTIF($C$6:$C110,"?*"))</f>
      </c>
      <c r="B110" s="217"/>
      <c r="C110" s="216"/>
      <c r="D110" s="240"/>
      <c r="E110" s="218"/>
      <c r="F110" s="218"/>
      <c r="G110" s="218"/>
      <c r="H110" s="219"/>
      <c r="I110" s="223">
        <f>IF($C110="","",IF(ISNUMBER(MATCH($C110,'Phản ánh'!$A$6:$A$505,0)),"Phản ánh",IF(ISNUMBER(MATCH($C110,'Kế hoạch'!$A$6:$A$305,0)),"Công việc","Mã chưa có")))</f>
      </c>
      <c r="J110" s="221">
        <f>IF($I110="Phản ánh",INDEX('Phản ánh'!$C$6:$C$505,MATCH($C110,'Phản ánh'!$A$6:$A$505,0)),IF($I110="Công việc",INDEX('Kế hoạch'!$C$6:$C$305,$O110),""))</f>
      </c>
      <c r="K110" s="221">
        <f>IF($I110="Phản ánh",INDEX('Phản ánh'!$K$6:$K$505,MATCH($C110,'Phản ánh'!$A$6:$A$505,0))&amp;"",IF($I110="Công việc",INDEX('Kế hoạch'!$N$6:$N$305,$O110)&amp;"",""))</f>
      </c>
      <c r="L110" s="220">
        <f>IF(OR($C110="",N($B110)=0),"",IF(AND($I110="Phản ánh",$E110="Đã xử lý"),INDEX('Phản ánh'!$U$6:$U$505,MATCH($C110,'Phản ánh'!$A$6:$A$505,0)),IF(AND($I110="Công việc",OR($E110="Hoàn thành",$E110="Hoàn thành kỳ")),IF(INDEX('Kế hoạch'!$B$6:$B$305,$O110)="Đột xuất",INDEX('Kế hoạch'!$AY$6:$AY$305,$O110),IF(N($P110)=0,"",IF(INT($B110)&lt;$P110,$P110,IF($Q110&gt;0,$P110+ROUND((INT($B110)-$P110)/$Q110,0)*$Q110,IF($R110&gt;0,EDATE($P110,ROUND((DATEDIF($P110,INT($B110),"m")+(INT($B110)-EDATE($P110,DATEDIF($P110,INT($B110),"m")))/(EDATE($P110,DATEDIF($P110,INT($B110),"m")+1)-EDATE($P110,DATEDIF($P110,INT($B110),"m"))))/$R110,0)*$R110),$P110))))),"")))</f>
      </c>
      <c r="M110" s="223">
        <f>IF(OR($C110="",N($L110)=0,N($B110)=0),"",IF(IF(MOD($L110,1)=0,INT($B110),$B110)&lt;=$L110,"Đúng hạn","Trễ hạn"))</f>
      </c>
      <c r="N110" s="225">
        <f>IF($C110="","",ROW())</f>
      </c>
      <c r="O110" s="225">
        <f>IF($I110="Công việc",MATCH($C110,'Kế hoạch'!$A$6:$A$305,0),"")</f>
      </c>
      <c r="P110" s="234">
        <f>IF($O110="","",INDEX('Kế hoạch'!$I$6:$I$305,$O110))</f>
      </c>
      <c r="Q110" s="225">
        <f>IF($O110="","",INDEX('Kế hoạch'!$AJ$6:$AJ$305,$O110))</f>
      </c>
      <c r="R110" s="225">
        <f>IF($O110="","",INDEX('Kế hoạch'!$AK$6:$AK$305,$O110))</f>
      </c>
    </row>
    <row r="111">
      <c r="A111" s="223">
        <f>IF($C111="","",COUNTIF($C$6:$C111,"?*"))</f>
      </c>
      <c r="B111" s="217"/>
      <c r="C111" s="216"/>
      <c r="D111" s="240"/>
      <c r="E111" s="218"/>
      <c r="F111" s="218"/>
      <c r="G111" s="218"/>
      <c r="H111" s="219"/>
      <c r="I111" s="223">
        <f>IF($C111="","",IF(ISNUMBER(MATCH($C111,'Phản ánh'!$A$6:$A$505,0)),"Phản ánh",IF(ISNUMBER(MATCH($C111,'Kế hoạch'!$A$6:$A$305,0)),"Công việc","Mã chưa có")))</f>
      </c>
      <c r="J111" s="221">
        <f>IF($I111="Phản ánh",INDEX('Phản ánh'!$C$6:$C$505,MATCH($C111,'Phản ánh'!$A$6:$A$505,0)),IF($I111="Công việc",INDEX('Kế hoạch'!$C$6:$C$305,$O111),""))</f>
      </c>
      <c r="K111" s="221">
        <f>IF($I111="Phản ánh",INDEX('Phản ánh'!$K$6:$K$505,MATCH($C111,'Phản ánh'!$A$6:$A$505,0))&amp;"",IF($I111="Công việc",INDEX('Kế hoạch'!$N$6:$N$305,$O111)&amp;"",""))</f>
      </c>
      <c r="L111" s="220">
        <f>IF(OR($C111="",N($B111)=0),"",IF(AND($I111="Phản ánh",$E111="Đã xử lý"),INDEX('Phản ánh'!$U$6:$U$505,MATCH($C111,'Phản ánh'!$A$6:$A$505,0)),IF(AND($I111="Công việc",OR($E111="Hoàn thành",$E111="Hoàn thành kỳ")),IF(INDEX('Kế hoạch'!$B$6:$B$305,$O111)="Đột xuất",INDEX('Kế hoạch'!$AY$6:$AY$305,$O111),IF(N($P111)=0,"",IF(INT($B111)&lt;$P111,$P111,IF($Q111&gt;0,$P111+ROUND((INT($B111)-$P111)/$Q111,0)*$Q111,IF($R111&gt;0,EDATE($P111,ROUND((DATEDIF($P111,INT($B111),"m")+(INT($B111)-EDATE($P111,DATEDIF($P111,INT($B111),"m")))/(EDATE($P111,DATEDIF($P111,INT($B111),"m")+1)-EDATE($P111,DATEDIF($P111,INT($B111),"m"))))/$R111,0)*$R111),$P111))))),"")))</f>
      </c>
      <c r="M111" s="223">
        <f>IF(OR($C111="",N($L111)=0,N($B111)=0),"",IF(IF(MOD($L111,1)=0,INT($B111),$B111)&lt;=$L111,"Đúng hạn","Trễ hạn"))</f>
      </c>
      <c r="N111" s="225">
        <f>IF($C111="","",ROW())</f>
      </c>
      <c r="O111" s="225">
        <f>IF($I111="Công việc",MATCH($C111,'Kế hoạch'!$A$6:$A$305,0),"")</f>
      </c>
      <c r="P111" s="234">
        <f>IF($O111="","",INDEX('Kế hoạch'!$I$6:$I$305,$O111))</f>
      </c>
      <c r="Q111" s="225">
        <f>IF($O111="","",INDEX('Kế hoạch'!$AJ$6:$AJ$305,$O111))</f>
      </c>
      <c r="R111" s="225">
        <f>IF($O111="","",INDEX('Kế hoạch'!$AK$6:$AK$305,$O111))</f>
      </c>
    </row>
    <row r="112">
      <c r="A112" s="223">
        <f>IF($C112="","",COUNTIF($C$6:$C112,"?*"))</f>
      </c>
      <c r="B112" s="217"/>
      <c r="C112" s="216"/>
      <c r="D112" s="240"/>
      <c r="E112" s="218"/>
      <c r="F112" s="218"/>
      <c r="G112" s="218"/>
      <c r="H112" s="219"/>
      <c r="I112" s="223">
        <f>IF($C112="","",IF(ISNUMBER(MATCH($C112,'Phản ánh'!$A$6:$A$505,0)),"Phản ánh",IF(ISNUMBER(MATCH($C112,'Kế hoạch'!$A$6:$A$305,0)),"Công việc","Mã chưa có")))</f>
      </c>
      <c r="J112" s="221">
        <f>IF($I112="Phản ánh",INDEX('Phản ánh'!$C$6:$C$505,MATCH($C112,'Phản ánh'!$A$6:$A$505,0)),IF($I112="Công việc",INDEX('Kế hoạch'!$C$6:$C$305,$O112),""))</f>
      </c>
      <c r="K112" s="221">
        <f>IF($I112="Phản ánh",INDEX('Phản ánh'!$K$6:$K$505,MATCH($C112,'Phản ánh'!$A$6:$A$505,0))&amp;"",IF($I112="Công việc",INDEX('Kế hoạch'!$N$6:$N$305,$O112)&amp;"",""))</f>
      </c>
      <c r="L112" s="220">
        <f>IF(OR($C112="",N($B112)=0),"",IF(AND($I112="Phản ánh",$E112="Đã xử lý"),INDEX('Phản ánh'!$U$6:$U$505,MATCH($C112,'Phản ánh'!$A$6:$A$505,0)),IF(AND($I112="Công việc",OR($E112="Hoàn thành",$E112="Hoàn thành kỳ")),IF(INDEX('Kế hoạch'!$B$6:$B$305,$O112)="Đột xuất",INDEX('Kế hoạch'!$AY$6:$AY$305,$O112),IF(N($P112)=0,"",IF(INT($B112)&lt;$P112,$P112,IF($Q112&gt;0,$P112+ROUND((INT($B112)-$P112)/$Q112,0)*$Q112,IF($R112&gt;0,EDATE($P112,ROUND((DATEDIF($P112,INT($B112),"m")+(INT($B112)-EDATE($P112,DATEDIF($P112,INT($B112),"m")))/(EDATE($P112,DATEDIF($P112,INT($B112),"m")+1)-EDATE($P112,DATEDIF($P112,INT($B112),"m"))))/$R112,0)*$R112),$P112))))),"")))</f>
      </c>
      <c r="M112" s="223">
        <f>IF(OR($C112="",N($L112)=0,N($B112)=0),"",IF(IF(MOD($L112,1)=0,INT($B112),$B112)&lt;=$L112,"Đúng hạn","Trễ hạn"))</f>
      </c>
      <c r="N112" s="225">
        <f>IF($C112="","",ROW())</f>
      </c>
      <c r="O112" s="225">
        <f>IF($I112="Công việc",MATCH($C112,'Kế hoạch'!$A$6:$A$305,0),"")</f>
      </c>
      <c r="P112" s="234">
        <f>IF($O112="","",INDEX('Kế hoạch'!$I$6:$I$305,$O112))</f>
      </c>
      <c r="Q112" s="225">
        <f>IF($O112="","",INDEX('Kế hoạch'!$AJ$6:$AJ$305,$O112))</f>
      </c>
      <c r="R112" s="225">
        <f>IF($O112="","",INDEX('Kế hoạch'!$AK$6:$AK$305,$O112))</f>
      </c>
    </row>
    <row r="113">
      <c r="A113" s="223">
        <f>IF($C113="","",COUNTIF($C$6:$C113,"?*"))</f>
      </c>
      <c r="B113" s="217"/>
      <c r="C113" s="216"/>
      <c r="D113" s="240"/>
      <c r="E113" s="218"/>
      <c r="F113" s="218"/>
      <c r="G113" s="218"/>
      <c r="H113" s="219"/>
      <c r="I113" s="223">
        <f>IF($C113="","",IF(ISNUMBER(MATCH($C113,'Phản ánh'!$A$6:$A$505,0)),"Phản ánh",IF(ISNUMBER(MATCH($C113,'Kế hoạch'!$A$6:$A$305,0)),"Công việc","Mã chưa có")))</f>
      </c>
      <c r="J113" s="221">
        <f>IF($I113="Phản ánh",INDEX('Phản ánh'!$C$6:$C$505,MATCH($C113,'Phản ánh'!$A$6:$A$505,0)),IF($I113="Công việc",INDEX('Kế hoạch'!$C$6:$C$305,$O113),""))</f>
      </c>
      <c r="K113" s="221">
        <f>IF($I113="Phản ánh",INDEX('Phản ánh'!$K$6:$K$505,MATCH($C113,'Phản ánh'!$A$6:$A$505,0))&amp;"",IF($I113="Công việc",INDEX('Kế hoạch'!$N$6:$N$305,$O113)&amp;"",""))</f>
      </c>
      <c r="L113" s="220">
        <f>IF(OR($C113="",N($B113)=0),"",IF(AND($I113="Phản ánh",$E113="Đã xử lý"),INDEX('Phản ánh'!$U$6:$U$505,MATCH($C113,'Phản ánh'!$A$6:$A$505,0)),IF(AND($I113="Công việc",OR($E113="Hoàn thành",$E113="Hoàn thành kỳ")),IF(INDEX('Kế hoạch'!$B$6:$B$305,$O113)="Đột xuất",INDEX('Kế hoạch'!$AY$6:$AY$305,$O113),IF(N($P113)=0,"",IF(INT($B113)&lt;$P113,$P113,IF($Q113&gt;0,$P113+ROUND((INT($B113)-$P113)/$Q113,0)*$Q113,IF($R113&gt;0,EDATE($P113,ROUND((DATEDIF($P113,INT($B113),"m")+(INT($B113)-EDATE($P113,DATEDIF($P113,INT($B113),"m")))/(EDATE($P113,DATEDIF($P113,INT($B113),"m")+1)-EDATE($P113,DATEDIF($P113,INT($B113),"m"))))/$R113,0)*$R113),$P113))))),"")))</f>
      </c>
      <c r="M113" s="223">
        <f>IF(OR($C113="",N($L113)=0,N($B113)=0),"",IF(IF(MOD($L113,1)=0,INT($B113),$B113)&lt;=$L113,"Đúng hạn","Trễ hạn"))</f>
      </c>
      <c r="N113" s="225">
        <f>IF($C113="","",ROW())</f>
      </c>
      <c r="O113" s="225">
        <f>IF($I113="Công việc",MATCH($C113,'Kế hoạch'!$A$6:$A$305,0),"")</f>
      </c>
      <c r="P113" s="234">
        <f>IF($O113="","",INDEX('Kế hoạch'!$I$6:$I$305,$O113))</f>
      </c>
      <c r="Q113" s="225">
        <f>IF($O113="","",INDEX('Kế hoạch'!$AJ$6:$AJ$305,$O113))</f>
      </c>
      <c r="R113" s="225">
        <f>IF($O113="","",INDEX('Kế hoạch'!$AK$6:$AK$305,$O113))</f>
      </c>
    </row>
    <row r="114">
      <c r="A114" s="223">
        <f>IF($C114="","",COUNTIF($C$6:$C114,"?*"))</f>
      </c>
      <c r="B114" s="217"/>
      <c r="C114" s="216"/>
      <c r="D114" s="240"/>
      <c r="E114" s="218"/>
      <c r="F114" s="218"/>
      <c r="G114" s="218"/>
      <c r="H114" s="219"/>
      <c r="I114" s="223">
        <f>IF($C114="","",IF(ISNUMBER(MATCH($C114,'Phản ánh'!$A$6:$A$505,0)),"Phản ánh",IF(ISNUMBER(MATCH($C114,'Kế hoạch'!$A$6:$A$305,0)),"Công việc","Mã chưa có")))</f>
      </c>
      <c r="J114" s="221">
        <f>IF($I114="Phản ánh",INDEX('Phản ánh'!$C$6:$C$505,MATCH($C114,'Phản ánh'!$A$6:$A$505,0)),IF($I114="Công việc",INDEX('Kế hoạch'!$C$6:$C$305,$O114),""))</f>
      </c>
      <c r="K114" s="221">
        <f>IF($I114="Phản ánh",INDEX('Phản ánh'!$K$6:$K$505,MATCH($C114,'Phản ánh'!$A$6:$A$505,0))&amp;"",IF($I114="Công việc",INDEX('Kế hoạch'!$N$6:$N$305,$O114)&amp;"",""))</f>
      </c>
      <c r="L114" s="220">
        <f>IF(OR($C114="",N($B114)=0),"",IF(AND($I114="Phản ánh",$E114="Đã xử lý"),INDEX('Phản ánh'!$U$6:$U$505,MATCH($C114,'Phản ánh'!$A$6:$A$505,0)),IF(AND($I114="Công việc",OR($E114="Hoàn thành",$E114="Hoàn thành kỳ")),IF(INDEX('Kế hoạch'!$B$6:$B$305,$O114)="Đột xuất",INDEX('Kế hoạch'!$AY$6:$AY$305,$O114),IF(N($P114)=0,"",IF(INT($B114)&lt;$P114,$P114,IF($Q114&gt;0,$P114+ROUND((INT($B114)-$P114)/$Q114,0)*$Q114,IF($R114&gt;0,EDATE($P114,ROUND((DATEDIF($P114,INT($B114),"m")+(INT($B114)-EDATE($P114,DATEDIF($P114,INT($B114),"m")))/(EDATE($P114,DATEDIF($P114,INT($B114),"m")+1)-EDATE($P114,DATEDIF($P114,INT($B114),"m"))))/$R114,0)*$R114),$P114))))),"")))</f>
      </c>
      <c r="M114" s="223">
        <f>IF(OR($C114="",N($L114)=0,N($B114)=0),"",IF(IF(MOD($L114,1)=0,INT($B114),$B114)&lt;=$L114,"Đúng hạn","Trễ hạn"))</f>
      </c>
      <c r="N114" s="225">
        <f>IF($C114="","",ROW())</f>
      </c>
      <c r="O114" s="225">
        <f>IF($I114="Công việc",MATCH($C114,'Kế hoạch'!$A$6:$A$305,0),"")</f>
      </c>
      <c r="P114" s="234">
        <f>IF($O114="","",INDEX('Kế hoạch'!$I$6:$I$305,$O114))</f>
      </c>
      <c r="Q114" s="225">
        <f>IF($O114="","",INDEX('Kế hoạch'!$AJ$6:$AJ$305,$O114))</f>
      </c>
      <c r="R114" s="225">
        <f>IF($O114="","",INDEX('Kế hoạch'!$AK$6:$AK$305,$O114))</f>
      </c>
    </row>
    <row r="115">
      <c r="A115" s="223">
        <f>IF($C115="","",COUNTIF($C$6:$C115,"?*"))</f>
      </c>
      <c r="B115" s="217"/>
      <c r="C115" s="216"/>
      <c r="D115" s="240"/>
      <c r="E115" s="218"/>
      <c r="F115" s="218"/>
      <c r="G115" s="218"/>
      <c r="H115" s="219"/>
      <c r="I115" s="223">
        <f>IF($C115="","",IF(ISNUMBER(MATCH($C115,'Phản ánh'!$A$6:$A$505,0)),"Phản ánh",IF(ISNUMBER(MATCH($C115,'Kế hoạch'!$A$6:$A$305,0)),"Công việc","Mã chưa có")))</f>
      </c>
      <c r="J115" s="221">
        <f>IF($I115="Phản ánh",INDEX('Phản ánh'!$C$6:$C$505,MATCH($C115,'Phản ánh'!$A$6:$A$505,0)),IF($I115="Công việc",INDEX('Kế hoạch'!$C$6:$C$305,$O115),""))</f>
      </c>
      <c r="K115" s="221">
        <f>IF($I115="Phản ánh",INDEX('Phản ánh'!$K$6:$K$505,MATCH($C115,'Phản ánh'!$A$6:$A$505,0))&amp;"",IF($I115="Công việc",INDEX('Kế hoạch'!$N$6:$N$305,$O115)&amp;"",""))</f>
      </c>
      <c r="L115" s="220">
        <f>IF(OR($C115="",N($B115)=0),"",IF(AND($I115="Phản ánh",$E115="Đã xử lý"),INDEX('Phản ánh'!$U$6:$U$505,MATCH($C115,'Phản ánh'!$A$6:$A$505,0)),IF(AND($I115="Công việc",OR($E115="Hoàn thành",$E115="Hoàn thành kỳ")),IF(INDEX('Kế hoạch'!$B$6:$B$305,$O115)="Đột xuất",INDEX('Kế hoạch'!$AY$6:$AY$305,$O115),IF(N($P115)=0,"",IF(INT($B115)&lt;$P115,$P115,IF($Q115&gt;0,$P115+ROUND((INT($B115)-$P115)/$Q115,0)*$Q115,IF($R115&gt;0,EDATE($P115,ROUND((DATEDIF($P115,INT($B115),"m")+(INT($B115)-EDATE($P115,DATEDIF($P115,INT($B115),"m")))/(EDATE($P115,DATEDIF($P115,INT($B115),"m")+1)-EDATE($P115,DATEDIF($P115,INT($B115),"m"))))/$R115,0)*$R115),$P115))))),"")))</f>
      </c>
      <c r="M115" s="223">
        <f>IF(OR($C115="",N($L115)=0,N($B115)=0),"",IF(IF(MOD($L115,1)=0,INT($B115),$B115)&lt;=$L115,"Đúng hạn","Trễ hạn"))</f>
      </c>
      <c r="N115" s="225">
        <f>IF($C115="","",ROW())</f>
      </c>
      <c r="O115" s="225">
        <f>IF($I115="Công việc",MATCH($C115,'Kế hoạch'!$A$6:$A$305,0),"")</f>
      </c>
      <c r="P115" s="234">
        <f>IF($O115="","",INDEX('Kế hoạch'!$I$6:$I$305,$O115))</f>
      </c>
      <c r="Q115" s="225">
        <f>IF($O115="","",INDEX('Kế hoạch'!$AJ$6:$AJ$305,$O115))</f>
      </c>
      <c r="R115" s="225">
        <f>IF($O115="","",INDEX('Kế hoạch'!$AK$6:$AK$305,$O115))</f>
      </c>
    </row>
    <row r="116">
      <c r="A116" s="223">
        <f>IF($C116="","",COUNTIF($C$6:$C116,"?*"))</f>
      </c>
      <c r="B116" s="217"/>
      <c r="C116" s="216"/>
      <c r="D116" s="240"/>
      <c r="E116" s="218"/>
      <c r="F116" s="218"/>
      <c r="G116" s="218"/>
      <c r="H116" s="219"/>
      <c r="I116" s="223">
        <f>IF($C116="","",IF(ISNUMBER(MATCH($C116,'Phản ánh'!$A$6:$A$505,0)),"Phản ánh",IF(ISNUMBER(MATCH($C116,'Kế hoạch'!$A$6:$A$305,0)),"Công việc","Mã chưa có")))</f>
      </c>
      <c r="J116" s="221">
        <f>IF($I116="Phản ánh",INDEX('Phản ánh'!$C$6:$C$505,MATCH($C116,'Phản ánh'!$A$6:$A$505,0)),IF($I116="Công việc",INDEX('Kế hoạch'!$C$6:$C$305,$O116),""))</f>
      </c>
      <c r="K116" s="221">
        <f>IF($I116="Phản ánh",INDEX('Phản ánh'!$K$6:$K$505,MATCH($C116,'Phản ánh'!$A$6:$A$505,0))&amp;"",IF($I116="Công việc",INDEX('Kế hoạch'!$N$6:$N$305,$O116)&amp;"",""))</f>
      </c>
      <c r="L116" s="220">
        <f>IF(OR($C116="",N($B116)=0),"",IF(AND($I116="Phản ánh",$E116="Đã xử lý"),INDEX('Phản ánh'!$U$6:$U$505,MATCH($C116,'Phản ánh'!$A$6:$A$505,0)),IF(AND($I116="Công việc",OR($E116="Hoàn thành",$E116="Hoàn thành kỳ")),IF(INDEX('Kế hoạch'!$B$6:$B$305,$O116)="Đột xuất",INDEX('Kế hoạch'!$AY$6:$AY$305,$O116),IF(N($P116)=0,"",IF(INT($B116)&lt;$P116,$P116,IF($Q116&gt;0,$P116+ROUND((INT($B116)-$P116)/$Q116,0)*$Q116,IF($R116&gt;0,EDATE($P116,ROUND((DATEDIF($P116,INT($B116),"m")+(INT($B116)-EDATE($P116,DATEDIF($P116,INT($B116),"m")))/(EDATE($P116,DATEDIF($P116,INT($B116),"m")+1)-EDATE($P116,DATEDIF($P116,INT($B116),"m"))))/$R116,0)*$R116),$P116))))),"")))</f>
      </c>
      <c r="M116" s="223">
        <f>IF(OR($C116="",N($L116)=0,N($B116)=0),"",IF(IF(MOD($L116,1)=0,INT($B116),$B116)&lt;=$L116,"Đúng hạn","Trễ hạn"))</f>
      </c>
      <c r="N116" s="225">
        <f>IF($C116="","",ROW())</f>
      </c>
      <c r="O116" s="225">
        <f>IF($I116="Công việc",MATCH($C116,'Kế hoạch'!$A$6:$A$305,0),"")</f>
      </c>
      <c r="P116" s="234">
        <f>IF($O116="","",INDEX('Kế hoạch'!$I$6:$I$305,$O116))</f>
      </c>
      <c r="Q116" s="225">
        <f>IF($O116="","",INDEX('Kế hoạch'!$AJ$6:$AJ$305,$O116))</f>
      </c>
      <c r="R116" s="225">
        <f>IF($O116="","",INDEX('Kế hoạch'!$AK$6:$AK$305,$O116))</f>
      </c>
    </row>
    <row r="117">
      <c r="A117" s="223">
        <f>IF($C117="","",COUNTIF($C$6:$C117,"?*"))</f>
      </c>
      <c r="B117" s="217"/>
      <c r="C117" s="216"/>
      <c r="D117" s="240"/>
      <c r="E117" s="218"/>
      <c r="F117" s="218"/>
      <c r="G117" s="218"/>
      <c r="H117" s="219"/>
      <c r="I117" s="223">
        <f>IF($C117="","",IF(ISNUMBER(MATCH($C117,'Phản ánh'!$A$6:$A$505,0)),"Phản ánh",IF(ISNUMBER(MATCH($C117,'Kế hoạch'!$A$6:$A$305,0)),"Công việc","Mã chưa có")))</f>
      </c>
      <c r="J117" s="221">
        <f>IF($I117="Phản ánh",INDEX('Phản ánh'!$C$6:$C$505,MATCH($C117,'Phản ánh'!$A$6:$A$505,0)),IF($I117="Công việc",INDEX('Kế hoạch'!$C$6:$C$305,$O117),""))</f>
      </c>
      <c r="K117" s="221">
        <f>IF($I117="Phản ánh",INDEX('Phản ánh'!$K$6:$K$505,MATCH($C117,'Phản ánh'!$A$6:$A$505,0))&amp;"",IF($I117="Công việc",INDEX('Kế hoạch'!$N$6:$N$305,$O117)&amp;"",""))</f>
      </c>
      <c r="L117" s="220">
        <f>IF(OR($C117="",N($B117)=0),"",IF(AND($I117="Phản ánh",$E117="Đã xử lý"),INDEX('Phản ánh'!$U$6:$U$505,MATCH($C117,'Phản ánh'!$A$6:$A$505,0)),IF(AND($I117="Công việc",OR($E117="Hoàn thành",$E117="Hoàn thành kỳ")),IF(INDEX('Kế hoạch'!$B$6:$B$305,$O117)="Đột xuất",INDEX('Kế hoạch'!$AY$6:$AY$305,$O117),IF(N($P117)=0,"",IF(INT($B117)&lt;$P117,$P117,IF($Q117&gt;0,$P117+ROUND((INT($B117)-$P117)/$Q117,0)*$Q117,IF($R117&gt;0,EDATE($P117,ROUND((DATEDIF($P117,INT($B117),"m")+(INT($B117)-EDATE($P117,DATEDIF($P117,INT($B117),"m")))/(EDATE($P117,DATEDIF($P117,INT($B117),"m")+1)-EDATE($P117,DATEDIF($P117,INT($B117),"m"))))/$R117,0)*$R117),$P117))))),"")))</f>
      </c>
      <c r="M117" s="223">
        <f>IF(OR($C117="",N($L117)=0,N($B117)=0),"",IF(IF(MOD($L117,1)=0,INT($B117),$B117)&lt;=$L117,"Đúng hạn","Trễ hạn"))</f>
      </c>
      <c r="N117" s="225">
        <f>IF($C117="","",ROW())</f>
      </c>
      <c r="O117" s="225">
        <f>IF($I117="Công việc",MATCH($C117,'Kế hoạch'!$A$6:$A$305,0),"")</f>
      </c>
      <c r="P117" s="234">
        <f>IF($O117="","",INDEX('Kế hoạch'!$I$6:$I$305,$O117))</f>
      </c>
      <c r="Q117" s="225">
        <f>IF($O117="","",INDEX('Kế hoạch'!$AJ$6:$AJ$305,$O117))</f>
      </c>
      <c r="R117" s="225">
        <f>IF($O117="","",INDEX('Kế hoạch'!$AK$6:$AK$305,$O117))</f>
      </c>
    </row>
    <row r="118">
      <c r="A118" s="223">
        <f>IF($C118="","",COUNTIF($C$6:$C118,"?*"))</f>
      </c>
      <c r="B118" s="217"/>
      <c r="C118" s="216"/>
      <c r="D118" s="240"/>
      <c r="E118" s="218"/>
      <c r="F118" s="218"/>
      <c r="G118" s="218"/>
      <c r="H118" s="219"/>
      <c r="I118" s="223">
        <f>IF($C118="","",IF(ISNUMBER(MATCH($C118,'Phản ánh'!$A$6:$A$505,0)),"Phản ánh",IF(ISNUMBER(MATCH($C118,'Kế hoạch'!$A$6:$A$305,0)),"Công việc","Mã chưa có")))</f>
      </c>
      <c r="J118" s="221">
        <f>IF($I118="Phản ánh",INDEX('Phản ánh'!$C$6:$C$505,MATCH($C118,'Phản ánh'!$A$6:$A$505,0)),IF($I118="Công việc",INDEX('Kế hoạch'!$C$6:$C$305,$O118),""))</f>
      </c>
      <c r="K118" s="221">
        <f>IF($I118="Phản ánh",INDEX('Phản ánh'!$K$6:$K$505,MATCH($C118,'Phản ánh'!$A$6:$A$505,0))&amp;"",IF($I118="Công việc",INDEX('Kế hoạch'!$N$6:$N$305,$O118)&amp;"",""))</f>
      </c>
      <c r="L118" s="220">
        <f>IF(OR($C118="",N($B118)=0),"",IF(AND($I118="Phản ánh",$E118="Đã xử lý"),INDEX('Phản ánh'!$U$6:$U$505,MATCH($C118,'Phản ánh'!$A$6:$A$505,0)),IF(AND($I118="Công việc",OR($E118="Hoàn thành",$E118="Hoàn thành kỳ")),IF(INDEX('Kế hoạch'!$B$6:$B$305,$O118)="Đột xuất",INDEX('Kế hoạch'!$AY$6:$AY$305,$O118),IF(N($P118)=0,"",IF(INT($B118)&lt;$P118,$P118,IF($Q118&gt;0,$P118+ROUND((INT($B118)-$P118)/$Q118,0)*$Q118,IF($R118&gt;0,EDATE($P118,ROUND((DATEDIF($P118,INT($B118),"m")+(INT($B118)-EDATE($P118,DATEDIF($P118,INT($B118),"m")))/(EDATE($P118,DATEDIF($P118,INT($B118),"m")+1)-EDATE($P118,DATEDIF($P118,INT($B118),"m"))))/$R118,0)*$R118),$P118))))),"")))</f>
      </c>
      <c r="M118" s="223">
        <f>IF(OR($C118="",N($L118)=0,N($B118)=0),"",IF(IF(MOD($L118,1)=0,INT($B118),$B118)&lt;=$L118,"Đúng hạn","Trễ hạn"))</f>
      </c>
      <c r="N118" s="225">
        <f>IF($C118="","",ROW())</f>
      </c>
      <c r="O118" s="225">
        <f>IF($I118="Công việc",MATCH($C118,'Kế hoạch'!$A$6:$A$305,0),"")</f>
      </c>
      <c r="P118" s="234">
        <f>IF($O118="","",INDEX('Kế hoạch'!$I$6:$I$305,$O118))</f>
      </c>
      <c r="Q118" s="225">
        <f>IF($O118="","",INDEX('Kế hoạch'!$AJ$6:$AJ$305,$O118))</f>
      </c>
      <c r="R118" s="225">
        <f>IF($O118="","",INDEX('Kế hoạch'!$AK$6:$AK$305,$O118))</f>
      </c>
    </row>
    <row r="119">
      <c r="A119" s="223">
        <f>IF($C119="","",COUNTIF($C$6:$C119,"?*"))</f>
      </c>
      <c r="B119" s="217"/>
      <c r="C119" s="216"/>
      <c r="D119" s="240"/>
      <c r="E119" s="218"/>
      <c r="F119" s="218"/>
      <c r="G119" s="218"/>
      <c r="H119" s="219"/>
      <c r="I119" s="223">
        <f>IF($C119="","",IF(ISNUMBER(MATCH($C119,'Phản ánh'!$A$6:$A$505,0)),"Phản ánh",IF(ISNUMBER(MATCH($C119,'Kế hoạch'!$A$6:$A$305,0)),"Công việc","Mã chưa có")))</f>
      </c>
      <c r="J119" s="221">
        <f>IF($I119="Phản ánh",INDEX('Phản ánh'!$C$6:$C$505,MATCH($C119,'Phản ánh'!$A$6:$A$505,0)),IF($I119="Công việc",INDEX('Kế hoạch'!$C$6:$C$305,$O119),""))</f>
      </c>
      <c r="K119" s="221">
        <f>IF($I119="Phản ánh",INDEX('Phản ánh'!$K$6:$K$505,MATCH($C119,'Phản ánh'!$A$6:$A$505,0))&amp;"",IF($I119="Công việc",INDEX('Kế hoạch'!$N$6:$N$305,$O119)&amp;"",""))</f>
      </c>
      <c r="L119" s="220">
        <f>IF(OR($C119="",N($B119)=0),"",IF(AND($I119="Phản ánh",$E119="Đã xử lý"),INDEX('Phản ánh'!$U$6:$U$505,MATCH($C119,'Phản ánh'!$A$6:$A$505,0)),IF(AND($I119="Công việc",OR($E119="Hoàn thành",$E119="Hoàn thành kỳ")),IF(INDEX('Kế hoạch'!$B$6:$B$305,$O119)="Đột xuất",INDEX('Kế hoạch'!$AY$6:$AY$305,$O119),IF(N($P119)=0,"",IF(INT($B119)&lt;$P119,$P119,IF($Q119&gt;0,$P119+ROUND((INT($B119)-$P119)/$Q119,0)*$Q119,IF($R119&gt;0,EDATE($P119,ROUND((DATEDIF($P119,INT($B119),"m")+(INT($B119)-EDATE($P119,DATEDIF($P119,INT($B119),"m")))/(EDATE($P119,DATEDIF($P119,INT($B119),"m")+1)-EDATE($P119,DATEDIF($P119,INT($B119),"m"))))/$R119,0)*$R119),$P119))))),"")))</f>
      </c>
      <c r="M119" s="223">
        <f>IF(OR($C119="",N($L119)=0,N($B119)=0),"",IF(IF(MOD($L119,1)=0,INT($B119),$B119)&lt;=$L119,"Đúng hạn","Trễ hạn"))</f>
      </c>
      <c r="N119" s="225">
        <f>IF($C119="","",ROW())</f>
      </c>
      <c r="O119" s="225">
        <f>IF($I119="Công việc",MATCH($C119,'Kế hoạch'!$A$6:$A$305,0),"")</f>
      </c>
      <c r="P119" s="234">
        <f>IF($O119="","",INDEX('Kế hoạch'!$I$6:$I$305,$O119))</f>
      </c>
      <c r="Q119" s="225">
        <f>IF($O119="","",INDEX('Kế hoạch'!$AJ$6:$AJ$305,$O119))</f>
      </c>
      <c r="R119" s="225">
        <f>IF($O119="","",INDEX('Kế hoạch'!$AK$6:$AK$305,$O119))</f>
      </c>
    </row>
    <row r="120">
      <c r="A120" s="223">
        <f>IF($C120="","",COUNTIF($C$6:$C120,"?*"))</f>
      </c>
      <c r="B120" s="217"/>
      <c r="C120" s="216"/>
      <c r="D120" s="240"/>
      <c r="E120" s="218"/>
      <c r="F120" s="218"/>
      <c r="G120" s="218"/>
      <c r="H120" s="219"/>
      <c r="I120" s="223">
        <f>IF($C120="","",IF(ISNUMBER(MATCH($C120,'Phản ánh'!$A$6:$A$505,0)),"Phản ánh",IF(ISNUMBER(MATCH($C120,'Kế hoạch'!$A$6:$A$305,0)),"Công việc","Mã chưa có")))</f>
      </c>
      <c r="J120" s="221">
        <f>IF($I120="Phản ánh",INDEX('Phản ánh'!$C$6:$C$505,MATCH($C120,'Phản ánh'!$A$6:$A$505,0)),IF($I120="Công việc",INDEX('Kế hoạch'!$C$6:$C$305,$O120),""))</f>
      </c>
      <c r="K120" s="221">
        <f>IF($I120="Phản ánh",INDEX('Phản ánh'!$K$6:$K$505,MATCH($C120,'Phản ánh'!$A$6:$A$505,0))&amp;"",IF($I120="Công việc",INDEX('Kế hoạch'!$N$6:$N$305,$O120)&amp;"",""))</f>
      </c>
      <c r="L120" s="220">
        <f>IF(OR($C120="",N($B120)=0),"",IF(AND($I120="Phản ánh",$E120="Đã xử lý"),INDEX('Phản ánh'!$U$6:$U$505,MATCH($C120,'Phản ánh'!$A$6:$A$505,0)),IF(AND($I120="Công việc",OR($E120="Hoàn thành",$E120="Hoàn thành kỳ")),IF(INDEX('Kế hoạch'!$B$6:$B$305,$O120)="Đột xuất",INDEX('Kế hoạch'!$AY$6:$AY$305,$O120),IF(N($P120)=0,"",IF(INT($B120)&lt;$P120,$P120,IF($Q120&gt;0,$P120+ROUND((INT($B120)-$P120)/$Q120,0)*$Q120,IF($R120&gt;0,EDATE($P120,ROUND((DATEDIF($P120,INT($B120),"m")+(INT($B120)-EDATE($P120,DATEDIF($P120,INT($B120),"m")))/(EDATE($P120,DATEDIF($P120,INT($B120),"m")+1)-EDATE($P120,DATEDIF($P120,INT($B120),"m"))))/$R120,0)*$R120),$P120))))),"")))</f>
      </c>
      <c r="M120" s="223">
        <f>IF(OR($C120="",N($L120)=0,N($B120)=0),"",IF(IF(MOD($L120,1)=0,INT($B120),$B120)&lt;=$L120,"Đúng hạn","Trễ hạn"))</f>
      </c>
      <c r="N120" s="225">
        <f>IF($C120="","",ROW())</f>
      </c>
      <c r="O120" s="225">
        <f>IF($I120="Công việc",MATCH($C120,'Kế hoạch'!$A$6:$A$305,0),"")</f>
      </c>
      <c r="P120" s="234">
        <f>IF($O120="","",INDEX('Kế hoạch'!$I$6:$I$305,$O120))</f>
      </c>
      <c r="Q120" s="225">
        <f>IF($O120="","",INDEX('Kế hoạch'!$AJ$6:$AJ$305,$O120))</f>
      </c>
      <c r="R120" s="225">
        <f>IF($O120="","",INDEX('Kế hoạch'!$AK$6:$AK$305,$O120))</f>
      </c>
    </row>
    <row r="121">
      <c r="A121" s="223">
        <f>IF($C121="","",COUNTIF($C$6:$C121,"?*"))</f>
      </c>
      <c r="B121" s="217"/>
      <c r="C121" s="216"/>
      <c r="D121" s="240"/>
      <c r="E121" s="218"/>
      <c r="F121" s="218"/>
      <c r="G121" s="218"/>
      <c r="H121" s="219"/>
      <c r="I121" s="223">
        <f>IF($C121="","",IF(ISNUMBER(MATCH($C121,'Phản ánh'!$A$6:$A$505,0)),"Phản ánh",IF(ISNUMBER(MATCH($C121,'Kế hoạch'!$A$6:$A$305,0)),"Công việc","Mã chưa có")))</f>
      </c>
      <c r="J121" s="221">
        <f>IF($I121="Phản ánh",INDEX('Phản ánh'!$C$6:$C$505,MATCH($C121,'Phản ánh'!$A$6:$A$505,0)),IF($I121="Công việc",INDEX('Kế hoạch'!$C$6:$C$305,$O121),""))</f>
      </c>
      <c r="K121" s="221">
        <f>IF($I121="Phản ánh",INDEX('Phản ánh'!$K$6:$K$505,MATCH($C121,'Phản ánh'!$A$6:$A$505,0))&amp;"",IF($I121="Công việc",INDEX('Kế hoạch'!$N$6:$N$305,$O121)&amp;"",""))</f>
      </c>
      <c r="L121" s="220">
        <f>IF(OR($C121="",N($B121)=0),"",IF(AND($I121="Phản ánh",$E121="Đã xử lý"),INDEX('Phản ánh'!$U$6:$U$505,MATCH($C121,'Phản ánh'!$A$6:$A$505,0)),IF(AND($I121="Công việc",OR($E121="Hoàn thành",$E121="Hoàn thành kỳ")),IF(INDEX('Kế hoạch'!$B$6:$B$305,$O121)="Đột xuất",INDEX('Kế hoạch'!$AY$6:$AY$305,$O121),IF(N($P121)=0,"",IF(INT($B121)&lt;$P121,$P121,IF($Q121&gt;0,$P121+ROUND((INT($B121)-$P121)/$Q121,0)*$Q121,IF($R121&gt;0,EDATE($P121,ROUND((DATEDIF($P121,INT($B121),"m")+(INT($B121)-EDATE($P121,DATEDIF($P121,INT($B121),"m")))/(EDATE($P121,DATEDIF($P121,INT($B121),"m")+1)-EDATE($P121,DATEDIF($P121,INT($B121),"m"))))/$R121,0)*$R121),$P121))))),"")))</f>
      </c>
      <c r="M121" s="223">
        <f>IF(OR($C121="",N($L121)=0,N($B121)=0),"",IF(IF(MOD($L121,1)=0,INT($B121),$B121)&lt;=$L121,"Đúng hạn","Trễ hạn"))</f>
      </c>
      <c r="N121" s="225">
        <f>IF($C121="","",ROW())</f>
      </c>
      <c r="O121" s="225">
        <f>IF($I121="Công việc",MATCH($C121,'Kế hoạch'!$A$6:$A$305,0),"")</f>
      </c>
      <c r="P121" s="234">
        <f>IF($O121="","",INDEX('Kế hoạch'!$I$6:$I$305,$O121))</f>
      </c>
      <c r="Q121" s="225">
        <f>IF($O121="","",INDEX('Kế hoạch'!$AJ$6:$AJ$305,$O121))</f>
      </c>
      <c r="R121" s="225">
        <f>IF($O121="","",INDEX('Kế hoạch'!$AK$6:$AK$305,$O121))</f>
      </c>
    </row>
    <row r="122">
      <c r="A122" s="223">
        <f>IF($C122="","",COUNTIF($C$6:$C122,"?*"))</f>
      </c>
      <c r="B122" s="217"/>
      <c r="C122" s="216"/>
      <c r="D122" s="240"/>
      <c r="E122" s="218"/>
      <c r="F122" s="218"/>
      <c r="G122" s="218"/>
      <c r="H122" s="219"/>
      <c r="I122" s="223">
        <f>IF($C122="","",IF(ISNUMBER(MATCH($C122,'Phản ánh'!$A$6:$A$505,0)),"Phản ánh",IF(ISNUMBER(MATCH($C122,'Kế hoạch'!$A$6:$A$305,0)),"Công việc","Mã chưa có")))</f>
      </c>
      <c r="J122" s="221">
        <f>IF($I122="Phản ánh",INDEX('Phản ánh'!$C$6:$C$505,MATCH($C122,'Phản ánh'!$A$6:$A$505,0)),IF($I122="Công việc",INDEX('Kế hoạch'!$C$6:$C$305,$O122),""))</f>
      </c>
      <c r="K122" s="221">
        <f>IF($I122="Phản ánh",INDEX('Phản ánh'!$K$6:$K$505,MATCH($C122,'Phản ánh'!$A$6:$A$505,0))&amp;"",IF($I122="Công việc",INDEX('Kế hoạch'!$N$6:$N$305,$O122)&amp;"",""))</f>
      </c>
      <c r="L122" s="220">
        <f>IF(OR($C122="",N($B122)=0),"",IF(AND($I122="Phản ánh",$E122="Đã xử lý"),INDEX('Phản ánh'!$U$6:$U$505,MATCH($C122,'Phản ánh'!$A$6:$A$505,0)),IF(AND($I122="Công việc",OR($E122="Hoàn thành",$E122="Hoàn thành kỳ")),IF(INDEX('Kế hoạch'!$B$6:$B$305,$O122)="Đột xuất",INDEX('Kế hoạch'!$AY$6:$AY$305,$O122),IF(N($P122)=0,"",IF(INT($B122)&lt;$P122,$P122,IF($Q122&gt;0,$P122+ROUND((INT($B122)-$P122)/$Q122,0)*$Q122,IF($R122&gt;0,EDATE($P122,ROUND((DATEDIF($P122,INT($B122),"m")+(INT($B122)-EDATE($P122,DATEDIF($P122,INT($B122),"m")))/(EDATE($P122,DATEDIF($P122,INT($B122),"m")+1)-EDATE($P122,DATEDIF($P122,INT($B122),"m"))))/$R122,0)*$R122),$P122))))),"")))</f>
      </c>
      <c r="M122" s="223">
        <f>IF(OR($C122="",N($L122)=0,N($B122)=0),"",IF(IF(MOD($L122,1)=0,INT($B122),$B122)&lt;=$L122,"Đúng hạn","Trễ hạn"))</f>
      </c>
      <c r="N122" s="225">
        <f>IF($C122="","",ROW())</f>
      </c>
      <c r="O122" s="225">
        <f>IF($I122="Công việc",MATCH($C122,'Kế hoạch'!$A$6:$A$305,0),"")</f>
      </c>
      <c r="P122" s="234">
        <f>IF($O122="","",INDEX('Kế hoạch'!$I$6:$I$305,$O122))</f>
      </c>
      <c r="Q122" s="225">
        <f>IF($O122="","",INDEX('Kế hoạch'!$AJ$6:$AJ$305,$O122))</f>
      </c>
      <c r="R122" s="225">
        <f>IF($O122="","",INDEX('Kế hoạch'!$AK$6:$AK$305,$O122))</f>
      </c>
    </row>
    <row r="123">
      <c r="A123" s="223">
        <f>IF($C123="","",COUNTIF($C$6:$C123,"?*"))</f>
      </c>
      <c r="B123" s="217"/>
      <c r="C123" s="216"/>
      <c r="D123" s="240"/>
      <c r="E123" s="218"/>
      <c r="F123" s="218"/>
      <c r="G123" s="218"/>
      <c r="H123" s="219"/>
      <c r="I123" s="223">
        <f>IF($C123="","",IF(ISNUMBER(MATCH($C123,'Phản ánh'!$A$6:$A$505,0)),"Phản ánh",IF(ISNUMBER(MATCH($C123,'Kế hoạch'!$A$6:$A$305,0)),"Công việc","Mã chưa có")))</f>
      </c>
      <c r="J123" s="221">
        <f>IF($I123="Phản ánh",INDEX('Phản ánh'!$C$6:$C$505,MATCH($C123,'Phản ánh'!$A$6:$A$505,0)),IF($I123="Công việc",INDEX('Kế hoạch'!$C$6:$C$305,$O123),""))</f>
      </c>
      <c r="K123" s="221">
        <f>IF($I123="Phản ánh",INDEX('Phản ánh'!$K$6:$K$505,MATCH($C123,'Phản ánh'!$A$6:$A$505,0))&amp;"",IF($I123="Công việc",INDEX('Kế hoạch'!$N$6:$N$305,$O123)&amp;"",""))</f>
      </c>
      <c r="L123" s="220">
        <f>IF(OR($C123="",N($B123)=0),"",IF(AND($I123="Phản ánh",$E123="Đã xử lý"),INDEX('Phản ánh'!$U$6:$U$505,MATCH($C123,'Phản ánh'!$A$6:$A$505,0)),IF(AND($I123="Công việc",OR($E123="Hoàn thành",$E123="Hoàn thành kỳ")),IF(INDEX('Kế hoạch'!$B$6:$B$305,$O123)="Đột xuất",INDEX('Kế hoạch'!$AY$6:$AY$305,$O123),IF(N($P123)=0,"",IF(INT($B123)&lt;$P123,$P123,IF($Q123&gt;0,$P123+ROUND((INT($B123)-$P123)/$Q123,0)*$Q123,IF($R123&gt;0,EDATE($P123,ROUND((DATEDIF($P123,INT($B123),"m")+(INT($B123)-EDATE($P123,DATEDIF($P123,INT($B123),"m")))/(EDATE($P123,DATEDIF($P123,INT($B123),"m")+1)-EDATE($P123,DATEDIF($P123,INT($B123),"m"))))/$R123,0)*$R123),$P123))))),"")))</f>
      </c>
      <c r="M123" s="223">
        <f>IF(OR($C123="",N($L123)=0,N($B123)=0),"",IF(IF(MOD($L123,1)=0,INT($B123),$B123)&lt;=$L123,"Đúng hạn","Trễ hạn"))</f>
      </c>
      <c r="N123" s="225">
        <f>IF($C123="","",ROW())</f>
      </c>
      <c r="O123" s="225">
        <f>IF($I123="Công việc",MATCH($C123,'Kế hoạch'!$A$6:$A$305,0),"")</f>
      </c>
      <c r="P123" s="234">
        <f>IF($O123="","",INDEX('Kế hoạch'!$I$6:$I$305,$O123))</f>
      </c>
      <c r="Q123" s="225">
        <f>IF($O123="","",INDEX('Kế hoạch'!$AJ$6:$AJ$305,$O123))</f>
      </c>
      <c r="R123" s="225">
        <f>IF($O123="","",INDEX('Kế hoạch'!$AK$6:$AK$305,$O123))</f>
      </c>
    </row>
    <row r="124">
      <c r="A124" s="223">
        <f>IF($C124="","",COUNTIF($C$6:$C124,"?*"))</f>
      </c>
      <c r="B124" s="217"/>
      <c r="C124" s="216"/>
      <c r="D124" s="240"/>
      <c r="E124" s="218"/>
      <c r="F124" s="218"/>
      <c r="G124" s="218"/>
      <c r="H124" s="219"/>
      <c r="I124" s="223">
        <f>IF($C124="","",IF(ISNUMBER(MATCH($C124,'Phản ánh'!$A$6:$A$505,0)),"Phản ánh",IF(ISNUMBER(MATCH($C124,'Kế hoạch'!$A$6:$A$305,0)),"Công việc","Mã chưa có")))</f>
      </c>
      <c r="J124" s="221">
        <f>IF($I124="Phản ánh",INDEX('Phản ánh'!$C$6:$C$505,MATCH($C124,'Phản ánh'!$A$6:$A$505,0)),IF($I124="Công việc",INDEX('Kế hoạch'!$C$6:$C$305,$O124),""))</f>
      </c>
      <c r="K124" s="221">
        <f>IF($I124="Phản ánh",INDEX('Phản ánh'!$K$6:$K$505,MATCH($C124,'Phản ánh'!$A$6:$A$505,0))&amp;"",IF($I124="Công việc",INDEX('Kế hoạch'!$N$6:$N$305,$O124)&amp;"",""))</f>
      </c>
      <c r="L124" s="220">
        <f>IF(OR($C124="",N($B124)=0),"",IF(AND($I124="Phản ánh",$E124="Đã xử lý"),INDEX('Phản ánh'!$U$6:$U$505,MATCH($C124,'Phản ánh'!$A$6:$A$505,0)),IF(AND($I124="Công việc",OR($E124="Hoàn thành",$E124="Hoàn thành kỳ")),IF(INDEX('Kế hoạch'!$B$6:$B$305,$O124)="Đột xuất",INDEX('Kế hoạch'!$AY$6:$AY$305,$O124),IF(N($P124)=0,"",IF(INT($B124)&lt;$P124,$P124,IF($Q124&gt;0,$P124+ROUND((INT($B124)-$P124)/$Q124,0)*$Q124,IF($R124&gt;0,EDATE($P124,ROUND((DATEDIF($P124,INT($B124),"m")+(INT($B124)-EDATE($P124,DATEDIF($P124,INT($B124),"m")))/(EDATE($P124,DATEDIF($P124,INT($B124),"m")+1)-EDATE($P124,DATEDIF($P124,INT($B124),"m"))))/$R124,0)*$R124),$P124))))),"")))</f>
      </c>
      <c r="M124" s="223">
        <f>IF(OR($C124="",N($L124)=0,N($B124)=0),"",IF(IF(MOD($L124,1)=0,INT($B124),$B124)&lt;=$L124,"Đúng hạn","Trễ hạn"))</f>
      </c>
      <c r="N124" s="225">
        <f>IF($C124="","",ROW())</f>
      </c>
      <c r="O124" s="225">
        <f>IF($I124="Công việc",MATCH($C124,'Kế hoạch'!$A$6:$A$305,0),"")</f>
      </c>
      <c r="P124" s="234">
        <f>IF($O124="","",INDEX('Kế hoạch'!$I$6:$I$305,$O124))</f>
      </c>
      <c r="Q124" s="225">
        <f>IF($O124="","",INDEX('Kế hoạch'!$AJ$6:$AJ$305,$O124))</f>
      </c>
      <c r="R124" s="225">
        <f>IF($O124="","",INDEX('Kế hoạch'!$AK$6:$AK$305,$O124))</f>
      </c>
    </row>
    <row r="125">
      <c r="A125" s="223">
        <f>IF($C125="","",COUNTIF($C$6:$C125,"?*"))</f>
      </c>
      <c r="B125" s="217"/>
      <c r="C125" s="216"/>
      <c r="D125" s="240"/>
      <c r="E125" s="218"/>
      <c r="F125" s="218"/>
      <c r="G125" s="218"/>
      <c r="H125" s="219"/>
      <c r="I125" s="223">
        <f>IF($C125="","",IF(ISNUMBER(MATCH($C125,'Phản ánh'!$A$6:$A$505,0)),"Phản ánh",IF(ISNUMBER(MATCH($C125,'Kế hoạch'!$A$6:$A$305,0)),"Công việc","Mã chưa có")))</f>
      </c>
      <c r="J125" s="221">
        <f>IF($I125="Phản ánh",INDEX('Phản ánh'!$C$6:$C$505,MATCH($C125,'Phản ánh'!$A$6:$A$505,0)),IF($I125="Công việc",INDEX('Kế hoạch'!$C$6:$C$305,$O125),""))</f>
      </c>
      <c r="K125" s="221">
        <f>IF($I125="Phản ánh",INDEX('Phản ánh'!$K$6:$K$505,MATCH($C125,'Phản ánh'!$A$6:$A$505,0))&amp;"",IF($I125="Công việc",INDEX('Kế hoạch'!$N$6:$N$305,$O125)&amp;"",""))</f>
      </c>
      <c r="L125" s="220">
        <f>IF(OR($C125="",N($B125)=0),"",IF(AND($I125="Phản ánh",$E125="Đã xử lý"),INDEX('Phản ánh'!$U$6:$U$505,MATCH($C125,'Phản ánh'!$A$6:$A$505,0)),IF(AND($I125="Công việc",OR($E125="Hoàn thành",$E125="Hoàn thành kỳ")),IF(INDEX('Kế hoạch'!$B$6:$B$305,$O125)="Đột xuất",INDEX('Kế hoạch'!$AY$6:$AY$305,$O125),IF(N($P125)=0,"",IF(INT($B125)&lt;$P125,$P125,IF($Q125&gt;0,$P125+ROUND((INT($B125)-$P125)/$Q125,0)*$Q125,IF($R125&gt;0,EDATE($P125,ROUND((DATEDIF($P125,INT($B125),"m")+(INT($B125)-EDATE($P125,DATEDIF($P125,INT($B125),"m")))/(EDATE($P125,DATEDIF($P125,INT($B125),"m")+1)-EDATE($P125,DATEDIF($P125,INT($B125),"m"))))/$R125,0)*$R125),$P125))))),"")))</f>
      </c>
      <c r="M125" s="223">
        <f>IF(OR($C125="",N($L125)=0,N($B125)=0),"",IF(IF(MOD($L125,1)=0,INT($B125),$B125)&lt;=$L125,"Đúng hạn","Trễ hạn"))</f>
      </c>
      <c r="N125" s="225">
        <f>IF($C125="","",ROW())</f>
      </c>
      <c r="O125" s="225">
        <f>IF($I125="Công việc",MATCH($C125,'Kế hoạch'!$A$6:$A$305,0),"")</f>
      </c>
      <c r="P125" s="234">
        <f>IF($O125="","",INDEX('Kế hoạch'!$I$6:$I$305,$O125))</f>
      </c>
      <c r="Q125" s="225">
        <f>IF($O125="","",INDEX('Kế hoạch'!$AJ$6:$AJ$305,$O125))</f>
      </c>
      <c r="R125" s="225">
        <f>IF($O125="","",INDEX('Kế hoạch'!$AK$6:$AK$305,$O125))</f>
      </c>
    </row>
    <row r="126">
      <c r="A126" s="223">
        <f>IF($C126="","",COUNTIF($C$6:$C126,"?*"))</f>
      </c>
      <c r="B126" s="217"/>
      <c r="C126" s="216"/>
      <c r="D126" s="240"/>
      <c r="E126" s="218"/>
      <c r="F126" s="218"/>
      <c r="G126" s="218"/>
      <c r="H126" s="219"/>
      <c r="I126" s="223">
        <f>IF($C126="","",IF(ISNUMBER(MATCH($C126,'Phản ánh'!$A$6:$A$505,0)),"Phản ánh",IF(ISNUMBER(MATCH($C126,'Kế hoạch'!$A$6:$A$305,0)),"Công việc","Mã chưa có")))</f>
      </c>
      <c r="J126" s="221">
        <f>IF($I126="Phản ánh",INDEX('Phản ánh'!$C$6:$C$505,MATCH($C126,'Phản ánh'!$A$6:$A$505,0)),IF($I126="Công việc",INDEX('Kế hoạch'!$C$6:$C$305,$O126),""))</f>
      </c>
      <c r="K126" s="221">
        <f>IF($I126="Phản ánh",INDEX('Phản ánh'!$K$6:$K$505,MATCH($C126,'Phản ánh'!$A$6:$A$505,0))&amp;"",IF($I126="Công việc",INDEX('Kế hoạch'!$N$6:$N$305,$O126)&amp;"",""))</f>
      </c>
      <c r="L126" s="220">
        <f>IF(OR($C126="",N($B126)=0),"",IF(AND($I126="Phản ánh",$E126="Đã xử lý"),INDEX('Phản ánh'!$U$6:$U$505,MATCH($C126,'Phản ánh'!$A$6:$A$505,0)),IF(AND($I126="Công việc",OR($E126="Hoàn thành",$E126="Hoàn thành kỳ")),IF(INDEX('Kế hoạch'!$B$6:$B$305,$O126)="Đột xuất",INDEX('Kế hoạch'!$AY$6:$AY$305,$O126),IF(N($P126)=0,"",IF(INT($B126)&lt;$P126,$P126,IF($Q126&gt;0,$P126+ROUND((INT($B126)-$P126)/$Q126,0)*$Q126,IF($R126&gt;0,EDATE($P126,ROUND((DATEDIF($P126,INT($B126),"m")+(INT($B126)-EDATE($P126,DATEDIF($P126,INT($B126),"m")))/(EDATE($P126,DATEDIF($P126,INT($B126),"m")+1)-EDATE($P126,DATEDIF($P126,INT($B126),"m"))))/$R126,0)*$R126),$P126))))),"")))</f>
      </c>
      <c r="M126" s="223">
        <f>IF(OR($C126="",N($L126)=0,N($B126)=0),"",IF(IF(MOD($L126,1)=0,INT($B126),$B126)&lt;=$L126,"Đúng hạn","Trễ hạn"))</f>
      </c>
      <c r="N126" s="225">
        <f>IF($C126="","",ROW())</f>
      </c>
      <c r="O126" s="225">
        <f>IF($I126="Công việc",MATCH($C126,'Kế hoạch'!$A$6:$A$305,0),"")</f>
      </c>
      <c r="P126" s="234">
        <f>IF($O126="","",INDEX('Kế hoạch'!$I$6:$I$305,$O126))</f>
      </c>
      <c r="Q126" s="225">
        <f>IF($O126="","",INDEX('Kế hoạch'!$AJ$6:$AJ$305,$O126))</f>
      </c>
      <c r="R126" s="225">
        <f>IF($O126="","",INDEX('Kế hoạch'!$AK$6:$AK$305,$O126))</f>
      </c>
    </row>
    <row r="127">
      <c r="A127" s="223">
        <f>IF($C127="","",COUNTIF($C$6:$C127,"?*"))</f>
      </c>
      <c r="B127" s="217"/>
      <c r="C127" s="216"/>
      <c r="D127" s="240"/>
      <c r="E127" s="218"/>
      <c r="F127" s="218"/>
      <c r="G127" s="218"/>
      <c r="H127" s="219"/>
      <c r="I127" s="223">
        <f>IF($C127="","",IF(ISNUMBER(MATCH($C127,'Phản ánh'!$A$6:$A$505,0)),"Phản ánh",IF(ISNUMBER(MATCH($C127,'Kế hoạch'!$A$6:$A$305,0)),"Công việc","Mã chưa có")))</f>
      </c>
      <c r="J127" s="221">
        <f>IF($I127="Phản ánh",INDEX('Phản ánh'!$C$6:$C$505,MATCH($C127,'Phản ánh'!$A$6:$A$505,0)),IF($I127="Công việc",INDEX('Kế hoạch'!$C$6:$C$305,$O127),""))</f>
      </c>
      <c r="K127" s="221">
        <f>IF($I127="Phản ánh",INDEX('Phản ánh'!$K$6:$K$505,MATCH($C127,'Phản ánh'!$A$6:$A$505,0))&amp;"",IF($I127="Công việc",INDEX('Kế hoạch'!$N$6:$N$305,$O127)&amp;"",""))</f>
      </c>
      <c r="L127" s="220">
        <f>IF(OR($C127="",N($B127)=0),"",IF(AND($I127="Phản ánh",$E127="Đã xử lý"),INDEX('Phản ánh'!$U$6:$U$505,MATCH($C127,'Phản ánh'!$A$6:$A$505,0)),IF(AND($I127="Công việc",OR($E127="Hoàn thành",$E127="Hoàn thành kỳ")),IF(INDEX('Kế hoạch'!$B$6:$B$305,$O127)="Đột xuất",INDEX('Kế hoạch'!$AY$6:$AY$305,$O127),IF(N($P127)=0,"",IF(INT($B127)&lt;$P127,$P127,IF($Q127&gt;0,$P127+ROUND((INT($B127)-$P127)/$Q127,0)*$Q127,IF($R127&gt;0,EDATE($P127,ROUND((DATEDIF($P127,INT($B127),"m")+(INT($B127)-EDATE($P127,DATEDIF($P127,INT($B127),"m")))/(EDATE($P127,DATEDIF($P127,INT($B127),"m")+1)-EDATE($P127,DATEDIF($P127,INT($B127),"m"))))/$R127,0)*$R127),$P127))))),"")))</f>
      </c>
      <c r="M127" s="223">
        <f>IF(OR($C127="",N($L127)=0,N($B127)=0),"",IF(IF(MOD($L127,1)=0,INT($B127),$B127)&lt;=$L127,"Đúng hạn","Trễ hạn"))</f>
      </c>
      <c r="N127" s="225">
        <f>IF($C127="","",ROW())</f>
      </c>
      <c r="O127" s="225">
        <f>IF($I127="Công việc",MATCH($C127,'Kế hoạch'!$A$6:$A$305,0),"")</f>
      </c>
      <c r="P127" s="234">
        <f>IF($O127="","",INDEX('Kế hoạch'!$I$6:$I$305,$O127))</f>
      </c>
      <c r="Q127" s="225">
        <f>IF($O127="","",INDEX('Kế hoạch'!$AJ$6:$AJ$305,$O127))</f>
      </c>
      <c r="R127" s="225">
        <f>IF($O127="","",INDEX('Kế hoạch'!$AK$6:$AK$305,$O127))</f>
      </c>
    </row>
    <row r="128">
      <c r="A128" s="223">
        <f>IF($C128="","",COUNTIF($C$6:$C128,"?*"))</f>
      </c>
      <c r="B128" s="217"/>
      <c r="C128" s="216"/>
      <c r="D128" s="240"/>
      <c r="E128" s="218"/>
      <c r="F128" s="218"/>
      <c r="G128" s="218"/>
      <c r="H128" s="219"/>
      <c r="I128" s="223">
        <f>IF($C128="","",IF(ISNUMBER(MATCH($C128,'Phản ánh'!$A$6:$A$505,0)),"Phản ánh",IF(ISNUMBER(MATCH($C128,'Kế hoạch'!$A$6:$A$305,0)),"Công việc","Mã chưa có")))</f>
      </c>
      <c r="J128" s="221">
        <f>IF($I128="Phản ánh",INDEX('Phản ánh'!$C$6:$C$505,MATCH($C128,'Phản ánh'!$A$6:$A$505,0)),IF($I128="Công việc",INDEX('Kế hoạch'!$C$6:$C$305,$O128),""))</f>
      </c>
      <c r="K128" s="221">
        <f>IF($I128="Phản ánh",INDEX('Phản ánh'!$K$6:$K$505,MATCH($C128,'Phản ánh'!$A$6:$A$505,0))&amp;"",IF($I128="Công việc",INDEX('Kế hoạch'!$N$6:$N$305,$O128)&amp;"",""))</f>
      </c>
      <c r="L128" s="220">
        <f>IF(OR($C128="",N($B128)=0),"",IF(AND($I128="Phản ánh",$E128="Đã xử lý"),INDEX('Phản ánh'!$U$6:$U$505,MATCH($C128,'Phản ánh'!$A$6:$A$505,0)),IF(AND($I128="Công việc",OR($E128="Hoàn thành",$E128="Hoàn thành kỳ")),IF(INDEX('Kế hoạch'!$B$6:$B$305,$O128)="Đột xuất",INDEX('Kế hoạch'!$AY$6:$AY$305,$O128),IF(N($P128)=0,"",IF(INT($B128)&lt;$P128,$P128,IF($Q128&gt;0,$P128+ROUND((INT($B128)-$P128)/$Q128,0)*$Q128,IF($R128&gt;0,EDATE($P128,ROUND((DATEDIF($P128,INT($B128),"m")+(INT($B128)-EDATE($P128,DATEDIF($P128,INT($B128),"m")))/(EDATE($P128,DATEDIF($P128,INT($B128),"m")+1)-EDATE($P128,DATEDIF($P128,INT($B128),"m"))))/$R128,0)*$R128),$P128))))),"")))</f>
      </c>
      <c r="M128" s="223">
        <f>IF(OR($C128="",N($L128)=0,N($B128)=0),"",IF(IF(MOD($L128,1)=0,INT($B128),$B128)&lt;=$L128,"Đúng hạn","Trễ hạn"))</f>
      </c>
      <c r="N128" s="225">
        <f>IF($C128="","",ROW())</f>
      </c>
      <c r="O128" s="225">
        <f>IF($I128="Công việc",MATCH($C128,'Kế hoạch'!$A$6:$A$305,0),"")</f>
      </c>
      <c r="P128" s="234">
        <f>IF($O128="","",INDEX('Kế hoạch'!$I$6:$I$305,$O128))</f>
      </c>
      <c r="Q128" s="225">
        <f>IF($O128="","",INDEX('Kế hoạch'!$AJ$6:$AJ$305,$O128))</f>
      </c>
      <c r="R128" s="225">
        <f>IF($O128="","",INDEX('Kế hoạch'!$AK$6:$AK$305,$O128))</f>
      </c>
    </row>
    <row r="129">
      <c r="A129" s="223">
        <f>IF($C129="","",COUNTIF($C$6:$C129,"?*"))</f>
      </c>
      <c r="B129" s="217"/>
      <c r="C129" s="216"/>
      <c r="D129" s="240"/>
      <c r="E129" s="218"/>
      <c r="F129" s="218"/>
      <c r="G129" s="218"/>
      <c r="H129" s="219"/>
      <c r="I129" s="223">
        <f>IF($C129="","",IF(ISNUMBER(MATCH($C129,'Phản ánh'!$A$6:$A$505,0)),"Phản ánh",IF(ISNUMBER(MATCH($C129,'Kế hoạch'!$A$6:$A$305,0)),"Công việc","Mã chưa có")))</f>
      </c>
      <c r="J129" s="221">
        <f>IF($I129="Phản ánh",INDEX('Phản ánh'!$C$6:$C$505,MATCH($C129,'Phản ánh'!$A$6:$A$505,0)),IF($I129="Công việc",INDEX('Kế hoạch'!$C$6:$C$305,$O129),""))</f>
      </c>
      <c r="K129" s="221">
        <f>IF($I129="Phản ánh",INDEX('Phản ánh'!$K$6:$K$505,MATCH($C129,'Phản ánh'!$A$6:$A$505,0))&amp;"",IF($I129="Công việc",INDEX('Kế hoạch'!$N$6:$N$305,$O129)&amp;"",""))</f>
      </c>
      <c r="L129" s="220">
        <f>IF(OR($C129="",N($B129)=0),"",IF(AND($I129="Phản ánh",$E129="Đã xử lý"),INDEX('Phản ánh'!$U$6:$U$505,MATCH($C129,'Phản ánh'!$A$6:$A$505,0)),IF(AND($I129="Công việc",OR($E129="Hoàn thành",$E129="Hoàn thành kỳ")),IF(INDEX('Kế hoạch'!$B$6:$B$305,$O129)="Đột xuất",INDEX('Kế hoạch'!$AY$6:$AY$305,$O129),IF(N($P129)=0,"",IF(INT($B129)&lt;$P129,$P129,IF($Q129&gt;0,$P129+ROUND((INT($B129)-$P129)/$Q129,0)*$Q129,IF($R129&gt;0,EDATE($P129,ROUND((DATEDIF($P129,INT($B129),"m")+(INT($B129)-EDATE($P129,DATEDIF($P129,INT($B129),"m")))/(EDATE($P129,DATEDIF($P129,INT($B129),"m")+1)-EDATE($P129,DATEDIF($P129,INT($B129),"m"))))/$R129,0)*$R129),$P129))))),"")))</f>
      </c>
      <c r="M129" s="223">
        <f>IF(OR($C129="",N($L129)=0,N($B129)=0),"",IF(IF(MOD($L129,1)=0,INT($B129),$B129)&lt;=$L129,"Đúng hạn","Trễ hạn"))</f>
      </c>
      <c r="N129" s="225">
        <f>IF($C129="","",ROW())</f>
      </c>
      <c r="O129" s="225">
        <f>IF($I129="Công việc",MATCH($C129,'Kế hoạch'!$A$6:$A$305,0),"")</f>
      </c>
      <c r="P129" s="234">
        <f>IF($O129="","",INDEX('Kế hoạch'!$I$6:$I$305,$O129))</f>
      </c>
      <c r="Q129" s="225">
        <f>IF($O129="","",INDEX('Kế hoạch'!$AJ$6:$AJ$305,$O129))</f>
      </c>
      <c r="R129" s="225">
        <f>IF($O129="","",INDEX('Kế hoạch'!$AK$6:$AK$305,$O129))</f>
      </c>
    </row>
    <row r="130">
      <c r="A130" s="223">
        <f>IF($C130="","",COUNTIF($C$6:$C130,"?*"))</f>
      </c>
      <c r="B130" s="217"/>
      <c r="C130" s="216"/>
      <c r="D130" s="240"/>
      <c r="E130" s="218"/>
      <c r="F130" s="218"/>
      <c r="G130" s="218"/>
      <c r="H130" s="219"/>
      <c r="I130" s="223">
        <f>IF($C130="","",IF(ISNUMBER(MATCH($C130,'Phản ánh'!$A$6:$A$505,0)),"Phản ánh",IF(ISNUMBER(MATCH($C130,'Kế hoạch'!$A$6:$A$305,0)),"Công việc","Mã chưa có")))</f>
      </c>
      <c r="J130" s="221">
        <f>IF($I130="Phản ánh",INDEX('Phản ánh'!$C$6:$C$505,MATCH($C130,'Phản ánh'!$A$6:$A$505,0)),IF($I130="Công việc",INDEX('Kế hoạch'!$C$6:$C$305,$O130),""))</f>
      </c>
      <c r="K130" s="221">
        <f>IF($I130="Phản ánh",INDEX('Phản ánh'!$K$6:$K$505,MATCH($C130,'Phản ánh'!$A$6:$A$505,0))&amp;"",IF($I130="Công việc",INDEX('Kế hoạch'!$N$6:$N$305,$O130)&amp;"",""))</f>
      </c>
      <c r="L130" s="220">
        <f>IF(OR($C130="",N($B130)=0),"",IF(AND($I130="Phản ánh",$E130="Đã xử lý"),INDEX('Phản ánh'!$U$6:$U$505,MATCH($C130,'Phản ánh'!$A$6:$A$505,0)),IF(AND($I130="Công việc",OR($E130="Hoàn thành",$E130="Hoàn thành kỳ")),IF(INDEX('Kế hoạch'!$B$6:$B$305,$O130)="Đột xuất",INDEX('Kế hoạch'!$AY$6:$AY$305,$O130),IF(N($P130)=0,"",IF(INT($B130)&lt;$P130,$P130,IF($Q130&gt;0,$P130+ROUND((INT($B130)-$P130)/$Q130,0)*$Q130,IF($R130&gt;0,EDATE($P130,ROUND((DATEDIF($P130,INT($B130),"m")+(INT($B130)-EDATE($P130,DATEDIF($P130,INT($B130),"m")))/(EDATE($P130,DATEDIF($P130,INT($B130),"m")+1)-EDATE($P130,DATEDIF($P130,INT($B130),"m"))))/$R130,0)*$R130),$P130))))),"")))</f>
      </c>
      <c r="M130" s="223">
        <f>IF(OR($C130="",N($L130)=0,N($B130)=0),"",IF(IF(MOD($L130,1)=0,INT($B130),$B130)&lt;=$L130,"Đúng hạn","Trễ hạn"))</f>
      </c>
      <c r="N130" s="225">
        <f>IF($C130="","",ROW())</f>
      </c>
      <c r="O130" s="225">
        <f>IF($I130="Công việc",MATCH($C130,'Kế hoạch'!$A$6:$A$305,0),"")</f>
      </c>
      <c r="P130" s="234">
        <f>IF($O130="","",INDEX('Kế hoạch'!$I$6:$I$305,$O130))</f>
      </c>
      <c r="Q130" s="225">
        <f>IF($O130="","",INDEX('Kế hoạch'!$AJ$6:$AJ$305,$O130))</f>
      </c>
      <c r="R130" s="225">
        <f>IF($O130="","",INDEX('Kế hoạch'!$AK$6:$AK$305,$O130))</f>
      </c>
    </row>
    <row r="131">
      <c r="A131" s="223">
        <f>IF($C131="","",COUNTIF($C$6:$C131,"?*"))</f>
      </c>
      <c r="B131" s="217"/>
      <c r="C131" s="216"/>
      <c r="D131" s="240"/>
      <c r="E131" s="218"/>
      <c r="F131" s="218"/>
      <c r="G131" s="218"/>
      <c r="H131" s="219"/>
      <c r="I131" s="223">
        <f>IF($C131="","",IF(ISNUMBER(MATCH($C131,'Phản ánh'!$A$6:$A$505,0)),"Phản ánh",IF(ISNUMBER(MATCH($C131,'Kế hoạch'!$A$6:$A$305,0)),"Công việc","Mã chưa có")))</f>
      </c>
      <c r="J131" s="221">
        <f>IF($I131="Phản ánh",INDEX('Phản ánh'!$C$6:$C$505,MATCH($C131,'Phản ánh'!$A$6:$A$505,0)),IF($I131="Công việc",INDEX('Kế hoạch'!$C$6:$C$305,$O131),""))</f>
      </c>
      <c r="K131" s="221">
        <f>IF($I131="Phản ánh",INDEX('Phản ánh'!$K$6:$K$505,MATCH($C131,'Phản ánh'!$A$6:$A$505,0))&amp;"",IF($I131="Công việc",INDEX('Kế hoạch'!$N$6:$N$305,$O131)&amp;"",""))</f>
      </c>
      <c r="L131" s="220">
        <f>IF(OR($C131="",N($B131)=0),"",IF(AND($I131="Phản ánh",$E131="Đã xử lý"),INDEX('Phản ánh'!$U$6:$U$505,MATCH($C131,'Phản ánh'!$A$6:$A$505,0)),IF(AND($I131="Công việc",OR($E131="Hoàn thành",$E131="Hoàn thành kỳ")),IF(INDEX('Kế hoạch'!$B$6:$B$305,$O131)="Đột xuất",INDEX('Kế hoạch'!$AY$6:$AY$305,$O131),IF(N($P131)=0,"",IF(INT($B131)&lt;$P131,$P131,IF($Q131&gt;0,$P131+ROUND((INT($B131)-$P131)/$Q131,0)*$Q131,IF($R131&gt;0,EDATE($P131,ROUND((DATEDIF($P131,INT($B131),"m")+(INT($B131)-EDATE($P131,DATEDIF($P131,INT($B131),"m")))/(EDATE($P131,DATEDIF($P131,INT($B131),"m")+1)-EDATE($P131,DATEDIF($P131,INT($B131),"m"))))/$R131,0)*$R131),$P131))))),"")))</f>
      </c>
      <c r="M131" s="223">
        <f>IF(OR($C131="",N($L131)=0,N($B131)=0),"",IF(IF(MOD($L131,1)=0,INT($B131),$B131)&lt;=$L131,"Đúng hạn","Trễ hạn"))</f>
      </c>
      <c r="N131" s="225">
        <f>IF($C131="","",ROW())</f>
      </c>
      <c r="O131" s="225">
        <f>IF($I131="Công việc",MATCH($C131,'Kế hoạch'!$A$6:$A$305,0),"")</f>
      </c>
      <c r="P131" s="234">
        <f>IF($O131="","",INDEX('Kế hoạch'!$I$6:$I$305,$O131))</f>
      </c>
      <c r="Q131" s="225">
        <f>IF($O131="","",INDEX('Kế hoạch'!$AJ$6:$AJ$305,$O131))</f>
      </c>
      <c r="R131" s="225">
        <f>IF($O131="","",INDEX('Kế hoạch'!$AK$6:$AK$305,$O131))</f>
      </c>
    </row>
    <row r="132">
      <c r="A132" s="223">
        <f>IF($C132="","",COUNTIF($C$6:$C132,"?*"))</f>
      </c>
      <c r="B132" s="217"/>
      <c r="C132" s="216"/>
      <c r="D132" s="240"/>
      <c r="E132" s="218"/>
      <c r="F132" s="218"/>
      <c r="G132" s="218"/>
      <c r="H132" s="219"/>
      <c r="I132" s="223">
        <f>IF($C132="","",IF(ISNUMBER(MATCH($C132,'Phản ánh'!$A$6:$A$505,0)),"Phản ánh",IF(ISNUMBER(MATCH($C132,'Kế hoạch'!$A$6:$A$305,0)),"Công việc","Mã chưa có")))</f>
      </c>
      <c r="J132" s="221">
        <f>IF($I132="Phản ánh",INDEX('Phản ánh'!$C$6:$C$505,MATCH($C132,'Phản ánh'!$A$6:$A$505,0)),IF($I132="Công việc",INDEX('Kế hoạch'!$C$6:$C$305,$O132),""))</f>
      </c>
      <c r="K132" s="221">
        <f>IF($I132="Phản ánh",INDEX('Phản ánh'!$K$6:$K$505,MATCH($C132,'Phản ánh'!$A$6:$A$505,0))&amp;"",IF($I132="Công việc",INDEX('Kế hoạch'!$N$6:$N$305,$O132)&amp;"",""))</f>
      </c>
      <c r="L132" s="220">
        <f>IF(OR($C132="",N($B132)=0),"",IF(AND($I132="Phản ánh",$E132="Đã xử lý"),INDEX('Phản ánh'!$U$6:$U$505,MATCH($C132,'Phản ánh'!$A$6:$A$505,0)),IF(AND($I132="Công việc",OR($E132="Hoàn thành",$E132="Hoàn thành kỳ")),IF(INDEX('Kế hoạch'!$B$6:$B$305,$O132)="Đột xuất",INDEX('Kế hoạch'!$AY$6:$AY$305,$O132),IF(N($P132)=0,"",IF(INT($B132)&lt;$P132,$P132,IF($Q132&gt;0,$P132+ROUND((INT($B132)-$P132)/$Q132,0)*$Q132,IF($R132&gt;0,EDATE($P132,ROUND((DATEDIF($P132,INT($B132),"m")+(INT($B132)-EDATE($P132,DATEDIF($P132,INT($B132),"m")))/(EDATE($P132,DATEDIF($P132,INT($B132),"m")+1)-EDATE($P132,DATEDIF($P132,INT($B132),"m"))))/$R132,0)*$R132),$P132))))),"")))</f>
      </c>
      <c r="M132" s="223">
        <f>IF(OR($C132="",N($L132)=0,N($B132)=0),"",IF(IF(MOD($L132,1)=0,INT($B132),$B132)&lt;=$L132,"Đúng hạn","Trễ hạn"))</f>
      </c>
      <c r="N132" s="225">
        <f>IF($C132="","",ROW())</f>
      </c>
      <c r="O132" s="225">
        <f>IF($I132="Công việc",MATCH($C132,'Kế hoạch'!$A$6:$A$305,0),"")</f>
      </c>
      <c r="P132" s="234">
        <f>IF($O132="","",INDEX('Kế hoạch'!$I$6:$I$305,$O132))</f>
      </c>
      <c r="Q132" s="225">
        <f>IF($O132="","",INDEX('Kế hoạch'!$AJ$6:$AJ$305,$O132))</f>
      </c>
      <c r="R132" s="225">
        <f>IF($O132="","",INDEX('Kế hoạch'!$AK$6:$AK$305,$O132))</f>
      </c>
    </row>
    <row r="133">
      <c r="A133" s="223">
        <f>IF($C133="","",COUNTIF($C$6:$C133,"?*"))</f>
      </c>
      <c r="B133" s="217"/>
      <c r="C133" s="216"/>
      <c r="D133" s="240"/>
      <c r="E133" s="218"/>
      <c r="F133" s="218"/>
      <c r="G133" s="218"/>
      <c r="H133" s="219"/>
      <c r="I133" s="223">
        <f>IF($C133="","",IF(ISNUMBER(MATCH($C133,'Phản ánh'!$A$6:$A$505,0)),"Phản ánh",IF(ISNUMBER(MATCH($C133,'Kế hoạch'!$A$6:$A$305,0)),"Công việc","Mã chưa có")))</f>
      </c>
      <c r="J133" s="221">
        <f>IF($I133="Phản ánh",INDEX('Phản ánh'!$C$6:$C$505,MATCH($C133,'Phản ánh'!$A$6:$A$505,0)),IF($I133="Công việc",INDEX('Kế hoạch'!$C$6:$C$305,$O133),""))</f>
      </c>
      <c r="K133" s="221">
        <f>IF($I133="Phản ánh",INDEX('Phản ánh'!$K$6:$K$505,MATCH($C133,'Phản ánh'!$A$6:$A$505,0))&amp;"",IF($I133="Công việc",INDEX('Kế hoạch'!$N$6:$N$305,$O133)&amp;"",""))</f>
      </c>
      <c r="L133" s="220">
        <f>IF(OR($C133="",N($B133)=0),"",IF(AND($I133="Phản ánh",$E133="Đã xử lý"),INDEX('Phản ánh'!$U$6:$U$505,MATCH($C133,'Phản ánh'!$A$6:$A$505,0)),IF(AND($I133="Công việc",OR($E133="Hoàn thành",$E133="Hoàn thành kỳ")),IF(INDEX('Kế hoạch'!$B$6:$B$305,$O133)="Đột xuất",INDEX('Kế hoạch'!$AY$6:$AY$305,$O133),IF(N($P133)=0,"",IF(INT($B133)&lt;$P133,$P133,IF($Q133&gt;0,$P133+ROUND((INT($B133)-$P133)/$Q133,0)*$Q133,IF($R133&gt;0,EDATE($P133,ROUND((DATEDIF($P133,INT($B133),"m")+(INT($B133)-EDATE($P133,DATEDIF($P133,INT($B133),"m")))/(EDATE($P133,DATEDIF($P133,INT($B133),"m")+1)-EDATE($P133,DATEDIF($P133,INT($B133),"m"))))/$R133,0)*$R133),$P133))))),"")))</f>
      </c>
      <c r="M133" s="223">
        <f>IF(OR($C133="",N($L133)=0,N($B133)=0),"",IF(IF(MOD($L133,1)=0,INT($B133),$B133)&lt;=$L133,"Đúng hạn","Trễ hạn"))</f>
      </c>
      <c r="N133" s="225">
        <f>IF($C133="","",ROW())</f>
      </c>
      <c r="O133" s="225">
        <f>IF($I133="Công việc",MATCH($C133,'Kế hoạch'!$A$6:$A$305,0),"")</f>
      </c>
      <c r="P133" s="234">
        <f>IF($O133="","",INDEX('Kế hoạch'!$I$6:$I$305,$O133))</f>
      </c>
      <c r="Q133" s="225">
        <f>IF($O133="","",INDEX('Kế hoạch'!$AJ$6:$AJ$305,$O133))</f>
      </c>
      <c r="R133" s="225">
        <f>IF($O133="","",INDEX('Kế hoạch'!$AK$6:$AK$305,$O133))</f>
      </c>
    </row>
    <row r="134">
      <c r="A134" s="223">
        <f>IF($C134="","",COUNTIF($C$6:$C134,"?*"))</f>
      </c>
      <c r="B134" s="217"/>
      <c r="C134" s="216"/>
      <c r="D134" s="240"/>
      <c r="E134" s="218"/>
      <c r="F134" s="218"/>
      <c r="G134" s="218"/>
      <c r="H134" s="219"/>
      <c r="I134" s="223">
        <f>IF($C134="","",IF(ISNUMBER(MATCH($C134,'Phản ánh'!$A$6:$A$505,0)),"Phản ánh",IF(ISNUMBER(MATCH($C134,'Kế hoạch'!$A$6:$A$305,0)),"Công việc","Mã chưa có")))</f>
      </c>
      <c r="J134" s="221">
        <f>IF($I134="Phản ánh",INDEX('Phản ánh'!$C$6:$C$505,MATCH($C134,'Phản ánh'!$A$6:$A$505,0)),IF($I134="Công việc",INDEX('Kế hoạch'!$C$6:$C$305,$O134),""))</f>
      </c>
      <c r="K134" s="221">
        <f>IF($I134="Phản ánh",INDEX('Phản ánh'!$K$6:$K$505,MATCH($C134,'Phản ánh'!$A$6:$A$505,0))&amp;"",IF($I134="Công việc",INDEX('Kế hoạch'!$N$6:$N$305,$O134)&amp;"",""))</f>
      </c>
      <c r="L134" s="220">
        <f>IF(OR($C134="",N($B134)=0),"",IF(AND($I134="Phản ánh",$E134="Đã xử lý"),INDEX('Phản ánh'!$U$6:$U$505,MATCH($C134,'Phản ánh'!$A$6:$A$505,0)),IF(AND($I134="Công việc",OR($E134="Hoàn thành",$E134="Hoàn thành kỳ")),IF(INDEX('Kế hoạch'!$B$6:$B$305,$O134)="Đột xuất",INDEX('Kế hoạch'!$AY$6:$AY$305,$O134),IF(N($P134)=0,"",IF(INT($B134)&lt;$P134,$P134,IF($Q134&gt;0,$P134+ROUND((INT($B134)-$P134)/$Q134,0)*$Q134,IF($R134&gt;0,EDATE($P134,ROUND((DATEDIF($P134,INT($B134),"m")+(INT($B134)-EDATE($P134,DATEDIF($P134,INT($B134),"m")))/(EDATE($P134,DATEDIF($P134,INT($B134),"m")+1)-EDATE($P134,DATEDIF($P134,INT($B134),"m"))))/$R134,0)*$R134),$P134))))),"")))</f>
      </c>
      <c r="M134" s="223">
        <f>IF(OR($C134="",N($L134)=0,N($B134)=0),"",IF(IF(MOD($L134,1)=0,INT($B134),$B134)&lt;=$L134,"Đúng hạn","Trễ hạn"))</f>
      </c>
      <c r="N134" s="225">
        <f>IF($C134="","",ROW())</f>
      </c>
      <c r="O134" s="225">
        <f>IF($I134="Công việc",MATCH($C134,'Kế hoạch'!$A$6:$A$305,0),"")</f>
      </c>
      <c r="P134" s="234">
        <f>IF($O134="","",INDEX('Kế hoạch'!$I$6:$I$305,$O134))</f>
      </c>
      <c r="Q134" s="225">
        <f>IF($O134="","",INDEX('Kế hoạch'!$AJ$6:$AJ$305,$O134))</f>
      </c>
      <c r="R134" s="225">
        <f>IF($O134="","",INDEX('Kế hoạch'!$AK$6:$AK$305,$O134))</f>
      </c>
    </row>
    <row r="135">
      <c r="A135" s="223">
        <f>IF($C135="","",COUNTIF($C$6:$C135,"?*"))</f>
      </c>
      <c r="B135" s="217"/>
      <c r="C135" s="216"/>
      <c r="D135" s="240"/>
      <c r="E135" s="218"/>
      <c r="F135" s="218"/>
      <c r="G135" s="218"/>
      <c r="H135" s="219"/>
      <c r="I135" s="223">
        <f>IF($C135="","",IF(ISNUMBER(MATCH($C135,'Phản ánh'!$A$6:$A$505,0)),"Phản ánh",IF(ISNUMBER(MATCH($C135,'Kế hoạch'!$A$6:$A$305,0)),"Công việc","Mã chưa có")))</f>
      </c>
      <c r="J135" s="221">
        <f>IF($I135="Phản ánh",INDEX('Phản ánh'!$C$6:$C$505,MATCH($C135,'Phản ánh'!$A$6:$A$505,0)),IF($I135="Công việc",INDEX('Kế hoạch'!$C$6:$C$305,$O135),""))</f>
      </c>
      <c r="K135" s="221">
        <f>IF($I135="Phản ánh",INDEX('Phản ánh'!$K$6:$K$505,MATCH($C135,'Phản ánh'!$A$6:$A$505,0))&amp;"",IF($I135="Công việc",INDEX('Kế hoạch'!$N$6:$N$305,$O135)&amp;"",""))</f>
      </c>
      <c r="L135" s="220">
        <f>IF(OR($C135="",N($B135)=0),"",IF(AND($I135="Phản ánh",$E135="Đã xử lý"),INDEX('Phản ánh'!$U$6:$U$505,MATCH($C135,'Phản ánh'!$A$6:$A$505,0)),IF(AND($I135="Công việc",OR($E135="Hoàn thành",$E135="Hoàn thành kỳ")),IF(INDEX('Kế hoạch'!$B$6:$B$305,$O135)="Đột xuất",INDEX('Kế hoạch'!$AY$6:$AY$305,$O135),IF(N($P135)=0,"",IF(INT($B135)&lt;$P135,$P135,IF($Q135&gt;0,$P135+ROUND((INT($B135)-$P135)/$Q135,0)*$Q135,IF($R135&gt;0,EDATE($P135,ROUND((DATEDIF($P135,INT($B135),"m")+(INT($B135)-EDATE($P135,DATEDIF($P135,INT($B135),"m")))/(EDATE($P135,DATEDIF($P135,INT($B135),"m")+1)-EDATE($P135,DATEDIF($P135,INT($B135),"m"))))/$R135,0)*$R135),$P135))))),"")))</f>
      </c>
      <c r="M135" s="223">
        <f>IF(OR($C135="",N($L135)=0,N($B135)=0),"",IF(IF(MOD($L135,1)=0,INT($B135),$B135)&lt;=$L135,"Đúng hạn","Trễ hạn"))</f>
      </c>
      <c r="N135" s="225">
        <f>IF($C135="","",ROW())</f>
      </c>
      <c r="O135" s="225">
        <f>IF($I135="Công việc",MATCH($C135,'Kế hoạch'!$A$6:$A$305,0),"")</f>
      </c>
      <c r="P135" s="234">
        <f>IF($O135="","",INDEX('Kế hoạch'!$I$6:$I$305,$O135))</f>
      </c>
      <c r="Q135" s="225">
        <f>IF($O135="","",INDEX('Kế hoạch'!$AJ$6:$AJ$305,$O135))</f>
      </c>
      <c r="R135" s="225">
        <f>IF($O135="","",INDEX('Kế hoạch'!$AK$6:$AK$305,$O135))</f>
      </c>
    </row>
    <row r="136">
      <c r="A136" s="223">
        <f>IF($C136="","",COUNTIF($C$6:$C136,"?*"))</f>
      </c>
      <c r="B136" s="217"/>
      <c r="C136" s="216"/>
      <c r="D136" s="240"/>
      <c r="E136" s="218"/>
      <c r="F136" s="218"/>
      <c r="G136" s="218"/>
      <c r="H136" s="219"/>
      <c r="I136" s="223">
        <f>IF($C136="","",IF(ISNUMBER(MATCH($C136,'Phản ánh'!$A$6:$A$505,0)),"Phản ánh",IF(ISNUMBER(MATCH($C136,'Kế hoạch'!$A$6:$A$305,0)),"Công việc","Mã chưa có")))</f>
      </c>
      <c r="J136" s="221">
        <f>IF($I136="Phản ánh",INDEX('Phản ánh'!$C$6:$C$505,MATCH($C136,'Phản ánh'!$A$6:$A$505,0)),IF($I136="Công việc",INDEX('Kế hoạch'!$C$6:$C$305,$O136),""))</f>
      </c>
      <c r="K136" s="221">
        <f>IF($I136="Phản ánh",INDEX('Phản ánh'!$K$6:$K$505,MATCH($C136,'Phản ánh'!$A$6:$A$505,0))&amp;"",IF($I136="Công việc",INDEX('Kế hoạch'!$N$6:$N$305,$O136)&amp;"",""))</f>
      </c>
      <c r="L136" s="220">
        <f>IF(OR($C136="",N($B136)=0),"",IF(AND($I136="Phản ánh",$E136="Đã xử lý"),INDEX('Phản ánh'!$U$6:$U$505,MATCH($C136,'Phản ánh'!$A$6:$A$505,0)),IF(AND($I136="Công việc",OR($E136="Hoàn thành",$E136="Hoàn thành kỳ")),IF(INDEX('Kế hoạch'!$B$6:$B$305,$O136)="Đột xuất",INDEX('Kế hoạch'!$AY$6:$AY$305,$O136),IF(N($P136)=0,"",IF(INT($B136)&lt;$P136,$P136,IF($Q136&gt;0,$P136+ROUND((INT($B136)-$P136)/$Q136,0)*$Q136,IF($R136&gt;0,EDATE($P136,ROUND((DATEDIF($P136,INT($B136),"m")+(INT($B136)-EDATE($P136,DATEDIF($P136,INT($B136),"m")))/(EDATE($P136,DATEDIF($P136,INT($B136),"m")+1)-EDATE($P136,DATEDIF($P136,INT($B136),"m"))))/$R136,0)*$R136),$P136))))),"")))</f>
      </c>
      <c r="M136" s="223">
        <f>IF(OR($C136="",N($L136)=0,N($B136)=0),"",IF(IF(MOD($L136,1)=0,INT($B136),$B136)&lt;=$L136,"Đúng hạn","Trễ hạn"))</f>
      </c>
      <c r="N136" s="225">
        <f>IF($C136="","",ROW())</f>
      </c>
      <c r="O136" s="225">
        <f>IF($I136="Công việc",MATCH($C136,'Kế hoạch'!$A$6:$A$305,0),"")</f>
      </c>
      <c r="P136" s="234">
        <f>IF($O136="","",INDEX('Kế hoạch'!$I$6:$I$305,$O136))</f>
      </c>
      <c r="Q136" s="225">
        <f>IF($O136="","",INDEX('Kế hoạch'!$AJ$6:$AJ$305,$O136))</f>
      </c>
      <c r="R136" s="225">
        <f>IF($O136="","",INDEX('Kế hoạch'!$AK$6:$AK$305,$O136))</f>
      </c>
    </row>
    <row r="137">
      <c r="A137" s="223">
        <f>IF($C137="","",COUNTIF($C$6:$C137,"?*"))</f>
      </c>
      <c r="B137" s="217"/>
      <c r="C137" s="216"/>
      <c r="D137" s="240"/>
      <c r="E137" s="218"/>
      <c r="F137" s="218"/>
      <c r="G137" s="218"/>
      <c r="H137" s="219"/>
      <c r="I137" s="223">
        <f>IF($C137="","",IF(ISNUMBER(MATCH($C137,'Phản ánh'!$A$6:$A$505,0)),"Phản ánh",IF(ISNUMBER(MATCH($C137,'Kế hoạch'!$A$6:$A$305,0)),"Công việc","Mã chưa có")))</f>
      </c>
      <c r="J137" s="221">
        <f>IF($I137="Phản ánh",INDEX('Phản ánh'!$C$6:$C$505,MATCH($C137,'Phản ánh'!$A$6:$A$505,0)),IF($I137="Công việc",INDEX('Kế hoạch'!$C$6:$C$305,$O137),""))</f>
      </c>
      <c r="K137" s="221">
        <f>IF($I137="Phản ánh",INDEX('Phản ánh'!$K$6:$K$505,MATCH($C137,'Phản ánh'!$A$6:$A$505,0))&amp;"",IF($I137="Công việc",INDEX('Kế hoạch'!$N$6:$N$305,$O137)&amp;"",""))</f>
      </c>
      <c r="L137" s="220">
        <f>IF(OR($C137="",N($B137)=0),"",IF(AND($I137="Phản ánh",$E137="Đã xử lý"),INDEX('Phản ánh'!$U$6:$U$505,MATCH($C137,'Phản ánh'!$A$6:$A$505,0)),IF(AND($I137="Công việc",OR($E137="Hoàn thành",$E137="Hoàn thành kỳ")),IF(INDEX('Kế hoạch'!$B$6:$B$305,$O137)="Đột xuất",INDEX('Kế hoạch'!$AY$6:$AY$305,$O137),IF(N($P137)=0,"",IF(INT($B137)&lt;$P137,$P137,IF($Q137&gt;0,$P137+ROUND((INT($B137)-$P137)/$Q137,0)*$Q137,IF($R137&gt;0,EDATE($P137,ROUND((DATEDIF($P137,INT($B137),"m")+(INT($B137)-EDATE($P137,DATEDIF($P137,INT($B137),"m")))/(EDATE($P137,DATEDIF($P137,INT($B137),"m")+1)-EDATE($P137,DATEDIF($P137,INT($B137),"m"))))/$R137,0)*$R137),$P137))))),"")))</f>
      </c>
      <c r="M137" s="223">
        <f>IF(OR($C137="",N($L137)=0,N($B137)=0),"",IF(IF(MOD($L137,1)=0,INT($B137),$B137)&lt;=$L137,"Đúng hạn","Trễ hạn"))</f>
      </c>
      <c r="N137" s="225">
        <f>IF($C137="","",ROW())</f>
      </c>
      <c r="O137" s="225">
        <f>IF($I137="Công việc",MATCH($C137,'Kế hoạch'!$A$6:$A$305,0),"")</f>
      </c>
      <c r="P137" s="234">
        <f>IF($O137="","",INDEX('Kế hoạch'!$I$6:$I$305,$O137))</f>
      </c>
      <c r="Q137" s="225">
        <f>IF($O137="","",INDEX('Kế hoạch'!$AJ$6:$AJ$305,$O137))</f>
      </c>
      <c r="R137" s="225">
        <f>IF($O137="","",INDEX('Kế hoạch'!$AK$6:$AK$305,$O137))</f>
      </c>
    </row>
    <row r="138">
      <c r="A138" s="223">
        <f>IF($C138="","",COUNTIF($C$6:$C138,"?*"))</f>
      </c>
      <c r="B138" s="217"/>
      <c r="C138" s="216"/>
      <c r="D138" s="240"/>
      <c r="E138" s="218"/>
      <c r="F138" s="218"/>
      <c r="G138" s="218"/>
      <c r="H138" s="219"/>
      <c r="I138" s="223">
        <f>IF($C138="","",IF(ISNUMBER(MATCH($C138,'Phản ánh'!$A$6:$A$505,0)),"Phản ánh",IF(ISNUMBER(MATCH($C138,'Kế hoạch'!$A$6:$A$305,0)),"Công việc","Mã chưa có")))</f>
      </c>
      <c r="J138" s="221">
        <f>IF($I138="Phản ánh",INDEX('Phản ánh'!$C$6:$C$505,MATCH($C138,'Phản ánh'!$A$6:$A$505,0)),IF($I138="Công việc",INDEX('Kế hoạch'!$C$6:$C$305,$O138),""))</f>
      </c>
      <c r="K138" s="221">
        <f>IF($I138="Phản ánh",INDEX('Phản ánh'!$K$6:$K$505,MATCH($C138,'Phản ánh'!$A$6:$A$505,0))&amp;"",IF($I138="Công việc",INDEX('Kế hoạch'!$N$6:$N$305,$O138)&amp;"",""))</f>
      </c>
      <c r="L138" s="220">
        <f>IF(OR($C138="",N($B138)=0),"",IF(AND($I138="Phản ánh",$E138="Đã xử lý"),INDEX('Phản ánh'!$U$6:$U$505,MATCH($C138,'Phản ánh'!$A$6:$A$505,0)),IF(AND($I138="Công việc",OR($E138="Hoàn thành",$E138="Hoàn thành kỳ")),IF(INDEX('Kế hoạch'!$B$6:$B$305,$O138)="Đột xuất",INDEX('Kế hoạch'!$AY$6:$AY$305,$O138),IF(N($P138)=0,"",IF(INT($B138)&lt;$P138,$P138,IF($Q138&gt;0,$P138+ROUND((INT($B138)-$P138)/$Q138,0)*$Q138,IF($R138&gt;0,EDATE($P138,ROUND((DATEDIF($P138,INT($B138),"m")+(INT($B138)-EDATE($P138,DATEDIF($P138,INT($B138),"m")))/(EDATE($P138,DATEDIF($P138,INT($B138),"m")+1)-EDATE($P138,DATEDIF($P138,INT($B138),"m"))))/$R138,0)*$R138),$P138))))),"")))</f>
      </c>
      <c r="M138" s="223">
        <f>IF(OR($C138="",N($L138)=0,N($B138)=0),"",IF(IF(MOD($L138,1)=0,INT($B138),$B138)&lt;=$L138,"Đúng hạn","Trễ hạn"))</f>
      </c>
      <c r="N138" s="225">
        <f>IF($C138="","",ROW())</f>
      </c>
      <c r="O138" s="225">
        <f>IF($I138="Công việc",MATCH($C138,'Kế hoạch'!$A$6:$A$305,0),"")</f>
      </c>
      <c r="P138" s="234">
        <f>IF($O138="","",INDEX('Kế hoạch'!$I$6:$I$305,$O138))</f>
      </c>
      <c r="Q138" s="225">
        <f>IF($O138="","",INDEX('Kế hoạch'!$AJ$6:$AJ$305,$O138))</f>
      </c>
      <c r="R138" s="225">
        <f>IF($O138="","",INDEX('Kế hoạch'!$AK$6:$AK$305,$O138))</f>
      </c>
    </row>
    <row r="139">
      <c r="A139" s="223">
        <f>IF($C139="","",COUNTIF($C$6:$C139,"?*"))</f>
      </c>
      <c r="B139" s="217"/>
      <c r="C139" s="216"/>
      <c r="D139" s="240"/>
      <c r="E139" s="218"/>
      <c r="F139" s="218"/>
      <c r="G139" s="218"/>
      <c r="H139" s="219"/>
      <c r="I139" s="223">
        <f>IF($C139="","",IF(ISNUMBER(MATCH($C139,'Phản ánh'!$A$6:$A$505,0)),"Phản ánh",IF(ISNUMBER(MATCH($C139,'Kế hoạch'!$A$6:$A$305,0)),"Công việc","Mã chưa có")))</f>
      </c>
      <c r="J139" s="221">
        <f>IF($I139="Phản ánh",INDEX('Phản ánh'!$C$6:$C$505,MATCH($C139,'Phản ánh'!$A$6:$A$505,0)),IF($I139="Công việc",INDEX('Kế hoạch'!$C$6:$C$305,$O139),""))</f>
      </c>
      <c r="K139" s="221">
        <f>IF($I139="Phản ánh",INDEX('Phản ánh'!$K$6:$K$505,MATCH($C139,'Phản ánh'!$A$6:$A$505,0))&amp;"",IF($I139="Công việc",INDEX('Kế hoạch'!$N$6:$N$305,$O139)&amp;"",""))</f>
      </c>
      <c r="L139" s="220">
        <f>IF(OR($C139="",N($B139)=0),"",IF(AND($I139="Phản ánh",$E139="Đã xử lý"),INDEX('Phản ánh'!$U$6:$U$505,MATCH($C139,'Phản ánh'!$A$6:$A$505,0)),IF(AND($I139="Công việc",OR($E139="Hoàn thành",$E139="Hoàn thành kỳ")),IF(INDEX('Kế hoạch'!$B$6:$B$305,$O139)="Đột xuất",INDEX('Kế hoạch'!$AY$6:$AY$305,$O139),IF(N($P139)=0,"",IF(INT($B139)&lt;$P139,$P139,IF($Q139&gt;0,$P139+ROUND((INT($B139)-$P139)/$Q139,0)*$Q139,IF($R139&gt;0,EDATE($P139,ROUND((DATEDIF($P139,INT($B139),"m")+(INT($B139)-EDATE($P139,DATEDIF($P139,INT($B139),"m")))/(EDATE($P139,DATEDIF($P139,INT($B139),"m")+1)-EDATE($P139,DATEDIF($P139,INT($B139),"m"))))/$R139,0)*$R139),$P139))))),"")))</f>
      </c>
      <c r="M139" s="223">
        <f>IF(OR($C139="",N($L139)=0,N($B139)=0),"",IF(IF(MOD($L139,1)=0,INT($B139),$B139)&lt;=$L139,"Đúng hạn","Trễ hạn"))</f>
      </c>
      <c r="N139" s="225">
        <f>IF($C139="","",ROW())</f>
      </c>
      <c r="O139" s="225">
        <f>IF($I139="Công việc",MATCH($C139,'Kế hoạch'!$A$6:$A$305,0),"")</f>
      </c>
      <c r="P139" s="234">
        <f>IF($O139="","",INDEX('Kế hoạch'!$I$6:$I$305,$O139))</f>
      </c>
      <c r="Q139" s="225">
        <f>IF($O139="","",INDEX('Kế hoạch'!$AJ$6:$AJ$305,$O139))</f>
      </c>
      <c r="R139" s="225">
        <f>IF($O139="","",INDEX('Kế hoạch'!$AK$6:$AK$305,$O139))</f>
      </c>
    </row>
    <row r="140">
      <c r="A140" s="223">
        <f>IF($C140="","",COUNTIF($C$6:$C140,"?*"))</f>
      </c>
      <c r="B140" s="217"/>
      <c r="C140" s="216"/>
      <c r="D140" s="240"/>
      <c r="E140" s="218"/>
      <c r="F140" s="218"/>
      <c r="G140" s="218"/>
      <c r="H140" s="219"/>
      <c r="I140" s="223">
        <f>IF($C140="","",IF(ISNUMBER(MATCH($C140,'Phản ánh'!$A$6:$A$505,0)),"Phản ánh",IF(ISNUMBER(MATCH($C140,'Kế hoạch'!$A$6:$A$305,0)),"Công việc","Mã chưa có")))</f>
      </c>
      <c r="J140" s="221">
        <f>IF($I140="Phản ánh",INDEX('Phản ánh'!$C$6:$C$505,MATCH($C140,'Phản ánh'!$A$6:$A$505,0)),IF($I140="Công việc",INDEX('Kế hoạch'!$C$6:$C$305,$O140),""))</f>
      </c>
      <c r="K140" s="221">
        <f>IF($I140="Phản ánh",INDEX('Phản ánh'!$K$6:$K$505,MATCH($C140,'Phản ánh'!$A$6:$A$505,0))&amp;"",IF($I140="Công việc",INDEX('Kế hoạch'!$N$6:$N$305,$O140)&amp;"",""))</f>
      </c>
      <c r="L140" s="220">
        <f>IF(OR($C140="",N($B140)=0),"",IF(AND($I140="Phản ánh",$E140="Đã xử lý"),INDEX('Phản ánh'!$U$6:$U$505,MATCH($C140,'Phản ánh'!$A$6:$A$505,0)),IF(AND($I140="Công việc",OR($E140="Hoàn thành",$E140="Hoàn thành kỳ")),IF(INDEX('Kế hoạch'!$B$6:$B$305,$O140)="Đột xuất",INDEX('Kế hoạch'!$AY$6:$AY$305,$O140),IF(N($P140)=0,"",IF(INT($B140)&lt;$P140,$P140,IF($Q140&gt;0,$P140+ROUND((INT($B140)-$P140)/$Q140,0)*$Q140,IF($R140&gt;0,EDATE($P140,ROUND((DATEDIF($P140,INT($B140),"m")+(INT($B140)-EDATE($P140,DATEDIF($P140,INT($B140),"m")))/(EDATE($P140,DATEDIF($P140,INT($B140),"m")+1)-EDATE($P140,DATEDIF($P140,INT($B140),"m"))))/$R140,0)*$R140),$P140))))),"")))</f>
      </c>
      <c r="M140" s="223">
        <f>IF(OR($C140="",N($L140)=0,N($B140)=0),"",IF(IF(MOD($L140,1)=0,INT($B140),$B140)&lt;=$L140,"Đúng hạn","Trễ hạn"))</f>
      </c>
      <c r="N140" s="225">
        <f>IF($C140="","",ROW())</f>
      </c>
      <c r="O140" s="225">
        <f>IF($I140="Công việc",MATCH($C140,'Kế hoạch'!$A$6:$A$305,0),"")</f>
      </c>
      <c r="P140" s="234">
        <f>IF($O140="","",INDEX('Kế hoạch'!$I$6:$I$305,$O140))</f>
      </c>
      <c r="Q140" s="225">
        <f>IF($O140="","",INDEX('Kế hoạch'!$AJ$6:$AJ$305,$O140))</f>
      </c>
      <c r="R140" s="225">
        <f>IF($O140="","",INDEX('Kế hoạch'!$AK$6:$AK$305,$O140))</f>
      </c>
    </row>
    <row r="141">
      <c r="A141" s="223">
        <f>IF($C141="","",COUNTIF($C$6:$C141,"?*"))</f>
      </c>
      <c r="B141" s="217"/>
      <c r="C141" s="216"/>
      <c r="D141" s="240"/>
      <c r="E141" s="218"/>
      <c r="F141" s="218"/>
      <c r="G141" s="218"/>
      <c r="H141" s="219"/>
      <c r="I141" s="223">
        <f>IF($C141="","",IF(ISNUMBER(MATCH($C141,'Phản ánh'!$A$6:$A$505,0)),"Phản ánh",IF(ISNUMBER(MATCH($C141,'Kế hoạch'!$A$6:$A$305,0)),"Công việc","Mã chưa có")))</f>
      </c>
      <c r="J141" s="221">
        <f>IF($I141="Phản ánh",INDEX('Phản ánh'!$C$6:$C$505,MATCH($C141,'Phản ánh'!$A$6:$A$505,0)),IF($I141="Công việc",INDEX('Kế hoạch'!$C$6:$C$305,$O141),""))</f>
      </c>
      <c r="K141" s="221">
        <f>IF($I141="Phản ánh",INDEX('Phản ánh'!$K$6:$K$505,MATCH($C141,'Phản ánh'!$A$6:$A$505,0))&amp;"",IF($I141="Công việc",INDEX('Kế hoạch'!$N$6:$N$305,$O141)&amp;"",""))</f>
      </c>
      <c r="L141" s="220">
        <f>IF(OR($C141="",N($B141)=0),"",IF(AND($I141="Phản ánh",$E141="Đã xử lý"),INDEX('Phản ánh'!$U$6:$U$505,MATCH($C141,'Phản ánh'!$A$6:$A$505,0)),IF(AND($I141="Công việc",OR($E141="Hoàn thành",$E141="Hoàn thành kỳ")),IF(INDEX('Kế hoạch'!$B$6:$B$305,$O141)="Đột xuất",INDEX('Kế hoạch'!$AY$6:$AY$305,$O141),IF(N($P141)=0,"",IF(INT($B141)&lt;$P141,$P141,IF($Q141&gt;0,$P141+ROUND((INT($B141)-$P141)/$Q141,0)*$Q141,IF($R141&gt;0,EDATE($P141,ROUND((DATEDIF($P141,INT($B141),"m")+(INT($B141)-EDATE($P141,DATEDIF($P141,INT($B141),"m")))/(EDATE($P141,DATEDIF($P141,INT($B141),"m")+1)-EDATE($P141,DATEDIF($P141,INT($B141),"m"))))/$R141,0)*$R141),$P141))))),"")))</f>
      </c>
      <c r="M141" s="223">
        <f>IF(OR($C141="",N($L141)=0,N($B141)=0),"",IF(IF(MOD($L141,1)=0,INT($B141),$B141)&lt;=$L141,"Đúng hạn","Trễ hạn"))</f>
      </c>
      <c r="N141" s="225">
        <f>IF($C141="","",ROW())</f>
      </c>
      <c r="O141" s="225">
        <f>IF($I141="Công việc",MATCH($C141,'Kế hoạch'!$A$6:$A$305,0),"")</f>
      </c>
      <c r="P141" s="234">
        <f>IF($O141="","",INDEX('Kế hoạch'!$I$6:$I$305,$O141))</f>
      </c>
      <c r="Q141" s="225">
        <f>IF($O141="","",INDEX('Kế hoạch'!$AJ$6:$AJ$305,$O141))</f>
      </c>
      <c r="R141" s="225">
        <f>IF($O141="","",INDEX('Kế hoạch'!$AK$6:$AK$305,$O141))</f>
      </c>
    </row>
    <row r="142">
      <c r="A142" s="223">
        <f>IF($C142="","",COUNTIF($C$6:$C142,"?*"))</f>
      </c>
      <c r="B142" s="217"/>
      <c r="C142" s="216"/>
      <c r="D142" s="240"/>
      <c r="E142" s="218"/>
      <c r="F142" s="218"/>
      <c r="G142" s="218"/>
      <c r="H142" s="219"/>
      <c r="I142" s="223">
        <f>IF($C142="","",IF(ISNUMBER(MATCH($C142,'Phản ánh'!$A$6:$A$505,0)),"Phản ánh",IF(ISNUMBER(MATCH($C142,'Kế hoạch'!$A$6:$A$305,0)),"Công việc","Mã chưa có")))</f>
      </c>
      <c r="J142" s="221">
        <f>IF($I142="Phản ánh",INDEX('Phản ánh'!$C$6:$C$505,MATCH($C142,'Phản ánh'!$A$6:$A$505,0)),IF($I142="Công việc",INDEX('Kế hoạch'!$C$6:$C$305,$O142),""))</f>
      </c>
      <c r="K142" s="221">
        <f>IF($I142="Phản ánh",INDEX('Phản ánh'!$K$6:$K$505,MATCH($C142,'Phản ánh'!$A$6:$A$505,0))&amp;"",IF($I142="Công việc",INDEX('Kế hoạch'!$N$6:$N$305,$O142)&amp;"",""))</f>
      </c>
      <c r="L142" s="220">
        <f>IF(OR($C142="",N($B142)=0),"",IF(AND($I142="Phản ánh",$E142="Đã xử lý"),INDEX('Phản ánh'!$U$6:$U$505,MATCH($C142,'Phản ánh'!$A$6:$A$505,0)),IF(AND($I142="Công việc",OR($E142="Hoàn thành",$E142="Hoàn thành kỳ")),IF(INDEX('Kế hoạch'!$B$6:$B$305,$O142)="Đột xuất",INDEX('Kế hoạch'!$AY$6:$AY$305,$O142),IF(N($P142)=0,"",IF(INT($B142)&lt;$P142,$P142,IF($Q142&gt;0,$P142+ROUND((INT($B142)-$P142)/$Q142,0)*$Q142,IF($R142&gt;0,EDATE($P142,ROUND((DATEDIF($P142,INT($B142),"m")+(INT($B142)-EDATE($P142,DATEDIF($P142,INT($B142),"m")))/(EDATE($P142,DATEDIF($P142,INT($B142),"m")+1)-EDATE($P142,DATEDIF($P142,INT($B142),"m"))))/$R142,0)*$R142),$P142))))),"")))</f>
      </c>
      <c r="M142" s="223">
        <f>IF(OR($C142="",N($L142)=0,N($B142)=0),"",IF(IF(MOD($L142,1)=0,INT($B142),$B142)&lt;=$L142,"Đúng hạn","Trễ hạn"))</f>
      </c>
      <c r="N142" s="225">
        <f>IF($C142="","",ROW())</f>
      </c>
      <c r="O142" s="225">
        <f>IF($I142="Công việc",MATCH($C142,'Kế hoạch'!$A$6:$A$305,0),"")</f>
      </c>
      <c r="P142" s="234">
        <f>IF($O142="","",INDEX('Kế hoạch'!$I$6:$I$305,$O142))</f>
      </c>
      <c r="Q142" s="225">
        <f>IF($O142="","",INDEX('Kế hoạch'!$AJ$6:$AJ$305,$O142))</f>
      </c>
      <c r="R142" s="225">
        <f>IF($O142="","",INDEX('Kế hoạch'!$AK$6:$AK$305,$O142))</f>
      </c>
    </row>
    <row r="143">
      <c r="A143" s="223">
        <f>IF($C143="","",COUNTIF($C$6:$C143,"?*"))</f>
      </c>
      <c r="B143" s="217"/>
      <c r="C143" s="216"/>
      <c r="D143" s="240"/>
      <c r="E143" s="218"/>
      <c r="F143" s="218"/>
      <c r="G143" s="218"/>
      <c r="H143" s="219"/>
      <c r="I143" s="223">
        <f>IF($C143="","",IF(ISNUMBER(MATCH($C143,'Phản ánh'!$A$6:$A$505,0)),"Phản ánh",IF(ISNUMBER(MATCH($C143,'Kế hoạch'!$A$6:$A$305,0)),"Công việc","Mã chưa có")))</f>
      </c>
      <c r="J143" s="221">
        <f>IF($I143="Phản ánh",INDEX('Phản ánh'!$C$6:$C$505,MATCH($C143,'Phản ánh'!$A$6:$A$505,0)),IF($I143="Công việc",INDEX('Kế hoạch'!$C$6:$C$305,$O143),""))</f>
      </c>
      <c r="K143" s="221">
        <f>IF($I143="Phản ánh",INDEX('Phản ánh'!$K$6:$K$505,MATCH($C143,'Phản ánh'!$A$6:$A$505,0))&amp;"",IF($I143="Công việc",INDEX('Kế hoạch'!$N$6:$N$305,$O143)&amp;"",""))</f>
      </c>
      <c r="L143" s="220">
        <f>IF(OR($C143="",N($B143)=0),"",IF(AND($I143="Phản ánh",$E143="Đã xử lý"),INDEX('Phản ánh'!$U$6:$U$505,MATCH($C143,'Phản ánh'!$A$6:$A$505,0)),IF(AND($I143="Công việc",OR($E143="Hoàn thành",$E143="Hoàn thành kỳ")),IF(INDEX('Kế hoạch'!$B$6:$B$305,$O143)="Đột xuất",INDEX('Kế hoạch'!$AY$6:$AY$305,$O143),IF(N($P143)=0,"",IF(INT($B143)&lt;$P143,$P143,IF($Q143&gt;0,$P143+ROUND((INT($B143)-$P143)/$Q143,0)*$Q143,IF($R143&gt;0,EDATE($P143,ROUND((DATEDIF($P143,INT($B143),"m")+(INT($B143)-EDATE($P143,DATEDIF($P143,INT($B143),"m")))/(EDATE($P143,DATEDIF($P143,INT($B143),"m")+1)-EDATE($P143,DATEDIF($P143,INT($B143),"m"))))/$R143,0)*$R143),$P143))))),"")))</f>
      </c>
      <c r="M143" s="223">
        <f>IF(OR($C143="",N($L143)=0,N($B143)=0),"",IF(IF(MOD($L143,1)=0,INT($B143),$B143)&lt;=$L143,"Đúng hạn","Trễ hạn"))</f>
      </c>
      <c r="N143" s="225">
        <f>IF($C143="","",ROW())</f>
      </c>
      <c r="O143" s="225">
        <f>IF($I143="Công việc",MATCH($C143,'Kế hoạch'!$A$6:$A$305,0),"")</f>
      </c>
      <c r="P143" s="234">
        <f>IF($O143="","",INDEX('Kế hoạch'!$I$6:$I$305,$O143))</f>
      </c>
      <c r="Q143" s="225">
        <f>IF($O143="","",INDEX('Kế hoạch'!$AJ$6:$AJ$305,$O143))</f>
      </c>
      <c r="R143" s="225">
        <f>IF($O143="","",INDEX('Kế hoạch'!$AK$6:$AK$305,$O143))</f>
      </c>
    </row>
    <row r="144">
      <c r="A144" s="223">
        <f>IF($C144="","",COUNTIF($C$6:$C144,"?*"))</f>
      </c>
      <c r="B144" s="217"/>
      <c r="C144" s="216"/>
      <c r="D144" s="240"/>
      <c r="E144" s="218"/>
      <c r="F144" s="218"/>
      <c r="G144" s="218"/>
      <c r="H144" s="219"/>
      <c r="I144" s="223">
        <f>IF($C144="","",IF(ISNUMBER(MATCH($C144,'Phản ánh'!$A$6:$A$505,0)),"Phản ánh",IF(ISNUMBER(MATCH($C144,'Kế hoạch'!$A$6:$A$305,0)),"Công việc","Mã chưa có")))</f>
      </c>
      <c r="J144" s="221">
        <f>IF($I144="Phản ánh",INDEX('Phản ánh'!$C$6:$C$505,MATCH($C144,'Phản ánh'!$A$6:$A$505,0)),IF($I144="Công việc",INDEX('Kế hoạch'!$C$6:$C$305,$O144),""))</f>
      </c>
      <c r="K144" s="221">
        <f>IF($I144="Phản ánh",INDEX('Phản ánh'!$K$6:$K$505,MATCH($C144,'Phản ánh'!$A$6:$A$505,0))&amp;"",IF($I144="Công việc",INDEX('Kế hoạch'!$N$6:$N$305,$O144)&amp;"",""))</f>
      </c>
      <c r="L144" s="220">
        <f>IF(OR($C144="",N($B144)=0),"",IF(AND($I144="Phản ánh",$E144="Đã xử lý"),INDEX('Phản ánh'!$U$6:$U$505,MATCH($C144,'Phản ánh'!$A$6:$A$505,0)),IF(AND($I144="Công việc",OR($E144="Hoàn thành",$E144="Hoàn thành kỳ")),IF(INDEX('Kế hoạch'!$B$6:$B$305,$O144)="Đột xuất",INDEX('Kế hoạch'!$AY$6:$AY$305,$O144),IF(N($P144)=0,"",IF(INT($B144)&lt;$P144,$P144,IF($Q144&gt;0,$P144+ROUND((INT($B144)-$P144)/$Q144,0)*$Q144,IF($R144&gt;0,EDATE($P144,ROUND((DATEDIF($P144,INT($B144),"m")+(INT($B144)-EDATE($P144,DATEDIF($P144,INT($B144),"m")))/(EDATE($P144,DATEDIF($P144,INT($B144),"m")+1)-EDATE($P144,DATEDIF($P144,INT($B144),"m"))))/$R144,0)*$R144),$P144))))),"")))</f>
      </c>
      <c r="M144" s="223">
        <f>IF(OR($C144="",N($L144)=0,N($B144)=0),"",IF(IF(MOD($L144,1)=0,INT($B144),$B144)&lt;=$L144,"Đúng hạn","Trễ hạn"))</f>
      </c>
      <c r="N144" s="225">
        <f>IF($C144="","",ROW())</f>
      </c>
      <c r="O144" s="225">
        <f>IF($I144="Công việc",MATCH($C144,'Kế hoạch'!$A$6:$A$305,0),"")</f>
      </c>
      <c r="P144" s="234">
        <f>IF($O144="","",INDEX('Kế hoạch'!$I$6:$I$305,$O144))</f>
      </c>
      <c r="Q144" s="225">
        <f>IF($O144="","",INDEX('Kế hoạch'!$AJ$6:$AJ$305,$O144))</f>
      </c>
      <c r="R144" s="225">
        <f>IF($O144="","",INDEX('Kế hoạch'!$AK$6:$AK$305,$O144))</f>
      </c>
    </row>
    <row r="145">
      <c r="A145" s="223">
        <f>IF($C145="","",COUNTIF($C$6:$C145,"?*"))</f>
      </c>
      <c r="B145" s="217"/>
      <c r="C145" s="216"/>
      <c r="D145" s="240"/>
      <c r="E145" s="218"/>
      <c r="F145" s="218"/>
      <c r="G145" s="218"/>
      <c r="H145" s="219"/>
      <c r="I145" s="223">
        <f>IF($C145="","",IF(ISNUMBER(MATCH($C145,'Phản ánh'!$A$6:$A$505,0)),"Phản ánh",IF(ISNUMBER(MATCH($C145,'Kế hoạch'!$A$6:$A$305,0)),"Công việc","Mã chưa có")))</f>
      </c>
      <c r="J145" s="221">
        <f>IF($I145="Phản ánh",INDEX('Phản ánh'!$C$6:$C$505,MATCH($C145,'Phản ánh'!$A$6:$A$505,0)),IF($I145="Công việc",INDEX('Kế hoạch'!$C$6:$C$305,$O145),""))</f>
      </c>
      <c r="K145" s="221">
        <f>IF($I145="Phản ánh",INDEX('Phản ánh'!$K$6:$K$505,MATCH($C145,'Phản ánh'!$A$6:$A$505,0))&amp;"",IF($I145="Công việc",INDEX('Kế hoạch'!$N$6:$N$305,$O145)&amp;"",""))</f>
      </c>
      <c r="L145" s="220">
        <f>IF(OR($C145="",N($B145)=0),"",IF(AND($I145="Phản ánh",$E145="Đã xử lý"),INDEX('Phản ánh'!$U$6:$U$505,MATCH($C145,'Phản ánh'!$A$6:$A$505,0)),IF(AND($I145="Công việc",OR($E145="Hoàn thành",$E145="Hoàn thành kỳ")),IF(INDEX('Kế hoạch'!$B$6:$B$305,$O145)="Đột xuất",INDEX('Kế hoạch'!$AY$6:$AY$305,$O145),IF(N($P145)=0,"",IF(INT($B145)&lt;$P145,$P145,IF($Q145&gt;0,$P145+ROUND((INT($B145)-$P145)/$Q145,0)*$Q145,IF($R145&gt;0,EDATE($P145,ROUND((DATEDIF($P145,INT($B145),"m")+(INT($B145)-EDATE($P145,DATEDIF($P145,INT($B145),"m")))/(EDATE($P145,DATEDIF($P145,INT($B145),"m")+1)-EDATE($P145,DATEDIF($P145,INT($B145),"m"))))/$R145,0)*$R145),$P145))))),"")))</f>
      </c>
      <c r="M145" s="223">
        <f>IF(OR($C145="",N($L145)=0,N($B145)=0),"",IF(IF(MOD($L145,1)=0,INT($B145),$B145)&lt;=$L145,"Đúng hạn","Trễ hạn"))</f>
      </c>
      <c r="N145" s="225">
        <f>IF($C145="","",ROW())</f>
      </c>
      <c r="O145" s="225">
        <f>IF($I145="Công việc",MATCH($C145,'Kế hoạch'!$A$6:$A$305,0),"")</f>
      </c>
      <c r="P145" s="234">
        <f>IF($O145="","",INDEX('Kế hoạch'!$I$6:$I$305,$O145))</f>
      </c>
      <c r="Q145" s="225">
        <f>IF($O145="","",INDEX('Kế hoạch'!$AJ$6:$AJ$305,$O145))</f>
      </c>
      <c r="R145" s="225">
        <f>IF($O145="","",INDEX('Kế hoạch'!$AK$6:$AK$305,$O145))</f>
      </c>
    </row>
    <row r="146">
      <c r="A146" s="223">
        <f>IF($C146="","",COUNTIF($C$6:$C146,"?*"))</f>
      </c>
      <c r="B146" s="217"/>
      <c r="C146" s="216"/>
      <c r="D146" s="240"/>
      <c r="E146" s="218"/>
      <c r="F146" s="218"/>
      <c r="G146" s="218"/>
      <c r="H146" s="219"/>
      <c r="I146" s="223">
        <f>IF($C146="","",IF(ISNUMBER(MATCH($C146,'Phản ánh'!$A$6:$A$505,0)),"Phản ánh",IF(ISNUMBER(MATCH($C146,'Kế hoạch'!$A$6:$A$305,0)),"Công việc","Mã chưa có")))</f>
      </c>
      <c r="J146" s="221">
        <f>IF($I146="Phản ánh",INDEX('Phản ánh'!$C$6:$C$505,MATCH($C146,'Phản ánh'!$A$6:$A$505,0)),IF($I146="Công việc",INDEX('Kế hoạch'!$C$6:$C$305,$O146),""))</f>
      </c>
      <c r="K146" s="221">
        <f>IF($I146="Phản ánh",INDEX('Phản ánh'!$K$6:$K$505,MATCH($C146,'Phản ánh'!$A$6:$A$505,0))&amp;"",IF($I146="Công việc",INDEX('Kế hoạch'!$N$6:$N$305,$O146)&amp;"",""))</f>
      </c>
      <c r="L146" s="220">
        <f>IF(OR($C146="",N($B146)=0),"",IF(AND($I146="Phản ánh",$E146="Đã xử lý"),INDEX('Phản ánh'!$U$6:$U$505,MATCH($C146,'Phản ánh'!$A$6:$A$505,0)),IF(AND($I146="Công việc",OR($E146="Hoàn thành",$E146="Hoàn thành kỳ")),IF(INDEX('Kế hoạch'!$B$6:$B$305,$O146)="Đột xuất",INDEX('Kế hoạch'!$AY$6:$AY$305,$O146),IF(N($P146)=0,"",IF(INT($B146)&lt;$P146,$P146,IF($Q146&gt;0,$P146+ROUND((INT($B146)-$P146)/$Q146,0)*$Q146,IF($R146&gt;0,EDATE($P146,ROUND((DATEDIF($P146,INT($B146),"m")+(INT($B146)-EDATE($P146,DATEDIF($P146,INT($B146),"m")))/(EDATE($P146,DATEDIF($P146,INT($B146),"m")+1)-EDATE($P146,DATEDIF($P146,INT($B146),"m"))))/$R146,0)*$R146),$P146))))),"")))</f>
      </c>
      <c r="M146" s="223">
        <f>IF(OR($C146="",N($L146)=0,N($B146)=0),"",IF(IF(MOD($L146,1)=0,INT($B146),$B146)&lt;=$L146,"Đúng hạn","Trễ hạn"))</f>
      </c>
      <c r="N146" s="225">
        <f>IF($C146="","",ROW())</f>
      </c>
      <c r="O146" s="225">
        <f>IF($I146="Công việc",MATCH($C146,'Kế hoạch'!$A$6:$A$305,0),"")</f>
      </c>
      <c r="P146" s="234">
        <f>IF($O146="","",INDEX('Kế hoạch'!$I$6:$I$305,$O146))</f>
      </c>
      <c r="Q146" s="225">
        <f>IF($O146="","",INDEX('Kế hoạch'!$AJ$6:$AJ$305,$O146))</f>
      </c>
      <c r="R146" s="225">
        <f>IF($O146="","",INDEX('Kế hoạch'!$AK$6:$AK$305,$O146))</f>
      </c>
    </row>
    <row r="147">
      <c r="A147" s="223">
        <f>IF($C147="","",COUNTIF($C$6:$C147,"?*"))</f>
      </c>
      <c r="B147" s="217"/>
      <c r="C147" s="216"/>
      <c r="D147" s="240"/>
      <c r="E147" s="218"/>
      <c r="F147" s="218"/>
      <c r="G147" s="218"/>
      <c r="H147" s="219"/>
      <c r="I147" s="223">
        <f>IF($C147="","",IF(ISNUMBER(MATCH($C147,'Phản ánh'!$A$6:$A$505,0)),"Phản ánh",IF(ISNUMBER(MATCH($C147,'Kế hoạch'!$A$6:$A$305,0)),"Công việc","Mã chưa có")))</f>
      </c>
      <c r="J147" s="221">
        <f>IF($I147="Phản ánh",INDEX('Phản ánh'!$C$6:$C$505,MATCH($C147,'Phản ánh'!$A$6:$A$505,0)),IF($I147="Công việc",INDEX('Kế hoạch'!$C$6:$C$305,$O147),""))</f>
      </c>
      <c r="K147" s="221">
        <f>IF($I147="Phản ánh",INDEX('Phản ánh'!$K$6:$K$505,MATCH($C147,'Phản ánh'!$A$6:$A$505,0))&amp;"",IF($I147="Công việc",INDEX('Kế hoạch'!$N$6:$N$305,$O147)&amp;"",""))</f>
      </c>
      <c r="L147" s="220">
        <f>IF(OR($C147="",N($B147)=0),"",IF(AND($I147="Phản ánh",$E147="Đã xử lý"),INDEX('Phản ánh'!$U$6:$U$505,MATCH($C147,'Phản ánh'!$A$6:$A$505,0)),IF(AND($I147="Công việc",OR($E147="Hoàn thành",$E147="Hoàn thành kỳ")),IF(INDEX('Kế hoạch'!$B$6:$B$305,$O147)="Đột xuất",INDEX('Kế hoạch'!$AY$6:$AY$305,$O147),IF(N($P147)=0,"",IF(INT($B147)&lt;$P147,$P147,IF($Q147&gt;0,$P147+ROUND((INT($B147)-$P147)/$Q147,0)*$Q147,IF($R147&gt;0,EDATE($P147,ROUND((DATEDIF($P147,INT($B147),"m")+(INT($B147)-EDATE($P147,DATEDIF($P147,INT($B147),"m")))/(EDATE($P147,DATEDIF($P147,INT($B147),"m")+1)-EDATE($P147,DATEDIF($P147,INT($B147),"m"))))/$R147,0)*$R147),$P147))))),"")))</f>
      </c>
      <c r="M147" s="223">
        <f>IF(OR($C147="",N($L147)=0,N($B147)=0),"",IF(IF(MOD($L147,1)=0,INT($B147),$B147)&lt;=$L147,"Đúng hạn","Trễ hạn"))</f>
      </c>
      <c r="N147" s="225">
        <f>IF($C147="","",ROW())</f>
      </c>
      <c r="O147" s="225">
        <f>IF($I147="Công việc",MATCH($C147,'Kế hoạch'!$A$6:$A$305,0),"")</f>
      </c>
      <c r="P147" s="234">
        <f>IF($O147="","",INDEX('Kế hoạch'!$I$6:$I$305,$O147))</f>
      </c>
      <c r="Q147" s="225">
        <f>IF($O147="","",INDEX('Kế hoạch'!$AJ$6:$AJ$305,$O147))</f>
      </c>
      <c r="R147" s="225">
        <f>IF($O147="","",INDEX('Kế hoạch'!$AK$6:$AK$305,$O147))</f>
      </c>
    </row>
    <row r="148">
      <c r="A148" s="223">
        <f>IF($C148="","",COUNTIF($C$6:$C148,"?*"))</f>
      </c>
      <c r="B148" s="217"/>
      <c r="C148" s="216"/>
      <c r="D148" s="240"/>
      <c r="E148" s="218"/>
      <c r="F148" s="218"/>
      <c r="G148" s="218"/>
      <c r="H148" s="219"/>
      <c r="I148" s="223">
        <f>IF($C148="","",IF(ISNUMBER(MATCH($C148,'Phản ánh'!$A$6:$A$505,0)),"Phản ánh",IF(ISNUMBER(MATCH($C148,'Kế hoạch'!$A$6:$A$305,0)),"Công việc","Mã chưa có")))</f>
      </c>
      <c r="J148" s="221">
        <f>IF($I148="Phản ánh",INDEX('Phản ánh'!$C$6:$C$505,MATCH($C148,'Phản ánh'!$A$6:$A$505,0)),IF($I148="Công việc",INDEX('Kế hoạch'!$C$6:$C$305,$O148),""))</f>
      </c>
      <c r="K148" s="221">
        <f>IF($I148="Phản ánh",INDEX('Phản ánh'!$K$6:$K$505,MATCH($C148,'Phản ánh'!$A$6:$A$505,0))&amp;"",IF($I148="Công việc",INDEX('Kế hoạch'!$N$6:$N$305,$O148)&amp;"",""))</f>
      </c>
      <c r="L148" s="220">
        <f>IF(OR($C148="",N($B148)=0),"",IF(AND($I148="Phản ánh",$E148="Đã xử lý"),INDEX('Phản ánh'!$U$6:$U$505,MATCH($C148,'Phản ánh'!$A$6:$A$505,0)),IF(AND($I148="Công việc",OR($E148="Hoàn thành",$E148="Hoàn thành kỳ")),IF(INDEX('Kế hoạch'!$B$6:$B$305,$O148)="Đột xuất",INDEX('Kế hoạch'!$AY$6:$AY$305,$O148),IF(N($P148)=0,"",IF(INT($B148)&lt;$P148,$P148,IF($Q148&gt;0,$P148+ROUND((INT($B148)-$P148)/$Q148,0)*$Q148,IF($R148&gt;0,EDATE($P148,ROUND((DATEDIF($P148,INT($B148),"m")+(INT($B148)-EDATE($P148,DATEDIF($P148,INT($B148),"m")))/(EDATE($P148,DATEDIF($P148,INT($B148),"m")+1)-EDATE($P148,DATEDIF($P148,INT($B148),"m"))))/$R148,0)*$R148),$P148))))),"")))</f>
      </c>
      <c r="M148" s="223">
        <f>IF(OR($C148="",N($L148)=0,N($B148)=0),"",IF(IF(MOD($L148,1)=0,INT($B148),$B148)&lt;=$L148,"Đúng hạn","Trễ hạn"))</f>
      </c>
      <c r="N148" s="225">
        <f>IF($C148="","",ROW())</f>
      </c>
      <c r="O148" s="225">
        <f>IF($I148="Công việc",MATCH($C148,'Kế hoạch'!$A$6:$A$305,0),"")</f>
      </c>
      <c r="P148" s="234">
        <f>IF($O148="","",INDEX('Kế hoạch'!$I$6:$I$305,$O148))</f>
      </c>
      <c r="Q148" s="225">
        <f>IF($O148="","",INDEX('Kế hoạch'!$AJ$6:$AJ$305,$O148))</f>
      </c>
      <c r="R148" s="225">
        <f>IF($O148="","",INDEX('Kế hoạch'!$AK$6:$AK$305,$O148))</f>
      </c>
    </row>
    <row r="149">
      <c r="A149" s="223">
        <f>IF($C149="","",COUNTIF($C$6:$C149,"?*"))</f>
      </c>
      <c r="B149" s="217"/>
      <c r="C149" s="216"/>
      <c r="D149" s="240"/>
      <c r="E149" s="218"/>
      <c r="F149" s="218"/>
      <c r="G149" s="218"/>
      <c r="H149" s="219"/>
      <c r="I149" s="223">
        <f>IF($C149="","",IF(ISNUMBER(MATCH($C149,'Phản ánh'!$A$6:$A$505,0)),"Phản ánh",IF(ISNUMBER(MATCH($C149,'Kế hoạch'!$A$6:$A$305,0)),"Công việc","Mã chưa có")))</f>
      </c>
      <c r="J149" s="221">
        <f>IF($I149="Phản ánh",INDEX('Phản ánh'!$C$6:$C$505,MATCH($C149,'Phản ánh'!$A$6:$A$505,0)),IF($I149="Công việc",INDEX('Kế hoạch'!$C$6:$C$305,$O149),""))</f>
      </c>
      <c r="K149" s="221">
        <f>IF($I149="Phản ánh",INDEX('Phản ánh'!$K$6:$K$505,MATCH($C149,'Phản ánh'!$A$6:$A$505,0))&amp;"",IF($I149="Công việc",INDEX('Kế hoạch'!$N$6:$N$305,$O149)&amp;"",""))</f>
      </c>
      <c r="L149" s="220">
        <f>IF(OR($C149="",N($B149)=0),"",IF(AND($I149="Phản ánh",$E149="Đã xử lý"),INDEX('Phản ánh'!$U$6:$U$505,MATCH($C149,'Phản ánh'!$A$6:$A$505,0)),IF(AND($I149="Công việc",OR($E149="Hoàn thành",$E149="Hoàn thành kỳ")),IF(INDEX('Kế hoạch'!$B$6:$B$305,$O149)="Đột xuất",INDEX('Kế hoạch'!$AY$6:$AY$305,$O149),IF(N($P149)=0,"",IF(INT($B149)&lt;$P149,$P149,IF($Q149&gt;0,$P149+ROUND((INT($B149)-$P149)/$Q149,0)*$Q149,IF($R149&gt;0,EDATE($P149,ROUND((DATEDIF($P149,INT($B149),"m")+(INT($B149)-EDATE($P149,DATEDIF($P149,INT($B149),"m")))/(EDATE($P149,DATEDIF($P149,INT($B149),"m")+1)-EDATE($P149,DATEDIF($P149,INT($B149),"m"))))/$R149,0)*$R149),$P149))))),"")))</f>
      </c>
      <c r="M149" s="223">
        <f>IF(OR($C149="",N($L149)=0,N($B149)=0),"",IF(IF(MOD($L149,1)=0,INT($B149),$B149)&lt;=$L149,"Đúng hạn","Trễ hạn"))</f>
      </c>
      <c r="N149" s="225">
        <f>IF($C149="","",ROW())</f>
      </c>
      <c r="O149" s="225">
        <f>IF($I149="Công việc",MATCH($C149,'Kế hoạch'!$A$6:$A$305,0),"")</f>
      </c>
      <c r="P149" s="234">
        <f>IF($O149="","",INDEX('Kế hoạch'!$I$6:$I$305,$O149))</f>
      </c>
      <c r="Q149" s="225">
        <f>IF($O149="","",INDEX('Kế hoạch'!$AJ$6:$AJ$305,$O149))</f>
      </c>
      <c r="R149" s="225">
        <f>IF($O149="","",INDEX('Kế hoạch'!$AK$6:$AK$305,$O149))</f>
      </c>
    </row>
    <row r="150">
      <c r="A150" s="223">
        <f>IF($C150="","",COUNTIF($C$6:$C150,"?*"))</f>
      </c>
      <c r="B150" s="217"/>
      <c r="C150" s="216"/>
      <c r="D150" s="240"/>
      <c r="E150" s="218"/>
      <c r="F150" s="218"/>
      <c r="G150" s="218"/>
      <c r="H150" s="219"/>
      <c r="I150" s="223">
        <f>IF($C150="","",IF(ISNUMBER(MATCH($C150,'Phản ánh'!$A$6:$A$505,0)),"Phản ánh",IF(ISNUMBER(MATCH($C150,'Kế hoạch'!$A$6:$A$305,0)),"Công việc","Mã chưa có")))</f>
      </c>
      <c r="J150" s="221">
        <f>IF($I150="Phản ánh",INDEX('Phản ánh'!$C$6:$C$505,MATCH($C150,'Phản ánh'!$A$6:$A$505,0)),IF($I150="Công việc",INDEX('Kế hoạch'!$C$6:$C$305,$O150),""))</f>
      </c>
      <c r="K150" s="221">
        <f>IF($I150="Phản ánh",INDEX('Phản ánh'!$K$6:$K$505,MATCH($C150,'Phản ánh'!$A$6:$A$505,0))&amp;"",IF($I150="Công việc",INDEX('Kế hoạch'!$N$6:$N$305,$O150)&amp;"",""))</f>
      </c>
      <c r="L150" s="220">
        <f>IF(OR($C150="",N($B150)=0),"",IF(AND($I150="Phản ánh",$E150="Đã xử lý"),INDEX('Phản ánh'!$U$6:$U$505,MATCH($C150,'Phản ánh'!$A$6:$A$505,0)),IF(AND($I150="Công việc",OR($E150="Hoàn thành",$E150="Hoàn thành kỳ")),IF(INDEX('Kế hoạch'!$B$6:$B$305,$O150)="Đột xuất",INDEX('Kế hoạch'!$AY$6:$AY$305,$O150),IF(N($P150)=0,"",IF(INT($B150)&lt;$P150,$P150,IF($Q150&gt;0,$P150+ROUND((INT($B150)-$P150)/$Q150,0)*$Q150,IF($R150&gt;0,EDATE($P150,ROUND((DATEDIF($P150,INT($B150),"m")+(INT($B150)-EDATE($P150,DATEDIF($P150,INT($B150),"m")))/(EDATE($P150,DATEDIF($P150,INT($B150),"m")+1)-EDATE($P150,DATEDIF($P150,INT($B150),"m"))))/$R150,0)*$R150),$P150))))),"")))</f>
      </c>
      <c r="M150" s="223">
        <f>IF(OR($C150="",N($L150)=0,N($B150)=0),"",IF(IF(MOD($L150,1)=0,INT($B150),$B150)&lt;=$L150,"Đúng hạn","Trễ hạn"))</f>
      </c>
      <c r="N150" s="225">
        <f>IF($C150="","",ROW())</f>
      </c>
      <c r="O150" s="225">
        <f>IF($I150="Công việc",MATCH($C150,'Kế hoạch'!$A$6:$A$305,0),"")</f>
      </c>
      <c r="P150" s="234">
        <f>IF($O150="","",INDEX('Kế hoạch'!$I$6:$I$305,$O150))</f>
      </c>
      <c r="Q150" s="225">
        <f>IF($O150="","",INDEX('Kế hoạch'!$AJ$6:$AJ$305,$O150))</f>
      </c>
      <c r="R150" s="225">
        <f>IF($O150="","",INDEX('Kế hoạch'!$AK$6:$AK$305,$O150))</f>
      </c>
    </row>
    <row r="151">
      <c r="A151" s="223">
        <f>IF($C151="","",COUNTIF($C$6:$C151,"?*"))</f>
      </c>
      <c r="B151" s="217"/>
      <c r="C151" s="216"/>
      <c r="D151" s="240"/>
      <c r="E151" s="218"/>
      <c r="F151" s="218"/>
      <c r="G151" s="218"/>
      <c r="H151" s="219"/>
      <c r="I151" s="223">
        <f>IF($C151="","",IF(ISNUMBER(MATCH($C151,'Phản ánh'!$A$6:$A$505,0)),"Phản ánh",IF(ISNUMBER(MATCH($C151,'Kế hoạch'!$A$6:$A$305,0)),"Công việc","Mã chưa có")))</f>
      </c>
      <c r="J151" s="221">
        <f>IF($I151="Phản ánh",INDEX('Phản ánh'!$C$6:$C$505,MATCH($C151,'Phản ánh'!$A$6:$A$505,0)),IF($I151="Công việc",INDEX('Kế hoạch'!$C$6:$C$305,$O151),""))</f>
      </c>
      <c r="K151" s="221">
        <f>IF($I151="Phản ánh",INDEX('Phản ánh'!$K$6:$K$505,MATCH($C151,'Phản ánh'!$A$6:$A$505,0))&amp;"",IF($I151="Công việc",INDEX('Kế hoạch'!$N$6:$N$305,$O151)&amp;"",""))</f>
      </c>
      <c r="L151" s="220">
        <f>IF(OR($C151="",N($B151)=0),"",IF(AND($I151="Phản ánh",$E151="Đã xử lý"),INDEX('Phản ánh'!$U$6:$U$505,MATCH($C151,'Phản ánh'!$A$6:$A$505,0)),IF(AND($I151="Công việc",OR($E151="Hoàn thành",$E151="Hoàn thành kỳ")),IF(INDEX('Kế hoạch'!$B$6:$B$305,$O151)="Đột xuất",INDEX('Kế hoạch'!$AY$6:$AY$305,$O151),IF(N($P151)=0,"",IF(INT($B151)&lt;$P151,$P151,IF($Q151&gt;0,$P151+ROUND((INT($B151)-$P151)/$Q151,0)*$Q151,IF($R151&gt;0,EDATE($P151,ROUND((DATEDIF($P151,INT($B151),"m")+(INT($B151)-EDATE($P151,DATEDIF($P151,INT($B151),"m")))/(EDATE($P151,DATEDIF($P151,INT($B151),"m")+1)-EDATE($P151,DATEDIF($P151,INT($B151),"m"))))/$R151,0)*$R151),$P151))))),"")))</f>
      </c>
      <c r="M151" s="223">
        <f>IF(OR($C151="",N($L151)=0,N($B151)=0),"",IF(IF(MOD($L151,1)=0,INT($B151),$B151)&lt;=$L151,"Đúng hạn","Trễ hạn"))</f>
      </c>
      <c r="N151" s="225">
        <f>IF($C151="","",ROW())</f>
      </c>
      <c r="O151" s="225">
        <f>IF($I151="Công việc",MATCH($C151,'Kế hoạch'!$A$6:$A$305,0),"")</f>
      </c>
      <c r="P151" s="234">
        <f>IF($O151="","",INDEX('Kế hoạch'!$I$6:$I$305,$O151))</f>
      </c>
      <c r="Q151" s="225">
        <f>IF($O151="","",INDEX('Kế hoạch'!$AJ$6:$AJ$305,$O151))</f>
      </c>
      <c r="R151" s="225">
        <f>IF($O151="","",INDEX('Kế hoạch'!$AK$6:$AK$305,$O151))</f>
      </c>
    </row>
    <row r="152">
      <c r="A152" s="223">
        <f>IF($C152="","",COUNTIF($C$6:$C152,"?*"))</f>
      </c>
      <c r="B152" s="217"/>
      <c r="C152" s="216"/>
      <c r="D152" s="240"/>
      <c r="E152" s="218"/>
      <c r="F152" s="218"/>
      <c r="G152" s="218"/>
      <c r="H152" s="219"/>
      <c r="I152" s="223">
        <f>IF($C152="","",IF(ISNUMBER(MATCH($C152,'Phản ánh'!$A$6:$A$505,0)),"Phản ánh",IF(ISNUMBER(MATCH($C152,'Kế hoạch'!$A$6:$A$305,0)),"Công việc","Mã chưa có")))</f>
      </c>
      <c r="J152" s="221">
        <f>IF($I152="Phản ánh",INDEX('Phản ánh'!$C$6:$C$505,MATCH($C152,'Phản ánh'!$A$6:$A$505,0)),IF($I152="Công việc",INDEX('Kế hoạch'!$C$6:$C$305,$O152),""))</f>
      </c>
      <c r="K152" s="221">
        <f>IF($I152="Phản ánh",INDEX('Phản ánh'!$K$6:$K$505,MATCH($C152,'Phản ánh'!$A$6:$A$505,0))&amp;"",IF($I152="Công việc",INDEX('Kế hoạch'!$N$6:$N$305,$O152)&amp;"",""))</f>
      </c>
      <c r="L152" s="220">
        <f>IF(OR($C152="",N($B152)=0),"",IF(AND($I152="Phản ánh",$E152="Đã xử lý"),INDEX('Phản ánh'!$U$6:$U$505,MATCH($C152,'Phản ánh'!$A$6:$A$505,0)),IF(AND($I152="Công việc",OR($E152="Hoàn thành",$E152="Hoàn thành kỳ")),IF(INDEX('Kế hoạch'!$B$6:$B$305,$O152)="Đột xuất",INDEX('Kế hoạch'!$AY$6:$AY$305,$O152),IF(N($P152)=0,"",IF(INT($B152)&lt;$P152,$P152,IF($Q152&gt;0,$P152+ROUND((INT($B152)-$P152)/$Q152,0)*$Q152,IF($R152&gt;0,EDATE($P152,ROUND((DATEDIF($P152,INT($B152),"m")+(INT($B152)-EDATE($P152,DATEDIF($P152,INT($B152),"m")))/(EDATE($P152,DATEDIF($P152,INT($B152),"m")+1)-EDATE($P152,DATEDIF($P152,INT($B152),"m"))))/$R152,0)*$R152),$P152))))),"")))</f>
      </c>
      <c r="M152" s="223">
        <f>IF(OR($C152="",N($L152)=0,N($B152)=0),"",IF(IF(MOD($L152,1)=0,INT($B152),$B152)&lt;=$L152,"Đúng hạn","Trễ hạn"))</f>
      </c>
      <c r="N152" s="225">
        <f>IF($C152="","",ROW())</f>
      </c>
      <c r="O152" s="225">
        <f>IF($I152="Công việc",MATCH($C152,'Kế hoạch'!$A$6:$A$305,0),"")</f>
      </c>
      <c r="P152" s="234">
        <f>IF($O152="","",INDEX('Kế hoạch'!$I$6:$I$305,$O152))</f>
      </c>
      <c r="Q152" s="225">
        <f>IF($O152="","",INDEX('Kế hoạch'!$AJ$6:$AJ$305,$O152))</f>
      </c>
      <c r="R152" s="225">
        <f>IF($O152="","",INDEX('Kế hoạch'!$AK$6:$AK$305,$O152))</f>
      </c>
    </row>
    <row r="153">
      <c r="A153" s="223">
        <f>IF($C153="","",COUNTIF($C$6:$C153,"?*"))</f>
      </c>
      <c r="B153" s="217"/>
      <c r="C153" s="216"/>
      <c r="D153" s="240"/>
      <c r="E153" s="218"/>
      <c r="F153" s="218"/>
      <c r="G153" s="218"/>
      <c r="H153" s="219"/>
      <c r="I153" s="223">
        <f>IF($C153="","",IF(ISNUMBER(MATCH($C153,'Phản ánh'!$A$6:$A$505,0)),"Phản ánh",IF(ISNUMBER(MATCH($C153,'Kế hoạch'!$A$6:$A$305,0)),"Công việc","Mã chưa có")))</f>
      </c>
      <c r="J153" s="221">
        <f>IF($I153="Phản ánh",INDEX('Phản ánh'!$C$6:$C$505,MATCH($C153,'Phản ánh'!$A$6:$A$505,0)),IF($I153="Công việc",INDEX('Kế hoạch'!$C$6:$C$305,$O153),""))</f>
      </c>
      <c r="K153" s="221">
        <f>IF($I153="Phản ánh",INDEX('Phản ánh'!$K$6:$K$505,MATCH($C153,'Phản ánh'!$A$6:$A$505,0))&amp;"",IF($I153="Công việc",INDEX('Kế hoạch'!$N$6:$N$305,$O153)&amp;"",""))</f>
      </c>
      <c r="L153" s="220">
        <f>IF(OR($C153="",N($B153)=0),"",IF(AND($I153="Phản ánh",$E153="Đã xử lý"),INDEX('Phản ánh'!$U$6:$U$505,MATCH($C153,'Phản ánh'!$A$6:$A$505,0)),IF(AND($I153="Công việc",OR($E153="Hoàn thành",$E153="Hoàn thành kỳ")),IF(INDEX('Kế hoạch'!$B$6:$B$305,$O153)="Đột xuất",INDEX('Kế hoạch'!$AY$6:$AY$305,$O153),IF(N($P153)=0,"",IF(INT($B153)&lt;$P153,$P153,IF($Q153&gt;0,$P153+ROUND((INT($B153)-$P153)/$Q153,0)*$Q153,IF($R153&gt;0,EDATE($P153,ROUND((DATEDIF($P153,INT($B153),"m")+(INT($B153)-EDATE($P153,DATEDIF($P153,INT($B153),"m")))/(EDATE($P153,DATEDIF($P153,INT($B153),"m")+1)-EDATE($P153,DATEDIF($P153,INT($B153),"m"))))/$R153,0)*$R153),$P153))))),"")))</f>
      </c>
      <c r="M153" s="223">
        <f>IF(OR($C153="",N($L153)=0,N($B153)=0),"",IF(IF(MOD($L153,1)=0,INT($B153),$B153)&lt;=$L153,"Đúng hạn","Trễ hạn"))</f>
      </c>
      <c r="N153" s="225">
        <f>IF($C153="","",ROW())</f>
      </c>
      <c r="O153" s="225">
        <f>IF($I153="Công việc",MATCH($C153,'Kế hoạch'!$A$6:$A$305,0),"")</f>
      </c>
      <c r="P153" s="234">
        <f>IF($O153="","",INDEX('Kế hoạch'!$I$6:$I$305,$O153))</f>
      </c>
      <c r="Q153" s="225">
        <f>IF($O153="","",INDEX('Kế hoạch'!$AJ$6:$AJ$305,$O153))</f>
      </c>
      <c r="R153" s="225">
        <f>IF($O153="","",INDEX('Kế hoạch'!$AK$6:$AK$305,$O153))</f>
      </c>
    </row>
    <row r="154">
      <c r="A154" s="223">
        <f>IF($C154="","",COUNTIF($C$6:$C154,"?*"))</f>
      </c>
      <c r="B154" s="217"/>
      <c r="C154" s="216"/>
      <c r="D154" s="240"/>
      <c r="E154" s="218"/>
      <c r="F154" s="218"/>
      <c r="G154" s="218"/>
      <c r="H154" s="219"/>
      <c r="I154" s="223">
        <f>IF($C154="","",IF(ISNUMBER(MATCH($C154,'Phản ánh'!$A$6:$A$505,0)),"Phản ánh",IF(ISNUMBER(MATCH($C154,'Kế hoạch'!$A$6:$A$305,0)),"Công việc","Mã chưa có")))</f>
      </c>
      <c r="J154" s="221">
        <f>IF($I154="Phản ánh",INDEX('Phản ánh'!$C$6:$C$505,MATCH($C154,'Phản ánh'!$A$6:$A$505,0)),IF($I154="Công việc",INDEX('Kế hoạch'!$C$6:$C$305,$O154),""))</f>
      </c>
      <c r="K154" s="221">
        <f>IF($I154="Phản ánh",INDEX('Phản ánh'!$K$6:$K$505,MATCH($C154,'Phản ánh'!$A$6:$A$505,0))&amp;"",IF($I154="Công việc",INDEX('Kế hoạch'!$N$6:$N$305,$O154)&amp;"",""))</f>
      </c>
      <c r="L154" s="220">
        <f>IF(OR($C154="",N($B154)=0),"",IF(AND($I154="Phản ánh",$E154="Đã xử lý"),INDEX('Phản ánh'!$U$6:$U$505,MATCH($C154,'Phản ánh'!$A$6:$A$505,0)),IF(AND($I154="Công việc",OR($E154="Hoàn thành",$E154="Hoàn thành kỳ")),IF(INDEX('Kế hoạch'!$B$6:$B$305,$O154)="Đột xuất",INDEX('Kế hoạch'!$AY$6:$AY$305,$O154),IF(N($P154)=0,"",IF(INT($B154)&lt;$P154,$P154,IF($Q154&gt;0,$P154+ROUND((INT($B154)-$P154)/$Q154,0)*$Q154,IF($R154&gt;0,EDATE($P154,ROUND((DATEDIF($P154,INT($B154),"m")+(INT($B154)-EDATE($P154,DATEDIF($P154,INT($B154),"m")))/(EDATE($P154,DATEDIF($P154,INT($B154),"m")+1)-EDATE($P154,DATEDIF($P154,INT($B154),"m"))))/$R154,0)*$R154),$P154))))),"")))</f>
      </c>
      <c r="M154" s="223">
        <f>IF(OR($C154="",N($L154)=0,N($B154)=0),"",IF(IF(MOD($L154,1)=0,INT($B154),$B154)&lt;=$L154,"Đúng hạn","Trễ hạn"))</f>
      </c>
      <c r="N154" s="225">
        <f>IF($C154="","",ROW())</f>
      </c>
      <c r="O154" s="225">
        <f>IF($I154="Công việc",MATCH($C154,'Kế hoạch'!$A$6:$A$305,0),"")</f>
      </c>
      <c r="P154" s="234">
        <f>IF($O154="","",INDEX('Kế hoạch'!$I$6:$I$305,$O154))</f>
      </c>
      <c r="Q154" s="225">
        <f>IF($O154="","",INDEX('Kế hoạch'!$AJ$6:$AJ$305,$O154))</f>
      </c>
      <c r="R154" s="225">
        <f>IF($O154="","",INDEX('Kế hoạch'!$AK$6:$AK$305,$O154))</f>
      </c>
    </row>
    <row r="155">
      <c r="A155" s="223">
        <f>IF($C155="","",COUNTIF($C$6:$C155,"?*"))</f>
      </c>
      <c r="B155" s="217"/>
      <c r="C155" s="216"/>
      <c r="D155" s="240"/>
      <c r="E155" s="218"/>
      <c r="F155" s="218"/>
      <c r="G155" s="218"/>
      <c r="H155" s="219"/>
      <c r="I155" s="223">
        <f>IF($C155="","",IF(ISNUMBER(MATCH($C155,'Phản ánh'!$A$6:$A$505,0)),"Phản ánh",IF(ISNUMBER(MATCH($C155,'Kế hoạch'!$A$6:$A$305,0)),"Công việc","Mã chưa có")))</f>
      </c>
      <c r="J155" s="221">
        <f>IF($I155="Phản ánh",INDEX('Phản ánh'!$C$6:$C$505,MATCH($C155,'Phản ánh'!$A$6:$A$505,0)),IF($I155="Công việc",INDEX('Kế hoạch'!$C$6:$C$305,$O155),""))</f>
      </c>
      <c r="K155" s="221">
        <f>IF($I155="Phản ánh",INDEX('Phản ánh'!$K$6:$K$505,MATCH($C155,'Phản ánh'!$A$6:$A$505,0))&amp;"",IF($I155="Công việc",INDEX('Kế hoạch'!$N$6:$N$305,$O155)&amp;"",""))</f>
      </c>
      <c r="L155" s="220">
        <f>IF(OR($C155="",N($B155)=0),"",IF(AND($I155="Phản ánh",$E155="Đã xử lý"),INDEX('Phản ánh'!$U$6:$U$505,MATCH($C155,'Phản ánh'!$A$6:$A$505,0)),IF(AND($I155="Công việc",OR($E155="Hoàn thành",$E155="Hoàn thành kỳ")),IF(INDEX('Kế hoạch'!$B$6:$B$305,$O155)="Đột xuất",INDEX('Kế hoạch'!$AY$6:$AY$305,$O155),IF(N($P155)=0,"",IF(INT($B155)&lt;$P155,$P155,IF($Q155&gt;0,$P155+ROUND((INT($B155)-$P155)/$Q155,0)*$Q155,IF($R155&gt;0,EDATE($P155,ROUND((DATEDIF($P155,INT($B155),"m")+(INT($B155)-EDATE($P155,DATEDIF($P155,INT($B155),"m")))/(EDATE($P155,DATEDIF($P155,INT($B155),"m")+1)-EDATE($P155,DATEDIF($P155,INT($B155),"m"))))/$R155,0)*$R155),$P155))))),"")))</f>
      </c>
      <c r="M155" s="223">
        <f>IF(OR($C155="",N($L155)=0,N($B155)=0),"",IF(IF(MOD($L155,1)=0,INT($B155),$B155)&lt;=$L155,"Đúng hạn","Trễ hạn"))</f>
      </c>
      <c r="N155" s="225">
        <f>IF($C155="","",ROW())</f>
      </c>
      <c r="O155" s="225">
        <f>IF($I155="Công việc",MATCH($C155,'Kế hoạch'!$A$6:$A$305,0),"")</f>
      </c>
      <c r="P155" s="234">
        <f>IF($O155="","",INDEX('Kế hoạch'!$I$6:$I$305,$O155))</f>
      </c>
      <c r="Q155" s="225">
        <f>IF($O155="","",INDEX('Kế hoạch'!$AJ$6:$AJ$305,$O155))</f>
      </c>
      <c r="R155" s="225">
        <f>IF($O155="","",INDEX('Kế hoạch'!$AK$6:$AK$305,$O155))</f>
      </c>
    </row>
    <row r="156">
      <c r="A156" s="223">
        <f>IF($C156="","",COUNTIF($C$6:$C156,"?*"))</f>
      </c>
      <c r="B156" s="217"/>
      <c r="C156" s="216"/>
      <c r="D156" s="240"/>
      <c r="E156" s="218"/>
      <c r="F156" s="218"/>
      <c r="G156" s="218"/>
      <c r="H156" s="219"/>
      <c r="I156" s="223">
        <f>IF($C156="","",IF(ISNUMBER(MATCH($C156,'Phản ánh'!$A$6:$A$505,0)),"Phản ánh",IF(ISNUMBER(MATCH($C156,'Kế hoạch'!$A$6:$A$305,0)),"Công việc","Mã chưa có")))</f>
      </c>
      <c r="J156" s="221">
        <f>IF($I156="Phản ánh",INDEX('Phản ánh'!$C$6:$C$505,MATCH($C156,'Phản ánh'!$A$6:$A$505,0)),IF($I156="Công việc",INDEX('Kế hoạch'!$C$6:$C$305,$O156),""))</f>
      </c>
      <c r="K156" s="221">
        <f>IF($I156="Phản ánh",INDEX('Phản ánh'!$K$6:$K$505,MATCH($C156,'Phản ánh'!$A$6:$A$505,0))&amp;"",IF($I156="Công việc",INDEX('Kế hoạch'!$N$6:$N$305,$O156)&amp;"",""))</f>
      </c>
      <c r="L156" s="220">
        <f>IF(OR($C156="",N($B156)=0),"",IF(AND($I156="Phản ánh",$E156="Đã xử lý"),INDEX('Phản ánh'!$U$6:$U$505,MATCH($C156,'Phản ánh'!$A$6:$A$505,0)),IF(AND($I156="Công việc",OR($E156="Hoàn thành",$E156="Hoàn thành kỳ")),IF(INDEX('Kế hoạch'!$B$6:$B$305,$O156)="Đột xuất",INDEX('Kế hoạch'!$AY$6:$AY$305,$O156),IF(N($P156)=0,"",IF(INT($B156)&lt;$P156,$P156,IF($Q156&gt;0,$P156+ROUND((INT($B156)-$P156)/$Q156,0)*$Q156,IF($R156&gt;0,EDATE($P156,ROUND((DATEDIF($P156,INT($B156),"m")+(INT($B156)-EDATE($P156,DATEDIF($P156,INT($B156),"m")))/(EDATE($P156,DATEDIF($P156,INT($B156),"m")+1)-EDATE($P156,DATEDIF($P156,INT($B156),"m"))))/$R156,0)*$R156),$P156))))),"")))</f>
      </c>
      <c r="M156" s="223">
        <f>IF(OR($C156="",N($L156)=0,N($B156)=0),"",IF(IF(MOD($L156,1)=0,INT($B156),$B156)&lt;=$L156,"Đúng hạn","Trễ hạn"))</f>
      </c>
      <c r="N156" s="225">
        <f>IF($C156="","",ROW())</f>
      </c>
      <c r="O156" s="225">
        <f>IF($I156="Công việc",MATCH($C156,'Kế hoạch'!$A$6:$A$305,0),"")</f>
      </c>
      <c r="P156" s="234">
        <f>IF($O156="","",INDEX('Kế hoạch'!$I$6:$I$305,$O156))</f>
      </c>
      <c r="Q156" s="225">
        <f>IF($O156="","",INDEX('Kế hoạch'!$AJ$6:$AJ$305,$O156))</f>
      </c>
      <c r="R156" s="225">
        <f>IF($O156="","",INDEX('Kế hoạch'!$AK$6:$AK$305,$O156))</f>
      </c>
    </row>
    <row r="157">
      <c r="A157" s="223">
        <f>IF($C157="","",COUNTIF($C$6:$C157,"?*"))</f>
      </c>
      <c r="B157" s="217"/>
      <c r="C157" s="216"/>
      <c r="D157" s="240"/>
      <c r="E157" s="218"/>
      <c r="F157" s="218"/>
      <c r="G157" s="218"/>
      <c r="H157" s="219"/>
      <c r="I157" s="223">
        <f>IF($C157="","",IF(ISNUMBER(MATCH($C157,'Phản ánh'!$A$6:$A$505,0)),"Phản ánh",IF(ISNUMBER(MATCH($C157,'Kế hoạch'!$A$6:$A$305,0)),"Công việc","Mã chưa có")))</f>
      </c>
      <c r="J157" s="221">
        <f>IF($I157="Phản ánh",INDEX('Phản ánh'!$C$6:$C$505,MATCH($C157,'Phản ánh'!$A$6:$A$505,0)),IF($I157="Công việc",INDEX('Kế hoạch'!$C$6:$C$305,$O157),""))</f>
      </c>
      <c r="K157" s="221">
        <f>IF($I157="Phản ánh",INDEX('Phản ánh'!$K$6:$K$505,MATCH($C157,'Phản ánh'!$A$6:$A$505,0))&amp;"",IF($I157="Công việc",INDEX('Kế hoạch'!$N$6:$N$305,$O157)&amp;"",""))</f>
      </c>
      <c r="L157" s="220">
        <f>IF(OR($C157="",N($B157)=0),"",IF(AND($I157="Phản ánh",$E157="Đã xử lý"),INDEX('Phản ánh'!$U$6:$U$505,MATCH($C157,'Phản ánh'!$A$6:$A$505,0)),IF(AND($I157="Công việc",OR($E157="Hoàn thành",$E157="Hoàn thành kỳ")),IF(INDEX('Kế hoạch'!$B$6:$B$305,$O157)="Đột xuất",INDEX('Kế hoạch'!$AY$6:$AY$305,$O157),IF(N($P157)=0,"",IF(INT($B157)&lt;$P157,$P157,IF($Q157&gt;0,$P157+ROUND((INT($B157)-$P157)/$Q157,0)*$Q157,IF($R157&gt;0,EDATE($P157,ROUND((DATEDIF($P157,INT($B157),"m")+(INT($B157)-EDATE($P157,DATEDIF($P157,INT($B157),"m")))/(EDATE($P157,DATEDIF($P157,INT($B157),"m")+1)-EDATE($P157,DATEDIF($P157,INT($B157),"m"))))/$R157,0)*$R157),$P157))))),"")))</f>
      </c>
      <c r="M157" s="223">
        <f>IF(OR($C157="",N($L157)=0,N($B157)=0),"",IF(IF(MOD($L157,1)=0,INT($B157),$B157)&lt;=$L157,"Đúng hạn","Trễ hạn"))</f>
      </c>
      <c r="N157" s="225">
        <f>IF($C157="","",ROW())</f>
      </c>
      <c r="O157" s="225">
        <f>IF($I157="Công việc",MATCH($C157,'Kế hoạch'!$A$6:$A$305,0),"")</f>
      </c>
      <c r="P157" s="234">
        <f>IF($O157="","",INDEX('Kế hoạch'!$I$6:$I$305,$O157))</f>
      </c>
      <c r="Q157" s="225">
        <f>IF($O157="","",INDEX('Kế hoạch'!$AJ$6:$AJ$305,$O157))</f>
      </c>
      <c r="R157" s="225">
        <f>IF($O157="","",INDEX('Kế hoạch'!$AK$6:$AK$305,$O157))</f>
      </c>
    </row>
    <row r="158">
      <c r="A158" s="223">
        <f>IF($C158="","",COUNTIF($C$6:$C158,"?*"))</f>
      </c>
      <c r="B158" s="217"/>
      <c r="C158" s="216"/>
      <c r="D158" s="240"/>
      <c r="E158" s="218"/>
      <c r="F158" s="218"/>
      <c r="G158" s="218"/>
      <c r="H158" s="219"/>
      <c r="I158" s="223">
        <f>IF($C158="","",IF(ISNUMBER(MATCH($C158,'Phản ánh'!$A$6:$A$505,0)),"Phản ánh",IF(ISNUMBER(MATCH($C158,'Kế hoạch'!$A$6:$A$305,0)),"Công việc","Mã chưa có")))</f>
      </c>
      <c r="J158" s="221">
        <f>IF($I158="Phản ánh",INDEX('Phản ánh'!$C$6:$C$505,MATCH($C158,'Phản ánh'!$A$6:$A$505,0)),IF($I158="Công việc",INDEX('Kế hoạch'!$C$6:$C$305,$O158),""))</f>
      </c>
      <c r="K158" s="221">
        <f>IF($I158="Phản ánh",INDEX('Phản ánh'!$K$6:$K$505,MATCH($C158,'Phản ánh'!$A$6:$A$505,0))&amp;"",IF($I158="Công việc",INDEX('Kế hoạch'!$N$6:$N$305,$O158)&amp;"",""))</f>
      </c>
      <c r="L158" s="220">
        <f>IF(OR($C158="",N($B158)=0),"",IF(AND($I158="Phản ánh",$E158="Đã xử lý"),INDEX('Phản ánh'!$U$6:$U$505,MATCH($C158,'Phản ánh'!$A$6:$A$505,0)),IF(AND($I158="Công việc",OR($E158="Hoàn thành",$E158="Hoàn thành kỳ")),IF(INDEX('Kế hoạch'!$B$6:$B$305,$O158)="Đột xuất",INDEX('Kế hoạch'!$AY$6:$AY$305,$O158),IF(N($P158)=0,"",IF(INT($B158)&lt;$P158,$P158,IF($Q158&gt;0,$P158+ROUND((INT($B158)-$P158)/$Q158,0)*$Q158,IF($R158&gt;0,EDATE($P158,ROUND((DATEDIF($P158,INT($B158),"m")+(INT($B158)-EDATE($P158,DATEDIF($P158,INT($B158),"m")))/(EDATE($P158,DATEDIF($P158,INT($B158),"m")+1)-EDATE($P158,DATEDIF($P158,INT($B158),"m"))))/$R158,0)*$R158),$P158))))),"")))</f>
      </c>
      <c r="M158" s="223">
        <f>IF(OR($C158="",N($L158)=0,N($B158)=0),"",IF(IF(MOD($L158,1)=0,INT($B158),$B158)&lt;=$L158,"Đúng hạn","Trễ hạn"))</f>
      </c>
      <c r="N158" s="225">
        <f>IF($C158="","",ROW())</f>
      </c>
      <c r="O158" s="225">
        <f>IF($I158="Công việc",MATCH($C158,'Kế hoạch'!$A$6:$A$305,0),"")</f>
      </c>
      <c r="P158" s="234">
        <f>IF($O158="","",INDEX('Kế hoạch'!$I$6:$I$305,$O158))</f>
      </c>
      <c r="Q158" s="225">
        <f>IF($O158="","",INDEX('Kế hoạch'!$AJ$6:$AJ$305,$O158))</f>
      </c>
      <c r="R158" s="225">
        <f>IF($O158="","",INDEX('Kế hoạch'!$AK$6:$AK$305,$O158))</f>
      </c>
    </row>
    <row r="159">
      <c r="A159" s="223">
        <f>IF($C159="","",COUNTIF($C$6:$C159,"?*"))</f>
      </c>
      <c r="B159" s="217"/>
      <c r="C159" s="216"/>
      <c r="D159" s="240"/>
      <c r="E159" s="218"/>
      <c r="F159" s="218"/>
      <c r="G159" s="218"/>
      <c r="H159" s="219"/>
      <c r="I159" s="223">
        <f>IF($C159="","",IF(ISNUMBER(MATCH($C159,'Phản ánh'!$A$6:$A$505,0)),"Phản ánh",IF(ISNUMBER(MATCH($C159,'Kế hoạch'!$A$6:$A$305,0)),"Công việc","Mã chưa có")))</f>
      </c>
      <c r="J159" s="221">
        <f>IF($I159="Phản ánh",INDEX('Phản ánh'!$C$6:$C$505,MATCH($C159,'Phản ánh'!$A$6:$A$505,0)),IF($I159="Công việc",INDEX('Kế hoạch'!$C$6:$C$305,$O159),""))</f>
      </c>
      <c r="K159" s="221">
        <f>IF($I159="Phản ánh",INDEX('Phản ánh'!$K$6:$K$505,MATCH($C159,'Phản ánh'!$A$6:$A$505,0))&amp;"",IF($I159="Công việc",INDEX('Kế hoạch'!$N$6:$N$305,$O159)&amp;"",""))</f>
      </c>
      <c r="L159" s="220">
        <f>IF(OR($C159="",N($B159)=0),"",IF(AND($I159="Phản ánh",$E159="Đã xử lý"),INDEX('Phản ánh'!$U$6:$U$505,MATCH($C159,'Phản ánh'!$A$6:$A$505,0)),IF(AND($I159="Công việc",OR($E159="Hoàn thành",$E159="Hoàn thành kỳ")),IF(INDEX('Kế hoạch'!$B$6:$B$305,$O159)="Đột xuất",INDEX('Kế hoạch'!$AY$6:$AY$305,$O159),IF(N($P159)=0,"",IF(INT($B159)&lt;$P159,$P159,IF($Q159&gt;0,$P159+ROUND((INT($B159)-$P159)/$Q159,0)*$Q159,IF($R159&gt;0,EDATE($P159,ROUND((DATEDIF($P159,INT($B159),"m")+(INT($B159)-EDATE($P159,DATEDIF($P159,INT($B159),"m")))/(EDATE($P159,DATEDIF($P159,INT($B159),"m")+1)-EDATE($P159,DATEDIF($P159,INT($B159),"m"))))/$R159,0)*$R159),$P159))))),"")))</f>
      </c>
      <c r="M159" s="223">
        <f>IF(OR($C159="",N($L159)=0,N($B159)=0),"",IF(IF(MOD($L159,1)=0,INT($B159),$B159)&lt;=$L159,"Đúng hạn","Trễ hạn"))</f>
      </c>
      <c r="N159" s="225">
        <f>IF($C159="","",ROW())</f>
      </c>
      <c r="O159" s="225">
        <f>IF($I159="Công việc",MATCH($C159,'Kế hoạch'!$A$6:$A$305,0),"")</f>
      </c>
      <c r="P159" s="234">
        <f>IF($O159="","",INDEX('Kế hoạch'!$I$6:$I$305,$O159))</f>
      </c>
      <c r="Q159" s="225">
        <f>IF($O159="","",INDEX('Kế hoạch'!$AJ$6:$AJ$305,$O159))</f>
      </c>
      <c r="R159" s="225">
        <f>IF($O159="","",INDEX('Kế hoạch'!$AK$6:$AK$305,$O159))</f>
      </c>
    </row>
    <row r="160">
      <c r="A160" s="223">
        <f>IF($C160="","",COUNTIF($C$6:$C160,"?*"))</f>
      </c>
      <c r="B160" s="217"/>
      <c r="C160" s="216"/>
      <c r="D160" s="240"/>
      <c r="E160" s="218"/>
      <c r="F160" s="218"/>
      <c r="G160" s="218"/>
      <c r="H160" s="219"/>
      <c r="I160" s="223">
        <f>IF($C160="","",IF(ISNUMBER(MATCH($C160,'Phản ánh'!$A$6:$A$505,0)),"Phản ánh",IF(ISNUMBER(MATCH($C160,'Kế hoạch'!$A$6:$A$305,0)),"Công việc","Mã chưa có")))</f>
      </c>
      <c r="J160" s="221">
        <f>IF($I160="Phản ánh",INDEX('Phản ánh'!$C$6:$C$505,MATCH($C160,'Phản ánh'!$A$6:$A$505,0)),IF($I160="Công việc",INDEX('Kế hoạch'!$C$6:$C$305,$O160),""))</f>
      </c>
      <c r="K160" s="221">
        <f>IF($I160="Phản ánh",INDEX('Phản ánh'!$K$6:$K$505,MATCH($C160,'Phản ánh'!$A$6:$A$505,0))&amp;"",IF($I160="Công việc",INDEX('Kế hoạch'!$N$6:$N$305,$O160)&amp;"",""))</f>
      </c>
      <c r="L160" s="220">
        <f>IF(OR($C160="",N($B160)=0),"",IF(AND($I160="Phản ánh",$E160="Đã xử lý"),INDEX('Phản ánh'!$U$6:$U$505,MATCH($C160,'Phản ánh'!$A$6:$A$505,0)),IF(AND($I160="Công việc",OR($E160="Hoàn thành",$E160="Hoàn thành kỳ")),IF(INDEX('Kế hoạch'!$B$6:$B$305,$O160)="Đột xuất",INDEX('Kế hoạch'!$AY$6:$AY$305,$O160),IF(N($P160)=0,"",IF(INT($B160)&lt;$P160,$P160,IF($Q160&gt;0,$P160+ROUND((INT($B160)-$P160)/$Q160,0)*$Q160,IF($R160&gt;0,EDATE($P160,ROUND((DATEDIF($P160,INT($B160),"m")+(INT($B160)-EDATE($P160,DATEDIF($P160,INT($B160),"m")))/(EDATE($P160,DATEDIF($P160,INT($B160),"m")+1)-EDATE($P160,DATEDIF($P160,INT($B160),"m"))))/$R160,0)*$R160),$P160))))),"")))</f>
      </c>
      <c r="M160" s="223">
        <f>IF(OR($C160="",N($L160)=0,N($B160)=0),"",IF(IF(MOD($L160,1)=0,INT($B160),$B160)&lt;=$L160,"Đúng hạn","Trễ hạn"))</f>
      </c>
      <c r="N160" s="225">
        <f>IF($C160="","",ROW())</f>
      </c>
      <c r="O160" s="225">
        <f>IF($I160="Công việc",MATCH($C160,'Kế hoạch'!$A$6:$A$305,0),"")</f>
      </c>
      <c r="P160" s="234">
        <f>IF($O160="","",INDEX('Kế hoạch'!$I$6:$I$305,$O160))</f>
      </c>
      <c r="Q160" s="225">
        <f>IF($O160="","",INDEX('Kế hoạch'!$AJ$6:$AJ$305,$O160))</f>
      </c>
      <c r="R160" s="225">
        <f>IF($O160="","",INDEX('Kế hoạch'!$AK$6:$AK$305,$O160))</f>
      </c>
    </row>
    <row r="161">
      <c r="A161" s="223">
        <f>IF($C161="","",COUNTIF($C$6:$C161,"?*"))</f>
      </c>
      <c r="B161" s="217"/>
      <c r="C161" s="216"/>
      <c r="D161" s="240"/>
      <c r="E161" s="218"/>
      <c r="F161" s="218"/>
      <c r="G161" s="218"/>
      <c r="H161" s="219"/>
      <c r="I161" s="223">
        <f>IF($C161="","",IF(ISNUMBER(MATCH($C161,'Phản ánh'!$A$6:$A$505,0)),"Phản ánh",IF(ISNUMBER(MATCH($C161,'Kế hoạch'!$A$6:$A$305,0)),"Công việc","Mã chưa có")))</f>
      </c>
      <c r="J161" s="221">
        <f>IF($I161="Phản ánh",INDEX('Phản ánh'!$C$6:$C$505,MATCH($C161,'Phản ánh'!$A$6:$A$505,0)),IF($I161="Công việc",INDEX('Kế hoạch'!$C$6:$C$305,$O161),""))</f>
      </c>
      <c r="K161" s="221">
        <f>IF($I161="Phản ánh",INDEX('Phản ánh'!$K$6:$K$505,MATCH($C161,'Phản ánh'!$A$6:$A$505,0))&amp;"",IF($I161="Công việc",INDEX('Kế hoạch'!$N$6:$N$305,$O161)&amp;"",""))</f>
      </c>
      <c r="L161" s="220">
        <f>IF(OR($C161="",N($B161)=0),"",IF(AND($I161="Phản ánh",$E161="Đã xử lý"),INDEX('Phản ánh'!$U$6:$U$505,MATCH($C161,'Phản ánh'!$A$6:$A$505,0)),IF(AND($I161="Công việc",OR($E161="Hoàn thành",$E161="Hoàn thành kỳ")),IF(INDEX('Kế hoạch'!$B$6:$B$305,$O161)="Đột xuất",INDEX('Kế hoạch'!$AY$6:$AY$305,$O161),IF(N($P161)=0,"",IF(INT($B161)&lt;$P161,$P161,IF($Q161&gt;0,$P161+ROUND((INT($B161)-$P161)/$Q161,0)*$Q161,IF($R161&gt;0,EDATE($P161,ROUND((DATEDIF($P161,INT($B161),"m")+(INT($B161)-EDATE($P161,DATEDIF($P161,INT($B161),"m")))/(EDATE($P161,DATEDIF($P161,INT($B161),"m")+1)-EDATE($P161,DATEDIF($P161,INT($B161),"m"))))/$R161,0)*$R161),$P161))))),"")))</f>
      </c>
      <c r="M161" s="223">
        <f>IF(OR($C161="",N($L161)=0,N($B161)=0),"",IF(IF(MOD($L161,1)=0,INT($B161),$B161)&lt;=$L161,"Đúng hạn","Trễ hạn"))</f>
      </c>
      <c r="N161" s="225">
        <f>IF($C161="","",ROW())</f>
      </c>
      <c r="O161" s="225">
        <f>IF($I161="Công việc",MATCH($C161,'Kế hoạch'!$A$6:$A$305,0),"")</f>
      </c>
      <c r="P161" s="234">
        <f>IF($O161="","",INDEX('Kế hoạch'!$I$6:$I$305,$O161))</f>
      </c>
      <c r="Q161" s="225">
        <f>IF($O161="","",INDEX('Kế hoạch'!$AJ$6:$AJ$305,$O161))</f>
      </c>
      <c r="R161" s="225">
        <f>IF($O161="","",INDEX('Kế hoạch'!$AK$6:$AK$305,$O161))</f>
      </c>
    </row>
    <row r="162">
      <c r="A162" s="223">
        <f>IF($C162="","",COUNTIF($C$6:$C162,"?*"))</f>
      </c>
      <c r="B162" s="217"/>
      <c r="C162" s="216"/>
      <c r="D162" s="240"/>
      <c r="E162" s="218"/>
      <c r="F162" s="218"/>
      <c r="G162" s="218"/>
      <c r="H162" s="219"/>
      <c r="I162" s="223">
        <f>IF($C162="","",IF(ISNUMBER(MATCH($C162,'Phản ánh'!$A$6:$A$505,0)),"Phản ánh",IF(ISNUMBER(MATCH($C162,'Kế hoạch'!$A$6:$A$305,0)),"Công việc","Mã chưa có")))</f>
      </c>
      <c r="J162" s="221">
        <f>IF($I162="Phản ánh",INDEX('Phản ánh'!$C$6:$C$505,MATCH($C162,'Phản ánh'!$A$6:$A$505,0)),IF($I162="Công việc",INDEX('Kế hoạch'!$C$6:$C$305,$O162),""))</f>
      </c>
      <c r="K162" s="221">
        <f>IF($I162="Phản ánh",INDEX('Phản ánh'!$K$6:$K$505,MATCH($C162,'Phản ánh'!$A$6:$A$505,0))&amp;"",IF($I162="Công việc",INDEX('Kế hoạch'!$N$6:$N$305,$O162)&amp;"",""))</f>
      </c>
      <c r="L162" s="220">
        <f>IF(OR($C162="",N($B162)=0),"",IF(AND($I162="Phản ánh",$E162="Đã xử lý"),INDEX('Phản ánh'!$U$6:$U$505,MATCH($C162,'Phản ánh'!$A$6:$A$505,0)),IF(AND($I162="Công việc",OR($E162="Hoàn thành",$E162="Hoàn thành kỳ")),IF(INDEX('Kế hoạch'!$B$6:$B$305,$O162)="Đột xuất",INDEX('Kế hoạch'!$AY$6:$AY$305,$O162),IF(N($P162)=0,"",IF(INT($B162)&lt;$P162,$P162,IF($Q162&gt;0,$P162+ROUND((INT($B162)-$P162)/$Q162,0)*$Q162,IF($R162&gt;0,EDATE($P162,ROUND((DATEDIF($P162,INT($B162),"m")+(INT($B162)-EDATE($P162,DATEDIF($P162,INT($B162),"m")))/(EDATE($P162,DATEDIF($P162,INT($B162),"m")+1)-EDATE($P162,DATEDIF($P162,INT($B162),"m"))))/$R162,0)*$R162),$P162))))),"")))</f>
      </c>
      <c r="M162" s="223">
        <f>IF(OR($C162="",N($L162)=0,N($B162)=0),"",IF(IF(MOD($L162,1)=0,INT($B162),$B162)&lt;=$L162,"Đúng hạn","Trễ hạn"))</f>
      </c>
      <c r="N162" s="225">
        <f>IF($C162="","",ROW())</f>
      </c>
      <c r="O162" s="225">
        <f>IF($I162="Công việc",MATCH($C162,'Kế hoạch'!$A$6:$A$305,0),"")</f>
      </c>
      <c r="P162" s="234">
        <f>IF($O162="","",INDEX('Kế hoạch'!$I$6:$I$305,$O162))</f>
      </c>
      <c r="Q162" s="225">
        <f>IF($O162="","",INDEX('Kế hoạch'!$AJ$6:$AJ$305,$O162))</f>
      </c>
      <c r="R162" s="225">
        <f>IF($O162="","",INDEX('Kế hoạch'!$AK$6:$AK$305,$O162))</f>
      </c>
    </row>
    <row r="163">
      <c r="A163" s="223">
        <f>IF($C163="","",COUNTIF($C$6:$C163,"?*"))</f>
      </c>
      <c r="B163" s="217"/>
      <c r="C163" s="216"/>
      <c r="D163" s="240"/>
      <c r="E163" s="218"/>
      <c r="F163" s="218"/>
      <c r="G163" s="218"/>
      <c r="H163" s="219"/>
      <c r="I163" s="223">
        <f>IF($C163="","",IF(ISNUMBER(MATCH($C163,'Phản ánh'!$A$6:$A$505,0)),"Phản ánh",IF(ISNUMBER(MATCH($C163,'Kế hoạch'!$A$6:$A$305,0)),"Công việc","Mã chưa có")))</f>
      </c>
      <c r="J163" s="221">
        <f>IF($I163="Phản ánh",INDEX('Phản ánh'!$C$6:$C$505,MATCH($C163,'Phản ánh'!$A$6:$A$505,0)),IF($I163="Công việc",INDEX('Kế hoạch'!$C$6:$C$305,$O163),""))</f>
      </c>
      <c r="K163" s="221">
        <f>IF($I163="Phản ánh",INDEX('Phản ánh'!$K$6:$K$505,MATCH($C163,'Phản ánh'!$A$6:$A$505,0))&amp;"",IF($I163="Công việc",INDEX('Kế hoạch'!$N$6:$N$305,$O163)&amp;"",""))</f>
      </c>
      <c r="L163" s="220">
        <f>IF(OR($C163="",N($B163)=0),"",IF(AND($I163="Phản ánh",$E163="Đã xử lý"),INDEX('Phản ánh'!$U$6:$U$505,MATCH($C163,'Phản ánh'!$A$6:$A$505,0)),IF(AND($I163="Công việc",OR($E163="Hoàn thành",$E163="Hoàn thành kỳ")),IF(INDEX('Kế hoạch'!$B$6:$B$305,$O163)="Đột xuất",INDEX('Kế hoạch'!$AY$6:$AY$305,$O163),IF(N($P163)=0,"",IF(INT($B163)&lt;$P163,$P163,IF($Q163&gt;0,$P163+ROUND((INT($B163)-$P163)/$Q163,0)*$Q163,IF($R163&gt;0,EDATE($P163,ROUND((DATEDIF($P163,INT($B163),"m")+(INT($B163)-EDATE($P163,DATEDIF($P163,INT($B163),"m")))/(EDATE($P163,DATEDIF($P163,INT($B163),"m")+1)-EDATE($P163,DATEDIF($P163,INT($B163),"m"))))/$R163,0)*$R163),$P163))))),"")))</f>
      </c>
      <c r="M163" s="223">
        <f>IF(OR($C163="",N($L163)=0,N($B163)=0),"",IF(IF(MOD($L163,1)=0,INT($B163),$B163)&lt;=$L163,"Đúng hạn","Trễ hạn"))</f>
      </c>
      <c r="N163" s="225">
        <f>IF($C163="","",ROW())</f>
      </c>
      <c r="O163" s="225">
        <f>IF($I163="Công việc",MATCH($C163,'Kế hoạch'!$A$6:$A$305,0),"")</f>
      </c>
      <c r="P163" s="234">
        <f>IF($O163="","",INDEX('Kế hoạch'!$I$6:$I$305,$O163))</f>
      </c>
      <c r="Q163" s="225">
        <f>IF($O163="","",INDEX('Kế hoạch'!$AJ$6:$AJ$305,$O163))</f>
      </c>
      <c r="R163" s="225">
        <f>IF($O163="","",INDEX('Kế hoạch'!$AK$6:$AK$305,$O163))</f>
      </c>
    </row>
    <row r="164">
      <c r="A164" s="223">
        <f>IF($C164="","",COUNTIF($C$6:$C164,"?*"))</f>
      </c>
      <c r="B164" s="217"/>
      <c r="C164" s="216"/>
      <c r="D164" s="240"/>
      <c r="E164" s="218"/>
      <c r="F164" s="218"/>
      <c r="G164" s="218"/>
      <c r="H164" s="219"/>
      <c r="I164" s="223">
        <f>IF($C164="","",IF(ISNUMBER(MATCH($C164,'Phản ánh'!$A$6:$A$505,0)),"Phản ánh",IF(ISNUMBER(MATCH($C164,'Kế hoạch'!$A$6:$A$305,0)),"Công việc","Mã chưa có")))</f>
      </c>
      <c r="J164" s="221">
        <f>IF($I164="Phản ánh",INDEX('Phản ánh'!$C$6:$C$505,MATCH($C164,'Phản ánh'!$A$6:$A$505,0)),IF($I164="Công việc",INDEX('Kế hoạch'!$C$6:$C$305,$O164),""))</f>
      </c>
      <c r="K164" s="221">
        <f>IF($I164="Phản ánh",INDEX('Phản ánh'!$K$6:$K$505,MATCH($C164,'Phản ánh'!$A$6:$A$505,0))&amp;"",IF($I164="Công việc",INDEX('Kế hoạch'!$N$6:$N$305,$O164)&amp;"",""))</f>
      </c>
      <c r="L164" s="220">
        <f>IF(OR($C164="",N($B164)=0),"",IF(AND($I164="Phản ánh",$E164="Đã xử lý"),INDEX('Phản ánh'!$U$6:$U$505,MATCH($C164,'Phản ánh'!$A$6:$A$505,0)),IF(AND($I164="Công việc",OR($E164="Hoàn thành",$E164="Hoàn thành kỳ")),IF(INDEX('Kế hoạch'!$B$6:$B$305,$O164)="Đột xuất",INDEX('Kế hoạch'!$AY$6:$AY$305,$O164),IF(N($P164)=0,"",IF(INT($B164)&lt;$P164,$P164,IF($Q164&gt;0,$P164+ROUND((INT($B164)-$P164)/$Q164,0)*$Q164,IF($R164&gt;0,EDATE($P164,ROUND((DATEDIF($P164,INT($B164),"m")+(INT($B164)-EDATE($P164,DATEDIF($P164,INT($B164),"m")))/(EDATE($P164,DATEDIF($P164,INT($B164),"m")+1)-EDATE($P164,DATEDIF($P164,INT($B164),"m"))))/$R164,0)*$R164),$P164))))),"")))</f>
      </c>
      <c r="M164" s="223">
        <f>IF(OR($C164="",N($L164)=0,N($B164)=0),"",IF(IF(MOD($L164,1)=0,INT($B164),$B164)&lt;=$L164,"Đúng hạn","Trễ hạn"))</f>
      </c>
      <c r="N164" s="225">
        <f>IF($C164="","",ROW())</f>
      </c>
      <c r="O164" s="225">
        <f>IF($I164="Công việc",MATCH($C164,'Kế hoạch'!$A$6:$A$305,0),"")</f>
      </c>
      <c r="P164" s="234">
        <f>IF($O164="","",INDEX('Kế hoạch'!$I$6:$I$305,$O164))</f>
      </c>
      <c r="Q164" s="225">
        <f>IF($O164="","",INDEX('Kế hoạch'!$AJ$6:$AJ$305,$O164))</f>
      </c>
      <c r="R164" s="225">
        <f>IF($O164="","",INDEX('Kế hoạch'!$AK$6:$AK$305,$O164))</f>
      </c>
    </row>
    <row r="165">
      <c r="A165" s="223">
        <f>IF($C165="","",COUNTIF($C$6:$C165,"?*"))</f>
      </c>
      <c r="B165" s="217"/>
      <c r="C165" s="216"/>
      <c r="D165" s="240"/>
      <c r="E165" s="218"/>
      <c r="F165" s="218"/>
      <c r="G165" s="218"/>
      <c r="H165" s="219"/>
      <c r="I165" s="223">
        <f>IF($C165="","",IF(ISNUMBER(MATCH($C165,'Phản ánh'!$A$6:$A$505,0)),"Phản ánh",IF(ISNUMBER(MATCH($C165,'Kế hoạch'!$A$6:$A$305,0)),"Công việc","Mã chưa có")))</f>
      </c>
      <c r="J165" s="221">
        <f>IF($I165="Phản ánh",INDEX('Phản ánh'!$C$6:$C$505,MATCH($C165,'Phản ánh'!$A$6:$A$505,0)),IF($I165="Công việc",INDEX('Kế hoạch'!$C$6:$C$305,$O165),""))</f>
      </c>
      <c r="K165" s="221">
        <f>IF($I165="Phản ánh",INDEX('Phản ánh'!$K$6:$K$505,MATCH($C165,'Phản ánh'!$A$6:$A$505,0))&amp;"",IF($I165="Công việc",INDEX('Kế hoạch'!$N$6:$N$305,$O165)&amp;"",""))</f>
      </c>
      <c r="L165" s="220">
        <f>IF(OR($C165="",N($B165)=0),"",IF(AND($I165="Phản ánh",$E165="Đã xử lý"),INDEX('Phản ánh'!$U$6:$U$505,MATCH($C165,'Phản ánh'!$A$6:$A$505,0)),IF(AND($I165="Công việc",OR($E165="Hoàn thành",$E165="Hoàn thành kỳ")),IF(INDEX('Kế hoạch'!$B$6:$B$305,$O165)="Đột xuất",INDEX('Kế hoạch'!$AY$6:$AY$305,$O165),IF(N($P165)=0,"",IF(INT($B165)&lt;$P165,$P165,IF($Q165&gt;0,$P165+ROUND((INT($B165)-$P165)/$Q165,0)*$Q165,IF($R165&gt;0,EDATE($P165,ROUND((DATEDIF($P165,INT($B165),"m")+(INT($B165)-EDATE($P165,DATEDIF($P165,INT($B165),"m")))/(EDATE($P165,DATEDIF($P165,INT($B165),"m")+1)-EDATE($P165,DATEDIF($P165,INT($B165),"m"))))/$R165,0)*$R165),$P165))))),"")))</f>
      </c>
      <c r="M165" s="223">
        <f>IF(OR($C165="",N($L165)=0,N($B165)=0),"",IF(IF(MOD($L165,1)=0,INT($B165),$B165)&lt;=$L165,"Đúng hạn","Trễ hạn"))</f>
      </c>
      <c r="N165" s="225">
        <f>IF($C165="","",ROW())</f>
      </c>
      <c r="O165" s="225">
        <f>IF($I165="Công việc",MATCH($C165,'Kế hoạch'!$A$6:$A$305,0),"")</f>
      </c>
      <c r="P165" s="234">
        <f>IF($O165="","",INDEX('Kế hoạch'!$I$6:$I$305,$O165))</f>
      </c>
      <c r="Q165" s="225">
        <f>IF($O165="","",INDEX('Kế hoạch'!$AJ$6:$AJ$305,$O165))</f>
      </c>
      <c r="R165" s="225">
        <f>IF($O165="","",INDEX('Kế hoạch'!$AK$6:$AK$305,$O165))</f>
      </c>
    </row>
    <row r="166">
      <c r="A166" s="223">
        <f>IF($C166="","",COUNTIF($C$6:$C166,"?*"))</f>
      </c>
      <c r="B166" s="217"/>
      <c r="C166" s="216"/>
      <c r="D166" s="240"/>
      <c r="E166" s="218"/>
      <c r="F166" s="218"/>
      <c r="G166" s="218"/>
      <c r="H166" s="219"/>
      <c r="I166" s="223">
        <f>IF($C166="","",IF(ISNUMBER(MATCH($C166,'Phản ánh'!$A$6:$A$505,0)),"Phản ánh",IF(ISNUMBER(MATCH($C166,'Kế hoạch'!$A$6:$A$305,0)),"Công việc","Mã chưa có")))</f>
      </c>
      <c r="J166" s="221">
        <f>IF($I166="Phản ánh",INDEX('Phản ánh'!$C$6:$C$505,MATCH($C166,'Phản ánh'!$A$6:$A$505,0)),IF($I166="Công việc",INDEX('Kế hoạch'!$C$6:$C$305,$O166),""))</f>
      </c>
      <c r="K166" s="221">
        <f>IF($I166="Phản ánh",INDEX('Phản ánh'!$K$6:$K$505,MATCH($C166,'Phản ánh'!$A$6:$A$505,0))&amp;"",IF($I166="Công việc",INDEX('Kế hoạch'!$N$6:$N$305,$O166)&amp;"",""))</f>
      </c>
      <c r="L166" s="220">
        <f>IF(OR($C166="",N($B166)=0),"",IF(AND($I166="Phản ánh",$E166="Đã xử lý"),INDEX('Phản ánh'!$U$6:$U$505,MATCH($C166,'Phản ánh'!$A$6:$A$505,0)),IF(AND($I166="Công việc",OR($E166="Hoàn thành",$E166="Hoàn thành kỳ")),IF(INDEX('Kế hoạch'!$B$6:$B$305,$O166)="Đột xuất",INDEX('Kế hoạch'!$AY$6:$AY$305,$O166),IF(N($P166)=0,"",IF(INT($B166)&lt;$P166,$P166,IF($Q166&gt;0,$P166+ROUND((INT($B166)-$P166)/$Q166,0)*$Q166,IF($R166&gt;0,EDATE($P166,ROUND((DATEDIF($P166,INT($B166),"m")+(INT($B166)-EDATE($P166,DATEDIF($P166,INT($B166),"m")))/(EDATE($P166,DATEDIF($P166,INT($B166),"m")+1)-EDATE($P166,DATEDIF($P166,INT($B166),"m"))))/$R166,0)*$R166),$P166))))),"")))</f>
      </c>
      <c r="M166" s="223">
        <f>IF(OR($C166="",N($L166)=0,N($B166)=0),"",IF(IF(MOD($L166,1)=0,INT($B166),$B166)&lt;=$L166,"Đúng hạn","Trễ hạn"))</f>
      </c>
      <c r="N166" s="225">
        <f>IF($C166="","",ROW())</f>
      </c>
      <c r="O166" s="225">
        <f>IF($I166="Công việc",MATCH($C166,'Kế hoạch'!$A$6:$A$305,0),"")</f>
      </c>
      <c r="P166" s="234">
        <f>IF($O166="","",INDEX('Kế hoạch'!$I$6:$I$305,$O166))</f>
      </c>
      <c r="Q166" s="225">
        <f>IF($O166="","",INDEX('Kế hoạch'!$AJ$6:$AJ$305,$O166))</f>
      </c>
      <c r="R166" s="225">
        <f>IF($O166="","",INDEX('Kế hoạch'!$AK$6:$AK$305,$O166))</f>
      </c>
    </row>
    <row r="167">
      <c r="A167" s="223">
        <f>IF($C167="","",COUNTIF($C$6:$C167,"?*"))</f>
      </c>
      <c r="B167" s="217"/>
      <c r="C167" s="216"/>
      <c r="D167" s="240"/>
      <c r="E167" s="218"/>
      <c r="F167" s="218"/>
      <c r="G167" s="218"/>
      <c r="H167" s="219"/>
      <c r="I167" s="223">
        <f>IF($C167="","",IF(ISNUMBER(MATCH($C167,'Phản ánh'!$A$6:$A$505,0)),"Phản ánh",IF(ISNUMBER(MATCH($C167,'Kế hoạch'!$A$6:$A$305,0)),"Công việc","Mã chưa có")))</f>
      </c>
      <c r="J167" s="221">
        <f>IF($I167="Phản ánh",INDEX('Phản ánh'!$C$6:$C$505,MATCH($C167,'Phản ánh'!$A$6:$A$505,0)),IF($I167="Công việc",INDEX('Kế hoạch'!$C$6:$C$305,$O167),""))</f>
      </c>
      <c r="K167" s="221">
        <f>IF($I167="Phản ánh",INDEX('Phản ánh'!$K$6:$K$505,MATCH($C167,'Phản ánh'!$A$6:$A$505,0))&amp;"",IF($I167="Công việc",INDEX('Kế hoạch'!$N$6:$N$305,$O167)&amp;"",""))</f>
      </c>
      <c r="L167" s="220">
        <f>IF(OR($C167="",N($B167)=0),"",IF(AND($I167="Phản ánh",$E167="Đã xử lý"),INDEX('Phản ánh'!$U$6:$U$505,MATCH($C167,'Phản ánh'!$A$6:$A$505,0)),IF(AND($I167="Công việc",OR($E167="Hoàn thành",$E167="Hoàn thành kỳ")),IF(INDEX('Kế hoạch'!$B$6:$B$305,$O167)="Đột xuất",INDEX('Kế hoạch'!$AY$6:$AY$305,$O167),IF(N($P167)=0,"",IF(INT($B167)&lt;$P167,$P167,IF($Q167&gt;0,$P167+ROUND((INT($B167)-$P167)/$Q167,0)*$Q167,IF($R167&gt;0,EDATE($P167,ROUND((DATEDIF($P167,INT($B167),"m")+(INT($B167)-EDATE($P167,DATEDIF($P167,INT($B167),"m")))/(EDATE($P167,DATEDIF($P167,INT($B167),"m")+1)-EDATE($P167,DATEDIF($P167,INT($B167),"m"))))/$R167,0)*$R167),$P167))))),"")))</f>
      </c>
      <c r="M167" s="223">
        <f>IF(OR($C167="",N($L167)=0,N($B167)=0),"",IF(IF(MOD($L167,1)=0,INT($B167),$B167)&lt;=$L167,"Đúng hạn","Trễ hạn"))</f>
      </c>
      <c r="N167" s="225">
        <f>IF($C167="","",ROW())</f>
      </c>
      <c r="O167" s="225">
        <f>IF($I167="Công việc",MATCH($C167,'Kế hoạch'!$A$6:$A$305,0),"")</f>
      </c>
      <c r="P167" s="234">
        <f>IF($O167="","",INDEX('Kế hoạch'!$I$6:$I$305,$O167))</f>
      </c>
      <c r="Q167" s="225">
        <f>IF($O167="","",INDEX('Kế hoạch'!$AJ$6:$AJ$305,$O167))</f>
      </c>
      <c r="R167" s="225">
        <f>IF($O167="","",INDEX('Kế hoạch'!$AK$6:$AK$305,$O167))</f>
      </c>
    </row>
    <row r="168">
      <c r="A168" s="223">
        <f>IF($C168="","",COUNTIF($C$6:$C168,"?*"))</f>
      </c>
      <c r="B168" s="217"/>
      <c r="C168" s="216"/>
      <c r="D168" s="240"/>
      <c r="E168" s="218"/>
      <c r="F168" s="218"/>
      <c r="G168" s="218"/>
      <c r="H168" s="219"/>
      <c r="I168" s="223">
        <f>IF($C168="","",IF(ISNUMBER(MATCH($C168,'Phản ánh'!$A$6:$A$505,0)),"Phản ánh",IF(ISNUMBER(MATCH($C168,'Kế hoạch'!$A$6:$A$305,0)),"Công việc","Mã chưa có")))</f>
      </c>
      <c r="J168" s="221">
        <f>IF($I168="Phản ánh",INDEX('Phản ánh'!$C$6:$C$505,MATCH($C168,'Phản ánh'!$A$6:$A$505,0)),IF($I168="Công việc",INDEX('Kế hoạch'!$C$6:$C$305,$O168),""))</f>
      </c>
      <c r="K168" s="221">
        <f>IF($I168="Phản ánh",INDEX('Phản ánh'!$K$6:$K$505,MATCH($C168,'Phản ánh'!$A$6:$A$505,0))&amp;"",IF($I168="Công việc",INDEX('Kế hoạch'!$N$6:$N$305,$O168)&amp;"",""))</f>
      </c>
      <c r="L168" s="220">
        <f>IF(OR($C168="",N($B168)=0),"",IF(AND($I168="Phản ánh",$E168="Đã xử lý"),INDEX('Phản ánh'!$U$6:$U$505,MATCH($C168,'Phản ánh'!$A$6:$A$505,0)),IF(AND($I168="Công việc",OR($E168="Hoàn thành",$E168="Hoàn thành kỳ")),IF(INDEX('Kế hoạch'!$B$6:$B$305,$O168)="Đột xuất",INDEX('Kế hoạch'!$AY$6:$AY$305,$O168),IF(N($P168)=0,"",IF(INT($B168)&lt;$P168,$P168,IF($Q168&gt;0,$P168+ROUND((INT($B168)-$P168)/$Q168,0)*$Q168,IF($R168&gt;0,EDATE($P168,ROUND((DATEDIF($P168,INT($B168),"m")+(INT($B168)-EDATE($P168,DATEDIF($P168,INT($B168),"m")))/(EDATE($P168,DATEDIF($P168,INT($B168),"m")+1)-EDATE($P168,DATEDIF($P168,INT($B168),"m"))))/$R168,0)*$R168),$P168))))),"")))</f>
      </c>
      <c r="M168" s="223">
        <f>IF(OR($C168="",N($L168)=0,N($B168)=0),"",IF(IF(MOD($L168,1)=0,INT($B168),$B168)&lt;=$L168,"Đúng hạn","Trễ hạn"))</f>
      </c>
      <c r="N168" s="225">
        <f>IF($C168="","",ROW())</f>
      </c>
      <c r="O168" s="225">
        <f>IF($I168="Công việc",MATCH($C168,'Kế hoạch'!$A$6:$A$305,0),"")</f>
      </c>
      <c r="P168" s="234">
        <f>IF($O168="","",INDEX('Kế hoạch'!$I$6:$I$305,$O168))</f>
      </c>
      <c r="Q168" s="225">
        <f>IF($O168="","",INDEX('Kế hoạch'!$AJ$6:$AJ$305,$O168))</f>
      </c>
      <c r="R168" s="225">
        <f>IF($O168="","",INDEX('Kế hoạch'!$AK$6:$AK$305,$O168))</f>
      </c>
    </row>
    <row r="169">
      <c r="A169" s="223">
        <f>IF($C169="","",COUNTIF($C$6:$C169,"?*"))</f>
      </c>
      <c r="B169" s="217"/>
      <c r="C169" s="216"/>
      <c r="D169" s="240"/>
      <c r="E169" s="218"/>
      <c r="F169" s="218"/>
      <c r="G169" s="218"/>
      <c r="H169" s="219"/>
      <c r="I169" s="223">
        <f>IF($C169="","",IF(ISNUMBER(MATCH($C169,'Phản ánh'!$A$6:$A$505,0)),"Phản ánh",IF(ISNUMBER(MATCH($C169,'Kế hoạch'!$A$6:$A$305,0)),"Công việc","Mã chưa có")))</f>
      </c>
      <c r="J169" s="221">
        <f>IF($I169="Phản ánh",INDEX('Phản ánh'!$C$6:$C$505,MATCH($C169,'Phản ánh'!$A$6:$A$505,0)),IF($I169="Công việc",INDEX('Kế hoạch'!$C$6:$C$305,$O169),""))</f>
      </c>
      <c r="K169" s="221">
        <f>IF($I169="Phản ánh",INDEX('Phản ánh'!$K$6:$K$505,MATCH($C169,'Phản ánh'!$A$6:$A$505,0))&amp;"",IF($I169="Công việc",INDEX('Kế hoạch'!$N$6:$N$305,$O169)&amp;"",""))</f>
      </c>
      <c r="L169" s="220">
        <f>IF(OR($C169="",N($B169)=0),"",IF(AND($I169="Phản ánh",$E169="Đã xử lý"),INDEX('Phản ánh'!$U$6:$U$505,MATCH($C169,'Phản ánh'!$A$6:$A$505,0)),IF(AND($I169="Công việc",OR($E169="Hoàn thành",$E169="Hoàn thành kỳ")),IF(INDEX('Kế hoạch'!$B$6:$B$305,$O169)="Đột xuất",INDEX('Kế hoạch'!$AY$6:$AY$305,$O169),IF(N($P169)=0,"",IF(INT($B169)&lt;$P169,$P169,IF($Q169&gt;0,$P169+ROUND((INT($B169)-$P169)/$Q169,0)*$Q169,IF($R169&gt;0,EDATE($P169,ROUND((DATEDIF($P169,INT($B169),"m")+(INT($B169)-EDATE($P169,DATEDIF($P169,INT($B169),"m")))/(EDATE($P169,DATEDIF($P169,INT($B169),"m")+1)-EDATE($P169,DATEDIF($P169,INT($B169),"m"))))/$R169,0)*$R169),$P169))))),"")))</f>
      </c>
      <c r="M169" s="223">
        <f>IF(OR($C169="",N($L169)=0,N($B169)=0),"",IF(IF(MOD($L169,1)=0,INT($B169),$B169)&lt;=$L169,"Đúng hạn","Trễ hạn"))</f>
      </c>
      <c r="N169" s="225">
        <f>IF($C169="","",ROW())</f>
      </c>
      <c r="O169" s="225">
        <f>IF($I169="Công việc",MATCH($C169,'Kế hoạch'!$A$6:$A$305,0),"")</f>
      </c>
      <c r="P169" s="234">
        <f>IF($O169="","",INDEX('Kế hoạch'!$I$6:$I$305,$O169))</f>
      </c>
      <c r="Q169" s="225">
        <f>IF($O169="","",INDEX('Kế hoạch'!$AJ$6:$AJ$305,$O169))</f>
      </c>
      <c r="R169" s="225">
        <f>IF($O169="","",INDEX('Kế hoạch'!$AK$6:$AK$305,$O169))</f>
      </c>
    </row>
    <row r="170">
      <c r="A170" s="223">
        <f>IF($C170="","",COUNTIF($C$6:$C170,"?*"))</f>
      </c>
      <c r="B170" s="217"/>
      <c r="C170" s="216"/>
      <c r="D170" s="240"/>
      <c r="E170" s="218"/>
      <c r="F170" s="218"/>
      <c r="G170" s="218"/>
      <c r="H170" s="219"/>
      <c r="I170" s="223">
        <f>IF($C170="","",IF(ISNUMBER(MATCH($C170,'Phản ánh'!$A$6:$A$505,0)),"Phản ánh",IF(ISNUMBER(MATCH($C170,'Kế hoạch'!$A$6:$A$305,0)),"Công việc","Mã chưa có")))</f>
      </c>
      <c r="J170" s="221">
        <f>IF($I170="Phản ánh",INDEX('Phản ánh'!$C$6:$C$505,MATCH($C170,'Phản ánh'!$A$6:$A$505,0)),IF($I170="Công việc",INDEX('Kế hoạch'!$C$6:$C$305,$O170),""))</f>
      </c>
      <c r="K170" s="221">
        <f>IF($I170="Phản ánh",INDEX('Phản ánh'!$K$6:$K$505,MATCH($C170,'Phản ánh'!$A$6:$A$505,0))&amp;"",IF($I170="Công việc",INDEX('Kế hoạch'!$N$6:$N$305,$O170)&amp;"",""))</f>
      </c>
      <c r="L170" s="220">
        <f>IF(OR($C170="",N($B170)=0),"",IF(AND($I170="Phản ánh",$E170="Đã xử lý"),INDEX('Phản ánh'!$U$6:$U$505,MATCH($C170,'Phản ánh'!$A$6:$A$505,0)),IF(AND($I170="Công việc",OR($E170="Hoàn thành",$E170="Hoàn thành kỳ")),IF(INDEX('Kế hoạch'!$B$6:$B$305,$O170)="Đột xuất",INDEX('Kế hoạch'!$AY$6:$AY$305,$O170),IF(N($P170)=0,"",IF(INT($B170)&lt;$P170,$P170,IF($Q170&gt;0,$P170+ROUND((INT($B170)-$P170)/$Q170,0)*$Q170,IF($R170&gt;0,EDATE($P170,ROUND((DATEDIF($P170,INT($B170),"m")+(INT($B170)-EDATE($P170,DATEDIF($P170,INT($B170),"m")))/(EDATE($P170,DATEDIF($P170,INT($B170),"m")+1)-EDATE($P170,DATEDIF($P170,INT($B170),"m"))))/$R170,0)*$R170),$P170))))),"")))</f>
      </c>
      <c r="M170" s="223">
        <f>IF(OR($C170="",N($L170)=0,N($B170)=0),"",IF(IF(MOD($L170,1)=0,INT($B170),$B170)&lt;=$L170,"Đúng hạn","Trễ hạn"))</f>
      </c>
      <c r="N170" s="225">
        <f>IF($C170="","",ROW())</f>
      </c>
      <c r="O170" s="225">
        <f>IF($I170="Công việc",MATCH($C170,'Kế hoạch'!$A$6:$A$305,0),"")</f>
      </c>
      <c r="P170" s="234">
        <f>IF($O170="","",INDEX('Kế hoạch'!$I$6:$I$305,$O170))</f>
      </c>
      <c r="Q170" s="225">
        <f>IF($O170="","",INDEX('Kế hoạch'!$AJ$6:$AJ$305,$O170))</f>
      </c>
      <c r="R170" s="225">
        <f>IF($O170="","",INDEX('Kế hoạch'!$AK$6:$AK$305,$O170))</f>
      </c>
    </row>
    <row r="171">
      <c r="A171" s="223">
        <f>IF($C171="","",COUNTIF($C$6:$C171,"?*"))</f>
      </c>
      <c r="B171" s="217"/>
      <c r="C171" s="216"/>
      <c r="D171" s="240"/>
      <c r="E171" s="218"/>
      <c r="F171" s="218"/>
      <c r="G171" s="218"/>
      <c r="H171" s="219"/>
      <c r="I171" s="223">
        <f>IF($C171="","",IF(ISNUMBER(MATCH($C171,'Phản ánh'!$A$6:$A$505,0)),"Phản ánh",IF(ISNUMBER(MATCH($C171,'Kế hoạch'!$A$6:$A$305,0)),"Công việc","Mã chưa có")))</f>
      </c>
      <c r="J171" s="221">
        <f>IF($I171="Phản ánh",INDEX('Phản ánh'!$C$6:$C$505,MATCH($C171,'Phản ánh'!$A$6:$A$505,0)),IF($I171="Công việc",INDEX('Kế hoạch'!$C$6:$C$305,$O171),""))</f>
      </c>
      <c r="K171" s="221">
        <f>IF($I171="Phản ánh",INDEX('Phản ánh'!$K$6:$K$505,MATCH($C171,'Phản ánh'!$A$6:$A$505,0))&amp;"",IF($I171="Công việc",INDEX('Kế hoạch'!$N$6:$N$305,$O171)&amp;"",""))</f>
      </c>
      <c r="L171" s="220">
        <f>IF(OR($C171="",N($B171)=0),"",IF(AND($I171="Phản ánh",$E171="Đã xử lý"),INDEX('Phản ánh'!$U$6:$U$505,MATCH($C171,'Phản ánh'!$A$6:$A$505,0)),IF(AND($I171="Công việc",OR($E171="Hoàn thành",$E171="Hoàn thành kỳ")),IF(INDEX('Kế hoạch'!$B$6:$B$305,$O171)="Đột xuất",INDEX('Kế hoạch'!$AY$6:$AY$305,$O171),IF(N($P171)=0,"",IF(INT($B171)&lt;$P171,$P171,IF($Q171&gt;0,$P171+ROUND((INT($B171)-$P171)/$Q171,0)*$Q171,IF($R171&gt;0,EDATE($P171,ROUND((DATEDIF($P171,INT($B171),"m")+(INT($B171)-EDATE($P171,DATEDIF($P171,INT($B171),"m")))/(EDATE($P171,DATEDIF($P171,INT($B171),"m")+1)-EDATE($P171,DATEDIF($P171,INT($B171),"m"))))/$R171,0)*$R171),$P171))))),"")))</f>
      </c>
      <c r="M171" s="223">
        <f>IF(OR($C171="",N($L171)=0,N($B171)=0),"",IF(IF(MOD($L171,1)=0,INT($B171),$B171)&lt;=$L171,"Đúng hạn","Trễ hạn"))</f>
      </c>
      <c r="N171" s="225">
        <f>IF($C171="","",ROW())</f>
      </c>
      <c r="O171" s="225">
        <f>IF($I171="Công việc",MATCH($C171,'Kế hoạch'!$A$6:$A$305,0),"")</f>
      </c>
      <c r="P171" s="234">
        <f>IF($O171="","",INDEX('Kế hoạch'!$I$6:$I$305,$O171))</f>
      </c>
      <c r="Q171" s="225">
        <f>IF($O171="","",INDEX('Kế hoạch'!$AJ$6:$AJ$305,$O171))</f>
      </c>
      <c r="R171" s="225">
        <f>IF($O171="","",INDEX('Kế hoạch'!$AK$6:$AK$305,$O171))</f>
      </c>
    </row>
    <row r="172">
      <c r="A172" s="223">
        <f>IF($C172="","",COUNTIF($C$6:$C172,"?*"))</f>
      </c>
      <c r="B172" s="217"/>
      <c r="C172" s="216"/>
      <c r="D172" s="240"/>
      <c r="E172" s="218"/>
      <c r="F172" s="218"/>
      <c r="G172" s="218"/>
      <c r="H172" s="219"/>
      <c r="I172" s="223">
        <f>IF($C172="","",IF(ISNUMBER(MATCH($C172,'Phản ánh'!$A$6:$A$505,0)),"Phản ánh",IF(ISNUMBER(MATCH($C172,'Kế hoạch'!$A$6:$A$305,0)),"Công việc","Mã chưa có")))</f>
      </c>
      <c r="J172" s="221">
        <f>IF($I172="Phản ánh",INDEX('Phản ánh'!$C$6:$C$505,MATCH($C172,'Phản ánh'!$A$6:$A$505,0)),IF($I172="Công việc",INDEX('Kế hoạch'!$C$6:$C$305,$O172),""))</f>
      </c>
      <c r="K172" s="221">
        <f>IF($I172="Phản ánh",INDEX('Phản ánh'!$K$6:$K$505,MATCH($C172,'Phản ánh'!$A$6:$A$505,0))&amp;"",IF($I172="Công việc",INDEX('Kế hoạch'!$N$6:$N$305,$O172)&amp;"",""))</f>
      </c>
      <c r="L172" s="220">
        <f>IF(OR($C172="",N($B172)=0),"",IF(AND($I172="Phản ánh",$E172="Đã xử lý"),INDEX('Phản ánh'!$U$6:$U$505,MATCH($C172,'Phản ánh'!$A$6:$A$505,0)),IF(AND($I172="Công việc",OR($E172="Hoàn thành",$E172="Hoàn thành kỳ")),IF(INDEX('Kế hoạch'!$B$6:$B$305,$O172)="Đột xuất",INDEX('Kế hoạch'!$AY$6:$AY$305,$O172),IF(N($P172)=0,"",IF(INT($B172)&lt;$P172,$P172,IF($Q172&gt;0,$P172+ROUND((INT($B172)-$P172)/$Q172,0)*$Q172,IF($R172&gt;0,EDATE($P172,ROUND((DATEDIF($P172,INT($B172),"m")+(INT($B172)-EDATE($P172,DATEDIF($P172,INT($B172),"m")))/(EDATE($P172,DATEDIF($P172,INT($B172),"m")+1)-EDATE($P172,DATEDIF($P172,INT($B172),"m"))))/$R172,0)*$R172),$P172))))),"")))</f>
      </c>
      <c r="M172" s="223">
        <f>IF(OR($C172="",N($L172)=0,N($B172)=0),"",IF(IF(MOD($L172,1)=0,INT($B172),$B172)&lt;=$L172,"Đúng hạn","Trễ hạn"))</f>
      </c>
      <c r="N172" s="225">
        <f>IF($C172="","",ROW())</f>
      </c>
      <c r="O172" s="225">
        <f>IF($I172="Công việc",MATCH($C172,'Kế hoạch'!$A$6:$A$305,0),"")</f>
      </c>
      <c r="P172" s="234">
        <f>IF($O172="","",INDEX('Kế hoạch'!$I$6:$I$305,$O172))</f>
      </c>
      <c r="Q172" s="225">
        <f>IF($O172="","",INDEX('Kế hoạch'!$AJ$6:$AJ$305,$O172))</f>
      </c>
      <c r="R172" s="225">
        <f>IF($O172="","",INDEX('Kế hoạch'!$AK$6:$AK$305,$O172))</f>
      </c>
    </row>
    <row r="173">
      <c r="A173" s="223">
        <f>IF($C173="","",COUNTIF($C$6:$C173,"?*"))</f>
      </c>
      <c r="B173" s="217"/>
      <c r="C173" s="216"/>
      <c r="D173" s="240"/>
      <c r="E173" s="218"/>
      <c r="F173" s="218"/>
      <c r="G173" s="218"/>
      <c r="H173" s="219"/>
      <c r="I173" s="223">
        <f>IF($C173="","",IF(ISNUMBER(MATCH($C173,'Phản ánh'!$A$6:$A$505,0)),"Phản ánh",IF(ISNUMBER(MATCH($C173,'Kế hoạch'!$A$6:$A$305,0)),"Công việc","Mã chưa có")))</f>
      </c>
      <c r="J173" s="221">
        <f>IF($I173="Phản ánh",INDEX('Phản ánh'!$C$6:$C$505,MATCH($C173,'Phản ánh'!$A$6:$A$505,0)),IF($I173="Công việc",INDEX('Kế hoạch'!$C$6:$C$305,$O173),""))</f>
      </c>
      <c r="K173" s="221">
        <f>IF($I173="Phản ánh",INDEX('Phản ánh'!$K$6:$K$505,MATCH($C173,'Phản ánh'!$A$6:$A$505,0))&amp;"",IF($I173="Công việc",INDEX('Kế hoạch'!$N$6:$N$305,$O173)&amp;"",""))</f>
      </c>
      <c r="L173" s="220">
        <f>IF(OR($C173="",N($B173)=0),"",IF(AND($I173="Phản ánh",$E173="Đã xử lý"),INDEX('Phản ánh'!$U$6:$U$505,MATCH($C173,'Phản ánh'!$A$6:$A$505,0)),IF(AND($I173="Công việc",OR($E173="Hoàn thành",$E173="Hoàn thành kỳ")),IF(INDEX('Kế hoạch'!$B$6:$B$305,$O173)="Đột xuất",INDEX('Kế hoạch'!$AY$6:$AY$305,$O173),IF(N($P173)=0,"",IF(INT($B173)&lt;$P173,$P173,IF($Q173&gt;0,$P173+ROUND((INT($B173)-$P173)/$Q173,0)*$Q173,IF($R173&gt;0,EDATE($P173,ROUND((DATEDIF($P173,INT($B173),"m")+(INT($B173)-EDATE($P173,DATEDIF($P173,INT($B173),"m")))/(EDATE($P173,DATEDIF($P173,INT($B173),"m")+1)-EDATE($P173,DATEDIF($P173,INT($B173),"m"))))/$R173,0)*$R173),$P173))))),"")))</f>
      </c>
      <c r="M173" s="223">
        <f>IF(OR($C173="",N($L173)=0,N($B173)=0),"",IF(IF(MOD($L173,1)=0,INT($B173),$B173)&lt;=$L173,"Đúng hạn","Trễ hạn"))</f>
      </c>
      <c r="N173" s="225">
        <f>IF($C173="","",ROW())</f>
      </c>
      <c r="O173" s="225">
        <f>IF($I173="Công việc",MATCH($C173,'Kế hoạch'!$A$6:$A$305,0),"")</f>
      </c>
      <c r="P173" s="234">
        <f>IF($O173="","",INDEX('Kế hoạch'!$I$6:$I$305,$O173))</f>
      </c>
      <c r="Q173" s="225">
        <f>IF($O173="","",INDEX('Kế hoạch'!$AJ$6:$AJ$305,$O173))</f>
      </c>
      <c r="R173" s="225">
        <f>IF($O173="","",INDEX('Kế hoạch'!$AK$6:$AK$305,$O173))</f>
      </c>
    </row>
    <row r="174">
      <c r="A174" s="223">
        <f>IF($C174="","",COUNTIF($C$6:$C174,"?*"))</f>
      </c>
      <c r="B174" s="217"/>
      <c r="C174" s="216"/>
      <c r="D174" s="240"/>
      <c r="E174" s="218"/>
      <c r="F174" s="218"/>
      <c r="G174" s="218"/>
      <c r="H174" s="219"/>
      <c r="I174" s="223">
        <f>IF($C174="","",IF(ISNUMBER(MATCH($C174,'Phản ánh'!$A$6:$A$505,0)),"Phản ánh",IF(ISNUMBER(MATCH($C174,'Kế hoạch'!$A$6:$A$305,0)),"Công việc","Mã chưa có")))</f>
      </c>
      <c r="J174" s="221">
        <f>IF($I174="Phản ánh",INDEX('Phản ánh'!$C$6:$C$505,MATCH($C174,'Phản ánh'!$A$6:$A$505,0)),IF($I174="Công việc",INDEX('Kế hoạch'!$C$6:$C$305,$O174),""))</f>
      </c>
      <c r="K174" s="221">
        <f>IF($I174="Phản ánh",INDEX('Phản ánh'!$K$6:$K$505,MATCH($C174,'Phản ánh'!$A$6:$A$505,0))&amp;"",IF($I174="Công việc",INDEX('Kế hoạch'!$N$6:$N$305,$O174)&amp;"",""))</f>
      </c>
      <c r="L174" s="220">
        <f>IF(OR($C174="",N($B174)=0),"",IF(AND($I174="Phản ánh",$E174="Đã xử lý"),INDEX('Phản ánh'!$U$6:$U$505,MATCH($C174,'Phản ánh'!$A$6:$A$505,0)),IF(AND($I174="Công việc",OR($E174="Hoàn thành",$E174="Hoàn thành kỳ")),IF(INDEX('Kế hoạch'!$B$6:$B$305,$O174)="Đột xuất",INDEX('Kế hoạch'!$AY$6:$AY$305,$O174),IF(N($P174)=0,"",IF(INT($B174)&lt;$P174,$P174,IF($Q174&gt;0,$P174+ROUND((INT($B174)-$P174)/$Q174,0)*$Q174,IF($R174&gt;0,EDATE($P174,ROUND((DATEDIF($P174,INT($B174),"m")+(INT($B174)-EDATE($P174,DATEDIF($P174,INT($B174),"m")))/(EDATE($P174,DATEDIF($P174,INT($B174),"m")+1)-EDATE($P174,DATEDIF($P174,INT($B174),"m"))))/$R174,0)*$R174),$P174))))),"")))</f>
      </c>
      <c r="M174" s="223">
        <f>IF(OR($C174="",N($L174)=0,N($B174)=0),"",IF(IF(MOD($L174,1)=0,INT($B174),$B174)&lt;=$L174,"Đúng hạn","Trễ hạn"))</f>
      </c>
      <c r="N174" s="225">
        <f>IF($C174="","",ROW())</f>
      </c>
      <c r="O174" s="225">
        <f>IF($I174="Công việc",MATCH($C174,'Kế hoạch'!$A$6:$A$305,0),"")</f>
      </c>
      <c r="P174" s="234">
        <f>IF($O174="","",INDEX('Kế hoạch'!$I$6:$I$305,$O174))</f>
      </c>
      <c r="Q174" s="225">
        <f>IF($O174="","",INDEX('Kế hoạch'!$AJ$6:$AJ$305,$O174))</f>
      </c>
      <c r="R174" s="225">
        <f>IF($O174="","",INDEX('Kế hoạch'!$AK$6:$AK$305,$O174))</f>
      </c>
    </row>
    <row r="175">
      <c r="A175" s="223">
        <f>IF($C175="","",COUNTIF($C$6:$C175,"?*"))</f>
      </c>
      <c r="B175" s="217"/>
      <c r="C175" s="216"/>
      <c r="D175" s="240"/>
      <c r="E175" s="218"/>
      <c r="F175" s="218"/>
      <c r="G175" s="218"/>
      <c r="H175" s="219"/>
      <c r="I175" s="223">
        <f>IF($C175="","",IF(ISNUMBER(MATCH($C175,'Phản ánh'!$A$6:$A$505,0)),"Phản ánh",IF(ISNUMBER(MATCH($C175,'Kế hoạch'!$A$6:$A$305,0)),"Công việc","Mã chưa có")))</f>
      </c>
      <c r="J175" s="221">
        <f>IF($I175="Phản ánh",INDEX('Phản ánh'!$C$6:$C$505,MATCH($C175,'Phản ánh'!$A$6:$A$505,0)),IF($I175="Công việc",INDEX('Kế hoạch'!$C$6:$C$305,$O175),""))</f>
      </c>
      <c r="K175" s="221">
        <f>IF($I175="Phản ánh",INDEX('Phản ánh'!$K$6:$K$505,MATCH($C175,'Phản ánh'!$A$6:$A$505,0))&amp;"",IF($I175="Công việc",INDEX('Kế hoạch'!$N$6:$N$305,$O175)&amp;"",""))</f>
      </c>
      <c r="L175" s="220">
        <f>IF(OR($C175="",N($B175)=0),"",IF(AND($I175="Phản ánh",$E175="Đã xử lý"),INDEX('Phản ánh'!$U$6:$U$505,MATCH($C175,'Phản ánh'!$A$6:$A$505,0)),IF(AND($I175="Công việc",OR($E175="Hoàn thành",$E175="Hoàn thành kỳ")),IF(INDEX('Kế hoạch'!$B$6:$B$305,$O175)="Đột xuất",INDEX('Kế hoạch'!$AY$6:$AY$305,$O175),IF(N($P175)=0,"",IF(INT($B175)&lt;$P175,$P175,IF($Q175&gt;0,$P175+ROUND((INT($B175)-$P175)/$Q175,0)*$Q175,IF($R175&gt;0,EDATE($P175,ROUND((DATEDIF($P175,INT($B175),"m")+(INT($B175)-EDATE($P175,DATEDIF($P175,INT($B175),"m")))/(EDATE($P175,DATEDIF($P175,INT($B175),"m")+1)-EDATE($P175,DATEDIF($P175,INT($B175),"m"))))/$R175,0)*$R175),$P175))))),"")))</f>
      </c>
      <c r="M175" s="223">
        <f>IF(OR($C175="",N($L175)=0,N($B175)=0),"",IF(IF(MOD($L175,1)=0,INT($B175),$B175)&lt;=$L175,"Đúng hạn","Trễ hạn"))</f>
      </c>
      <c r="N175" s="225">
        <f>IF($C175="","",ROW())</f>
      </c>
      <c r="O175" s="225">
        <f>IF($I175="Công việc",MATCH($C175,'Kế hoạch'!$A$6:$A$305,0),"")</f>
      </c>
      <c r="P175" s="234">
        <f>IF($O175="","",INDEX('Kế hoạch'!$I$6:$I$305,$O175))</f>
      </c>
      <c r="Q175" s="225">
        <f>IF($O175="","",INDEX('Kế hoạch'!$AJ$6:$AJ$305,$O175))</f>
      </c>
      <c r="R175" s="225">
        <f>IF($O175="","",INDEX('Kế hoạch'!$AK$6:$AK$305,$O175))</f>
      </c>
    </row>
    <row r="176">
      <c r="A176" s="223">
        <f>IF($C176="","",COUNTIF($C$6:$C176,"?*"))</f>
      </c>
      <c r="B176" s="217"/>
      <c r="C176" s="216"/>
      <c r="D176" s="240"/>
      <c r="E176" s="218"/>
      <c r="F176" s="218"/>
      <c r="G176" s="218"/>
      <c r="H176" s="219"/>
      <c r="I176" s="223">
        <f>IF($C176="","",IF(ISNUMBER(MATCH($C176,'Phản ánh'!$A$6:$A$505,0)),"Phản ánh",IF(ISNUMBER(MATCH($C176,'Kế hoạch'!$A$6:$A$305,0)),"Công việc","Mã chưa có")))</f>
      </c>
      <c r="J176" s="221">
        <f>IF($I176="Phản ánh",INDEX('Phản ánh'!$C$6:$C$505,MATCH($C176,'Phản ánh'!$A$6:$A$505,0)),IF($I176="Công việc",INDEX('Kế hoạch'!$C$6:$C$305,$O176),""))</f>
      </c>
      <c r="K176" s="221">
        <f>IF($I176="Phản ánh",INDEX('Phản ánh'!$K$6:$K$505,MATCH($C176,'Phản ánh'!$A$6:$A$505,0))&amp;"",IF($I176="Công việc",INDEX('Kế hoạch'!$N$6:$N$305,$O176)&amp;"",""))</f>
      </c>
      <c r="L176" s="220">
        <f>IF(OR($C176="",N($B176)=0),"",IF(AND($I176="Phản ánh",$E176="Đã xử lý"),INDEX('Phản ánh'!$U$6:$U$505,MATCH($C176,'Phản ánh'!$A$6:$A$505,0)),IF(AND($I176="Công việc",OR($E176="Hoàn thành",$E176="Hoàn thành kỳ")),IF(INDEX('Kế hoạch'!$B$6:$B$305,$O176)="Đột xuất",INDEX('Kế hoạch'!$AY$6:$AY$305,$O176),IF(N($P176)=0,"",IF(INT($B176)&lt;$P176,$P176,IF($Q176&gt;0,$P176+ROUND((INT($B176)-$P176)/$Q176,0)*$Q176,IF($R176&gt;0,EDATE($P176,ROUND((DATEDIF($P176,INT($B176),"m")+(INT($B176)-EDATE($P176,DATEDIF($P176,INT($B176),"m")))/(EDATE($P176,DATEDIF($P176,INT($B176),"m")+1)-EDATE($P176,DATEDIF($P176,INT($B176),"m"))))/$R176,0)*$R176),$P176))))),"")))</f>
      </c>
      <c r="M176" s="223">
        <f>IF(OR($C176="",N($L176)=0,N($B176)=0),"",IF(IF(MOD($L176,1)=0,INT($B176),$B176)&lt;=$L176,"Đúng hạn","Trễ hạn"))</f>
      </c>
      <c r="N176" s="225">
        <f>IF($C176="","",ROW())</f>
      </c>
      <c r="O176" s="225">
        <f>IF($I176="Công việc",MATCH($C176,'Kế hoạch'!$A$6:$A$305,0),"")</f>
      </c>
      <c r="P176" s="234">
        <f>IF($O176="","",INDEX('Kế hoạch'!$I$6:$I$305,$O176))</f>
      </c>
      <c r="Q176" s="225">
        <f>IF($O176="","",INDEX('Kế hoạch'!$AJ$6:$AJ$305,$O176))</f>
      </c>
      <c r="R176" s="225">
        <f>IF($O176="","",INDEX('Kế hoạch'!$AK$6:$AK$305,$O176))</f>
      </c>
    </row>
    <row r="177">
      <c r="A177" s="223">
        <f>IF($C177="","",COUNTIF($C$6:$C177,"?*"))</f>
      </c>
      <c r="B177" s="217"/>
      <c r="C177" s="216"/>
      <c r="D177" s="240"/>
      <c r="E177" s="218"/>
      <c r="F177" s="218"/>
      <c r="G177" s="218"/>
      <c r="H177" s="219"/>
      <c r="I177" s="223">
        <f>IF($C177="","",IF(ISNUMBER(MATCH($C177,'Phản ánh'!$A$6:$A$505,0)),"Phản ánh",IF(ISNUMBER(MATCH($C177,'Kế hoạch'!$A$6:$A$305,0)),"Công việc","Mã chưa có")))</f>
      </c>
      <c r="J177" s="221">
        <f>IF($I177="Phản ánh",INDEX('Phản ánh'!$C$6:$C$505,MATCH($C177,'Phản ánh'!$A$6:$A$505,0)),IF($I177="Công việc",INDEX('Kế hoạch'!$C$6:$C$305,$O177),""))</f>
      </c>
      <c r="K177" s="221">
        <f>IF($I177="Phản ánh",INDEX('Phản ánh'!$K$6:$K$505,MATCH($C177,'Phản ánh'!$A$6:$A$505,0))&amp;"",IF($I177="Công việc",INDEX('Kế hoạch'!$N$6:$N$305,$O177)&amp;"",""))</f>
      </c>
      <c r="L177" s="220">
        <f>IF(OR($C177="",N($B177)=0),"",IF(AND($I177="Phản ánh",$E177="Đã xử lý"),INDEX('Phản ánh'!$U$6:$U$505,MATCH($C177,'Phản ánh'!$A$6:$A$505,0)),IF(AND($I177="Công việc",OR($E177="Hoàn thành",$E177="Hoàn thành kỳ")),IF(INDEX('Kế hoạch'!$B$6:$B$305,$O177)="Đột xuất",INDEX('Kế hoạch'!$AY$6:$AY$305,$O177),IF(N($P177)=0,"",IF(INT($B177)&lt;$P177,$P177,IF($Q177&gt;0,$P177+ROUND((INT($B177)-$P177)/$Q177,0)*$Q177,IF($R177&gt;0,EDATE($P177,ROUND((DATEDIF($P177,INT($B177),"m")+(INT($B177)-EDATE($P177,DATEDIF($P177,INT($B177),"m")))/(EDATE($P177,DATEDIF($P177,INT($B177),"m")+1)-EDATE($P177,DATEDIF($P177,INT($B177),"m"))))/$R177,0)*$R177),$P177))))),"")))</f>
      </c>
      <c r="M177" s="223">
        <f>IF(OR($C177="",N($L177)=0,N($B177)=0),"",IF(IF(MOD($L177,1)=0,INT($B177),$B177)&lt;=$L177,"Đúng hạn","Trễ hạn"))</f>
      </c>
      <c r="N177" s="225">
        <f>IF($C177="","",ROW())</f>
      </c>
      <c r="O177" s="225">
        <f>IF($I177="Công việc",MATCH($C177,'Kế hoạch'!$A$6:$A$305,0),"")</f>
      </c>
      <c r="P177" s="234">
        <f>IF($O177="","",INDEX('Kế hoạch'!$I$6:$I$305,$O177))</f>
      </c>
      <c r="Q177" s="225">
        <f>IF($O177="","",INDEX('Kế hoạch'!$AJ$6:$AJ$305,$O177))</f>
      </c>
      <c r="R177" s="225">
        <f>IF($O177="","",INDEX('Kế hoạch'!$AK$6:$AK$305,$O177))</f>
      </c>
    </row>
    <row r="178">
      <c r="A178" s="223">
        <f>IF($C178="","",COUNTIF($C$6:$C178,"?*"))</f>
      </c>
      <c r="B178" s="217"/>
      <c r="C178" s="216"/>
      <c r="D178" s="240"/>
      <c r="E178" s="218"/>
      <c r="F178" s="218"/>
      <c r="G178" s="218"/>
      <c r="H178" s="219"/>
      <c r="I178" s="223">
        <f>IF($C178="","",IF(ISNUMBER(MATCH($C178,'Phản ánh'!$A$6:$A$505,0)),"Phản ánh",IF(ISNUMBER(MATCH($C178,'Kế hoạch'!$A$6:$A$305,0)),"Công việc","Mã chưa có")))</f>
      </c>
      <c r="J178" s="221">
        <f>IF($I178="Phản ánh",INDEX('Phản ánh'!$C$6:$C$505,MATCH($C178,'Phản ánh'!$A$6:$A$505,0)),IF($I178="Công việc",INDEX('Kế hoạch'!$C$6:$C$305,$O178),""))</f>
      </c>
      <c r="K178" s="221">
        <f>IF($I178="Phản ánh",INDEX('Phản ánh'!$K$6:$K$505,MATCH($C178,'Phản ánh'!$A$6:$A$505,0))&amp;"",IF($I178="Công việc",INDEX('Kế hoạch'!$N$6:$N$305,$O178)&amp;"",""))</f>
      </c>
      <c r="L178" s="220">
        <f>IF(OR($C178="",N($B178)=0),"",IF(AND($I178="Phản ánh",$E178="Đã xử lý"),INDEX('Phản ánh'!$U$6:$U$505,MATCH($C178,'Phản ánh'!$A$6:$A$505,0)),IF(AND($I178="Công việc",OR($E178="Hoàn thành",$E178="Hoàn thành kỳ")),IF(INDEX('Kế hoạch'!$B$6:$B$305,$O178)="Đột xuất",INDEX('Kế hoạch'!$AY$6:$AY$305,$O178),IF(N($P178)=0,"",IF(INT($B178)&lt;$P178,$P178,IF($Q178&gt;0,$P178+ROUND((INT($B178)-$P178)/$Q178,0)*$Q178,IF($R178&gt;0,EDATE($P178,ROUND((DATEDIF($P178,INT($B178),"m")+(INT($B178)-EDATE($P178,DATEDIF($P178,INT($B178),"m")))/(EDATE($P178,DATEDIF($P178,INT($B178),"m")+1)-EDATE($P178,DATEDIF($P178,INT($B178),"m"))))/$R178,0)*$R178),$P178))))),"")))</f>
      </c>
      <c r="M178" s="223">
        <f>IF(OR($C178="",N($L178)=0,N($B178)=0),"",IF(IF(MOD($L178,1)=0,INT($B178),$B178)&lt;=$L178,"Đúng hạn","Trễ hạn"))</f>
      </c>
      <c r="N178" s="225">
        <f>IF($C178="","",ROW())</f>
      </c>
      <c r="O178" s="225">
        <f>IF($I178="Công việc",MATCH($C178,'Kế hoạch'!$A$6:$A$305,0),"")</f>
      </c>
      <c r="P178" s="234">
        <f>IF($O178="","",INDEX('Kế hoạch'!$I$6:$I$305,$O178))</f>
      </c>
      <c r="Q178" s="225">
        <f>IF($O178="","",INDEX('Kế hoạch'!$AJ$6:$AJ$305,$O178))</f>
      </c>
      <c r="R178" s="225">
        <f>IF($O178="","",INDEX('Kế hoạch'!$AK$6:$AK$305,$O178))</f>
      </c>
    </row>
    <row r="179">
      <c r="A179" s="223">
        <f>IF($C179="","",COUNTIF($C$6:$C179,"?*"))</f>
      </c>
      <c r="B179" s="217"/>
      <c r="C179" s="216"/>
      <c r="D179" s="240"/>
      <c r="E179" s="218"/>
      <c r="F179" s="218"/>
      <c r="G179" s="218"/>
      <c r="H179" s="219"/>
      <c r="I179" s="223">
        <f>IF($C179="","",IF(ISNUMBER(MATCH($C179,'Phản ánh'!$A$6:$A$505,0)),"Phản ánh",IF(ISNUMBER(MATCH($C179,'Kế hoạch'!$A$6:$A$305,0)),"Công việc","Mã chưa có")))</f>
      </c>
      <c r="J179" s="221">
        <f>IF($I179="Phản ánh",INDEX('Phản ánh'!$C$6:$C$505,MATCH($C179,'Phản ánh'!$A$6:$A$505,0)),IF($I179="Công việc",INDEX('Kế hoạch'!$C$6:$C$305,$O179),""))</f>
      </c>
      <c r="K179" s="221">
        <f>IF($I179="Phản ánh",INDEX('Phản ánh'!$K$6:$K$505,MATCH($C179,'Phản ánh'!$A$6:$A$505,0))&amp;"",IF($I179="Công việc",INDEX('Kế hoạch'!$N$6:$N$305,$O179)&amp;"",""))</f>
      </c>
      <c r="L179" s="220">
        <f>IF(OR($C179="",N($B179)=0),"",IF(AND($I179="Phản ánh",$E179="Đã xử lý"),INDEX('Phản ánh'!$U$6:$U$505,MATCH($C179,'Phản ánh'!$A$6:$A$505,0)),IF(AND($I179="Công việc",OR($E179="Hoàn thành",$E179="Hoàn thành kỳ")),IF(INDEX('Kế hoạch'!$B$6:$B$305,$O179)="Đột xuất",INDEX('Kế hoạch'!$AY$6:$AY$305,$O179),IF(N($P179)=0,"",IF(INT($B179)&lt;$P179,$P179,IF($Q179&gt;0,$P179+ROUND((INT($B179)-$P179)/$Q179,0)*$Q179,IF($R179&gt;0,EDATE($P179,ROUND((DATEDIF($P179,INT($B179),"m")+(INT($B179)-EDATE($P179,DATEDIF($P179,INT($B179),"m")))/(EDATE($P179,DATEDIF($P179,INT($B179),"m")+1)-EDATE($P179,DATEDIF($P179,INT($B179),"m"))))/$R179,0)*$R179),$P179))))),"")))</f>
      </c>
      <c r="M179" s="223">
        <f>IF(OR($C179="",N($L179)=0,N($B179)=0),"",IF(IF(MOD($L179,1)=0,INT($B179),$B179)&lt;=$L179,"Đúng hạn","Trễ hạn"))</f>
      </c>
      <c r="N179" s="225">
        <f>IF($C179="","",ROW())</f>
      </c>
      <c r="O179" s="225">
        <f>IF($I179="Công việc",MATCH($C179,'Kế hoạch'!$A$6:$A$305,0),"")</f>
      </c>
      <c r="P179" s="234">
        <f>IF($O179="","",INDEX('Kế hoạch'!$I$6:$I$305,$O179))</f>
      </c>
      <c r="Q179" s="225">
        <f>IF($O179="","",INDEX('Kế hoạch'!$AJ$6:$AJ$305,$O179))</f>
      </c>
      <c r="R179" s="225">
        <f>IF($O179="","",INDEX('Kế hoạch'!$AK$6:$AK$305,$O179))</f>
      </c>
    </row>
    <row r="180">
      <c r="A180" s="223">
        <f>IF($C180="","",COUNTIF($C$6:$C180,"?*"))</f>
      </c>
      <c r="B180" s="217"/>
      <c r="C180" s="216"/>
      <c r="D180" s="240"/>
      <c r="E180" s="218"/>
      <c r="F180" s="218"/>
      <c r="G180" s="218"/>
      <c r="H180" s="219"/>
      <c r="I180" s="223">
        <f>IF($C180="","",IF(ISNUMBER(MATCH($C180,'Phản ánh'!$A$6:$A$505,0)),"Phản ánh",IF(ISNUMBER(MATCH($C180,'Kế hoạch'!$A$6:$A$305,0)),"Công việc","Mã chưa có")))</f>
      </c>
      <c r="J180" s="221">
        <f>IF($I180="Phản ánh",INDEX('Phản ánh'!$C$6:$C$505,MATCH($C180,'Phản ánh'!$A$6:$A$505,0)),IF($I180="Công việc",INDEX('Kế hoạch'!$C$6:$C$305,$O180),""))</f>
      </c>
      <c r="K180" s="221">
        <f>IF($I180="Phản ánh",INDEX('Phản ánh'!$K$6:$K$505,MATCH($C180,'Phản ánh'!$A$6:$A$505,0))&amp;"",IF($I180="Công việc",INDEX('Kế hoạch'!$N$6:$N$305,$O180)&amp;"",""))</f>
      </c>
      <c r="L180" s="220">
        <f>IF(OR($C180="",N($B180)=0),"",IF(AND($I180="Phản ánh",$E180="Đã xử lý"),INDEX('Phản ánh'!$U$6:$U$505,MATCH($C180,'Phản ánh'!$A$6:$A$505,0)),IF(AND($I180="Công việc",OR($E180="Hoàn thành",$E180="Hoàn thành kỳ")),IF(INDEX('Kế hoạch'!$B$6:$B$305,$O180)="Đột xuất",INDEX('Kế hoạch'!$AY$6:$AY$305,$O180),IF(N($P180)=0,"",IF(INT($B180)&lt;$P180,$P180,IF($Q180&gt;0,$P180+ROUND((INT($B180)-$P180)/$Q180,0)*$Q180,IF($R180&gt;0,EDATE($P180,ROUND((DATEDIF($P180,INT($B180),"m")+(INT($B180)-EDATE($P180,DATEDIF($P180,INT($B180),"m")))/(EDATE($P180,DATEDIF($P180,INT($B180),"m")+1)-EDATE($P180,DATEDIF($P180,INT($B180),"m"))))/$R180,0)*$R180),$P180))))),"")))</f>
      </c>
      <c r="M180" s="223">
        <f>IF(OR($C180="",N($L180)=0,N($B180)=0),"",IF(IF(MOD($L180,1)=0,INT($B180),$B180)&lt;=$L180,"Đúng hạn","Trễ hạn"))</f>
      </c>
      <c r="N180" s="225">
        <f>IF($C180="","",ROW())</f>
      </c>
      <c r="O180" s="225">
        <f>IF($I180="Công việc",MATCH($C180,'Kế hoạch'!$A$6:$A$305,0),"")</f>
      </c>
      <c r="P180" s="234">
        <f>IF($O180="","",INDEX('Kế hoạch'!$I$6:$I$305,$O180))</f>
      </c>
      <c r="Q180" s="225">
        <f>IF($O180="","",INDEX('Kế hoạch'!$AJ$6:$AJ$305,$O180))</f>
      </c>
      <c r="R180" s="225">
        <f>IF($O180="","",INDEX('Kế hoạch'!$AK$6:$AK$305,$O180))</f>
      </c>
    </row>
    <row r="181">
      <c r="A181" s="223">
        <f>IF($C181="","",COUNTIF($C$6:$C181,"?*"))</f>
      </c>
      <c r="B181" s="217"/>
      <c r="C181" s="216"/>
      <c r="D181" s="240"/>
      <c r="E181" s="218"/>
      <c r="F181" s="218"/>
      <c r="G181" s="218"/>
      <c r="H181" s="219"/>
      <c r="I181" s="223">
        <f>IF($C181="","",IF(ISNUMBER(MATCH($C181,'Phản ánh'!$A$6:$A$505,0)),"Phản ánh",IF(ISNUMBER(MATCH($C181,'Kế hoạch'!$A$6:$A$305,0)),"Công việc","Mã chưa có")))</f>
      </c>
      <c r="J181" s="221">
        <f>IF($I181="Phản ánh",INDEX('Phản ánh'!$C$6:$C$505,MATCH($C181,'Phản ánh'!$A$6:$A$505,0)),IF($I181="Công việc",INDEX('Kế hoạch'!$C$6:$C$305,$O181),""))</f>
      </c>
      <c r="K181" s="221">
        <f>IF($I181="Phản ánh",INDEX('Phản ánh'!$K$6:$K$505,MATCH($C181,'Phản ánh'!$A$6:$A$505,0))&amp;"",IF($I181="Công việc",INDEX('Kế hoạch'!$N$6:$N$305,$O181)&amp;"",""))</f>
      </c>
      <c r="L181" s="220">
        <f>IF(OR($C181="",N($B181)=0),"",IF(AND($I181="Phản ánh",$E181="Đã xử lý"),INDEX('Phản ánh'!$U$6:$U$505,MATCH($C181,'Phản ánh'!$A$6:$A$505,0)),IF(AND($I181="Công việc",OR($E181="Hoàn thành",$E181="Hoàn thành kỳ")),IF(INDEX('Kế hoạch'!$B$6:$B$305,$O181)="Đột xuất",INDEX('Kế hoạch'!$AY$6:$AY$305,$O181),IF(N($P181)=0,"",IF(INT($B181)&lt;$P181,$P181,IF($Q181&gt;0,$P181+ROUND((INT($B181)-$P181)/$Q181,0)*$Q181,IF($R181&gt;0,EDATE($P181,ROUND((DATEDIF($P181,INT($B181),"m")+(INT($B181)-EDATE($P181,DATEDIF($P181,INT($B181),"m")))/(EDATE($P181,DATEDIF($P181,INT($B181),"m")+1)-EDATE($P181,DATEDIF($P181,INT($B181),"m"))))/$R181,0)*$R181),$P181))))),"")))</f>
      </c>
      <c r="M181" s="223">
        <f>IF(OR($C181="",N($L181)=0,N($B181)=0),"",IF(IF(MOD($L181,1)=0,INT($B181),$B181)&lt;=$L181,"Đúng hạn","Trễ hạn"))</f>
      </c>
      <c r="N181" s="225">
        <f>IF($C181="","",ROW())</f>
      </c>
      <c r="O181" s="225">
        <f>IF($I181="Công việc",MATCH($C181,'Kế hoạch'!$A$6:$A$305,0),"")</f>
      </c>
      <c r="P181" s="234">
        <f>IF($O181="","",INDEX('Kế hoạch'!$I$6:$I$305,$O181))</f>
      </c>
      <c r="Q181" s="225">
        <f>IF($O181="","",INDEX('Kế hoạch'!$AJ$6:$AJ$305,$O181))</f>
      </c>
      <c r="R181" s="225">
        <f>IF($O181="","",INDEX('Kế hoạch'!$AK$6:$AK$305,$O181))</f>
      </c>
    </row>
    <row r="182">
      <c r="A182" s="223">
        <f>IF($C182="","",COUNTIF($C$6:$C182,"?*"))</f>
      </c>
      <c r="B182" s="217"/>
      <c r="C182" s="216"/>
      <c r="D182" s="240"/>
      <c r="E182" s="218"/>
      <c r="F182" s="218"/>
      <c r="G182" s="218"/>
      <c r="H182" s="219"/>
      <c r="I182" s="223">
        <f>IF($C182="","",IF(ISNUMBER(MATCH($C182,'Phản ánh'!$A$6:$A$505,0)),"Phản ánh",IF(ISNUMBER(MATCH($C182,'Kế hoạch'!$A$6:$A$305,0)),"Công việc","Mã chưa có")))</f>
      </c>
      <c r="J182" s="221">
        <f>IF($I182="Phản ánh",INDEX('Phản ánh'!$C$6:$C$505,MATCH($C182,'Phản ánh'!$A$6:$A$505,0)),IF($I182="Công việc",INDEX('Kế hoạch'!$C$6:$C$305,$O182),""))</f>
      </c>
      <c r="K182" s="221">
        <f>IF($I182="Phản ánh",INDEX('Phản ánh'!$K$6:$K$505,MATCH($C182,'Phản ánh'!$A$6:$A$505,0))&amp;"",IF($I182="Công việc",INDEX('Kế hoạch'!$N$6:$N$305,$O182)&amp;"",""))</f>
      </c>
      <c r="L182" s="220">
        <f>IF(OR($C182="",N($B182)=0),"",IF(AND($I182="Phản ánh",$E182="Đã xử lý"),INDEX('Phản ánh'!$U$6:$U$505,MATCH($C182,'Phản ánh'!$A$6:$A$505,0)),IF(AND($I182="Công việc",OR($E182="Hoàn thành",$E182="Hoàn thành kỳ")),IF(INDEX('Kế hoạch'!$B$6:$B$305,$O182)="Đột xuất",INDEX('Kế hoạch'!$AY$6:$AY$305,$O182),IF(N($P182)=0,"",IF(INT($B182)&lt;$P182,$P182,IF($Q182&gt;0,$P182+ROUND((INT($B182)-$P182)/$Q182,0)*$Q182,IF($R182&gt;0,EDATE($P182,ROUND((DATEDIF($P182,INT($B182),"m")+(INT($B182)-EDATE($P182,DATEDIF($P182,INT($B182),"m")))/(EDATE($P182,DATEDIF($P182,INT($B182),"m")+1)-EDATE($P182,DATEDIF($P182,INT($B182),"m"))))/$R182,0)*$R182),$P182))))),"")))</f>
      </c>
      <c r="M182" s="223">
        <f>IF(OR($C182="",N($L182)=0,N($B182)=0),"",IF(IF(MOD($L182,1)=0,INT($B182),$B182)&lt;=$L182,"Đúng hạn","Trễ hạn"))</f>
      </c>
      <c r="N182" s="225">
        <f>IF($C182="","",ROW())</f>
      </c>
      <c r="O182" s="225">
        <f>IF($I182="Công việc",MATCH($C182,'Kế hoạch'!$A$6:$A$305,0),"")</f>
      </c>
      <c r="P182" s="234">
        <f>IF($O182="","",INDEX('Kế hoạch'!$I$6:$I$305,$O182))</f>
      </c>
      <c r="Q182" s="225">
        <f>IF($O182="","",INDEX('Kế hoạch'!$AJ$6:$AJ$305,$O182))</f>
      </c>
      <c r="R182" s="225">
        <f>IF($O182="","",INDEX('Kế hoạch'!$AK$6:$AK$305,$O182))</f>
      </c>
    </row>
    <row r="183">
      <c r="A183" s="223">
        <f>IF($C183="","",COUNTIF($C$6:$C183,"?*"))</f>
      </c>
      <c r="B183" s="217"/>
      <c r="C183" s="216"/>
      <c r="D183" s="240"/>
      <c r="E183" s="218"/>
      <c r="F183" s="218"/>
      <c r="G183" s="218"/>
      <c r="H183" s="219"/>
      <c r="I183" s="223">
        <f>IF($C183="","",IF(ISNUMBER(MATCH($C183,'Phản ánh'!$A$6:$A$505,0)),"Phản ánh",IF(ISNUMBER(MATCH($C183,'Kế hoạch'!$A$6:$A$305,0)),"Công việc","Mã chưa có")))</f>
      </c>
      <c r="J183" s="221">
        <f>IF($I183="Phản ánh",INDEX('Phản ánh'!$C$6:$C$505,MATCH($C183,'Phản ánh'!$A$6:$A$505,0)),IF($I183="Công việc",INDEX('Kế hoạch'!$C$6:$C$305,$O183),""))</f>
      </c>
      <c r="K183" s="221">
        <f>IF($I183="Phản ánh",INDEX('Phản ánh'!$K$6:$K$505,MATCH($C183,'Phản ánh'!$A$6:$A$505,0))&amp;"",IF($I183="Công việc",INDEX('Kế hoạch'!$N$6:$N$305,$O183)&amp;"",""))</f>
      </c>
      <c r="L183" s="220">
        <f>IF(OR($C183="",N($B183)=0),"",IF(AND($I183="Phản ánh",$E183="Đã xử lý"),INDEX('Phản ánh'!$U$6:$U$505,MATCH($C183,'Phản ánh'!$A$6:$A$505,0)),IF(AND($I183="Công việc",OR($E183="Hoàn thành",$E183="Hoàn thành kỳ")),IF(INDEX('Kế hoạch'!$B$6:$B$305,$O183)="Đột xuất",INDEX('Kế hoạch'!$AY$6:$AY$305,$O183),IF(N($P183)=0,"",IF(INT($B183)&lt;$P183,$P183,IF($Q183&gt;0,$P183+ROUND((INT($B183)-$P183)/$Q183,0)*$Q183,IF($R183&gt;0,EDATE($P183,ROUND((DATEDIF($P183,INT($B183),"m")+(INT($B183)-EDATE($P183,DATEDIF($P183,INT($B183),"m")))/(EDATE($P183,DATEDIF($P183,INT($B183),"m")+1)-EDATE($P183,DATEDIF($P183,INT($B183),"m"))))/$R183,0)*$R183),$P183))))),"")))</f>
      </c>
      <c r="M183" s="223">
        <f>IF(OR($C183="",N($L183)=0,N($B183)=0),"",IF(IF(MOD($L183,1)=0,INT($B183),$B183)&lt;=$L183,"Đúng hạn","Trễ hạn"))</f>
      </c>
      <c r="N183" s="225">
        <f>IF($C183="","",ROW())</f>
      </c>
      <c r="O183" s="225">
        <f>IF($I183="Công việc",MATCH($C183,'Kế hoạch'!$A$6:$A$305,0),"")</f>
      </c>
      <c r="P183" s="234">
        <f>IF($O183="","",INDEX('Kế hoạch'!$I$6:$I$305,$O183))</f>
      </c>
      <c r="Q183" s="225">
        <f>IF($O183="","",INDEX('Kế hoạch'!$AJ$6:$AJ$305,$O183))</f>
      </c>
      <c r="R183" s="225">
        <f>IF($O183="","",INDEX('Kế hoạch'!$AK$6:$AK$305,$O183))</f>
      </c>
    </row>
    <row r="184">
      <c r="A184" s="223">
        <f>IF($C184="","",COUNTIF($C$6:$C184,"?*"))</f>
      </c>
      <c r="B184" s="217"/>
      <c r="C184" s="216"/>
      <c r="D184" s="240"/>
      <c r="E184" s="218"/>
      <c r="F184" s="218"/>
      <c r="G184" s="218"/>
      <c r="H184" s="219"/>
      <c r="I184" s="223">
        <f>IF($C184="","",IF(ISNUMBER(MATCH($C184,'Phản ánh'!$A$6:$A$505,0)),"Phản ánh",IF(ISNUMBER(MATCH($C184,'Kế hoạch'!$A$6:$A$305,0)),"Công việc","Mã chưa có")))</f>
      </c>
      <c r="J184" s="221">
        <f>IF($I184="Phản ánh",INDEX('Phản ánh'!$C$6:$C$505,MATCH($C184,'Phản ánh'!$A$6:$A$505,0)),IF($I184="Công việc",INDEX('Kế hoạch'!$C$6:$C$305,$O184),""))</f>
      </c>
      <c r="K184" s="221">
        <f>IF($I184="Phản ánh",INDEX('Phản ánh'!$K$6:$K$505,MATCH($C184,'Phản ánh'!$A$6:$A$505,0))&amp;"",IF($I184="Công việc",INDEX('Kế hoạch'!$N$6:$N$305,$O184)&amp;"",""))</f>
      </c>
      <c r="L184" s="220">
        <f>IF(OR($C184="",N($B184)=0),"",IF(AND($I184="Phản ánh",$E184="Đã xử lý"),INDEX('Phản ánh'!$U$6:$U$505,MATCH($C184,'Phản ánh'!$A$6:$A$505,0)),IF(AND($I184="Công việc",OR($E184="Hoàn thành",$E184="Hoàn thành kỳ")),IF(INDEX('Kế hoạch'!$B$6:$B$305,$O184)="Đột xuất",INDEX('Kế hoạch'!$AY$6:$AY$305,$O184),IF(N($P184)=0,"",IF(INT($B184)&lt;$P184,$P184,IF($Q184&gt;0,$P184+ROUND((INT($B184)-$P184)/$Q184,0)*$Q184,IF($R184&gt;0,EDATE($P184,ROUND((DATEDIF($P184,INT($B184),"m")+(INT($B184)-EDATE($P184,DATEDIF($P184,INT($B184),"m")))/(EDATE($P184,DATEDIF($P184,INT($B184),"m")+1)-EDATE($P184,DATEDIF($P184,INT($B184),"m"))))/$R184,0)*$R184),$P184))))),"")))</f>
      </c>
      <c r="M184" s="223">
        <f>IF(OR($C184="",N($L184)=0,N($B184)=0),"",IF(IF(MOD($L184,1)=0,INT($B184),$B184)&lt;=$L184,"Đúng hạn","Trễ hạn"))</f>
      </c>
      <c r="N184" s="225">
        <f>IF($C184="","",ROW())</f>
      </c>
      <c r="O184" s="225">
        <f>IF($I184="Công việc",MATCH($C184,'Kế hoạch'!$A$6:$A$305,0),"")</f>
      </c>
      <c r="P184" s="234">
        <f>IF($O184="","",INDEX('Kế hoạch'!$I$6:$I$305,$O184))</f>
      </c>
      <c r="Q184" s="225">
        <f>IF($O184="","",INDEX('Kế hoạch'!$AJ$6:$AJ$305,$O184))</f>
      </c>
      <c r="R184" s="225">
        <f>IF($O184="","",INDEX('Kế hoạch'!$AK$6:$AK$305,$O184))</f>
      </c>
    </row>
    <row r="185">
      <c r="A185" s="223">
        <f>IF($C185="","",COUNTIF($C$6:$C185,"?*"))</f>
      </c>
      <c r="B185" s="217"/>
      <c r="C185" s="216"/>
      <c r="D185" s="240"/>
      <c r="E185" s="218"/>
      <c r="F185" s="218"/>
      <c r="G185" s="218"/>
      <c r="H185" s="219"/>
      <c r="I185" s="223">
        <f>IF($C185="","",IF(ISNUMBER(MATCH($C185,'Phản ánh'!$A$6:$A$505,0)),"Phản ánh",IF(ISNUMBER(MATCH($C185,'Kế hoạch'!$A$6:$A$305,0)),"Công việc","Mã chưa có")))</f>
      </c>
      <c r="J185" s="221">
        <f>IF($I185="Phản ánh",INDEX('Phản ánh'!$C$6:$C$505,MATCH($C185,'Phản ánh'!$A$6:$A$505,0)),IF($I185="Công việc",INDEX('Kế hoạch'!$C$6:$C$305,$O185),""))</f>
      </c>
      <c r="K185" s="221">
        <f>IF($I185="Phản ánh",INDEX('Phản ánh'!$K$6:$K$505,MATCH($C185,'Phản ánh'!$A$6:$A$505,0))&amp;"",IF($I185="Công việc",INDEX('Kế hoạch'!$N$6:$N$305,$O185)&amp;"",""))</f>
      </c>
      <c r="L185" s="220">
        <f>IF(OR($C185="",N($B185)=0),"",IF(AND($I185="Phản ánh",$E185="Đã xử lý"),INDEX('Phản ánh'!$U$6:$U$505,MATCH($C185,'Phản ánh'!$A$6:$A$505,0)),IF(AND($I185="Công việc",OR($E185="Hoàn thành",$E185="Hoàn thành kỳ")),IF(INDEX('Kế hoạch'!$B$6:$B$305,$O185)="Đột xuất",INDEX('Kế hoạch'!$AY$6:$AY$305,$O185),IF(N($P185)=0,"",IF(INT($B185)&lt;$P185,$P185,IF($Q185&gt;0,$P185+ROUND((INT($B185)-$P185)/$Q185,0)*$Q185,IF($R185&gt;0,EDATE($P185,ROUND((DATEDIF($P185,INT($B185),"m")+(INT($B185)-EDATE($P185,DATEDIF($P185,INT($B185),"m")))/(EDATE($P185,DATEDIF($P185,INT($B185),"m")+1)-EDATE($P185,DATEDIF($P185,INT($B185),"m"))))/$R185,0)*$R185),$P185))))),"")))</f>
      </c>
      <c r="M185" s="223">
        <f>IF(OR($C185="",N($L185)=0,N($B185)=0),"",IF(IF(MOD($L185,1)=0,INT($B185),$B185)&lt;=$L185,"Đúng hạn","Trễ hạn"))</f>
      </c>
      <c r="N185" s="225">
        <f>IF($C185="","",ROW())</f>
      </c>
      <c r="O185" s="225">
        <f>IF($I185="Công việc",MATCH($C185,'Kế hoạch'!$A$6:$A$305,0),"")</f>
      </c>
      <c r="P185" s="234">
        <f>IF($O185="","",INDEX('Kế hoạch'!$I$6:$I$305,$O185))</f>
      </c>
      <c r="Q185" s="225">
        <f>IF($O185="","",INDEX('Kế hoạch'!$AJ$6:$AJ$305,$O185))</f>
      </c>
      <c r="R185" s="225">
        <f>IF($O185="","",INDEX('Kế hoạch'!$AK$6:$AK$305,$O185))</f>
      </c>
    </row>
    <row r="186">
      <c r="A186" s="223">
        <f>IF($C186="","",COUNTIF($C$6:$C186,"?*"))</f>
      </c>
      <c r="B186" s="217"/>
      <c r="C186" s="216"/>
      <c r="D186" s="240"/>
      <c r="E186" s="218"/>
      <c r="F186" s="218"/>
      <c r="G186" s="218"/>
      <c r="H186" s="219"/>
      <c r="I186" s="223">
        <f>IF($C186="","",IF(ISNUMBER(MATCH($C186,'Phản ánh'!$A$6:$A$505,0)),"Phản ánh",IF(ISNUMBER(MATCH($C186,'Kế hoạch'!$A$6:$A$305,0)),"Công việc","Mã chưa có")))</f>
      </c>
      <c r="J186" s="221">
        <f>IF($I186="Phản ánh",INDEX('Phản ánh'!$C$6:$C$505,MATCH($C186,'Phản ánh'!$A$6:$A$505,0)),IF($I186="Công việc",INDEX('Kế hoạch'!$C$6:$C$305,$O186),""))</f>
      </c>
      <c r="K186" s="221">
        <f>IF($I186="Phản ánh",INDEX('Phản ánh'!$K$6:$K$505,MATCH($C186,'Phản ánh'!$A$6:$A$505,0))&amp;"",IF($I186="Công việc",INDEX('Kế hoạch'!$N$6:$N$305,$O186)&amp;"",""))</f>
      </c>
      <c r="L186" s="220">
        <f>IF(OR($C186="",N($B186)=0),"",IF(AND($I186="Phản ánh",$E186="Đã xử lý"),INDEX('Phản ánh'!$U$6:$U$505,MATCH($C186,'Phản ánh'!$A$6:$A$505,0)),IF(AND($I186="Công việc",OR($E186="Hoàn thành",$E186="Hoàn thành kỳ")),IF(INDEX('Kế hoạch'!$B$6:$B$305,$O186)="Đột xuất",INDEX('Kế hoạch'!$AY$6:$AY$305,$O186),IF(N($P186)=0,"",IF(INT($B186)&lt;$P186,$P186,IF($Q186&gt;0,$P186+ROUND((INT($B186)-$P186)/$Q186,0)*$Q186,IF($R186&gt;0,EDATE($P186,ROUND((DATEDIF($P186,INT($B186),"m")+(INT($B186)-EDATE($P186,DATEDIF($P186,INT($B186),"m")))/(EDATE($P186,DATEDIF($P186,INT($B186),"m")+1)-EDATE($P186,DATEDIF($P186,INT($B186),"m"))))/$R186,0)*$R186),$P186))))),"")))</f>
      </c>
      <c r="M186" s="223">
        <f>IF(OR($C186="",N($L186)=0,N($B186)=0),"",IF(IF(MOD($L186,1)=0,INT($B186),$B186)&lt;=$L186,"Đúng hạn","Trễ hạn"))</f>
      </c>
      <c r="N186" s="225">
        <f>IF($C186="","",ROW())</f>
      </c>
      <c r="O186" s="225">
        <f>IF($I186="Công việc",MATCH($C186,'Kế hoạch'!$A$6:$A$305,0),"")</f>
      </c>
      <c r="P186" s="234">
        <f>IF($O186="","",INDEX('Kế hoạch'!$I$6:$I$305,$O186))</f>
      </c>
      <c r="Q186" s="225">
        <f>IF($O186="","",INDEX('Kế hoạch'!$AJ$6:$AJ$305,$O186))</f>
      </c>
      <c r="R186" s="225">
        <f>IF($O186="","",INDEX('Kế hoạch'!$AK$6:$AK$305,$O186))</f>
      </c>
    </row>
    <row r="187">
      <c r="A187" s="223">
        <f>IF($C187="","",COUNTIF($C$6:$C187,"?*"))</f>
      </c>
      <c r="B187" s="217"/>
      <c r="C187" s="216"/>
      <c r="D187" s="240"/>
      <c r="E187" s="218"/>
      <c r="F187" s="218"/>
      <c r="G187" s="218"/>
      <c r="H187" s="219"/>
      <c r="I187" s="223">
        <f>IF($C187="","",IF(ISNUMBER(MATCH($C187,'Phản ánh'!$A$6:$A$505,0)),"Phản ánh",IF(ISNUMBER(MATCH($C187,'Kế hoạch'!$A$6:$A$305,0)),"Công việc","Mã chưa có")))</f>
      </c>
      <c r="J187" s="221">
        <f>IF($I187="Phản ánh",INDEX('Phản ánh'!$C$6:$C$505,MATCH($C187,'Phản ánh'!$A$6:$A$505,0)),IF($I187="Công việc",INDEX('Kế hoạch'!$C$6:$C$305,$O187),""))</f>
      </c>
      <c r="K187" s="221">
        <f>IF($I187="Phản ánh",INDEX('Phản ánh'!$K$6:$K$505,MATCH($C187,'Phản ánh'!$A$6:$A$505,0))&amp;"",IF($I187="Công việc",INDEX('Kế hoạch'!$N$6:$N$305,$O187)&amp;"",""))</f>
      </c>
      <c r="L187" s="220">
        <f>IF(OR($C187="",N($B187)=0),"",IF(AND($I187="Phản ánh",$E187="Đã xử lý"),INDEX('Phản ánh'!$U$6:$U$505,MATCH($C187,'Phản ánh'!$A$6:$A$505,0)),IF(AND($I187="Công việc",OR($E187="Hoàn thành",$E187="Hoàn thành kỳ")),IF(INDEX('Kế hoạch'!$B$6:$B$305,$O187)="Đột xuất",INDEX('Kế hoạch'!$AY$6:$AY$305,$O187),IF(N($P187)=0,"",IF(INT($B187)&lt;$P187,$P187,IF($Q187&gt;0,$P187+ROUND((INT($B187)-$P187)/$Q187,0)*$Q187,IF($R187&gt;0,EDATE($P187,ROUND((DATEDIF($P187,INT($B187),"m")+(INT($B187)-EDATE($P187,DATEDIF($P187,INT($B187),"m")))/(EDATE($P187,DATEDIF($P187,INT($B187),"m")+1)-EDATE($P187,DATEDIF($P187,INT($B187),"m"))))/$R187,0)*$R187),$P187))))),"")))</f>
      </c>
      <c r="M187" s="223">
        <f>IF(OR($C187="",N($L187)=0,N($B187)=0),"",IF(IF(MOD($L187,1)=0,INT($B187),$B187)&lt;=$L187,"Đúng hạn","Trễ hạn"))</f>
      </c>
      <c r="N187" s="225">
        <f>IF($C187="","",ROW())</f>
      </c>
      <c r="O187" s="225">
        <f>IF($I187="Công việc",MATCH($C187,'Kế hoạch'!$A$6:$A$305,0),"")</f>
      </c>
      <c r="P187" s="234">
        <f>IF($O187="","",INDEX('Kế hoạch'!$I$6:$I$305,$O187))</f>
      </c>
      <c r="Q187" s="225">
        <f>IF($O187="","",INDEX('Kế hoạch'!$AJ$6:$AJ$305,$O187))</f>
      </c>
      <c r="R187" s="225">
        <f>IF($O187="","",INDEX('Kế hoạch'!$AK$6:$AK$305,$O187))</f>
      </c>
    </row>
    <row r="188">
      <c r="A188" s="223">
        <f>IF($C188="","",COUNTIF($C$6:$C188,"?*"))</f>
      </c>
      <c r="B188" s="217"/>
      <c r="C188" s="216"/>
      <c r="D188" s="240"/>
      <c r="E188" s="218"/>
      <c r="F188" s="218"/>
      <c r="G188" s="218"/>
      <c r="H188" s="219"/>
      <c r="I188" s="223">
        <f>IF($C188="","",IF(ISNUMBER(MATCH($C188,'Phản ánh'!$A$6:$A$505,0)),"Phản ánh",IF(ISNUMBER(MATCH($C188,'Kế hoạch'!$A$6:$A$305,0)),"Công việc","Mã chưa có")))</f>
      </c>
      <c r="J188" s="221">
        <f>IF($I188="Phản ánh",INDEX('Phản ánh'!$C$6:$C$505,MATCH($C188,'Phản ánh'!$A$6:$A$505,0)),IF($I188="Công việc",INDEX('Kế hoạch'!$C$6:$C$305,$O188),""))</f>
      </c>
      <c r="K188" s="221">
        <f>IF($I188="Phản ánh",INDEX('Phản ánh'!$K$6:$K$505,MATCH($C188,'Phản ánh'!$A$6:$A$505,0))&amp;"",IF($I188="Công việc",INDEX('Kế hoạch'!$N$6:$N$305,$O188)&amp;"",""))</f>
      </c>
      <c r="L188" s="220">
        <f>IF(OR($C188="",N($B188)=0),"",IF(AND($I188="Phản ánh",$E188="Đã xử lý"),INDEX('Phản ánh'!$U$6:$U$505,MATCH($C188,'Phản ánh'!$A$6:$A$505,0)),IF(AND($I188="Công việc",OR($E188="Hoàn thành",$E188="Hoàn thành kỳ")),IF(INDEX('Kế hoạch'!$B$6:$B$305,$O188)="Đột xuất",INDEX('Kế hoạch'!$AY$6:$AY$305,$O188),IF(N($P188)=0,"",IF(INT($B188)&lt;$P188,$P188,IF($Q188&gt;0,$P188+ROUND((INT($B188)-$P188)/$Q188,0)*$Q188,IF($R188&gt;0,EDATE($P188,ROUND((DATEDIF($P188,INT($B188),"m")+(INT($B188)-EDATE($P188,DATEDIF($P188,INT($B188),"m")))/(EDATE($P188,DATEDIF($P188,INT($B188),"m")+1)-EDATE($P188,DATEDIF($P188,INT($B188),"m"))))/$R188,0)*$R188),$P188))))),"")))</f>
      </c>
      <c r="M188" s="223">
        <f>IF(OR($C188="",N($L188)=0,N($B188)=0),"",IF(IF(MOD($L188,1)=0,INT($B188),$B188)&lt;=$L188,"Đúng hạn","Trễ hạn"))</f>
      </c>
      <c r="N188" s="225">
        <f>IF($C188="","",ROW())</f>
      </c>
      <c r="O188" s="225">
        <f>IF($I188="Công việc",MATCH($C188,'Kế hoạch'!$A$6:$A$305,0),"")</f>
      </c>
      <c r="P188" s="234">
        <f>IF($O188="","",INDEX('Kế hoạch'!$I$6:$I$305,$O188))</f>
      </c>
      <c r="Q188" s="225">
        <f>IF($O188="","",INDEX('Kế hoạch'!$AJ$6:$AJ$305,$O188))</f>
      </c>
      <c r="R188" s="225">
        <f>IF($O188="","",INDEX('Kế hoạch'!$AK$6:$AK$305,$O188))</f>
      </c>
    </row>
    <row r="189">
      <c r="A189" s="223">
        <f>IF($C189="","",COUNTIF($C$6:$C189,"?*"))</f>
      </c>
      <c r="B189" s="217"/>
      <c r="C189" s="216"/>
      <c r="D189" s="240"/>
      <c r="E189" s="218"/>
      <c r="F189" s="218"/>
      <c r="G189" s="218"/>
      <c r="H189" s="219"/>
      <c r="I189" s="223">
        <f>IF($C189="","",IF(ISNUMBER(MATCH($C189,'Phản ánh'!$A$6:$A$505,0)),"Phản ánh",IF(ISNUMBER(MATCH($C189,'Kế hoạch'!$A$6:$A$305,0)),"Công việc","Mã chưa có")))</f>
      </c>
      <c r="J189" s="221">
        <f>IF($I189="Phản ánh",INDEX('Phản ánh'!$C$6:$C$505,MATCH($C189,'Phản ánh'!$A$6:$A$505,0)),IF($I189="Công việc",INDEX('Kế hoạch'!$C$6:$C$305,$O189),""))</f>
      </c>
      <c r="K189" s="221">
        <f>IF($I189="Phản ánh",INDEX('Phản ánh'!$K$6:$K$505,MATCH($C189,'Phản ánh'!$A$6:$A$505,0))&amp;"",IF($I189="Công việc",INDEX('Kế hoạch'!$N$6:$N$305,$O189)&amp;"",""))</f>
      </c>
      <c r="L189" s="220">
        <f>IF(OR($C189="",N($B189)=0),"",IF(AND($I189="Phản ánh",$E189="Đã xử lý"),INDEX('Phản ánh'!$U$6:$U$505,MATCH($C189,'Phản ánh'!$A$6:$A$505,0)),IF(AND($I189="Công việc",OR($E189="Hoàn thành",$E189="Hoàn thành kỳ")),IF(INDEX('Kế hoạch'!$B$6:$B$305,$O189)="Đột xuất",INDEX('Kế hoạch'!$AY$6:$AY$305,$O189),IF(N($P189)=0,"",IF(INT($B189)&lt;$P189,$P189,IF($Q189&gt;0,$P189+ROUND((INT($B189)-$P189)/$Q189,0)*$Q189,IF($R189&gt;0,EDATE($P189,ROUND((DATEDIF($P189,INT($B189),"m")+(INT($B189)-EDATE($P189,DATEDIF($P189,INT($B189),"m")))/(EDATE($P189,DATEDIF($P189,INT($B189),"m")+1)-EDATE($P189,DATEDIF($P189,INT($B189),"m"))))/$R189,0)*$R189),$P189))))),"")))</f>
      </c>
      <c r="M189" s="223">
        <f>IF(OR($C189="",N($L189)=0,N($B189)=0),"",IF(IF(MOD($L189,1)=0,INT($B189),$B189)&lt;=$L189,"Đúng hạn","Trễ hạn"))</f>
      </c>
      <c r="N189" s="225">
        <f>IF($C189="","",ROW())</f>
      </c>
      <c r="O189" s="225">
        <f>IF($I189="Công việc",MATCH($C189,'Kế hoạch'!$A$6:$A$305,0),"")</f>
      </c>
      <c r="P189" s="234">
        <f>IF($O189="","",INDEX('Kế hoạch'!$I$6:$I$305,$O189))</f>
      </c>
      <c r="Q189" s="225">
        <f>IF($O189="","",INDEX('Kế hoạch'!$AJ$6:$AJ$305,$O189))</f>
      </c>
      <c r="R189" s="225">
        <f>IF($O189="","",INDEX('Kế hoạch'!$AK$6:$AK$305,$O189))</f>
      </c>
    </row>
    <row r="190">
      <c r="A190" s="223">
        <f>IF($C190="","",COUNTIF($C$6:$C190,"?*"))</f>
      </c>
      <c r="B190" s="217"/>
      <c r="C190" s="216"/>
      <c r="D190" s="240"/>
      <c r="E190" s="218"/>
      <c r="F190" s="218"/>
      <c r="G190" s="218"/>
      <c r="H190" s="219"/>
      <c r="I190" s="223">
        <f>IF($C190="","",IF(ISNUMBER(MATCH($C190,'Phản ánh'!$A$6:$A$505,0)),"Phản ánh",IF(ISNUMBER(MATCH($C190,'Kế hoạch'!$A$6:$A$305,0)),"Công việc","Mã chưa có")))</f>
      </c>
      <c r="J190" s="221">
        <f>IF($I190="Phản ánh",INDEX('Phản ánh'!$C$6:$C$505,MATCH($C190,'Phản ánh'!$A$6:$A$505,0)),IF($I190="Công việc",INDEX('Kế hoạch'!$C$6:$C$305,$O190),""))</f>
      </c>
      <c r="K190" s="221">
        <f>IF($I190="Phản ánh",INDEX('Phản ánh'!$K$6:$K$505,MATCH($C190,'Phản ánh'!$A$6:$A$505,0))&amp;"",IF($I190="Công việc",INDEX('Kế hoạch'!$N$6:$N$305,$O190)&amp;"",""))</f>
      </c>
      <c r="L190" s="220">
        <f>IF(OR($C190="",N($B190)=0),"",IF(AND($I190="Phản ánh",$E190="Đã xử lý"),INDEX('Phản ánh'!$U$6:$U$505,MATCH($C190,'Phản ánh'!$A$6:$A$505,0)),IF(AND($I190="Công việc",OR($E190="Hoàn thành",$E190="Hoàn thành kỳ")),IF(INDEX('Kế hoạch'!$B$6:$B$305,$O190)="Đột xuất",INDEX('Kế hoạch'!$AY$6:$AY$305,$O190),IF(N($P190)=0,"",IF(INT($B190)&lt;$P190,$P190,IF($Q190&gt;0,$P190+ROUND((INT($B190)-$P190)/$Q190,0)*$Q190,IF($R190&gt;0,EDATE($P190,ROUND((DATEDIF($P190,INT($B190),"m")+(INT($B190)-EDATE($P190,DATEDIF($P190,INT($B190),"m")))/(EDATE($P190,DATEDIF($P190,INT($B190),"m")+1)-EDATE($P190,DATEDIF($P190,INT($B190),"m"))))/$R190,0)*$R190),$P190))))),"")))</f>
      </c>
      <c r="M190" s="223">
        <f>IF(OR($C190="",N($L190)=0,N($B190)=0),"",IF(IF(MOD($L190,1)=0,INT($B190),$B190)&lt;=$L190,"Đúng hạn","Trễ hạn"))</f>
      </c>
      <c r="N190" s="225">
        <f>IF($C190="","",ROW())</f>
      </c>
      <c r="O190" s="225">
        <f>IF($I190="Công việc",MATCH($C190,'Kế hoạch'!$A$6:$A$305,0),"")</f>
      </c>
      <c r="P190" s="234">
        <f>IF($O190="","",INDEX('Kế hoạch'!$I$6:$I$305,$O190))</f>
      </c>
      <c r="Q190" s="225">
        <f>IF($O190="","",INDEX('Kế hoạch'!$AJ$6:$AJ$305,$O190))</f>
      </c>
      <c r="R190" s="225">
        <f>IF($O190="","",INDEX('Kế hoạch'!$AK$6:$AK$305,$O190))</f>
      </c>
    </row>
    <row r="191">
      <c r="A191" s="223">
        <f>IF($C191="","",COUNTIF($C$6:$C191,"?*"))</f>
      </c>
      <c r="B191" s="217"/>
      <c r="C191" s="216"/>
      <c r="D191" s="240"/>
      <c r="E191" s="218"/>
      <c r="F191" s="218"/>
      <c r="G191" s="218"/>
      <c r="H191" s="219"/>
      <c r="I191" s="223">
        <f>IF($C191="","",IF(ISNUMBER(MATCH($C191,'Phản ánh'!$A$6:$A$505,0)),"Phản ánh",IF(ISNUMBER(MATCH($C191,'Kế hoạch'!$A$6:$A$305,0)),"Công việc","Mã chưa có")))</f>
      </c>
      <c r="J191" s="221">
        <f>IF($I191="Phản ánh",INDEX('Phản ánh'!$C$6:$C$505,MATCH($C191,'Phản ánh'!$A$6:$A$505,0)),IF($I191="Công việc",INDEX('Kế hoạch'!$C$6:$C$305,$O191),""))</f>
      </c>
      <c r="K191" s="221">
        <f>IF($I191="Phản ánh",INDEX('Phản ánh'!$K$6:$K$505,MATCH($C191,'Phản ánh'!$A$6:$A$505,0))&amp;"",IF($I191="Công việc",INDEX('Kế hoạch'!$N$6:$N$305,$O191)&amp;"",""))</f>
      </c>
      <c r="L191" s="220">
        <f>IF(OR($C191="",N($B191)=0),"",IF(AND($I191="Phản ánh",$E191="Đã xử lý"),INDEX('Phản ánh'!$U$6:$U$505,MATCH($C191,'Phản ánh'!$A$6:$A$505,0)),IF(AND($I191="Công việc",OR($E191="Hoàn thành",$E191="Hoàn thành kỳ")),IF(INDEX('Kế hoạch'!$B$6:$B$305,$O191)="Đột xuất",INDEX('Kế hoạch'!$AY$6:$AY$305,$O191),IF(N($P191)=0,"",IF(INT($B191)&lt;$P191,$P191,IF($Q191&gt;0,$P191+ROUND((INT($B191)-$P191)/$Q191,0)*$Q191,IF($R191&gt;0,EDATE($P191,ROUND((DATEDIF($P191,INT($B191),"m")+(INT($B191)-EDATE($P191,DATEDIF($P191,INT($B191),"m")))/(EDATE($P191,DATEDIF($P191,INT($B191),"m")+1)-EDATE($P191,DATEDIF($P191,INT($B191),"m"))))/$R191,0)*$R191),$P191))))),"")))</f>
      </c>
      <c r="M191" s="223">
        <f>IF(OR($C191="",N($L191)=0,N($B191)=0),"",IF(IF(MOD($L191,1)=0,INT($B191),$B191)&lt;=$L191,"Đúng hạn","Trễ hạn"))</f>
      </c>
      <c r="N191" s="225">
        <f>IF($C191="","",ROW())</f>
      </c>
      <c r="O191" s="225">
        <f>IF($I191="Công việc",MATCH($C191,'Kế hoạch'!$A$6:$A$305,0),"")</f>
      </c>
      <c r="P191" s="234">
        <f>IF($O191="","",INDEX('Kế hoạch'!$I$6:$I$305,$O191))</f>
      </c>
      <c r="Q191" s="225">
        <f>IF($O191="","",INDEX('Kế hoạch'!$AJ$6:$AJ$305,$O191))</f>
      </c>
      <c r="R191" s="225">
        <f>IF($O191="","",INDEX('Kế hoạch'!$AK$6:$AK$305,$O191))</f>
      </c>
    </row>
    <row r="192">
      <c r="A192" s="223">
        <f>IF($C192="","",COUNTIF($C$6:$C192,"?*"))</f>
      </c>
      <c r="B192" s="217"/>
      <c r="C192" s="216"/>
      <c r="D192" s="240"/>
      <c r="E192" s="218"/>
      <c r="F192" s="218"/>
      <c r="G192" s="218"/>
      <c r="H192" s="219"/>
      <c r="I192" s="223">
        <f>IF($C192="","",IF(ISNUMBER(MATCH($C192,'Phản ánh'!$A$6:$A$505,0)),"Phản ánh",IF(ISNUMBER(MATCH($C192,'Kế hoạch'!$A$6:$A$305,0)),"Công việc","Mã chưa có")))</f>
      </c>
      <c r="J192" s="221">
        <f>IF($I192="Phản ánh",INDEX('Phản ánh'!$C$6:$C$505,MATCH($C192,'Phản ánh'!$A$6:$A$505,0)),IF($I192="Công việc",INDEX('Kế hoạch'!$C$6:$C$305,$O192),""))</f>
      </c>
      <c r="K192" s="221">
        <f>IF($I192="Phản ánh",INDEX('Phản ánh'!$K$6:$K$505,MATCH($C192,'Phản ánh'!$A$6:$A$505,0))&amp;"",IF($I192="Công việc",INDEX('Kế hoạch'!$N$6:$N$305,$O192)&amp;"",""))</f>
      </c>
      <c r="L192" s="220">
        <f>IF(OR($C192="",N($B192)=0),"",IF(AND($I192="Phản ánh",$E192="Đã xử lý"),INDEX('Phản ánh'!$U$6:$U$505,MATCH($C192,'Phản ánh'!$A$6:$A$505,0)),IF(AND($I192="Công việc",OR($E192="Hoàn thành",$E192="Hoàn thành kỳ")),IF(INDEX('Kế hoạch'!$B$6:$B$305,$O192)="Đột xuất",INDEX('Kế hoạch'!$AY$6:$AY$305,$O192),IF(N($P192)=0,"",IF(INT($B192)&lt;$P192,$P192,IF($Q192&gt;0,$P192+ROUND((INT($B192)-$P192)/$Q192,0)*$Q192,IF($R192&gt;0,EDATE($P192,ROUND((DATEDIF($P192,INT($B192),"m")+(INT($B192)-EDATE($P192,DATEDIF($P192,INT($B192),"m")))/(EDATE($P192,DATEDIF($P192,INT($B192),"m")+1)-EDATE($P192,DATEDIF($P192,INT($B192),"m"))))/$R192,0)*$R192),$P192))))),"")))</f>
      </c>
      <c r="M192" s="223">
        <f>IF(OR($C192="",N($L192)=0,N($B192)=0),"",IF(IF(MOD($L192,1)=0,INT($B192),$B192)&lt;=$L192,"Đúng hạn","Trễ hạn"))</f>
      </c>
      <c r="N192" s="225">
        <f>IF($C192="","",ROW())</f>
      </c>
      <c r="O192" s="225">
        <f>IF($I192="Công việc",MATCH($C192,'Kế hoạch'!$A$6:$A$305,0),"")</f>
      </c>
      <c r="P192" s="234">
        <f>IF($O192="","",INDEX('Kế hoạch'!$I$6:$I$305,$O192))</f>
      </c>
      <c r="Q192" s="225">
        <f>IF($O192="","",INDEX('Kế hoạch'!$AJ$6:$AJ$305,$O192))</f>
      </c>
      <c r="R192" s="225">
        <f>IF($O192="","",INDEX('Kế hoạch'!$AK$6:$AK$305,$O192))</f>
      </c>
    </row>
    <row r="193">
      <c r="A193" s="223">
        <f>IF($C193="","",COUNTIF($C$6:$C193,"?*"))</f>
      </c>
      <c r="B193" s="217"/>
      <c r="C193" s="216"/>
      <c r="D193" s="240"/>
      <c r="E193" s="218"/>
      <c r="F193" s="218"/>
      <c r="G193" s="218"/>
      <c r="H193" s="219"/>
      <c r="I193" s="223">
        <f>IF($C193="","",IF(ISNUMBER(MATCH($C193,'Phản ánh'!$A$6:$A$505,0)),"Phản ánh",IF(ISNUMBER(MATCH($C193,'Kế hoạch'!$A$6:$A$305,0)),"Công việc","Mã chưa có")))</f>
      </c>
      <c r="J193" s="221">
        <f>IF($I193="Phản ánh",INDEX('Phản ánh'!$C$6:$C$505,MATCH($C193,'Phản ánh'!$A$6:$A$505,0)),IF($I193="Công việc",INDEX('Kế hoạch'!$C$6:$C$305,$O193),""))</f>
      </c>
      <c r="K193" s="221">
        <f>IF($I193="Phản ánh",INDEX('Phản ánh'!$K$6:$K$505,MATCH($C193,'Phản ánh'!$A$6:$A$505,0))&amp;"",IF($I193="Công việc",INDEX('Kế hoạch'!$N$6:$N$305,$O193)&amp;"",""))</f>
      </c>
      <c r="L193" s="220">
        <f>IF(OR($C193="",N($B193)=0),"",IF(AND($I193="Phản ánh",$E193="Đã xử lý"),INDEX('Phản ánh'!$U$6:$U$505,MATCH($C193,'Phản ánh'!$A$6:$A$505,0)),IF(AND($I193="Công việc",OR($E193="Hoàn thành",$E193="Hoàn thành kỳ")),IF(INDEX('Kế hoạch'!$B$6:$B$305,$O193)="Đột xuất",INDEX('Kế hoạch'!$AY$6:$AY$305,$O193),IF(N($P193)=0,"",IF(INT($B193)&lt;$P193,$P193,IF($Q193&gt;0,$P193+ROUND((INT($B193)-$P193)/$Q193,0)*$Q193,IF($R193&gt;0,EDATE($P193,ROUND((DATEDIF($P193,INT($B193),"m")+(INT($B193)-EDATE($P193,DATEDIF($P193,INT($B193),"m")))/(EDATE($P193,DATEDIF($P193,INT($B193),"m")+1)-EDATE($P193,DATEDIF($P193,INT($B193),"m"))))/$R193,0)*$R193),$P193))))),"")))</f>
      </c>
      <c r="M193" s="223">
        <f>IF(OR($C193="",N($L193)=0,N($B193)=0),"",IF(IF(MOD($L193,1)=0,INT($B193),$B193)&lt;=$L193,"Đúng hạn","Trễ hạn"))</f>
      </c>
      <c r="N193" s="225">
        <f>IF($C193="","",ROW())</f>
      </c>
      <c r="O193" s="225">
        <f>IF($I193="Công việc",MATCH($C193,'Kế hoạch'!$A$6:$A$305,0),"")</f>
      </c>
      <c r="P193" s="234">
        <f>IF($O193="","",INDEX('Kế hoạch'!$I$6:$I$305,$O193))</f>
      </c>
      <c r="Q193" s="225">
        <f>IF($O193="","",INDEX('Kế hoạch'!$AJ$6:$AJ$305,$O193))</f>
      </c>
      <c r="R193" s="225">
        <f>IF($O193="","",INDEX('Kế hoạch'!$AK$6:$AK$305,$O193))</f>
      </c>
    </row>
    <row r="194">
      <c r="A194" s="223">
        <f>IF($C194="","",COUNTIF($C$6:$C194,"?*"))</f>
      </c>
      <c r="B194" s="217"/>
      <c r="C194" s="216"/>
      <c r="D194" s="240"/>
      <c r="E194" s="218"/>
      <c r="F194" s="218"/>
      <c r="G194" s="218"/>
      <c r="H194" s="219"/>
      <c r="I194" s="223">
        <f>IF($C194="","",IF(ISNUMBER(MATCH($C194,'Phản ánh'!$A$6:$A$505,0)),"Phản ánh",IF(ISNUMBER(MATCH($C194,'Kế hoạch'!$A$6:$A$305,0)),"Công việc","Mã chưa có")))</f>
      </c>
      <c r="J194" s="221">
        <f>IF($I194="Phản ánh",INDEX('Phản ánh'!$C$6:$C$505,MATCH($C194,'Phản ánh'!$A$6:$A$505,0)),IF($I194="Công việc",INDEX('Kế hoạch'!$C$6:$C$305,$O194),""))</f>
      </c>
      <c r="K194" s="221">
        <f>IF($I194="Phản ánh",INDEX('Phản ánh'!$K$6:$K$505,MATCH($C194,'Phản ánh'!$A$6:$A$505,0))&amp;"",IF($I194="Công việc",INDEX('Kế hoạch'!$N$6:$N$305,$O194)&amp;"",""))</f>
      </c>
      <c r="L194" s="220">
        <f>IF(OR($C194="",N($B194)=0),"",IF(AND($I194="Phản ánh",$E194="Đã xử lý"),INDEX('Phản ánh'!$U$6:$U$505,MATCH($C194,'Phản ánh'!$A$6:$A$505,0)),IF(AND($I194="Công việc",OR($E194="Hoàn thành",$E194="Hoàn thành kỳ")),IF(INDEX('Kế hoạch'!$B$6:$B$305,$O194)="Đột xuất",INDEX('Kế hoạch'!$AY$6:$AY$305,$O194),IF(N($P194)=0,"",IF(INT($B194)&lt;$P194,$P194,IF($Q194&gt;0,$P194+ROUND((INT($B194)-$P194)/$Q194,0)*$Q194,IF($R194&gt;0,EDATE($P194,ROUND((DATEDIF($P194,INT($B194),"m")+(INT($B194)-EDATE($P194,DATEDIF($P194,INT($B194),"m")))/(EDATE($P194,DATEDIF($P194,INT($B194),"m")+1)-EDATE($P194,DATEDIF($P194,INT($B194),"m"))))/$R194,0)*$R194),$P194))))),"")))</f>
      </c>
      <c r="M194" s="223">
        <f>IF(OR($C194="",N($L194)=0,N($B194)=0),"",IF(IF(MOD($L194,1)=0,INT($B194),$B194)&lt;=$L194,"Đúng hạn","Trễ hạn"))</f>
      </c>
      <c r="N194" s="225">
        <f>IF($C194="","",ROW())</f>
      </c>
      <c r="O194" s="225">
        <f>IF($I194="Công việc",MATCH($C194,'Kế hoạch'!$A$6:$A$305,0),"")</f>
      </c>
      <c r="P194" s="234">
        <f>IF($O194="","",INDEX('Kế hoạch'!$I$6:$I$305,$O194))</f>
      </c>
      <c r="Q194" s="225">
        <f>IF($O194="","",INDEX('Kế hoạch'!$AJ$6:$AJ$305,$O194))</f>
      </c>
      <c r="R194" s="225">
        <f>IF($O194="","",INDEX('Kế hoạch'!$AK$6:$AK$305,$O194))</f>
      </c>
    </row>
    <row r="195">
      <c r="A195" s="223">
        <f>IF($C195="","",COUNTIF($C$6:$C195,"?*"))</f>
      </c>
      <c r="B195" s="217"/>
      <c r="C195" s="216"/>
      <c r="D195" s="240"/>
      <c r="E195" s="218"/>
      <c r="F195" s="218"/>
      <c r="G195" s="218"/>
      <c r="H195" s="219"/>
      <c r="I195" s="223">
        <f>IF($C195="","",IF(ISNUMBER(MATCH($C195,'Phản ánh'!$A$6:$A$505,0)),"Phản ánh",IF(ISNUMBER(MATCH($C195,'Kế hoạch'!$A$6:$A$305,0)),"Công việc","Mã chưa có")))</f>
      </c>
      <c r="J195" s="221">
        <f>IF($I195="Phản ánh",INDEX('Phản ánh'!$C$6:$C$505,MATCH($C195,'Phản ánh'!$A$6:$A$505,0)),IF($I195="Công việc",INDEX('Kế hoạch'!$C$6:$C$305,$O195),""))</f>
      </c>
      <c r="K195" s="221">
        <f>IF($I195="Phản ánh",INDEX('Phản ánh'!$K$6:$K$505,MATCH($C195,'Phản ánh'!$A$6:$A$505,0))&amp;"",IF($I195="Công việc",INDEX('Kế hoạch'!$N$6:$N$305,$O195)&amp;"",""))</f>
      </c>
      <c r="L195" s="220">
        <f>IF(OR($C195="",N($B195)=0),"",IF(AND($I195="Phản ánh",$E195="Đã xử lý"),INDEX('Phản ánh'!$U$6:$U$505,MATCH($C195,'Phản ánh'!$A$6:$A$505,0)),IF(AND($I195="Công việc",OR($E195="Hoàn thành",$E195="Hoàn thành kỳ")),IF(INDEX('Kế hoạch'!$B$6:$B$305,$O195)="Đột xuất",INDEX('Kế hoạch'!$AY$6:$AY$305,$O195),IF(N($P195)=0,"",IF(INT($B195)&lt;$P195,$P195,IF($Q195&gt;0,$P195+ROUND((INT($B195)-$P195)/$Q195,0)*$Q195,IF($R195&gt;0,EDATE($P195,ROUND((DATEDIF($P195,INT($B195),"m")+(INT($B195)-EDATE($P195,DATEDIF($P195,INT($B195),"m")))/(EDATE($P195,DATEDIF($P195,INT($B195),"m")+1)-EDATE($P195,DATEDIF($P195,INT($B195),"m"))))/$R195,0)*$R195),$P195))))),"")))</f>
      </c>
      <c r="M195" s="223">
        <f>IF(OR($C195="",N($L195)=0,N($B195)=0),"",IF(IF(MOD($L195,1)=0,INT($B195),$B195)&lt;=$L195,"Đúng hạn","Trễ hạn"))</f>
      </c>
      <c r="N195" s="225">
        <f>IF($C195="","",ROW())</f>
      </c>
      <c r="O195" s="225">
        <f>IF($I195="Công việc",MATCH($C195,'Kế hoạch'!$A$6:$A$305,0),"")</f>
      </c>
      <c r="P195" s="234">
        <f>IF($O195="","",INDEX('Kế hoạch'!$I$6:$I$305,$O195))</f>
      </c>
      <c r="Q195" s="225">
        <f>IF($O195="","",INDEX('Kế hoạch'!$AJ$6:$AJ$305,$O195))</f>
      </c>
      <c r="R195" s="225">
        <f>IF($O195="","",INDEX('Kế hoạch'!$AK$6:$AK$305,$O195))</f>
      </c>
    </row>
    <row r="196">
      <c r="A196" s="223">
        <f>IF($C196="","",COUNTIF($C$6:$C196,"?*"))</f>
      </c>
      <c r="B196" s="217"/>
      <c r="C196" s="216"/>
      <c r="D196" s="240"/>
      <c r="E196" s="218"/>
      <c r="F196" s="218"/>
      <c r="G196" s="218"/>
      <c r="H196" s="219"/>
      <c r="I196" s="223">
        <f>IF($C196="","",IF(ISNUMBER(MATCH($C196,'Phản ánh'!$A$6:$A$505,0)),"Phản ánh",IF(ISNUMBER(MATCH($C196,'Kế hoạch'!$A$6:$A$305,0)),"Công việc","Mã chưa có")))</f>
      </c>
      <c r="J196" s="221">
        <f>IF($I196="Phản ánh",INDEX('Phản ánh'!$C$6:$C$505,MATCH($C196,'Phản ánh'!$A$6:$A$505,0)),IF($I196="Công việc",INDEX('Kế hoạch'!$C$6:$C$305,$O196),""))</f>
      </c>
      <c r="K196" s="221">
        <f>IF($I196="Phản ánh",INDEX('Phản ánh'!$K$6:$K$505,MATCH($C196,'Phản ánh'!$A$6:$A$505,0))&amp;"",IF($I196="Công việc",INDEX('Kế hoạch'!$N$6:$N$305,$O196)&amp;"",""))</f>
      </c>
      <c r="L196" s="220">
        <f>IF(OR($C196="",N($B196)=0),"",IF(AND($I196="Phản ánh",$E196="Đã xử lý"),INDEX('Phản ánh'!$U$6:$U$505,MATCH($C196,'Phản ánh'!$A$6:$A$505,0)),IF(AND($I196="Công việc",OR($E196="Hoàn thành",$E196="Hoàn thành kỳ")),IF(INDEX('Kế hoạch'!$B$6:$B$305,$O196)="Đột xuất",INDEX('Kế hoạch'!$AY$6:$AY$305,$O196),IF(N($P196)=0,"",IF(INT($B196)&lt;$P196,$P196,IF($Q196&gt;0,$P196+ROUND((INT($B196)-$P196)/$Q196,0)*$Q196,IF($R196&gt;0,EDATE($P196,ROUND((DATEDIF($P196,INT($B196),"m")+(INT($B196)-EDATE($P196,DATEDIF($P196,INT($B196),"m")))/(EDATE($P196,DATEDIF($P196,INT($B196),"m")+1)-EDATE($P196,DATEDIF($P196,INT($B196),"m"))))/$R196,0)*$R196),$P196))))),"")))</f>
      </c>
      <c r="M196" s="223">
        <f>IF(OR($C196="",N($L196)=0,N($B196)=0),"",IF(IF(MOD($L196,1)=0,INT($B196),$B196)&lt;=$L196,"Đúng hạn","Trễ hạn"))</f>
      </c>
      <c r="N196" s="225">
        <f>IF($C196="","",ROW())</f>
      </c>
      <c r="O196" s="225">
        <f>IF($I196="Công việc",MATCH($C196,'Kế hoạch'!$A$6:$A$305,0),"")</f>
      </c>
      <c r="P196" s="234">
        <f>IF($O196="","",INDEX('Kế hoạch'!$I$6:$I$305,$O196))</f>
      </c>
      <c r="Q196" s="225">
        <f>IF($O196="","",INDEX('Kế hoạch'!$AJ$6:$AJ$305,$O196))</f>
      </c>
      <c r="R196" s="225">
        <f>IF($O196="","",INDEX('Kế hoạch'!$AK$6:$AK$305,$O196))</f>
      </c>
    </row>
    <row r="197">
      <c r="A197" s="223">
        <f>IF($C197="","",COUNTIF($C$6:$C197,"?*"))</f>
      </c>
      <c r="B197" s="217"/>
      <c r="C197" s="216"/>
      <c r="D197" s="240"/>
      <c r="E197" s="218"/>
      <c r="F197" s="218"/>
      <c r="G197" s="218"/>
      <c r="H197" s="219"/>
      <c r="I197" s="223">
        <f>IF($C197="","",IF(ISNUMBER(MATCH($C197,'Phản ánh'!$A$6:$A$505,0)),"Phản ánh",IF(ISNUMBER(MATCH($C197,'Kế hoạch'!$A$6:$A$305,0)),"Công việc","Mã chưa có")))</f>
      </c>
      <c r="J197" s="221">
        <f>IF($I197="Phản ánh",INDEX('Phản ánh'!$C$6:$C$505,MATCH($C197,'Phản ánh'!$A$6:$A$505,0)),IF($I197="Công việc",INDEX('Kế hoạch'!$C$6:$C$305,$O197),""))</f>
      </c>
      <c r="K197" s="221">
        <f>IF($I197="Phản ánh",INDEX('Phản ánh'!$K$6:$K$505,MATCH($C197,'Phản ánh'!$A$6:$A$505,0))&amp;"",IF($I197="Công việc",INDEX('Kế hoạch'!$N$6:$N$305,$O197)&amp;"",""))</f>
      </c>
      <c r="L197" s="220">
        <f>IF(OR($C197="",N($B197)=0),"",IF(AND($I197="Phản ánh",$E197="Đã xử lý"),INDEX('Phản ánh'!$U$6:$U$505,MATCH($C197,'Phản ánh'!$A$6:$A$505,0)),IF(AND($I197="Công việc",OR($E197="Hoàn thành",$E197="Hoàn thành kỳ")),IF(INDEX('Kế hoạch'!$B$6:$B$305,$O197)="Đột xuất",INDEX('Kế hoạch'!$AY$6:$AY$305,$O197),IF(N($P197)=0,"",IF(INT($B197)&lt;$P197,$P197,IF($Q197&gt;0,$P197+ROUND((INT($B197)-$P197)/$Q197,0)*$Q197,IF($R197&gt;0,EDATE($P197,ROUND((DATEDIF($P197,INT($B197),"m")+(INT($B197)-EDATE($P197,DATEDIF($P197,INT($B197),"m")))/(EDATE($P197,DATEDIF($P197,INT($B197),"m")+1)-EDATE($P197,DATEDIF($P197,INT($B197),"m"))))/$R197,0)*$R197),$P197))))),"")))</f>
      </c>
      <c r="M197" s="223">
        <f>IF(OR($C197="",N($L197)=0,N($B197)=0),"",IF(IF(MOD($L197,1)=0,INT($B197),$B197)&lt;=$L197,"Đúng hạn","Trễ hạn"))</f>
      </c>
      <c r="N197" s="225">
        <f>IF($C197="","",ROW())</f>
      </c>
      <c r="O197" s="225">
        <f>IF($I197="Công việc",MATCH($C197,'Kế hoạch'!$A$6:$A$305,0),"")</f>
      </c>
      <c r="P197" s="234">
        <f>IF($O197="","",INDEX('Kế hoạch'!$I$6:$I$305,$O197))</f>
      </c>
      <c r="Q197" s="225">
        <f>IF($O197="","",INDEX('Kế hoạch'!$AJ$6:$AJ$305,$O197))</f>
      </c>
      <c r="R197" s="225">
        <f>IF($O197="","",INDEX('Kế hoạch'!$AK$6:$AK$305,$O197))</f>
      </c>
    </row>
    <row r="198">
      <c r="A198" s="223">
        <f>IF($C198="","",COUNTIF($C$6:$C198,"?*"))</f>
      </c>
      <c r="B198" s="217"/>
      <c r="C198" s="216"/>
      <c r="D198" s="240"/>
      <c r="E198" s="218"/>
      <c r="F198" s="218"/>
      <c r="G198" s="218"/>
      <c r="H198" s="219"/>
      <c r="I198" s="223">
        <f>IF($C198="","",IF(ISNUMBER(MATCH($C198,'Phản ánh'!$A$6:$A$505,0)),"Phản ánh",IF(ISNUMBER(MATCH($C198,'Kế hoạch'!$A$6:$A$305,0)),"Công việc","Mã chưa có")))</f>
      </c>
      <c r="J198" s="221">
        <f>IF($I198="Phản ánh",INDEX('Phản ánh'!$C$6:$C$505,MATCH($C198,'Phản ánh'!$A$6:$A$505,0)),IF($I198="Công việc",INDEX('Kế hoạch'!$C$6:$C$305,$O198),""))</f>
      </c>
      <c r="K198" s="221">
        <f>IF($I198="Phản ánh",INDEX('Phản ánh'!$K$6:$K$505,MATCH($C198,'Phản ánh'!$A$6:$A$505,0))&amp;"",IF($I198="Công việc",INDEX('Kế hoạch'!$N$6:$N$305,$O198)&amp;"",""))</f>
      </c>
      <c r="L198" s="220">
        <f>IF(OR($C198="",N($B198)=0),"",IF(AND($I198="Phản ánh",$E198="Đã xử lý"),INDEX('Phản ánh'!$U$6:$U$505,MATCH($C198,'Phản ánh'!$A$6:$A$505,0)),IF(AND($I198="Công việc",OR($E198="Hoàn thành",$E198="Hoàn thành kỳ")),IF(INDEX('Kế hoạch'!$B$6:$B$305,$O198)="Đột xuất",INDEX('Kế hoạch'!$AY$6:$AY$305,$O198),IF(N($P198)=0,"",IF(INT($B198)&lt;$P198,$P198,IF($Q198&gt;0,$P198+ROUND((INT($B198)-$P198)/$Q198,0)*$Q198,IF($R198&gt;0,EDATE($P198,ROUND((DATEDIF($P198,INT($B198),"m")+(INT($B198)-EDATE($P198,DATEDIF($P198,INT($B198),"m")))/(EDATE($P198,DATEDIF($P198,INT($B198),"m")+1)-EDATE($P198,DATEDIF($P198,INT($B198),"m"))))/$R198,0)*$R198),$P198))))),"")))</f>
      </c>
      <c r="M198" s="223">
        <f>IF(OR($C198="",N($L198)=0,N($B198)=0),"",IF(IF(MOD($L198,1)=0,INT($B198),$B198)&lt;=$L198,"Đúng hạn","Trễ hạn"))</f>
      </c>
      <c r="N198" s="225">
        <f>IF($C198="","",ROW())</f>
      </c>
      <c r="O198" s="225">
        <f>IF($I198="Công việc",MATCH($C198,'Kế hoạch'!$A$6:$A$305,0),"")</f>
      </c>
      <c r="P198" s="234">
        <f>IF($O198="","",INDEX('Kế hoạch'!$I$6:$I$305,$O198))</f>
      </c>
      <c r="Q198" s="225">
        <f>IF($O198="","",INDEX('Kế hoạch'!$AJ$6:$AJ$305,$O198))</f>
      </c>
      <c r="R198" s="225">
        <f>IF($O198="","",INDEX('Kế hoạch'!$AK$6:$AK$305,$O198))</f>
      </c>
    </row>
    <row r="199">
      <c r="A199" s="223">
        <f>IF($C199="","",COUNTIF($C$6:$C199,"?*"))</f>
      </c>
      <c r="B199" s="217"/>
      <c r="C199" s="216"/>
      <c r="D199" s="240"/>
      <c r="E199" s="218"/>
      <c r="F199" s="218"/>
      <c r="G199" s="218"/>
      <c r="H199" s="219"/>
      <c r="I199" s="223">
        <f>IF($C199="","",IF(ISNUMBER(MATCH($C199,'Phản ánh'!$A$6:$A$505,0)),"Phản ánh",IF(ISNUMBER(MATCH($C199,'Kế hoạch'!$A$6:$A$305,0)),"Công việc","Mã chưa có")))</f>
      </c>
      <c r="J199" s="221">
        <f>IF($I199="Phản ánh",INDEX('Phản ánh'!$C$6:$C$505,MATCH($C199,'Phản ánh'!$A$6:$A$505,0)),IF($I199="Công việc",INDEX('Kế hoạch'!$C$6:$C$305,$O199),""))</f>
      </c>
      <c r="K199" s="221">
        <f>IF($I199="Phản ánh",INDEX('Phản ánh'!$K$6:$K$505,MATCH($C199,'Phản ánh'!$A$6:$A$505,0))&amp;"",IF($I199="Công việc",INDEX('Kế hoạch'!$N$6:$N$305,$O199)&amp;"",""))</f>
      </c>
      <c r="L199" s="220">
        <f>IF(OR($C199="",N($B199)=0),"",IF(AND($I199="Phản ánh",$E199="Đã xử lý"),INDEX('Phản ánh'!$U$6:$U$505,MATCH($C199,'Phản ánh'!$A$6:$A$505,0)),IF(AND($I199="Công việc",OR($E199="Hoàn thành",$E199="Hoàn thành kỳ")),IF(INDEX('Kế hoạch'!$B$6:$B$305,$O199)="Đột xuất",INDEX('Kế hoạch'!$AY$6:$AY$305,$O199),IF(N($P199)=0,"",IF(INT($B199)&lt;$P199,$P199,IF($Q199&gt;0,$P199+ROUND((INT($B199)-$P199)/$Q199,0)*$Q199,IF($R199&gt;0,EDATE($P199,ROUND((DATEDIF($P199,INT($B199),"m")+(INT($B199)-EDATE($P199,DATEDIF($P199,INT($B199),"m")))/(EDATE($P199,DATEDIF($P199,INT($B199),"m")+1)-EDATE($P199,DATEDIF($P199,INT($B199),"m"))))/$R199,0)*$R199),$P199))))),"")))</f>
      </c>
      <c r="M199" s="223">
        <f>IF(OR($C199="",N($L199)=0,N($B199)=0),"",IF(IF(MOD($L199,1)=0,INT($B199),$B199)&lt;=$L199,"Đúng hạn","Trễ hạn"))</f>
      </c>
      <c r="N199" s="225">
        <f>IF($C199="","",ROW())</f>
      </c>
      <c r="O199" s="225">
        <f>IF($I199="Công việc",MATCH($C199,'Kế hoạch'!$A$6:$A$305,0),"")</f>
      </c>
      <c r="P199" s="234">
        <f>IF($O199="","",INDEX('Kế hoạch'!$I$6:$I$305,$O199))</f>
      </c>
      <c r="Q199" s="225">
        <f>IF($O199="","",INDEX('Kế hoạch'!$AJ$6:$AJ$305,$O199))</f>
      </c>
      <c r="R199" s="225">
        <f>IF($O199="","",INDEX('Kế hoạch'!$AK$6:$AK$305,$O199))</f>
      </c>
    </row>
    <row r="200">
      <c r="A200" s="223">
        <f>IF($C200="","",COUNTIF($C$6:$C200,"?*"))</f>
      </c>
      <c r="B200" s="217"/>
      <c r="C200" s="216"/>
      <c r="D200" s="240"/>
      <c r="E200" s="218"/>
      <c r="F200" s="218"/>
      <c r="G200" s="218"/>
      <c r="H200" s="219"/>
      <c r="I200" s="223">
        <f>IF($C200="","",IF(ISNUMBER(MATCH($C200,'Phản ánh'!$A$6:$A$505,0)),"Phản ánh",IF(ISNUMBER(MATCH($C200,'Kế hoạch'!$A$6:$A$305,0)),"Công việc","Mã chưa có")))</f>
      </c>
      <c r="J200" s="221">
        <f>IF($I200="Phản ánh",INDEX('Phản ánh'!$C$6:$C$505,MATCH($C200,'Phản ánh'!$A$6:$A$505,0)),IF($I200="Công việc",INDEX('Kế hoạch'!$C$6:$C$305,$O200),""))</f>
      </c>
      <c r="K200" s="221">
        <f>IF($I200="Phản ánh",INDEX('Phản ánh'!$K$6:$K$505,MATCH($C200,'Phản ánh'!$A$6:$A$505,0))&amp;"",IF($I200="Công việc",INDEX('Kế hoạch'!$N$6:$N$305,$O200)&amp;"",""))</f>
      </c>
      <c r="L200" s="220">
        <f>IF(OR($C200="",N($B200)=0),"",IF(AND($I200="Phản ánh",$E200="Đã xử lý"),INDEX('Phản ánh'!$U$6:$U$505,MATCH($C200,'Phản ánh'!$A$6:$A$505,0)),IF(AND($I200="Công việc",OR($E200="Hoàn thành",$E200="Hoàn thành kỳ")),IF(INDEX('Kế hoạch'!$B$6:$B$305,$O200)="Đột xuất",INDEX('Kế hoạch'!$AY$6:$AY$305,$O200),IF(N($P200)=0,"",IF(INT($B200)&lt;$P200,$P200,IF($Q200&gt;0,$P200+ROUND((INT($B200)-$P200)/$Q200,0)*$Q200,IF($R200&gt;0,EDATE($P200,ROUND((DATEDIF($P200,INT($B200),"m")+(INT($B200)-EDATE($P200,DATEDIF($P200,INT($B200),"m")))/(EDATE($P200,DATEDIF($P200,INT($B200),"m")+1)-EDATE($P200,DATEDIF($P200,INT($B200),"m"))))/$R200,0)*$R200),$P200))))),"")))</f>
      </c>
      <c r="M200" s="223">
        <f>IF(OR($C200="",N($L200)=0,N($B200)=0),"",IF(IF(MOD($L200,1)=0,INT($B200),$B200)&lt;=$L200,"Đúng hạn","Trễ hạn"))</f>
      </c>
      <c r="N200" s="225">
        <f>IF($C200="","",ROW())</f>
      </c>
      <c r="O200" s="225">
        <f>IF($I200="Công việc",MATCH($C200,'Kế hoạch'!$A$6:$A$305,0),"")</f>
      </c>
      <c r="P200" s="234">
        <f>IF($O200="","",INDEX('Kế hoạch'!$I$6:$I$305,$O200))</f>
      </c>
      <c r="Q200" s="225">
        <f>IF($O200="","",INDEX('Kế hoạch'!$AJ$6:$AJ$305,$O200))</f>
      </c>
      <c r="R200" s="225">
        <f>IF($O200="","",INDEX('Kế hoạch'!$AK$6:$AK$305,$O200))</f>
      </c>
    </row>
    <row r="201">
      <c r="A201" s="223">
        <f>IF($C201="","",COUNTIF($C$6:$C201,"?*"))</f>
      </c>
      <c r="B201" s="217"/>
      <c r="C201" s="216"/>
      <c r="D201" s="240"/>
      <c r="E201" s="218"/>
      <c r="F201" s="218"/>
      <c r="G201" s="218"/>
      <c r="H201" s="219"/>
      <c r="I201" s="223">
        <f>IF($C201="","",IF(ISNUMBER(MATCH($C201,'Phản ánh'!$A$6:$A$505,0)),"Phản ánh",IF(ISNUMBER(MATCH($C201,'Kế hoạch'!$A$6:$A$305,0)),"Công việc","Mã chưa có")))</f>
      </c>
      <c r="J201" s="221">
        <f>IF($I201="Phản ánh",INDEX('Phản ánh'!$C$6:$C$505,MATCH($C201,'Phản ánh'!$A$6:$A$505,0)),IF($I201="Công việc",INDEX('Kế hoạch'!$C$6:$C$305,$O201),""))</f>
      </c>
      <c r="K201" s="221">
        <f>IF($I201="Phản ánh",INDEX('Phản ánh'!$K$6:$K$505,MATCH($C201,'Phản ánh'!$A$6:$A$505,0))&amp;"",IF($I201="Công việc",INDEX('Kế hoạch'!$N$6:$N$305,$O201)&amp;"",""))</f>
      </c>
      <c r="L201" s="220">
        <f>IF(OR($C201="",N($B201)=0),"",IF(AND($I201="Phản ánh",$E201="Đã xử lý"),INDEX('Phản ánh'!$U$6:$U$505,MATCH($C201,'Phản ánh'!$A$6:$A$505,0)),IF(AND($I201="Công việc",OR($E201="Hoàn thành",$E201="Hoàn thành kỳ")),IF(INDEX('Kế hoạch'!$B$6:$B$305,$O201)="Đột xuất",INDEX('Kế hoạch'!$AY$6:$AY$305,$O201),IF(N($P201)=0,"",IF(INT($B201)&lt;$P201,$P201,IF($Q201&gt;0,$P201+ROUND((INT($B201)-$P201)/$Q201,0)*$Q201,IF($R201&gt;0,EDATE($P201,ROUND((DATEDIF($P201,INT($B201),"m")+(INT($B201)-EDATE($P201,DATEDIF($P201,INT($B201),"m")))/(EDATE($P201,DATEDIF($P201,INT($B201),"m")+1)-EDATE($P201,DATEDIF($P201,INT($B201),"m"))))/$R201,0)*$R201),$P201))))),"")))</f>
      </c>
      <c r="M201" s="223">
        <f>IF(OR($C201="",N($L201)=0,N($B201)=0),"",IF(IF(MOD($L201,1)=0,INT($B201),$B201)&lt;=$L201,"Đúng hạn","Trễ hạn"))</f>
      </c>
      <c r="N201" s="225">
        <f>IF($C201="","",ROW())</f>
      </c>
      <c r="O201" s="225">
        <f>IF($I201="Công việc",MATCH($C201,'Kế hoạch'!$A$6:$A$305,0),"")</f>
      </c>
      <c r="P201" s="234">
        <f>IF($O201="","",INDEX('Kế hoạch'!$I$6:$I$305,$O201))</f>
      </c>
      <c r="Q201" s="225">
        <f>IF($O201="","",INDEX('Kế hoạch'!$AJ$6:$AJ$305,$O201))</f>
      </c>
      <c r="R201" s="225">
        <f>IF($O201="","",INDEX('Kế hoạch'!$AK$6:$AK$305,$O201))</f>
      </c>
    </row>
    <row r="202">
      <c r="A202" s="223">
        <f>IF($C202="","",COUNTIF($C$6:$C202,"?*"))</f>
      </c>
      <c r="B202" s="217"/>
      <c r="C202" s="216"/>
      <c r="D202" s="240"/>
      <c r="E202" s="218"/>
      <c r="F202" s="218"/>
      <c r="G202" s="218"/>
      <c r="H202" s="219"/>
      <c r="I202" s="223">
        <f>IF($C202="","",IF(ISNUMBER(MATCH($C202,'Phản ánh'!$A$6:$A$505,0)),"Phản ánh",IF(ISNUMBER(MATCH($C202,'Kế hoạch'!$A$6:$A$305,0)),"Công việc","Mã chưa có")))</f>
      </c>
      <c r="J202" s="221">
        <f>IF($I202="Phản ánh",INDEX('Phản ánh'!$C$6:$C$505,MATCH($C202,'Phản ánh'!$A$6:$A$505,0)),IF($I202="Công việc",INDEX('Kế hoạch'!$C$6:$C$305,$O202),""))</f>
      </c>
      <c r="K202" s="221">
        <f>IF($I202="Phản ánh",INDEX('Phản ánh'!$K$6:$K$505,MATCH($C202,'Phản ánh'!$A$6:$A$505,0))&amp;"",IF($I202="Công việc",INDEX('Kế hoạch'!$N$6:$N$305,$O202)&amp;"",""))</f>
      </c>
      <c r="L202" s="220">
        <f>IF(OR($C202="",N($B202)=0),"",IF(AND($I202="Phản ánh",$E202="Đã xử lý"),INDEX('Phản ánh'!$U$6:$U$505,MATCH($C202,'Phản ánh'!$A$6:$A$505,0)),IF(AND($I202="Công việc",OR($E202="Hoàn thành",$E202="Hoàn thành kỳ")),IF(INDEX('Kế hoạch'!$B$6:$B$305,$O202)="Đột xuất",INDEX('Kế hoạch'!$AY$6:$AY$305,$O202),IF(N($P202)=0,"",IF(INT($B202)&lt;$P202,$P202,IF($Q202&gt;0,$P202+ROUND((INT($B202)-$P202)/$Q202,0)*$Q202,IF($R202&gt;0,EDATE($P202,ROUND((DATEDIF($P202,INT($B202),"m")+(INT($B202)-EDATE($P202,DATEDIF($P202,INT($B202),"m")))/(EDATE($P202,DATEDIF($P202,INT($B202),"m")+1)-EDATE($P202,DATEDIF($P202,INT($B202),"m"))))/$R202,0)*$R202),$P202))))),"")))</f>
      </c>
      <c r="M202" s="223">
        <f>IF(OR($C202="",N($L202)=0,N($B202)=0),"",IF(IF(MOD($L202,1)=0,INT($B202),$B202)&lt;=$L202,"Đúng hạn","Trễ hạn"))</f>
      </c>
      <c r="N202" s="225">
        <f>IF($C202="","",ROW())</f>
      </c>
      <c r="O202" s="225">
        <f>IF($I202="Công việc",MATCH($C202,'Kế hoạch'!$A$6:$A$305,0),"")</f>
      </c>
      <c r="P202" s="234">
        <f>IF($O202="","",INDEX('Kế hoạch'!$I$6:$I$305,$O202))</f>
      </c>
      <c r="Q202" s="225">
        <f>IF($O202="","",INDEX('Kế hoạch'!$AJ$6:$AJ$305,$O202))</f>
      </c>
      <c r="R202" s="225">
        <f>IF($O202="","",INDEX('Kế hoạch'!$AK$6:$AK$305,$O202))</f>
      </c>
    </row>
    <row r="203">
      <c r="A203" s="223">
        <f>IF($C203="","",COUNTIF($C$6:$C203,"?*"))</f>
      </c>
      <c r="B203" s="217"/>
      <c r="C203" s="216"/>
      <c r="D203" s="240"/>
      <c r="E203" s="218"/>
      <c r="F203" s="218"/>
      <c r="G203" s="218"/>
      <c r="H203" s="219"/>
      <c r="I203" s="223">
        <f>IF($C203="","",IF(ISNUMBER(MATCH($C203,'Phản ánh'!$A$6:$A$505,0)),"Phản ánh",IF(ISNUMBER(MATCH($C203,'Kế hoạch'!$A$6:$A$305,0)),"Công việc","Mã chưa có")))</f>
      </c>
      <c r="J203" s="221">
        <f>IF($I203="Phản ánh",INDEX('Phản ánh'!$C$6:$C$505,MATCH($C203,'Phản ánh'!$A$6:$A$505,0)),IF($I203="Công việc",INDEX('Kế hoạch'!$C$6:$C$305,$O203),""))</f>
      </c>
      <c r="K203" s="221">
        <f>IF($I203="Phản ánh",INDEX('Phản ánh'!$K$6:$K$505,MATCH($C203,'Phản ánh'!$A$6:$A$505,0))&amp;"",IF($I203="Công việc",INDEX('Kế hoạch'!$N$6:$N$305,$O203)&amp;"",""))</f>
      </c>
      <c r="L203" s="220">
        <f>IF(OR($C203="",N($B203)=0),"",IF(AND($I203="Phản ánh",$E203="Đã xử lý"),INDEX('Phản ánh'!$U$6:$U$505,MATCH($C203,'Phản ánh'!$A$6:$A$505,0)),IF(AND($I203="Công việc",OR($E203="Hoàn thành",$E203="Hoàn thành kỳ")),IF(INDEX('Kế hoạch'!$B$6:$B$305,$O203)="Đột xuất",INDEX('Kế hoạch'!$AY$6:$AY$305,$O203),IF(N($P203)=0,"",IF(INT($B203)&lt;$P203,$P203,IF($Q203&gt;0,$P203+ROUND((INT($B203)-$P203)/$Q203,0)*$Q203,IF($R203&gt;0,EDATE($P203,ROUND((DATEDIF($P203,INT($B203),"m")+(INT($B203)-EDATE($P203,DATEDIF($P203,INT($B203),"m")))/(EDATE($P203,DATEDIF($P203,INT($B203),"m")+1)-EDATE($P203,DATEDIF($P203,INT($B203),"m"))))/$R203,0)*$R203),$P203))))),"")))</f>
      </c>
      <c r="M203" s="223">
        <f>IF(OR($C203="",N($L203)=0,N($B203)=0),"",IF(IF(MOD($L203,1)=0,INT($B203),$B203)&lt;=$L203,"Đúng hạn","Trễ hạn"))</f>
      </c>
      <c r="N203" s="225">
        <f>IF($C203="","",ROW())</f>
      </c>
      <c r="O203" s="225">
        <f>IF($I203="Công việc",MATCH($C203,'Kế hoạch'!$A$6:$A$305,0),"")</f>
      </c>
      <c r="P203" s="234">
        <f>IF($O203="","",INDEX('Kế hoạch'!$I$6:$I$305,$O203))</f>
      </c>
      <c r="Q203" s="225">
        <f>IF($O203="","",INDEX('Kế hoạch'!$AJ$6:$AJ$305,$O203))</f>
      </c>
      <c r="R203" s="225">
        <f>IF($O203="","",INDEX('Kế hoạch'!$AK$6:$AK$305,$O203))</f>
      </c>
    </row>
    <row r="204">
      <c r="A204" s="223">
        <f>IF($C204="","",COUNTIF($C$6:$C204,"?*"))</f>
      </c>
      <c r="B204" s="217"/>
      <c r="C204" s="216"/>
      <c r="D204" s="240"/>
      <c r="E204" s="218"/>
      <c r="F204" s="218"/>
      <c r="G204" s="218"/>
      <c r="H204" s="219"/>
      <c r="I204" s="223">
        <f>IF($C204="","",IF(ISNUMBER(MATCH($C204,'Phản ánh'!$A$6:$A$505,0)),"Phản ánh",IF(ISNUMBER(MATCH($C204,'Kế hoạch'!$A$6:$A$305,0)),"Công việc","Mã chưa có")))</f>
      </c>
      <c r="J204" s="221">
        <f>IF($I204="Phản ánh",INDEX('Phản ánh'!$C$6:$C$505,MATCH($C204,'Phản ánh'!$A$6:$A$505,0)),IF($I204="Công việc",INDEX('Kế hoạch'!$C$6:$C$305,$O204),""))</f>
      </c>
      <c r="K204" s="221">
        <f>IF($I204="Phản ánh",INDEX('Phản ánh'!$K$6:$K$505,MATCH($C204,'Phản ánh'!$A$6:$A$505,0))&amp;"",IF($I204="Công việc",INDEX('Kế hoạch'!$N$6:$N$305,$O204)&amp;"",""))</f>
      </c>
      <c r="L204" s="220">
        <f>IF(OR($C204="",N($B204)=0),"",IF(AND($I204="Phản ánh",$E204="Đã xử lý"),INDEX('Phản ánh'!$U$6:$U$505,MATCH($C204,'Phản ánh'!$A$6:$A$505,0)),IF(AND($I204="Công việc",OR($E204="Hoàn thành",$E204="Hoàn thành kỳ")),IF(INDEX('Kế hoạch'!$B$6:$B$305,$O204)="Đột xuất",INDEX('Kế hoạch'!$AY$6:$AY$305,$O204),IF(N($P204)=0,"",IF(INT($B204)&lt;$P204,$P204,IF($Q204&gt;0,$P204+ROUND((INT($B204)-$P204)/$Q204,0)*$Q204,IF($R204&gt;0,EDATE($P204,ROUND((DATEDIF($P204,INT($B204),"m")+(INT($B204)-EDATE($P204,DATEDIF($P204,INT($B204),"m")))/(EDATE($P204,DATEDIF($P204,INT($B204),"m")+1)-EDATE($P204,DATEDIF($P204,INT($B204),"m"))))/$R204,0)*$R204),$P204))))),"")))</f>
      </c>
      <c r="M204" s="223">
        <f>IF(OR($C204="",N($L204)=0,N($B204)=0),"",IF(IF(MOD($L204,1)=0,INT($B204),$B204)&lt;=$L204,"Đúng hạn","Trễ hạn"))</f>
      </c>
      <c r="N204" s="225">
        <f>IF($C204="","",ROW())</f>
      </c>
      <c r="O204" s="225">
        <f>IF($I204="Công việc",MATCH($C204,'Kế hoạch'!$A$6:$A$305,0),"")</f>
      </c>
      <c r="P204" s="234">
        <f>IF($O204="","",INDEX('Kế hoạch'!$I$6:$I$305,$O204))</f>
      </c>
      <c r="Q204" s="225">
        <f>IF($O204="","",INDEX('Kế hoạch'!$AJ$6:$AJ$305,$O204))</f>
      </c>
      <c r="R204" s="225">
        <f>IF($O204="","",INDEX('Kế hoạch'!$AK$6:$AK$305,$O204))</f>
      </c>
    </row>
    <row r="205">
      <c r="A205" s="223">
        <f>IF($C205="","",COUNTIF($C$6:$C205,"?*"))</f>
      </c>
      <c r="B205" s="217"/>
      <c r="C205" s="216"/>
      <c r="D205" s="240"/>
      <c r="E205" s="218"/>
      <c r="F205" s="218"/>
      <c r="G205" s="218"/>
      <c r="H205" s="219"/>
      <c r="I205" s="223">
        <f>IF($C205="","",IF(ISNUMBER(MATCH($C205,'Phản ánh'!$A$6:$A$505,0)),"Phản ánh",IF(ISNUMBER(MATCH($C205,'Kế hoạch'!$A$6:$A$305,0)),"Công việc","Mã chưa có")))</f>
      </c>
      <c r="J205" s="221">
        <f>IF($I205="Phản ánh",INDEX('Phản ánh'!$C$6:$C$505,MATCH($C205,'Phản ánh'!$A$6:$A$505,0)),IF($I205="Công việc",INDEX('Kế hoạch'!$C$6:$C$305,$O205),""))</f>
      </c>
      <c r="K205" s="221">
        <f>IF($I205="Phản ánh",INDEX('Phản ánh'!$K$6:$K$505,MATCH($C205,'Phản ánh'!$A$6:$A$505,0))&amp;"",IF($I205="Công việc",INDEX('Kế hoạch'!$N$6:$N$305,$O205)&amp;"",""))</f>
      </c>
      <c r="L205" s="220">
        <f>IF(OR($C205="",N($B205)=0),"",IF(AND($I205="Phản ánh",$E205="Đã xử lý"),INDEX('Phản ánh'!$U$6:$U$505,MATCH($C205,'Phản ánh'!$A$6:$A$505,0)),IF(AND($I205="Công việc",OR($E205="Hoàn thành",$E205="Hoàn thành kỳ")),IF(INDEX('Kế hoạch'!$B$6:$B$305,$O205)="Đột xuất",INDEX('Kế hoạch'!$AY$6:$AY$305,$O205),IF(N($P205)=0,"",IF(INT($B205)&lt;$P205,$P205,IF($Q205&gt;0,$P205+ROUND((INT($B205)-$P205)/$Q205,0)*$Q205,IF($R205&gt;0,EDATE($P205,ROUND((DATEDIF($P205,INT($B205),"m")+(INT($B205)-EDATE($P205,DATEDIF($P205,INT($B205),"m")))/(EDATE($P205,DATEDIF($P205,INT($B205),"m")+1)-EDATE($P205,DATEDIF($P205,INT($B205),"m"))))/$R205,0)*$R205),$P205))))),"")))</f>
      </c>
      <c r="M205" s="223">
        <f>IF(OR($C205="",N($L205)=0,N($B205)=0),"",IF(IF(MOD($L205,1)=0,INT($B205),$B205)&lt;=$L205,"Đúng hạn","Trễ hạn"))</f>
      </c>
      <c r="N205" s="225">
        <f>IF($C205="","",ROW())</f>
      </c>
      <c r="O205" s="225">
        <f>IF($I205="Công việc",MATCH($C205,'Kế hoạch'!$A$6:$A$305,0),"")</f>
      </c>
      <c r="P205" s="234">
        <f>IF($O205="","",INDEX('Kế hoạch'!$I$6:$I$305,$O205))</f>
      </c>
      <c r="Q205" s="225">
        <f>IF($O205="","",INDEX('Kế hoạch'!$AJ$6:$AJ$305,$O205))</f>
      </c>
      <c r="R205" s="225">
        <f>IF($O205="","",INDEX('Kế hoạch'!$AK$6:$AK$305,$O205))</f>
      </c>
    </row>
    <row r="206">
      <c r="A206" s="223">
        <f>IF($C206="","",COUNTIF($C$6:$C206,"?*"))</f>
      </c>
      <c r="B206" s="217"/>
      <c r="C206" s="216"/>
      <c r="D206" s="240"/>
      <c r="E206" s="218"/>
      <c r="F206" s="218"/>
      <c r="G206" s="218"/>
      <c r="H206" s="219"/>
      <c r="I206" s="223">
        <f>IF($C206="","",IF(ISNUMBER(MATCH($C206,'Phản ánh'!$A$6:$A$505,0)),"Phản ánh",IF(ISNUMBER(MATCH($C206,'Kế hoạch'!$A$6:$A$305,0)),"Công việc","Mã chưa có")))</f>
      </c>
      <c r="J206" s="221">
        <f>IF($I206="Phản ánh",INDEX('Phản ánh'!$C$6:$C$505,MATCH($C206,'Phản ánh'!$A$6:$A$505,0)),IF($I206="Công việc",INDEX('Kế hoạch'!$C$6:$C$305,$O206),""))</f>
      </c>
      <c r="K206" s="221">
        <f>IF($I206="Phản ánh",INDEX('Phản ánh'!$K$6:$K$505,MATCH($C206,'Phản ánh'!$A$6:$A$505,0))&amp;"",IF($I206="Công việc",INDEX('Kế hoạch'!$N$6:$N$305,$O206)&amp;"",""))</f>
      </c>
      <c r="L206" s="220">
        <f>IF(OR($C206="",N($B206)=0),"",IF(AND($I206="Phản ánh",$E206="Đã xử lý"),INDEX('Phản ánh'!$U$6:$U$505,MATCH($C206,'Phản ánh'!$A$6:$A$505,0)),IF(AND($I206="Công việc",OR($E206="Hoàn thành",$E206="Hoàn thành kỳ")),IF(INDEX('Kế hoạch'!$B$6:$B$305,$O206)="Đột xuất",INDEX('Kế hoạch'!$AY$6:$AY$305,$O206),IF(N($P206)=0,"",IF(INT($B206)&lt;$P206,$P206,IF($Q206&gt;0,$P206+ROUND((INT($B206)-$P206)/$Q206,0)*$Q206,IF($R206&gt;0,EDATE($P206,ROUND((DATEDIF($P206,INT($B206),"m")+(INT($B206)-EDATE($P206,DATEDIF($P206,INT($B206),"m")))/(EDATE($P206,DATEDIF($P206,INT($B206),"m")+1)-EDATE($P206,DATEDIF($P206,INT($B206),"m"))))/$R206,0)*$R206),$P206))))),"")))</f>
      </c>
      <c r="M206" s="223">
        <f>IF(OR($C206="",N($L206)=0,N($B206)=0),"",IF(IF(MOD($L206,1)=0,INT($B206),$B206)&lt;=$L206,"Đúng hạn","Trễ hạn"))</f>
      </c>
      <c r="N206" s="225">
        <f>IF($C206="","",ROW())</f>
      </c>
      <c r="O206" s="225">
        <f>IF($I206="Công việc",MATCH($C206,'Kế hoạch'!$A$6:$A$305,0),"")</f>
      </c>
      <c r="P206" s="234">
        <f>IF($O206="","",INDEX('Kế hoạch'!$I$6:$I$305,$O206))</f>
      </c>
      <c r="Q206" s="225">
        <f>IF($O206="","",INDEX('Kế hoạch'!$AJ$6:$AJ$305,$O206))</f>
      </c>
      <c r="R206" s="225">
        <f>IF($O206="","",INDEX('Kế hoạch'!$AK$6:$AK$305,$O206))</f>
      </c>
    </row>
    <row r="207">
      <c r="A207" s="223">
        <f>IF($C207="","",COUNTIF($C$6:$C207,"?*"))</f>
      </c>
      <c r="B207" s="217"/>
      <c r="C207" s="216"/>
      <c r="D207" s="240"/>
      <c r="E207" s="218"/>
      <c r="F207" s="218"/>
      <c r="G207" s="218"/>
      <c r="H207" s="219"/>
      <c r="I207" s="223">
        <f>IF($C207="","",IF(ISNUMBER(MATCH($C207,'Phản ánh'!$A$6:$A$505,0)),"Phản ánh",IF(ISNUMBER(MATCH($C207,'Kế hoạch'!$A$6:$A$305,0)),"Công việc","Mã chưa có")))</f>
      </c>
      <c r="J207" s="221">
        <f>IF($I207="Phản ánh",INDEX('Phản ánh'!$C$6:$C$505,MATCH($C207,'Phản ánh'!$A$6:$A$505,0)),IF($I207="Công việc",INDEX('Kế hoạch'!$C$6:$C$305,$O207),""))</f>
      </c>
      <c r="K207" s="221">
        <f>IF($I207="Phản ánh",INDEX('Phản ánh'!$K$6:$K$505,MATCH($C207,'Phản ánh'!$A$6:$A$505,0))&amp;"",IF($I207="Công việc",INDEX('Kế hoạch'!$N$6:$N$305,$O207)&amp;"",""))</f>
      </c>
      <c r="L207" s="220">
        <f>IF(OR($C207="",N($B207)=0),"",IF(AND($I207="Phản ánh",$E207="Đã xử lý"),INDEX('Phản ánh'!$U$6:$U$505,MATCH($C207,'Phản ánh'!$A$6:$A$505,0)),IF(AND($I207="Công việc",OR($E207="Hoàn thành",$E207="Hoàn thành kỳ")),IF(INDEX('Kế hoạch'!$B$6:$B$305,$O207)="Đột xuất",INDEX('Kế hoạch'!$AY$6:$AY$305,$O207),IF(N($P207)=0,"",IF(INT($B207)&lt;$P207,$P207,IF($Q207&gt;0,$P207+ROUND((INT($B207)-$P207)/$Q207,0)*$Q207,IF($R207&gt;0,EDATE($P207,ROUND((DATEDIF($P207,INT($B207),"m")+(INT($B207)-EDATE($P207,DATEDIF($P207,INT($B207),"m")))/(EDATE($P207,DATEDIF($P207,INT($B207),"m")+1)-EDATE($P207,DATEDIF($P207,INT($B207),"m"))))/$R207,0)*$R207),$P207))))),"")))</f>
      </c>
      <c r="M207" s="223">
        <f>IF(OR($C207="",N($L207)=0,N($B207)=0),"",IF(IF(MOD($L207,1)=0,INT($B207),$B207)&lt;=$L207,"Đúng hạn","Trễ hạn"))</f>
      </c>
      <c r="N207" s="225">
        <f>IF($C207="","",ROW())</f>
      </c>
      <c r="O207" s="225">
        <f>IF($I207="Công việc",MATCH($C207,'Kế hoạch'!$A$6:$A$305,0),"")</f>
      </c>
      <c r="P207" s="234">
        <f>IF($O207="","",INDEX('Kế hoạch'!$I$6:$I$305,$O207))</f>
      </c>
      <c r="Q207" s="225">
        <f>IF($O207="","",INDEX('Kế hoạch'!$AJ$6:$AJ$305,$O207))</f>
      </c>
      <c r="R207" s="225">
        <f>IF($O207="","",INDEX('Kế hoạch'!$AK$6:$AK$305,$O207))</f>
      </c>
    </row>
    <row r="208">
      <c r="A208" s="223">
        <f>IF($C208="","",COUNTIF($C$6:$C208,"?*"))</f>
      </c>
      <c r="B208" s="217"/>
      <c r="C208" s="216"/>
      <c r="D208" s="240"/>
      <c r="E208" s="218"/>
      <c r="F208" s="218"/>
      <c r="G208" s="218"/>
      <c r="H208" s="219"/>
      <c r="I208" s="223">
        <f>IF($C208="","",IF(ISNUMBER(MATCH($C208,'Phản ánh'!$A$6:$A$505,0)),"Phản ánh",IF(ISNUMBER(MATCH($C208,'Kế hoạch'!$A$6:$A$305,0)),"Công việc","Mã chưa có")))</f>
      </c>
      <c r="J208" s="221">
        <f>IF($I208="Phản ánh",INDEX('Phản ánh'!$C$6:$C$505,MATCH($C208,'Phản ánh'!$A$6:$A$505,0)),IF($I208="Công việc",INDEX('Kế hoạch'!$C$6:$C$305,$O208),""))</f>
      </c>
      <c r="K208" s="221">
        <f>IF($I208="Phản ánh",INDEX('Phản ánh'!$K$6:$K$505,MATCH($C208,'Phản ánh'!$A$6:$A$505,0))&amp;"",IF($I208="Công việc",INDEX('Kế hoạch'!$N$6:$N$305,$O208)&amp;"",""))</f>
      </c>
      <c r="L208" s="220">
        <f>IF(OR($C208="",N($B208)=0),"",IF(AND($I208="Phản ánh",$E208="Đã xử lý"),INDEX('Phản ánh'!$U$6:$U$505,MATCH($C208,'Phản ánh'!$A$6:$A$505,0)),IF(AND($I208="Công việc",OR($E208="Hoàn thành",$E208="Hoàn thành kỳ")),IF(INDEX('Kế hoạch'!$B$6:$B$305,$O208)="Đột xuất",INDEX('Kế hoạch'!$AY$6:$AY$305,$O208),IF(N($P208)=0,"",IF(INT($B208)&lt;$P208,$P208,IF($Q208&gt;0,$P208+ROUND((INT($B208)-$P208)/$Q208,0)*$Q208,IF($R208&gt;0,EDATE($P208,ROUND((DATEDIF($P208,INT($B208),"m")+(INT($B208)-EDATE($P208,DATEDIF($P208,INT($B208),"m")))/(EDATE($P208,DATEDIF($P208,INT($B208),"m")+1)-EDATE($P208,DATEDIF($P208,INT($B208),"m"))))/$R208,0)*$R208),$P208))))),"")))</f>
      </c>
      <c r="M208" s="223">
        <f>IF(OR($C208="",N($L208)=0,N($B208)=0),"",IF(IF(MOD($L208,1)=0,INT($B208),$B208)&lt;=$L208,"Đúng hạn","Trễ hạn"))</f>
      </c>
      <c r="N208" s="225">
        <f>IF($C208="","",ROW())</f>
      </c>
      <c r="O208" s="225">
        <f>IF($I208="Công việc",MATCH($C208,'Kế hoạch'!$A$6:$A$305,0),"")</f>
      </c>
      <c r="P208" s="234">
        <f>IF($O208="","",INDEX('Kế hoạch'!$I$6:$I$305,$O208))</f>
      </c>
      <c r="Q208" s="225">
        <f>IF($O208="","",INDEX('Kế hoạch'!$AJ$6:$AJ$305,$O208))</f>
      </c>
      <c r="R208" s="225">
        <f>IF($O208="","",INDEX('Kế hoạch'!$AK$6:$AK$305,$O208))</f>
      </c>
    </row>
    <row r="209">
      <c r="A209" s="223">
        <f>IF($C209="","",COUNTIF($C$6:$C209,"?*"))</f>
      </c>
      <c r="B209" s="217"/>
      <c r="C209" s="216"/>
      <c r="D209" s="240"/>
      <c r="E209" s="218"/>
      <c r="F209" s="218"/>
      <c r="G209" s="218"/>
      <c r="H209" s="219"/>
      <c r="I209" s="223">
        <f>IF($C209="","",IF(ISNUMBER(MATCH($C209,'Phản ánh'!$A$6:$A$505,0)),"Phản ánh",IF(ISNUMBER(MATCH($C209,'Kế hoạch'!$A$6:$A$305,0)),"Công việc","Mã chưa có")))</f>
      </c>
      <c r="J209" s="221">
        <f>IF($I209="Phản ánh",INDEX('Phản ánh'!$C$6:$C$505,MATCH($C209,'Phản ánh'!$A$6:$A$505,0)),IF($I209="Công việc",INDEX('Kế hoạch'!$C$6:$C$305,$O209),""))</f>
      </c>
      <c r="K209" s="221">
        <f>IF($I209="Phản ánh",INDEX('Phản ánh'!$K$6:$K$505,MATCH($C209,'Phản ánh'!$A$6:$A$505,0))&amp;"",IF($I209="Công việc",INDEX('Kế hoạch'!$N$6:$N$305,$O209)&amp;"",""))</f>
      </c>
      <c r="L209" s="220">
        <f>IF(OR($C209="",N($B209)=0),"",IF(AND($I209="Phản ánh",$E209="Đã xử lý"),INDEX('Phản ánh'!$U$6:$U$505,MATCH($C209,'Phản ánh'!$A$6:$A$505,0)),IF(AND($I209="Công việc",OR($E209="Hoàn thành",$E209="Hoàn thành kỳ")),IF(INDEX('Kế hoạch'!$B$6:$B$305,$O209)="Đột xuất",INDEX('Kế hoạch'!$AY$6:$AY$305,$O209),IF(N($P209)=0,"",IF(INT($B209)&lt;$P209,$P209,IF($Q209&gt;0,$P209+ROUND((INT($B209)-$P209)/$Q209,0)*$Q209,IF($R209&gt;0,EDATE($P209,ROUND((DATEDIF($P209,INT($B209),"m")+(INT($B209)-EDATE($P209,DATEDIF($P209,INT($B209),"m")))/(EDATE($P209,DATEDIF($P209,INT($B209),"m")+1)-EDATE($P209,DATEDIF($P209,INT($B209),"m"))))/$R209,0)*$R209),$P209))))),"")))</f>
      </c>
      <c r="M209" s="223">
        <f>IF(OR($C209="",N($L209)=0,N($B209)=0),"",IF(IF(MOD($L209,1)=0,INT($B209),$B209)&lt;=$L209,"Đúng hạn","Trễ hạn"))</f>
      </c>
      <c r="N209" s="225">
        <f>IF($C209="","",ROW())</f>
      </c>
      <c r="O209" s="225">
        <f>IF($I209="Công việc",MATCH($C209,'Kế hoạch'!$A$6:$A$305,0),"")</f>
      </c>
      <c r="P209" s="234">
        <f>IF($O209="","",INDEX('Kế hoạch'!$I$6:$I$305,$O209))</f>
      </c>
      <c r="Q209" s="225">
        <f>IF($O209="","",INDEX('Kế hoạch'!$AJ$6:$AJ$305,$O209))</f>
      </c>
      <c r="R209" s="225">
        <f>IF($O209="","",INDEX('Kế hoạch'!$AK$6:$AK$305,$O209))</f>
      </c>
    </row>
    <row r="210">
      <c r="A210" s="223">
        <f>IF($C210="","",COUNTIF($C$6:$C210,"?*"))</f>
      </c>
      <c r="B210" s="217"/>
      <c r="C210" s="216"/>
      <c r="D210" s="240"/>
      <c r="E210" s="218"/>
      <c r="F210" s="218"/>
      <c r="G210" s="218"/>
      <c r="H210" s="219"/>
      <c r="I210" s="223">
        <f>IF($C210="","",IF(ISNUMBER(MATCH($C210,'Phản ánh'!$A$6:$A$505,0)),"Phản ánh",IF(ISNUMBER(MATCH($C210,'Kế hoạch'!$A$6:$A$305,0)),"Công việc","Mã chưa có")))</f>
      </c>
      <c r="J210" s="221">
        <f>IF($I210="Phản ánh",INDEX('Phản ánh'!$C$6:$C$505,MATCH($C210,'Phản ánh'!$A$6:$A$505,0)),IF($I210="Công việc",INDEX('Kế hoạch'!$C$6:$C$305,$O210),""))</f>
      </c>
      <c r="K210" s="221">
        <f>IF($I210="Phản ánh",INDEX('Phản ánh'!$K$6:$K$505,MATCH($C210,'Phản ánh'!$A$6:$A$505,0))&amp;"",IF($I210="Công việc",INDEX('Kế hoạch'!$N$6:$N$305,$O210)&amp;"",""))</f>
      </c>
      <c r="L210" s="220">
        <f>IF(OR($C210="",N($B210)=0),"",IF(AND($I210="Phản ánh",$E210="Đã xử lý"),INDEX('Phản ánh'!$U$6:$U$505,MATCH($C210,'Phản ánh'!$A$6:$A$505,0)),IF(AND($I210="Công việc",OR($E210="Hoàn thành",$E210="Hoàn thành kỳ")),IF(INDEX('Kế hoạch'!$B$6:$B$305,$O210)="Đột xuất",INDEX('Kế hoạch'!$AY$6:$AY$305,$O210),IF(N($P210)=0,"",IF(INT($B210)&lt;$P210,$P210,IF($Q210&gt;0,$P210+ROUND((INT($B210)-$P210)/$Q210,0)*$Q210,IF($R210&gt;0,EDATE($P210,ROUND((DATEDIF($P210,INT($B210),"m")+(INT($B210)-EDATE($P210,DATEDIF($P210,INT($B210),"m")))/(EDATE($P210,DATEDIF($P210,INT($B210),"m")+1)-EDATE($P210,DATEDIF($P210,INT($B210),"m"))))/$R210,0)*$R210),$P210))))),"")))</f>
      </c>
      <c r="M210" s="223">
        <f>IF(OR($C210="",N($L210)=0,N($B210)=0),"",IF(IF(MOD($L210,1)=0,INT($B210),$B210)&lt;=$L210,"Đúng hạn","Trễ hạn"))</f>
      </c>
      <c r="N210" s="225">
        <f>IF($C210="","",ROW())</f>
      </c>
      <c r="O210" s="225">
        <f>IF($I210="Công việc",MATCH($C210,'Kế hoạch'!$A$6:$A$305,0),"")</f>
      </c>
      <c r="P210" s="234">
        <f>IF($O210="","",INDEX('Kế hoạch'!$I$6:$I$305,$O210))</f>
      </c>
      <c r="Q210" s="225">
        <f>IF($O210="","",INDEX('Kế hoạch'!$AJ$6:$AJ$305,$O210))</f>
      </c>
      <c r="R210" s="225">
        <f>IF($O210="","",INDEX('Kế hoạch'!$AK$6:$AK$305,$O210))</f>
      </c>
    </row>
    <row r="211">
      <c r="A211" s="223">
        <f>IF($C211="","",COUNTIF($C$6:$C211,"?*"))</f>
      </c>
      <c r="B211" s="217"/>
      <c r="C211" s="216"/>
      <c r="D211" s="240"/>
      <c r="E211" s="218"/>
      <c r="F211" s="218"/>
      <c r="G211" s="218"/>
      <c r="H211" s="219"/>
      <c r="I211" s="223">
        <f>IF($C211="","",IF(ISNUMBER(MATCH($C211,'Phản ánh'!$A$6:$A$505,0)),"Phản ánh",IF(ISNUMBER(MATCH($C211,'Kế hoạch'!$A$6:$A$305,0)),"Công việc","Mã chưa có")))</f>
      </c>
      <c r="J211" s="221">
        <f>IF($I211="Phản ánh",INDEX('Phản ánh'!$C$6:$C$505,MATCH($C211,'Phản ánh'!$A$6:$A$505,0)),IF($I211="Công việc",INDEX('Kế hoạch'!$C$6:$C$305,$O211),""))</f>
      </c>
      <c r="K211" s="221">
        <f>IF($I211="Phản ánh",INDEX('Phản ánh'!$K$6:$K$505,MATCH($C211,'Phản ánh'!$A$6:$A$505,0))&amp;"",IF($I211="Công việc",INDEX('Kế hoạch'!$N$6:$N$305,$O211)&amp;"",""))</f>
      </c>
      <c r="L211" s="220">
        <f>IF(OR($C211="",N($B211)=0),"",IF(AND($I211="Phản ánh",$E211="Đã xử lý"),INDEX('Phản ánh'!$U$6:$U$505,MATCH($C211,'Phản ánh'!$A$6:$A$505,0)),IF(AND($I211="Công việc",OR($E211="Hoàn thành",$E211="Hoàn thành kỳ")),IF(INDEX('Kế hoạch'!$B$6:$B$305,$O211)="Đột xuất",INDEX('Kế hoạch'!$AY$6:$AY$305,$O211),IF(N($P211)=0,"",IF(INT($B211)&lt;$P211,$P211,IF($Q211&gt;0,$P211+ROUND((INT($B211)-$P211)/$Q211,0)*$Q211,IF($R211&gt;0,EDATE($P211,ROUND((DATEDIF($P211,INT($B211),"m")+(INT($B211)-EDATE($P211,DATEDIF($P211,INT($B211),"m")))/(EDATE($P211,DATEDIF($P211,INT($B211),"m")+1)-EDATE($P211,DATEDIF($P211,INT($B211),"m"))))/$R211,0)*$R211),$P211))))),"")))</f>
      </c>
      <c r="M211" s="223">
        <f>IF(OR($C211="",N($L211)=0,N($B211)=0),"",IF(IF(MOD($L211,1)=0,INT($B211),$B211)&lt;=$L211,"Đúng hạn","Trễ hạn"))</f>
      </c>
      <c r="N211" s="225">
        <f>IF($C211="","",ROW())</f>
      </c>
      <c r="O211" s="225">
        <f>IF($I211="Công việc",MATCH($C211,'Kế hoạch'!$A$6:$A$305,0),"")</f>
      </c>
      <c r="P211" s="234">
        <f>IF($O211="","",INDEX('Kế hoạch'!$I$6:$I$305,$O211))</f>
      </c>
      <c r="Q211" s="225">
        <f>IF($O211="","",INDEX('Kế hoạch'!$AJ$6:$AJ$305,$O211))</f>
      </c>
      <c r="R211" s="225">
        <f>IF($O211="","",INDEX('Kế hoạch'!$AK$6:$AK$305,$O211))</f>
      </c>
    </row>
    <row r="212">
      <c r="A212" s="223">
        <f>IF($C212="","",COUNTIF($C$6:$C212,"?*"))</f>
      </c>
      <c r="B212" s="217"/>
      <c r="C212" s="216"/>
      <c r="D212" s="240"/>
      <c r="E212" s="218"/>
      <c r="F212" s="218"/>
      <c r="G212" s="218"/>
      <c r="H212" s="219"/>
      <c r="I212" s="223">
        <f>IF($C212="","",IF(ISNUMBER(MATCH($C212,'Phản ánh'!$A$6:$A$505,0)),"Phản ánh",IF(ISNUMBER(MATCH($C212,'Kế hoạch'!$A$6:$A$305,0)),"Công việc","Mã chưa có")))</f>
      </c>
      <c r="J212" s="221">
        <f>IF($I212="Phản ánh",INDEX('Phản ánh'!$C$6:$C$505,MATCH($C212,'Phản ánh'!$A$6:$A$505,0)),IF($I212="Công việc",INDEX('Kế hoạch'!$C$6:$C$305,$O212),""))</f>
      </c>
      <c r="K212" s="221">
        <f>IF($I212="Phản ánh",INDEX('Phản ánh'!$K$6:$K$505,MATCH($C212,'Phản ánh'!$A$6:$A$505,0))&amp;"",IF($I212="Công việc",INDEX('Kế hoạch'!$N$6:$N$305,$O212)&amp;"",""))</f>
      </c>
      <c r="L212" s="220">
        <f>IF(OR($C212="",N($B212)=0),"",IF(AND($I212="Phản ánh",$E212="Đã xử lý"),INDEX('Phản ánh'!$U$6:$U$505,MATCH($C212,'Phản ánh'!$A$6:$A$505,0)),IF(AND($I212="Công việc",OR($E212="Hoàn thành",$E212="Hoàn thành kỳ")),IF(INDEX('Kế hoạch'!$B$6:$B$305,$O212)="Đột xuất",INDEX('Kế hoạch'!$AY$6:$AY$305,$O212),IF(N($P212)=0,"",IF(INT($B212)&lt;$P212,$P212,IF($Q212&gt;0,$P212+ROUND((INT($B212)-$P212)/$Q212,0)*$Q212,IF($R212&gt;0,EDATE($P212,ROUND((DATEDIF($P212,INT($B212),"m")+(INT($B212)-EDATE($P212,DATEDIF($P212,INT($B212),"m")))/(EDATE($P212,DATEDIF($P212,INT($B212),"m")+1)-EDATE($P212,DATEDIF($P212,INT($B212),"m"))))/$R212,0)*$R212),$P212))))),"")))</f>
      </c>
      <c r="M212" s="223">
        <f>IF(OR($C212="",N($L212)=0,N($B212)=0),"",IF(IF(MOD($L212,1)=0,INT($B212),$B212)&lt;=$L212,"Đúng hạn","Trễ hạn"))</f>
      </c>
      <c r="N212" s="225">
        <f>IF($C212="","",ROW())</f>
      </c>
      <c r="O212" s="225">
        <f>IF($I212="Công việc",MATCH($C212,'Kế hoạch'!$A$6:$A$305,0),"")</f>
      </c>
      <c r="P212" s="234">
        <f>IF($O212="","",INDEX('Kế hoạch'!$I$6:$I$305,$O212))</f>
      </c>
      <c r="Q212" s="225">
        <f>IF($O212="","",INDEX('Kế hoạch'!$AJ$6:$AJ$305,$O212))</f>
      </c>
      <c r="R212" s="225">
        <f>IF($O212="","",INDEX('Kế hoạch'!$AK$6:$AK$305,$O212))</f>
      </c>
    </row>
    <row r="213">
      <c r="A213" s="223">
        <f>IF($C213="","",COUNTIF($C$6:$C213,"?*"))</f>
      </c>
      <c r="B213" s="217"/>
      <c r="C213" s="216"/>
      <c r="D213" s="240"/>
      <c r="E213" s="218"/>
      <c r="F213" s="218"/>
      <c r="G213" s="218"/>
      <c r="H213" s="219"/>
      <c r="I213" s="223">
        <f>IF($C213="","",IF(ISNUMBER(MATCH($C213,'Phản ánh'!$A$6:$A$505,0)),"Phản ánh",IF(ISNUMBER(MATCH($C213,'Kế hoạch'!$A$6:$A$305,0)),"Công việc","Mã chưa có")))</f>
      </c>
      <c r="J213" s="221">
        <f>IF($I213="Phản ánh",INDEX('Phản ánh'!$C$6:$C$505,MATCH($C213,'Phản ánh'!$A$6:$A$505,0)),IF($I213="Công việc",INDEX('Kế hoạch'!$C$6:$C$305,$O213),""))</f>
      </c>
      <c r="K213" s="221">
        <f>IF($I213="Phản ánh",INDEX('Phản ánh'!$K$6:$K$505,MATCH($C213,'Phản ánh'!$A$6:$A$505,0))&amp;"",IF($I213="Công việc",INDEX('Kế hoạch'!$N$6:$N$305,$O213)&amp;"",""))</f>
      </c>
      <c r="L213" s="220">
        <f>IF(OR($C213="",N($B213)=0),"",IF(AND($I213="Phản ánh",$E213="Đã xử lý"),INDEX('Phản ánh'!$U$6:$U$505,MATCH($C213,'Phản ánh'!$A$6:$A$505,0)),IF(AND($I213="Công việc",OR($E213="Hoàn thành",$E213="Hoàn thành kỳ")),IF(INDEX('Kế hoạch'!$B$6:$B$305,$O213)="Đột xuất",INDEX('Kế hoạch'!$AY$6:$AY$305,$O213),IF(N($P213)=0,"",IF(INT($B213)&lt;$P213,$P213,IF($Q213&gt;0,$P213+ROUND((INT($B213)-$P213)/$Q213,0)*$Q213,IF($R213&gt;0,EDATE($P213,ROUND((DATEDIF($P213,INT($B213),"m")+(INT($B213)-EDATE($P213,DATEDIF($P213,INT($B213),"m")))/(EDATE($P213,DATEDIF($P213,INT($B213),"m")+1)-EDATE($P213,DATEDIF($P213,INT($B213),"m"))))/$R213,0)*$R213),$P213))))),"")))</f>
      </c>
      <c r="M213" s="223">
        <f>IF(OR($C213="",N($L213)=0,N($B213)=0),"",IF(IF(MOD($L213,1)=0,INT($B213),$B213)&lt;=$L213,"Đúng hạn","Trễ hạn"))</f>
      </c>
      <c r="N213" s="225">
        <f>IF($C213="","",ROW())</f>
      </c>
      <c r="O213" s="225">
        <f>IF($I213="Công việc",MATCH($C213,'Kế hoạch'!$A$6:$A$305,0),"")</f>
      </c>
      <c r="P213" s="234">
        <f>IF($O213="","",INDEX('Kế hoạch'!$I$6:$I$305,$O213))</f>
      </c>
      <c r="Q213" s="225">
        <f>IF($O213="","",INDEX('Kế hoạch'!$AJ$6:$AJ$305,$O213))</f>
      </c>
      <c r="R213" s="225">
        <f>IF($O213="","",INDEX('Kế hoạch'!$AK$6:$AK$305,$O213))</f>
      </c>
    </row>
    <row r="214">
      <c r="A214" s="223">
        <f>IF($C214="","",COUNTIF($C$6:$C214,"?*"))</f>
      </c>
      <c r="B214" s="217"/>
      <c r="C214" s="216"/>
      <c r="D214" s="240"/>
      <c r="E214" s="218"/>
      <c r="F214" s="218"/>
      <c r="G214" s="218"/>
      <c r="H214" s="219"/>
      <c r="I214" s="223">
        <f>IF($C214="","",IF(ISNUMBER(MATCH($C214,'Phản ánh'!$A$6:$A$505,0)),"Phản ánh",IF(ISNUMBER(MATCH($C214,'Kế hoạch'!$A$6:$A$305,0)),"Công việc","Mã chưa có")))</f>
      </c>
      <c r="J214" s="221">
        <f>IF($I214="Phản ánh",INDEX('Phản ánh'!$C$6:$C$505,MATCH($C214,'Phản ánh'!$A$6:$A$505,0)),IF($I214="Công việc",INDEX('Kế hoạch'!$C$6:$C$305,$O214),""))</f>
      </c>
      <c r="K214" s="221">
        <f>IF($I214="Phản ánh",INDEX('Phản ánh'!$K$6:$K$505,MATCH($C214,'Phản ánh'!$A$6:$A$505,0))&amp;"",IF($I214="Công việc",INDEX('Kế hoạch'!$N$6:$N$305,$O214)&amp;"",""))</f>
      </c>
      <c r="L214" s="220">
        <f>IF(OR($C214="",N($B214)=0),"",IF(AND($I214="Phản ánh",$E214="Đã xử lý"),INDEX('Phản ánh'!$U$6:$U$505,MATCH($C214,'Phản ánh'!$A$6:$A$505,0)),IF(AND($I214="Công việc",OR($E214="Hoàn thành",$E214="Hoàn thành kỳ")),IF(INDEX('Kế hoạch'!$B$6:$B$305,$O214)="Đột xuất",INDEX('Kế hoạch'!$AY$6:$AY$305,$O214),IF(N($P214)=0,"",IF(INT($B214)&lt;$P214,$P214,IF($Q214&gt;0,$P214+ROUND((INT($B214)-$P214)/$Q214,0)*$Q214,IF($R214&gt;0,EDATE($P214,ROUND((DATEDIF($P214,INT($B214),"m")+(INT($B214)-EDATE($P214,DATEDIF($P214,INT($B214),"m")))/(EDATE($P214,DATEDIF($P214,INT($B214),"m")+1)-EDATE($P214,DATEDIF($P214,INT($B214),"m"))))/$R214,0)*$R214),$P214))))),"")))</f>
      </c>
      <c r="M214" s="223">
        <f>IF(OR($C214="",N($L214)=0,N($B214)=0),"",IF(IF(MOD($L214,1)=0,INT($B214),$B214)&lt;=$L214,"Đúng hạn","Trễ hạn"))</f>
      </c>
      <c r="N214" s="225">
        <f>IF($C214="","",ROW())</f>
      </c>
      <c r="O214" s="225">
        <f>IF($I214="Công việc",MATCH($C214,'Kế hoạch'!$A$6:$A$305,0),"")</f>
      </c>
      <c r="P214" s="234">
        <f>IF($O214="","",INDEX('Kế hoạch'!$I$6:$I$305,$O214))</f>
      </c>
      <c r="Q214" s="225">
        <f>IF($O214="","",INDEX('Kế hoạch'!$AJ$6:$AJ$305,$O214))</f>
      </c>
      <c r="R214" s="225">
        <f>IF($O214="","",INDEX('Kế hoạch'!$AK$6:$AK$305,$O214))</f>
      </c>
    </row>
    <row r="215">
      <c r="A215" s="223">
        <f>IF($C215="","",COUNTIF($C$6:$C215,"?*"))</f>
      </c>
      <c r="B215" s="217"/>
      <c r="C215" s="216"/>
      <c r="D215" s="240"/>
      <c r="E215" s="218"/>
      <c r="F215" s="218"/>
      <c r="G215" s="218"/>
      <c r="H215" s="219"/>
      <c r="I215" s="223">
        <f>IF($C215="","",IF(ISNUMBER(MATCH($C215,'Phản ánh'!$A$6:$A$505,0)),"Phản ánh",IF(ISNUMBER(MATCH($C215,'Kế hoạch'!$A$6:$A$305,0)),"Công việc","Mã chưa có")))</f>
      </c>
      <c r="J215" s="221">
        <f>IF($I215="Phản ánh",INDEX('Phản ánh'!$C$6:$C$505,MATCH($C215,'Phản ánh'!$A$6:$A$505,0)),IF($I215="Công việc",INDEX('Kế hoạch'!$C$6:$C$305,$O215),""))</f>
      </c>
      <c r="K215" s="221">
        <f>IF($I215="Phản ánh",INDEX('Phản ánh'!$K$6:$K$505,MATCH($C215,'Phản ánh'!$A$6:$A$505,0))&amp;"",IF($I215="Công việc",INDEX('Kế hoạch'!$N$6:$N$305,$O215)&amp;"",""))</f>
      </c>
      <c r="L215" s="220">
        <f>IF(OR($C215="",N($B215)=0),"",IF(AND($I215="Phản ánh",$E215="Đã xử lý"),INDEX('Phản ánh'!$U$6:$U$505,MATCH($C215,'Phản ánh'!$A$6:$A$505,0)),IF(AND($I215="Công việc",OR($E215="Hoàn thành",$E215="Hoàn thành kỳ")),IF(INDEX('Kế hoạch'!$B$6:$B$305,$O215)="Đột xuất",INDEX('Kế hoạch'!$AY$6:$AY$305,$O215),IF(N($P215)=0,"",IF(INT($B215)&lt;$P215,$P215,IF($Q215&gt;0,$P215+ROUND((INT($B215)-$P215)/$Q215,0)*$Q215,IF($R215&gt;0,EDATE($P215,ROUND((DATEDIF($P215,INT($B215),"m")+(INT($B215)-EDATE($P215,DATEDIF($P215,INT($B215),"m")))/(EDATE($P215,DATEDIF($P215,INT($B215),"m")+1)-EDATE($P215,DATEDIF($P215,INT($B215),"m"))))/$R215,0)*$R215),$P215))))),"")))</f>
      </c>
      <c r="M215" s="223">
        <f>IF(OR($C215="",N($L215)=0,N($B215)=0),"",IF(IF(MOD($L215,1)=0,INT($B215),$B215)&lt;=$L215,"Đúng hạn","Trễ hạn"))</f>
      </c>
      <c r="N215" s="225">
        <f>IF($C215="","",ROW())</f>
      </c>
      <c r="O215" s="225">
        <f>IF($I215="Công việc",MATCH($C215,'Kế hoạch'!$A$6:$A$305,0),"")</f>
      </c>
      <c r="P215" s="234">
        <f>IF($O215="","",INDEX('Kế hoạch'!$I$6:$I$305,$O215))</f>
      </c>
      <c r="Q215" s="225">
        <f>IF($O215="","",INDEX('Kế hoạch'!$AJ$6:$AJ$305,$O215))</f>
      </c>
      <c r="R215" s="225">
        <f>IF($O215="","",INDEX('Kế hoạch'!$AK$6:$AK$305,$O215))</f>
      </c>
    </row>
    <row r="216">
      <c r="A216" s="223">
        <f>IF($C216="","",COUNTIF($C$6:$C216,"?*"))</f>
      </c>
      <c r="B216" s="217"/>
      <c r="C216" s="216"/>
      <c r="D216" s="240"/>
      <c r="E216" s="218"/>
      <c r="F216" s="218"/>
      <c r="G216" s="218"/>
      <c r="H216" s="219"/>
      <c r="I216" s="223">
        <f>IF($C216="","",IF(ISNUMBER(MATCH($C216,'Phản ánh'!$A$6:$A$505,0)),"Phản ánh",IF(ISNUMBER(MATCH($C216,'Kế hoạch'!$A$6:$A$305,0)),"Công việc","Mã chưa có")))</f>
      </c>
      <c r="J216" s="221">
        <f>IF($I216="Phản ánh",INDEX('Phản ánh'!$C$6:$C$505,MATCH($C216,'Phản ánh'!$A$6:$A$505,0)),IF($I216="Công việc",INDEX('Kế hoạch'!$C$6:$C$305,$O216),""))</f>
      </c>
      <c r="K216" s="221">
        <f>IF($I216="Phản ánh",INDEX('Phản ánh'!$K$6:$K$505,MATCH($C216,'Phản ánh'!$A$6:$A$505,0))&amp;"",IF($I216="Công việc",INDEX('Kế hoạch'!$N$6:$N$305,$O216)&amp;"",""))</f>
      </c>
      <c r="L216" s="220">
        <f>IF(OR($C216="",N($B216)=0),"",IF(AND($I216="Phản ánh",$E216="Đã xử lý"),INDEX('Phản ánh'!$U$6:$U$505,MATCH($C216,'Phản ánh'!$A$6:$A$505,0)),IF(AND($I216="Công việc",OR($E216="Hoàn thành",$E216="Hoàn thành kỳ")),IF(INDEX('Kế hoạch'!$B$6:$B$305,$O216)="Đột xuất",INDEX('Kế hoạch'!$AY$6:$AY$305,$O216),IF(N($P216)=0,"",IF(INT($B216)&lt;$P216,$P216,IF($Q216&gt;0,$P216+ROUND((INT($B216)-$P216)/$Q216,0)*$Q216,IF($R216&gt;0,EDATE($P216,ROUND((DATEDIF($P216,INT($B216),"m")+(INT($B216)-EDATE($P216,DATEDIF($P216,INT($B216),"m")))/(EDATE($P216,DATEDIF($P216,INT($B216),"m")+1)-EDATE($P216,DATEDIF($P216,INT($B216),"m"))))/$R216,0)*$R216),$P216))))),"")))</f>
      </c>
      <c r="M216" s="223">
        <f>IF(OR($C216="",N($L216)=0,N($B216)=0),"",IF(IF(MOD($L216,1)=0,INT($B216),$B216)&lt;=$L216,"Đúng hạn","Trễ hạn"))</f>
      </c>
      <c r="N216" s="225">
        <f>IF($C216="","",ROW())</f>
      </c>
      <c r="O216" s="225">
        <f>IF($I216="Công việc",MATCH($C216,'Kế hoạch'!$A$6:$A$305,0),"")</f>
      </c>
      <c r="P216" s="234">
        <f>IF($O216="","",INDEX('Kế hoạch'!$I$6:$I$305,$O216))</f>
      </c>
      <c r="Q216" s="225">
        <f>IF($O216="","",INDEX('Kế hoạch'!$AJ$6:$AJ$305,$O216))</f>
      </c>
      <c r="R216" s="225">
        <f>IF($O216="","",INDEX('Kế hoạch'!$AK$6:$AK$305,$O216))</f>
      </c>
    </row>
    <row r="217">
      <c r="A217" s="223">
        <f>IF($C217="","",COUNTIF($C$6:$C217,"?*"))</f>
      </c>
      <c r="B217" s="217"/>
      <c r="C217" s="216"/>
      <c r="D217" s="240"/>
      <c r="E217" s="218"/>
      <c r="F217" s="218"/>
      <c r="G217" s="218"/>
      <c r="H217" s="219"/>
      <c r="I217" s="223">
        <f>IF($C217="","",IF(ISNUMBER(MATCH($C217,'Phản ánh'!$A$6:$A$505,0)),"Phản ánh",IF(ISNUMBER(MATCH($C217,'Kế hoạch'!$A$6:$A$305,0)),"Công việc","Mã chưa có")))</f>
      </c>
      <c r="J217" s="221">
        <f>IF($I217="Phản ánh",INDEX('Phản ánh'!$C$6:$C$505,MATCH($C217,'Phản ánh'!$A$6:$A$505,0)),IF($I217="Công việc",INDEX('Kế hoạch'!$C$6:$C$305,$O217),""))</f>
      </c>
      <c r="K217" s="221">
        <f>IF($I217="Phản ánh",INDEX('Phản ánh'!$K$6:$K$505,MATCH($C217,'Phản ánh'!$A$6:$A$505,0))&amp;"",IF($I217="Công việc",INDEX('Kế hoạch'!$N$6:$N$305,$O217)&amp;"",""))</f>
      </c>
      <c r="L217" s="220">
        <f>IF(OR($C217="",N($B217)=0),"",IF(AND($I217="Phản ánh",$E217="Đã xử lý"),INDEX('Phản ánh'!$U$6:$U$505,MATCH($C217,'Phản ánh'!$A$6:$A$505,0)),IF(AND($I217="Công việc",OR($E217="Hoàn thành",$E217="Hoàn thành kỳ")),IF(INDEX('Kế hoạch'!$B$6:$B$305,$O217)="Đột xuất",INDEX('Kế hoạch'!$AY$6:$AY$305,$O217),IF(N($P217)=0,"",IF(INT($B217)&lt;$P217,$P217,IF($Q217&gt;0,$P217+ROUND((INT($B217)-$P217)/$Q217,0)*$Q217,IF($R217&gt;0,EDATE($P217,ROUND((DATEDIF($P217,INT($B217),"m")+(INT($B217)-EDATE($P217,DATEDIF($P217,INT($B217),"m")))/(EDATE($P217,DATEDIF($P217,INT($B217),"m")+1)-EDATE($P217,DATEDIF($P217,INT($B217),"m"))))/$R217,0)*$R217),$P217))))),"")))</f>
      </c>
      <c r="M217" s="223">
        <f>IF(OR($C217="",N($L217)=0,N($B217)=0),"",IF(IF(MOD($L217,1)=0,INT($B217),$B217)&lt;=$L217,"Đúng hạn","Trễ hạn"))</f>
      </c>
      <c r="N217" s="225">
        <f>IF($C217="","",ROW())</f>
      </c>
      <c r="O217" s="225">
        <f>IF($I217="Công việc",MATCH($C217,'Kế hoạch'!$A$6:$A$305,0),"")</f>
      </c>
      <c r="P217" s="234">
        <f>IF($O217="","",INDEX('Kế hoạch'!$I$6:$I$305,$O217))</f>
      </c>
      <c r="Q217" s="225">
        <f>IF($O217="","",INDEX('Kế hoạch'!$AJ$6:$AJ$305,$O217))</f>
      </c>
      <c r="R217" s="225">
        <f>IF($O217="","",INDEX('Kế hoạch'!$AK$6:$AK$305,$O217))</f>
      </c>
    </row>
    <row r="218">
      <c r="A218" s="223">
        <f>IF($C218="","",COUNTIF($C$6:$C218,"?*"))</f>
      </c>
      <c r="B218" s="217"/>
      <c r="C218" s="216"/>
      <c r="D218" s="240"/>
      <c r="E218" s="218"/>
      <c r="F218" s="218"/>
      <c r="G218" s="218"/>
      <c r="H218" s="219"/>
      <c r="I218" s="223">
        <f>IF($C218="","",IF(ISNUMBER(MATCH($C218,'Phản ánh'!$A$6:$A$505,0)),"Phản ánh",IF(ISNUMBER(MATCH($C218,'Kế hoạch'!$A$6:$A$305,0)),"Công việc","Mã chưa có")))</f>
      </c>
      <c r="J218" s="221">
        <f>IF($I218="Phản ánh",INDEX('Phản ánh'!$C$6:$C$505,MATCH($C218,'Phản ánh'!$A$6:$A$505,0)),IF($I218="Công việc",INDEX('Kế hoạch'!$C$6:$C$305,$O218),""))</f>
      </c>
      <c r="K218" s="221">
        <f>IF($I218="Phản ánh",INDEX('Phản ánh'!$K$6:$K$505,MATCH($C218,'Phản ánh'!$A$6:$A$505,0))&amp;"",IF($I218="Công việc",INDEX('Kế hoạch'!$N$6:$N$305,$O218)&amp;"",""))</f>
      </c>
      <c r="L218" s="220">
        <f>IF(OR($C218="",N($B218)=0),"",IF(AND($I218="Phản ánh",$E218="Đã xử lý"),INDEX('Phản ánh'!$U$6:$U$505,MATCH($C218,'Phản ánh'!$A$6:$A$505,0)),IF(AND($I218="Công việc",OR($E218="Hoàn thành",$E218="Hoàn thành kỳ")),IF(INDEX('Kế hoạch'!$B$6:$B$305,$O218)="Đột xuất",INDEX('Kế hoạch'!$AY$6:$AY$305,$O218),IF(N($P218)=0,"",IF(INT($B218)&lt;$P218,$P218,IF($Q218&gt;0,$P218+ROUND((INT($B218)-$P218)/$Q218,0)*$Q218,IF($R218&gt;0,EDATE($P218,ROUND((DATEDIF($P218,INT($B218),"m")+(INT($B218)-EDATE($P218,DATEDIF($P218,INT($B218),"m")))/(EDATE($P218,DATEDIF($P218,INT($B218),"m")+1)-EDATE($P218,DATEDIF($P218,INT($B218),"m"))))/$R218,0)*$R218),$P218))))),"")))</f>
      </c>
      <c r="M218" s="223">
        <f>IF(OR($C218="",N($L218)=0,N($B218)=0),"",IF(IF(MOD($L218,1)=0,INT($B218),$B218)&lt;=$L218,"Đúng hạn","Trễ hạn"))</f>
      </c>
      <c r="N218" s="225">
        <f>IF($C218="","",ROW())</f>
      </c>
      <c r="O218" s="225">
        <f>IF($I218="Công việc",MATCH($C218,'Kế hoạch'!$A$6:$A$305,0),"")</f>
      </c>
      <c r="P218" s="234">
        <f>IF($O218="","",INDEX('Kế hoạch'!$I$6:$I$305,$O218))</f>
      </c>
      <c r="Q218" s="225">
        <f>IF($O218="","",INDEX('Kế hoạch'!$AJ$6:$AJ$305,$O218))</f>
      </c>
      <c r="R218" s="225">
        <f>IF($O218="","",INDEX('Kế hoạch'!$AK$6:$AK$305,$O218))</f>
      </c>
    </row>
    <row r="219">
      <c r="A219" s="223">
        <f>IF($C219="","",COUNTIF($C$6:$C219,"?*"))</f>
      </c>
      <c r="B219" s="217"/>
      <c r="C219" s="216"/>
      <c r="D219" s="240"/>
      <c r="E219" s="218"/>
      <c r="F219" s="218"/>
      <c r="G219" s="218"/>
      <c r="H219" s="219"/>
      <c r="I219" s="223">
        <f>IF($C219="","",IF(ISNUMBER(MATCH($C219,'Phản ánh'!$A$6:$A$505,0)),"Phản ánh",IF(ISNUMBER(MATCH($C219,'Kế hoạch'!$A$6:$A$305,0)),"Công việc","Mã chưa có")))</f>
      </c>
      <c r="J219" s="221">
        <f>IF($I219="Phản ánh",INDEX('Phản ánh'!$C$6:$C$505,MATCH($C219,'Phản ánh'!$A$6:$A$505,0)),IF($I219="Công việc",INDEX('Kế hoạch'!$C$6:$C$305,$O219),""))</f>
      </c>
      <c r="K219" s="221">
        <f>IF($I219="Phản ánh",INDEX('Phản ánh'!$K$6:$K$505,MATCH($C219,'Phản ánh'!$A$6:$A$505,0))&amp;"",IF($I219="Công việc",INDEX('Kế hoạch'!$N$6:$N$305,$O219)&amp;"",""))</f>
      </c>
      <c r="L219" s="220">
        <f>IF(OR($C219="",N($B219)=0),"",IF(AND($I219="Phản ánh",$E219="Đã xử lý"),INDEX('Phản ánh'!$U$6:$U$505,MATCH($C219,'Phản ánh'!$A$6:$A$505,0)),IF(AND($I219="Công việc",OR($E219="Hoàn thành",$E219="Hoàn thành kỳ")),IF(INDEX('Kế hoạch'!$B$6:$B$305,$O219)="Đột xuất",INDEX('Kế hoạch'!$AY$6:$AY$305,$O219),IF(N($P219)=0,"",IF(INT($B219)&lt;$P219,$P219,IF($Q219&gt;0,$P219+ROUND((INT($B219)-$P219)/$Q219,0)*$Q219,IF($R219&gt;0,EDATE($P219,ROUND((DATEDIF($P219,INT($B219),"m")+(INT($B219)-EDATE($P219,DATEDIF($P219,INT($B219),"m")))/(EDATE($P219,DATEDIF($P219,INT($B219),"m")+1)-EDATE($P219,DATEDIF($P219,INT($B219),"m"))))/$R219,0)*$R219),$P219))))),"")))</f>
      </c>
      <c r="M219" s="223">
        <f>IF(OR($C219="",N($L219)=0,N($B219)=0),"",IF(IF(MOD($L219,1)=0,INT($B219),$B219)&lt;=$L219,"Đúng hạn","Trễ hạn"))</f>
      </c>
      <c r="N219" s="225">
        <f>IF($C219="","",ROW())</f>
      </c>
      <c r="O219" s="225">
        <f>IF($I219="Công việc",MATCH($C219,'Kế hoạch'!$A$6:$A$305,0),"")</f>
      </c>
      <c r="P219" s="234">
        <f>IF($O219="","",INDEX('Kế hoạch'!$I$6:$I$305,$O219))</f>
      </c>
      <c r="Q219" s="225">
        <f>IF($O219="","",INDEX('Kế hoạch'!$AJ$6:$AJ$305,$O219))</f>
      </c>
      <c r="R219" s="225">
        <f>IF($O219="","",INDEX('Kế hoạch'!$AK$6:$AK$305,$O219))</f>
      </c>
    </row>
    <row r="220">
      <c r="A220" s="223">
        <f>IF($C220="","",COUNTIF($C$6:$C220,"?*"))</f>
      </c>
      <c r="B220" s="217"/>
      <c r="C220" s="216"/>
      <c r="D220" s="240"/>
      <c r="E220" s="218"/>
      <c r="F220" s="218"/>
      <c r="G220" s="218"/>
      <c r="H220" s="219"/>
      <c r="I220" s="223">
        <f>IF($C220="","",IF(ISNUMBER(MATCH($C220,'Phản ánh'!$A$6:$A$505,0)),"Phản ánh",IF(ISNUMBER(MATCH($C220,'Kế hoạch'!$A$6:$A$305,0)),"Công việc","Mã chưa có")))</f>
      </c>
      <c r="J220" s="221">
        <f>IF($I220="Phản ánh",INDEX('Phản ánh'!$C$6:$C$505,MATCH($C220,'Phản ánh'!$A$6:$A$505,0)),IF($I220="Công việc",INDEX('Kế hoạch'!$C$6:$C$305,$O220),""))</f>
      </c>
      <c r="K220" s="221">
        <f>IF($I220="Phản ánh",INDEX('Phản ánh'!$K$6:$K$505,MATCH($C220,'Phản ánh'!$A$6:$A$505,0))&amp;"",IF($I220="Công việc",INDEX('Kế hoạch'!$N$6:$N$305,$O220)&amp;"",""))</f>
      </c>
      <c r="L220" s="220">
        <f>IF(OR($C220="",N($B220)=0),"",IF(AND($I220="Phản ánh",$E220="Đã xử lý"),INDEX('Phản ánh'!$U$6:$U$505,MATCH($C220,'Phản ánh'!$A$6:$A$505,0)),IF(AND($I220="Công việc",OR($E220="Hoàn thành",$E220="Hoàn thành kỳ")),IF(INDEX('Kế hoạch'!$B$6:$B$305,$O220)="Đột xuất",INDEX('Kế hoạch'!$AY$6:$AY$305,$O220),IF(N($P220)=0,"",IF(INT($B220)&lt;$P220,$P220,IF($Q220&gt;0,$P220+ROUND((INT($B220)-$P220)/$Q220,0)*$Q220,IF($R220&gt;0,EDATE($P220,ROUND((DATEDIF($P220,INT($B220),"m")+(INT($B220)-EDATE($P220,DATEDIF($P220,INT($B220),"m")))/(EDATE($P220,DATEDIF($P220,INT($B220),"m")+1)-EDATE($P220,DATEDIF($P220,INT($B220),"m"))))/$R220,0)*$R220),$P220))))),"")))</f>
      </c>
      <c r="M220" s="223">
        <f>IF(OR($C220="",N($L220)=0,N($B220)=0),"",IF(IF(MOD($L220,1)=0,INT($B220),$B220)&lt;=$L220,"Đúng hạn","Trễ hạn"))</f>
      </c>
      <c r="N220" s="225">
        <f>IF($C220="","",ROW())</f>
      </c>
      <c r="O220" s="225">
        <f>IF($I220="Công việc",MATCH($C220,'Kế hoạch'!$A$6:$A$305,0),"")</f>
      </c>
      <c r="P220" s="234">
        <f>IF($O220="","",INDEX('Kế hoạch'!$I$6:$I$305,$O220))</f>
      </c>
      <c r="Q220" s="225">
        <f>IF($O220="","",INDEX('Kế hoạch'!$AJ$6:$AJ$305,$O220))</f>
      </c>
      <c r="R220" s="225">
        <f>IF($O220="","",INDEX('Kế hoạch'!$AK$6:$AK$305,$O220))</f>
      </c>
    </row>
    <row r="221">
      <c r="A221" s="223">
        <f>IF($C221="","",COUNTIF($C$6:$C221,"?*"))</f>
      </c>
      <c r="B221" s="217"/>
      <c r="C221" s="216"/>
      <c r="D221" s="240"/>
      <c r="E221" s="218"/>
      <c r="F221" s="218"/>
      <c r="G221" s="218"/>
      <c r="H221" s="219"/>
      <c r="I221" s="223">
        <f>IF($C221="","",IF(ISNUMBER(MATCH($C221,'Phản ánh'!$A$6:$A$505,0)),"Phản ánh",IF(ISNUMBER(MATCH($C221,'Kế hoạch'!$A$6:$A$305,0)),"Công việc","Mã chưa có")))</f>
      </c>
      <c r="J221" s="221">
        <f>IF($I221="Phản ánh",INDEX('Phản ánh'!$C$6:$C$505,MATCH($C221,'Phản ánh'!$A$6:$A$505,0)),IF($I221="Công việc",INDEX('Kế hoạch'!$C$6:$C$305,$O221),""))</f>
      </c>
      <c r="K221" s="221">
        <f>IF($I221="Phản ánh",INDEX('Phản ánh'!$K$6:$K$505,MATCH($C221,'Phản ánh'!$A$6:$A$505,0))&amp;"",IF($I221="Công việc",INDEX('Kế hoạch'!$N$6:$N$305,$O221)&amp;"",""))</f>
      </c>
      <c r="L221" s="220">
        <f>IF(OR($C221="",N($B221)=0),"",IF(AND($I221="Phản ánh",$E221="Đã xử lý"),INDEX('Phản ánh'!$U$6:$U$505,MATCH($C221,'Phản ánh'!$A$6:$A$505,0)),IF(AND($I221="Công việc",OR($E221="Hoàn thành",$E221="Hoàn thành kỳ")),IF(INDEX('Kế hoạch'!$B$6:$B$305,$O221)="Đột xuất",INDEX('Kế hoạch'!$AY$6:$AY$305,$O221),IF(N($P221)=0,"",IF(INT($B221)&lt;$P221,$P221,IF($Q221&gt;0,$P221+ROUND((INT($B221)-$P221)/$Q221,0)*$Q221,IF($R221&gt;0,EDATE($P221,ROUND((DATEDIF($P221,INT($B221),"m")+(INT($B221)-EDATE($P221,DATEDIF($P221,INT($B221),"m")))/(EDATE($P221,DATEDIF($P221,INT($B221),"m")+1)-EDATE($P221,DATEDIF($P221,INT($B221),"m"))))/$R221,0)*$R221),$P221))))),"")))</f>
      </c>
      <c r="M221" s="223">
        <f>IF(OR($C221="",N($L221)=0,N($B221)=0),"",IF(IF(MOD($L221,1)=0,INT($B221),$B221)&lt;=$L221,"Đúng hạn","Trễ hạn"))</f>
      </c>
      <c r="N221" s="225">
        <f>IF($C221="","",ROW())</f>
      </c>
      <c r="O221" s="225">
        <f>IF($I221="Công việc",MATCH($C221,'Kế hoạch'!$A$6:$A$305,0),"")</f>
      </c>
      <c r="P221" s="234">
        <f>IF($O221="","",INDEX('Kế hoạch'!$I$6:$I$305,$O221))</f>
      </c>
      <c r="Q221" s="225">
        <f>IF($O221="","",INDEX('Kế hoạch'!$AJ$6:$AJ$305,$O221))</f>
      </c>
      <c r="R221" s="225">
        <f>IF($O221="","",INDEX('Kế hoạch'!$AK$6:$AK$305,$O221))</f>
      </c>
    </row>
    <row r="222">
      <c r="A222" s="223">
        <f>IF($C222="","",COUNTIF($C$6:$C222,"?*"))</f>
      </c>
      <c r="B222" s="217"/>
      <c r="C222" s="216"/>
      <c r="D222" s="240"/>
      <c r="E222" s="218"/>
      <c r="F222" s="218"/>
      <c r="G222" s="218"/>
      <c r="H222" s="219"/>
      <c r="I222" s="223">
        <f>IF($C222="","",IF(ISNUMBER(MATCH($C222,'Phản ánh'!$A$6:$A$505,0)),"Phản ánh",IF(ISNUMBER(MATCH($C222,'Kế hoạch'!$A$6:$A$305,0)),"Công việc","Mã chưa có")))</f>
      </c>
      <c r="J222" s="221">
        <f>IF($I222="Phản ánh",INDEX('Phản ánh'!$C$6:$C$505,MATCH($C222,'Phản ánh'!$A$6:$A$505,0)),IF($I222="Công việc",INDEX('Kế hoạch'!$C$6:$C$305,$O222),""))</f>
      </c>
      <c r="K222" s="221">
        <f>IF($I222="Phản ánh",INDEX('Phản ánh'!$K$6:$K$505,MATCH($C222,'Phản ánh'!$A$6:$A$505,0))&amp;"",IF($I222="Công việc",INDEX('Kế hoạch'!$N$6:$N$305,$O222)&amp;"",""))</f>
      </c>
      <c r="L222" s="220">
        <f>IF(OR($C222="",N($B222)=0),"",IF(AND($I222="Phản ánh",$E222="Đã xử lý"),INDEX('Phản ánh'!$U$6:$U$505,MATCH($C222,'Phản ánh'!$A$6:$A$505,0)),IF(AND($I222="Công việc",OR($E222="Hoàn thành",$E222="Hoàn thành kỳ")),IF(INDEX('Kế hoạch'!$B$6:$B$305,$O222)="Đột xuất",INDEX('Kế hoạch'!$AY$6:$AY$305,$O222),IF(N($P222)=0,"",IF(INT($B222)&lt;$P222,$P222,IF($Q222&gt;0,$P222+ROUND((INT($B222)-$P222)/$Q222,0)*$Q222,IF($R222&gt;0,EDATE($P222,ROUND((DATEDIF($P222,INT($B222),"m")+(INT($B222)-EDATE($P222,DATEDIF($P222,INT($B222),"m")))/(EDATE($P222,DATEDIF($P222,INT($B222),"m")+1)-EDATE($P222,DATEDIF($P222,INT($B222),"m"))))/$R222,0)*$R222),$P222))))),"")))</f>
      </c>
      <c r="M222" s="223">
        <f>IF(OR($C222="",N($L222)=0,N($B222)=0),"",IF(IF(MOD($L222,1)=0,INT($B222),$B222)&lt;=$L222,"Đúng hạn","Trễ hạn"))</f>
      </c>
      <c r="N222" s="225">
        <f>IF($C222="","",ROW())</f>
      </c>
      <c r="O222" s="225">
        <f>IF($I222="Công việc",MATCH($C222,'Kế hoạch'!$A$6:$A$305,0),"")</f>
      </c>
      <c r="P222" s="234">
        <f>IF($O222="","",INDEX('Kế hoạch'!$I$6:$I$305,$O222))</f>
      </c>
      <c r="Q222" s="225">
        <f>IF($O222="","",INDEX('Kế hoạch'!$AJ$6:$AJ$305,$O222))</f>
      </c>
      <c r="R222" s="225">
        <f>IF($O222="","",INDEX('Kế hoạch'!$AK$6:$AK$305,$O222))</f>
      </c>
    </row>
    <row r="223">
      <c r="A223" s="223">
        <f>IF($C223="","",COUNTIF($C$6:$C223,"?*"))</f>
      </c>
      <c r="B223" s="217"/>
      <c r="C223" s="216"/>
      <c r="D223" s="240"/>
      <c r="E223" s="218"/>
      <c r="F223" s="218"/>
      <c r="G223" s="218"/>
      <c r="H223" s="219"/>
      <c r="I223" s="223">
        <f>IF($C223="","",IF(ISNUMBER(MATCH($C223,'Phản ánh'!$A$6:$A$505,0)),"Phản ánh",IF(ISNUMBER(MATCH($C223,'Kế hoạch'!$A$6:$A$305,0)),"Công việc","Mã chưa có")))</f>
      </c>
      <c r="J223" s="221">
        <f>IF($I223="Phản ánh",INDEX('Phản ánh'!$C$6:$C$505,MATCH($C223,'Phản ánh'!$A$6:$A$505,0)),IF($I223="Công việc",INDEX('Kế hoạch'!$C$6:$C$305,$O223),""))</f>
      </c>
      <c r="K223" s="221">
        <f>IF($I223="Phản ánh",INDEX('Phản ánh'!$K$6:$K$505,MATCH($C223,'Phản ánh'!$A$6:$A$505,0))&amp;"",IF($I223="Công việc",INDEX('Kế hoạch'!$N$6:$N$305,$O223)&amp;"",""))</f>
      </c>
      <c r="L223" s="220">
        <f>IF(OR($C223="",N($B223)=0),"",IF(AND($I223="Phản ánh",$E223="Đã xử lý"),INDEX('Phản ánh'!$U$6:$U$505,MATCH($C223,'Phản ánh'!$A$6:$A$505,0)),IF(AND($I223="Công việc",OR($E223="Hoàn thành",$E223="Hoàn thành kỳ")),IF(INDEX('Kế hoạch'!$B$6:$B$305,$O223)="Đột xuất",INDEX('Kế hoạch'!$AY$6:$AY$305,$O223),IF(N($P223)=0,"",IF(INT($B223)&lt;$P223,$P223,IF($Q223&gt;0,$P223+ROUND((INT($B223)-$P223)/$Q223,0)*$Q223,IF($R223&gt;0,EDATE($P223,ROUND((DATEDIF($P223,INT($B223),"m")+(INT($B223)-EDATE($P223,DATEDIF($P223,INT($B223),"m")))/(EDATE($P223,DATEDIF($P223,INT($B223),"m")+1)-EDATE($P223,DATEDIF($P223,INT($B223),"m"))))/$R223,0)*$R223),$P223))))),"")))</f>
      </c>
      <c r="M223" s="223">
        <f>IF(OR($C223="",N($L223)=0,N($B223)=0),"",IF(IF(MOD($L223,1)=0,INT($B223),$B223)&lt;=$L223,"Đúng hạn","Trễ hạn"))</f>
      </c>
      <c r="N223" s="225">
        <f>IF($C223="","",ROW())</f>
      </c>
      <c r="O223" s="225">
        <f>IF($I223="Công việc",MATCH($C223,'Kế hoạch'!$A$6:$A$305,0),"")</f>
      </c>
      <c r="P223" s="234">
        <f>IF($O223="","",INDEX('Kế hoạch'!$I$6:$I$305,$O223))</f>
      </c>
      <c r="Q223" s="225">
        <f>IF($O223="","",INDEX('Kế hoạch'!$AJ$6:$AJ$305,$O223))</f>
      </c>
      <c r="R223" s="225">
        <f>IF($O223="","",INDEX('Kế hoạch'!$AK$6:$AK$305,$O223))</f>
      </c>
    </row>
    <row r="224">
      <c r="A224" s="223">
        <f>IF($C224="","",COUNTIF($C$6:$C224,"?*"))</f>
      </c>
      <c r="B224" s="217"/>
      <c r="C224" s="216"/>
      <c r="D224" s="240"/>
      <c r="E224" s="218"/>
      <c r="F224" s="218"/>
      <c r="G224" s="218"/>
      <c r="H224" s="219"/>
      <c r="I224" s="223">
        <f>IF($C224="","",IF(ISNUMBER(MATCH($C224,'Phản ánh'!$A$6:$A$505,0)),"Phản ánh",IF(ISNUMBER(MATCH($C224,'Kế hoạch'!$A$6:$A$305,0)),"Công việc","Mã chưa có")))</f>
      </c>
      <c r="J224" s="221">
        <f>IF($I224="Phản ánh",INDEX('Phản ánh'!$C$6:$C$505,MATCH($C224,'Phản ánh'!$A$6:$A$505,0)),IF($I224="Công việc",INDEX('Kế hoạch'!$C$6:$C$305,$O224),""))</f>
      </c>
      <c r="K224" s="221">
        <f>IF($I224="Phản ánh",INDEX('Phản ánh'!$K$6:$K$505,MATCH($C224,'Phản ánh'!$A$6:$A$505,0))&amp;"",IF($I224="Công việc",INDEX('Kế hoạch'!$N$6:$N$305,$O224)&amp;"",""))</f>
      </c>
      <c r="L224" s="220">
        <f>IF(OR($C224="",N($B224)=0),"",IF(AND($I224="Phản ánh",$E224="Đã xử lý"),INDEX('Phản ánh'!$U$6:$U$505,MATCH($C224,'Phản ánh'!$A$6:$A$505,0)),IF(AND($I224="Công việc",OR($E224="Hoàn thành",$E224="Hoàn thành kỳ")),IF(INDEX('Kế hoạch'!$B$6:$B$305,$O224)="Đột xuất",INDEX('Kế hoạch'!$AY$6:$AY$305,$O224),IF(N($P224)=0,"",IF(INT($B224)&lt;$P224,$P224,IF($Q224&gt;0,$P224+ROUND((INT($B224)-$P224)/$Q224,0)*$Q224,IF($R224&gt;0,EDATE($P224,ROUND((DATEDIF($P224,INT($B224),"m")+(INT($B224)-EDATE($P224,DATEDIF($P224,INT($B224),"m")))/(EDATE($P224,DATEDIF($P224,INT($B224),"m")+1)-EDATE($P224,DATEDIF($P224,INT($B224),"m"))))/$R224,0)*$R224),$P224))))),"")))</f>
      </c>
      <c r="M224" s="223">
        <f>IF(OR($C224="",N($L224)=0,N($B224)=0),"",IF(IF(MOD($L224,1)=0,INT($B224),$B224)&lt;=$L224,"Đúng hạn","Trễ hạn"))</f>
      </c>
      <c r="N224" s="225">
        <f>IF($C224="","",ROW())</f>
      </c>
      <c r="O224" s="225">
        <f>IF($I224="Công việc",MATCH($C224,'Kế hoạch'!$A$6:$A$305,0),"")</f>
      </c>
      <c r="P224" s="234">
        <f>IF($O224="","",INDEX('Kế hoạch'!$I$6:$I$305,$O224))</f>
      </c>
      <c r="Q224" s="225">
        <f>IF($O224="","",INDEX('Kế hoạch'!$AJ$6:$AJ$305,$O224))</f>
      </c>
      <c r="R224" s="225">
        <f>IF($O224="","",INDEX('Kế hoạch'!$AK$6:$AK$305,$O224))</f>
      </c>
    </row>
    <row r="225">
      <c r="A225" s="223">
        <f>IF($C225="","",COUNTIF($C$6:$C225,"?*"))</f>
      </c>
      <c r="B225" s="217"/>
      <c r="C225" s="216"/>
      <c r="D225" s="240"/>
      <c r="E225" s="218"/>
      <c r="F225" s="218"/>
      <c r="G225" s="218"/>
      <c r="H225" s="219"/>
      <c r="I225" s="223">
        <f>IF($C225="","",IF(ISNUMBER(MATCH($C225,'Phản ánh'!$A$6:$A$505,0)),"Phản ánh",IF(ISNUMBER(MATCH($C225,'Kế hoạch'!$A$6:$A$305,0)),"Công việc","Mã chưa có")))</f>
      </c>
      <c r="J225" s="221">
        <f>IF($I225="Phản ánh",INDEX('Phản ánh'!$C$6:$C$505,MATCH($C225,'Phản ánh'!$A$6:$A$505,0)),IF($I225="Công việc",INDEX('Kế hoạch'!$C$6:$C$305,$O225),""))</f>
      </c>
      <c r="K225" s="221">
        <f>IF($I225="Phản ánh",INDEX('Phản ánh'!$K$6:$K$505,MATCH($C225,'Phản ánh'!$A$6:$A$505,0))&amp;"",IF($I225="Công việc",INDEX('Kế hoạch'!$N$6:$N$305,$O225)&amp;"",""))</f>
      </c>
      <c r="L225" s="220">
        <f>IF(OR($C225="",N($B225)=0),"",IF(AND($I225="Phản ánh",$E225="Đã xử lý"),INDEX('Phản ánh'!$U$6:$U$505,MATCH($C225,'Phản ánh'!$A$6:$A$505,0)),IF(AND($I225="Công việc",OR($E225="Hoàn thành",$E225="Hoàn thành kỳ")),IF(INDEX('Kế hoạch'!$B$6:$B$305,$O225)="Đột xuất",INDEX('Kế hoạch'!$AY$6:$AY$305,$O225),IF(N($P225)=0,"",IF(INT($B225)&lt;$P225,$P225,IF($Q225&gt;0,$P225+ROUND((INT($B225)-$P225)/$Q225,0)*$Q225,IF($R225&gt;0,EDATE($P225,ROUND((DATEDIF($P225,INT($B225),"m")+(INT($B225)-EDATE($P225,DATEDIF($P225,INT($B225),"m")))/(EDATE($P225,DATEDIF($P225,INT($B225),"m")+1)-EDATE($P225,DATEDIF($P225,INT($B225),"m"))))/$R225,0)*$R225),$P225))))),"")))</f>
      </c>
      <c r="M225" s="223">
        <f>IF(OR($C225="",N($L225)=0,N($B225)=0),"",IF(IF(MOD($L225,1)=0,INT($B225),$B225)&lt;=$L225,"Đúng hạn","Trễ hạn"))</f>
      </c>
      <c r="N225" s="225">
        <f>IF($C225="","",ROW())</f>
      </c>
      <c r="O225" s="225">
        <f>IF($I225="Công việc",MATCH($C225,'Kế hoạch'!$A$6:$A$305,0),"")</f>
      </c>
      <c r="P225" s="234">
        <f>IF($O225="","",INDEX('Kế hoạch'!$I$6:$I$305,$O225))</f>
      </c>
      <c r="Q225" s="225">
        <f>IF($O225="","",INDEX('Kế hoạch'!$AJ$6:$AJ$305,$O225))</f>
      </c>
      <c r="R225" s="225">
        <f>IF($O225="","",INDEX('Kế hoạch'!$AK$6:$AK$305,$O225))</f>
      </c>
    </row>
    <row r="226">
      <c r="A226" s="223">
        <f>IF($C226="","",COUNTIF($C$6:$C226,"?*"))</f>
      </c>
      <c r="B226" s="217"/>
      <c r="C226" s="216"/>
      <c r="D226" s="240"/>
      <c r="E226" s="218"/>
      <c r="F226" s="218"/>
      <c r="G226" s="218"/>
      <c r="H226" s="219"/>
      <c r="I226" s="223">
        <f>IF($C226="","",IF(ISNUMBER(MATCH($C226,'Phản ánh'!$A$6:$A$505,0)),"Phản ánh",IF(ISNUMBER(MATCH($C226,'Kế hoạch'!$A$6:$A$305,0)),"Công việc","Mã chưa có")))</f>
      </c>
      <c r="J226" s="221">
        <f>IF($I226="Phản ánh",INDEX('Phản ánh'!$C$6:$C$505,MATCH($C226,'Phản ánh'!$A$6:$A$505,0)),IF($I226="Công việc",INDEX('Kế hoạch'!$C$6:$C$305,$O226),""))</f>
      </c>
      <c r="K226" s="221">
        <f>IF($I226="Phản ánh",INDEX('Phản ánh'!$K$6:$K$505,MATCH($C226,'Phản ánh'!$A$6:$A$505,0))&amp;"",IF($I226="Công việc",INDEX('Kế hoạch'!$N$6:$N$305,$O226)&amp;"",""))</f>
      </c>
      <c r="L226" s="220">
        <f>IF(OR($C226="",N($B226)=0),"",IF(AND($I226="Phản ánh",$E226="Đã xử lý"),INDEX('Phản ánh'!$U$6:$U$505,MATCH($C226,'Phản ánh'!$A$6:$A$505,0)),IF(AND($I226="Công việc",OR($E226="Hoàn thành",$E226="Hoàn thành kỳ")),IF(INDEX('Kế hoạch'!$B$6:$B$305,$O226)="Đột xuất",INDEX('Kế hoạch'!$AY$6:$AY$305,$O226),IF(N($P226)=0,"",IF(INT($B226)&lt;$P226,$P226,IF($Q226&gt;0,$P226+ROUND((INT($B226)-$P226)/$Q226,0)*$Q226,IF($R226&gt;0,EDATE($P226,ROUND((DATEDIF($P226,INT($B226),"m")+(INT($B226)-EDATE($P226,DATEDIF($P226,INT($B226),"m")))/(EDATE($P226,DATEDIF($P226,INT($B226),"m")+1)-EDATE($P226,DATEDIF($P226,INT($B226),"m"))))/$R226,0)*$R226),$P226))))),"")))</f>
      </c>
      <c r="M226" s="223">
        <f>IF(OR($C226="",N($L226)=0,N($B226)=0),"",IF(IF(MOD($L226,1)=0,INT($B226),$B226)&lt;=$L226,"Đúng hạn","Trễ hạn"))</f>
      </c>
      <c r="N226" s="225">
        <f>IF($C226="","",ROW())</f>
      </c>
      <c r="O226" s="225">
        <f>IF($I226="Công việc",MATCH($C226,'Kế hoạch'!$A$6:$A$305,0),"")</f>
      </c>
      <c r="P226" s="234">
        <f>IF($O226="","",INDEX('Kế hoạch'!$I$6:$I$305,$O226))</f>
      </c>
      <c r="Q226" s="225">
        <f>IF($O226="","",INDEX('Kế hoạch'!$AJ$6:$AJ$305,$O226))</f>
      </c>
      <c r="R226" s="225">
        <f>IF($O226="","",INDEX('Kế hoạch'!$AK$6:$AK$305,$O226))</f>
      </c>
    </row>
    <row r="227">
      <c r="A227" s="223">
        <f>IF($C227="","",COUNTIF($C$6:$C227,"?*"))</f>
      </c>
      <c r="B227" s="217"/>
      <c r="C227" s="216"/>
      <c r="D227" s="240"/>
      <c r="E227" s="218"/>
      <c r="F227" s="218"/>
      <c r="G227" s="218"/>
      <c r="H227" s="219"/>
      <c r="I227" s="223">
        <f>IF($C227="","",IF(ISNUMBER(MATCH($C227,'Phản ánh'!$A$6:$A$505,0)),"Phản ánh",IF(ISNUMBER(MATCH($C227,'Kế hoạch'!$A$6:$A$305,0)),"Công việc","Mã chưa có")))</f>
      </c>
      <c r="J227" s="221">
        <f>IF($I227="Phản ánh",INDEX('Phản ánh'!$C$6:$C$505,MATCH($C227,'Phản ánh'!$A$6:$A$505,0)),IF($I227="Công việc",INDEX('Kế hoạch'!$C$6:$C$305,$O227),""))</f>
      </c>
      <c r="K227" s="221">
        <f>IF($I227="Phản ánh",INDEX('Phản ánh'!$K$6:$K$505,MATCH($C227,'Phản ánh'!$A$6:$A$505,0))&amp;"",IF($I227="Công việc",INDEX('Kế hoạch'!$N$6:$N$305,$O227)&amp;"",""))</f>
      </c>
      <c r="L227" s="220">
        <f>IF(OR($C227="",N($B227)=0),"",IF(AND($I227="Phản ánh",$E227="Đã xử lý"),INDEX('Phản ánh'!$U$6:$U$505,MATCH($C227,'Phản ánh'!$A$6:$A$505,0)),IF(AND($I227="Công việc",OR($E227="Hoàn thành",$E227="Hoàn thành kỳ")),IF(INDEX('Kế hoạch'!$B$6:$B$305,$O227)="Đột xuất",INDEX('Kế hoạch'!$AY$6:$AY$305,$O227),IF(N($P227)=0,"",IF(INT($B227)&lt;$P227,$P227,IF($Q227&gt;0,$P227+ROUND((INT($B227)-$P227)/$Q227,0)*$Q227,IF($R227&gt;0,EDATE($P227,ROUND((DATEDIF($P227,INT($B227),"m")+(INT($B227)-EDATE($P227,DATEDIF($P227,INT($B227),"m")))/(EDATE($P227,DATEDIF($P227,INT($B227),"m")+1)-EDATE($P227,DATEDIF($P227,INT($B227),"m"))))/$R227,0)*$R227),$P227))))),"")))</f>
      </c>
      <c r="M227" s="223">
        <f>IF(OR($C227="",N($L227)=0,N($B227)=0),"",IF(IF(MOD($L227,1)=0,INT($B227),$B227)&lt;=$L227,"Đúng hạn","Trễ hạn"))</f>
      </c>
      <c r="N227" s="225">
        <f>IF($C227="","",ROW())</f>
      </c>
      <c r="O227" s="225">
        <f>IF($I227="Công việc",MATCH($C227,'Kế hoạch'!$A$6:$A$305,0),"")</f>
      </c>
      <c r="P227" s="234">
        <f>IF($O227="","",INDEX('Kế hoạch'!$I$6:$I$305,$O227))</f>
      </c>
      <c r="Q227" s="225">
        <f>IF($O227="","",INDEX('Kế hoạch'!$AJ$6:$AJ$305,$O227))</f>
      </c>
      <c r="R227" s="225">
        <f>IF($O227="","",INDEX('Kế hoạch'!$AK$6:$AK$305,$O227))</f>
      </c>
    </row>
    <row r="228">
      <c r="A228" s="223">
        <f>IF($C228="","",COUNTIF($C$6:$C228,"?*"))</f>
      </c>
      <c r="B228" s="217"/>
      <c r="C228" s="216"/>
      <c r="D228" s="240"/>
      <c r="E228" s="218"/>
      <c r="F228" s="218"/>
      <c r="G228" s="218"/>
      <c r="H228" s="219"/>
      <c r="I228" s="223">
        <f>IF($C228="","",IF(ISNUMBER(MATCH($C228,'Phản ánh'!$A$6:$A$505,0)),"Phản ánh",IF(ISNUMBER(MATCH($C228,'Kế hoạch'!$A$6:$A$305,0)),"Công việc","Mã chưa có")))</f>
      </c>
      <c r="J228" s="221">
        <f>IF($I228="Phản ánh",INDEX('Phản ánh'!$C$6:$C$505,MATCH($C228,'Phản ánh'!$A$6:$A$505,0)),IF($I228="Công việc",INDEX('Kế hoạch'!$C$6:$C$305,$O228),""))</f>
      </c>
      <c r="K228" s="221">
        <f>IF($I228="Phản ánh",INDEX('Phản ánh'!$K$6:$K$505,MATCH($C228,'Phản ánh'!$A$6:$A$505,0))&amp;"",IF($I228="Công việc",INDEX('Kế hoạch'!$N$6:$N$305,$O228)&amp;"",""))</f>
      </c>
      <c r="L228" s="220">
        <f>IF(OR($C228="",N($B228)=0),"",IF(AND($I228="Phản ánh",$E228="Đã xử lý"),INDEX('Phản ánh'!$U$6:$U$505,MATCH($C228,'Phản ánh'!$A$6:$A$505,0)),IF(AND($I228="Công việc",OR($E228="Hoàn thành",$E228="Hoàn thành kỳ")),IF(INDEX('Kế hoạch'!$B$6:$B$305,$O228)="Đột xuất",INDEX('Kế hoạch'!$AY$6:$AY$305,$O228),IF(N($P228)=0,"",IF(INT($B228)&lt;$P228,$P228,IF($Q228&gt;0,$P228+ROUND((INT($B228)-$P228)/$Q228,0)*$Q228,IF($R228&gt;0,EDATE($P228,ROUND((DATEDIF($P228,INT($B228),"m")+(INT($B228)-EDATE($P228,DATEDIF($P228,INT($B228),"m")))/(EDATE($P228,DATEDIF($P228,INT($B228),"m")+1)-EDATE($P228,DATEDIF($P228,INT($B228),"m"))))/$R228,0)*$R228),$P228))))),"")))</f>
      </c>
      <c r="M228" s="223">
        <f>IF(OR($C228="",N($L228)=0,N($B228)=0),"",IF(IF(MOD($L228,1)=0,INT($B228),$B228)&lt;=$L228,"Đúng hạn","Trễ hạn"))</f>
      </c>
      <c r="N228" s="225">
        <f>IF($C228="","",ROW())</f>
      </c>
      <c r="O228" s="225">
        <f>IF($I228="Công việc",MATCH($C228,'Kế hoạch'!$A$6:$A$305,0),"")</f>
      </c>
      <c r="P228" s="234">
        <f>IF($O228="","",INDEX('Kế hoạch'!$I$6:$I$305,$O228))</f>
      </c>
      <c r="Q228" s="225">
        <f>IF($O228="","",INDEX('Kế hoạch'!$AJ$6:$AJ$305,$O228))</f>
      </c>
      <c r="R228" s="225">
        <f>IF($O228="","",INDEX('Kế hoạch'!$AK$6:$AK$305,$O228))</f>
      </c>
    </row>
    <row r="229">
      <c r="A229" s="223">
        <f>IF($C229="","",COUNTIF($C$6:$C229,"?*"))</f>
      </c>
      <c r="B229" s="217"/>
      <c r="C229" s="216"/>
      <c r="D229" s="240"/>
      <c r="E229" s="218"/>
      <c r="F229" s="218"/>
      <c r="G229" s="218"/>
      <c r="H229" s="219"/>
      <c r="I229" s="223">
        <f>IF($C229="","",IF(ISNUMBER(MATCH($C229,'Phản ánh'!$A$6:$A$505,0)),"Phản ánh",IF(ISNUMBER(MATCH($C229,'Kế hoạch'!$A$6:$A$305,0)),"Công việc","Mã chưa có")))</f>
      </c>
      <c r="J229" s="221">
        <f>IF($I229="Phản ánh",INDEX('Phản ánh'!$C$6:$C$505,MATCH($C229,'Phản ánh'!$A$6:$A$505,0)),IF($I229="Công việc",INDEX('Kế hoạch'!$C$6:$C$305,$O229),""))</f>
      </c>
      <c r="K229" s="221">
        <f>IF($I229="Phản ánh",INDEX('Phản ánh'!$K$6:$K$505,MATCH($C229,'Phản ánh'!$A$6:$A$505,0))&amp;"",IF($I229="Công việc",INDEX('Kế hoạch'!$N$6:$N$305,$O229)&amp;"",""))</f>
      </c>
      <c r="L229" s="220">
        <f>IF(OR($C229="",N($B229)=0),"",IF(AND($I229="Phản ánh",$E229="Đã xử lý"),INDEX('Phản ánh'!$U$6:$U$505,MATCH($C229,'Phản ánh'!$A$6:$A$505,0)),IF(AND($I229="Công việc",OR($E229="Hoàn thành",$E229="Hoàn thành kỳ")),IF(INDEX('Kế hoạch'!$B$6:$B$305,$O229)="Đột xuất",INDEX('Kế hoạch'!$AY$6:$AY$305,$O229),IF(N($P229)=0,"",IF(INT($B229)&lt;$P229,$P229,IF($Q229&gt;0,$P229+ROUND((INT($B229)-$P229)/$Q229,0)*$Q229,IF($R229&gt;0,EDATE($P229,ROUND((DATEDIF($P229,INT($B229),"m")+(INT($B229)-EDATE($P229,DATEDIF($P229,INT($B229),"m")))/(EDATE($P229,DATEDIF($P229,INT($B229),"m")+1)-EDATE($P229,DATEDIF($P229,INT($B229),"m"))))/$R229,0)*$R229),$P229))))),"")))</f>
      </c>
      <c r="M229" s="223">
        <f>IF(OR($C229="",N($L229)=0,N($B229)=0),"",IF(IF(MOD($L229,1)=0,INT($B229),$B229)&lt;=$L229,"Đúng hạn","Trễ hạn"))</f>
      </c>
      <c r="N229" s="225">
        <f>IF($C229="","",ROW())</f>
      </c>
      <c r="O229" s="225">
        <f>IF($I229="Công việc",MATCH($C229,'Kế hoạch'!$A$6:$A$305,0),"")</f>
      </c>
      <c r="P229" s="234">
        <f>IF($O229="","",INDEX('Kế hoạch'!$I$6:$I$305,$O229))</f>
      </c>
      <c r="Q229" s="225">
        <f>IF($O229="","",INDEX('Kế hoạch'!$AJ$6:$AJ$305,$O229))</f>
      </c>
      <c r="R229" s="225">
        <f>IF($O229="","",INDEX('Kế hoạch'!$AK$6:$AK$305,$O229))</f>
      </c>
    </row>
    <row r="230">
      <c r="A230" s="223">
        <f>IF($C230="","",COUNTIF($C$6:$C230,"?*"))</f>
      </c>
      <c r="B230" s="217"/>
      <c r="C230" s="216"/>
      <c r="D230" s="240"/>
      <c r="E230" s="218"/>
      <c r="F230" s="218"/>
      <c r="G230" s="218"/>
      <c r="H230" s="219"/>
      <c r="I230" s="223">
        <f>IF($C230="","",IF(ISNUMBER(MATCH($C230,'Phản ánh'!$A$6:$A$505,0)),"Phản ánh",IF(ISNUMBER(MATCH($C230,'Kế hoạch'!$A$6:$A$305,0)),"Công việc","Mã chưa có")))</f>
      </c>
      <c r="J230" s="221">
        <f>IF($I230="Phản ánh",INDEX('Phản ánh'!$C$6:$C$505,MATCH($C230,'Phản ánh'!$A$6:$A$505,0)),IF($I230="Công việc",INDEX('Kế hoạch'!$C$6:$C$305,$O230),""))</f>
      </c>
      <c r="K230" s="221">
        <f>IF($I230="Phản ánh",INDEX('Phản ánh'!$K$6:$K$505,MATCH($C230,'Phản ánh'!$A$6:$A$505,0))&amp;"",IF($I230="Công việc",INDEX('Kế hoạch'!$N$6:$N$305,$O230)&amp;"",""))</f>
      </c>
      <c r="L230" s="220">
        <f>IF(OR($C230="",N($B230)=0),"",IF(AND($I230="Phản ánh",$E230="Đã xử lý"),INDEX('Phản ánh'!$U$6:$U$505,MATCH($C230,'Phản ánh'!$A$6:$A$505,0)),IF(AND($I230="Công việc",OR($E230="Hoàn thành",$E230="Hoàn thành kỳ")),IF(INDEX('Kế hoạch'!$B$6:$B$305,$O230)="Đột xuất",INDEX('Kế hoạch'!$AY$6:$AY$305,$O230),IF(N($P230)=0,"",IF(INT($B230)&lt;$P230,$P230,IF($Q230&gt;0,$P230+ROUND((INT($B230)-$P230)/$Q230,0)*$Q230,IF($R230&gt;0,EDATE($P230,ROUND((DATEDIF($P230,INT($B230),"m")+(INT($B230)-EDATE($P230,DATEDIF($P230,INT($B230),"m")))/(EDATE($P230,DATEDIF($P230,INT($B230),"m")+1)-EDATE($P230,DATEDIF($P230,INT($B230),"m"))))/$R230,0)*$R230),$P230))))),"")))</f>
      </c>
      <c r="M230" s="223">
        <f>IF(OR($C230="",N($L230)=0,N($B230)=0),"",IF(IF(MOD($L230,1)=0,INT($B230),$B230)&lt;=$L230,"Đúng hạn","Trễ hạn"))</f>
      </c>
      <c r="N230" s="225">
        <f>IF($C230="","",ROW())</f>
      </c>
      <c r="O230" s="225">
        <f>IF($I230="Công việc",MATCH($C230,'Kế hoạch'!$A$6:$A$305,0),"")</f>
      </c>
      <c r="P230" s="234">
        <f>IF($O230="","",INDEX('Kế hoạch'!$I$6:$I$305,$O230))</f>
      </c>
      <c r="Q230" s="225">
        <f>IF($O230="","",INDEX('Kế hoạch'!$AJ$6:$AJ$305,$O230))</f>
      </c>
      <c r="R230" s="225">
        <f>IF($O230="","",INDEX('Kế hoạch'!$AK$6:$AK$305,$O230))</f>
      </c>
    </row>
    <row r="231">
      <c r="A231" s="223">
        <f>IF($C231="","",COUNTIF($C$6:$C231,"?*"))</f>
      </c>
      <c r="B231" s="217"/>
      <c r="C231" s="216"/>
      <c r="D231" s="240"/>
      <c r="E231" s="218"/>
      <c r="F231" s="218"/>
      <c r="G231" s="218"/>
      <c r="H231" s="219"/>
      <c r="I231" s="223">
        <f>IF($C231="","",IF(ISNUMBER(MATCH($C231,'Phản ánh'!$A$6:$A$505,0)),"Phản ánh",IF(ISNUMBER(MATCH($C231,'Kế hoạch'!$A$6:$A$305,0)),"Công việc","Mã chưa có")))</f>
      </c>
      <c r="J231" s="221">
        <f>IF($I231="Phản ánh",INDEX('Phản ánh'!$C$6:$C$505,MATCH($C231,'Phản ánh'!$A$6:$A$505,0)),IF($I231="Công việc",INDEX('Kế hoạch'!$C$6:$C$305,$O231),""))</f>
      </c>
      <c r="K231" s="221">
        <f>IF($I231="Phản ánh",INDEX('Phản ánh'!$K$6:$K$505,MATCH($C231,'Phản ánh'!$A$6:$A$505,0))&amp;"",IF($I231="Công việc",INDEX('Kế hoạch'!$N$6:$N$305,$O231)&amp;"",""))</f>
      </c>
      <c r="L231" s="220">
        <f>IF(OR($C231="",N($B231)=0),"",IF(AND($I231="Phản ánh",$E231="Đã xử lý"),INDEX('Phản ánh'!$U$6:$U$505,MATCH($C231,'Phản ánh'!$A$6:$A$505,0)),IF(AND($I231="Công việc",OR($E231="Hoàn thành",$E231="Hoàn thành kỳ")),IF(INDEX('Kế hoạch'!$B$6:$B$305,$O231)="Đột xuất",INDEX('Kế hoạch'!$AY$6:$AY$305,$O231),IF(N($P231)=0,"",IF(INT($B231)&lt;$P231,$P231,IF($Q231&gt;0,$P231+ROUND((INT($B231)-$P231)/$Q231,0)*$Q231,IF($R231&gt;0,EDATE($P231,ROUND((DATEDIF($P231,INT($B231),"m")+(INT($B231)-EDATE($P231,DATEDIF($P231,INT($B231),"m")))/(EDATE($P231,DATEDIF($P231,INT($B231),"m")+1)-EDATE($P231,DATEDIF($P231,INT($B231),"m"))))/$R231,0)*$R231),$P231))))),"")))</f>
      </c>
      <c r="M231" s="223">
        <f>IF(OR($C231="",N($L231)=0,N($B231)=0),"",IF(IF(MOD($L231,1)=0,INT($B231),$B231)&lt;=$L231,"Đúng hạn","Trễ hạn"))</f>
      </c>
      <c r="N231" s="225">
        <f>IF($C231="","",ROW())</f>
      </c>
      <c r="O231" s="225">
        <f>IF($I231="Công việc",MATCH($C231,'Kế hoạch'!$A$6:$A$305,0),"")</f>
      </c>
      <c r="P231" s="234">
        <f>IF($O231="","",INDEX('Kế hoạch'!$I$6:$I$305,$O231))</f>
      </c>
      <c r="Q231" s="225">
        <f>IF($O231="","",INDEX('Kế hoạch'!$AJ$6:$AJ$305,$O231))</f>
      </c>
      <c r="R231" s="225">
        <f>IF($O231="","",INDEX('Kế hoạch'!$AK$6:$AK$305,$O231))</f>
      </c>
    </row>
    <row r="232">
      <c r="A232" s="223">
        <f>IF($C232="","",COUNTIF($C$6:$C232,"?*"))</f>
      </c>
      <c r="B232" s="217"/>
      <c r="C232" s="216"/>
      <c r="D232" s="240"/>
      <c r="E232" s="218"/>
      <c r="F232" s="218"/>
      <c r="G232" s="218"/>
      <c r="H232" s="219"/>
      <c r="I232" s="223">
        <f>IF($C232="","",IF(ISNUMBER(MATCH($C232,'Phản ánh'!$A$6:$A$505,0)),"Phản ánh",IF(ISNUMBER(MATCH($C232,'Kế hoạch'!$A$6:$A$305,0)),"Công việc","Mã chưa có")))</f>
      </c>
      <c r="J232" s="221">
        <f>IF($I232="Phản ánh",INDEX('Phản ánh'!$C$6:$C$505,MATCH($C232,'Phản ánh'!$A$6:$A$505,0)),IF($I232="Công việc",INDEX('Kế hoạch'!$C$6:$C$305,$O232),""))</f>
      </c>
      <c r="K232" s="221">
        <f>IF($I232="Phản ánh",INDEX('Phản ánh'!$K$6:$K$505,MATCH($C232,'Phản ánh'!$A$6:$A$505,0))&amp;"",IF($I232="Công việc",INDEX('Kế hoạch'!$N$6:$N$305,$O232)&amp;"",""))</f>
      </c>
      <c r="L232" s="220">
        <f>IF(OR($C232="",N($B232)=0),"",IF(AND($I232="Phản ánh",$E232="Đã xử lý"),INDEX('Phản ánh'!$U$6:$U$505,MATCH($C232,'Phản ánh'!$A$6:$A$505,0)),IF(AND($I232="Công việc",OR($E232="Hoàn thành",$E232="Hoàn thành kỳ")),IF(INDEX('Kế hoạch'!$B$6:$B$305,$O232)="Đột xuất",INDEX('Kế hoạch'!$AY$6:$AY$305,$O232),IF(N($P232)=0,"",IF(INT($B232)&lt;$P232,$P232,IF($Q232&gt;0,$P232+ROUND((INT($B232)-$P232)/$Q232,0)*$Q232,IF($R232&gt;0,EDATE($P232,ROUND((DATEDIF($P232,INT($B232),"m")+(INT($B232)-EDATE($P232,DATEDIF($P232,INT($B232),"m")))/(EDATE($P232,DATEDIF($P232,INT($B232),"m")+1)-EDATE($P232,DATEDIF($P232,INT($B232),"m"))))/$R232,0)*$R232),$P232))))),"")))</f>
      </c>
      <c r="M232" s="223">
        <f>IF(OR($C232="",N($L232)=0,N($B232)=0),"",IF(IF(MOD($L232,1)=0,INT($B232),$B232)&lt;=$L232,"Đúng hạn","Trễ hạn"))</f>
      </c>
      <c r="N232" s="225">
        <f>IF($C232="","",ROW())</f>
      </c>
      <c r="O232" s="225">
        <f>IF($I232="Công việc",MATCH($C232,'Kế hoạch'!$A$6:$A$305,0),"")</f>
      </c>
      <c r="P232" s="234">
        <f>IF($O232="","",INDEX('Kế hoạch'!$I$6:$I$305,$O232))</f>
      </c>
      <c r="Q232" s="225">
        <f>IF($O232="","",INDEX('Kế hoạch'!$AJ$6:$AJ$305,$O232))</f>
      </c>
      <c r="R232" s="225">
        <f>IF($O232="","",INDEX('Kế hoạch'!$AK$6:$AK$305,$O232))</f>
      </c>
    </row>
    <row r="233">
      <c r="A233" s="223">
        <f>IF($C233="","",COUNTIF($C$6:$C233,"?*"))</f>
      </c>
      <c r="B233" s="217"/>
      <c r="C233" s="216"/>
      <c r="D233" s="240"/>
      <c r="E233" s="218"/>
      <c r="F233" s="218"/>
      <c r="G233" s="218"/>
      <c r="H233" s="219"/>
      <c r="I233" s="223">
        <f>IF($C233="","",IF(ISNUMBER(MATCH($C233,'Phản ánh'!$A$6:$A$505,0)),"Phản ánh",IF(ISNUMBER(MATCH($C233,'Kế hoạch'!$A$6:$A$305,0)),"Công việc","Mã chưa có")))</f>
      </c>
      <c r="J233" s="221">
        <f>IF($I233="Phản ánh",INDEX('Phản ánh'!$C$6:$C$505,MATCH($C233,'Phản ánh'!$A$6:$A$505,0)),IF($I233="Công việc",INDEX('Kế hoạch'!$C$6:$C$305,$O233),""))</f>
      </c>
      <c r="K233" s="221">
        <f>IF($I233="Phản ánh",INDEX('Phản ánh'!$K$6:$K$505,MATCH($C233,'Phản ánh'!$A$6:$A$505,0))&amp;"",IF($I233="Công việc",INDEX('Kế hoạch'!$N$6:$N$305,$O233)&amp;"",""))</f>
      </c>
      <c r="L233" s="220">
        <f>IF(OR($C233="",N($B233)=0),"",IF(AND($I233="Phản ánh",$E233="Đã xử lý"),INDEX('Phản ánh'!$U$6:$U$505,MATCH($C233,'Phản ánh'!$A$6:$A$505,0)),IF(AND($I233="Công việc",OR($E233="Hoàn thành",$E233="Hoàn thành kỳ")),IF(INDEX('Kế hoạch'!$B$6:$B$305,$O233)="Đột xuất",INDEX('Kế hoạch'!$AY$6:$AY$305,$O233),IF(N($P233)=0,"",IF(INT($B233)&lt;$P233,$P233,IF($Q233&gt;0,$P233+ROUND((INT($B233)-$P233)/$Q233,0)*$Q233,IF($R233&gt;0,EDATE($P233,ROUND((DATEDIF($P233,INT($B233),"m")+(INT($B233)-EDATE($P233,DATEDIF($P233,INT($B233),"m")))/(EDATE($P233,DATEDIF($P233,INT($B233),"m")+1)-EDATE($P233,DATEDIF($P233,INT($B233),"m"))))/$R233,0)*$R233),$P233))))),"")))</f>
      </c>
      <c r="M233" s="223">
        <f>IF(OR($C233="",N($L233)=0,N($B233)=0),"",IF(IF(MOD($L233,1)=0,INT($B233),$B233)&lt;=$L233,"Đúng hạn","Trễ hạn"))</f>
      </c>
      <c r="N233" s="225">
        <f>IF($C233="","",ROW())</f>
      </c>
      <c r="O233" s="225">
        <f>IF($I233="Công việc",MATCH($C233,'Kế hoạch'!$A$6:$A$305,0),"")</f>
      </c>
      <c r="P233" s="234">
        <f>IF($O233="","",INDEX('Kế hoạch'!$I$6:$I$305,$O233))</f>
      </c>
      <c r="Q233" s="225">
        <f>IF($O233="","",INDEX('Kế hoạch'!$AJ$6:$AJ$305,$O233))</f>
      </c>
      <c r="R233" s="225">
        <f>IF($O233="","",INDEX('Kế hoạch'!$AK$6:$AK$305,$O233))</f>
      </c>
    </row>
    <row r="234">
      <c r="A234" s="223">
        <f>IF($C234="","",COUNTIF($C$6:$C234,"?*"))</f>
      </c>
      <c r="B234" s="217"/>
      <c r="C234" s="216"/>
      <c r="D234" s="240"/>
      <c r="E234" s="218"/>
      <c r="F234" s="218"/>
      <c r="G234" s="218"/>
      <c r="H234" s="219"/>
      <c r="I234" s="223">
        <f>IF($C234="","",IF(ISNUMBER(MATCH($C234,'Phản ánh'!$A$6:$A$505,0)),"Phản ánh",IF(ISNUMBER(MATCH($C234,'Kế hoạch'!$A$6:$A$305,0)),"Công việc","Mã chưa có")))</f>
      </c>
      <c r="J234" s="221">
        <f>IF($I234="Phản ánh",INDEX('Phản ánh'!$C$6:$C$505,MATCH($C234,'Phản ánh'!$A$6:$A$505,0)),IF($I234="Công việc",INDEX('Kế hoạch'!$C$6:$C$305,$O234),""))</f>
      </c>
      <c r="K234" s="221">
        <f>IF($I234="Phản ánh",INDEX('Phản ánh'!$K$6:$K$505,MATCH($C234,'Phản ánh'!$A$6:$A$505,0))&amp;"",IF($I234="Công việc",INDEX('Kế hoạch'!$N$6:$N$305,$O234)&amp;"",""))</f>
      </c>
      <c r="L234" s="220">
        <f>IF(OR($C234="",N($B234)=0),"",IF(AND($I234="Phản ánh",$E234="Đã xử lý"),INDEX('Phản ánh'!$U$6:$U$505,MATCH($C234,'Phản ánh'!$A$6:$A$505,0)),IF(AND($I234="Công việc",OR($E234="Hoàn thành",$E234="Hoàn thành kỳ")),IF(INDEX('Kế hoạch'!$B$6:$B$305,$O234)="Đột xuất",INDEX('Kế hoạch'!$AY$6:$AY$305,$O234),IF(N($P234)=0,"",IF(INT($B234)&lt;$P234,$P234,IF($Q234&gt;0,$P234+ROUND((INT($B234)-$P234)/$Q234,0)*$Q234,IF($R234&gt;0,EDATE($P234,ROUND((DATEDIF($P234,INT($B234),"m")+(INT($B234)-EDATE($P234,DATEDIF($P234,INT($B234),"m")))/(EDATE($P234,DATEDIF($P234,INT($B234),"m")+1)-EDATE($P234,DATEDIF($P234,INT($B234),"m"))))/$R234,0)*$R234),$P234))))),"")))</f>
      </c>
      <c r="M234" s="223">
        <f>IF(OR($C234="",N($L234)=0,N($B234)=0),"",IF(IF(MOD($L234,1)=0,INT($B234),$B234)&lt;=$L234,"Đúng hạn","Trễ hạn"))</f>
      </c>
      <c r="N234" s="225">
        <f>IF($C234="","",ROW())</f>
      </c>
      <c r="O234" s="225">
        <f>IF($I234="Công việc",MATCH($C234,'Kế hoạch'!$A$6:$A$305,0),"")</f>
      </c>
      <c r="P234" s="234">
        <f>IF($O234="","",INDEX('Kế hoạch'!$I$6:$I$305,$O234))</f>
      </c>
      <c r="Q234" s="225">
        <f>IF($O234="","",INDEX('Kế hoạch'!$AJ$6:$AJ$305,$O234))</f>
      </c>
      <c r="R234" s="225">
        <f>IF($O234="","",INDEX('Kế hoạch'!$AK$6:$AK$305,$O234))</f>
      </c>
    </row>
    <row r="235">
      <c r="A235" s="223">
        <f>IF($C235="","",COUNTIF($C$6:$C235,"?*"))</f>
      </c>
      <c r="B235" s="217"/>
      <c r="C235" s="216"/>
      <c r="D235" s="240"/>
      <c r="E235" s="218"/>
      <c r="F235" s="218"/>
      <c r="G235" s="218"/>
      <c r="H235" s="219"/>
      <c r="I235" s="223">
        <f>IF($C235="","",IF(ISNUMBER(MATCH($C235,'Phản ánh'!$A$6:$A$505,0)),"Phản ánh",IF(ISNUMBER(MATCH($C235,'Kế hoạch'!$A$6:$A$305,0)),"Công việc","Mã chưa có")))</f>
      </c>
      <c r="J235" s="221">
        <f>IF($I235="Phản ánh",INDEX('Phản ánh'!$C$6:$C$505,MATCH($C235,'Phản ánh'!$A$6:$A$505,0)),IF($I235="Công việc",INDEX('Kế hoạch'!$C$6:$C$305,$O235),""))</f>
      </c>
      <c r="K235" s="221">
        <f>IF($I235="Phản ánh",INDEX('Phản ánh'!$K$6:$K$505,MATCH($C235,'Phản ánh'!$A$6:$A$505,0))&amp;"",IF($I235="Công việc",INDEX('Kế hoạch'!$N$6:$N$305,$O235)&amp;"",""))</f>
      </c>
      <c r="L235" s="220">
        <f>IF(OR($C235="",N($B235)=0),"",IF(AND($I235="Phản ánh",$E235="Đã xử lý"),INDEX('Phản ánh'!$U$6:$U$505,MATCH($C235,'Phản ánh'!$A$6:$A$505,0)),IF(AND($I235="Công việc",OR($E235="Hoàn thành",$E235="Hoàn thành kỳ")),IF(INDEX('Kế hoạch'!$B$6:$B$305,$O235)="Đột xuất",INDEX('Kế hoạch'!$AY$6:$AY$305,$O235),IF(N($P235)=0,"",IF(INT($B235)&lt;$P235,$P235,IF($Q235&gt;0,$P235+ROUND((INT($B235)-$P235)/$Q235,0)*$Q235,IF($R235&gt;0,EDATE($P235,ROUND((DATEDIF($P235,INT($B235),"m")+(INT($B235)-EDATE($P235,DATEDIF($P235,INT($B235),"m")))/(EDATE($P235,DATEDIF($P235,INT($B235),"m")+1)-EDATE($P235,DATEDIF($P235,INT($B235),"m"))))/$R235,0)*$R235),$P235))))),"")))</f>
      </c>
      <c r="M235" s="223">
        <f>IF(OR($C235="",N($L235)=0,N($B235)=0),"",IF(IF(MOD($L235,1)=0,INT($B235),$B235)&lt;=$L235,"Đúng hạn","Trễ hạn"))</f>
      </c>
      <c r="N235" s="225">
        <f>IF($C235="","",ROW())</f>
      </c>
      <c r="O235" s="225">
        <f>IF($I235="Công việc",MATCH($C235,'Kế hoạch'!$A$6:$A$305,0),"")</f>
      </c>
      <c r="P235" s="234">
        <f>IF($O235="","",INDEX('Kế hoạch'!$I$6:$I$305,$O235))</f>
      </c>
      <c r="Q235" s="225">
        <f>IF($O235="","",INDEX('Kế hoạch'!$AJ$6:$AJ$305,$O235))</f>
      </c>
      <c r="R235" s="225">
        <f>IF($O235="","",INDEX('Kế hoạch'!$AK$6:$AK$305,$O235))</f>
      </c>
    </row>
    <row r="236">
      <c r="A236" s="223">
        <f>IF($C236="","",COUNTIF($C$6:$C236,"?*"))</f>
      </c>
      <c r="B236" s="217"/>
      <c r="C236" s="216"/>
      <c r="D236" s="240"/>
      <c r="E236" s="218"/>
      <c r="F236" s="218"/>
      <c r="G236" s="218"/>
      <c r="H236" s="219"/>
      <c r="I236" s="223">
        <f>IF($C236="","",IF(ISNUMBER(MATCH($C236,'Phản ánh'!$A$6:$A$505,0)),"Phản ánh",IF(ISNUMBER(MATCH($C236,'Kế hoạch'!$A$6:$A$305,0)),"Công việc","Mã chưa có")))</f>
      </c>
      <c r="J236" s="221">
        <f>IF($I236="Phản ánh",INDEX('Phản ánh'!$C$6:$C$505,MATCH($C236,'Phản ánh'!$A$6:$A$505,0)),IF($I236="Công việc",INDEX('Kế hoạch'!$C$6:$C$305,$O236),""))</f>
      </c>
      <c r="K236" s="221">
        <f>IF($I236="Phản ánh",INDEX('Phản ánh'!$K$6:$K$505,MATCH($C236,'Phản ánh'!$A$6:$A$505,0))&amp;"",IF($I236="Công việc",INDEX('Kế hoạch'!$N$6:$N$305,$O236)&amp;"",""))</f>
      </c>
      <c r="L236" s="220">
        <f>IF(OR($C236="",N($B236)=0),"",IF(AND($I236="Phản ánh",$E236="Đã xử lý"),INDEX('Phản ánh'!$U$6:$U$505,MATCH($C236,'Phản ánh'!$A$6:$A$505,0)),IF(AND($I236="Công việc",OR($E236="Hoàn thành",$E236="Hoàn thành kỳ")),IF(INDEX('Kế hoạch'!$B$6:$B$305,$O236)="Đột xuất",INDEX('Kế hoạch'!$AY$6:$AY$305,$O236),IF(N($P236)=0,"",IF(INT($B236)&lt;$P236,$P236,IF($Q236&gt;0,$P236+ROUND((INT($B236)-$P236)/$Q236,0)*$Q236,IF($R236&gt;0,EDATE($P236,ROUND((DATEDIF($P236,INT($B236),"m")+(INT($B236)-EDATE($P236,DATEDIF($P236,INT($B236),"m")))/(EDATE($P236,DATEDIF($P236,INT($B236),"m")+1)-EDATE($P236,DATEDIF($P236,INT($B236),"m"))))/$R236,0)*$R236),$P236))))),"")))</f>
      </c>
      <c r="M236" s="223">
        <f>IF(OR($C236="",N($L236)=0,N($B236)=0),"",IF(IF(MOD($L236,1)=0,INT($B236),$B236)&lt;=$L236,"Đúng hạn","Trễ hạn"))</f>
      </c>
      <c r="N236" s="225">
        <f>IF($C236="","",ROW())</f>
      </c>
      <c r="O236" s="225">
        <f>IF($I236="Công việc",MATCH($C236,'Kế hoạch'!$A$6:$A$305,0),"")</f>
      </c>
      <c r="P236" s="234">
        <f>IF($O236="","",INDEX('Kế hoạch'!$I$6:$I$305,$O236))</f>
      </c>
      <c r="Q236" s="225">
        <f>IF($O236="","",INDEX('Kế hoạch'!$AJ$6:$AJ$305,$O236))</f>
      </c>
      <c r="R236" s="225">
        <f>IF($O236="","",INDEX('Kế hoạch'!$AK$6:$AK$305,$O236))</f>
      </c>
    </row>
    <row r="237">
      <c r="A237" s="223">
        <f>IF($C237="","",COUNTIF($C$6:$C237,"?*"))</f>
      </c>
      <c r="B237" s="217"/>
      <c r="C237" s="216"/>
      <c r="D237" s="240"/>
      <c r="E237" s="218"/>
      <c r="F237" s="218"/>
      <c r="G237" s="218"/>
      <c r="H237" s="219"/>
      <c r="I237" s="223">
        <f>IF($C237="","",IF(ISNUMBER(MATCH($C237,'Phản ánh'!$A$6:$A$505,0)),"Phản ánh",IF(ISNUMBER(MATCH($C237,'Kế hoạch'!$A$6:$A$305,0)),"Công việc","Mã chưa có")))</f>
      </c>
      <c r="J237" s="221">
        <f>IF($I237="Phản ánh",INDEX('Phản ánh'!$C$6:$C$505,MATCH($C237,'Phản ánh'!$A$6:$A$505,0)),IF($I237="Công việc",INDEX('Kế hoạch'!$C$6:$C$305,$O237),""))</f>
      </c>
      <c r="K237" s="221">
        <f>IF($I237="Phản ánh",INDEX('Phản ánh'!$K$6:$K$505,MATCH($C237,'Phản ánh'!$A$6:$A$505,0))&amp;"",IF($I237="Công việc",INDEX('Kế hoạch'!$N$6:$N$305,$O237)&amp;"",""))</f>
      </c>
      <c r="L237" s="220">
        <f>IF(OR($C237="",N($B237)=0),"",IF(AND($I237="Phản ánh",$E237="Đã xử lý"),INDEX('Phản ánh'!$U$6:$U$505,MATCH($C237,'Phản ánh'!$A$6:$A$505,0)),IF(AND($I237="Công việc",OR($E237="Hoàn thành",$E237="Hoàn thành kỳ")),IF(INDEX('Kế hoạch'!$B$6:$B$305,$O237)="Đột xuất",INDEX('Kế hoạch'!$AY$6:$AY$305,$O237),IF(N($P237)=0,"",IF(INT($B237)&lt;$P237,$P237,IF($Q237&gt;0,$P237+ROUND((INT($B237)-$P237)/$Q237,0)*$Q237,IF($R237&gt;0,EDATE($P237,ROUND((DATEDIF($P237,INT($B237),"m")+(INT($B237)-EDATE($P237,DATEDIF($P237,INT($B237),"m")))/(EDATE($P237,DATEDIF($P237,INT($B237),"m")+1)-EDATE($P237,DATEDIF($P237,INT($B237),"m"))))/$R237,0)*$R237),$P237))))),"")))</f>
      </c>
      <c r="M237" s="223">
        <f>IF(OR($C237="",N($L237)=0,N($B237)=0),"",IF(IF(MOD($L237,1)=0,INT($B237),$B237)&lt;=$L237,"Đúng hạn","Trễ hạn"))</f>
      </c>
      <c r="N237" s="225">
        <f>IF($C237="","",ROW())</f>
      </c>
      <c r="O237" s="225">
        <f>IF($I237="Công việc",MATCH($C237,'Kế hoạch'!$A$6:$A$305,0),"")</f>
      </c>
      <c r="P237" s="234">
        <f>IF($O237="","",INDEX('Kế hoạch'!$I$6:$I$305,$O237))</f>
      </c>
      <c r="Q237" s="225">
        <f>IF($O237="","",INDEX('Kế hoạch'!$AJ$6:$AJ$305,$O237))</f>
      </c>
      <c r="R237" s="225">
        <f>IF($O237="","",INDEX('Kế hoạch'!$AK$6:$AK$305,$O237))</f>
      </c>
    </row>
    <row r="238">
      <c r="A238" s="223">
        <f>IF($C238="","",COUNTIF($C$6:$C238,"?*"))</f>
      </c>
      <c r="B238" s="217"/>
      <c r="C238" s="216"/>
      <c r="D238" s="240"/>
      <c r="E238" s="218"/>
      <c r="F238" s="218"/>
      <c r="G238" s="218"/>
      <c r="H238" s="219"/>
      <c r="I238" s="223">
        <f>IF($C238="","",IF(ISNUMBER(MATCH($C238,'Phản ánh'!$A$6:$A$505,0)),"Phản ánh",IF(ISNUMBER(MATCH($C238,'Kế hoạch'!$A$6:$A$305,0)),"Công việc","Mã chưa có")))</f>
      </c>
      <c r="J238" s="221">
        <f>IF($I238="Phản ánh",INDEX('Phản ánh'!$C$6:$C$505,MATCH($C238,'Phản ánh'!$A$6:$A$505,0)),IF($I238="Công việc",INDEX('Kế hoạch'!$C$6:$C$305,$O238),""))</f>
      </c>
      <c r="K238" s="221">
        <f>IF($I238="Phản ánh",INDEX('Phản ánh'!$K$6:$K$505,MATCH($C238,'Phản ánh'!$A$6:$A$505,0))&amp;"",IF($I238="Công việc",INDEX('Kế hoạch'!$N$6:$N$305,$O238)&amp;"",""))</f>
      </c>
      <c r="L238" s="220">
        <f>IF(OR($C238="",N($B238)=0),"",IF(AND($I238="Phản ánh",$E238="Đã xử lý"),INDEX('Phản ánh'!$U$6:$U$505,MATCH($C238,'Phản ánh'!$A$6:$A$505,0)),IF(AND($I238="Công việc",OR($E238="Hoàn thành",$E238="Hoàn thành kỳ")),IF(INDEX('Kế hoạch'!$B$6:$B$305,$O238)="Đột xuất",INDEX('Kế hoạch'!$AY$6:$AY$305,$O238),IF(N($P238)=0,"",IF(INT($B238)&lt;$P238,$P238,IF($Q238&gt;0,$P238+ROUND((INT($B238)-$P238)/$Q238,0)*$Q238,IF($R238&gt;0,EDATE($P238,ROUND((DATEDIF($P238,INT($B238),"m")+(INT($B238)-EDATE($P238,DATEDIF($P238,INT($B238),"m")))/(EDATE($P238,DATEDIF($P238,INT($B238),"m")+1)-EDATE($P238,DATEDIF($P238,INT($B238),"m"))))/$R238,0)*$R238),$P238))))),"")))</f>
      </c>
      <c r="M238" s="223">
        <f>IF(OR($C238="",N($L238)=0,N($B238)=0),"",IF(IF(MOD($L238,1)=0,INT($B238),$B238)&lt;=$L238,"Đúng hạn","Trễ hạn"))</f>
      </c>
      <c r="N238" s="225">
        <f>IF($C238="","",ROW())</f>
      </c>
      <c r="O238" s="225">
        <f>IF($I238="Công việc",MATCH($C238,'Kế hoạch'!$A$6:$A$305,0),"")</f>
      </c>
      <c r="P238" s="234">
        <f>IF($O238="","",INDEX('Kế hoạch'!$I$6:$I$305,$O238))</f>
      </c>
      <c r="Q238" s="225">
        <f>IF($O238="","",INDEX('Kế hoạch'!$AJ$6:$AJ$305,$O238))</f>
      </c>
      <c r="R238" s="225">
        <f>IF($O238="","",INDEX('Kế hoạch'!$AK$6:$AK$305,$O238))</f>
      </c>
    </row>
    <row r="239">
      <c r="A239" s="223">
        <f>IF($C239="","",COUNTIF($C$6:$C239,"?*"))</f>
      </c>
      <c r="B239" s="217"/>
      <c r="C239" s="216"/>
      <c r="D239" s="240"/>
      <c r="E239" s="218"/>
      <c r="F239" s="218"/>
      <c r="G239" s="218"/>
      <c r="H239" s="219"/>
      <c r="I239" s="223">
        <f>IF($C239="","",IF(ISNUMBER(MATCH($C239,'Phản ánh'!$A$6:$A$505,0)),"Phản ánh",IF(ISNUMBER(MATCH($C239,'Kế hoạch'!$A$6:$A$305,0)),"Công việc","Mã chưa có")))</f>
      </c>
      <c r="J239" s="221">
        <f>IF($I239="Phản ánh",INDEX('Phản ánh'!$C$6:$C$505,MATCH($C239,'Phản ánh'!$A$6:$A$505,0)),IF($I239="Công việc",INDEX('Kế hoạch'!$C$6:$C$305,$O239),""))</f>
      </c>
      <c r="K239" s="221">
        <f>IF($I239="Phản ánh",INDEX('Phản ánh'!$K$6:$K$505,MATCH($C239,'Phản ánh'!$A$6:$A$505,0))&amp;"",IF($I239="Công việc",INDEX('Kế hoạch'!$N$6:$N$305,$O239)&amp;"",""))</f>
      </c>
      <c r="L239" s="220">
        <f>IF(OR($C239="",N($B239)=0),"",IF(AND($I239="Phản ánh",$E239="Đã xử lý"),INDEX('Phản ánh'!$U$6:$U$505,MATCH($C239,'Phản ánh'!$A$6:$A$505,0)),IF(AND($I239="Công việc",OR($E239="Hoàn thành",$E239="Hoàn thành kỳ")),IF(INDEX('Kế hoạch'!$B$6:$B$305,$O239)="Đột xuất",INDEX('Kế hoạch'!$AY$6:$AY$305,$O239),IF(N($P239)=0,"",IF(INT($B239)&lt;$P239,$P239,IF($Q239&gt;0,$P239+ROUND((INT($B239)-$P239)/$Q239,0)*$Q239,IF($R239&gt;0,EDATE($P239,ROUND((DATEDIF($P239,INT($B239),"m")+(INT($B239)-EDATE($P239,DATEDIF($P239,INT($B239),"m")))/(EDATE($P239,DATEDIF($P239,INT($B239),"m")+1)-EDATE($P239,DATEDIF($P239,INT($B239),"m"))))/$R239,0)*$R239),$P239))))),"")))</f>
      </c>
      <c r="M239" s="223">
        <f>IF(OR($C239="",N($L239)=0,N($B239)=0),"",IF(IF(MOD($L239,1)=0,INT($B239),$B239)&lt;=$L239,"Đúng hạn","Trễ hạn"))</f>
      </c>
      <c r="N239" s="225">
        <f>IF($C239="","",ROW())</f>
      </c>
      <c r="O239" s="225">
        <f>IF($I239="Công việc",MATCH($C239,'Kế hoạch'!$A$6:$A$305,0),"")</f>
      </c>
      <c r="P239" s="234">
        <f>IF($O239="","",INDEX('Kế hoạch'!$I$6:$I$305,$O239))</f>
      </c>
      <c r="Q239" s="225">
        <f>IF($O239="","",INDEX('Kế hoạch'!$AJ$6:$AJ$305,$O239))</f>
      </c>
      <c r="R239" s="225">
        <f>IF($O239="","",INDEX('Kế hoạch'!$AK$6:$AK$305,$O239))</f>
      </c>
    </row>
    <row r="240">
      <c r="A240" s="223">
        <f>IF($C240="","",COUNTIF($C$6:$C240,"?*"))</f>
      </c>
      <c r="B240" s="217"/>
      <c r="C240" s="216"/>
      <c r="D240" s="240"/>
      <c r="E240" s="218"/>
      <c r="F240" s="218"/>
      <c r="G240" s="218"/>
      <c r="H240" s="219"/>
      <c r="I240" s="223">
        <f>IF($C240="","",IF(ISNUMBER(MATCH($C240,'Phản ánh'!$A$6:$A$505,0)),"Phản ánh",IF(ISNUMBER(MATCH($C240,'Kế hoạch'!$A$6:$A$305,0)),"Công việc","Mã chưa có")))</f>
      </c>
      <c r="J240" s="221">
        <f>IF($I240="Phản ánh",INDEX('Phản ánh'!$C$6:$C$505,MATCH($C240,'Phản ánh'!$A$6:$A$505,0)),IF($I240="Công việc",INDEX('Kế hoạch'!$C$6:$C$305,$O240),""))</f>
      </c>
      <c r="K240" s="221">
        <f>IF($I240="Phản ánh",INDEX('Phản ánh'!$K$6:$K$505,MATCH($C240,'Phản ánh'!$A$6:$A$505,0))&amp;"",IF($I240="Công việc",INDEX('Kế hoạch'!$N$6:$N$305,$O240)&amp;"",""))</f>
      </c>
      <c r="L240" s="220">
        <f>IF(OR($C240="",N($B240)=0),"",IF(AND($I240="Phản ánh",$E240="Đã xử lý"),INDEX('Phản ánh'!$U$6:$U$505,MATCH($C240,'Phản ánh'!$A$6:$A$505,0)),IF(AND($I240="Công việc",OR($E240="Hoàn thành",$E240="Hoàn thành kỳ")),IF(INDEX('Kế hoạch'!$B$6:$B$305,$O240)="Đột xuất",INDEX('Kế hoạch'!$AY$6:$AY$305,$O240),IF(N($P240)=0,"",IF(INT($B240)&lt;$P240,$P240,IF($Q240&gt;0,$P240+ROUND((INT($B240)-$P240)/$Q240,0)*$Q240,IF($R240&gt;0,EDATE($P240,ROUND((DATEDIF($P240,INT($B240),"m")+(INT($B240)-EDATE($P240,DATEDIF($P240,INT($B240),"m")))/(EDATE($P240,DATEDIF($P240,INT($B240),"m")+1)-EDATE($P240,DATEDIF($P240,INT($B240),"m"))))/$R240,0)*$R240),$P240))))),"")))</f>
      </c>
      <c r="M240" s="223">
        <f>IF(OR($C240="",N($L240)=0,N($B240)=0),"",IF(IF(MOD($L240,1)=0,INT($B240),$B240)&lt;=$L240,"Đúng hạn","Trễ hạn"))</f>
      </c>
      <c r="N240" s="225">
        <f>IF($C240="","",ROW())</f>
      </c>
      <c r="O240" s="225">
        <f>IF($I240="Công việc",MATCH($C240,'Kế hoạch'!$A$6:$A$305,0),"")</f>
      </c>
      <c r="P240" s="234">
        <f>IF($O240="","",INDEX('Kế hoạch'!$I$6:$I$305,$O240))</f>
      </c>
      <c r="Q240" s="225">
        <f>IF($O240="","",INDEX('Kế hoạch'!$AJ$6:$AJ$305,$O240))</f>
      </c>
      <c r="R240" s="225">
        <f>IF($O240="","",INDEX('Kế hoạch'!$AK$6:$AK$305,$O240))</f>
      </c>
    </row>
    <row r="241">
      <c r="A241" s="223">
        <f>IF($C241="","",COUNTIF($C$6:$C241,"?*"))</f>
      </c>
      <c r="B241" s="217"/>
      <c r="C241" s="216"/>
      <c r="D241" s="240"/>
      <c r="E241" s="218"/>
      <c r="F241" s="218"/>
      <c r="G241" s="218"/>
      <c r="H241" s="219"/>
      <c r="I241" s="223">
        <f>IF($C241="","",IF(ISNUMBER(MATCH($C241,'Phản ánh'!$A$6:$A$505,0)),"Phản ánh",IF(ISNUMBER(MATCH($C241,'Kế hoạch'!$A$6:$A$305,0)),"Công việc","Mã chưa có")))</f>
      </c>
      <c r="J241" s="221">
        <f>IF($I241="Phản ánh",INDEX('Phản ánh'!$C$6:$C$505,MATCH($C241,'Phản ánh'!$A$6:$A$505,0)),IF($I241="Công việc",INDEX('Kế hoạch'!$C$6:$C$305,$O241),""))</f>
      </c>
      <c r="K241" s="221">
        <f>IF($I241="Phản ánh",INDEX('Phản ánh'!$K$6:$K$505,MATCH($C241,'Phản ánh'!$A$6:$A$505,0))&amp;"",IF($I241="Công việc",INDEX('Kế hoạch'!$N$6:$N$305,$O241)&amp;"",""))</f>
      </c>
      <c r="L241" s="220">
        <f>IF(OR($C241="",N($B241)=0),"",IF(AND($I241="Phản ánh",$E241="Đã xử lý"),INDEX('Phản ánh'!$U$6:$U$505,MATCH($C241,'Phản ánh'!$A$6:$A$505,0)),IF(AND($I241="Công việc",OR($E241="Hoàn thành",$E241="Hoàn thành kỳ")),IF(INDEX('Kế hoạch'!$B$6:$B$305,$O241)="Đột xuất",INDEX('Kế hoạch'!$AY$6:$AY$305,$O241),IF(N($P241)=0,"",IF(INT($B241)&lt;$P241,$P241,IF($Q241&gt;0,$P241+ROUND((INT($B241)-$P241)/$Q241,0)*$Q241,IF($R241&gt;0,EDATE($P241,ROUND((DATEDIF($P241,INT($B241),"m")+(INT($B241)-EDATE($P241,DATEDIF($P241,INT($B241),"m")))/(EDATE($P241,DATEDIF($P241,INT($B241),"m")+1)-EDATE($P241,DATEDIF($P241,INT($B241),"m"))))/$R241,0)*$R241),$P241))))),"")))</f>
      </c>
      <c r="M241" s="223">
        <f>IF(OR($C241="",N($L241)=0,N($B241)=0),"",IF(IF(MOD($L241,1)=0,INT($B241),$B241)&lt;=$L241,"Đúng hạn","Trễ hạn"))</f>
      </c>
      <c r="N241" s="225">
        <f>IF($C241="","",ROW())</f>
      </c>
      <c r="O241" s="225">
        <f>IF($I241="Công việc",MATCH($C241,'Kế hoạch'!$A$6:$A$305,0),"")</f>
      </c>
      <c r="P241" s="234">
        <f>IF($O241="","",INDEX('Kế hoạch'!$I$6:$I$305,$O241))</f>
      </c>
      <c r="Q241" s="225">
        <f>IF($O241="","",INDEX('Kế hoạch'!$AJ$6:$AJ$305,$O241))</f>
      </c>
      <c r="R241" s="225">
        <f>IF($O241="","",INDEX('Kế hoạch'!$AK$6:$AK$305,$O241))</f>
      </c>
    </row>
    <row r="242">
      <c r="A242" s="223">
        <f>IF($C242="","",COUNTIF($C$6:$C242,"?*"))</f>
      </c>
      <c r="B242" s="217"/>
      <c r="C242" s="216"/>
      <c r="D242" s="240"/>
      <c r="E242" s="218"/>
      <c r="F242" s="218"/>
      <c r="G242" s="218"/>
      <c r="H242" s="219"/>
      <c r="I242" s="223">
        <f>IF($C242="","",IF(ISNUMBER(MATCH($C242,'Phản ánh'!$A$6:$A$505,0)),"Phản ánh",IF(ISNUMBER(MATCH($C242,'Kế hoạch'!$A$6:$A$305,0)),"Công việc","Mã chưa có")))</f>
      </c>
      <c r="J242" s="221">
        <f>IF($I242="Phản ánh",INDEX('Phản ánh'!$C$6:$C$505,MATCH($C242,'Phản ánh'!$A$6:$A$505,0)),IF($I242="Công việc",INDEX('Kế hoạch'!$C$6:$C$305,$O242),""))</f>
      </c>
      <c r="K242" s="221">
        <f>IF($I242="Phản ánh",INDEX('Phản ánh'!$K$6:$K$505,MATCH($C242,'Phản ánh'!$A$6:$A$505,0))&amp;"",IF($I242="Công việc",INDEX('Kế hoạch'!$N$6:$N$305,$O242)&amp;"",""))</f>
      </c>
      <c r="L242" s="220">
        <f>IF(OR($C242="",N($B242)=0),"",IF(AND($I242="Phản ánh",$E242="Đã xử lý"),INDEX('Phản ánh'!$U$6:$U$505,MATCH($C242,'Phản ánh'!$A$6:$A$505,0)),IF(AND($I242="Công việc",OR($E242="Hoàn thành",$E242="Hoàn thành kỳ")),IF(INDEX('Kế hoạch'!$B$6:$B$305,$O242)="Đột xuất",INDEX('Kế hoạch'!$AY$6:$AY$305,$O242),IF(N($P242)=0,"",IF(INT($B242)&lt;$P242,$P242,IF($Q242&gt;0,$P242+ROUND((INT($B242)-$P242)/$Q242,0)*$Q242,IF($R242&gt;0,EDATE($P242,ROUND((DATEDIF($P242,INT($B242),"m")+(INT($B242)-EDATE($P242,DATEDIF($P242,INT($B242),"m")))/(EDATE($P242,DATEDIF($P242,INT($B242),"m")+1)-EDATE($P242,DATEDIF($P242,INT($B242),"m"))))/$R242,0)*$R242),$P242))))),"")))</f>
      </c>
      <c r="M242" s="223">
        <f>IF(OR($C242="",N($L242)=0,N($B242)=0),"",IF(IF(MOD($L242,1)=0,INT($B242),$B242)&lt;=$L242,"Đúng hạn","Trễ hạn"))</f>
      </c>
      <c r="N242" s="225">
        <f>IF($C242="","",ROW())</f>
      </c>
      <c r="O242" s="225">
        <f>IF($I242="Công việc",MATCH($C242,'Kế hoạch'!$A$6:$A$305,0),"")</f>
      </c>
      <c r="P242" s="234">
        <f>IF($O242="","",INDEX('Kế hoạch'!$I$6:$I$305,$O242))</f>
      </c>
      <c r="Q242" s="225">
        <f>IF($O242="","",INDEX('Kế hoạch'!$AJ$6:$AJ$305,$O242))</f>
      </c>
      <c r="R242" s="225">
        <f>IF($O242="","",INDEX('Kế hoạch'!$AK$6:$AK$305,$O242))</f>
      </c>
    </row>
    <row r="243">
      <c r="A243" s="223">
        <f>IF($C243="","",COUNTIF($C$6:$C243,"?*"))</f>
      </c>
      <c r="B243" s="217"/>
      <c r="C243" s="216"/>
      <c r="D243" s="240"/>
      <c r="E243" s="218"/>
      <c r="F243" s="218"/>
      <c r="G243" s="218"/>
      <c r="H243" s="219"/>
      <c r="I243" s="223">
        <f>IF($C243="","",IF(ISNUMBER(MATCH($C243,'Phản ánh'!$A$6:$A$505,0)),"Phản ánh",IF(ISNUMBER(MATCH($C243,'Kế hoạch'!$A$6:$A$305,0)),"Công việc","Mã chưa có")))</f>
      </c>
      <c r="J243" s="221">
        <f>IF($I243="Phản ánh",INDEX('Phản ánh'!$C$6:$C$505,MATCH($C243,'Phản ánh'!$A$6:$A$505,0)),IF($I243="Công việc",INDEX('Kế hoạch'!$C$6:$C$305,$O243),""))</f>
      </c>
      <c r="K243" s="221">
        <f>IF($I243="Phản ánh",INDEX('Phản ánh'!$K$6:$K$505,MATCH($C243,'Phản ánh'!$A$6:$A$505,0))&amp;"",IF($I243="Công việc",INDEX('Kế hoạch'!$N$6:$N$305,$O243)&amp;"",""))</f>
      </c>
      <c r="L243" s="220">
        <f>IF(OR($C243="",N($B243)=0),"",IF(AND($I243="Phản ánh",$E243="Đã xử lý"),INDEX('Phản ánh'!$U$6:$U$505,MATCH($C243,'Phản ánh'!$A$6:$A$505,0)),IF(AND($I243="Công việc",OR($E243="Hoàn thành",$E243="Hoàn thành kỳ")),IF(INDEX('Kế hoạch'!$B$6:$B$305,$O243)="Đột xuất",INDEX('Kế hoạch'!$AY$6:$AY$305,$O243),IF(N($P243)=0,"",IF(INT($B243)&lt;$P243,$P243,IF($Q243&gt;0,$P243+ROUND((INT($B243)-$P243)/$Q243,0)*$Q243,IF($R243&gt;0,EDATE($P243,ROUND((DATEDIF($P243,INT($B243),"m")+(INT($B243)-EDATE($P243,DATEDIF($P243,INT($B243),"m")))/(EDATE($P243,DATEDIF($P243,INT($B243),"m")+1)-EDATE($P243,DATEDIF($P243,INT($B243),"m"))))/$R243,0)*$R243),$P243))))),"")))</f>
      </c>
      <c r="M243" s="223">
        <f>IF(OR($C243="",N($L243)=0,N($B243)=0),"",IF(IF(MOD($L243,1)=0,INT($B243),$B243)&lt;=$L243,"Đúng hạn","Trễ hạn"))</f>
      </c>
      <c r="N243" s="225">
        <f>IF($C243="","",ROW())</f>
      </c>
      <c r="O243" s="225">
        <f>IF($I243="Công việc",MATCH($C243,'Kế hoạch'!$A$6:$A$305,0),"")</f>
      </c>
      <c r="P243" s="234">
        <f>IF($O243="","",INDEX('Kế hoạch'!$I$6:$I$305,$O243))</f>
      </c>
      <c r="Q243" s="225">
        <f>IF($O243="","",INDEX('Kế hoạch'!$AJ$6:$AJ$305,$O243))</f>
      </c>
      <c r="R243" s="225">
        <f>IF($O243="","",INDEX('Kế hoạch'!$AK$6:$AK$305,$O243))</f>
      </c>
    </row>
    <row r="244">
      <c r="A244" s="223">
        <f>IF($C244="","",COUNTIF($C$6:$C244,"?*"))</f>
      </c>
      <c r="B244" s="217"/>
      <c r="C244" s="216"/>
      <c r="D244" s="240"/>
      <c r="E244" s="218"/>
      <c r="F244" s="218"/>
      <c r="G244" s="218"/>
      <c r="H244" s="219"/>
      <c r="I244" s="223">
        <f>IF($C244="","",IF(ISNUMBER(MATCH($C244,'Phản ánh'!$A$6:$A$505,0)),"Phản ánh",IF(ISNUMBER(MATCH($C244,'Kế hoạch'!$A$6:$A$305,0)),"Công việc","Mã chưa có")))</f>
      </c>
      <c r="J244" s="221">
        <f>IF($I244="Phản ánh",INDEX('Phản ánh'!$C$6:$C$505,MATCH($C244,'Phản ánh'!$A$6:$A$505,0)),IF($I244="Công việc",INDEX('Kế hoạch'!$C$6:$C$305,$O244),""))</f>
      </c>
      <c r="K244" s="221">
        <f>IF($I244="Phản ánh",INDEX('Phản ánh'!$K$6:$K$505,MATCH($C244,'Phản ánh'!$A$6:$A$505,0))&amp;"",IF($I244="Công việc",INDEX('Kế hoạch'!$N$6:$N$305,$O244)&amp;"",""))</f>
      </c>
      <c r="L244" s="220">
        <f>IF(OR($C244="",N($B244)=0),"",IF(AND($I244="Phản ánh",$E244="Đã xử lý"),INDEX('Phản ánh'!$U$6:$U$505,MATCH($C244,'Phản ánh'!$A$6:$A$505,0)),IF(AND($I244="Công việc",OR($E244="Hoàn thành",$E244="Hoàn thành kỳ")),IF(INDEX('Kế hoạch'!$B$6:$B$305,$O244)="Đột xuất",INDEX('Kế hoạch'!$AY$6:$AY$305,$O244),IF(N($P244)=0,"",IF(INT($B244)&lt;$P244,$P244,IF($Q244&gt;0,$P244+ROUND((INT($B244)-$P244)/$Q244,0)*$Q244,IF($R244&gt;0,EDATE($P244,ROUND((DATEDIF($P244,INT($B244),"m")+(INT($B244)-EDATE($P244,DATEDIF($P244,INT($B244),"m")))/(EDATE($P244,DATEDIF($P244,INT($B244),"m")+1)-EDATE($P244,DATEDIF($P244,INT($B244),"m"))))/$R244,0)*$R244),$P244))))),"")))</f>
      </c>
      <c r="M244" s="223">
        <f>IF(OR($C244="",N($L244)=0,N($B244)=0),"",IF(IF(MOD($L244,1)=0,INT($B244),$B244)&lt;=$L244,"Đúng hạn","Trễ hạn"))</f>
      </c>
      <c r="N244" s="225">
        <f>IF($C244="","",ROW())</f>
      </c>
      <c r="O244" s="225">
        <f>IF($I244="Công việc",MATCH($C244,'Kế hoạch'!$A$6:$A$305,0),"")</f>
      </c>
      <c r="P244" s="234">
        <f>IF($O244="","",INDEX('Kế hoạch'!$I$6:$I$305,$O244))</f>
      </c>
      <c r="Q244" s="225">
        <f>IF($O244="","",INDEX('Kế hoạch'!$AJ$6:$AJ$305,$O244))</f>
      </c>
      <c r="R244" s="225">
        <f>IF($O244="","",INDEX('Kế hoạch'!$AK$6:$AK$305,$O244))</f>
      </c>
    </row>
    <row r="245">
      <c r="A245" s="223">
        <f>IF($C245="","",COUNTIF($C$6:$C245,"?*"))</f>
      </c>
      <c r="B245" s="217"/>
      <c r="C245" s="216"/>
      <c r="D245" s="240"/>
      <c r="E245" s="218"/>
      <c r="F245" s="218"/>
      <c r="G245" s="218"/>
      <c r="H245" s="219"/>
      <c r="I245" s="223">
        <f>IF($C245="","",IF(ISNUMBER(MATCH($C245,'Phản ánh'!$A$6:$A$505,0)),"Phản ánh",IF(ISNUMBER(MATCH($C245,'Kế hoạch'!$A$6:$A$305,0)),"Công việc","Mã chưa có")))</f>
      </c>
      <c r="J245" s="221">
        <f>IF($I245="Phản ánh",INDEX('Phản ánh'!$C$6:$C$505,MATCH($C245,'Phản ánh'!$A$6:$A$505,0)),IF($I245="Công việc",INDEX('Kế hoạch'!$C$6:$C$305,$O245),""))</f>
      </c>
      <c r="K245" s="221">
        <f>IF($I245="Phản ánh",INDEX('Phản ánh'!$K$6:$K$505,MATCH($C245,'Phản ánh'!$A$6:$A$505,0))&amp;"",IF($I245="Công việc",INDEX('Kế hoạch'!$N$6:$N$305,$O245)&amp;"",""))</f>
      </c>
      <c r="L245" s="220">
        <f>IF(OR($C245="",N($B245)=0),"",IF(AND($I245="Phản ánh",$E245="Đã xử lý"),INDEX('Phản ánh'!$U$6:$U$505,MATCH($C245,'Phản ánh'!$A$6:$A$505,0)),IF(AND($I245="Công việc",OR($E245="Hoàn thành",$E245="Hoàn thành kỳ")),IF(INDEX('Kế hoạch'!$B$6:$B$305,$O245)="Đột xuất",INDEX('Kế hoạch'!$AY$6:$AY$305,$O245),IF(N($P245)=0,"",IF(INT($B245)&lt;$P245,$P245,IF($Q245&gt;0,$P245+ROUND((INT($B245)-$P245)/$Q245,0)*$Q245,IF($R245&gt;0,EDATE($P245,ROUND((DATEDIF($P245,INT($B245),"m")+(INT($B245)-EDATE($P245,DATEDIF($P245,INT($B245),"m")))/(EDATE($P245,DATEDIF($P245,INT($B245),"m")+1)-EDATE($P245,DATEDIF($P245,INT($B245),"m"))))/$R245,0)*$R245),$P245))))),"")))</f>
      </c>
      <c r="M245" s="223">
        <f>IF(OR($C245="",N($L245)=0,N($B245)=0),"",IF(IF(MOD($L245,1)=0,INT($B245),$B245)&lt;=$L245,"Đúng hạn","Trễ hạn"))</f>
      </c>
      <c r="N245" s="225">
        <f>IF($C245="","",ROW())</f>
      </c>
      <c r="O245" s="225">
        <f>IF($I245="Công việc",MATCH($C245,'Kế hoạch'!$A$6:$A$305,0),"")</f>
      </c>
      <c r="P245" s="234">
        <f>IF($O245="","",INDEX('Kế hoạch'!$I$6:$I$305,$O245))</f>
      </c>
      <c r="Q245" s="225">
        <f>IF($O245="","",INDEX('Kế hoạch'!$AJ$6:$AJ$305,$O245))</f>
      </c>
      <c r="R245" s="225">
        <f>IF($O245="","",INDEX('Kế hoạch'!$AK$6:$AK$305,$O245))</f>
      </c>
    </row>
    <row r="246">
      <c r="A246" s="223">
        <f>IF($C246="","",COUNTIF($C$6:$C246,"?*"))</f>
      </c>
      <c r="B246" s="217"/>
      <c r="C246" s="216"/>
      <c r="D246" s="240"/>
      <c r="E246" s="218"/>
      <c r="F246" s="218"/>
      <c r="G246" s="218"/>
      <c r="H246" s="219"/>
      <c r="I246" s="223">
        <f>IF($C246="","",IF(ISNUMBER(MATCH($C246,'Phản ánh'!$A$6:$A$505,0)),"Phản ánh",IF(ISNUMBER(MATCH($C246,'Kế hoạch'!$A$6:$A$305,0)),"Công việc","Mã chưa có")))</f>
      </c>
      <c r="J246" s="221">
        <f>IF($I246="Phản ánh",INDEX('Phản ánh'!$C$6:$C$505,MATCH($C246,'Phản ánh'!$A$6:$A$505,0)),IF($I246="Công việc",INDEX('Kế hoạch'!$C$6:$C$305,$O246),""))</f>
      </c>
      <c r="K246" s="221">
        <f>IF($I246="Phản ánh",INDEX('Phản ánh'!$K$6:$K$505,MATCH($C246,'Phản ánh'!$A$6:$A$505,0))&amp;"",IF($I246="Công việc",INDEX('Kế hoạch'!$N$6:$N$305,$O246)&amp;"",""))</f>
      </c>
      <c r="L246" s="220">
        <f>IF(OR($C246="",N($B246)=0),"",IF(AND($I246="Phản ánh",$E246="Đã xử lý"),INDEX('Phản ánh'!$U$6:$U$505,MATCH($C246,'Phản ánh'!$A$6:$A$505,0)),IF(AND($I246="Công việc",OR($E246="Hoàn thành",$E246="Hoàn thành kỳ")),IF(INDEX('Kế hoạch'!$B$6:$B$305,$O246)="Đột xuất",INDEX('Kế hoạch'!$AY$6:$AY$305,$O246),IF(N($P246)=0,"",IF(INT($B246)&lt;$P246,$P246,IF($Q246&gt;0,$P246+ROUND((INT($B246)-$P246)/$Q246,0)*$Q246,IF($R246&gt;0,EDATE($P246,ROUND((DATEDIF($P246,INT($B246),"m")+(INT($B246)-EDATE($P246,DATEDIF($P246,INT($B246),"m")))/(EDATE($P246,DATEDIF($P246,INT($B246),"m")+1)-EDATE($P246,DATEDIF($P246,INT($B246),"m"))))/$R246,0)*$R246),$P246))))),"")))</f>
      </c>
      <c r="M246" s="223">
        <f>IF(OR($C246="",N($L246)=0,N($B246)=0),"",IF(IF(MOD($L246,1)=0,INT($B246),$B246)&lt;=$L246,"Đúng hạn","Trễ hạn"))</f>
      </c>
      <c r="N246" s="225">
        <f>IF($C246="","",ROW())</f>
      </c>
      <c r="O246" s="225">
        <f>IF($I246="Công việc",MATCH($C246,'Kế hoạch'!$A$6:$A$305,0),"")</f>
      </c>
      <c r="P246" s="234">
        <f>IF($O246="","",INDEX('Kế hoạch'!$I$6:$I$305,$O246))</f>
      </c>
      <c r="Q246" s="225">
        <f>IF($O246="","",INDEX('Kế hoạch'!$AJ$6:$AJ$305,$O246))</f>
      </c>
      <c r="R246" s="225">
        <f>IF($O246="","",INDEX('Kế hoạch'!$AK$6:$AK$305,$O246))</f>
      </c>
    </row>
    <row r="247">
      <c r="A247" s="223">
        <f>IF($C247="","",COUNTIF($C$6:$C247,"?*"))</f>
      </c>
      <c r="B247" s="217"/>
      <c r="C247" s="216"/>
      <c r="D247" s="240"/>
      <c r="E247" s="218"/>
      <c r="F247" s="218"/>
      <c r="G247" s="218"/>
      <c r="H247" s="219"/>
      <c r="I247" s="223">
        <f>IF($C247="","",IF(ISNUMBER(MATCH($C247,'Phản ánh'!$A$6:$A$505,0)),"Phản ánh",IF(ISNUMBER(MATCH($C247,'Kế hoạch'!$A$6:$A$305,0)),"Công việc","Mã chưa có")))</f>
      </c>
      <c r="J247" s="221">
        <f>IF($I247="Phản ánh",INDEX('Phản ánh'!$C$6:$C$505,MATCH($C247,'Phản ánh'!$A$6:$A$505,0)),IF($I247="Công việc",INDEX('Kế hoạch'!$C$6:$C$305,$O247),""))</f>
      </c>
      <c r="K247" s="221">
        <f>IF($I247="Phản ánh",INDEX('Phản ánh'!$K$6:$K$505,MATCH($C247,'Phản ánh'!$A$6:$A$505,0))&amp;"",IF($I247="Công việc",INDEX('Kế hoạch'!$N$6:$N$305,$O247)&amp;"",""))</f>
      </c>
      <c r="L247" s="220">
        <f>IF(OR($C247="",N($B247)=0),"",IF(AND($I247="Phản ánh",$E247="Đã xử lý"),INDEX('Phản ánh'!$U$6:$U$505,MATCH($C247,'Phản ánh'!$A$6:$A$505,0)),IF(AND($I247="Công việc",OR($E247="Hoàn thành",$E247="Hoàn thành kỳ")),IF(INDEX('Kế hoạch'!$B$6:$B$305,$O247)="Đột xuất",INDEX('Kế hoạch'!$AY$6:$AY$305,$O247),IF(N($P247)=0,"",IF(INT($B247)&lt;$P247,$P247,IF($Q247&gt;0,$P247+ROUND((INT($B247)-$P247)/$Q247,0)*$Q247,IF($R247&gt;0,EDATE($P247,ROUND((DATEDIF($P247,INT($B247),"m")+(INT($B247)-EDATE($P247,DATEDIF($P247,INT($B247),"m")))/(EDATE($P247,DATEDIF($P247,INT($B247),"m")+1)-EDATE($P247,DATEDIF($P247,INT($B247),"m"))))/$R247,0)*$R247),$P247))))),"")))</f>
      </c>
      <c r="M247" s="223">
        <f>IF(OR($C247="",N($L247)=0,N($B247)=0),"",IF(IF(MOD($L247,1)=0,INT($B247),$B247)&lt;=$L247,"Đúng hạn","Trễ hạn"))</f>
      </c>
      <c r="N247" s="225">
        <f>IF($C247="","",ROW())</f>
      </c>
      <c r="O247" s="225">
        <f>IF($I247="Công việc",MATCH($C247,'Kế hoạch'!$A$6:$A$305,0),"")</f>
      </c>
      <c r="P247" s="234">
        <f>IF($O247="","",INDEX('Kế hoạch'!$I$6:$I$305,$O247))</f>
      </c>
      <c r="Q247" s="225">
        <f>IF($O247="","",INDEX('Kế hoạch'!$AJ$6:$AJ$305,$O247))</f>
      </c>
      <c r="R247" s="225">
        <f>IF($O247="","",INDEX('Kế hoạch'!$AK$6:$AK$305,$O247))</f>
      </c>
    </row>
    <row r="248">
      <c r="A248" s="223">
        <f>IF($C248="","",COUNTIF($C$6:$C248,"?*"))</f>
      </c>
      <c r="B248" s="217"/>
      <c r="C248" s="216"/>
      <c r="D248" s="240"/>
      <c r="E248" s="218"/>
      <c r="F248" s="218"/>
      <c r="G248" s="218"/>
      <c r="H248" s="219"/>
      <c r="I248" s="223">
        <f>IF($C248="","",IF(ISNUMBER(MATCH($C248,'Phản ánh'!$A$6:$A$505,0)),"Phản ánh",IF(ISNUMBER(MATCH($C248,'Kế hoạch'!$A$6:$A$305,0)),"Công việc","Mã chưa có")))</f>
      </c>
      <c r="J248" s="221">
        <f>IF($I248="Phản ánh",INDEX('Phản ánh'!$C$6:$C$505,MATCH($C248,'Phản ánh'!$A$6:$A$505,0)),IF($I248="Công việc",INDEX('Kế hoạch'!$C$6:$C$305,$O248),""))</f>
      </c>
      <c r="K248" s="221">
        <f>IF($I248="Phản ánh",INDEX('Phản ánh'!$K$6:$K$505,MATCH($C248,'Phản ánh'!$A$6:$A$505,0))&amp;"",IF($I248="Công việc",INDEX('Kế hoạch'!$N$6:$N$305,$O248)&amp;"",""))</f>
      </c>
      <c r="L248" s="220">
        <f>IF(OR($C248="",N($B248)=0),"",IF(AND($I248="Phản ánh",$E248="Đã xử lý"),INDEX('Phản ánh'!$U$6:$U$505,MATCH($C248,'Phản ánh'!$A$6:$A$505,0)),IF(AND($I248="Công việc",OR($E248="Hoàn thành",$E248="Hoàn thành kỳ")),IF(INDEX('Kế hoạch'!$B$6:$B$305,$O248)="Đột xuất",INDEX('Kế hoạch'!$AY$6:$AY$305,$O248),IF(N($P248)=0,"",IF(INT($B248)&lt;$P248,$P248,IF($Q248&gt;0,$P248+ROUND((INT($B248)-$P248)/$Q248,0)*$Q248,IF($R248&gt;0,EDATE($P248,ROUND((DATEDIF($P248,INT($B248),"m")+(INT($B248)-EDATE($P248,DATEDIF($P248,INT($B248),"m")))/(EDATE($P248,DATEDIF($P248,INT($B248),"m")+1)-EDATE($P248,DATEDIF($P248,INT($B248),"m"))))/$R248,0)*$R248),$P248))))),"")))</f>
      </c>
      <c r="M248" s="223">
        <f>IF(OR($C248="",N($L248)=0,N($B248)=0),"",IF(IF(MOD($L248,1)=0,INT($B248),$B248)&lt;=$L248,"Đúng hạn","Trễ hạn"))</f>
      </c>
      <c r="N248" s="225">
        <f>IF($C248="","",ROW())</f>
      </c>
      <c r="O248" s="225">
        <f>IF($I248="Công việc",MATCH($C248,'Kế hoạch'!$A$6:$A$305,0),"")</f>
      </c>
      <c r="P248" s="234">
        <f>IF($O248="","",INDEX('Kế hoạch'!$I$6:$I$305,$O248))</f>
      </c>
      <c r="Q248" s="225">
        <f>IF($O248="","",INDEX('Kế hoạch'!$AJ$6:$AJ$305,$O248))</f>
      </c>
      <c r="R248" s="225">
        <f>IF($O248="","",INDEX('Kế hoạch'!$AK$6:$AK$305,$O248))</f>
      </c>
    </row>
    <row r="249">
      <c r="A249" s="223">
        <f>IF($C249="","",COUNTIF($C$6:$C249,"?*"))</f>
      </c>
      <c r="B249" s="217"/>
      <c r="C249" s="216"/>
      <c r="D249" s="240"/>
      <c r="E249" s="218"/>
      <c r="F249" s="218"/>
      <c r="G249" s="218"/>
      <c r="H249" s="219"/>
      <c r="I249" s="223">
        <f>IF($C249="","",IF(ISNUMBER(MATCH($C249,'Phản ánh'!$A$6:$A$505,0)),"Phản ánh",IF(ISNUMBER(MATCH($C249,'Kế hoạch'!$A$6:$A$305,0)),"Công việc","Mã chưa có")))</f>
      </c>
      <c r="J249" s="221">
        <f>IF($I249="Phản ánh",INDEX('Phản ánh'!$C$6:$C$505,MATCH($C249,'Phản ánh'!$A$6:$A$505,0)),IF($I249="Công việc",INDEX('Kế hoạch'!$C$6:$C$305,$O249),""))</f>
      </c>
      <c r="K249" s="221">
        <f>IF($I249="Phản ánh",INDEX('Phản ánh'!$K$6:$K$505,MATCH($C249,'Phản ánh'!$A$6:$A$505,0))&amp;"",IF($I249="Công việc",INDEX('Kế hoạch'!$N$6:$N$305,$O249)&amp;"",""))</f>
      </c>
      <c r="L249" s="220">
        <f>IF(OR($C249="",N($B249)=0),"",IF(AND($I249="Phản ánh",$E249="Đã xử lý"),INDEX('Phản ánh'!$U$6:$U$505,MATCH($C249,'Phản ánh'!$A$6:$A$505,0)),IF(AND($I249="Công việc",OR($E249="Hoàn thành",$E249="Hoàn thành kỳ")),IF(INDEX('Kế hoạch'!$B$6:$B$305,$O249)="Đột xuất",INDEX('Kế hoạch'!$AY$6:$AY$305,$O249),IF(N($P249)=0,"",IF(INT($B249)&lt;$P249,$P249,IF($Q249&gt;0,$P249+ROUND((INT($B249)-$P249)/$Q249,0)*$Q249,IF($R249&gt;0,EDATE($P249,ROUND((DATEDIF($P249,INT($B249),"m")+(INT($B249)-EDATE($P249,DATEDIF($P249,INT($B249),"m")))/(EDATE($P249,DATEDIF($P249,INT($B249),"m")+1)-EDATE($P249,DATEDIF($P249,INT($B249),"m"))))/$R249,0)*$R249),$P249))))),"")))</f>
      </c>
      <c r="M249" s="223">
        <f>IF(OR($C249="",N($L249)=0,N($B249)=0),"",IF(IF(MOD($L249,1)=0,INT($B249),$B249)&lt;=$L249,"Đúng hạn","Trễ hạn"))</f>
      </c>
      <c r="N249" s="225">
        <f>IF($C249="","",ROW())</f>
      </c>
      <c r="O249" s="225">
        <f>IF($I249="Công việc",MATCH($C249,'Kế hoạch'!$A$6:$A$305,0),"")</f>
      </c>
      <c r="P249" s="234">
        <f>IF($O249="","",INDEX('Kế hoạch'!$I$6:$I$305,$O249))</f>
      </c>
      <c r="Q249" s="225">
        <f>IF($O249="","",INDEX('Kế hoạch'!$AJ$6:$AJ$305,$O249))</f>
      </c>
      <c r="R249" s="225">
        <f>IF($O249="","",INDEX('Kế hoạch'!$AK$6:$AK$305,$O249))</f>
      </c>
    </row>
    <row r="250">
      <c r="A250" s="223">
        <f>IF($C250="","",COUNTIF($C$6:$C250,"?*"))</f>
      </c>
      <c r="B250" s="217"/>
      <c r="C250" s="216"/>
      <c r="D250" s="240"/>
      <c r="E250" s="218"/>
      <c r="F250" s="218"/>
      <c r="G250" s="218"/>
      <c r="H250" s="219"/>
      <c r="I250" s="223">
        <f>IF($C250="","",IF(ISNUMBER(MATCH($C250,'Phản ánh'!$A$6:$A$505,0)),"Phản ánh",IF(ISNUMBER(MATCH($C250,'Kế hoạch'!$A$6:$A$305,0)),"Công việc","Mã chưa có")))</f>
      </c>
      <c r="J250" s="221">
        <f>IF($I250="Phản ánh",INDEX('Phản ánh'!$C$6:$C$505,MATCH($C250,'Phản ánh'!$A$6:$A$505,0)),IF($I250="Công việc",INDEX('Kế hoạch'!$C$6:$C$305,$O250),""))</f>
      </c>
      <c r="K250" s="221">
        <f>IF($I250="Phản ánh",INDEX('Phản ánh'!$K$6:$K$505,MATCH($C250,'Phản ánh'!$A$6:$A$505,0))&amp;"",IF($I250="Công việc",INDEX('Kế hoạch'!$N$6:$N$305,$O250)&amp;"",""))</f>
      </c>
      <c r="L250" s="220">
        <f>IF(OR($C250="",N($B250)=0),"",IF(AND($I250="Phản ánh",$E250="Đã xử lý"),INDEX('Phản ánh'!$U$6:$U$505,MATCH($C250,'Phản ánh'!$A$6:$A$505,0)),IF(AND($I250="Công việc",OR($E250="Hoàn thành",$E250="Hoàn thành kỳ")),IF(INDEX('Kế hoạch'!$B$6:$B$305,$O250)="Đột xuất",INDEX('Kế hoạch'!$AY$6:$AY$305,$O250),IF(N($P250)=0,"",IF(INT($B250)&lt;$P250,$P250,IF($Q250&gt;0,$P250+ROUND((INT($B250)-$P250)/$Q250,0)*$Q250,IF($R250&gt;0,EDATE($P250,ROUND((DATEDIF($P250,INT($B250),"m")+(INT($B250)-EDATE($P250,DATEDIF($P250,INT($B250),"m")))/(EDATE($P250,DATEDIF($P250,INT($B250),"m")+1)-EDATE($P250,DATEDIF($P250,INT($B250),"m"))))/$R250,0)*$R250),$P250))))),"")))</f>
      </c>
      <c r="M250" s="223">
        <f>IF(OR($C250="",N($L250)=0,N($B250)=0),"",IF(IF(MOD($L250,1)=0,INT($B250),$B250)&lt;=$L250,"Đúng hạn","Trễ hạn"))</f>
      </c>
      <c r="N250" s="225">
        <f>IF($C250="","",ROW())</f>
      </c>
      <c r="O250" s="225">
        <f>IF($I250="Công việc",MATCH($C250,'Kế hoạch'!$A$6:$A$305,0),"")</f>
      </c>
      <c r="P250" s="234">
        <f>IF($O250="","",INDEX('Kế hoạch'!$I$6:$I$305,$O250))</f>
      </c>
      <c r="Q250" s="225">
        <f>IF($O250="","",INDEX('Kế hoạch'!$AJ$6:$AJ$305,$O250))</f>
      </c>
      <c r="R250" s="225">
        <f>IF($O250="","",INDEX('Kế hoạch'!$AK$6:$AK$305,$O250))</f>
      </c>
    </row>
    <row r="251">
      <c r="A251" s="223">
        <f>IF($C251="","",COUNTIF($C$6:$C251,"?*"))</f>
      </c>
      <c r="B251" s="217"/>
      <c r="C251" s="216"/>
      <c r="D251" s="240"/>
      <c r="E251" s="218"/>
      <c r="F251" s="218"/>
      <c r="G251" s="218"/>
      <c r="H251" s="219"/>
      <c r="I251" s="223">
        <f>IF($C251="","",IF(ISNUMBER(MATCH($C251,'Phản ánh'!$A$6:$A$505,0)),"Phản ánh",IF(ISNUMBER(MATCH($C251,'Kế hoạch'!$A$6:$A$305,0)),"Công việc","Mã chưa có")))</f>
      </c>
      <c r="J251" s="221">
        <f>IF($I251="Phản ánh",INDEX('Phản ánh'!$C$6:$C$505,MATCH($C251,'Phản ánh'!$A$6:$A$505,0)),IF($I251="Công việc",INDEX('Kế hoạch'!$C$6:$C$305,$O251),""))</f>
      </c>
      <c r="K251" s="221">
        <f>IF($I251="Phản ánh",INDEX('Phản ánh'!$K$6:$K$505,MATCH($C251,'Phản ánh'!$A$6:$A$505,0))&amp;"",IF($I251="Công việc",INDEX('Kế hoạch'!$N$6:$N$305,$O251)&amp;"",""))</f>
      </c>
      <c r="L251" s="220">
        <f>IF(OR($C251="",N($B251)=0),"",IF(AND($I251="Phản ánh",$E251="Đã xử lý"),INDEX('Phản ánh'!$U$6:$U$505,MATCH($C251,'Phản ánh'!$A$6:$A$505,0)),IF(AND($I251="Công việc",OR($E251="Hoàn thành",$E251="Hoàn thành kỳ")),IF(INDEX('Kế hoạch'!$B$6:$B$305,$O251)="Đột xuất",INDEX('Kế hoạch'!$AY$6:$AY$305,$O251),IF(N($P251)=0,"",IF(INT($B251)&lt;$P251,$P251,IF($Q251&gt;0,$P251+ROUND((INT($B251)-$P251)/$Q251,0)*$Q251,IF($R251&gt;0,EDATE($P251,ROUND((DATEDIF($P251,INT($B251),"m")+(INT($B251)-EDATE($P251,DATEDIF($P251,INT($B251),"m")))/(EDATE($P251,DATEDIF($P251,INT($B251),"m")+1)-EDATE($P251,DATEDIF($P251,INT($B251),"m"))))/$R251,0)*$R251),$P251))))),"")))</f>
      </c>
      <c r="M251" s="223">
        <f>IF(OR($C251="",N($L251)=0,N($B251)=0),"",IF(IF(MOD($L251,1)=0,INT($B251),$B251)&lt;=$L251,"Đúng hạn","Trễ hạn"))</f>
      </c>
      <c r="N251" s="225">
        <f>IF($C251="","",ROW())</f>
      </c>
      <c r="O251" s="225">
        <f>IF($I251="Công việc",MATCH($C251,'Kế hoạch'!$A$6:$A$305,0),"")</f>
      </c>
      <c r="P251" s="234">
        <f>IF($O251="","",INDEX('Kế hoạch'!$I$6:$I$305,$O251))</f>
      </c>
      <c r="Q251" s="225">
        <f>IF($O251="","",INDEX('Kế hoạch'!$AJ$6:$AJ$305,$O251))</f>
      </c>
      <c r="R251" s="225">
        <f>IF($O251="","",INDEX('Kế hoạch'!$AK$6:$AK$305,$O251))</f>
      </c>
    </row>
    <row r="252">
      <c r="A252" s="223">
        <f>IF($C252="","",COUNTIF($C$6:$C252,"?*"))</f>
      </c>
      <c r="B252" s="217"/>
      <c r="C252" s="216"/>
      <c r="D252" s="240"/>
      <c r="E252" s="218"/>
      <c r="F252" s="218"/>
      <c r="G252" s="218"/>
      <c r="H252" s="219"/>
      <c r="I252" s="223">
        <f>IF($C252="","",IF(ISNUMBER(MATCH($C252,'Phản ánh'!$A$6:$A$505,0)),"Phản ánh",IF(ISNUMBER(MATCH($C252,'Kế hoạch'!$A$6:$A$305,0)),"Công việc","Mã chưa có")))</f>
      </c>
      <c r="J252" s="221">
        <f>IF($I252="Phản ánh",INDEX('Phản ánh'!$C$6:$C$505,MATCH($C252,'Phản ánh'!$A$6:$A$505,0)),IF($I252="Công việc",INDEX('Kế hoạch'!$C$6:$C$305,$O252),""))</f>
      </c>
      <c r="K252" s="221">
        <f>IF($I252="Phản ánh",INDEX('Phản ánh'!$K$6:$K$505,MATCH($C252,'Phản ánh'!$A$6:$A$505,0))&amp;"",IF($I252="Công việc",INDEX('Kế hoạch'!$N$6:$N$305,$O252)&amp;"",""))</f>
      </c>
      <c r="L252" s="220">
        <f>IF(OR($C252="",N($B252)=0),"",IF(AND($I252="Phản ánh",$E252="Đã xử lý"),INDEX('Phản ánh'!$U$6:$U$505,MATCH($C252,'Phản ánh'!$A$6:$A$505,0)),IF(AND($I252="Công việc",OR($E252="Hoàn thành",$E252="Hoàn thành kỳ")),IF(INDEX('Kế hoạch'!$B$6:$B$305,$O252)="Đột xuất",INDEX('Kế hoạch'!$AY$6:$AY$305,$O252),IF(N($P252)=0,"",IF(INT($B252)&lt;$P252,$P252,IF($Q252&gt;0,$P252+ROUND((INT($B252)-$P252)/$Q252,0)*$Q252,IF($R252&gt;0,EDATE($P252,ROUND((DATEDIF($P252,INT($B252),"m")+(INT($B252)-EDATE($P252,DATEDIF($P252,INT($B252),"m")))/(EDATE($P252,DATEDIF($P252,INT($B252),"m")+1)-EDATE($P252,DATEDIF($P252,INT($B252),"m"))))/$R252,0)*$R252),$P252))))),"")))</f>
      </c>
      <c r="M252" s="223">
        <f>IF(OR($C252="",N($L252)=0,N($B252)=0),"",IF(IF(MOD($L252,1)=0,INT($B252),$B252)&lt;=$L252,"Đúng hạn","Trễ hạn"))</f>
      </c>
      <c r="N252" s="225">
        <f>IF($C252="","",ROW())</f>
      </c>
      <c r="O252" s="225">
        <f>IF($I252="Công việc",MATCH($C252,'Kế hoạch'!$A$6:$A$305,0),"")</f>
      </c>
      <c r="P252" s="234">
        <f>IF($O252="","",INDEX('Kế hoạch'!$I$6:$I$305,$O252))</f>
      </c>
      <c r="Q252" s="225">
        <f>IF($O252="","",INDEX('Kế hoạch'!$AJ$6:$AJ$305,$O252))</f>
      </c>
      <c r="R252" s="225">
        <f>IF($O252="","",INDEX('Kế hoạch'!$AK$6:$AK$305,$O252))</f>
      </c>
    </row>
    <row r="253">
      <c r="A253" s="223">
        <f>IF($C253="","",COUNTIF($C$6:$C253,"?*"))</f>
      </c>
      <c r="B253" s="217"/>
      <c r="C253" s="216"/>
      <c r="D253" s="240"/>
      <c r="E253" s="218"/>
      <c r="F253" s="218"/>
      <c r="G253" s="218"/>
      <c r="H253" s="219"/>
      <c r="I253" s="223">
        <f>IF($C253="","",IF(ISNUMBER(MATCH($C253,'Phản ánh'!$A$6:$A$505,0)),"Phản ánh",IF(ISNUMBER(MATCH($C253,'Kế hoạch'!$A$6:$A$305,0)),"Công việc","Mã chưa có")))</f>
      </c>
      <c r="J253" s="221">
        <f>IF($I253="Phản ánh",INDEX('Phản ánh'!$C$6:$C$505,MATCH($C253,'Phản ánh'!$A$6:$A$505,0)),IF($I253="Công việc",INDEX('Kế hoạch'!$C$6:$C$305,$O253),""))</f>
      </c>
      <c r="K253" s="221">
        <f>IF($I253="Phản ánh",INDEX('Phản ánh'!$K$6:$K$505,MATCH($C253,'Phản ánh'!$A$6:$A$505,0))&amp;"",IF($I253="Công việc",INDEX('Kế hoạch'!$N$6:$N$305,$O253)&amp;"",""))</f>
      </c>
      <c r="L253" s="220">
        <f>IF(OR($C253="",N($B253)=0),"",IF(AND($I253="Phản ánh",$E253="Đã xử lý"),INDEX('Phản ánh'!$U$6:$U$505,MATCH($C253,'Phản ánh'!$A$6:$A$505,0)),IF(AND($I253="Công việc",OR($E253="Hoàn thành",$E253="Hoàn thành kỳ")),IF(INDEX('Kế hoạch'!$B$6:$B$305,$O253)="Đột xuất",INDEX('Kế hoạch'!$AY$6:$AY$305,$O253),IF(N($P253)=0,"",IF(INT($B253)&lt;$P253,$P253,IF($Q253&gt;0,$P253+ROUND((INT($B253)-$P253)/$Q253,0)*$Q253,IF($R253&gt;0,EDATE($P253,ROUND((DATEDIF($P253,INT($B253),"m")+(INT($B253)-EDATE($P253,DATEDIF($P253,INT($B253),"m")))/(EDATE($P253,DATEDIF($P253,INT($B253),"m")+1)-EDATE($P253,DATEDIF($P253,INT($B253),"m"))))/$R253,0)*$R253),$P253))))),"")))</f>
      </c>
      <c r="M253" s="223">
        <f>IF(OR($C253="",N($L253)=0,N($B253)=0),"",IF(IF(MOD($L253,1)=0,INT($B253),$B253)&lt;=$L253,"Đúng hạn","Trễ hạn"))</f>
      </c>
      <c r="N253" s="225">
        <f>IF($C253="","",ROW())</f>
      </c>
      <c r="O253" s="225">
        <f>IF($I253="Công việc",MATCH($C253,'Kế hoạch'!$A$6:$A$305,0),"")</f>
      </c>
      <c r="P253" s="234">
        <f>IF($O253="","",INDEX('Kế hoạch'!$I$6:$I$305,$O253))</f>
      </c>
      <c r="Q253" s="225">
        <f>IF($O253="","",INDEX('Kế hoạch'!$AJ$6:$AJ$305,$O253))</f>
      </c>
      <c r="R253" s="225">
        <f>IF($O253="","",INDEX('Kế hoạch'!$AK$6:$AK$305,$O253))</f>
      </c>
    </row>
    <row r="254">
      <c r="A254" s="223">
        <f>IF($C254="","",COUNTIF($C$6:$C254,"?*"))</f>
      </c>
      <c r="B254" s="217"/>
      <c r="C254" s="216"/>
      <c r="D254" s="240"/>
      <c r="E254" s="218"/>
      <c r="F254" s="218"/>
      <c r="G254" s="218"/>
      <c r="H254" s="219"/>
      <c r="I254" s="223">
        <f>IF($C254="","",IF(ISNUMBER(MATCH($C254,'Phản ánh'!$A$6:$A$505,0)),"Phản ánh",IF(ISNUMBER(MATCH($C254,'Kế hoạch'!$A$6:$A$305,0)),"Công việc","Mã chưa có")))</f>
      </c>
      <c r="J254" s="221">
        <f>IF($I254="Phản ánh",INDEX('Phản ánh'!$C$6:$C$505,MATCH($C254,'Phản ánh'!$A$6:$A$505,0)),IF($I254="Công việc",INDEX('Kế hoạch'!$C$6:$C$305,$O254),""))</f>
      </c>
      <c r="K254" s="221">
        <f>IF($I254="Phản ánh",INDEX('Phản ánh'!$K$6:$K$505,MATCH($C254,'Phản ánh'!$A$6:$A$505,0))&amp;"",IF($I254="Công việc",INDEX('Kế hoạch'!$N$6:$N$305,$O254)&amp;"",""))</f>
      </c>
      <c r="L254" s="220">
        <f>IF(OR($C254="",N($B254)=0),"",IF(AND($I254="Phản ánh",$E254="Đã xử lý"),INDEX('Phản ánh'!$U$6:$U$505,MATCH($C254,'Phản ánh'!$A$6:$A$505,0)),IF(AND($I254="Công việc",OR($E254="Hoàn thành",$E254="Hoàn thành kỳ")),IF(INDEX('Kế hoạch'!$B$6:$B$305,$O254)="Đột xuất",INDEX('Kế hoạch'!$AY$6:$AY$305,$O254),IF(N($P254)=0,"",IF(INT($B254)&lt;$P254,$P254,IF($Q254&gt;0,$P254+ROUND((INT($B254)-$P254)/$Q254,0)*$Q254,IF($R254&gt;0,EDATE($P254,ROUND((DATEDIF($P254,INT($B254),"m")+(INT($B254)-EDATE($P254,DATEDIF($P254,INT($B254),"m")))/(EDATE($P254,DATEDIF($P254,INT($B254),"m")+1)-EDATE($P254,DATEDIF($P254,INT($B254),"m"))))/$R254,0)*$R254),$P254))))),"")))</f>
      </c>
      <c r="M254" s="223">
        <f>IF(OR($C254="",N($L254)=0,N($B254)=0),"",IF(IF(MOD($L254,1)=0,INT($B254),$B254)&lt;=$L254,"Đúng hạn","Trễ hạn"))</f>
      </c>
      <c r="N254" s="225">
        <f>IF($C254="","",ROW())</f>
      </c>
      <c r="O254" s="225">
        <f>IF($I254="Công việc",MATCH($C254,'Kế hoạch'!$A$6:$A$305,0),"")</f>
      </c>
      <c r="P254" s="234">
        <f>IF($O254="","",INDEX('Kế hoạch'!$I$6:$I$305,$O254))</f>
      </c>
      <c r="Q254" s="225">
        <f>IF($O254="","",INDEX('Kế hoạch'!$AJ$6:$AJ$305,$O254))</f>
      </c>
      <c r="R254" s="225">
        <f>IF($O254="","",INDEX('Kế hoạch'!$AK$6:$AK$305,$O254))</f>
      </c>
    </row>
    <row r="255">
      <c r="A255" s="223">
        <f>IF($C255="","",COUNTIF($C$6:$C255,"?*"))</f>
      </c>
      <c r="B255" s="217"/>
      <c r="C255" s="216"/>
      <c r="D255" s="240"/>
      <c r="E255" s="218"/>
      <c r="F255" s="218"/>
      <c r="G255" s="218"/>
      <c r="H255" s="219"/>
      <c r="I255" s="223">
        <f>IF($C255="","",IF(ISNUMBER(MATCH($C255,'Phản ánh'!$A$6:$A$505,0)),"Phản ánh",IF(ISNUMBER(MATCH($C255,'Kế hoạch'!$A$6:$A$305,0)),"Công việc","Mã chưa có")))</f>
      </c>
      <c r="J255" s="221">
        <f>IF($I255="Phản ánh",INDEX('Phản ánh'!$C$6:$C$505,MATCH($C255,'Phản ánh'!$A$6:$A$505,0)),IF($I255="Công việc",INDEX('Kế hoạch'!$C$6:$C$305,$O255),""))</f>
      </c>
      <c r="K255" s="221">
        <f>IF($I255="Phản ánh",INDEX('Phản ánh'!$K$6:$K$505,MATCH($C255,'Phản ánh'!$A$6:$A$505,0))&amp;"",IF($I255="Công việc",INDEX('Kế hoạch'!$N$6:$N$305,$O255)&amp;"",""))</f>
      </c>
      <c r="L255" s="220">
        <f>IF(OR($C255="",N($B255)=0),"",IF(AND($I255="Phản ánh",$E255="Đã xử lý"),INDEX('Phản ánh'!$U$6:$U$505,MATCH($C255,'Phản ánh'!$A$6:$A$505,0)),IF(AND($I255="Công việc",OR($E255="Hoàn thành",$E255="Hoàn thành kỳ")),IF(INDEX('Kế hoạch'!$B$6:$B$305,$O255)="Đột xuất",INDEX('Kế hoạch'!$AY$6:$AY$305,$O255),IF(N($P255)=0,"",IF(INT($B255)&lt;$P255,$P255,IF($Q255&gt;0,$P255+ROUND((INT($B255)-$P255)/$Q255,0)*$Q255,IF($R255&gt;0,EDATE($P255,ROUND((DATEDIF($P255,INT($B255),"m")+(INT($B255)-EDATE($P255,DATEDIF($P255,INT($B255),"m")))/(EDATE($P255,DATEDIF($P255,INT($B255),"m")+1)-EDATE($P255,DATEDIF($P255,INT($B255),"m"))))/$R255,0)*$R255),$P255))))),"")))</f>
      </c>
      <c r="M255" s="223">
        <f>IF(OR($C255="",N($L255)=0,N($B255)=0),"",IF(IF(MOD($L255,1)=0,INT($B255),$B255)&lt;=$L255,"Đúng hạn","Trễ hạn"))</f>
      </c>
      <c r="N255" s="225">
        <f>IF($C255="","",ROW())</f>
      </c>
      <c r="O255" s="225">
        <f>IF($I255="Công việc",MATCH($C255,'Kế hoạch'!$A$6:$A$305,0),"")</f>
      </c>
      <c r="P255" s="234">
        <f>IF($O255="","",INDEX('Kế hoạch'!$I$6:$I$305,$O255))</f>
      </c>
      <c r="Q255" s="225">
        <f>IF($O255="","",INDEX('Kế hoạch'!$AJ$6:$AJ$305,$O255))</f>
      </c>
      <c r="R255" s="225">
        <f>IF($O255="","",INDEX('Kế hoạch'!$AK$6:$AK$305,$O255))</f>
      </c>
    </row>
    <row r="256">
      <c r="A256" s="223">
        <f>IF($C256="","",COUNTIF($C$6:$C256,"?*"))</f>
      </c>
      <c r="B256" s="217"/>
      <c r="C256" s="216"/>
      <c r="D256" s="240"/>
      <c r="E256" s="218"/>
      <c r="F256" s="218"/>
      <c r="G256" s="218"/>
      <c r="H256" s="219"/>
      <c r="I256" s="223">
        <f>IF($C256="","",IF(ISNUMBER(MATCH($C256,'Phản ánh'!$A$6:$A$505,0)),"Phản ánh",IF(ISNUMBER(MATCH($C256,'Kế hoạch'!$A$6:$A$305,0)),"Công việc","Mã chưa có")))</f>
      </c>
      <c r="J256" s="221">
        <f>IF($I256="Phản ánh",INDEX('Phản ánh'!$C$6:$C$505,MATCH($C256,'Phản ánh'!$A$6:$A$505,0)),IF($I256="Công việc",INDEX('Kế hoạch'!$C$6:$C$305,$O256),""))</f>
      </c>
      <c r="K256" s="221">
        <f>IF($I256="Phản ánh",INDEX('Phản ánh'!$K$6:$K$505,MATCH($C256,'Phản ánh'!$A$6:$A$505,0))&amp;"",IF($I256="Công việc",INDEX('Kế hoạch'!$N$6:$N$305,$O256)&amp;"",""))</f>
      </c>
      <c r="L256" s="220">
        <f>IF(OR($C256="",N($B256)=0),"",IF(AND($I256="Phản ánh",$E256="Đã xử lý"),INDEX('Phản ánh'!$U$6:$U$505,MATCH($C256,'Phản ánh'!$A$6:$A$505,0)),IF(AND($I256="Công việc",OR($E256="Hoàn thành",$E256="Hoàn thành kỳ")),IF(INDEX('Kế hoạch'!$B$6:$B$305,$O256)="Đột xuất",INDEX('Kế hoạch'!$AY$6:$AY$305,$O256),IF(N($P256)=0,"",IF(INT($B256)&lt;$P256,$P256,IF($Q256&gt;0,$P256+ROUND((INT($B256)-$P256)/$Q256,0)*$Q256,IF($R256&gt;0,EDATE($P256,ROUND((DATEDIF($P256,INT($B256),"m")+(INT($B256)-EDATE($P256,DATEDIF($P256,INT($B256),"m")))/(EDATE($P256,DATEDIF($P256,INT($B256),"m")+1)-EDATE($P256,DATEDIF($P256,INT($B256),"m"))))/$R256,0)*$R256),$P256))))),"")))</f>
      </c>
      <c r="M256" s="223">
        <f>IF(OR($C256="",N($L256)=0,N($B256)=0),"",IF(IF(MOD($L256,1)=0,INT($B256),$B256)&lt;=$L256,"Đúng hạn","Trễ hạn"))</f>
      </c>
      <c r="N256" s="225">
        <f>IF($C256="","",ROW())</f>
      </c>
      <c r="O256" s="225">
        <f>IF($I256="Công việc",MATCH($C256,'Kế hoạch'!$A$6:$A$305,0),"")</f>
      </c>
      <c r="P256" s="234">
        <f>IF($O256="","",INDEX('Kế hoạch'!$I$6:$I$305,$O256))</f>
      </c>
      <c r="Q256" s="225">
        <f>IF($O256="","",INDEX('Kế hoạch'!$AJ$6:$AJ$305,$O256))</f>
      </c>
      <c r="R256" s="225">
        <f>IF($O256="","",INDEX('Kế hoạch'!$AK$6:$AK$305,$O256))</f>
      </c>
    </row>
    <row r="257">
      <c r="A257" s="223">
        <f>IF($C257="","",COUNTIF($C$6:$C257,"?*"))</f>
      </c>
      <c r="B257" s="217"/>
      <c r="C257" s="216"/>
      <c r="D257" s="240"/>
      <c r="E257" s="218"/>
      <c r="F257" s="218"/>
      <c r="G257" s="218"/>
      <c r="H257" s="219"/>
      <c r="I257" s="223">
        <f>IF($C257="","",IF(ISNUMBER(MATCH($C257,'Phản ánh'!$A$6:$A$505,0)),"Phản ánh",IF(ISNUMBER(MATCH($C257,'Kế hoạch'!$A$6:$A$305,0)),"Công việc","Mã chưa có")))</f>
      </c>
      <c r="J257" s="221">
        <f>IF($I257="Phản ánh",INDEX('Phản ánh'!$C$6:$C$505,MATCH($C257,'Phản ánh'!$A$6:$A$505,0)),IF($I257="Công việc",INDEX('Kế hoạch'!$C$6:$C$305,$O257),""))</f>
      </c>
      <c r="K257" s="221">
        <f>IF($I257="Phản ánh",INDEX('Phản ánh'!$K$6:$K$505,MATCH($C257,'Phản ánh'!$A$6:$A$505,0))&amp;"",IF($I257="Công việc",INDEX('Kế hoạch'!$N$6:$N$305,$O257)&amp;"",""))</f>
      </c>
      <c r="L257" s="220">
        <f>IF(OR($C257="",N($B257)=0),"",IF(AND($I257="Phản ánh",$E257="Đã xử lý"),INDEX('Phản ánh'!$U$6:$U$505,MATCH($C257,'Phản ánh'!$A$6:$A$505,0)),IF(AND($I257="Công việc",OR($E257="Hoàn thành",$E257="Hoàn thành kỳ")),IF(INDEX('Kế hoạch'!$B$6:$B$305,$O257)="Đột xuất",INDEX('Kế hoạch'!$AY$6:$AY$305,$O257),IF(N($P257)=0,"",IF(INT($B257)&lt;$P257,$P257,IF($Q257&gt;0,$P257+ROUND((INT($B257)-$P257)/$Q257,0)*$Q257,IF($R257&gt;0,EDATE($P257,ROUND((DATEDIF($P257,INT($B257),"m")+(INT($B257)-EDATE($P257,DATEDIF($P257,INT($B257),"m")))/(EDATE($P257,DATEDIF($P257,INT($B257),"m")+1)-EDATE($P257,DATEDIF($P257,INT($B257),"m"))))/$R257,0)*$R257),$P257))))),"")))</f>
      </c>
      <c r="M257" s="223">
        <f>IF(OR($C257="",N($L257)=0,N($B257)=0),"",IF(IF(MOD($L257,1)=0,INT($B257),$B257)&lt;=$L257,"Đúng hạn","Trễ hạn"))</f>
      </c>
      <c r="N257" s="225">
        <f>IF($C257="","",ROW())</f>
      </c>
      <c r="O257" s="225">
        <f>IF($I257="Công việc",MATCH($C257,'Kế hoạch'!$A$6:$A$305,0),"")</f>
      </c>
      <c r="P257" s="234">
        <f>IF($O257="","",INDEX('Kế hoạch'!$I$6:$I$305,$O257))</f>
      </c>
      <c r="Q257" s="225">
        <f>IF($O257="","",INDEX('Kế hoạch'!$AJ$6:$AJ$305,$O257))</f>
      </c>
      <c r="R257" s="225">
        <f>IF($O257="","",INDEX('Kế hoạch'!$AK$6:$AK$305,$O257))</f>
      </c>
    </row>
    <row r="258">
      <c r="A258" s="223">
        <f>IF($C258="","",COUNTIF($C$6:$C258,"?*"))</f>
      </c>
      <c r="B258" s="217"/>
      <c r="C258" s="216"/>
      <c r="D258" s="240"/>
      <c r="E258" s="218"/>
      <c r="F258" s="218"/>
      <c r="G258" s="218"/>
      <c r="H258" s="219"/>
      <c r="I258" s="223">
        <f>IF($C258="","",IF(ISNUMBER(MATCH($C258,'Phản ánh'!$A$6:$A$505,0)),"Phản ánh",IF(ISNUMBER(MATCH($C258,'Kế hoạch'!$A$6:$A$305,0)),"Công việc","Mã chưa có")))</f>
      </c>
      <c r="J258" s="221">
        <f>IF($I258="Phản ánh",INDEX('Phản ánh'!$C$6:$C$505,MATCH($C258,'Phản ánh'!$A$6:$A$505,0)),IF($I258="Công việc",INDEX('Kế hoạch'!$C$6:$C$305,$O258),""))</f>
      </c>
      <c r="K258" s="221">
        <f>IF($I258="Phản ánh",INDEX('Phản ánh'!$K$6:$K$505,MATCH($C258,'Phản ánh'!$A$6:$A$505,0))&amp;"",IF($I258="Công việc",INDEX('Kế hoạch'!$N$6:$N$305,$O258)&amp;"",""))</f>
      </c>
      <c r="L258" s="220">
        <f>IF(OR($C258="",N($B258)=0),"",IF(AND($I258="Phản ánh",$E258="Đã xử lý"),INDEX('Phản ánh'!$U$6:$U$505,MATCH($C258,'Phản ánh'!$A$6:$A$505,0)),IF(AND($I258="Công việc",OR($E258="Hoàn thành",$E258="Hoàn thành kỳ")),IF(INDEX('Kế hoạch'!$B$6:$B$305,$O258)="Đột xuất",INDEX('Kế hoạch'!$AY$6:$AY$305,$O258),IF(N($P258)=0,"",IF(INT($B258)&lt;$P258,$P258,IF($Q258&gt;0,$P258+ROUND((INT($B258)-$P258)/$Q258,0)*$Q258,IF($R258&gt;0,EDATE($P258,ROUND((DATEDIF($P258,INT($B258),"m")+(INT($B258)-EDATE($P258,DATEDIF($P258,INT($B258),"m")))/(EDATE($P258,DATEDIF($P258,INT($B258),"m")+1)-EDATE($P258,DATEDIF($P258,INT($B258),"m"))))/$R258,0)*$R258),$P258))))),"")))</f>
      </c>
      <c r="M258" s="223">
        <f>IF(OR($C258="",N($L258)=0,N($B258)=0),"",IF(IF(MOD($L258,1)=0,INT($B258),$B258)&lt;=$L258,"Đúng hạn","Trễ hạn"))</f>
      </c>
      <c r="N258" s="225">
        <f>IF($C258="","",ROW())</f>
      </c>
      <c r="O258" s="225">
        <f>IF($I258="Công việc",MATCH($C258,'Kế hoạch'!$A$6:$A$305,0),"")</f>
      </c>
      <c r="P258" s="234">
        <f>IF($O258="","",INDEX('Kế hoạch'!$I$6:$I$305,$O258))</f>
      </c>
      <c r="Q258" s="225">
        <f>IF($O258="","",INDEX('Kế hoạch'!$AJ$6:$AJ$305,$O258))</f>
      </c>
      <c r="R258" s="225">
        <f>IF($O258="","",INDEX('Kế hoạch'!$AK$6:$AK$305,$O258))</f>
      </c>
    </row>
    <row r="259">
      <c r="A259" s="223">
        <f>IF($C259="","",COUNTIF($C$6:$C259,"?*"))</f>
      </c>
      <c r="B259" s="217"/>
      <c r="C259" s="216"/>
      <c r="D259" s="240"/>
      <c r="E259" s="218"/>
      <c r="F259" s="218"/>
      <c r="G259" s="218"/>
      <c r="H259" s="219"/>
      <c r="I259" s="223">
        <f>IF($C259="","",IF(ISNUMBER(MATCH($C259,'Phản ánh'!$A$6:$A$505,0)),"Phản ánh",IF(ISNUMBER(MATCH($C259,'Kế hoạch'!$A$6:$A$305,0)),"Công việc","Mã chưa có")))</f>
      </c>
      <c r="J259" s="221">
        <f>IF($I259="Phản ánh",INDEX('Phản ánh'!$C$6:$C$505,MATCH($C259,'Phản ánh'!$A$6:$A$505,0)),IF($I259="Công việc",INDEX('Kế hoạch'!$C$6:$C$305,$O259),""))</f>
      </c>
      <c r="K259" s="221">
        <f>IF($I259="Phản ánh",INDEX('Phản ánh'!$K$6:$K$505,MATCH($C259,'Phản ánh'!$A$6:$A$505,0))&amp;"",IF($I259="Công việc",INDEX('Kế hoạch'!$N$6:$N$305,$O259)&amp;"",""))</f>
      </c>
      <c r="L259" s="220">
        <f>IF(OR($C259="",N($B259)=0),"",IF(AND($I259="Phản ánh",$E259="Đã xử lý"),INDEX('Phản ánh'!$U$6:$U$505,MATCH($C259,'Phản ánh'!$A$6:$A$505,0)),IF(AND($I259="Công việc",OR($E259="Hoàn thành",$E259="Hoàn thành kỳ")),IF(INDEX('Kế hoạch'!$B$6:$B$305,$O259)="Đột xuất",INDEX('Kế hoạch'!$AY$6:$AY$305,$O259),IF(N($P259)=0,"",IF(INT($B259)&lt;$P259,$P259,IF($Q259&gt;0,$P259+ROUND((INT($B259)-$P259)/$Q259,0)*$Q259,IF($R259&gt;0,EDATE($P259,ROUND((DATEDIF($P259,INT($B259),"m")+(INT($B259)-EDATE($P259,DATEDIF($P259,INT($B259),"m")))/(EDATE($P259,DATEDIF($P259,INT($B259),"m")+1)-EDATE($P259,DATEDIF($P259,INT($B259),"m"))))/$R259,0)*$R259),$P259))))),"")))</f>
      </c>
      <c r="M259" s="223">
        <f>IF(OR($C259="",N($L259)=0,N($B259)=0),"",IF(IF(MOD($L259,1)=0,INT($B259),$B259)&lt;=$L259,"Đúng hạn","Trễ hạn"))</f>
      </c>
      <c r="N259" s="225">
        <f>IF($C259="","",ROW())</f>
      </c>
      <c r="O259" s="225">
        <f>IF($I259="Công việc",MATCH($C259,'Kế hoạch'!$A$6:$A$305,0),"")</f>
      </c>
      <c r="P259" s="234">
        <f>IF($O259="","",INDEX('Kế hoạch'!$I$6:$I$305,$O259))</f>
      </c>
      <c r="Q259" s="225">
        <f>IF($O259="","",INDEX('Kế hoạch'!$AJ$6:$AJ$305,$O259))</f>
      </c>
      <c r="R259" s="225">
        <f>IF($O259="","",INDEX('Kế hoạch'!$AK$6:$AK$305,$O259))</f>
      </c>
    </row>
    <row r="260">
      <c r="A260" s="223">
        <f>IF($C260="","",COUNTIF($C$6:$C260,"?*"))</f>
      </c>
      <c r="B260" s="217"/>
      <c r="C260" s="216"/>
      <c r="D260" s="240"/>
      <c r="E260" s="218"/>
      <c r="F260" s="218"/>
      <c r="G260" s="218"/>
      <c r="H260" s="219"/>
      <c r="I260" s="223">
        <f>IF($C260="","",IF(ISNUMBER(MATCH($C260,'Phản ánh'!$A$6:$A$505,0)),"Phản ánh",IF(ISNUMBER(MATCH($C260,'Kế hoạch'!$A$6:$A$305,0)),"Công việc","Mã chưa có")))</f>
      </c>
      <c r="J260" s="221">
        <f>IF($I260="Phản ánh",INDEX('Phản ánh'!$C$6:$C$505,MATCH($C260,'Phản ánh'!$A$6:$A$505,0)),IF($I260="Công việc",INDEX('Kế hoạch'!$C$6:$C$305,$O260),""))</f>
      </c>
      <c r="K260" s="221">
        <f>IF($I260="Phản ánh",INDEX('Phản ánh'!$K$6:$K$505,MATCH($C260,'Phản ánh'!$A$6:$A$505,0))&amp;"",IF($I260="Công việc",INDEX('Kế hoạch'!$N$6:$N$305,$O260)&amp;"",""))</f>
      </c>
      <c r="L260" s="220">
        <f>IF(OR($C260="",N($B260)=0),"",IF(AND($I260="Phản ánh",$E260="Đã xử lý"),INDEX('Phản ánh'!$U$6:$U$505,MATCH($C260,'Phản ánh'!$A$6:$A$505,0)),IF(AND($I260="Công việc",OR($E260="Hoàn thành",$E260="Hoàn thành kỳ")),IF(INDEX('Kế hoạch'!$B$6:$B$305,$O260)="Đột xuất",INDEX('Kế hoạch'!$AY$6:$AY$305,$O260),IF(N($P260)=0,"",IF(INT($B260)&lt;$P260,$P260,IF($Q260&gt;0,$P260+ROUND((INT($B260)-$P260)/$Q260,0)*$Q260,IF($R260&gt;0,EDATE($P260,ROUND((DATEDIF($P260,INT($B260),"m")+(INT($B260)-EDATE($P260,DATEDIF($P260,INT($B260),"m")))/(EDATE($P260,DATEDIF($P260,INT($B260),"m")+1)-EDATE($P260,DATEDIF($P260,INT($B260),"m"))))/$R260,0)*$R260),$P260))))),"")))</f>
      </c>
      <c r="M260" s="223">
        <f>IF(OR($C260="",N($L260)=0,N($B260)=0),"",IF(IF(MOD($L260,1)=0,INT($B260),$B260)&lt;=$L260,"Đúng hạn","Trễ hạn"))</f>
      </c>
      <c r="N260" s="225">
        <f>IF($C260="","",ROW())</f>
      </c>
      <c r="O260" s="225">
        <f>IF($I260="Công việc",MATCH($C260,'Kế hoạch'!$A$6:$A$305,0),"")</f>
      </c>
      <c r="P260" s="234">
        <f>IF($O260="","",INDEX('Kế hoạch'!$I$6:$I$305,$O260))</f>
      </c>
      <c r="Q260" s="225">
        <f>IF($O260="","",INDEX('Kế hoạch'!$AJ$6:$AJ$305,$O260))</f>
      </c>
      <c r="R260" s="225">
        <f>IF($O260="","",INDEX('Kế hoạch'!$AK$6:$AK$305,$O260))</f>
      </c>
    </row>
    <row r="261">
      <c r="A261" s="223">
        <f>IF($C261="","",COUNTIF($C$6:$C261,"?*"))</f>
      </c>
      <c r="B261" s="217"/>
      <c r="C261" s="216"/>
      <c r="D261" s="240"/>
      <c r="E261" s="218"/>
      <c r="F261" s="218"/>
      <c r="G261" s="218"/>
      <c r="H261" s="219"/>
      <c r="I261" s="223">
        <f>IF($C261="","",IF(ISNUMBER(MATCH($C261,'Phản ánh'!$A$6:$A$505,0)),"Phản ánh",IF(ISNUMBER(MATCH($C261,'Kế hoạch'!$A$6:$A$305,0)),"Công việc","Mã chưa có")))</f>
      </c>
      <c r="J261" s="221">
        <f>IF($I261="Phản ánh",INDEX('Phản ánh'!$C$6:$C$505,MATCH($C261,'Phản ánh'!$A$6:$A$505,0)),IF($I261="Công việc",INDEX('Kế hoạch'!$C$6:$C$305,$O261),""))</f>
      </c>
      <c r="K261" s="221">
        <f>IF($I261="Phản ánh",INDEX('Phản ánh'!$K$6:$K$505,MATCH($C261,'Phản ánh'!$A$6:$A$505,0))&amp;"",IF($I261="Công việc",INDEX('Kế hoạch'!$N$6:$N$305,$O261)&amp;"",""))</f>
      </c>
      <c r="L261" s="220">
        <f>IF(OR($C261="",N($B261)=0),"",IF(AND($I261="Phản ánh",$E261="Đã xử lý"),INDEX('Phản ánh'!$U$6:$U$505,MATCH($C261,'Phản ánh'!$A$6:$A$505,0)),IF(AND($I261="Công việc",OR($E261="Hoàn thành",$E261="Hoàn thành kỳ")),IF(INDEX('Kế hoạch'!$B$6:$B$305,$O261)="Đột xuất",INDEX('Kế hoạch'!$AY$6:$AY$305,$O261),IF(N($P261)=0,"",IF(INT($B261)&lt;$P261,$P261,IF($Q261&gt;0,$P261+ROUND((INT($B261)-$P261)/$Q261,0)*$Q261,IF($R261&gt;0,EDATE($P261,ROUND((DATEDIF($P261,INT($B261),"m")+(INT($B261)-EDATE($P261,DATEDIF($P261,INT($B261),"m")))/(EDATE($P261,DATEDIF($P261,INT($B261),"m")+1)-EDATE($P261,DATEDIF($P261,INT($B261),"m"))))/$R261,0)*$R261),$P261))))),"")))</f>
      </c>
      <c r="M261" s="223">
        <f>IF(OR($C261="",N($L261)=0,N($B261)=0),"",IF(IF(MOD($L261,1)=0,INT($B261),$B261)&lt;=$L261,"Đúng hạn","Trễ hạn"))</f>
      </c>
      <c r="N261" s="225">
        <f>IF($C261="","",ROW())</f>
      </c>
      <c r="O261" s="225">
        <f>IF($I261="Công việc",MATCH($C261,'Kế hoạch'!$A$6:$A$305,0),"")</f>
      </c>
      <c r="P261" s="234">
        <f>IF($O261="","",INDEX('Kế hoạch'!$I$6:$I$305,$O261))</f>
      </c>
      <c r="Q261" s="225">
        <f>IF($O261="","",INDEX('Kế hoạch'!$AJ$6:$AJ$305,$O261))</f>
      </c>
      <c r="R261" s="225">
        <f>IF($O261="","",INDEX('Kế hoạch'!$AK$6:$AK$305,$O261))</f>
      </c>
    </row>
    <row r="262">
      <c r="A262" s="223">
        <f>IF($C262="","",COUNTIF($C$6:$C262,"?*"))</f>
      </c>
      <c r="B262" s="217"/>
      <c r="C262" s="216"/>
      <c r="D262" s="240"/>
      <c r="E262" s="218"/>
      <c r="F262" s="218"/>
      <c r="G262" s="218"/>
      <c r="H262" s="219"/>
      <c r="I262" s="223">
        <f>IF($C262="","",IF(ISNUMBER(MATCH($C262,'Phản ánh'!$A$6:$A$505,0)),"Phản ánh",IF(ISNUMBER(MATCH($C262,'Kế hoạch'!$A$6:$A$305,0)),"Công việc","Mã chưa có")))</f>
      </c>
      <c r="J262" s="221">
        <f>IF($I262="Phản ánh",INDEX('Phản ánh'!$C$6:$C$505,MATCH($C262,'Phản ánh'!$A$6:$A$505,0)),IF($I262="Công việc",INDEX('Kế hoạch'!$C$6:$C$305,$O262),""))</f>
      </c>
      <c r="K262" s="221">
        <f>IF($I262="Phản ánh",INDEX('Phản ánh'!$K$6:$K$505,MATCH($C262,'Phản ánh'!$A$6:$A$505,0))&amp;"",IF($I262="Công việc",INDEX('Kế hoạch'!$N$6:$N$305,$O262)&amp;"",""))</f>
      </c>
      <c r="L262" s="220">
        <f>IF(OR($C262="",N($B262)=0),"",IF(AND($I262="Phản ánh",$E262="Đã xử lý"),INDEX('Phản ánh'!$U$6:$U$505,MATCH($C262,'Phản ánh'!$A$6:$A$505,0)),IF(AND($I262="Công việc",OR($E262="Hoàn thành",$E262="Hoàn thành kỳ")),IF(INDEX('Kế hoạch'!$B$6:$B$305,$O262)="Đột xuất",INDEX('Kế hoạch'!$AY$6:$AY$305,$O262),IF(N($P262)=0,"",IF(INT($B262)&lt;$P262,$P262,IF($Q262&gt;0,$P262+ROUND((INT($B262)-$P262)/$Q262,0)*$Q262,IF($R262&gt;0,EDATE($P262,ROUND((DATEDIF($P262,INT($B262),"m")+(INT($B262)-EDATE($P262,DATEDIF($P262,INT($B262),"m")))/(EDATE($P262,DATEDIF($P262,INT($B262),"m")+1)-EDATE($P262,DATEDIF($P262,INT($B262),"m"))))/$R262,0)*$R262),$P262))))),"")))</f>
      </c>
      <c r="M262" s="223">
        <f>IF(OR($C262="",N($L262)=0,N($B262)=0),"",IF(IF(MOD($L262,1)=0,INT($B262),$B262)&lt;=$L262,"Đúng hạn","Trễ hạn"))</f>
      </c>
      <c r="N262" s="225">
        <f>IF($C262="","",ROW())</f>
      </c>
      <c r="O262" s="225">
        <f>IF($I262="Công việc",MATCH($C262,'Kế hoạch'!$A$6:$A$305,0),"")</f>
      </c>
      <c r="P262" s="234">
        <f>IF($O262="","",INDEX('Kế hoạch'!$I$6:$I$305,$O262))</f>
      </c>
      <c r="Q262" s="225">
        <f>IF($O262="","",INDEX('Kế hoạch'!$AJ$6:$AJ$305,$O262))</f>
      </c>
      <c r="R262" s="225">
        <f>IF($O262="","",INDEX('Kế hoạch'!$AK$6:$AK$305,$O262))</f>
      </c>
    </row>
    <row r="263">
      <c r="A263" s="223">
        <f>IF($C263="","",COUNTIF($C$6:$C263,"?*"))</f>
      </c>
      <c r="B263" s="217"/>
      <c r="C263" s="216"/>
      <c r="D263" s="240"/>
      <c r="E263" s="218"/>
      <c r="F263" s="218"/>
      <c r="G263" s="218"/>
      <c r="H263" s="219"/>
      <c r="I263" s="223">
        <f>IF($C263="","",IF(ISNUMBER(MATCH($C263,'Phản ánh'!$A$6:$A$505,0)),"Phản ánh",IF(ISNUMBER(MATCH($C263,'Kế hoạch'!$A$6:$A$305,0)),"Công việc","Mã chưa có")))</f>
      </c>
      <c r="J263" s="221">
        <f>IF($I263="Phản ánh",INDEX('Phản ánh'!$C$6:$C$505,MATCH($C263,'Phản ánh'!$A$6:$A$505,0)),IF($I263="Công việc",INDEX('Kế hoạch'!$C$6:$C$305,$O263),""))</f>
      </c>
      <c r="K263" s="221">
        <f>IF($I263="Phản ánh",INDEX('Phản ánh'!$K$6:$K$505,MATCH($C263,'Phản ánh'!$A$6:$A$505,0))&amp;"",IF($I263="Công việc",INDEX('Kế hoạch'!$N$6:$N$305,$O263)&amp;"",""))</f>
      </c>
      <c r="L263" s="220">
        <f>IF(OR($C263="",N($B263)=0),"",IF(AND($I263="Phản ánh",$E263="Đã xử lý"),INDEX('Phản ánh'!$U$6:$U$505,MATCH($C263,'Phản ánh'!$A$6:$A$505,0)),IF(AND($I263="Công việc",OR($E263="Hoàn thành",$E263="Hoàn thành kỳ")),IF(INDEX('Kế hoạch'!$B$6:$B$305,$O263)="Đột xuất",INDEX('Kế hoạch'!$AY$6:$AY$305,$O263),IF(N($P263)=0,"",IF(INT($B263)&lt;$P263,$P263,IF($Q263&gt;0,$P263+ROUND((INT($B263)-$P263)/$Q263,0)*$Q263,IF($R263&gt;0,EDATE($P263,ROUND((DATEDIF($P263,INT($B263),"m")+(INT($B263)-EDATE($P263,DATEDIF($P263,INT($B263),"m")))/(EDATE($P263,DATEDIF($P263,INT($B263),"m")+1)-EDATE($P263,DATEDIF($P263,INT($B263),"m"))))/$R263,0)*$R263),$P263))))),"")))</f>
      </c>
      <c r="M263" s="223">
        <f>IF(OR($C263="",N($L263)=0,N($B263)=0),"",IF(IF(MOD($L263,1)=0,INT($B263),$B263)&lt;=$L263,"Đúng hạn","Trễ hạn"))</f>
      </c>
      <c r="N263" s="225">
        <f>IF($C263="","",ROW())</f>
      </c>
      <c r="O263" s="225">
        <f>IF($I263="Công việc",MATCH($C263,'Kế hoạch'!$A$6:$A$305,0),"")</f>
      </c>
      <c r="P263" s="234">
        <f>IF($O263="","",INDEX('Kế hoạch'!$I$6:$I$305,$O263))</f>
      </c>
      <c r="Q263" s="225">
        <f>IF($O263="","",INDEX('Kế hoạch'!$AJ$6:$AJ$305,$O263))</f>
      </c>
      <c r="R263" s="225">
        <f>IF($O263="","",INDEX('Kế hoạch'!$AK$6:$AK$305,$O263))</f>
      </c>
    </row>
    <row r="264">
      <c r="A264" s="223">
        <f>IF($C264="","",COUNTIF($C$6:$C264,"?*"))</f>
      </c>
      <c r="B264" s="217"/>
      <c r="C264" s="216"/>
      <c r="D264" s="240"/>
      <c r="E264" s="218"/>
      <c r="F264" s="218"/>
      <c r="G264" s="218"/>
      <c r="H264" s="219"/>
      <c r="I264" s="223">
        <f>IF($C264="","",IF(ISNUMBER(MATCH($C264,'Phản ánh'!$A$6:$A$505,0)),"Phản ánh",IF(ISNUMBER(MATCH($C264,'Kế hoạch'!$A$6:$A$305,0)),"Công việc","Mã chưa có")))</f>
      </c>
      <c r="J264" s="221">
        <f>IF($I264="Phản ánh",INDEX('Phản ánh'!$C$6:$C$505,MATCH($C264,'Phản ánh'!$A$6:$A$505,0)),IF($I264="Công việc",INDEX('Kế hoạch'!$C$6:$C$305,$O264),""))</f>
      </c>
      <c r="K264" s="221">
        <f>IF($I264="Phản ánh",INDEX('Phản ánh'!$K$6:$K$505,MATCH($C264,'Phản ánh'!$A$6:$A$505,0))&amp;"",IF($I264="Công việc",INDEX('Kế hoạch'!$N$6:$N$305,$O264)&amp;"",""))</f>
      </c>
      <c r="L264" s="220">
        <f>IF(OR($C264="",N($B264)=0),"",IF(AND($I264="Phản ánh",$E264="Đã xử lý"),INDEX('Phản ánh'!$U$6:$U$505,MATCH($C264,'Phản ánh'!$A$6:$A$505,0)),IF(AND($I264="Công việc",OR($E264="Hoàn thành",$E264="Hoàn thành kỳ")),IF(INDEX('Kế hoạch'!$B$6:$B$305,$O264)="Đột xuất",INDEX('Kế hoạch'!$AY$6:$AY$305,$O264),IF(N($P264)=0,"",IF(INT($B264)&lt;$P264,$P264,IF($Q264&gt;0,$P264+ROUND((INT($B264)-$P264)/$Q264,0)*$Q264,IF($R264&gt;0,EDATE($P264,ROUND((DATEDIF($P264,INT($B264),"m")+(INT($B264)-EDATE($P264,DATEDIF($P264,INT($B264),"m")))/(EDATE($P264,DATEDIF($P264,INT($B264),"m")+1)-EDATE($P264,DATEDIF($P264,INT($B264),"m"))))/$R264,0)*$R264),$P264))))),"")))</f>
      </c>
      <c r="M264" s="223">
        <f>IF(OR($C264="",N($L264)=0,N($B264)=0),"",IF(IF(MOD($L264,1)=0,INT($B264),$B264)&lt;=$L264,"Đúng hạn","Trễ hạn"))</f>
      </c>
      <c r="N264" s="225">
        <f>IF($C264="","",ROW())</f>
      </c>
      <c r="O264" s="225">
        <f>IF($I264="Công việc",MATCH($C264,'Kế hoạch'!$A$6:$A$305,0),"")</f>
      </c>
      <c r="P264" s="234">
        <f>IF($O264="","",INDEX('Kế hoạch'!$I$6:$I$305,$O264))</f>
      </c>
      <c r="Q264" s="225">
        <f>IF($O264="","",INDEX('Kế hoạch'!$AJ$6:$AJ$305,$O264))</f>
      </c>
      <c r="R264" s="225">
        <f>IF($O264="","",INDEX('Kế hoạch'!$AK$6:$AK$305,$O264))</f>
      </c>
    </row>
    <row r="265">
      <c r="A265" s="223">
        <f>IF($C265="","",COUNTIF($C$6:$C265,"?*"))</f>
      </c>
      <c r="B265" s="217"/>
      <c r="C265" s="216"/>
      <c r="D265" s="240"/>
      <c r="E265" s="218"/>
      <c r="F265" s="218"/>
      <c r="G265" s="218"/>
      <c r="H265" s="219"/>
      <c r="I265" s="223">
        <f>IF($C265="","",IF(ISNUMBER(MATCH($C265,'Phản ánh'!$A$6:$A$505,0)),"Phản ánh",IF(ISNUMBER(MATCH($C265,'Kế hoạch'!$A$6:$A$305,0)),"Công việc","Mã chưa có")))</f>
      </c>
      <c r="J265" s="221">
        <f>IF($I265="Phản ánh",INDEX('Phản ánh'!$C$6:$C$505,MATCH($C265,'Phản ánh'!$A$6:$A$505,0)),IF($I265="Công việc",INDEX('Kế hoạch'!$C$6:$C$305,$O265),""))</f>
      </c>
      <c r="K265" s="221">
        <f>IF($I265="Phản ánh",INDEX('Phản ánh'!$K$6:$K$505,MATCH($C265,'Phản ánh'!$A$6:$A$505,0))&amp;"",IF($I265="Công việc",INDEX('Kế hoạch'!$N$6:$N$305,$O265)&amp;"",""))</f>
      </c>
      <c r="L265" s="220">
        <f>IF(OR($C265="",N($B265)=0),"",IF(AND($I265="Phản ánh",$E265="Đã xử lý"),INDEX('Phản ánh'!$U$6:$U$505,MATCH($C265,'Phản ánh'!$A$6:$A$505,0)),IF(AND($I265="Công việc",OR($E265="Hoàn thành",$E265="Hoàn thành kỳ")),IF(INDEX('Kế hoạch'!$B$6:$B$305,$O265)="Đột xuất",INDEX('Kế hoạch'!$AY$6:$AY$305,$O265),IF(N($P265)=0,"",IF(INT($B265)&lt;$P265,$P265,IF($Q265&gt;0,$P265+ROUND((INT($B265)-$P265)/$Q265,0)*$Q265,IF($R265&gt;0,EDATE($P265,ROUND((DATEDIF($P265,INT($B265),"m")+(INT($B265)-EDATE($P265,DATEDIF($P265,INT($B265),"m")))/(EDATE($P265,DATEDIF($P265,INT($B265),"m")+1)-EDATE($P265,DATEDIF($P265,INT($B265),"m"))))/$R265,0)*$R265),$P265))))),"")))</f>
      </c>
      <c r="M265" s="223">
        <f>IF(OR($C265="",N($L265)=0,N($B265)=0),"",IF(IF(MOD($L265,1)=0,INT($B265),$B265)&lt;=$L265,"Đúng hạn","Trễ hạn"))</f>
      </c>
      <c r="N265" s="225">
        <f>IF($C265="","",ROW())</f>
      </c>
      <c r="O265" s="225">
        <f>IF($I265="Công việc",MATCH($C265,'Kế hoạch'!$A$6:$A$305,0),"")</f>
      </c>
      <c r="P265" s="234">
        <f>IF($O265="","",INDEX('Kế hoạch'!$I$6:$I$305,$O265))</f>
      </c>
      <c r="Q265" s="225">
        <f>IF($O265="","",INDEX('Kế hoạch'!$AJ$6:$AJ$305,$O265))</f>
      </c>
      <c r="R265" s="225">
        <f>IF($O265="","",INDEX('Kế hoạch'!$AK$6:$AK$305,$O265))</f>
      </c>
    </row>
    <row r="266">
      <c r="A266" s="223">
        <f>IF($C266="","",COUNTIF($C$6:$C266,"?*"))</f>
      </c>
      <c r="B266" s="217"/>
      <c r="C266" s="216"/>
      <c r="D266" s="240"/>
      <c r="E266" s="218"/>
      <c r="F266" s="218"/>
      <c r="G266" s="218"/>
      <c r="H266" s="219"/>
      <c r="I266" s="223">
        <f>IF($C266="","",IF(ISNUMBER(MATCH($C266,'Phản ánh'!$A$6:$A$505,0)),"Phản ánh",IF(ISNUMBER(MATCH($C266,'Kế hoạch'!$A$6:$A$305,0)),"Công việc","Mã chưa có")))</f>
      </c>
      <c r="J266" s="221">
        <f>IF($I266="Phản ánh",INDEX('Phản ánh'!$C$6:$C$505,MATCH($C266,'Phản ánh'!$A$6:$A$505,0)),IF($I266="Công việc",INDEX('Kế hoạch'!$C$6:$C$305,$O266),""))</f>
      </c>
      <c r="K266" s="221">
        <f>IF($I266="Phản ánh",INDEX('Phản ánh'!$K$6:$K$505,MATCH($C266,'Phản ánh'!$A$6:$A$505,0))&amp;"",IF($I266="Công việc",INDEX('Kế hoạch'!$N$6:$N$305,$O266)&amp;"",""))</f>
      </c>
      <c r="L266" s="220">
        <f>IF(OR($C266="",N($B266)=0),"",IF(AND($I266="Phản ánh",$E266="Đã xử lý"),INDEX('Phản ánh'!$U$6:$U$505,MATCH($C266,'Phản ánh'!$A$6:$A$505,0)),IF(AND($I266="Công việc",OR($E266="Hoàn thành",$E266="Hoàn thành kỳ")),IF(INDEX('Kế hoạch'!$B$6:$B$305,$O266)="Đột xuất",INDEX('Kế hoạch'!$AY$6:$AY$305,$O266),IF(N($P266)=0,"",IF(INT($B266)&lt;$P266,$P266,IF($Q266&gt;0,$P266+ROUND((INT($B266)-$P266)/$Q266,0)*$Q266,IF($R266&gt;0,EDATE($P266,ROUND((DATEDIF($P266,INT($B266),"m")+(INT($B266)-EDATE($P266,DATEDIF($P266,INT($B266),"m")))/(EDATE($P266,DATEDIF($P266,INT($B266),"m")+1)-EDATE($P266,DATEDIF($P266,INT($B266),"m"))))/$R266,0)*$R266),$P266))))),"")))</f>
      </c>
      <c r="M266" s="223">
        <f>IF(OR($C266="",N($L266)=0,N($B266)=0),"",IF(IF(MOD($L266,1)=0,INT($B266),$B266)&lt;=$L266,"Đúng hạn","Trễ hạn"))</f>
      </c>
      <c r="N266" s="225">
        <f>IF($C266="","",ROW())</f>
      </c>
      <c r="O266" s="225">
        <f>IF($I266="Công việc",MATCH($C266,'Kế hoạch'!$A$6:$A$305,0),"")</f>
      </c>
      <c r="P266" s="234">
        <f>IF($O266="","",INDEX('Kế hoạch'!$I$6:$I$305,$O266))</f>
      </c>
      <c r="Q266" s="225">
        <f>IF($O266="","",INDEX('Kế hoạch'!$AJ$6:$AJ$305,$O266))</f>
      </c>
      <c r="R266" s="225">
        <f>IF($O266="","",INDEX('Kế hoạch'!$AK$6:$AK$305,$O266))</f>
      </c>
    </row>
    <row r="267">
      <c r="A267" s="223">
        <f>IF($C267="","",COUNTIF($C$6:$C267,"?*"))</f>
      </c>
      <c r="B267" s="217"/>
      <c r="C267" s="216"/>
      <c r="D267" s="240"/>
      <c r="E267" s="218"/>
      <c r="F267" s="218"/>
      <c r="G267" s="218"/>
      <c r="H267" s="219"/>
      <c r="I267" s="223">
        <f>IF($C267="","",IF(ISNUMBER(MATCH($C267,'Phản ánh'!$A$6:$A$505,0)),"Phản ánh",IF(ISNUMBER(MATCH($C267,'Kế hoạch'!$A$6:$A$305,0)),"Công việc","Mã chưa có")))</f>
      </c>
      <c r="J267" s="221">
        <f>IF($I267="Phản ánh",INDEX('Phản ánh'!$C$6:$C$505,MATCH($C267,'Phản ánh'!$A$6:$A$505,0)),IF($I267="Công việc",INDEX('Kế hoạch'!$C$6:$C$305,$O267),""))</f>
      </c>
      <c r="K267" s="221">
        <f>IF($I267="Phản ánh",INDEX('Phản ánh'!$K$6:$K$505,MATCH($C267,'Phản ánh'!$A$6:$A$505,0))&amp;"",IF($I267="Công việc",INDEX('Kế hoạch'!$N$6:$N$305,$O267)&amp;"",""))</f>
      </c>
      <c r="L267" s="220">
        <f>IF(OR($C267="",N($B267)=0),"",IF(AND($I267="Phản ánh",$E267="Đã xử lý"),INDEX('Phản ánh'!$U$6:$U$505,MATCH($C267,'Phản ánh'!$A$6:$A$505,0)),IF(AND($I267="Công việc",OR($E267="Hoàn thành",$E267="Hoàn thành kỳ")),IF(INDEX('Kế hoạch'!$B$6:$B$305,$O267)="Đột xuất",INDEX('Kế hoạch'!$AY$6:$AY$305,$O267),IF(N($P267)=0,"",IF(INT($B267)&lt;$P267,$P267,IF($Q267&gt;0,$P267+ROUND((INT($B267)-$P267)/$Q267,0)*$Q267,IF($R267&gt;0,EDATE($P267,ROUND((DATEDIF($P267,INT($B267),"m")+(INT($B267)-EDATE($P267,DATEDIF($P267,INT($B267),"m")))/(EDATE($P267,DATEDIF($P267,INT($B267),"m")+1)-EDATE($P267,DATEDIF($P267,INT($B267),"m"))))/$R267,0)*$R267),$P267))))),"")))</f>
      </c>
      <c r="M267" s="223">
        <f>IF(OR($C267="",N($L267)=0,N($B267)=0),"",IF(IF(MOD($L267,1)=0,INT($B267),$B267)&lt;=$L267,"Đúng hạn","Trễ hạn"))</f>
      </c>
      <c r="N267" s="225">
        <f>IF($C267="","",ROW())</f>
      </c>
      <c r="O267" s="225">
        <f>IF($I267="Công việc",MATCH($C267,'Kế hoạch'!$A$6:$A$305,0),"")</f>
      </c>
      <c r="P267" s="234">
        <f>IF($O267="","",INDEX('Kế hoạch'!$I$6:$I$305,$O267))</f>
      </c>
      <c r="Q267" s="225">
        <f>IF($O267="","",INDEX('Kế hoạch'!$AJ$6:$AJ$305,$O267))</f>
      </c>
      <c r="R267" s="225">
        <f>IF($O267="","",INDEX('Kế hoạch'!$AK$6:$AK$305,$O267))</f>
      </c>
    </row>
    <row r="268">
      <c r="A268" s="223">
        <f>IF($C268="","",COUNTIF($C$6:$C268,"?*"))</f>
      </c>
      <c r="B268" s="217"/>
      <c r="C268" s="216"/>
      <c r="D268" s="240"/>
      <c r="E268" s="218"/>
      <c r="F268" s="218"/>
      <c r="G268" s="218"/>
      <c r="H268" s="219"/>
      <c r="I268" s="223">
        <f>IF($C268="","",IF(ISNUMBER(MATCH($C268,'Phản ánh'!$A$6:$A$505,0)),"Phản ánh",IF(ISNUMBER(MATCH($C268,'Kế hoạch'!$A$6:$A$305,0)),"Công việc","Mã chưa có")))</f>
      </c>
      <c r="J268" s="221">
        <f>IF($I268="Phản ánh",INDEX('Phản ánh'!$C$6:$C$505,MATCH($C268,'Phản ánh'!$A$6:$A$505,0)),IF($I268="Công việc",INDEX('Kế hoạch'!$C$6:$C$305,$O268),""))</f>
      </c>
      <c r="K268" s="221">
        <f>IF($I268="Phản ánh",INDEX('Phản ánh'!$K$6:$K$505,MATCH($C268,'Phản ánh'!$A$6:$A$505,0))&amp;"",IF($I268="Công việc",INDEX('Kế hoạch'!$N$6:$N$305,$O268)&amp;"",""))</f>
      </c>
      <c r="L268" s="220">
        <f>IF(OR($C268="",N($B268)=0),"",IF(AND($I268="Phản ánh",$E268="Đã xử lý"),INDEX('Phản ánh'!$U$6:$U$505,MATCH($C268,'Phản ánh'!$A$6:$A$505,0)),IF(AND($I268="Công việc",OR($E268="Hoàn thành",$E268="Hoàn thành kỳ")),IF(INDEX('Kế hoạch'!$B$6:$B$305,$O268)="Đột xuất",INDEX('Kế hoạch'!$AY$6:$AY$305,$O268),IF(N($P268)=0,"",IF(INT($B268)&lt;$P268,$P268,IF($Q268&gt;0,$P268+ROUND((INT($B268)-$P268)/$Q268,0)*$Q268,IF($R268&gt;0,EDATE($P268,ROUND((DATEDIF($P268,INT($B268),"m")+(INT($B268)-EDATE($P268,DATEDIF($P268,INT($B268),"m")))/(EDATE($P268,DATEDIF($P268,INT($B268),"m")+1)-EDATE($P268,DATEDIF($P268,INT($B268),"m"))))/$R268,0)*$R268),$P268))))),"")))</f>
      </c>
      <c r="M268" s="223">
        <f>IF(OR($C268="",N($L268)=0,N($B268)=0),"",IF(IF(MOD($L268,1)=0,INT($B268),$B268)&lt;=$L268,"Đúng hạn","Trễ hạn"))</f>
      </c>
      <c r="N268" s="225">
        <f>IF($C268="","",ROW())</f>
      </c>
      <c r="O268" s="225">
        <f>IF($I268="Công việc",MATCH($C268,'Kế hoạch'!$A$6:$A$305,0),"")</f>
      </c>
      <c r="P268" s="234">
        <f>IF($O268="","",INDEX('Kế hoạch'!$I$6:$I$305,$O268))</f>
      </c>
      <c r="Q268" s="225">
        <f>IF($O268="","",INDEX('Kế hoạch'!$AJ$6:$AJ$305,$O268))</f>
      </c>
      <c r="R268" s="225">
        <f>IF($O268="","",INDEX('Kế hoạch'!$AK$6:$AK$305,$O268))</f>
      </c>
    </row>
    <row r="269">
      <c r="A269" s="223">
        <f>IF($C269="","",COUNTIF($C$6:$C269,"?*"))</f>
      </c>
      <c r="B269" s="217"/>
      <c r="C269" s="216"/>
      <c r="D269" s="240"/>
      <c r="E269" s="218"/>
      <c r="F269" s="218"/>
      <c r="G269" s="218"/>
      <c r="H269" s="219"/>
      <c r="I269" s="223">
        <f>IF($C269="","",IF(ISNUMBER(MATCH($C269,'Phản ánh'!$A$6:$A$505,0)),"Phản ánh",IF(ISNUMBER(MATCH($C269,'Kế hoạch'!$A$6:$A$305,0)),"Công việc","Mã chưa có")))</f>
      </c>
      <c r="J269" s="221">
        <f>IF($I269="Phản ánh",INDEX('Phản ánh'!$C$6:$C$505,MATCH($C269,'Phản ánh'!$A$6:$A$505,0)),IF($I269="Công việc",INDEX('Kế hoạch'!$C$6:$C$305,$O269),""))</f>
      </c>
      <c r="K269" s="221">
        <f>IF($I269="Phản ánh",INDEX('Phản ánh'!$K$6:$K$505,MATCH($C269,'Phản ánh'!$A$6:$A$505,0))&amp;"",IF($I269="Công việc",INDEX('Kế hoạch'!$N$6:$N$305,$O269)&amp;"",""))</f>
      </c>
      <c r="L269" s="220">
        <f>IF(OR($C269="",N($B269)=0),"",IF(AND($I269="Phản ánh",$E269="Đã xử lý"),INDEX('Phản ánh'!$U$6:$U$505,MATCH($C269,'Phản ánh'!$A$6:$A$505,0)),IF(AND($I269="Công việc",OR($E269="Hoàn thành",$E269="Hoàn thành kỳ")),IF(INDEX('Kế hoạch'!$B$6:$B$305,$O269)="Đột xuất",INDEX('Kế hoạch'!$AY$6:$AY$305,$O269),IF(N($P269)=0,"",IF(INT($B269)&lt;$P269,$P269,IF($Q269&gt;0,$P269+ROUND((INT($B269)-$P269)/$Q269,0)*$Q269,IF($R269&gt;0,EDATE($P269,ROUND((DATEDIF($P269,INT($B269),"m")+(INT($B269)-EDATE($P269,DATEDIF($P269,INT($B269),"m")))/(EDATE($P269,DATEDIF($P269,INT($B269),"m")+1)-EDATE($P269,DATEDIF($P269,INT($B269),"m"))))/$R269,0)*$R269),$P269))))),"")))</f>
      </c>
      <c r="M269" s="223">
        <f>IF(OR($C269="",N($L269)=0,N($B269)=0),"",IF(IF(MOD($L269,1)=0,INT($B269),$B269)&lt;=$L269,"Đúng hạn","Trễ hạn"))</f>
      </c>
      <c r="N269" s="225">
        <f>IF($C269="","",ROW())</f>
      </c>
      <c r="O269" s="225">
        <f>IF($I269="Công việc",MATCH($C269,'Kế hoạch'!$A$6:$A$305,0),"")</f>
      </c>
      <c r="P269" s="234">
        <f>IF($O269="","",INDEX('Kế hoạch'!$I$6:$I$305,$O269))</f>
      </c>
      <c r="Q269" s="225">
        <f>IF($O269="","",INDEX('Kế hoạch'!$AJ$6:$AJ$305,$O269))</f>
      </c>
      <c r="R269" s="225">
        <f>IF($O269="","",INDEX('Kế hoạch'!$AK$6:$AK$305,$O269))</f>
      </c>
    </row>
    <row r="270">
      <c r="A270" s="223">
        <f>IF($C270="","",COUNTIF($C$6:$C270,"?*"))</f>
      </c>
      <c r="B270" s="217"/>
      <c r="C270" s="216"/>
      <c r="D270" s="240"/>
      <c r="E270" s="218"/>
      <c r="F270" s="218"/>
      <c r="G270" s="218"/>
      <c r="H270" s="219"/>
      <c r="I270" s="223">
        <f>IF($C270="","",IF(ISNUMBER(MATCH($C270,'Phản ánh'!$A$6:$A$505,0)),"Phản ánh",IF(ISNUMBER(MATCH($C270,'Kế hoạch'!$A$6:$A$305,0)),"Công việc","Mã chưa có")))</f>
      </c>
      <c r="J270" s="221">
        <f>IF($I270="Phản ánh",INDEX('Phản ánh'!$C$6:$C$505,MATCH($C270,'Phản ánh'!$A$6:$A$505,0)),IF($I270="Công việc",INDEX('Kế hoạch'!$C$6:$C$305,$O270),""))</f>
      </c>
      <c r="K270" s="221">
        <f>IF($I270="Phản ánh",INDEX('Phản ánh'!$K$6:$K$505,MATCH($C270,'Phản ánh'!$A$6:$A$505,0))&amp;"",IF($I270="Công việc",INDEX('Kế hoạch'!$N$6:$N$305,$O270)&amp;"",""))</f>
      </c>
      <c r="L270" s="220">
        <f>IF(OR($C270="",N($B270)=0),"",IF(AND($I270="Phản ánh",$E270="Đã xử lý"),INDEX('Phản ánh'!$U$6:$U$505,MATCH($C270,'Phản ánh'!$A$6:$A$505,0)),IF(AND($I270="Công việc",OR($E270="Hoàn thành",$E270="Hoàn thành kỳ")),IF(INDEX('Kế hoạch'!$B$6:$B$305,$O270)="Đột xuất",INDEX('Kế hoạch'!$AY$6:$AY$305,$O270),IF(N($P270)=0,"",IF(INT($B270)&lt;$P270,$P270,IF($Q270&gt;0,$P270+ROUND((INT($B270)-$P270)/$Q270,0)*$Q270,IF($R270&gt;0,EDATE($P270,ROUND((DATEDIF($P270,INT($B270),"m")+(INT($B270)-EDATE($P270,DATEDIF($P270,INT($B270),"m")))/(EDATE($P270,DATEDIF($P270,INT($B270),"m")+1)-EDATE($P270,DATEDIF($P270,INT($B270),"m"))))/$R270,0)*$R270),$P270))))),"")))</f>
      </c>
      <c r="M270" s="223">
        <f>IF(OR($C270="",N($L270)=0,N($B270)=0),"",IF(IF(MOD($L270,1)=0,INT($B270),$B270)&lt;=$L270,"Đúng hạn","Trễ hạn"))</f>
      </c>
      <c r="N270" s="225">
        <f>IF($C270="","",ROW())</f>
      </c>
      <c r="O270" s="225">
        <f>IF($I270="Công việc",MATCH($C270,'Kế hoạch'!$A$6:$A$305,0),"")</f>
      </c>
      <c r="P270" s="234">
        <f>IF($O270="","",INDEX('Kế hoạch'!$I$6:$I$305,$O270))</f>
      </c>
      <c r="Q270" s="225">
        <f>IF($O270="","",INDEX('Kế hoạch'!$AJ$6:$AJ$305,$O270))</f>
      </c>
      <c r="R270" s="225">
        <f>IF($O270="","",INDEX('Kế hoạch'!$AK$6:$AK$305,$O270))</f>
      </c>
    </row>
    <row r="271">
      <c r="A271" s="223">
        <f>IF($C271="","",COUNTIF($C$6:$C271,"?*"))</f>
      </c>
      <c r="B271" s="217"/>
      <c r="C271" s="216"/>
      <c r="D271" s="240"/>
      <c r="E271" s="218"/>
      <c r="F271" s="218"/>
      <c r="G271" s="218"/>
      <c r="H271" s="219"/>
      <c r="I271" s="223">
        <f>IF($C271="","",IF(ISNUMBER(MATCH($C271,'Phản ánh'!$A$6:$A$505,0)),"Phản ánh",IF(ISNUMBER(MATCH($C271,'Kế hoạch'!$A$6:$A$305,0)),"Công việc","Mã chưa có")))</f>
      </c>
      <c r="J271" s="221">
        <f>IF($I271="Phản ánh",INDEX('Phản ánh'!$C$6:$C$505,MATCH($C271,'Phản ánh'!$A$6:$A$505,0)),IF($I271="Công việc",INDEX('Kế hoạch'!$C$6:$C$305,$O271),""))</f>
      </c>
      <c r="K271" s="221">
        <f>IF($I271="Phản ánh",INDEX('Phản ánh'!$K$6:$K$505,MATCH($C271,'Phản ánh'!$A$6:$A$505,0))&amp;"",IF($I271="Công việc",INDEX('Kế hoạch'!$N$6:$N$305,$O271)&amp;"",""))</f>
      </c>
      <c r="L271" s="220">
        <f>IF(OR($C271="",N($B271)=0),"",IF(AND($I271="Phản ánh",$E271="Đã xử lý"),INDEX('Phản ánh'!$U$6:$U$505,MATCH($C271,'Phản ánh'!$A$6:$A$505,0)),IF(AND($I271="Công việc",OR($E271="Hoàn thành",$E271="Hoàn thành kỳ")),IF(INDEX('Kế hoạch'!$B$6:$B$305,$O271)="Đột xuất",INDEX('Kế hoạch'!$AY$6:$AY$305,$O271),IF(N($P271)=0,"",IF(INT($B271)&lt;$P271,$P271,IF($Q271&gt;0,$P271+ROUND((INT($B271)-$P271)/$Q271,0)*$Q271,IF($R271&gt;0,EDATE($P271,ROUND((DATEDIF($P271,INT($B271),"m")+(INT($B271)-EDATE($P271,DATEDIF($P271,INT($B271),"m")))/(EDATE($P271,DATEDIF($P271,INT($B271),"m")+1)-EDATE($P271,DATEDIF($P271,INT($B271),"m"))))/$R271,0)*$R271),$P271))))),"")))</f>
      </c>
      <c r="M271" s="223">
        <f>IF(OR($C271="",N($L271)=0,N($B271)=0),"",IF(IF(MOD($L271,1)=0,INT($B271),$B271)&lt;=$L271,"Đúng hạn","Trễ hạn"))</f>
      </c>
      <c r="N271" s="225">
        <f>IF($C271="","",ROW())</f>
      </c>
      <c r="O271" s="225">
        <f>IF($I271="Công việc",MATCH($C271,'Kế hoạch'!$A$6:$A$305,0),"")</f>
      </c>
      <c r="P271" s="234">
        <f>IF($O271="","",INDEX('Kế hoạch'!$I$6:$I$305,$O271))</f>
      </c>
      <c r="Q271" s="225">
        <f>IF($O271="","",INDEX('Kế hoạch'!$AJ$6:$AJ$305,$O271))</f>
      </c>
      <c r="R271" s="225">
        <f>IF($O271="","",INDEX('Kế hoạch'!$AK$6:$AK$305,$O271))</f>
      </c>
    </row>
    <row r="272">
      <c r="A272" s="223">
        <f>IF($C272="","",COUNTIF($C$6:$C272,"?*"))</f>
      </c>
      <c r="B272" s="217"/>
      <c r="C272" s="216"/>
      <c r="D272" s="240"/>
      <c r="E272" s="218"/>
      <c r="F272" s="218"/>
      <c r="G272" s="218"/>
      <c r="H272" s="219"/>
      <c r="I272" s="223">
        <f>IF($C272="","",IF(ISNUMBER(MATCH($C272,'Phản ánh'!$A$6:$A$505,0)),"Phản ánh",IF(ISNUMBER(MATCH($C272,'Kế hoạch'!$A$6:$A$305,0)),"Công việc","Mã chưa có")))</f>
      </c>
      <c r="J272" s="221">
        <f>IF($I272="Phản ánh",INDEX('Phản ánh'!$C$6:$C$505,MATCH($C272,'Phản ánh'!$A$6:$A$505,0)),IF($I272="Công việc",INDEX('Kế hoạch'!$C$6:$C$305,$O272),""))</f>
      </c>
      <c r="K272" s="221">
        <f>IF($I272="Phản ánh",INDEX('Phản ánh'!$K$6:$K$505,MATCH($C272,'Phản ánh'!$A$6:$A$505,0))&amp;"",IF($I272="Công việc",INDEX('Kế hoạch'!$N$6:$N$305,$O272)&amp;"",""))</f>
      </c>
      <c r="L272" s="220">
        <f>IF(OR($C272="",N($B272)=0),"",IF(AND($I272="Phản ánh",$E272="Đã xử lý"),INDEX('Phản ánh'!$U$6:$U$505,MATCH($C272,'Phản ánh'!$A$6:$A$505,0)),IF(AND($I272="Công việc",OR($E272="Hoàn thành",$E272="Hoàn thành kỳ")),IF(INDEX('Kế hoạch'!$B$6:$B$305,$O272)="Đột xuất",INDEX('Kế hoạch'!$AY$6:$AY$305,$O272),IF(N($P272)=0,"",IF(INT($B272)&lt;$P272,$P272,IF($Q272&gt;0,$P272+ROUND((INT($B272)-$P272)/$Q272,0)*$Q272,IF($R272&gt;0,EDATE($P272,ROUND((DATEDIF($P272,INT($B272),"m")+(INT($B272)-EDATE($P272,DATEDIF($P272,INT($B272),"m")))/(EDATE($P272,DATEDIF($P272,INT($B272),"m")+1)-EDATE($P272,DATEDIF($P272,INT($B272),"m"))))/$R272,0)*$R272),$P272))))),"")))</f>
      </c>
      <c r="M272" s="223">
        <f>IF(OR($C272="",N($L272)=0,N($B272)=0),"",IF(IF(MOD($L272,1)=0,INT($B272),$B272)&lt;=$L272,"Đúng hạn","Trễ hạn"))</f>
      </c>
      <c r="N272" s="225">
        <f>IF($C272="","",ROW())</f>
      </c>
      <c r="O272" s="225">
        <f>IF($I272="Công việc",MATCH($C272,'Kế hoạch'!$A$6:$A$305,0),"")</f>
      </c>
      <c r="P272" s="234">
        <f>IF($O272="","",INDEX('Kế hoạch'!$I$6:$I$305,$O272))</f>
      </c>
      <c r="Q272" s="225">
        <f>IF($O272="","",INDEX('Kế hoạch'!$AJ$6:$AJ$305,$O272))</f>
      </c>
      <c r="R272" s="225">
        <f>IF($O272="","",INDEX('Kế hoạch'!$AK$6:$AK$305,$O272))</f>
      </c>
    </row>
    <row r="273">
      <c r="A273" s="223">
        <f>IF($C273="","",COUNTIF($C$6:$C273,"?*"))</f>
      </c>
      <c r="B273" s="217"/>
      <c r="C273" s="216"/>
      <c r="D273" s="240"/>
      <c r="E273" s="218"/>
      <c r="F273" s="218"/>
      <c r="G273" s="218"/>
      <c r="H273" s="219"/>
      <c r="I273" s="223">
        <f>IF($C273="","",IF(ISNUMBER(MATCH($C273,'Phản ánh'!$A$6:$A$505,0)),"Phản ánh",IF(ISNUMBER(MATCH($C273,'Kế hoạch'!$A$6:$A$305,0)),"Công việc","Mã chưa có")))</f>
      </c>
      <c r="J273" s="221">
        <f>IF($I273="Phản ánh",INDEX('Phản ánh'!$C$6:$C$505,MATCH($C273,'Phản ánh'!$A$6:$A$505,0)),IF($I273="Công việc",INDEX('Kế hoạch'!$C$6:$C$305,$O273),""))</f>
      </c>
      <c r="K273" s="221">
        <f>IF($I273="Phản ánh",INDEX('Phản ánh'!$K$6:$K$505,MATCH($C273,'Phản ánh'!$A$6:$A$505,0))&amp;"",IF($I273="Công việc",INDEX('Kế hoạch'!$N$6:$N$305,$O273)&amp;"",""))</f>
      </c>
      <c r="L273" s="220">
        <f>IF(OR($C273="",N($B273)=0),"",IF(AND($I273="Phản ánh",$E273="Đã xử lý"),INDEX('Phản ánh'!$U$6:$U$505,MATCH($C273,'Phản ánh'!$A$6:$A$505,0)),IF(AND($I273="Công việc",OR($E273="Hoàn thành",$E273="Hoàn thành kỳ")),IF(INDEX('Kế hoạch'!$B$6:$B$305,$O273)="Đột xuất",INDEX('Kế hoạch'!$AY$6:$AY$305,$O273),IF(N($P273)=0,"",IF(INT($B273)&lt;$P273,$P273,IF($Q273&gt;0,$P273+ROUND((INT($B273)-$P273)/$Q273,0)*$Q273,IF($R273&gt;0,EDATE($P273,ROUND((DATEDIF($P273,INT($B273),"m")+(INT($B273)-EDATE($P273,DATEDIF($P273,INT($B273),"m")))/(EDATE($P273,DATEDIF($P273,INT($B273),"m")+1)-EDATE($P273,DATEDIF($P273,INT($B273),"m"))))/$R273,0)*$R273),$P273))))),"")))</f>
      </c>
      <c r="M273" s="223">
        <f>IF(OR($C273="",N($L273)=0,N($B273)=0),"",IF(IF(MOD($L273,1)=0,INT($B273),$B273)&lt;=$L273,"Đúng hạn","Trễ hạn"))</f>
      </c>
      <c r="N273" s="225">
        <f>IF($C273="","",ROW())</f>
      </c>
      <c r="O273" s="225">
        <f>IF($I273="Công việc",MATCH($C273,'Kế hoạch'!$A$6:$A$305,0),"")</f>
      </c>
      <c r="P273" s="234">
        <f>IF($O273="","",INDEX('Kế hoạch'!$I$6:$I$305,$O273))</f>
      </c>
      <c r="Q273" s="225">
        <f>IF($O273="","",INDEX('Kế hoạch'!$AJ$6:$AJ$305,$O273))</f>
      </c>
      <c r="R273" s="225">
        <f>IF($O273="","",INDEX('Kế hoạch'!$AK$6:$AK$305,$O273))</f>
      </c>
    </row>
    <row r="274">
      <c r="A274" s="223">
        <f>IF($C274="","",COUNTIF($C$6:$C274,"?*"))</f>
      </c>
      <c r="B274" s="217"/>
      <c r="C274" s="216"/>
      <c r="D274" s="240"/>
      <c r="E274" s="218"/>
      <c r="F274" s="218"/>
      <c r="G274" s="218"/>
      <c r="H274" s="219"/>
      <c r="I274" s="223">
        <f>IF($C274="","",IF(ISNUMBER(MATCH($C274,'Phản ánh'!$A$6:$A$505,0)),"Phản ánh",IF(ISNUMBER(MATCH($C274,'Kế hoạch'!$A$6:$A$305,0)),"Công việc","Mã chưa có")))</f>
      </c>
      <c r="J274" s="221">
        <f>IF($I274="Phản ánh",INDEX('Phản ánh'!$C$6:$C$505,MATCH($C274,'Phản ánh'!$A$6:$A$505,0)),IF($I274="Công việc",INDEX('Kế hoạch'!$C$6:$C$305,$O274),""))</f>
      </c>
      <c r="K274" s="221">
        <f>IF($I274="Phản ánh",INDEX('Phản ánh'!$K$6:$K$505,MATCH($C274,'Phản ánh'!$A$6:$A$505,0))&amp;"",IF($I274="Công việc",INDEX('Kế hoạch'!$N$6:$N$305,$O274)&amp;"",""))</f>
      </c>
      <c r="L274" s="220">
        <f>IF(OR($C274="",N($B274)=0),"",IF(AND($I274="Phản ánh",$E274="Đã xử lý"),INDEX('Phản ánh'!$U$6:$U$505,MATCH($C274,'Phản ánh'!$A$6:$A$505,0)),IF(AND($I274="Công việc",OR($E274="Hoàn thành",$E274="Hoàn thành kỳ")),IF(INDEX('Kế hoạch'!$B$6:$B$305,$O274)="Đột xuất",INDEX('Kế hoạch'!$AY$6:$AY$305,$O274),IF(N($P274)=0,"",IF(INT($B274)&lt;$P274,$P274,IF($Q274&gt;0,$P274+ROUND((INT($B274)-$P274)/$Q274,0)*$Q274,IF($R274&gt;0,EDATE($P274,ROUND((DATEDIF($P274,INT($B274),"m")+(INT($B274)-EDATE($P274,DATEDIF($P274,INT($B274),"m")))/(EDATE($P274,DATEDIF($P274,INT($B274),"m")+1)-EDATE($P274,DATEDIF($P274,INT($B274),"m"))))/$R274,0)*$R274),$P274))))),"")))</f>
      </c>
      <c r="M274" s="223">
        <f>IF(OR($C274="",N($L274)=0,N($B274)=0),"",IF(IF(MOD($L274,1)=0,INT($B274),$B274)&lt;=$L274,"Đúng hạn","Trễ hạn"))</f>
      </c>
      <c r="N274" s="225">
        <f>IF($C274="","",ROW())</f>
      </c>
      <c r="O274" s="225">
        <f>IF($I274="Công việc",MATCH($C274,'Kế hoạch'!$A$6:$A$305,0),"")</f>
      </c>
      <c r="P274" s="234">
        <f>IF($O274="","",INDEX('Kế hoạch'!$I$6:$I$305,$O274))</f>
      </c>
      <c r="Q274" s="225">
        <f>IF($O274="","",INDEX('Kế hoạch'!$AJ$6:$AJ$305,$O274))</f>
      </c>
      <c r="R274" s="225">
        <f>IF($O274="","",INDEX('Kế hoạch'!$AK$6:$AK$305,$O274))</f>
      </c>
    </row>
    <row r="275">
      <c r="A275" s="223">
        <f>IF($C275="","",COUNTIF($C$6:$C275,"?*"))</f>
      </c>
      <c r="B275" s="217"/>
      <c r="C275" s="216"/>
      <c r="D275" s="240"/>
      <c r="E275" s="218"/>
      <c r="F275" s="218"/>
      <c r="G275" s="218"/>
      <c r="H275" s="219"/>
      <c r="I275" s="223">
        <f>IF($C275="","",IF(ISNUMBER(MATCH($C275,'Phản ánh'!$A$6:$A$505,0)),"Phản ánh",IF(ISNUMBER(MATCH($C275,'Kế hoạch'!$A$6:$A$305,0)),"Công việc","Mã chưa có")))</f>
      </c>
      <c r="J275" s="221">
        <f>IF($I275="Phản ánh",INDEX('Phản ánh'!$C$6:$C$505,MATCH($C275,'Phản ánh'!$A$6:$A$505,0)),IF($I275="Công việc",INDEX('Kế hoạch'!$C$6:$C$305,$O275),""))</f>
      </c>
      <c r="K275" s="221">
        <f>IF($I275="Phản ánh",INDEX('Phản ánh'!$K$6:$K$505,MATCH($C275,'Phản ánh'!$A$6:$A$505,0))&amp;"",IF($I275="Công việc",INDEX('Kế hoạch'!$N$6:$N$305,$O275)&amp;"",""))</f>
      </c>
      <c r="L275" s="220">
        <f>IF(OR($C275="",N($B275)=0),"",IF(AND($I275="Phản ánh",$E275="Đã xử lý"),INDEX('Phản ánh'!$U$6:$U$505,MATCH($C275,'Phản ánh'!$A$6:$A$505,0)),IF(AND($I275="Công việc",OR($E275="Hoàn thành",$E275="Hoàn thành kỳ")),IF(INDEX('Kế hoạch'!$B$6:$B$305,$O275)="Đột xuất",INDEX('Kế hoạch'!$AY$6:$AY$305,$O275),IF(N($P275)=0,"",IF(INT($B275)&lt;$P275,$P275,IF($Q275&gt;0,$P275+ROUND((INT($B275)-$P275)/$Q275,0)*$Q275,IF($R275&gt;0,EDATE($P275,ROUND((DATEDIF($P275,INT($B275),"m")+(INT($B275)-EDATE($P275,DATEDIF($P275,INT($B275),"m")))/(EDATE($P275,DATEDIF($P275,INT($B275),"m")+1)-EDATE($P275,DATEDIF($P275,INT($B275),"m"))))/$R275,0)*$R275),$P275))))),"")))</f>
      </c>
      <c r="M275" s="223">
        <f>IF(OR($C275="",N($L275)=0,N($B275)=0),"",IF(IF(MOD($L275,1)=0,INT($B275),$B275)&lt;=$L275,"Đúng hạn","Trễ hạn"))</f>
      </c>
      <c r="N275" s="225">
        <f>IF($C275="","",ROW())</f>
      </c>
      <c r="O275" s="225">
        <f>IF($I275="Công việc",MATCH($C275,'Kế hoạch'!$A$6:$A$305,0),"")</f>
      </c>
      <c r="P275" s="234">
        <f>IF($O275="","",INDEX('Kế hoạch'!$I$6:$I$305,$O275))</f>
      </c>
      <c r="Q275" s="225">
        <f>IF($O275="","",INDEX('Kế hoạch'!$AJ$6:$AJ$305,$O275))</f>
      </c>
      <c r="R275" s="225">
        <f>IF($O275="","",INDEX('Kế hoạch'!$AK$6:$AK$305,$O275))</f>
      </c>
    </row>
    <row r="276">
      <c r="A276" s="223">
        <f>IF($C276="","",COUNTIF($C$6:$C276,"?*"))</f>
      </c>
      <c r="B276" s="217"/>
      <c r="C276" s="216"/>
      <c r="D276" s="240"/>
      <c r="E276" s="218"/>
      <c r="F276" s="218"/>
      <c r="G276" s="218"/>
      <c r="H276" s="219"/>
      <c r="I276" s="223">
        <f>IF($C276="","",IF(ISNUMBER(MATCH($C276,'Phản ánh'!$A$6:$A$505,0)),"Phản ánh",IF(ISNUMBER(MATCH($C276,'Kế hoạch'!$A$6:$A$305,0)),"Công việc","Mã chưa có")))</f>
      </c>
      <c r="J276" s="221">
        <f>IF($I276="Phản ánh",INDEX('Phản ánh'!$C$6:$C$505,MATCH($C276,'Phản ánh'!$A$6:$A$505,0)),IF($I276="Công việc",INDEX('Kế hoạch'!$C$6:$C$305,$O276),""))</f>
      </c>
      <c r="K276" s="221">
        <f>IF($I276="Phản ánh",INDEX('Phản ánh'!$K$6:$K$505,MATCH($C276,'Phản ánh'!$A$6:$A$505,0))&amp;"",IF($I276="Công việc",INDEX('Kế hoạch'!$N$6:$N$305,$O276)&amp;"",""))</f>
      </c>
      <c r="L276" s="220">
        <f>IF(OR($C276="",N($B276)=0),"",IF(AND($I276="Phản ánh",$E276="Đã xử lý"),INDEX('Phản ánh'!$U$6:$U$505,MATCH($C276,'Phản ánh'!$A$6:$A$505,0)),IF(AND($I276="Công việc",OR($E276="Hoàn thành",$E276="Hoàn thành kỳ")),IF(INDEX('Kế hoạch'!$B$6:$B$305,$O276)="Đột xuất",INDEX('Kế hoạch'!$AY$6:$AY$305,$O276),IF(N($P276)=0,"",IF(INT($B276)&lt;$P276,$P276,IF($Q276&gt;0,$P276+ROUND((INT($B276)-$P276)/$Q276,0)*$Q276,IF($R276&gt;0,EDATE($P276,ROUND((DATEDIF($P276,INT($B276),"m")+(INT($B276)-EDATE($P276,DATEDIF($P276,INT($B276),"m")))/(EDATE($P276,DATEDIF($P276,INT($B276),"m")+1)-EDATE($P276,DATEDIF($P276,INT($B276),"m"))))/$R276,0)*$R276),$P276))))),"")))</f>
      </c>
      <c r="M276" s="223">
        <f>IF(OR($C276="",N($L276)=0,N($B276)=0),"",IF(IF(MOD($L276,1)=0,INT($B276),$B276)&lt;=$L276,"Đúng hạn","Trễ hạn"))</f>
      </c>
      <c r="N276" s="225">
        <f>IF($C276="","",ROW())</f>
      </c>
      <c r="O276" s="225">
        <f>IF($I276="Công việc",MATCH($C276,'Kế hoạch'!$A$6:$A$305,0),"")</f>
      </c>
      <c r="P276" s="234">
        <f>IF($O276="","",INDEX('Kế hoạch'!$I$6:$I$305,$O276))</f>
      </c>
      <c r="Q276" s="225">
        <f>IF($O276="","",INDEX('Kế hoạch'!$AJ$6:$AJ$305,$O276))</f>
      </c>
      <c r="R276" s="225">
        <f>IF($O276="","",INDEX('Kế hoạch'!$AK$6:$AK$305,$O276))</f>
      </c>
    </row>
    <row r="277">
      <c r="A277" s="223">
        <f>IF($C277="","",COUNTIF($C$6:$C277,"?*"))</f>
      </c>
      <c r="B277" s="217"/>
      <c r="C277" s="216"/>
      <c r="D277" s="240"/>
      <c r="E277" s="218"/>
      <c r="F277" s="218"/>
      <c r="G277" s="218"/>
      <c r="H277" s="219"/>
      <c r="I277" s="223">
        <f>IF($C277="","",IF(ISNUMBER(MATCH($C277,'Phản ánh'!$A$6:$A$505,0)),"Phản ánh",IF(ISNUMBER(MATCH($C277,'Kế hoạch'!$A$6:$A$305,0)),"Công việc","Mã chưa có")))</f>
      </c>
      <c r="J277" s="221">
        <f>IF($I277="Phản ánh",INDEX('Phản ánh'!$C$6:$C$505,MATCH($C277,'Phản ánh'!$A$6:$A$505,0)),IF($I277="Công việc",INDEX('Kế hoạch'!$C$6:$C$305,$O277),""))</f>
      </c>
      <c r="K277" s="221">
        <f>IF($I277="Phản ánh",INDEX('Phản ánh'!$K$6:$K$505,MATCH($C277,'Phản ánh'!$A$6:$A$505,0))&amp;"",IF($I277="Công việc",INDEX('Kế hoạch'!$N$6:$N$305,$O277)&amp;"",""))</f>
      </c>
      <c r="L277" s="220">
        <f>IF(OR($C277="",N($B277)=0),"",IF(AND($I277="Phản ánh",$E277="Đã xử lý"),INDEX('Phản ánh'!$U$6:$U$505,MATCH($C277,'Phản ánh'!$A$6:$A$505,0)),IF(AND($I277="Công việc",OR($E277="Hoàn thành",$E277="Hoàn thành kỳ")),IF(INDEX('Kế hoạch'!$B$6:$B$305,$O277)="Đột xuất",INDEX('Kế hoạch'!$AY$6:$AY$305,$O277),IF(N($P277)=0,"",IF(INT($B277)&lt;$P277,$P277,IF($Q277&gt;0,$P277+ROUND((INT($B277)-$P277)/$Q277,0)*$Q277,IF($R277&gt;0,EDATE($P277,ROUND((DATEDIF($P277,INT($B277),"m")+(INT($B277)-EDATE($P277,DATEDIF($P277,INT($B277),"m")))/(EDATE($P277,DATEDIF($P277,INT($B277),"m")+1)-EDATE($P277,DATEDIF($P277,INT($B277),"m"))))/$R277,0)*$R277),$P277))))),"")))</f>
      </c>
      <c r="M277" s="223">
        <f>IF(OR($C277="",N($L277)=0,N($B277)=0),"",IF(IF(MOD($L277,1)=0,INT($B277),$B277)&lt;=$L277,"Đúng hạn","Trễ hạn"))</f>
      </c>
      <c r="N277" s="225">
        <f>IF($C277="","",ROW())</f>
      </c>
      <c r="O277" s="225">
        <f>IF($I277="Công việc",MATCH($C277,'Kế hoạch'!$A$6:$A$305,0),"")</f>
      </c>
      <c r="P277" s="234">
        <f>IF($O277="","",INDEX('Kế hoạch'!$I$6:$I$305,$O277))</f>
      </c>
      <c r="Q277" s="225">
        <f>IF($O277="","",INDEX('Kế hoạch'!$AJ$6:$AJ$305,$O277))</f>
      </c>
      <c r="R277" s="225">
        <f>IF($O277="","",INDEX('Kế hoạch'!$AK$6:$AK$305,$O277))</f>
      </c>
    </row>
    <row r="278">
      <c r="A278" s="223">
        <f>IF($C278="","",COUNTIF($C$6:$C278,"?*"))</f>
      </c>
      <c r="B278" s="217"/>
      <c r="C278" s="216"/>
      <c r="D278" s="240"/>
      <c r="E278" s="218"/>
      <c r="F278" s="218"/>
      <c r="G278" s="218"/>
      <c r="H278" s="219"/>
      <c r="I278" s="223">
        <f>IF($C278="","",IF(ISNUMBER(MATCH($C278,'Phản ánh'!$A$6:$A$505,0)),"Phản ánh",IF(ISNUMBER(MATCH($C278,'Kế hoạch'!$A$6:$A$305,0)),"Công việc","Mã chưa có")))</f>
      </c>
      <c r="J278" s="221">
        <f>IF($I278="Phản ánh",INDEX('Phản ánh'!$C$6:$C$505,MATCH($C278,'Phản ánh'!$A$6:$A$505,0)),IF($I278="Công việc",INDEX('Kế hoạch'!$C$6:$C$305,$O278),""))</f>
      </c>
      <c r="K278" s="221">
        <f>IF($I278="Phản ánh",INDEX('Phản ánh'!$K$6:$K$505,MATCH($C278,'Phản ánh'!$A$6:$A$505,0))&amp;"",IF($I278="Công việc",INDEX('Kế hoạch'!$N$6:$N$305,$O278)&amp;"",""))</f>
      </c>
      <c r="L278" s="220">
        <f>IF(OR($C278="",N($B278)=0),"",IF(AND($I278="Phản ánh",$E278="Đã xử lý"),INDEX('Phản ánh'!$U$6:$U$505,MATCH($C278,'Phản ánh'!$A$6:$A$505,0)),IF(AND($I278="Công việc",OR($E278="Hoàn thành",$E278="Hoàn thành kỳ")),IF(INDEX('Kế hoạch'!$B$6:$B$305,$O278)="Đột xuất",INDEX('Kế hoạch'!$AY$6:$AY$305,$O278),IF(N($P278)=0,"",IF(INT($B278)&lt;$P278,$P278,IF($Q278&gt;0,$P278+ROUND((INT($B278)-$P278)/$Q278,0)*$Q278,IF($R278&gt;0,EDATE($P278,ROUND((DATEDIF($P278,INT($B278),"m")+(INT($B278)-EDATE($P278,DATEDIF($P278,INT($B278),"m")))/(EDATE($P278,DATEDIF($P278,INT($B278),"m")+1)-EDATE($P278,DATEDIF($P278,INT($B278),"m"))))/$R278,0)*$R278),$P278))))),"")))</f>
      </c>
      <c r="M278" s="223">
        <f>IF(OR($C278="",N($L278)=0,N($B278)=0),"",IF(IF(MOD($L278,1)=0,INT($B278),$B278)&lt;=$L278,"Đúng hạn","Trễ hạn"))</f>
      </c>
      <c r="N278" s="225">
        <f>IF($C278="","",ROW())</f>
      </c>
      <c r="O278" s="225">
        <f>IF($I278="Công việc",MATCH($C278,'Kế hoạch'!$A$6:$A$305,0),"")</f>
      </c>
      <c r="P278" s="234">
        <f>IF($O278="","",INDEX('Kế hoạch'!$I$6:$I$305,$O278))</f>
      </c>
      <c r="Q278" s="225">
        <f>IF($O278="","",INDEX('Kế hoạch'!$AJ$6:$AJ$305,$O278))</f>
      </c>
      <c r="R278" s="225">
        <f>IF($O278="","",INDEX('Kế hoạch'!$AK$6:$AK$305,$O278))</f>
      </c>
    </row>
    <row r="279">
      <c r="A279" s="223">
        <f>IF($C279="","",COUNTIF($C$6:$C279,"?*"))</f>
      </c>
      <c r="B279" s="217"/>
      <c r="C279" s="216"/>
      <c r="D279" s="240"/>
      <c r="E279" s="218"/>
      <c r="F279" s="218"/>
      <c r="G279" s="218"/>
      <c r="H279" s="219"/>
      <c r="I279" s="223">
        <f>IF($C279="","",IF(ISNUMBER(MATCH($C279,'Phản ánh'!$A$6:$A$505,0)),"Phản ánh",IF(ISNUMBER(MATCH($C279,'Kế hoạch'!$A$6:$A$305,0)),"Công việc","Mã chưa có")))</f>
      </c>
      <c r="J279" s="221">
        <f>IF($I279="Phản ánh",INDEX('Phản ánh'!$C$6:$C$505,MATCH($C279,'Phản ánh'!$A$6:$A$505,0)),IF($I279="Công việc",INDEX('Kế hoạch'!$C$6:$C$305,$O279),""))</f>
      </c>
      <c r="K279" s="221">
        <f>IF($I279="Phản ánh",INDEX('Phản ánh'!$K$6:$K$505,MATCH($C279,'Phản ánh'!$A$6:$A$505,0))&amp;"",IF($I279="Công việc",INDEX('Kế hoạch'!$N$6:$N$305,$O279)&amp;"",""))</f>
      </c>
      <c r="L279" s="220">
        <f>IF(OR($C279="",N($B279)=0),"",IF(AND($I279="Phản ánh",$E279="Đã xử lý"),INDEX('Phản ánh'!$U$6:$U$505,MATCH($C279,'Phản ánh'!$A$6:$A$505,0)),IF(AND($I279="Công việc",OR($E279="Hoàn thành",$E279="Hoàn thành kỳ")),IF(INDEX('Kế hoạch'!$B$6:$B$305,$O279)="Đột xuất",INDEX('Kế hoạch'!$AY$6:$AY$305,$O279),IF(N($P279)=0,"",IF(INT($B279)&lt;$P279,$P279,IF($Q279&gt;0,$P279+ROUND((INT($B279)-$P279)/$Q279,0)*$Q279,IF($R279&gt;0,EDATE($P279,ROUND((DATEDIF($P279,INT($B279),"m")+(INT($B279)-EDATE($P279,DATEDIF($P279,INT($B279),"m")))/(EDATE($P279,DATEDIF($P279,INT($B279),"m")+1)-EDATE($P279,DATEDIF($P279,INT($B279),"m"))))/$R279,0)*$R279),$P279))))),"")))</f>
      </c>
      <c r="M279" s="223">
        <f>IF(OR($C279="",N($L279)=0,N($B279)=0),"",IF(IF(MOD($L279,1)=0,INT($B279),$B279)&lt;=$L279,"Đúng hạn","Trễ hạn"))</f>
      </c>
      <c r="N279" s="225">
        <f>IF($C279="","",ROW())</f>
      </c>
      <c r="O279" s="225">
        <f>IF($I279="Công việc",MATCH($C279,'Kế hoạch'!$A$6:$A$305,0),"")</f>
      </c>
      <c r="P279" s="234">
        <f>IF($O279="","",INDEX('Kế hoạch'!$I$6:$I$305,$O279))</f>
      </c>
      <c r="Q279" s="225">
        <f>IF($O279="","",INDEX('Kế hoạch'!$AJ$6:$AJ$305,$O279))</f>
      </c>
      <c r="R279" s="225">
        <f>IF($O279="","",INDEX('Kế hoạch'!$AK$6:$AK$305,$O279))</f>
      </c>
    </row>
    <row r="280">
      <c r="A280" s="223">
        <f>IF($C280="","",COUNTIF($C$6:$C280,"?*"))</f>
      </c>
      <c r="B280" s="217"/>
      <c r="C280" s="216"/>
      <c r="D280" s="240"/>
      <c r="E280" s="218"/>
      <c r="F280" s="218"/>
      <c r="G280" s="218"/>
      <c r="H280" s="219"/>
      <c r="I280" s="223">
        <f>IF($C280="","",IF(ISNUMBER(MATCH($C280,'Phản ánh'!$A$6:$A$505,0)),"Phản ánh",IF(ISNUMBER(MATCH($C280,'Kế hoạch'!$A$6:$A$305,0)),"Công việc","Mã chưa có")))</f>
      </c>
      <c r="J280" s="221">
        <f>IF($I280="Phản ánh",INDEX('Phản ánh'!$C$6:$C$505,MATCH($C280,'Phản ánh'!$A$6:$A$505,0)),IF($I280="Công việc",INDEX('Kế hoạch'!$C$6:$C$305,$O280),""))</f>
      </c>
      <c r="K280" s="221">
        <f>IF($I280="Phản ánh",INDEX('Phản ánh'!$K$6:$K$505,MATCH($C280,'Phản ánh'!$A$6:$A$505,0))&amp;"",IF($I280="Công việc",INDEX('Kế hoạch'!$N$6:$N$305,$O280)&amp;"",""))</f>
      </c>
      <c r="L280" s="220">
        <f>IF(OR($C280="",N($B280)=0),"",IF(AND($I280="Phản ánh",$E280="Đã xử lý"),INDEX('Phản ánh'!$U$6:$U$505,MATCH($C280,'Phản ánh'!$A$6:$A$505,0)),IF(AND($I280="Công việc",OR($E280="Hoàn thành",$E280="Hoàn thành kỳ")),IF(INDEX('Kế hoạch'!$B$6:$B$305,$O280)="Đột xuất",INDEX('Kế hoạch'!$AY$6:$AY$305,$O280),IF(N($P280)=0,"",IF(INT($B280)&lt;$P280,$P280,IF($Q280&gt;0,$P280+ROUND((INT($B280)-$P280)/$Q280,0)*$Q280,IF($R280&gt;0,EDATE($P280,ROUND((DATEDIF($P280,INT($B280),"m")+(INT($B280)-EDATE($P280,DATEDIF($P280,INT($B280),"m")))/(EDATE($P280,DATEDIF($P280,INT($B280),"m")+1)-EDATE($P280,DATEDIF($P280,INT($B280),"m"))))/$R280,0)*$R280),$P280))))),"")))</f>
      </c>
      <c r="M280" s="223">
        <f>IF(OR($C280="",N($L280)=0,N($B280)=0),"",IF(IF(MOD($L280,1)=0,INT($B280),$B280)&lt;=$L280,"Đúng hạn","Trễ hạn"))</f>
      </c>
      <c r="N280" s="225">
        <f>IF($C280="","",ROW())</f>
      </c>
      <c r="O280" s="225">
        <f>IF($I280="Công việc",MATCH($C280,'Kế hoạch'!$A$6:$A$305,0),"")</f>
      </c>
      <c r="P280" s="234">
        <f>IF($O280="","",INDEX('Kế hoạch'!$I$6:$I$305,$O280))</f>
      </c>
      <c r="Q280" s="225">
        <f>IF($O280="","",INDEX('Kế hoạch'!$AJ$6:$AJ$305,$O280))</f>
      </c>
      <c r="R280" s="225">
        <f>IF($O280="","",INDEX('Kế hoạch'!$AK$6:$AK$305,$O280))</f>
      </c>
    </row>
    <row r="281">
      <c r="A281" s="223">
        <f>IF($C281="","",COUNTIF($C$6:$C281,"?*"))</f>
      </c>
      <c r="B281" s="217"/>
      <c r="C281" s="216"/>
      <c r="D281" s="240"/>
      <c r="E281" s="218"/>
      <c r="F281" s="218"/>
      <c r="G281" s="218"/>
      <c r="H281" s="219"/>
      <c r="I281" s="223">
        <f>IF($C281="","",IF(ISNUMBER(MATCH($C281,'Phản ánh'!$A$6:$A$505,0)),"Phản ánh",IF(ISNUMBER(MATCH($C281,'Kế hoạch'!$A$6:$A$305,0)),"Công việc","Mã chưa có")))</f>
      </c>
      <c r="J281" s="221">
        <f>IF($I281="Phản ánh",INDEX('Phản ánh'!$C$6:$C$505,MATCH($C281,'Phản ánh'!$A$6:$A$505,0)),IF($I281="Công việc",INDEX('Kế hoạch'!$C$6:$C$305,$O281),""))</f>
      </c>
      <c r="K281" s="221">
        <f>IF($I281="Phản ánh",INDEX('Phản ánh'!$K$6:$K$505,MATCH($C281,'Phản ánh'!$A$6:$A$505,0))&amp;"",IF($I281="Công việc",INDEX('Kế hoạch'!$N$6:$N$305,$O281)&amp;"",""))</f>
      </c>
      <c r="L281" s="220">
        <f>IF(OR($C281="",N($B281)=0),"",IF(AND($I281="Phản ánh",$E281="Đã xử lý"),INDEX('Phản ánh'!$U$6:$U$505,MATCH($C281,'Phản ánh'!$A$6:$A$505,0)),IF(AND($I281="Công việc",OR($E281="Hoàn thành",$E281="Hoàn thành kỳ")),IF(INDEX('Kế hoạch'!$B$6:$B$305,$O281)="Đột xuất",INDEX('Kế hoạch'!$AY$6:$AY$305,$O281),IF(N($P281)=0,"",IF(INT($B281)&lt;$P281,$P281,IF($Q281&gt;0,$P281+ROUND((INT($B281)-$P281)/$Q281,0)*$Q281,IF($R281&gt;0,EDATE($P281,ROUND((DATEDIF($P281,INT($B281),"m")+(INT($B281)-EDATE($P281,DATEDIF($P281,INT($B281),"m")))/(EDATE($P281,DATEDIF($P281,INT($B281),"m")+1)-EDATE($P281,DATEDIF($P281,INT($B281),"m"))))/$R281,0)*$R281),$P281))))),"")))</f>
      </c>
      <c r="M281" s="223">
        <f>IF(OR($C281="",N($L281)=0,N($B281)=0),"",IF(IF(MOD($L281,1)=0,INT($B281),$B281)&lt;=$L281,"Đúng hạn","Trễ hạn"))</f>
      </c>
      <c r="N281" s="225">
        <f>IF($C281="","",ROW())</f>
      </c>
      <c r="O281" s="225">
        <f>IF($I281="Công việc",MATCH($C281,'Kế hoạch'!$A$6:$A$305,0),"")</f>
      </c>
      <c r="P281" s="234">
        <f>IF($O281="","",INDEX('Kế hoạch'!$I$6:$I$305,$O281))</f>
      </c>
      <c r="Q281" s="225">
        <f>IF($O281="","",INDEX('Kế hoạch'!$AJ$6:$AJ$305,$O281))</f>
      </c>
      <c r="R281" s="225">
        <f>IF($O281="","",INDEX('Kế hoạch'!$AK$6:$AK$305,$O281))</f>
      </c>
    </row>
    <row r="282">
      <c r="A282" s="223">
        <f>IF($C282="","",COUNTIF($C$6:$C282,"?*"))</f>
      </c>
      <c r="B282" s="217"/>
      <c r="C282" s="216"/>
      <c r="D282" s="240"/>
      <c r="E282" s="218"/>
      <c r="F282" s="218"/>
      <c r="G282" s="218"/>
      <c r="H282" s="219"/>
      <c r="I282" s="223">
        <f>IF($C282="","",IF(ISNUMBER(MATCH($C282,'Phản ánh'!$A$6:$A$505,0)),"Phản ánh",IF(ISNUMBER(MATCH($C282,'Kế hoạch'!$A$6:$A$305,0)),"Công việc","Mã chưa có")))</f>
      </c>
      <c r="J282" s="221">
        <f>IF($I282="Phản ánh",INDEX('Phản ánh'!$C$6:$C$505,MATCH($C282,'Phản ánh'!$A$6:$A$505,0)),IF($I282="Công việc",INDEX('Kế hoạch'!$C$6:$C$305,$O282),""))</f>
      </c>
      <c r="K282" s="221">
        <f>IF($I282="Phản ánh",INDEX('Phản ánh'!$K$6:$K$505,MATCH($C282,'Phản ánh'!$A$6:$A$505,0))&amp;"",IF($I282="Công việc",INDEX('Kế hoạch'!$N$6:$N$305,$O282)&amp;"",""))</f>
      </c>
      <c r="L282" s="220">
        <f>IF(OR($C282="",N($B282)=0),"",IF(AND($I282="Phản ánh",$E282="Đã xử lý"),INDEX('Phản ánh'!$U$6:$U$505,MATCH($C282,'Phản ánh'!$A$6:$A$505,0)),IF(AND($I282="Công việc",OR($E282="Hoàn thành",$E282="Hoàn thành kỳ")),IF(INDEX('Kế hoạch'!$B$6:$B$305,$O282)="Đột xuất",INDEX('Kế hoạch'!$AY$6:$AY$305,$O282),IF(N($P282)=0,"",IF(INT($B282)&lt;$P282,$P282,IF($Q282&gt;0,$P282+ROUND((INT($B282)-$P282)/$Q282,0)*$Q282,IF($R282&gt;0,EDATE($P282,ROUND((DATEDIF($P282,INT($B282),"m")+(INT($B282)-EDATE($P282,DATEDIF($P282,INT($B282),"m")))/(EDATE($P282,DATEDIF($P282,INT($B282),"m")+1)-EDATE($P282,DATEDIF($P282,INT($B282),"m"))))/$R282,0)*$R282),$P282))))),"")))</f>
      </c>
      <c r="M282" s="223">
        <f>IF(OR($C282="",N($L282)=0,N($B282)=0),"",IF(IF(MOD($L282,1)=0,INT($B282),$B282)&lt;=$L282,"Đúng hạn","Trễ hạn"))</f>
      </c>
      <c r="N282" s="225">
        <f>IF($C282="","",ROW())</f>
      </c>
      <c r="O282" s="225">
        <f>IF($I282="Công việc",MATCH($C282,'Kế hoạch'!$A$6:$A$305,0),"")</f>
      </c>
      <c r="P282" s="234">
        <f>IF($O282="","",INDEX('Kế hoạch'!$I$6:$I$305,$O282))</f>
      </c>
      <c r="Q282" s="225">
        <f>IF($O282="","",INDEX('Kế hoạch'!$AJ$6:$AJ$305,$O282))</f>
      </c>
      <c r="R282" s="225">
        <f>IF($O282="","",INDEX('Kế hoạch'!$AK$6:$AK$305,$O282))</f>
      </c>
    </row>
    <row r="283">
      <c r="A283" s="223">
        <f>IF($C283="","",COUNTIF($C$6:$C283,"?*"))</f>
      </c>
      <c r="B283" s="217"/>
      <c r="C283" s="216"/>
      <c r="D283" s="240"/>
      <c r="E283" s="218"/>
      <c r="F283" s="218"/>
      <c r="G283" s="218"/>
      <c r="H283" s="219"/>
      <c r="I283" s="223">
        <f>IF($C283="","",IF(ISNUMBER(MATCH($C283,'Phản ánh'!$A$6:$A$505,0)),"Phản ánh",IF(ISNUMBER(MATCH($C283,'Kế hoạch'!$A$6:$A$305,0)),"Công việc","Mã chưa có")))</f>
      </c>
      <c r="J283" s="221">
        <f>IF($I283="Phản ánh",INDEX('Phản ánh'!$C$6:$C$505,MATCH($C283,'Phản ánh'!$A$6:$A$505,0)),IF($I283="Công việc",INDEX('Kế hoạch'!$C$6:$C$305,$O283),""))</f>
      </c>
      <c r="K283" s="221">
        <f>IF($I283="Phản ánh",INDEX('Phản ánh'!$K$6:$K$505,MATCH($C283,'Phản ánh'!$A$6:$A$505,0))&amp;"",IF($I283="Công việc",INDEX('Kế hoạch'!$N$6:$N$305,$O283)&amp;"",""))</f>
      </c>
      <c r="L283" s="220">
        <f>IF(OR($C283="",N($B283)=0),"",IF(AND($I283="Phản ánh",$E283="Đã xử lý"),INDEX('Phản ánh'!$U$6:$U$505,MATCH($C283,'Phản ánh'!$A$6:$A$505,0)),IF(AND($I283="Công việc",OR($E283="Hoàn thành",$E283="Hoàn thành kỳ")),IF(INDEX('Kế hoạch'!$B$6:$B$305,$O283)="Đột xuất",INDEX('Kế hoạch'!$AY$6:$AY$305,$O283),IF(N($P283)=0,"",IF(INT($B283)&lt;$P283,$P283,IF($Q283&gt;0,$P283+ROUND((INT($B283)-$P283)/$Q283,0)*$Q283,IF($R283&gt;0,EDATE($P283,ROUND((DATEDIF($P283,INT($B283),"m")+(INT($B283)-EDATE($P283,DATEDIF($P283,INT($B283),"m")))/(EDATE($P283,DATEDIF($P283,INT($B283),"m")+1)-EDATE($P283,DATEDIF($P283,INT($B283),"m"))))/$R283,0)*$R283),$P283))))),"")))</f>
      </c>
      <c r="M283" s="223">
        <f>IF(OR($C283="",N($L283)=0,N($B283)=0),"",IF(IF(MOD($L283,1)=0,INT($B283),$B283)&lt;=$L283,"Đúng hạn","Trễ hạn"))</f>
      </c>
      <c r="N283" s="225">
        <f>IF($C283="","",ROW())</f>
      </c>
      <c r="O283" s="225">
        <f>IF($I283="Công việc",MATCH($C283,'Kế hoạch'!$A$6:$A$305,0),"")</f>
      </c>
      <c r="P283" s="234">
        <f>IF($O283="","",INDEX('Kế hoạch'!$I$6:$I$305,$O283))</f>
      </c>
      <c r="Q283" s="225">
        <f>IF($O283="","",INDEX('Kế hoạch'!$AJ$6:$AJ$305,$O283))</f>
      </c>
      <c r="R283" s="225">
        <f>IF($O283="","",INDEX('Kế hoạch'!$AK$6:$AK$305,$O283))</f>
      </c>
    </row>
    <row r="284">
      <c r="A284" s="223">
        <f>IF($C284="","",COUNTIF($C$6:$C284,"?*"))</f>
      </c>
      <c r="B284" s="217"/>
      <c r="C284" s="216"/>
      <c r="D284" s="240"/>
      <c r="E284" s="218"/>
      <c r="F284" s="218"/>
      <c r="G284" s="218"/>
      <c r="H284" s="219"/>
      <c r="I284" s="223">
        <f>IF($C284="","",IF(ISNUMBER(MATCH($C284,'Phản ánh'!$A$6:$A$505,0)),"Phản ánh",IF(ISNUMBER(MATCH($C284,'Kế hoạch'!$A$6:$A$305,0)),"Công việc","Mã chưa có")))</f>
      </c>
      <c r="J284" s="221">
        <f>IF($I284="Phản ánh",INDEX('Phản ánh'!$C$6:$C$505,MATCH($C284,'Phản ánh'!$A$6:$A$505,0)),IF($I284="Công việc",INDEX('Kế hoạch'!$C$6:$C$305,$O284),""))</f>
      </c>
      <c r="K284" s="221">
        <f>IF($I284="Phản ánh",INDEX('Phản ánh'!$K$6:$K$505,MATCH($C284,'Phản ánh'!$A$6:$A$505,0))&amp;"",IF($I284="Công việc",INDEX('Kế hoạch'!$N$6:$N$305,$O284)&amp;"",""))</f>
      </c>
      <c r="L284" s="220">
        <f>IF(OR($C284="",N($B284)=0),"",IF(AND($I284="Phản ánh",$E284="Đã xử lý"),INDEX('Phản ánh'!$U$6:$U$505,MATCH($C284,'Phản ánh'!$A$6:$A$505,0)),IF(AND($I284="Công việc",OR($E284="Hoàn thành",$E284="Hoàn thành kỳ")),IF(INDEX('Kế hoạch'!$B$6:$B$305,$O284)="Đột xuất",INDEX('Kế hoạch'!$AY$6:$AY$305,$O284),IF(N($P284)=0,"",IF(INT($B284)&lt;$P284,$P284,IF($Q284&gt;0,$P284+ROUND((INT($B284)-$P284)/$Q284,0)*$Q284,IF($R284&gt;0,EDATE($P284,ROUND((DATEDIF($P284,INT($B284),"m")+(INT($B284)-EDATE($P284,DATEDIF($P284,INT($B284),"m")))/(EDATE($P284,DATEDIF($P284,INT($B284),"m")+1)-EDATE($P284,DATEDIF($P284,INT($B284),"m"))))/$R284,0)*$R284),$P284))))),"")))</f>
      </c>
      <c r="M284" s="223">
        <f>IF(OR($C284="",N($L284)=0,N($B284)=0),"",IF(IF(MOD($L284,1)=0,INT($B284),$B284)&lt;=$L284,"Đúng hạn","Trễ hạn"))</f>
      </c>
      <c r="N284" s="225">
        <f>IF($C284="","",ROW())</f>
      </c>
      <c r="O284" s="225">
        <f>IF($I284="Công việc",MATCH($C284,'Kế hoạch'!$A$6:$A$305,0),"")</f>
      </c>
      <c r="P284" s="234">
        <f>IF($O284="","",INDEX('Kế hoạch'!$I$6:$I$305,$O284))</f>
      </c>
      <c r="Q284" s="225">
        <f>IF($O284="","",INDEX('Kế hoạch'!$AJ$6:$AJ$305,$O284))</f>
      </c>
      <c r="R284" s="225">
        <f>IF($O284="","",INDEX('Kế hoạch'!$AK$6:$AK$305,$O284))</f>
      </c>
    </row>
    <row r="285">
      <c r="A285" s="223">
        <f>IF($C285="","",COUNTIF($C$6:$C285,"?*"))</f>
      </c>
      <c r="B285" s="217"/>
      <c r="C285" s="216"/>
      <c r="D285" s="240"/>
      <c r="E285" s="218"/>
      <c r="F285" s="218"/>
      <c r="G285" s="218"/>
      <c r="H285" s="219"/>
      <c r="I285" s="223">
        <f>IF($C285="","",IF(ISNUMBER(MATCH($C285,'Phản ánh'!$A$6:$A$505,0)),"Phản ánh",IF(ISNUMBER(MATCH($C285,'Kế hoạch'!$A$6:$A$305,0)),"Công việc","Mã chưa có")))</f>
      </c>
      <c r="J285" s="221">
        <f>IF($I285="Phản ánh",INDEX('Phản ánh'!$C$6:$C$505,MATCH($C285,'Phản ánh'!$A$6:$A$505,0)),IF($I285="Công việc",INDEX('Kế hoạch'!$C$6:$C$305,$O285),""))</f>
      </c>
      <c r="K285" s="221">
        <f>IF($I285="Phản ánh",INDEX('Phản ánh'!$K$6:$K$505,MATCH($C285,'Phản ánh'!$A$6:$A$505,0))&amp;"",IF($I285="Công việc",INDEX('Kế hoạch'!$N$6:$N$305,$O285)&amp;"",""))</f>
      </c>
      <c r="L285" s="220">
        <f>IF(OR($C285="",N($B285)=0),"",IF(AND($I285="Phản ánh",$E285="Đã xử lý"),INDEX('Phản ánh'!$U$6:$U$505,MATCH($C285,'Phản ánh'!$A$6:$A$505,0)),IF(AND($I285="Công việc",OR($E285="Hoàn thành",$E285="Hoàn thành kỳ")),IF(INDEX('Kế hoạch'!$B$6:$B$305,$O285)="Đột xuất",INDEX('Kế hoạch'!$AY$6:$AY$305,$O285),IF(N($P285)=0,"",IF(INT($B285)&lt;$P285,$P285,IF($Q285&gt;0,$P285+ROUND((INT($B285)-$P285)/$Q285,0)*$Q285,IF($R285&gt;0,EDATE($P285,ROUND((DATEDIF($P285,INT($B285),"m")+(INT($B285)-EDATE($P285,DATEDIF($P285,INT($B285),"m")))/(EDATE($P285,DATEDIF($P285,INT($B285),"m")+1)-EDATE($P285,DATEDIF($P285,INT($B285),"m"))))/$R285,0)*$R285),$P285))))),"")))</f>
      </c>
      <c r="M285" s="223">
        <f>IF(OR($C285="",N($L285)=0,N($B285)=0),"",IF(IF(MOD($L285,1)=0,INT($B285),$B285)&lt;=$L285,"Đúng hạn","Trễ hạn"))</f>
      </c>
      <c r="N285" s="225">
        <f>IF($C285="","",ROW())</f>
      </c>
      <c r="O285" s="225">
        <f>IF($I285="Công việc",MATCH($C285,'Kế hoạch'!$A$6:$A$305,0),"")</f>
      </c>
      <c r="P285" s="234">
        <f>IF($O285="","",INDEX('Kế hoạch'!$I$6:$I$305,$O285))</f>
      </c>
      <c r="Q285" s="225">
        <f>IF($O285="","",INDEX('Kế hoạch'!$AJ$6:$AJ$305,$O285))</f>
      </c>
      <c r="R285" s="225">
        <f>IF($O285="","",INDEX('Kế hoạch'!$AK$6:$AK$305,$O285))</f>
      </c>
    </row>
    <row r="286">
      <c r="A286" s="223">
        <f>IF($C286="","",COUNTIF($C$6:$C286,"?*"))</f>
      </c>
      <c r="B286" s="217"/>
      <c r="C286" s="216"/>
      <c r="D286" s="240"/>
      <c r="E286" s="218"/>
      <c r="F286" s="218"/>
      <c r="G286" s="218"/>
      <c r="H286" s="219"/>
      <c r="I286" s="223">
        <f>IF($C286="","",IF(ISNUMBER(MATCH($C286,'Phản ánh'!$A$6:$A$505,0)),"Phản ánh",IF(ISNUMBER(MATCH($C286,'Kế hoạch'!$A$6:$A$305,0)),"Công việc","Mã chưa có")))</f>
      </c>
      <c r="J286" s="221">
        <f>IF($I286="Phản ánh",INDEX('Phản ánh'!$C$6:$C$505,MATCH($C286,'Phản ánh'!$A$6:$A$505,0)),IF($I286="Công việc",INDEX('Kế hoạch'!$C$6:$C$305,$O286),""))</f>
      </c>
      <c r="K286" s="221">
        <f>IF($I286="Phản ánh",INDEX('Phản ánh'!$K$6:$K$505,MATCH($C286,'Phản ánh'!$A$6:$A$505,0))&amp;"",IF($I286="Công việc",INDEX('Kế hoạch'!$N$6:$N$305,$O286)&amp;"",""))</f>
      </c>
      <c r="L286" s="220">
        <f>IF(OR($C286="",N($B286)=0),"",IF(AND($I286="Phản ánh",$E286="Đã xử lý"),INDEX('Phản ánh'!$U$6:$U$505,MATCH($C286,'Phản ánh'!$A$6:$A$505,0)),IF(AND($I286="Công việc",OR($E286="Hoàn thành",$E286="Hoàn thành kỳ")),IF(INDEX('Kế hoạch'!$B$6:$B$305,$O286)="Đột xuất",INDEX('Kế hoạch'!$AY$6:$AY$305,$O286),IF(N($P286)=0,"",IF(INT($B286)&lt;$P286,$P286,IF($Q286&gt;0,$P286+ROUND((INT($B286)-$P286)/$Q286,0)*$Q286,IF($R286&gt;0,EDATE($P286,ROUND((DATEDIF($P286,INT($B286),"m")+(INT($B286)-EDATE($P286,DATEDIF($P286,INT($B286),"m")))/(EDATE($P286,DATEDIF($P286,INT($B286),"m")+1)-EDATE($P286,DATEDIF($P286,INT($B286),"m"))))/$R286,0)*$R286),$P286))))),"")))</f>
      </c>
      <c r="M286" s="223">
        <f>IF(OR($C286="",N($L286)=0,N($B286)=0),"",IF(IF(MOD($L286,1)=0,INT($B286),$B286)&lt;=$L286,"Đúng hạn","Trễ hạn"))</f>
      </c>
      <c r="N286" s="225">
        <f>IF($C286="","",ROW())</f>
      </c>
      <c r="O286" s="225">
        <f>IF($I286="Công việc",MATCH($C286,'Kế hoạch'!$A$6:$A$305,0),"")</f>
      </c>
      <c r="P286" s="234">
        <f>IF($O286="","",INDEX('Kế hoạch'!$I$6:$I$305,$O286))</f>
      </c>
      <c r="Q286" s="225">
        <f>IF($O286="","",INDEX('Kế hoạch'!$AJ$6:$AJ$305,$O286))</f>
      </c>
      <c r="R286" s="225">
        <f>IF($O286="","",INDEX('Kế hoạch'!$AK$6:$AK$305,$O286))</f>
      </c>
    </row>
    <row r="287">
      <c r="A287" s="223">
        <f>IF($C287="","",COUNTIF($C$6:$C287,"?*"))</f>
      </c>
      <c r="B287" s="217"/>
      <c r="C287" s="216"/>
      <c r="D287" s="240"/>
      <c r="E287" s="218"/>
      <c r="F287" s="218"/>
      <c r="G287" s="218"/>
      <c r="H287" s="219"/>
      <c r="I287" s="223">
        <f>IF($C287="","",IF(ISNUMBER(MATCH($C287,'Phản ánh'!$A$6:$A$505,0)),"Phản ánh",IF(ISNUMBER(MATCH($C287,'Kế hoạch'!$A$6:$A$305,0)),"Công việc","Mã chưa có")))</f>
      </c>
      <c r="J287" s="221">
        <f>IF($I287="Phản ánh",INDEX('Phản ánh'!$C$6:$C$505,MATCH($C287,'Phản ánh'!$A$6:$A$505,0)),IF($I287="Công việc",INDEX('Kế hoạch'!$C$6:$C$305,$O287),""))</f>
      </c>
      <c r="K287" s="221">
        <f>IF($I287="Phản ánh",INDEX('Phản ánh'!$K$6:$K$505,MATCH($C287,'Phản ánh'!$A$6:$A$505,0))&amp;"",IF($I287="Công việc",INDEX('Kế hoạch'!$N$6:$N$305,$O287)&amp;"",""))</f>
      </c>
      <c r="L287" s="220">
        <f>IF(OR($C287="",N($B287)=0),"",IF(AND($I287="Phản ánh",$E287="Đã xử lý"),INDEX('Phản ánh'!$U$6:$U$505,MATCH($C287,'Phản ánh'!$A$6:$A$505,0)),IF(AND($I287="Công việc",OR($E287="Hoàn thành",$E287="Hoàn thành kỳ")),IF(INDEX('Kế hoạch'!$B$6:$B$305,$O287)="Đột xuất",INDEX('Kế hoạch'!$AY$6:$AY$305,$O287),IF(N($P287)=0,"",IF(INT($B287)&lt;$P287,$P287,IF($Q287&gt;0,$P287+ROUND((INT($B287)-$P287)/$Q287,0)*$Q287,IF($R287&gt;0,EDATE($P287,ROUND((DATEDIF($P287,INT($B287),"m")+(INT($B287)-EDATE($P287,DATEDIF($P287,INT($B287),"m")))/(EDATE($P287,DATEDIF($P287,INT($B287),"m")+1)-EDATE($P287,DATEDIF($P287,INT($B287),"m"))))/$R287,0)*$R287),$P287))))),"")))</f>
      </c>
      <c r="M287" s="223">
        <f>IF(OR($C287="",N($L287)=0,N($B287)=0),"",IF(IF(MOD($L287,1)=0,INT($B287),$B287)&lt;=$L287,"Đúng hạn","Trễ hạn"))</f>
      </c>
      <c r="N287" s="225">
        <f>IF($C287="","",ROW())</f>
      </c>
      <c r="O287" s="225">
        <f>IF($I287="Công việc",MATCH($C287,'Kế hoạch'!$A$6:$A$305,0),"")</f>
      </c>
      <c r="P287" s="234">
        <f>IF($O287="","",INDEX('Kế hoạch'!$I$6:$I$305,$O287))</f>
      </c>
      <c r="Q287" s="225">
        <f>IF($O287="","",INDEX('Kế hoạch'!$AJ$6:$AJ$305,$O287))</f>
      </c>
      <c r="R287" s="225">
        <f>IF($O287="","",INDEX('Kế hoạch'!$AK$6:$AK$305,$O287))</f>
      </c>
    </row>
    <row r="288">
      <c r="A288" s="223">
        <f>IF($C288="","",COUNTIF($C$6:$C288,"?*"))</f>
      </c>
      <c r="B288" s="217"/>
      <c r="C288" s="216"/>
      <c r="D288" s="240"/>
      <c r="E288" s="218"/>
      <c r="F288" s="218"/>
      <c r="G288" s="218"/>
      <c r="H288" s="219"/>
      <c r="I288" s="223">
        <f>IF($C288="","",IF(ISNUMBER(MATCH($C288,'Phản ánh'!$A$6:$A$505,0)),"Phản ánh",IF(ISNUMBER(MATCH($C288,'Kế hoạch'!$A$6:$A$305,0)),"Công việc","Mã chưa có")))</f>
      </c>
      <c r="J288" s="221">
        <f>IF($I288="Phản ánh",INDEX('Phản ánh'!$C$6:$C$505,MATCH($C288,'Phản ánh'!$A$6:$A$505,0)),IF($I288="Công việc",INDEX('Kế hoạch'!$C$6:$C$305,$O288),""))</f>
      </c>
      <c r="K288" s="221">
        <f>IF($I288="Phản ánh",INDEX('Phản ánh'!$K$6:$K$505,MATCH($C288,'Phản ánh'!$A$6:$A$505,0))&amp;"",IF($I288="Công việc",INDEX('Kế hoạch'!$N$6:$N$305,$O288)&amp;"",""))</f>
      </c>
      <c r="L288" s="220">
        <f>IF(OR($C288="",N($B288)=0),"",IF(AND($I288="Phản ánh",$E288="Đã xử lý"),INDEX('Phản ánh'!$U$6:$U$505,MATCH($C288,'Phản ánh'!$A$6:$A$505,0)),IF(AND($I288="Công việc",OR($E288="Hoàn thành",$E288="Hoàn thành kỳ")),IF(INDEX('Kế hoạch'!$B$6:$B$305,$O288)="Đột xuất",INDEX('Kế hoạch'!$AY$6:$AY$305,$O288),IF(N($P288)=0,"",IF(INT($B288)&lt;$P288,$P288,IF($Q288&gt;0,$P288+ROUND((INT($B288)-$P288)/$Q288,0)*$Q288,IF($R288&gt;0,EDATE($P288,ROUND((DATEDIF($P288,INT($B288),"m")+(INT($B288)-EDATE($P288,DATEDIF($P288,INT($B288),"m")))/(EDATE($P288,DATEDIF($P288,INT($B288),"m")+1)-EDATE($P288,DATEDIF($P288,INT($B288),"m"))))/$R288,0)*$R288),$P288))))),"")))</f>
      </c>
      <c r="M288" s="223">
        <f>IF(OR($C288="",N($L288)=0,N($B288)=0),"",IF(IF(MOD($L288,1)=0,INT($B288),$B288)&lt;=$L288,"Đúng hạn","Trễ hạn"))</f>
      </c>
      <c r="N288" s="225">
        <f>IF($C288="","",ROW())</f>
      </c>
      <c r="O288" s="225">
        <f>IF($I288="Công việc",MATCH($C288,'Kế hoạch'!$A$6:$A$305,0),"")</f>
      </c>
      <c r="P288" s="234">
        <f>IF($O288="","",INDEX('Kế hoạch'!$I$6:$I$305,$O288))</f>
      </c>
      <c r="Q288" s="225">
        <f>IF($O288="","",INDEX('Kế hoạch'!$AJ$6:$AJ$305,$O288))</f>
      </c>
      <c r="R288" s="225">
        <f>IF($O288="","",INDEX('Kế hoạch'!$AK$6:$AK$305,$O288))</f>
      </c>
    </row>
    <row r="289">
      <c r="A289" s="223">
        <f>IF($C289="","",COUNTIF($C$6:$C289,"?*"))</f>
      </c>
      <c r="B289" s="217"/>
      <c r="C289" s="216"/>
      <c r="D289" s="240"/>
      <c r="E289" s="218"/>
      <c r="F289" s="218"/>
      <c r="G289" s="218"/>
      <c r="H289" s="219"/>
      <c r="I289" s="223">
        <f>IF($C289="","",IF(ISNUMBER(MATCH($C289,'Phản ánh'!$A$6:$A$505,0)),"Phản ánh",IF(ISNUMBER(MATCH($C289,'Kế hoạch'!$A$6:$A$305,0)),"Công việc","Mã chưa có")))</f>
      </c>
      <c r="J289" s="221">
        <f>IF($I289="Phản ánh",INDEX('Phản ánh'!$C$6:$C$505,MATCH($C289,'Phản ánh'!$A$6:$A$505,0)),IF($I289="Công việc",INDEX('Kế hoạch'!$C$6:$C$305,$O289),""))</f>
      </c>
      <c r="K289" s="221">
        <f>IF($I289="Phản ánh",INDEX('Phản ánh'!$K$6:$K$505,MATCH($C289,'Phản ánh'!$A$6:$A$505,0))&amp;"",IF($I289="Công việc",INDEX('Kế hoạch'!$N$6:$N$305,$O289)&amp;"",""))</f>
      </c>
      <c r="L289" s="220">
        <f>IF(OR($C289="",N($B289)=0),"",IF(AND($I289="Phản ánh",$E289="Đã xử lý"),INDEX('Phản ánh'!$U$6:$U$505,MATCH($C289,'Phản ánh'!$A$6:$A$505,0)),IF(AND($I289="Công việc",OR($E289="Hoàn thành",$E289="Hoàn thành kỳ")),IF(INDEX('Kế hoạch'!$B$6:$B$305,$O289)="Đột xuất",INDEX('Kế hoạch'!$AY$6:$AY$305,$O289),IF(N($P289)=0,"",IF(INT($B289)&lt;$P289,$P289,IF($Q289&gt;0,$P289+ROUND((INT($B289)-$P289)/$Q289,0)*$Q289,IF($R289&gt;0,EDATE($P289,ROUND((DATEDIF($P289,INT($B289),"m")+(INT($B289)-EDATE($P289,DATEDIF($P289,INT($B289),"m")))/(EDATE($P289,DATEDIF($P289,INT($B289),"m")+1)-EDATE($P289,DATEDIF($P289,INT($B289),"m"))))/$R289,0)*$R289),$P289))))),"")))</f>
      </c>
      <c r="M289" s="223">
        <f>IF(OR($C289="",N($L289)=0,N($B289)=0),"",IF(IF(MOD($L289,1)=0,INT($B289),$B289)&lt;=$L289,"Đúng hạn","Trễ hạn"))</f>
      </c>
      <c r="N289" s="225">
        <f>IF($C289="","",ROW())</f>
      </c>
      <c r="O289" s="225">
        <f>IF($I289="Công việc",MATCH($C289,'Kế hoạch'!$A$6:$A$305,0),"")</f>
      </c>
      <c r="P289" s="234">
        <f>IF($O289="","",INDEX('Kế hoạch'!$I$6:$I$305,$O289))</f>
      </c>
      <c r="Q289" s="225">
        <f>IF($O289="","",INDEX('Kế hoạch'!$AJ$6:$AJ$305,$O289))</f>
      </c>
      <c r="R289" s="225">
        <f>IF($O289="","",INDEX('Kế hoạch'!$AK$6:$AK$305,$O289))</f>
      </c>
    </row>
    <row r="290">
      <c r="A290" s="223">
        <f>IF($C290="","",COUNTIF($C$6:$C290,"?*"))</f>
      </c>
      <c r="B290" s="217"/>
      <c r="C290" s="216"/>
      <c r="D290" s="240"/>
      <c r="E290" s="218"/>
      <c r="F290" s="218"/>
      <c r="G290" s="218"/>
      <c r="H290" s="219"/>
      <c r="I290" s="223">
        <f>IF($C290="","",IF(ISNUMBER(MATCH($C290,'Phản ánh'!$A$6:$A$505,0)),"Phản ánh",IF(ISNUMBER(MATCH($C290,'Kế hoạch'!$A$6:$A$305,0)),"Công việc","Mã chưa có")))</f>
      </c>
      <c r="J290" s="221">
        <f>IF($I290="Phản ánh",INDEX('Phản ánh'!$C$6:$C$505,MATCH($C290,'Phản ánh'!$A$6:$A$505,0)),IF($I290="Công việc",INDEX('Kế hoạch'!$C$6:$C$305,$O290),""))</f>
      </c>
      <c r="K290" s="221">
        <f>IF($I290="Phản ánh",INDEX('Phản ánh'!$K$6:$K$505,MATCH($C290,'Phản ánh'!$A$6:$A$505,0))&amp;"",IF($I290="Công việc",INDEX('Kế hoạch'!$N$6:$N$305,$O290)&amp;"",""))</f>
      </c>
      <c r="L290" s="220">
        <f>IF(OR($C290="",N($B290)=0),"",IF(AND($I290="Phản ánh",$E290="Đã xử lý"),INDEX('Phản ánh'!$U$6:$U$505,MATCH($C290,'Phản ánh'!$A$6:$A$505,0)),IF(AND($I290="Công việc",OR($E290="Hoàn thành",$E290="Hoàn thành kỳ")),IF(INDEX('Kế hoạch'!$B$6:$B$305,$O290)="Đột xuất",INDEX('Kế hoạch'!$AY$6:$AY$305,$O290),IF(N($P290)=0,"",IF(INT($B290)&lt;$P290,$P290,IF($Q290&gt;0,$P290+ROUND((INT($B290)-$P290)/$Q290,0)*$Q290,IF($R290&gt;0,EDATE($P290,ROUND((DATEDIF($P290,INT($B290),"m")+(INT($B290)-EDATE($P290,DATEDIF($P290,INT($B290),"m")))/(EDATE($P290,DATEDIF($P290,INT($B290),"m")+1)-EDATE($P290,DATEDIF($P290,INT($B290),"m"))))/$R290,0)*$R290),$P290))))),"")))</f>
      </c>
      <c r="M290" s="223">
        <f>IF(OR($C290="",N($L290)=0,N($B290)=0),"",IF(IF(MOD($L290,1)=0,INT($B290),$B290)&lt;=$L290,"Đúng hạn","Trễ hạn"))</f>
      </c>
      <c r="N290" s="225">
        <f>IF($C290="","",ROW())</f>
      </c>
      <c r="O290" s="225">
        <f>IF($I290="Công việc",MATCH($C290,'Kế hoạch'!$A$6:$A$305,0),"")</f>
      </c>
      <c r="P290" s="234">
        <f>IF($O290="","",INDEX('Kế hoạch'!$I$6:$I$305,$O290))</f>
      </c>
      <c r="Q290" s="225">
        <f>IF($O290="","",INDEX('Kế hoạch'!$AJ$6:$AJ$305,$O290))</f>
      </c>
      <c r="R290" s="225">
        <f>IF($O290="","",INDEX('Kế hoạch'!$AK$6:$AK$305,$O290))</f>
      </c>
    </row>
    <row r="291">
      <c r="A291" s="223">
        <f>IF($C291="","",COUNTIF($C$6:$C291,"?*"))</f>
      </c>
      <c r="B291" s="217"/>
      <c r="C291" s="216"/>
      <c r="D291" s="240"/>
      <c r="E291" s="218"/>
      <c r="F291" s="218"/>
      <c r="G291" s="218"/>
      <c r="H291" s="219"/>
      <c r="I291" s="223">
        <f>IF($C291="","",IF(ISNUMBER(MATCH($C291,'Phản ánh'!$A$6:$A$505,0)),"Phản ánh",IF(ISNUMBER(MATCH($C291,'Kế hoạch'!$A$6:$A$305,0)),"Công việc","Mã chưa có")))</f>
      </c>
      <c r="J291" s="221">
        <f>IF($I291="Phản ánh",INDEX('Phản ánh'!$C$6:$C$505,MATCH($C291,'Phản ánh'!$A$6:$A$505,0)),IF($I291="Công việc",INDEX('Kế hoạch'!$C$6:$C$305,$O291),""))</f>
      </c>
      <c r="K291" s="221">
        <f>IF($I291="Phản ánh",INDEX('Phản ánh'!$K$6:$K$505,MATCH($C291,'Phản ánh'!$A$6:$A$505,0))&amp;"",IF($I291="Công việc",INDEX('Kế hoạch'!$N$6:$N$305,$O291)&amp;"",""))</f>
      </c>
      <c r="L291" s="220">
        <f>IF(OR($C291="",N($B291)=0),"",IF(AND($I291="Phản ánh",$E291="Đã xử lý"),INDEX('Phản ánh'!$U$6:$U$505,MATCH($C291,'Phản ánh'!$A$6:$A$505,0)),IF(AND($I291="Công việc",OR($E291="Hoàn thành",$E291="Hoàn thành kỳ")),IF(INDEX('Kế hoạch'!$B$6:$B$305,$O291)="Đột xuất",INDEX('Kế hoạch'!$AY$6:$AY$305,$O291),IF(N($P291)=0,"",IF(INT($B291)&lt;$P291,$P291,IF($Q291&gt;0,$P291+ROUND((INT($B291)-$P291)/$Q291,0)*$Q291,IF($R291&gt;0,EDATE($P291,ROUND((DATEDIF($P291,INT($B291),"m")+(INT($B291)-EDATE($P291,DATEDIF($P291,INT($B291),"m")))/(EDATE($P291,DATEDIF($P291,INT($B291),"m")+1)-EDATE($P291,DATEDIF($P291,INT($B291),"m"))))/$R291,0)*$R291),$P291))))),"")))</f>
      </c>
      <c r="M291" s="223">
        <f>IF(OR($C291="",N($L291)=0,N($B291)=0),"",IF(IF(MOD($L291,1)=0,INT($B291),$B291)&lt;=$L291,"Đúng hạn","Trễ hạn"))</f>
      </c>
      <c r="N291" s="225">
        <f>IF($C291="","",ROW())</f>
      </c>
      <c r="O291" s="225">
        <f>IF($I291="Công việc",MATCH($C291,'Kế hoạch'!$A$6:$A$305,0),"")</f>
      </c>
      <c r="P291" s="234">
        <f>IF($O291="","",INDEX('Kế hoạch'!$I$6:$I$305,$O291))</f>
      </c>
      <c r="Q291" s="225">
        <f>IF($O291="","",INDEX('Kế hoạch'!$AJ$6:$AJ$305,$O291))</f>
      </c>
      <c r="R291" s="225">
        <f>IF($O291="","",INDEX('Kế hoạch'!$AK$6:$AK$305,$O291))</f>
      </c>
    </row>
    <row r="292">
      <c r="A292" s="223">
        <f>IF($C292="","",COUNTIF($C$6:$C292,"?*"))</f>
      </c>
      <c r="B292" s="217"/>
      <c r="C292" s="216"/>
      <c r="D292" s="240"/>
      <c r="E292" s="218"/>
      <c r="F292" s="218"/>
      <c r="G292" s="218"/>
      <c r="H292" s="219"/>
      <c r="I292" s="223">
        <f>IF($C292="","",IF(ISNUMBER(MATCH($C292,'Phản ánh'!$A$6:$A$505,0)),"Phản ánh",IF(ISNUMBER(MATCH($C292,'Kế hoạch'!$A$6:$A$305,0)),"Công việc","Mã chưa có")))</f>
      </c>
      <c r="J292" s="221">
        <f>IF($I292="Phản ánh",INDEX('Phản ánh'!$C$6:$C$505,MATCH($C292,'Phản ánh'!$A$6:$A$505,0)),IF($I292="Công việc",INDEX('Kế hoạch'!$C$6:$C$305,$O292),""))</f>
      </c>
      <c r="K292" s="221">
        <f>IF($I292="Phản ánh",INDEX('Phản ánh'!$K$6:$K$505,MATCH($C292,'Phản ánh'!$A$6:$A$505,0))&amp;"",IF($I292="Công việc",INDEX('Kế hoạch'!$N$6:$N$305,$O292)&amp;"",""))</f>
      </c>
      <c r="L292" s="220">
        <f>IF(OR($C292="",N($B292)=0),"",IF(AND($I292="Phản ánh",$E292="Đã xử lý"),INDEX('Phản ánh'!$U$6:$U$505,MATCH($C292,'Phản ánh'!$A$6:$A$505,0)),IF(AND($I292="Công việc",OR($E292="Hoàn thành",$E292="Hoàn thành kỳ")),IF(INDEX('Kế hoạch'!$B$6:$B$305,$O292)="Đột xuất",INDEX('Kế hoạch'!$AY$6:$AY$305,$O292),IF(N($P292)=0,"",IF(INT($B292)&lt;$P292,$P292,IF($Q292&gt;0,$P292+ROUND((INT($B292)-$P292)/$Q292,0)*$Q292,IF($R292&gt;0,EDATE($P292,ROUND((DATEDIF($P292,INT($B292),"m")+(INT($B292)-EDATE($P292,DATEDIF($P292,INT($B292),"m")))/(EDATE($P292,DATEDIF($P292,INT($B292),"m")+1)-EDATE($P292,DATEDIF($P292,INT($B292),"m"))))/$R292,0)*$R292),$P292))))),"")))</f>
      </c>
      <c r="M292" s="223">
        <f>IF(OR($C292="",N($L292)=0,N($B292)=0),"",IF(IF(MOD($L292,1)=0,INT($B292),$B292)&lt;=$L292,"Đúng hạn","Trễ hạn"))</f>
      </c>
      <c r="N292" s="225">
        <f>IF($C292="","",ROW())</f>
      </c>
      <c r="O292" s="225">
        <f>IF($I292="Công việc",MATCH($C292,'Kế hoạch'!$A$6:$A$305,0),"")</f>
      </c>
      <c r="P292" s="234">
        <f>IF($O292="","",INDEX('Kế hoạch'!$I$6:$I$305,$O292))</f>
      </c>
      <c r="Q292" s="225">
        <f>IF($O292="","",INDEX('Kế hoạch'!$AJ$6:$AJ$305,$O292))</f>
      </c>
      <c r="R292" s="225">
        <f>IF($O292="","",INDEX('Kế hoạch'!$AK$6:$AK$305,$O292))</f>
      </c>
    </row>
    <row r="293">
      <c r="A293" s="223">
        <f>IF($C293="","",COUNTIF($C$6:$C293,"?*"))</f>
      </c>
      <c r="B293" s="217"/>
      <c r="C293" s="216"/>
      <c r="D293" s="240"/>
      <c r="E293" s="218"/>
      <c r="F293" s="218"/>
      <c r="G293" s="218"/>
      <c r="H293" s="219"/>
      <c r="I293" s="223">
        <f>IF($C293="","",IF(ISNUMBER(MATCH($C293,'Phản ánh'!$A$6:$A$505,0)),"Phản ánh",IF(ISNUMBER(MATCH($C293,'Kế hoạch'!$A$6:$A$305,0)),"Công việc","Mã chưa có")))</f>
      </c>
      <c r="J293" s="221">
        <f>IF($I293="Phản ánh",INDEX('Phản ánh'!$C$6:$C$505,MATCH($C293,'Phản ánh'!$A$6:$A$505,0)),IF($I293="Công việc",INDEX('Kế hoạch'!$C$6:$C$305,$O293),""))</f>
      </c>
      <c r="K293" s="221">
        <f>IF($I293="Phản ánh",INDEX('Phản ánh'!$K$6:$K$505,MATCH($C293,'Phản ánh'!$A$6:$A$505,0))&amp;"",IF($I293="Công việc",INDEX('Kế hoạch'!$N$6:$N$305,$O293)&amp;"",""))</f>
      </c>
      <c r="L293" s="220">
        <f>IF(OR($C293="",N($B293)=0),"",IF(AND($I293="Phản ánh",$E293="Đã xử lý"),INDEX('Phản ánh'!$U$6:$U$505,MATCH($C293,'Phản ánh'!$A$6:$A$505,0)),IF(AND($I293="Công việc",OR($E293="Hoàn thành",$E293="Hoàn thành kỳ")),IF(INDEX('Kế hoạch'!$B$6:$B$305,$O293)="Đột xuất",INDEX('Kế hoạch'!$AY$6:$AY$305,$O293),IF(N($P293)=0,"",IF(INT($B293)&lt;$P293,$P293,IF($Q293&gt;0,$P293+ROUND((INT($B293)-$P293)/$Q293,0)*$Q293,IF($R293&gt;0,EDATE($P293,ROUND((DATEDIF($P293,INT($B293),"m")+(INT($B293)-EDATE($P293,DATEDIF($P293,INT($B293),"m")))/(EDATE($P293,DATEDIF($P293,INT($B293),"m")+1)-EDATE($P293,DATEDIF($P293,INT($B293),"m"))))/$R293,0)*$R293),$P293))))),"")))</f>
      </c>
      <c r="M293" s="223">
        <f>IF(OR($C293="",N($L293)=0,N($B293)=0),"",IF(IF(MOD($L293,1)=0,INT($B293),$B293)&lt;=$L293,"Đúng hạn","Trễ hạn"))</f>
      </c>
      <c r="N293" s="225">
        <f>IF($C293="","",ROW())</f>
      </c>
      <c r="O293" s="225">
        <f>IF($I293="Công việc",MATCH($C293,'Kế hoạch'!$A$6:$A$305,0),"")</f>
      </c>
      <c r="P293" s="234">
        <f>IF($O293="","",INDEX('Kế hoạch'!$I$6:$I$305,$O293))</f>
      </c>
      <c r="Q293" s="225">
        <f>IF($O293="","",INDEX('Kế hoạch'!$AJ$6:$AJ$305,$O293))</f>
      </c>
      <c r="R293" s="225">
        <f>IF($O293="","",INDEX('Kế hoạch'!$AK$6:$AK$305,$O293))</f>
      </c>
    </row>
    <row r="294">
      <c r="A294" s="223">
        <f>IF($C294="","",COUNTIF($C$6:$C294,"?*"))</f>
      </c>
      <c r="B294" s="217"/>
      <c r="C294" s="216"/>
      <c r="D294" s="240"/>
      <c r="E294" s="218"/>
      <c r="F294" s="218"/>
      <c r="G294" s="218"/>
      <c r="H294" s="219"/>
      <c r="I294" s="223">
        <f>IF($C294="","",IF(ISNUMBER(MATCH($C294,'Phản ánh'!$A$6:$A$505,0)),"Phản ánh",IF(ISNUMBER(MATCH($C294,'Kế hoạch'!$A$6:$A$305,0)),"Công việc","Mã chưa có")))</f>
      </c>
      <c r="J294" s="221">
        <f>IF($I294="Phản ánh",INDEX('Phản ánh'!$C$6:$C$505,MATCH($C294,'Phản ánh'!$A$6:$A$505,0)),IF($I294="Công việc",INDEX('Kế hoạch'!$C$6:$C$305,$O294),""))</f>
      </c>
      <c r="K294" s="221">
        <f>IF($I294="Phản ánh",INDEX('Phản ánh'!$K$6:$K$505,MATCH($C294,'Phản ánh'!$A$6:$A$505,0))&amp;"",IF($I294="Công việc",INDEX('Kế hoạch'!$N$6:$N$305,$O294)&amp;"",""))</f>
      </c>
      <c r="L294" s="220">
        <f>IF(OR($C294="",N($B294)=0),"",IF(AND($I294="Phản ánh",$E294="Đã xử lý"),INDEX('Phản ánh'!$U$6:$U$505,MATCH($C294,'Phản ánh'!$A$6:$A$505,0)),IF(AND($I294="Công việc",OR($E294="Hoàn thành",$E294="Hoàn thành kỳ")),IF(INDEX('Kế hoạch'!$B$6:$B$305,$O294)="Đột xuất",INDEX('Kế hoạch'!$AY$6:$AY$305,$O294),IF(N($P294)=0,"",IF(INT($B294)&lt;$P294,$P294,IF($Q294&gt;0,$P294+ROUND((INT($B294)-$P294)/$Q294,0)*$Q294,IF($R294&gt;0,EDATE($P294,ROUND((DATEDIF($P294,INT($B294),"m")+(INT($B294)-EDATE($P294,DATEDIF($P294,INT($B294),"m")))/(EDATE($P294,DATEDIF($P294,INT($B294),"m")+1)-EDATE($P294,DATEDIF($P294,INT($B294),"m"))))/$R294,0)*$R294),$P294))))),"")))</f>
      </c>
      <c r="M294" s="223">
        <f>IF(OR($C294="",N($L294)=0,N($B294)=0),"",IF(IF(MOD($L294,1)=0,INT($B294),$B294)&lt;=$L294,"Đúng hạn","Trễ hạn"))</f>
      </c>
      <c r="N294" s="225">
        <f>IF($C294="","",ROW())</f>
      </c>
      <c r="O294" s="225">
        <f>IF($I294="Công việc",MATCH($C294,'Kế hoạch'!$A$6:$A$305,0),"")</f>
      </c>
      <c r="P294" s="234">
        <f>IF($O294="","",INDEX('Kế hoạch'!$I$6:$I$305,$O294))</f>
      </c>
      <c r="Q294" s="225">
        <f>IF($O294="","",INDEX('Kế hoạch'!$AJ$6:$AJ$305,$O294))</f>
      </c>
      <c r="R294" s="225">
        <f>IF($O294="","",INDEX('Kế hoạch'!$AK$6:$AK$305,$O294))</f>
      </c>
    </row>
    <row r="295">
      <c r="A295" s="223">
        <f>IF($C295="","",COUNTIF($C$6:$C295,"?*"))</f>
      </c>
      <c r="B295" s="217"/>
      <c r="C295" s="216"/>
      <c r="D295" s="240"/>
      <c r="E295" s="218"/>
      <c r="F295" s="218"/>
      <c r="G295" s="218"/>
      <c r="H295" s="219"/>
      <c r="I295" s="223">
        <f>IF($C295="","",IF(ISNUMBER(MATCH($C295,'Phản ánh'!$A$6:$A$505,0)),"Phản ánh",IF(ISNUMBER(MATCH($C295,'Kế hoạch'!$A$6:$A$305,0)),"Công việc","Mã chưa có")))</f>
      </c>
      <c r="J295" s="221">
        <f>IF($I295="Phản ánh",INDEX('Phản ánh'!$C$6:$C$505,MATCH($C295,'Phản ánh'!$A$6:$A$505,0)),IF($I295="Công việc",INDEX('Kế hoạch'!$C$6:$C$305,$O295),""))</f>
      </c>
      <c r="K295" s="221">
        <f>IF($I295="Phản ánh",INDEX('Phản ánh'!$K$6:$K$505,MATCH($C295,'Phản ánh'!$A$6:$A$505,0))&amp;"",IF($I295="Công việc",INDEX('Kế hoạch'!$N$6:$N$305,$O295)&amp;"",""))</f>
      </c>
      <c r="L295" s="220">
        <f>IF(OR($C295="",N($B295)=0),"",IF(AND($I295="Phản ánh",$E295="Đã xử lý"),INDEX('Phản ánh'!$U$6:$U$505,MATCH($C295,'Phản ánh'!$A$6:$A$505,0)),IF(AND($I295="Công việc",OR($E295="Hoàn thành",$E295="Hoàn thành kỳ")),IF(INDEX('Kế hoạch'!$B$6:$B$305,$O295)="Đột xuất",INDEX('Kế hoạch'!$AY$6:$AY$305,$O295),IF(N($P295)=0,"",IF(INT($B295)&lt;$P295,$P295,IF($Q295&gt;0,$P295+ROUND((INT($B295)-$P295)/$Q295,0)*$Q295,IF($R295&gt;0,EDATE($P295,ROUND((DATEDIF($P295,INT($B295),"m")+(INT($B295)-EDATE($P295,DATEDIF($P295,INT($B295),"m")))/(EDATE($P295,DATEDIF($P295,INT($B295),"m")+1)-EDATE($P295,DATEDIF($P295,INT($B295),"m"))))/$R295,0)*$R295),$P295))))),"")))</f>
      </c>
      <c r="M295" s="223">
        <f>IF(OR($C295="",N($L295)=0,N($B295)=0),"",IF(IF(MOD($L295,1)=0,INT($B295),$B295)&lt;=$L295,"Đúng hạn","Trễ hạn"))</f>
      </c>
      <c r="N295" s="225">
        <f>IF($C295="","",ROW())</f>
      </c>
      <c r="O295" s="225">
        <f>IF($I295="Công việc",MATCH($C295,'Kế hoạch'!$A$6:$A$305,0),"")</f>
      </c>
      <c r="P295" s="234">
        <f>IF($O295="","",INDEX('Kế hoạch'!$I$6:$I$305,$O295))</f>
      </c>
      <c r="Q295" s="225">
        <f>IF($O295="","",INDEX('Kế hoạch'!$AJ$6:$AJ$305,$O295))</f>
      </c>
      <c r="R295" s="225">
        <f>IF($O295="","",INDEX('Kế hoạch'!$AK$6:$AK$305,$O295))</f>
      </c>
    </row>
    <row r="296">
      <c r="A296" s="223">
        <f>IF($C296="","",COUNTIF($C$6:$C296,"?*"))</f>
      </c>
      <c r="B296" s="217"/>
      <c r="C296" s="216"/>
      <c r="D296" s="240"/>
      <c r="E296" s="218"/>
      <c r="F296" s="218"/>
      <c r="G296" s="218"/>
      <c r="H296" s="219"/>
      <c r="I296" s="223">
        <f>IF($C296="","",IF(ISNUMBER(MATCH($C296,'Phản ánh'!$A$6:$A$505,0)),"Phản ánh",IF(ISNUMBER(MATCH($C296,'Kế hoạch'!$A$6:$A$305,0)),"Công việc","Mã chưa có")))</f>
      </c>
      <c r="J296" s="221">
        <f>IF($I296="Phản ánh",INDEX('Phản ánh'!$C$6:$C$505,MATCH($C296,'Phản ánh'!$A$6:$A$505,0)),IF($I296="Công việc",INDEX('Kế hoạch'!$C$6:$C$305,$O296),""))</f>
      </c>
      <c r="K296" s="221">
        <f>IF($I296="Phản ánh",INDEX('Phản ánh'!$K$6:$K$505,MATCH($C296,'Phản ánh'!$A$6:$A$505,0))&amp;"",IF($I296="Công việc",INDEX('Kế hoạch'!$N$6:$N$305,$O296)&amp;"",""))</f>
      </c>
      <c r="L296" s="220">
        <f>IF(OR($C296="",N($B296)=0),"",IF(AND($I296="Phản ánh",$E296="Đã xử lý"),INDEX('Phản ánh'!$U$6:$U$505,MATCH($C296,'Phản ánh'!$A$6:$A$505,0)),IF(AND($I296="Công việc",OR($E296="Hoàn thành",$E296="Hoàn thành kỳ")),IF(INDEX('Kế hoạch'!$B$6:$B$305,$O296)="Đột xuất",INDEX('Kế hoạch'!$AY$6:$AY$305,$O296),IF(N($P296)=0,"",IF(INT($B296)&lt;$P296,$P296,IF($Q296&gt;0,$P296+ROUND((INT($B296)-$P296)/$Q296,0)*$Q296,IF($R296&gt;0,EDATE($P296,ROUND((DATEDIF($P296,INT($B296),"m")+(INT($B296)-EDATE($P296,DATEDIF($P296,INT($B296),"m")))/(EDATE($P296,DATEDIF($P296,INT($B296),"m")+1)-EDATE($P296,DATEDIF($P296,INT($B296),"m"))))/$R296,0)*$R296),$P296))))),"")))</f>
      </c>
      <c r="M296" s="223">
        <f>IF(OR($C296="",N($L296)=0,N($B296)=0),"",IF(IF(MOD($L296,1)=0,INT($B296),$B296)&lt;=$L296,"Đúng hạn","Trễ hạn"))</f>
      </c>
      <c r="N296" s="225">
        <f>IF($C296="","",ROW())</f>
      </c>
      <c r="O296" s="225">
        <f>IF($I296="Công việc",MATCH($C296,'Kế hoạch'!$A$6:$A$305,0),"")</f>
      </c>
      <c r="P296" s="234">
        <f>IF($O296="","",INDEX('Kế hoạch'!$I$6:$I$305,$O296))</f>
      </c>
      <c r="Q296" s="225">
        <f>IF($O296="","",INDEX('Kế hoạch'!$AJ$6:$AJ$305,$O296))</f>
      </c>
      <c r="R296" s="225">
        <f>IF($O296="","",INDEX('Kế hoạch'!$AK$6:$AK$305,$O296))</f>
      </c>
    </row>
    <row r="297">
      <c r="A297" s="223">
        <f>IF($C297="","",COUNTIF($C$6:$C297,"?*"))</f>
      </c>
      <c r="B297" s="217"/>
      <c r="C297" s="216"/>
      <c r="D297" s="240"/>
      <c r="E297" s="218"/>
      <c r="F297" s="218"/>
      <c r="G297" s="218"/>
      <c r="H297" s="219"/>
      <c r="I297" s="223">
        <f>IF($C297="","",IF(ISNUMBER(MATCH($C297,'Phản ánh'!$A$6:$A$505,0)),"Phản ánh",IF(ISNUMBER(MATCH($C297,'Kế hoạch'!$A$6:$A$305,0)),"Công việc","Mã chưa có")))</f>
      </c>
      <c r="J297" s="221">
        <f>IF($I297="Phản ánh",INDEX('Phản ánh'!$C$6:$C$505,MATCH($C297,'Phản ánh'!$A$6:$A$505,0)),IF($I297="Công việc",INDEX('Kế hoạch'!$C$6:$C$305,$O297),""))</f>
      </c>
      <c r="K297" s="221">
        <f>IF($I297="Phản ánh",INDEX('Phản ánh'!$K$6:$K$505,MATCH($C297,'Phản ánh'!$A$6:$A$505,0))&amp;"",IF($I297="Công việc",INDEX('Kế hoạch'!$N$6:$N$305,$O297)&amp;"",""))</f>
      </c>
      <c r="L297" s="220">
        <f>IF(OR($C297="",N($B297)=0),"",IF(AND($I297="Phản ánh",$E297="Đã xử lý"),INDEX('Phản ánh'!$U$6:$U$505,MATCH($C297,'Phản ánh'!$A$6:$A$505,0)),IF(AND($I297="Công việc",OR($E297="Hoàn thành",$E297="Hoàn thành kỳ")),IF(INDEX('Kế hoạch'!$B$6:$B$305,$O297)="Đột xuất",INDEX('Kế hoạch'!$AY$6:$AY$305,$O297),IF(N($P297)=0,"",IF(INT($B297)&lt;$P297,$P297,IF($Q297&gt;0,$P297+ROUND((INT($B297)-$P297)/$Q297,0)*$Q297,IF($R297&gt;0,EDATE($P297,ROUND((DATEDIF($P297,INT($B297),"m")+(INT($B297)-EDATE($P297,DATEDIF($P297,INT($B297),"m")))/(EDATE($P297,DATEDIF($P297,INT($B297),"m")+1)-EDATE($P297,DATEDIF($P297,INT($B297),"m"))))/$R297,0)*$R297),$P297))))),"")))</f>
      </c>
      <c r="M297" s="223">
        <f>IF(OR($C297="",N($L297)=0,N($B297)=0),"",IF(IF(MOD($L297,1)=0,INT($B297),$B297)&lt;=$L297,"Đúng hạn","Trễ hạn"))</f>
      </c>
      <c r="N297" s="225">
        <f>IF($C297="","",ROW())</f>
      </c>
      <c r="O297" s="225">
        <f>IF($I297="Công việc",MATCH($C297,'Kế hoạch'!$A$6:$A$305,0),"")</f>
      </c>
      <c r="P297" s="234">
        <f>IF($O297="","",INDEX('Kế hoạch'!$I$6:$I$305,$O297))</f>
      </c>
      <c r="Q297" s="225">
        <f>IF($O297="","",INDEX('Kế hoạch'!$AJ$6:$AJ$305,$O297))</f>
      </c>
      <c r="R297" s="225">
        <f>IF($O297="","",INDEX('Kế hoạch'!$AK$6:$AK$305,$O297))</f>
      </c>
    </row>
    <row r="298">
      <c r="A298" s="223">
        <f>IF($C298="","",COUNTIF($C$6:$C298,"?*"))</f>
      </c>
      <c r="B298" s="217"/>
      <c r="C298" s="216"/>
      <c r="D298" s="240"/>
      <c r="E298" s="218"/>
      <c r="F298" s="218"/>
      <c r="G298" s="218"/>
      <c r="H298" s="219"/>
      <c r="I298" s="223">
        <f>IF($C298="","",IF(ISNUMBER(MATCH($C298,'Phản ánh'!$A$6:$A$505,0)),"Phản ánh",IF(ISNUMBER(MATCH($C298,'Kế hoạch'!$A$6:$A$305,0)),"Công việc","Mã chưa có")))</f>
      </c>
      <c r="J298" s="221">
        <f>IF($I298="Phản ánh",INDEX('Phản ánh'!$C$6:$C$505,MATCH($C298,'Phản ánh'!$A$6:$A$505,0)),IF($I298="Công việc",INDEX('Kế hoạch'!$C$6:$C$305,$O298),""))</f>
      </c>
      <c r="K298" s="221">
        <f>IF($I298="Phản ánh",INDEX('Phản ánh'!$K$6:$K$505,MATCH($C298,'Phản ánh'!$A$6:$A$505,0))&amp;"",IF($I298="Công việc",INDEX('Kế hoạch'!$N$6:$N$305,$O298)&amp;"",""))</f>
      </c>
      <c r="L298" s="220">
        <f>IF(OR($C298="",N($B298)=0),"",IF(AND($I298="Phản ánh",$E298="Đã xử lý"),INDEX('Phản ánh'!$U$6:$U$505,MATCH($C298,'Phản ánh'!$A$6:$A$505,0)),IF(AND($I298="Công việc",OR($E298="Hoàn thành",$E298="Hoàn thành kỳ")),IF(INDEX('Kế hoạch'!$B$6:$B$305,$O298)="Đột xuất",INDEX('Kế hoạch'!$AY$6:$AY$305,$O298),IF(N($P298)=0,"",IF(INT($B298)&lt;$P298,$P298,IF($Q298&gt;0,$P298+ROUND((INT($B298)-$P298)/$Q298,0)*$Q298,IF($R298&gt;0,EDATE($P298,ROUND((DATEDIF($P298,INT($B298),"m")+(INT($B298)-EDATE($P298,DATEDIF($P298,INT($B298),"m")))/(EDATE($P298,DATEDIF($P298,INT($B298),"m")+1)-EDATE($P298,DATEDIF($P298,INT($B298),"m"))))/$R298,0)*$R298),$P298))))),"")))</f>
      </c>
      <c r="M298" s="223">
        <f>IF(OR($C298="",N($L298)=0,N($B298)=0),"",IF(IF(MOD($L298,1)=0,INT($B298),$B298)&lt;=$L298,"Đúng hạn","Trễ hạn"))</f>
      </c>
      <c r="N298" s="225">
        <f>IF($C298="","",ROW())</f>
      </c>
      <c r="O298" s="225">
        <f>IF($I298="Công việc",MATCH($C298,'Kế hoạch'!$A$6:$A$305,0),"")</f>
      </c>
      <c r="P298" s="234">
        <f>IF($O298="","",INDEX('Kế hoạch'!$I$6:$I$305,$O298))</f>
      </c>
      <c r="Q298" s="225">
        <f>IF($O298="","",INDEX('Kế hoạch'!$AJ$6:$AJ$305,$O298))</f>
      </c>
      <c r="R298" s="225">
        <f>IF($O298="","",INDEX('Kế hoạch'!$AK$6:$AK$305,$O298))</f>
      </c>
    </row>
    <row r="299">
      <c r="A299" s="223">
        <f>IF($C299="","",COUNTIF($C$6:$C299,"?*"))</f>
      </c>
      <c r="B299" s="217"/>
      <c r="C299" s="216"/>
      <c r="D299" s="240"/>
      <c r="E299" s="218"/>
      <c r="F299" s="218"/>
      <c r="G299" s="218"/>
      <c r="H299" s="219"/>
      <c r="I299" s="223">
        <f>IF($C299="","",IF(ISNUMBER(MATCH($C299,'Phản ánh'!$A$6:$A$505,0)),"Phản ánh",IF(ISNUMBER(MATCH($C299,'Kế hoạch'!$A$6:$A$305,0)),"Công việc","Mã chưa có")))</f>
      </c>
      <c r="J299" s="221">
        <f>IF($I299="Phản ánh",INDEX('Phản ánh'!$C$6:$C$505,MATCH($C299,'Phản ánh'!$A$6:$A$505,0)),IF($I299="Công việc",INDEX('Kế hoạch'!$C$6:$C$305,$O299),""))</f>
      </c>
      <c r="K299" s="221">
        <f>IF($I299="Phản ánh",INDEX('Phản ánh'!$K$6:$K$505,MATCH($C299,'Phản ánh'!$A$6:$A$505,0))&amp;"",IF($I299="Công việc",INDEX('Kế hoạch'!$N$6:$N$305,$O299)&amp;"",""))</f>
      </c>
      <c r="L299" s="220">
        <f>IF(OR($C299="",N($B299)=0),"",IF(AND($I299="Phản ánh",$E299="Đã xử lý"),INDEX('Phản ánh'!$U$6:$U$505,MATCH($C299,'Phản ánh'!$A$6:$A$505,0)),IF(AND($I299="Công việc",OR($E299="Hoàn thành",$E299="Hoàn thành kỳ")),IF(INDEX('Kế hoạch'!$B$6:$B$305,$O299)="Đột xuất",INDEX('Kế hoạch'!$AY$6:$AY$305,$O299),IF(N($P299)=0,"",IF(INT($B299)&lt;$P299,$P299,IF($Q299&gt;0,$P299+ROUND((INT($B299)-$P299)/$Q299,0)*$Q299,IF($R299&gt;0,EDATE($P299,ROUND((DATEDIF($P299,INT($B299),"m")+(INT($B299)-EDATE($P299,DATEDIF($P299,INT($B299),"m")))/(EDATE($P299,DATEDIF($P299,INT($B299),"m")+1)-EDATE($P299,DATEDIF($P299,INT($B299),"m"))))/$R299,0)*$R299),$P299))))),"")))</f>
      </c>
      <c r="M299" s="223">
        <f>IF(OR($C299="",N($L299)=0,N($B299)=0),"",IF(IF(MOD($L299,1)=0,INT($B299),$B299)&lt;=$L299,"Đúng hạn","Trễ hạn"))</f>
      </c>
      <c r="N299" s="225">
        <f>IF($C299="","",ROW())</f>
      </c>
      <c r="O299" s="225">
        <f>IF($I299="Công việc",MATCH($C299,'Kế hoạch'!$A$6:$A$305,0),"")</f>
      </c>
      <c r="P299" s="234">
        <f>IF($O299="","",INDEX('Kế hoạch'!$I$6:$I$305,$O299))</f>
      </c>
      <c r="Q299" s="225">
        <f>IF($O299="","",INDEX('Kế hoạch'!$AJ$6:$AJ$305,$O299))</f>
      </c>
      <c r="R299" s="225">
        <f>IF($O299="","",INDEX('Kế hoạch'!$AK$6:$AK$305,$O299))</f>
      </c>
    </row>
    <row r="300">
      <c r="A300" s="223">
        <f>IF($C300="","",COUNTIF($C$6:$C300,"?*"))</f>
      </c>
      <c r="B300" s="217"/>
      <c r="C300" s="216"/>
      <c r="D300" s="240"/>
      <c r="E300" s="218"/>
      <c r="F300" s="218"/>
      <c r="G300" s="218"/>
      <c r="H300" s="219"/>
      <c r="I300" s="223">
        <f>IF($C300="","",IF(ISNUMBER(MATCH($C300,'Phản ánh'!$A$6:$A$505,0)),"Phản ánh",IF(ISNUMBER(MATCH($C300,'Kế hoạch'!$A$6:$A$305,0)),"Công việc","Mã chưa có")))</f>
      </c>
      <c r="J300" s="221">
        <f>IF($I300="Phản ánh",INDEX('Phản ánh'!$C$6:$C$505,MATCH($C300,'Phản ánh'!$A$6:$A$505,0)),IF($I300="Công việc",INDEX('Kế hoạch'!$C$6:$C$305,$O300),""))</f>
      </c>
      <c r="K300" s="221">
        <f>IF($I300="Phản ánh",INDEX('Phản ánh'!$K$6:$K$505,MATCH($C300,'Phản ánh'!$A$6:$A$505,0))&amp;"",IF($I300="Công việc",INDEX('Kế hoạch'!$N$6:$N$305,$O300)&amp;"",""))</f>
      </c>
      <c r="L300" s="220">
        <f>IF(OR($C300="",N($B300)=0),"",IF(AND($I300="Phản ánh",$E300="Đã xử lý"),INDEX('Phản ánh'!$U$6:$U$505,MATCH($C300,'Phản ánh'!$A$6:$A$505,0)),IF(AND($I300="Công việc",OR($E300="Hoàn thành",$E300="Hoàn thành kỳ")),IF(INDEX('Kế hoạch'!$B$6:$B$305,$O300)="Đột xuất",INDEX('Kế hoạch'!$AY$6:$AY$305,$O300),IF(N($P300)=0,"",IF(INT($B300)&lt;$P300,$P300,IF($Q300&gt;0,$P300+ROUND((INT($B300)-$P300)/$Q300,0)*$Q300,IF($R300&gt;0,EDATE($P300,ROUND((DATEDIF($P300,INT($B300),"m")+(INT($B300)-EDATE($P300,DATEDIF($P300,INT($B300),"m")))/(EDATE($P300,DATEDIF($P300,INT($B300),"m")+1)-EDATE($P300,DATEDIF($P300,INT($B300),"m"))))/$R300,0)*$R300),$P300))))),"")))</f>
      </c>
      <c r="M300" s="223">
        <f>IF(OR($C300="",N($L300)=0,N($B300)=0),"",IF(IF(MOD($L300,1)=0,INT($B300),$B300)&lt;=$L300,"Đúng hạn","Trễ hạn"))</f>
      </c>
      <c r="N300" s="225">
        <f>IF($C300="","",ROW())</f>
      </c>
      <c r="O300" s="225">
        <f>IF($I300="Công việc",MATCH($C300,'Kế hoạch'!$A$6:$A$305,0),"")</f>
      </c>
      <c r="P300" s="234">
        <f>IF($O300="","",INDEX('Kế hoạch'!$I$6:$I$305,$O300))</f>
      </c>
      <c r="Q300" s="225">
        <f>IF($O300="","",INDEX('Kế hoạch'!$AJ$6:$AJ$305,$O300))</f>
      </c>
      <c r="R300" s="225">
        <f>IF($O300="","",INDEX('Kế hoạch'!$AK$6:$AK$305,$O300))</f>
      </c>
    </row>
    <row r="301">
      <c r="A301" s="223">
        <f>IF($C301="","",COUNTIF($C$6:$C301,"?*"))</f>
      </c>
      <c r="B301" s="217"/>
      <c r="C301" s="216"/>
      <c r="D301" s="240"/>
      <c r="E301" s="218"/>
      <c r="F301" s="218"/>
      <c r="G301" s="218"/>
      <c r="H301" s="219"/>
      <c r="I301" s="223">
        <f>IF($C301="","",IF(ISNUMBER(MATCH($C301,'Phản ánh'!$A$6:$A$505,0)),"Phản ánh",IF(ISNUMBER(MATCH($C301,'Kế hoạch'!$A$6:$A$305,0)),"Công việc","Mã chưa có")))</f>
      </c>
      <c r="J301" s="221">
        <f>IF($I301="Phản ánh",INDEX('Phản ánh'!$C$6:$C$505,MATCH($C301,'Phản ánh'!$A$6:$A$505,0)),IF($I301="Công việc",INDEX('Kế hoạch'!$C$6:$C$305,$O301),""))</f>
      </c>
      <c r="K301" s="221">
        <f>IF($I301="Phản ánh",INDEX('Phản ánh'!$K$6:$K$505,MATCH($C301,'Phản ánh'!$A$6:$A$505,0))&amp;"",IF($I301="Công việc",INDEX('Kế hoạch'!$N$6:$N$305,$O301)&amp;"",""))</f>
      </c>
      <c r="L301" s="220">
        <f>IF(OR($C301="",N($B301)=0),"",IF(AND($I301="Phản ánh",$E301="Đã xử lý"),INDEX('Phản ánh'!$U$6:$U$505,MATCH($C301,'Phản ánh'!$A$6:$A$505,0)),IF(AND($I301="Công việc",OR($E301="Hoàn thành",$E301="Hoàn thành kỳ")),IF(INDEX('Kế hoạch'!$B$6:$B$305,$O301)="Đột xuất",INDEX('Kế hoạch'!$AY$6:$AY$305,$O301),IF(N($P301)=0,"",IF(INT($B301)&lt;$P301,$P301,IF($Q301&gt;0,$P301+ROUND((INT($B301)-$P301)/$Q301,0)*$Q301,IF($R301&gt;0,EDATE($P301,ROUND((DATEDIF($P301,INT($B301),"m")+(INT($B301)-EDATE($P301,DATEDIF($P301,INT($B301),"m")))/(EDATE($P301,DATEDIF($P301,INT($B301),"m")+1)-EDATE($P301,DATEDIF($P301,INT($B301),"m"))))/$R301,0)*$R301),$P301))))),"")))</f>
      </c>
      <c r="M301" s="223">
        <f>IF(OR($C301="",N($L301)=0,N($B301)=0),"",IF(IF(MOD($L301,1)=0,INT($B301),$B301)&lt;=$L301,"Đúng hạn","Trễ hạn"))</f>
      </c>
      <c r="N301" s="225">
        <f>IF($C301="","",ROW())</f>
      </c>
      <c r="O301" s="225">
        <f>IF($I301="Công việc",MATCH($C301,'Kế hoạch'!$A$6:$A$305,0),"")</f>
      </c>
      <c r="P301" s="234">
        <f>IF($O301="","",INDEX('Kế hoạch'!$I$6:$I$305,$O301))</f>
      </c>
      <c r="Q301" s="225">
        <f>IF($O301="","",INDEX('Kế hoạch'!$AJ$6:$AJ$305,$O301))</f>
      </c>
      <c r="R301" s="225">
        <f>IF($O301="","",INDEX('Kế hoạch'!$AK$6:$AK$305,$O301))</f>
      </c>
    </row>
    <row r="302">
      <c r="A302" s="223">
        <f>IF($C302="","",COUNTIF($C$6:$C302,"?*"))</f>
      </c>
      <c r="B302" s="217"/>
      <c r="C302" s="216"/>
      <c r="D302" s="240"/>
      <c r="E302" s="218"/>
      <c r="F302" s="218"/>
      <c r="G302" s="218"/>
      <c r="H302" s="219"/>
      <c r="I302" s="223">
        <f>IF($C302="","",IF(ISNUMBER(MATCH($C302,'Phản ánh'!$A$6:$A$505,0)),"Phản ánh",IF(ISNUMBER(MATCH($C302,'Kế hoạch'!$A$6:$A$305,0)),"Công việc","Mã chưa có")))</f>
      </c>
      <c r="J302" s="221">
        <f>IF($I302="Phản ánh",INDEX('Phản ánh'!$C$6:$C$505,MATCH($C302,'Phản ánh'!$A$6:$A$505,0)),IF($I302="Công việc",INDEX('Kế hoạch'!$C$6:$C$305,$O302),""))</f>
      </c>
      <c r="K302" s="221">
        <f>IF($I302="Phản ánh",INDEX('Phản ánh'!$K$6:$K$505,MATCH($C302,'Phản ánh'!$A$6:$A$505,0))&amp;"",IF($I302="Công việc",INDEX('Kế hoạch'!$N$6:$N$305,$O302)&amp;"",""))</f>
      </c>
      <c r="L302" s="220">
        <f>IF(OR($C302="",N($B302)=0),"",IF(AND($I302="Phản ánh",$E302="Đã xử lý"),INDEX('Phản ánh'!$U$6:$U$505,MATCH($C302,'Phản ánh'!$A$6:$A$505,0)),IF(AND($I302="Công việc",OR($E302="Hoàn thành",$E302="Hoàn thành kỳ")),IF(INDEX('Kế hoạch'!$B$6:$B$305,$O302)="Đột xuất",INDEX('Kế hoạch'!$AY$6:$AY$305,$O302),IF(N($P302)=0,"",IF(INT($B302)&lt;$P302,$P302,IF($Q302&gt;0,$P302+ROUND((INT($B302)-$P302)/$Q302,0)*$Q302,IF($R302&gt;0,EDATE($P302,ROUND((DATEDIF($P302,INT($B302),"m")+(INT($B302)-EDATE($P302,DATEDIF($P302,INT($B302),"m")))/(EDATE($P302,DATEDIF($P302,INT($B302),"m")+1)-EDATE($P302,DATEDIF($P302,INT($B302),"m"))))/$R302,0)*$R302),$P302))))),"")))</f>
      </c>
      <c r="M302" s="223">
        <f>IF(OR($C302="",N($L302)=0,N($B302)=0),"",IF(IF(MOD($L302,1)=0,INT($B302),$B302)&lt;=$L302,"Đúng hạn","Trễ hạn"))</f>
      </c>
      <c r="N302" s="225">
        <f>IF($C302="","",ROW())</f>
      </c>
      <c r="O302" s="225">
        <f>IF($I302="Công việc",MATCH($C302,'Kế hoạch'!$A$6:$A$305,0),"")</f>
      </c>
      <c r="P302" s="234">
        <f>IF($O302="","",INDEX('Kế hoạch'!$I$6:$I$305,$O302))</f>
      </c>
      <c r="Q302" s="225">
        <f>IF($O302="","",INDEX('Kế hoạch'!$AJ$6:$AJ$305,$O302))</f>
      </c>
      <c r="R302" s="225">
        <f>IF($O302="","",INDEX('Kế hoạch'!$AK$6:$AK$305,$O302))</f>
      </c>
    </row>
    <row r="303">
      <c r="A303" s="223">
        <f>IF($C303="","",COUNTIF($C$6:$C303,"?*"))</f>
      </c>
      <c r="B303" s="217"/>
      <c r="C303" s="216"/>
      <c r="D303" s="240"/>
      <c r="E303" s="218"/>
      <c r="F303" s="218"/>
      <c r="G303" s="218"/>
      <c r="H303" s="219"/>
      <c r="I303" s="223">
        <f>IF($C303="","",IF(ISNUMBER(MATCH($C303,'Phản ánh'!$A$6:$A$505,0)),"Phản ánh",IF(ISNUMBER(MATCH($C303,'Kế hoạch'!$A$6:$A$305,0)),"Công việc","Mã chưa có")))</f>
      </c>
      <c r="J303" s="221">
        <f>IF($I303="Phản ánh",INDEX('Phản ánh'!$C$6:$C$505,MATCH($C303,'Phản ánh'!$A$6:$A$505,0)),IF($I303="Công việc",INDEX('Kế hoạch'!$C$6:$C$305,$O303),""))</f>
      </c>
      <c r="K303" s="221">
        <f>IF($I303="Phản ánh",INDEX('Phản ánh'!$K$6:$K$505,MATCH($C303,'Phản ánh'!$A$6:$A$505,0))&amp;"",IF($I303="Công việc",INDEX('Kế hoạch'!$N$6:$N$305,$O303)&amp;"",""))</f>
      </c>
      <c r="L303" s="220">
        <f>IF(OR($C303="",N($B303)=0),"",IF(AND($I303="Phản ánh",$E303="Đã xử lý"),INDEX('Phản ánh'!$U$6:$U$505,MATCH($C303,'Phản ánh'!$A$6:$A$505,0)),IF(AND($I303="Công việc",OR($E303="Hoàn thành",$E303="Hoàn thành kỳ")),IF(INDEX('Kế hoạch'!$B$6:$B$305,$O303)="Đột xuất",INDEX('Kế hoạch'!$AY$6:$AY$305,$O303),IF(N($P303)=0,"",IF(INT($B303)&lt;$P303,$P303,IF($Q303&gt;0,$P303+ROUND((INT($B303)-$P303)/$Q303,0)*$Q303,IF($R303&gt;0,EDATE($P303,ROUND((DATEDIF($P303,INT($B303),"m")+(INT($B303)-EDATE($P303,DATEDIF($P303,INT($B303),"m")))/(EDATE($P303,DATEDIF($P303,INT($B303),"m")+1)-EDATE($P303,DATEDIF($P303,INT($B303),"m"))))/$R303,0)*$R303),$P303))))),"")))</f>
      </c>
      <c r="M303" s="223">
        <f>IF(OR($C303="",N($L303)=0,N($B303)=0),"",IF(IF(MOD($L303,1)=0,INT($B303),$B303)&lt;=$L303,"Đúng hạn","Trễ hạn"))</f>
      </c>
      <c r="N303" s="225">
        <f>IF($C303="","",ROW())</f>
      </c>
      <c r="O303" s="225">
        <f>IF($I303="Công việc",MATCH($C303,'Kế hoạch'!$A$6:$A$305,0),"")</f>
      </c>
      <c r="P303" s="234">
        <f>IF($O303="","",INDEX('Kế hoạch'!$I$6:$I$305,$O303))</f>
      </c>
      <c r="Q303" s="225">
        <f>IF($O303="","",INDEX('Kế hoạch'!$AJ$6:$AJ$305,$O303))</f>
      </c>
      <c r="R303" s="225">
        <f>IF($O303="","",INDEX('Kế hoạch'!$AK$6:$AK$305,$O303))</f>
      </c>
    </row>
    <row r="304">
      <c r="A304" s="223">
        <f>IF($C304="","",COUNTIF($C$6:$C304,"?*"))</f>
      </c>
      <c r="B304" s="217"/>
      <c r="C304" s="216"/>
      <c r="D304" s="240"/>
      <c r="E304" s="218"/>
      <c r="F304" s="218"/>
      <c r="G304" s="218"/>
      <c r="H304" s="219"/>
      <c r="I304" s="223">
        <f>IF($C304="","",IF(ISNUMBER(MATCH($C304,'Phản ánh'!$A$6:$A$505,0)),"Phản ánh",IF(ISNUMBER(MATCH($C304,'Kế hoạch'!$A$6:$A$305,0)),"Công việc","Mã chưa có")))</f>
      </c>
      <c r="J304" s="221">
        <f>IF($I304="Phản ánh",INDEX('Phản ánh'!$C$6:$C$505,MATCH($C304,'Phản ánh'!$A$6:$A$505,0)),IF($I304="Công việc",INDEX('Kế hoạch'!$C$6:$C$305,$O304),""))</f>
      </c>
      <c r="K304" s="221">
        <f>IF($I304="Phản ánh",INDEX('Phản ánh'!$K$6:$K$505,MATCH($C304,'Phản ánh'!$A$6:$A$505,0))&amp;"",IF($I304="Công việc",INDEX('Kế hoạch'!$N$6:$N$305,$O304)&amp;"",""))</f>
      </c>
      <c r="L304" s="220">
        <f>IF(OR($C304="",N($B304)=0),"",IF(AND($I304="Phản ánh",$E304="Đã xử lý"),INDEX('Phản ánh'!$U$6:$U$505,MATCH($C304,'Phản ánh'!$A$6:$A$505,0)),IF(AND($I304="Công việc",OR($E304="Hoàn thành",$E304="Hoàn thành kỳ")),IF(INDEX('Kế hoạch'!$B$6:$B$305,$O304)="Đột xuất",INDEX('Kế hoạch'!$AY$6:$AY$305,$O304),IF(N($P304)=0,"",IF(INT($B304)&lt;$P304,$P304,IF($Q304&gt;0,$P304+ROUND((INT($B304)-$P304)/$Q304,0)*$Q304,IF($R304&gt;0,EDATE($P304,ROUND((DATEDIF($P304,INT($B304),"m")+(INT($B304)-EDATE($P304,DATEDIF($P304,INT($B304),"m")))/(EDATE($P304,DATEDIF($P304,INT($B304),"m")+1)-EDATE($P304,DATEDIF($P304,INT($B304),"m"))))/$R304,0)*$R304),$P304))))),"")))</f>
      </c>
      <c r="M304" s="223">
        <f>IF(OR($C304="",N($L304)=0,N($B304)=0),"",IF(IF(MOD($L304,1)=0,INT($B304),$B304)&lt;=$L304,"Đúng hạn","Trễ hạn"))</f>
      </c>
      <c r="N304" s="225">
        <f>IF($C304="","",ROW())</f>
      </c>
      <c r="O304" s="225">
        <f>IF($I304="Công việc",MATCH($C304,'Kế hoạch'!$A$6:$A$305,0),"")</f>
      </c>
      <c r="P304" s="234">
        <f>IF($O304="","",INDEX('Kế hoạch'!$I$6:$I$305,$O304))</f>
      </c>
      <c r="Q304" s="225">
        <f>IF($O304="","",INDEX('Kế hoạch'!$AJ$6:$AJ$305,$O304))</f>
      </c>
      <c r="R304" s="225">
        <f>IF($O304="","",INDEX('Kế hoạch'!$AK$6:$AK$305,$O304))</f>
      </c>
    </row>
    <row r="305">
      <c r="A305" s="223">
        <f>IF($C305="","",COUNTIF($C$6:$C305,"?*"))</f>
      </c>
      <c r="B305" s="217"/>
      <c r="C305" s="216"/>
      <c r="D305" s="240"/>
      <c r="E305" s="218"/>
      <c r="F305" s="218"/>
      <c r="G305" s="218"/>
      <c r="H305" s="219"/>
      <c r="I305" s="223">
        <f>IF($C305="","",IF(ISNUMBER(MATCH($C305,'Phản ánh'!$A$6:$A$505,0)),"Phản ánh",IF(ISNUMBER(MATCH($C305,'Kế hoạch'!$A$6:$A$305,0)),"Công việc","Mã chưa có")))</f>
      </c>
      <c r="J305" s="221">
        <f>IF($I305="Phản ánh",INDEX('Phản ánh'!$C$6:$C$505,MATCH($C305,'Phản ánh'!$A$6:$A$505,0)),IF($I305="Công việc",INDEX('Kế hoạch'!$C$6:$C$305,$O305),""))</f>
      </c>
      <c r="K305" s="221">
        <f>IF($I305="Phản ánh",INDEX('Phản ánh'!$K$6:$K$505,MATCH($C305,'Phản ánh'!$A$6:$A$505,0))&amp;"",IF($I305="Công việc",INDEX('Kế hoạch'!$N$6:$N$305,$O305)&amp;"",""))</f>
      </c>
      <c r="L305" s="220">
        <f>IF(OR($C305="",N($B305)=0),"",IF(AND($I305="Phản ánh",$E305="Đã xử lý"),INDEX('Phản ánh'!$U$6:$U$505,MATCH($C305,'Phản ánh'!$A$6:$A$505,0)),IF(AND($I305="Công việc",OR($E305="Hoàn thành",$E305="Hoàn thành kỳ")),IF(INDEX('Kế hoạch'!$B$6:$B$305,$O305)="Đột xuất",INDEX('Kế hoạch'!$AY$6:$AY$305,$O305),IF(N($P305)=0,"",IF(INT($B305)&lt;$P305,$P305,IF($Q305&gt;0,$P305+ROUND((INT($B305)-$P305)/$Q305,0)*$Q305,IF($R305&gt;0,EDATE($P305,ROUND((DATEDIF($P305,INT($B305),"m")+(INT($B305)-EDATE($P305,DATEDIF($P305,INT($B305),"m")))/(EDATE($P305,DATEDIF($P305,INT($B305),"m")+1)-EDATE($P305,DATEDIF($P305,INT($B305),"m"))))/$R305,0)*$R305),$P305))))),"")))</f>
      </c>
      <c r="M305" s="223">
        <f>IF(OR($C305="",N($L305)=0,N($B305)=0),"",IF(IF(MOD($L305,1)=0,INT($B305),$B305)&lt;=$L305,"Đúng hạn","Trễ hạn"))</f>
      </c>
      <c r="N305" s="225">
        <f>IF($C305="","",ROW())</f>
      </c>
      <c r="O305" s="225">
        <f>IF($I305="Công việc",MATCH($C305,'Kế hoạch'!$A$6:$A$305,0),"")</f>
      </c>
      <c r="P305" s="234">
        <f>IF($O305="","",INDEX('Kế hoạch'!$I$6:$I$305,$O305))</f>
      </c>
      <c r="Q305" s="225">
        <f>IF($O305="","",INDEX('Kế hoạch'!$AJ$6:$AJ$305,$O305))</f>
      </c>
      <c r="R305" s="225">
        <f>IF($O305="","",INDEX('Kế hoạch'!$AK$6:$AK$305,$O305))</f>
      </c>
    </row>
    <row r="306">
      <c r="A306" s="223">
        <f>IF($C306="","",COUNTIF($C$6:$C306,"?*"))</f>
      </c>
      <c r="B306" s="217"/>
      <c r="C306" s="216"/>
      <c r="D306" s="240"/>
      <c r="E306" s="218"/>
      <c r="F306" s="218"/>
      <c r="G306" s="218"/>
      <c r="H306" s="219"/>
      <c r="I306" s="223">
        <f>IF($C306="","",IF(ISNUMBER(MATCH($C306,'Phản ánh'!$A$6:$A$505,0)),"Phản ánh",IF(ISNUMBER(MATCH($C306,'Kế hoạch'!$A$6:$A$305,0)),"Công việc","Mã chưa có")))</f>
      </c>
      <c r="J306" s="221">
        <f>IF($I306="Phản ánh",INDEX('Phản ánh'!$C$6:$C$505,MATCH($C306,'Phản ánh'!$A$6:$A$505,0)),IF($I306="Công việc",INDEX('Kế hoạch'!$C$6:$C$305,$O306),""))</f>
      </c>
      <c r="K306" s="221">
        <f>IF($I306="Phản ánh",INDEX('Phản ánh'!$K$6:$K$505,MATCH($C306,'Phản ánh'!$A$6:$A$505,0))&amp;"",IF($I306="Công việc",INDEX('Kế hoạch'!$N$6:$N$305,$O306)&amp;"",""))</f>
      </c>
      <c r="L306" s="220">
        <f>IF(OR($C306="",N($B306)=0),"",IF(AND($I306="Phản ánh",$E306="Đã xử lý"),INDEX('Phản ánh'!$U$6:$U$505,MATCH($C306,'Phản ánh'!$A$6:$A$505,0)),IF(AND($I306="Công việc",OR($E306="Hoàn thành",$E306="Hoàn thành kỳ")),IF(INDEX('Kế hoạch'!$B$6:$B$305,$O306)="Đột xuất",INDEX('Kế hoạch'!$AY$6:$AY$305,$O306),IF(N($P306)=0,"",IF(INT($B306)&lt;$P306,$P306,IF($Q306&gt;0,$P306+ROUND((INT($B306)-$P306)/$Q306,0)*$Q306,IF($R306&gt;0,EDATE($P306,ROUND((DATEDIF($P306,INT($B306),"m")+(INT($B306)-EDATE($P306,DATEDIF($P306,INT($B306),"m")))/(EDATE($P306,DATEDIF($P306,INT($B306),"m")+1)-EDATE($P306,DATEDIF($P306,INT($B306),"m"))))/$R306,0)*$R306),$P306))))),"")))</f>
      </c>
      <c r="M306" s="223">
        <f>IF(OR($C306="",N($L306)=0,N($B306)=0),"",IF(IF(MOD($L306,1)=0,INT($B306),$B306)&lt;=$L306,"Đúng hạn","Trễ hạn"))</f>
      </c>
      <c r="N306" s="225">
        <f>IF($C306="","",ROW())</f>
      </c>
      <c r="O306" s="225">
        <f>IF($I306="Công việc",MATCH($C306,'Kế hoạch'!$A$6:$A$305,0),"")</f>
      </c>
      <c r="P306" s="234">
        <f>IF($O306="","",INDEX('Kế hoạch'!$I$6:$I$305,$O306))</f>
      </c>
      <c r="Q306" s="225">
        <f>IF($O306="","",INDEX('Kế hoạch'!$AJ$6:$AJ$305,$O306))</f>
      </c>
      <c r="R306" s="225">
        <f>IF($O306="","",INDEX('Kế hoạch'!$AK$6:$AK$305,$O306))</f>
      </c>
    </row>
    <row r="307">
      <c r="A307" s="223">
        <f>IF($C307="","",COUNTIF($C$6:$C307,"?*"))</f>
      </c>
      <c r="B307" s="217"/>
      <c r="C307" s="216"/>
      <c r="D307" s="240"/>
      <c r="E307" s="218"/>
      <c r="F307" s="218"/>
      <c r="G307" s="218"/>
      <c r="H307" s="219"/>
      <c r="I307" s="223">
        <f>IF($C307="","",IF(ISNUMBER(MATCH($C307,'Phản ánh'!$A$6:$A$505,0)),"Phản ánh",IF(ISNUMBER(MATCH($C307,'Kế hoạch'!$A$6:$A$305,0)),"Công việc","Mã chưa có")))</f>
      </c>
      <c r="J307" s="221">
        <f>IF($I307="Phản ánh",INDEX('Phản ánh'!$C$6:$C$505,MATCH($C307,'Phản ánh'!$A$6:$A$505,0)),IF($I307="Công việc",INDEX('Kế hoạch'!$C$6:$C$305,$O307),""))</f>
      </c>
      <c r="K307" s="221">
        <f>IF($I307="Phản ánh",INDEX('Phản ánh'!$K$6:$K$505,MATCH($C307,'Phản ánh'!$A$6:$A$505,0))&amp;"",IF($I307="Công việc",INDEX('Kế hoạch'!$N$6:$N$305,$O307)&amp;"",""))</f>
      </c>
      <c r="L307" s="220">
        <f>IF(OR($C307="",N($B307)=0),"",IF(AND($I307="Phản ánh",$E307="Đã xử lý"),INDEX('Phản ánh'!$U$6:$U$505,MATCH($C307,'Phản ánh'!$A$6:$A$505,0)),IF(AND($I307="Công việc",OR($E307="Hoàn thành",$E307="Hoàn thành kỳ")),IF(INDEX('Kế hoạch'!$B$6:$B$305,$O307)="Đột xuất",INDEX('Kế hoạch'!$AY$6:$AY$305,$O307),IF(N($P307)=0,"",IF(INT($B307)&lt;$P307,$P307,IF($Q307&gt;0,$P307+ROUND((INT($B307)-$P307)/$Q307,0)*$Q307,IF($R307&gt;0,EDATE($P307,ROUND((DATEDIF($P307,INT($B307),"m")+(INT($B307)-EDATE($P307,DATEDIF($P307,INT($B307),"m")))/(EDATE($P307,DATEDIF($P307,INT($B307),"m")+1)-EDATE($P307,DATEDIF($P307,INT($B307),"m"))))/$R307,0)*$R307),$P307))))),"")))</f>
      </c>
      <c r="M307" s="223">
        <f>IF(OR($C307="",N($L307)=0,N($B307)=0),"",IF(IF(MOD($L307,1)=0,INT($B307),$B307)&lt;=$L307,"Đúng hạn","Trễ hạn"))</f>
      </c>
      <c r="N307" s="225">
        <f>IF($C307="","",ROW())</f>
      </c>
      <c r="O307" s="225">
        <f>IF($I307="Công việc",MATCH($C307,'Kế hoạch'!$A$6:$A$305,0),"")</f>
      </c>
      <c r="P307" s="234">
        <f>IF($O307="","",INDEX('Kế hoạch'!$I$6:$I$305,$O307))</f>
      </c>
      <c r="Q307" s="225">
        <f>IF($O307="","",INDEX('Kế hoạch'!$AJ$6:$AJ$305,$O307))</f>
      </c>
      <c r="R307" s="225">
        <f>IF($O307="","",INDEX('Kế hoạch'!$AK$6:$AK$305,$O307))</f>
      </c>
    </row>
    <row r="308">
      <c r="A308" s="223">
        <f>IF($C308="","",COUNTIF($C$6:$C308,"?*"))</f>
      </c>
      <c r="B308" s="217"/>
      <c r="C308" s="216"/>
      <c r="D308" s="240"/>
      <c r="E308" s="218"/>
      <c r="F308" s="218"/>
      <c r="G308" s="218"/>
      <c r="H308" s="219"/>
      <c r="I308" s="223">
        <f>IF($C308="","",IF(ISNUMBER(MATCH($C308,'Phản ánh'!$A$6:$A$505,0)),"Phản ánh",IF(ISNUMBER(MATCH($C308,'Kế hoạch'!$A$6:$A$305,0)),"Công việc","Mã chưa có")))</f>
      </c>
      <c r="J308" s="221">
        <f>IF($I308="Phản ánh",INDEX('Phản ánh'!$C$6:$C$505,MATCH($C308,'Phản ánh'!$A$6:$A$505,0)),IF($I308="Công việc",INDEX('Kế hoạch'!$C$6:$C$305,$O308),""))</f>
      </c>
      <c r="K308" s="221">
        <f>IF($I308="Phản ánh",INDEX('Phản ánh'!$K$6:$K$505,MATCH($C308,'Phản ánh'!$A$6:$A$505,0))&amp;"",IF($I308="Công việc",INDEX('Kế hoạch'!$N$6:$N$305,$O308)&amp;"",""))</f>
      </c>
      <c r="L308" s="220">
        <f>IF(OR($C308="",N($B308)=0),"",IF(AND($I308="Phản ánh",$E308="Đã xử lý"),INDEX('Phản ánh'!$U$6:$U$505,MATCH($C308,'Phản ánh'!$A$6:$A$505,0)),IF(AND($I308="Công việc",OR($E308="Hoàn thành",$E308="Hoàn thành kỳ")),IF(INDEX('Kế hoạch'!$B$6:$B$305,$O308)="Đột xuất",INDEX('Kế hoạch'!$AY$6:$AY$305,$O308),IF(N($P308)=0,"",IF(INT($B308)&lt;$P308,$P308,IF($Q308&gt;0,$P308+ROUND((INT($B308)-$P308)/$Q308,0)*$Q308,IF($R308&gt;0,EDATE($P308,ROUND((DATEDIF($P308,INT($B308),"m")+(INT($B308)-EDATE($P308,DATEDIF($P308,INT($B308),"m")))/(EDATE($P308,DATEDIF($P308,INT($B308),"m")+1)-EDATE($P308,DATEDIF($P308,INT($B308),"m"))))/$R308,0)*$R308),$P308))))),"")))</f>
      </c>
      <c r="M308" s="223">
        <f>IF(OR($C308="",N($L308)=0,N($B308)=0),"",IF(IF(MOD($L308,1)=0,INT($B308),$B308)&lt;=$L308,"Đúng hạn","Trễ hạn"))</f>
      </c>
      <c r="N308" s="225">
        <f>IF($C308="","",ROW())</f>
      </c>
      <c r="O308" s="225">
        <f>IF($I308="Công việc",MATCH($C308,'Kế hoạch'!$A$6:$A$305,0),"")</f>
      </c>
      <c r="P308" s="234">
        <f>IF($O308="","",INDEX('Kế hoạch'!$I$6:$I$305,$O308))</f>
      </c>
      <c r="Q308" s="225">
        <f>IF($O308="","",INDEX('Kế hoạch'!$AJ$6:$AJ$305,$O308))</f>
      </c>
      <c r="R308" s="225">
        <f>IF($O308="","",INDEX('Kế hoạch'!$AK$6:$AK$305,$O308))</f>
      </c>
    </row>
    <row r="309">
      <c r="A309" s="223">
        <f>IF($C309="","",COUNTIF($C$6:$C309,"?*"))</f>
      </c>
      <c r="B309" s="217"/>
      <c r="C309" s="216"/>
      <c r="D309" s="240"/>
      <c r="E309" s="218"/>
      <c r="F309" s="218"/>
      <c r="G309" s="218"/>
      <c r="H309" s="219"/>
      <c r="I309" s="223">
        <f>IF($C309="","",IF(ISNUMBER(MATCH($C309,'Phản ánh'!$A$6:$A$505,0)),"Phản ánh",IF(ISNUMBER(MATCH($C309,'Kế hoạch'!$A$6:$A$305,0)),"Công việc","Mã chưa có")))</f>
      </c>
      <c r="J309" s="221">
        <f>IF($I309="Phản ánh",INDEX('Phản ánh'!$C$6:$C$505,MATCH($C309,'Phản ánh'!$A$6:$A$505,0)),IF($I309="Công việc",INDEX('Kế hoạch'!$C$6:$C$305,$O309),""))</f>
      </c>
      <c r="K309" s="221">
        <f>IF($I309="Phản ánh",INDEX('Phản ánh'!$K$6:$K$505,MATCH($C309,'Phản ánh'!$A$6:$A$505,0))&amp;"",IF($I309="Công việc",INDEX('Kế hoạch'!$N$6:$N$305,$O309)&amp;"",""))</f>
      </c>
      <c r="L309" s="220">
        <f>IF(OR($C309="",N($B309)=0),"",IF(AND($I309="Phản ánh",$E309="Đã xử lý"),INDEX('Phản ánh'!$U$6:$U$505,MATCH($C309,'Phản ánh'!$A$6:$A$505,0)),IF(AND($I309="Công việc",OR($E309="Hoàn thành",$E309="Hoàn thành kỳ")),IF(INDEX('Kế hoạch'!$B$6:$B$305,$O309)="Đột xuất",INDEX('Kế hoạch'!$AY$6:$AY$305,$O309),IF(N($P309)=0,"",IF(INT($B309)&lt;$P309,$P309,IF($Q309&gt;0,$P309+ROUND((INT($B309)-$P309)/$Q309,0)*$Q309,IF($R309&gt;0,EDATE($P309,ROUND((DATEDIF($P309,INT($B309),"m")+(INT($B309)-EDATE($P309,DATEDIF($P309,INT($B309),"m")))/(EDATE($P309,DATEDIF($P309,INT($B309),"m")+1)-EDATE($P309,DATEDIF($P309,INT($B309),"m"))))/$R309,0)*$R309),$P309))))),"")))</f>
      </c>
      <c r="M309" s="223">
        <f>IF(OR($C309="",N($L309)=0,N($B309)=0),"",IF(IF(MOD($L309,1)=0,INT($B309),$B309)&lt;=$L309,"Đúng hạn","Trễ hạn"))</f>
      </c>
      <c r="N309" s="225">
        <f>IF($C309="","",ROW())</f>
      </c>
      <c r="O309" s="225">
        <f>IF($I309="Công việc",MATCH($C309,'Kế hoạch'!$A$6:$A$305,0),"")</f>
      </c>
      <c r="P309" s="234">
        <f>IF($O309="","",INDEX('Kế hoạch'!$I$6:$I$305,$O309))</f>
      </c>
      <c r="Q309" s="225">
        <f>IF($O309="","",INDEX('Kế hoạch'!$AJ$6:$AJ$305,$O309))</f>
      </c>
      <c r="R309" s="225">
        <f>IF($O309="","",INDEX('Kế hoạch'!$AK$6:$AK$305,$O309))</f>
      </c>
    </row>
    <row r="310">
      <c r="A310" s="223">
        <f>IF($C310="","",COUNTIF($C$6:$C310,"?*"))</f>
      </c>
      <c r="B310" s="217"/>
      <c r="C310" s="216"/>
      <c r="D310" s="240"/>
      <c r="E310" s="218"/>
      <c r="F310" s="218"/>
      <c r="G310" s="218"/>
      <c r="H310" s="219"/>
      <c r="I310" s="223">
        <f>IF($C310="","",IF(ISNUMBER(MATCH($C310,'Phản ánh'!$A$6:$A$505,0)),"Phản ánh",IF(ISNUMBER(MATCH($C310,'Kế hoạch'!$A$6:$A$305,0)),"Công việc","Mã chưa có")))</f>
      </c>
      <c r="J310" s="221">
        <f>IF($I310="Phản ánh",INDEX('Phản ánh'!$C$6:$C$505,MATCH($C310,'Phản ánh'!$A$6:$A$505,0)),IF($I310="Công việc",INDEX('Kế hoạch'!$C$6:$C$305,$O310),""))</f>
      </c>
      <c r="K310" s="221">
        <f>IF($I310="Phản ánh",INDEX('Phản ánh'!$K$6:$K$505,MATCH($C310,'Phản ánh'!$A$6:$A$505,0))&amp;"",IF($I310="Công việc",INDEX('Kế hoạch'!$N$6:$N$305,$O310)&amp;"",""))</f>
      </c>
      <c r="L310" s="220">
        <f>IF(OR($C310="",N($B310)=0),"",IF(AND($I310="Phản ánh",$E310="Đã xử lý"),INDEX('Phản ánh'!$U$6:$U$505,MATCH($C310,'Phản ánh'!$A$6:$A$505,0)),IF(AND($I310="Công việc",OR($E310="Hoàn thành",$E310="Hoàn thành kỳ")),IF(INDEX('Kế hoạch'!$B$6:$B$305,$O310)="Đột xuất",INDEX('Kế hoạch'!$AY$6:$AY$305,$O310),IF(N($P310)=0,"",IF(INT($B310)&lt;$P310,$P310,IF($Q310&gt;0,$P310+ROUND((INT($B310)-$P310)/$Q310,0)*$Q310,IF($R310&gt;0,EDATE($P310,ROUND((DATEDIF($P310,INT($B310),"m")+(INT($B310)-EDATE($P310,DATEDIF($P310,INT($B310),"m")))/(EDATE($P310,DATEDIF($P310,INT($B310),"m")+1)-EDATE($P310,DATEDIF($P310,INT($B310),"m"))))/$R310,0)*$R310),$P310))))),"")))</f>
      </c>
      <c r="M310" s="223">
        <f>IF(OR($C310="",N($L310)=0,N($B310)=0),"",IF(IF(MOD($L310,1)=0,INT($B310),$B310)&lt;=$L310,"Đúng hạn","Trễ hạn"))</f>
      </c>
      <c r="N310" s="225">
        <f>IF($C310="","",ROW())</f>
      </c>
      <c r="O310" s="225">
        <f>IF($I310="Công việc",MATCH($C310,'Kế hoạch'!$A$6:$A$305,0),"")</f>
      </c>
      <c r="P310" s="234">
        <f>IF($O310="","",INDEX('Kế hoạch'!$I$6:$I$305,$O310))</f>
      </c>
      <c r="Q310" s="225">
        <f>IF($O310="","",INDEX('Kế hoạch'!$AJ$6:$AJ$305,$O310))</f>
      </c>
      <c r="R310" s="225">
        <f>IF($O310="","",INDEX('Kế hoạch'!$AK$6:$AK$305,$O310))</f>
      </c>
    </row>
    <row r="311">
      <c r="A311" s="223">
        <f>IF($C311="","",COUNTIF($C$6:$C311,"?*"))</f>
      </c>
      <c r="B311" s="217"/>
      <c r="C311" s="216"/>
      <c r="D311" s="240"/>
      <c r="E311" s="218"/>
      <c r="F311" s="218"/>
      <c r="G311" s="218"/>
      <c r="H311" s="219"/>
      <c r="I311" s="223">
        <f>IF($C311="","",IF(ISNUMBER(MATCH($C311,'Phản ánh'!$A$6:$A$505,0)),"Phản ánh",IF(ISNUMBER(MATCH($C311,'Kế hoạch'!$A$6:$A$305,0)),"Công việc","Mã chưa có")))</f>
      </c>
      <c r="J311" s="221">
        <f>IF($I311="Phản ánh",INDEX('Phản ánh'!$C$6:$C$505,MATCH($C311,'Phản ánh'!$A$6:$A$505,0)),IF($I311="Công việc",INDEX('Kế hoạch'!$C$6:$C$305,$O311),""))</f>
      </c>
      <c r="K311" s="221">
        <f>IF($I311="Phản ánh",INDEX('Phản ánh'!$K$6:$K$505,MATCH($C311,'Phản ánh'!$A$6:$A$505,0))&amp;"",IF($I311="Công việc",INDEX('Kế hoạch'!$N$6:$N$305,$O311)&amp;"",""))</f>
      </c>
      <c r="L311" s="220">
        <f>IF(OR($C311="",N($B311)=0),"",IF(AND($I311="Phản ánh",$E311="Đã xử lý"),INDEX('Phản ánh'!$U$6:$U$505,MATCH($C311,'Phản ánh'!$A$6:$A$505,0)),IF(AND($I311="Công việc",OR($E311="Hoàn thành",$E311="Hoàn thành kỳ")),IF(INDEX('Kế hoạch'!$B$6:$B$305,$O311)="Đột xuất",INDEX('Kế hoạch'!$AY$6:$AY$305,$O311),IF(N($P311)=0,"",IF(INT($B311)&lt;$P311,$P311,IF($Q311&gt;0,$P311+ROUND((INT($B311)-$P311)/$Q311,0)*$Q311,IF($R311&gt;0,EDATE($P311,ROUND((DATEDIF($P311,INT($B311),"m")+(INT($B311)-EDATE($P311,DATEDIF($P311,INT($B311),"m")))/(EDATE($P311,DATEDIF($P311,INT($B311),"m")+1)-EDATE($P311,DATEDIF($P311,INT($B311),"m"))))/$R311,0)*$R311),$P311))))),"")))</f>
      </c>
      <c r="M311" s="223">
        <f>IF(OR($C311="",N($L311)=0,N($B311)=0),"",IF(IF(MOD($L311,1)=0,INT($B311),$B311)&lt;=$L311,"Đúng hạn","Trễ hạn"))</f>
      </c>
      <c r="N311" s="225">
        <f>IF($C311="","",ROW())</f>
      </c>
      <c r="O311" s="225">
        <f>IF($I311="Công việc",MATCH($C311,'Kế hoạch'!$A$6:$A$305,0),"")</f>
      </c>
      <c r="P311" s="234">
        <f>IF($O311="","",INDEX('Kế hoạch'!$I$6:$I$305,$O311))</f>
      </c>
      <c r="Q311" s="225">
        <f>IF($O311="","",INDEX('Kế hoạch'!$AJ$6:$AJ$305,$O311))</f>
      </c>
      <c r="R311" s="225">
        <f>IF($O311="","",INDEX('Kế hoạch'!$AK$6:$AK$305,$O311))</f>
      </c>
    </row>
    <row r="312">
      <c r="A312" s="223">
        <f>IF($C312="","",COUNTIF($C$6:$C312,"?*"))</f>
      </c>
      <c r="B312" s="217"/>
      <c r="C312" s="216"/>
      <c r="D312" s="240"/>
      <c r="E312" s="218"/>
      <c r="F312" s="218"/>
      <c r="G312" s="218"/>
      <c r="H312" s="219"/>
      <c r="I312" s="223">
        <f>IF($C312="","",IF(ISNUMBER(MATCH($C312,'Phản ánh'!$A$6:$A$505,0)),"Phản ánh",IF(ISNUMBER(MATCH($C312,'Kế hoạch'!$A$6:$A$305,0)),"Công việc","Mã chưa có")))</f>
      </c>
      <c r="J312" s="221">
        <f>IF($I312="Phản ánh",INDEX('Phản ánh'!$C$6:$C$505,MATCH($C312,'Phản ánh'!$A$6:$A$505,0)),IF($I312="Công việc",INDEX('Kế hoạch'!$C$6:$C$305,$O312),""))</f>
      </c>
      <c r="K312" s="221">
        <f>IF($I312="Phản ánh",INDEX('Phản ánh'!$K$6:$K$505,MATCH($C312,'Phản ánh'!$A$6:$A$505,0))&amp;"",IF($I312="Công việc",INDEX('Kế hoạch'!$N$6:$N$305,$O312)&amp;"",""))</f>
      </c>
      <c r="L312" s="220">
        <f>IF(OR($C312="",N($B312)=0),"",IF(AND($I312="Phản ánh",$E312="Đã xử lý"),INDEX('Phản ánh'!$U$6:$U$505,MATCH($C312,'Phản ánh'!$A$6:$A$505,0)),IF(AND($I312="Công việc",OR($E312="Hoàn thành",$E312="Hoàn thành kỳ")),IF(INDEX('Kế hoạch'!$B$6:$B$305,$O312)="Đột xuất",INDEX('Kế hoạch'!$AY$6:$AY$305,$O312),IF(N($P312)=0,"",IF(INT($B312)&lt;$P312,$P312,IF($Q312&gt;0,$P312+ROUND((INT($B312)-$P312)/$Q312,0)*$Q312,IF($R312&gt;0,EDATE($P312,ROUND((DATEDIF($P312,INT($B312),"m")+(INT($B312)-EDATE($P312,DATEDIF($P312,INT($B312),"m")))/(EDATE($P312,DATEDIF($P312,INT($B312),"m")+1)-EDATE($P312,DATEDIF($P312,INT($B312),"m"))))/$R312,0)*$R312),$P312))))),"")))</f>
      </c>
      <c r="M312" s="223">
        <f>IF(OR($C312="",N($L312)=0,N($B312)=0),"",IF(IF(MOD($L312,1)=0,INT($B312),$B312)&lt;=$L312,"Đúng hạn","Trễ hạn"))</f>
      </c>
      <c r="N312" s="225">
        <f>IF($C312="","",ROW())</f>
      </c>
      <c r="O312" s="225">
        <f>IF($I312="Công việc",MATCH($C312,'Kế hoạch'!$A$6:$A$305,0),"")</f>
      </c>
      <c r="P312" s="234">
        <f>IF($O312="","",INDEX('Kế hoạch'!$I$6:$I$305,$O312))</f>
      </c>
      <c r="Q312" s="225">
        <f>IF($O312="","",INDEX('Kế hoạch'!$AJ$6:$AJ$305,$O312))</f>
      </c>
      <c r="R312" s="225">
        <f>IF($O312="","",INDEX('Kế hoạch'!$AK$6:$AK$305,$O312))</f>
      </c>
    </row>
    <row r="313">
      <c r="A313" s="223">
        <f>IF($C313="","",COUNTIF($C$6:$C313,"?*"))</f>
      </c>
      <c r="B313" s="217"/>
      <c r="C313" s="216"/>
      <c r="D313" s="240"/>
      <c r="E313" s="218"/>
      <c r="F313" s="218"/>
      <c r="G313" s="218"/>
      <c r="H313" s="219"/>
      <c r="I313" s="223">
        <f>IF($C313="","",IF(ISNUMBER(MATCH($C313,'Phản ánh'!$A$6:$A$505,0)),"Phản ánh",IF(ISNUMBER(MATCH($C313,'Kế hoạch'!$A$6:$A$305,0)),"Công việc","Mã chưa có")))</f>
      </c>
      <c r="J313" s="221">
        <f>IF($I313="Phản ánh",INDEX('Phản ánh'!$C$6:$C$505,MATCH($C313,'Phản ánh'!$A$6:$A$505,0)),IF($I313="Công việc",INDEX('Kế hoạch'!$C$6:$C$305,$O313),""))</f>
      </c>
      <c r="K313" s="221">
        <f>IF($I313="Phản ánh",INDEX('Phản ánh'!$K$6:$K$505,MATCH($C313,'Phản ánh'!$A$6:$A$505,0))&amp;"",IF($I313="Công việc",INDEX('Kế hoạch'!$N$6:$N$305,$O313)&amp;"",""))</f>
      </c>
      <c r="L313" s="220">
        <f>IF(OR($C313="",N($B313)=0),"",IF(AND($I313="Phản ánh",$E313="Đã xử lý"),INDEX('Phản ánh'!$U$6:$U$505,MATCH($C313,'Phản ánh'!$A$6:$A$505,0)),IF(AND($I313="Công việc",OR($E313="Hoàn thành",$E313="Hoàn thành kỳ")),IF(INDEX('Kế hoạch'!$B$6:$B$305,$O313)="Đột xuất",INDEX('Kế hoạch'!$AY$6:$AY$305,$O313),IF(N($P313)=0,"",IF(INT($B313)&lt;$P313,$P313,IF($Q313&gt;0,$P313+ROUND((INT($B313)-$P313)/$Q313,0)*$Q313,IF($R313&gt;0,EDATE($P313,ROUND((DATEDIF($P313,INT($B313),"m")+(INT($B313)-EDATE($P313,DATEDIF($P313,INT($B313),"m")))/(EDATE($P313,DATEDIF($P313,INT($B313),"m")+1)-EDATE($P313,DATEDIF($P313,INT($B313),"m"))))/$R313,0)*$R313),$P313))))),"")))</f>
      </c>
      <c r="M313" s="223">
        <f>IF(OR($C313="",N($L313)=0,N($B313)=0),"",IF(IF(MOD($L313,1)=0,INT($B313),$B313)&lt;=$L313,"Đúng hạn","Trễ hạn"))</f>
      </c>
      <c r="N313" s="225">
        <f>IF($C313="","",ROW())</f>
      </c>
      <c r="O313" s="225">
        <f>IF($I313="Công việc",MATCH($C313,'Kế hoạch'!$A$6:$A$305,0),"")</f>
      </c>
      <c r="P313" s="234">
        <f>IF($O313="","",INDEX('Kế hoạch'!$I$6:$I$305,$O313))</f>
      </c>
      <c r="Q313" s="225">
        <f>IF($O313="","",INDEX('Kế hoạch'!$AJ$6:$AJ$305,$O313))</f>
      </c>
      <c r="R313" s="225">
        <f>IF($O313="","",INDEX('Kế hoạch'!$AK$6:$AK$305,$O313))</f>
      </c>
    </row>
    <row r="314">
      <c r="A314" s="223">
        <f>IF($C314="","",COUNTIF($C$6:$C314,"?*"))</f>
      </c>
      <c r="B314" s="217"/>
      <c r="C314" s="216"/>
      <c r="D314" s="240"/>
      <c r="E314" s="218"/>
      <c r="F314" s="218"/>
      <c r="G314" s="218"/>
      <c r="H314" s="219"/>
      <c r="I314" s="223">
        <f>IF($C314="","",IF(ISNUMBER(MATCH($C314,'Phản ánh'!$A$6:$A$505,0)),"Phản ánh",IF(ISNUMBER(MATCH($C314,'Kế hoạch'!$A$6:$A$305,0)),"Công việc","Mã chưa có")))</f>
      </c>
      <c r="J314" s="221">
        <f>IF($I314="Phản ánh",INDEX('Phản ánh'!$C$6:$C$505,MATCH($C314,'Phản ánh'!$A$6:$A$505,0)),IF($I314="Công việc",INDEX('Kế hoạch'!$C$6:$C$305,$O314),""))</f>
      </c>
      <c r="K314" s="221">
        <f>IF($I314="Phản ánh",INDEX('Phản ánh'!$K$6:$K$505,MATCH($C314,'Phản ánh'!$A$6:$A$505,0))&amp;"",IF($I314="Công việc",INDEX('Kế hoạch'!$N$6:$N$305,$O314)&amp;"",""))</f>
      </c>
      <c r="L314" s="220">
        <f>IF(OR($C314="",N($B314)=0),"",IF(AND($I314="Phản ánh",$E314="Đã xử lý"),INDEX('Phản ánh'!$U$6:$U$505,MATCH($C314,'Phản ánh'!$A$6:$A$505,0)),IF(AND($I314="Công việc",OR($E314="Hoàn thành",$E314="Hoàn thành kỳ")),IF(INDEX('Kế hoạch'!$B$6:$B$305,$O314)="Đột xuất",INDEX('Kế hoạch'!$AY$6:$AY$305,$O314),IF(N($P314)=0,"",IF(INT($B314)&lt;$P314,$P314,IF($Q314&gt;0,$P314+ROUND((INT($B314)-$P314)/$Q314,0)*$Q314,IF($R314&gt;0,EDATE($P314,ROUND((DATEDIF($P314,INT($B314),"m")+(INT($B314)-EDATE($P314,DATEDIF($P314,INT($B314),"m")))/(EDATE($P314,DATEDIF($P314,INT($B314),"m")+1)-EDATE($P314,DATEDIF($P314,INT($B314),"m"))))/$R314,0)*$R314),$P314))))),"")))</f>
      </c>
      <c r="M314" s="223">
        <f>IF(OR($C314="",N($L314)=0,N($B314)=0),"",IF(IF(MOD($L314,1)=0,INT($B314),$B314)&lt;=$L314,"Đúng hạn","Trễ hạn"))</f>
      </c>
      <c r="N314" s="225">
        <f>IF($C314="","",ROW())</f>
      </c>
      <c r="O314" s="225">
        <f>IF($I314="Công việc",MATCH($C314,'Kế hoạch'!$A$6:$A$305,0),"")</f>
      </c>
      <c r="P314" s="234">
        <f>IF($O314="","",INDEX('Kế hoạch'!$I$6:$I$305,$O314))</f>
      </c>
      <c r="Q314" s="225">
        <f>IF($O314="","",INDEX('Kế hoạch'!$AJ$6:$AJ$305,$O314))</f>
      </c>
      <c r="R314" s="225">
        <f>IF($O314="","",INDEX('Kế hoạch'!$AK$6:$AK$305,$O314))</f>
      </c>
    </row>
    <row r="315">
      <c r="A315" s="223">
        <f>IF($C315="","",COUNTIF($C$6:$C315,"?*"))</f>
      </c>
      <c r="B315" s="217"/>
      <c r="C315" s="216"/>
      <c r="D315" s="240"/>
      <c r="E315" s="218"/>
      <c r="F315" s="218"/>
      <c r="G315" s="218"/>
      <c r="H315" s="219"/>
      <c r="I315" s="223">
        <f>IF($C315="","",IF(ISNUMBER(MATCH($C315,'Phản ánh'!$A$6:$A$505,0)),"Phản ánh",IF(ISNUMBER(MATCH($C315,'Kế hoạch'!$A$6:$A$305,0)),"Công việc","Mã chưa có")))</f>
      </c>
      <c r="J315" s="221">
        <f>IF($I315="Phản ánh",INDEX('Phản ánh'!$C$6:$C$505,MATCH($C315,'Phản ánh'!$A$6:$A$505,0)),IF($I315="Công việc",INDEX('Kế hoạch'!$C$6:$C$305,$O315),""))</f>
      </c>
      <c r="K315" s="221">
        <f>IF($I315="Phản ánh",INDEX('Phản ánh'!$K$6:$K$505,MATCH($C315,'Phản ánh'!$A$6:$A$505,0))&amp;"",IF($I315="Công việc",INDEX('Kế hoạch'!$N$6:$N$305,$O315)&amp;"",""))</f>
      </c>
      <c r="L315" s="220">
        <f>IF(OR($C315="",N($B315)=0),"",IF(AND($I315="Phản ánh",$E315="Đã xử lý"),INDEX('Phản ánh'!$U$6:$U$505,MATCH($C315,'Phản ánh'!$A$6:$A$505,0)),IF(AND($I315="Công việc",OR($E315="Hoàn thành",$E315="Hoàn thành kỳ")),IF(INDEX('Kế hoạch'!$B$6:$B$305,$O315)="Đột xuất",INDEX('Kế hoạch'!$AY$6:$AY$305,$O315),IF(N($P315)=0,"",IF(INT($B315)&lt;$P315,$P315,IF($Q315&gt;0,$P315+ROUND((INT($B315)-$P315)/$Q315,0)*$Q315,IF($R315&gt;0,EDATE($P315,ROUND((DATEDIF($P315,INT($B315),"m")+(INT($B315)-EDATE($P315,DATEDIF($P315,INT($B315),"m")))/(EDATE($P315,DATEDIF($P315,INT($B315),"m")+1)-EDATE($P315,DATEDIF($P315,INT($B315),"m"))))/$R315,0)*$R315),$P315))))),"")))</f>
      </c>
      <c r="M315" s="223">
        <f>IF(OR($C315="",N($L315)=0,N($B315)=0),"",IF(IF(MOD($L315,1)=0,INT($B315),$B315)&lt;=$L315,"Đúng hạn","Trễ hạn"))</f>
      </c>
      <c r="N315" s="225">
        <f>IF($C315="","",ROW())</f>
      </c>
      <c r="O315" s="225">
        <f>IF($I315="Công việc",MATCH($C315,'Kế hoạch'!$A$6:$A$305,0),"")</f>
      </c>
      <c r="P315" s="234">
        <f>IF($O315="","",INDEX('Kế hoạch'!$I$6:$I$305,$O315))</f>
      </c>
      <c r="Q315" s="225">
        <f>IF($O315="","",INDEX('Kế hoạch'!$AJ$6:$AJ$305,$O315))</f>
      </c>
      <c r="R315" s="225">
        <f>IF($O315="","",INDEX('Kế hoạch'!$AK$6:$AK$305,$O315))</f>
      </c>
    </row>
    <row r="316">
      <c r="A316" s="223">
        <f>IF($C316="","",COUNTIF($C$6:$C316,"?*"))</f>
      </c>
      <c r="B316" s="217"/>
      <c r="C316" s="216"/>
      <c r="D316" s="240"/>
      <c r="E316" s="218"/>
      <c r="F316" s="218"/>
      <c r="G316" s="218"/>
      <c r="H316" s="219"/>
      <c r="I316" s="223">
        <f>IF($C316="","",IF(ISNUMBER(MATCH($C316,'Phản ánh'!$A$6:$A$505,0)),"Phản ánh",IF(ISNUMBER(MATCH($C316,'Kế hoạch'!$A$6:$A$305,0)),"Công việc","Mã chưa có")))</f>
      </c>
      <c r="J316" s="221">
        <f>IF($I316="Phản ánh",INDEX('Phản ánh'!$C$6:$C$505,MATCH($C316,'Phản ánh'!$A$6:$A$505,0)),IF($I316="Công việc",INDEX('Kế hoạch'!$C$6:$C$305,$O316),""))</f>
      </c>
      <c r="K316" s="221">
        <f>IF($I316="Phản ánh",INDEX('Phản ánh'!$K$6:$K$505,MATCH($C316,'Phản ánh'!$A$6:$A$505,0))&amp;"",IF($I316="Công việc",INDEX('Kế hoạch'!$N$6:$N$305,$O316)&amp;"",""))</f>
      </c>
      <c r="L316" s="220">
        <f>IF(OR($C316="",N($B316)=0),"",IF(AND($I316="Phản ánh",$E316="Đã xử lý"),INDEX('Phản ánh'!$U$6:$U$505,MATCH($C316,'Phản ánh'!$A$6:$A$505,0)),IF(AND($I316="Công việc",OR($E316="Hoàn thành",$E316="Hoàn thành kỳ")),IF(INDEX('Kế hoạch'!$B$6:$B$305,$O316)="Đột xuất",INDEX('Kế hoạch'!$AY$6:$AY$305,$O316),IF(N($P316)=0,"",IF(INT($B316)&lt;$P316,$P316,IF($Q316&gt;0,$P316+ROUND((INT($B316)-$P316)/$Q316,0)*$Q316,IF($R316&gt;0,EDATE($P316,ROUND((DATEDIF($P316,INT($B316),"m")+(INT($B316)-EDATE($P316,DATEDIF($P316,INT($B316),"m")))/(EDATE($P316,DATEDIF($P316,INT($B316),"m")+1)-EDATE($P316,DATEDIF($P316,INT($B316),"m"))))/$R316,0)*$R316),$P316))))),"")))</f>
      </c>
      <c r="M316" s="223">
        <f>IF(OR($C316="",N($L316)=0,N($B316)=0),"",IF(IF(MOD($L316,1)=0,INT($B316),$B316)&lt;=$L316,"Đúng hạn","Trễ hạn"))</f>
      </c>
      <c r="N316" s="225">
        <f>IF($C316="","",ROW())</f>
      </c>
      <c r="O316" s="225">
        <f>IF($I316="Công việc",MATCH($C316,'Kế hoạch'!$A$6:$A$305,0),"")</f>
      </c>
      <c r="P316" s="234">
        <f>IF($O316="","",INDEX('Kế hoạch'!$I$6:$I$305,$O316))</f>
      </c>
      <c r="Q316" s="225">
        <f>IF($O316="","",INDEX('Kế hoạch'!$AJ$6:$AJ$305,$O316))</f>
      </c>
      <c r="R316" s="225">
        <f>IF($O316="","",INDEX('Kế hoạch'!$AK$6:$AK$305,$O316))</f>
      </c>
    </row>
    <row r="317">
      <c r="A317" s="223">
        <f>IF($C317="","",COUNTIF($C$6:$C317,"?*"))</f>
      </c>
      <c r="B317" s="217"/>
      <c r="C317" s="216"/>
      <c r="D317" s="240"/>
      <c r="E317" s="218"/>
      <c r="F317" s="218"/>
      <c r="G317" s="218"/>
      <c r="H317" s="219"/>
      <c r="I317" s="223">
        <f>IF($C317="","",IF(ISNUMBER(MATCH($C317,'Phản ánh'!$A$6:$A$505,0)),"Phản ánh",IF(ISNUMBER(MATCH($C317,'Kế hoạch'!$A$6:$A$305,0)),"Công việc","Mã chưa có")))</f>
      </c>
      <c r="J317" s="221">
        <f>IF($I317="Phản ánh",INDEX('Phản ánh'!$C$6:$C$505,MATCH($C317,'Phản ánh'!$A$6:$A$505,0)),IF($I317="Công việc",INDEX('Kế hoạch'!$C$6:$C$305,$O317),""))</f>
      </c>
      <c r="K317" s="221">
        <f>IF($I317="Phản ánh",INDEX('Phản ánh'!$K$6:$K$505,MATCH($C317,'Phản ánh'!$A$6:$A$505,0))&amp;"",IF($I317="Công việc",INDEX('Kế hoạch'!$N$6:$N$305,$O317)&amp;"",""))</f>
      </c>
      <c r="L317" s="220">
        <f>IF(OR($C317="",N($B317)=0),"",IF(AND($I317="Phản ánh",$E317="Đã xử lý"),INDEX('Phản ánh'!$U$6:$U$505,MATCH($C317,'Phản ánh'!$A$6:$A$505,0)),IF(AND($I317="Công việc",OR($E317="Hoàn thành",$E317="Hoàn thành kỳ")),IF(INDEX('Kế hoạch'!$B$6:$B$305,$O317)="Đột xuất",INDEX('Kế hoạch'!$AY$6:$AY$305,$O317),IF(N($P317)=0,"",IF(INT($B317)&lt;$P317,$P317,IF($Q317&gt;0,$P317+ROUND((INT($B317)-$P317)/$Q317,0)*$Q317,IF($R317&gt;0,EDATE($P317,ROUND((DATEDIF($P317,INT($B317),"m")+(INT($B317)-EDATE($P317,DATEDIF($P317,INT($B317),"m")))/(EDATE($P317,DATEDIF($P317,INT($B317),"m")+1)-EDATE($P317,DATEDIF($P317,INT($B317),"m"))))/$R317,0)*$R317),$P317))))),"")))</f>
      </c>
      <c r="M317" s="223">
        <f>IF(OR($C317="",N($L317)=0,N($B317)=0),"",IF(IF(MOD($L317,1)=0,INT($B317),$B317)&lt;=$L317,"Đúng hạn","Trễ hạn"))</f>
      </c>
      <c r="N317" s="225">
        <f>IF($C317="","",ROW())</f>
      </c>
      <c r="O317" s="225">
        <f>IF($I317="Công việc",MATCH($C317,'Kế hoạch'!$A$6:$A$305,0),"")</f>
      </c>
      <c r="P317" s="234">
        <f>IF($O317="","",INDEX('Kế hoạch'!$I$6:$I$305,$O317))</f>
      </c>
      <c r="Q317" s="225">
        <f>IF($O317="","",INDEX('Kế hoạch'!$AJ$6:$AJ$305,$O317))</f>
      </c>
      <c r="R317" s="225">
        <f>IF($O317="","",INDEX('Kế hoạch'!$AK$6:$AK$305,$O317))</f>
      </c>
    </row>
    <row r="318">
      <c r="A318" s="223">
        <f>IF($C318="","",COUNTIF($C$6:$C318,"?*"))</f>
      </c>
      <c r="B318" s="217"/>
      <c r="C318" s="216"/>
      <c r="D318" s="240"/>
      <c r="E318" s="218"/>
      <c r="F318" s="218"/>
      <c r="G318" s="218"/>
      <c r="H318" s="219"/>
      <c r="I318" s="223">
        <f>IF($C318="","",IF(ISNUMBER(MATCH($C318,'Phản ánh'!$A$6:$A$505,0)),"Phản ánh",IF(ISNUMBER(MATCH($C318,'Kế hoạch'!$A$6:$A$305,0)),"Công việc","Mã chưa có")))</f>
      </c>
      <c r="J318" s="221">
        <f>IF($I318="Phản ánh",INDEX('Phản ánh'!$C$6:$C$505,MATCH($C318,'Phản ánh'!$A$6:$A$505,0)),IF($I318="Công việc",INDEX('Kế hoạch'!$C$6:$C$305,$O318),""))</f>
      </c>
      <c r="K318" s="221">
        <f>IF($I318="Phản ánh",INDEX('Phản ánh'!$K$6:$K$505,MATCH($C318,'Phản ánh'!$A$6:$A$505,0))&amp;"",IF($I318="Công việc",INDEX('Kế hoạch'!$N$6:$N$305,$O318)&amp;"",""))</f>
      </c>
      <c r="L318" s="220">
        <f>IF(OR($C318="",N($B318)=0),"",IF(AND($I318="Phản ánh",$E318="Đã xử lý"),INDEX('Phản ánh'!$U$6:$U$505,MATCH($C318,'Phản ánh'!$A$6:$A$505,0)),IF(AND($I318="Công việc",OR($E318="Hoàn thành",$E318="Hoàn thành kỳ")),IF(INDEX('Kế hoạch'!$B$6:$B$305,$O318)="Đột xuất",INDEX('Kế hoạch'!$AY$6:$AY$305,$O318),IF(N($P318)=0,"",IF(INT($B318)&lt;$P318,$P318,IF($Q318&gt;0,$P318+ROUND((INT($B318)-$P318)/$Q318,0)*$Q318,IF($R318&gt;0,EDATE($P318,ROUND((DATEDIF($P318,INT($B318),"m")+(INT($B318)-EDATE($P318,DATEDIF($P318,INT($B318),"m")))/(EDATE($P318,DATEDIF($P318,INT($B318),"m")+1)-EDATE($P318,DATEDIF($P318,INT($B318),"m"))))/$R318,0)*$R318),$P318))))),"")))</f>
      </c>
      <c r="M318" s="223">
        <f>IF(OR($C318="",N($L318)=0,N($B318)=0),"",IF(IF(MOD($L318,1)=0,INT($B318),$B318)&lt;=$L318,"Đúng hạn","Trễ hạn"))</f>
      </c>
      <c r="N318" s="225">
        <f>IF($C318="","",ROW())</f>
      </c>
      <c r="O318" s="225">
        <f>IF($I318="Công việc",MATCH($C318,'Kế hoạch'!$A$6:$A$305,0),"")</f>
      </c>
      <c r="P318" s="234">
        <f>IF($O318="","",INDEX('Kế hoạch'!$I$6:$I$305,$O318))</f>
      </c>
      <c r="Q318" s="225">
        <f>IF($O318="","",INDEX('Kế hoạch'!$AJ$6:$AJ$305,$O318))</f>
      </c>
      <c r="R318" s="225">
        <f>IF($O318="","",INDEX('Kế hoạch'!$AK$6:$AK$305,$O318))</f>
      </c>
    </row>
    <row r="319">
      <c r="A319" s="223">
        <f>IF($C319="","",COUNTIF($C$6:$C319,"?*"))</f>
      </c>
      <c r="B319" s="217"/>
      <c r="C319" s="216"/>
      <c r="D319" s="240"/>
      <c r="E319" s="218"/>
      <c r="F319" s="218"/>
      <c r="G319" s="218"/>
      <c r="H319" s="219"/>
      <c r="I319" s="223">
        <f>IF($C319="","",IF(ISNUMBER(MATCH($C319,'Phản ánh'!$A$6:$A$505,0)),"Phản ánh",IF(ISNUMBER(MATCH($C319,'Kế hoạch'!$A$6:$A$305,0)),"Công việc","Mã chưa có")))</f>
      </c>
      <c r="J319" s="221">
        <f>IF($I319="Phản ánh",INDEX('Phản ánh'!$C$6:$C$505,MATCH($C319,'Phản ánh'!$A$6:$A$505,0)),IF($I319="Công việc",INDEX('Kế hoạch'!$C$6:$C$305,$O319),""))</f>
      </c>
      <c r="K319" s="221">
        <f>IF($I319="Phản ánh",INDEX('Phản ánh'!$K$6:$K$505,MATCH($C319,'Phản ánh'!$A$6:$A$505,0))&amp;"",IF($I319="Công việc",INDEX('Kế hoạch'!$N$6:$N$305,$O319)&amp;"",""))</f>
      </c>
      <c r="L319" s="220">
        <f>IF(OR($C319="",N($B319)=0),"",IF(AND($I319="Phản ánh",$E319="Đã xử lý"),INDEX('Phản ánh'!$U$6:$U$505,MATCH($C319,'Phản ánh'!$A$6:$A$505,0)),IF(AND($I319="Công việc",OR($E319="Hoàn thành",$E319="Hoàn thành kỳ")),IF(INDEX('Kế hoạch'!$B$6:$B$305,$O319)="Đột xuất",INDEX('Kế hoạch'!$AY$6:$AY$305,$O319),IF(N($P319)=0,"",IF(INT($B319)&lt;$P319,$P319,IF($Q319&gt;0,$P319+ROUND((INT($B319)-$P319)/$Q319,0)*$Q319,IF($R319&gt;0,EDATE($P319,ROUND((DATEDIF($P319,INT($B319),"m")+(INT($B319)-EDATE($P319,DATEDIF($P319,INT($B319),"m")))/(EDATE($P319,DATEDIF($P319,INT($B319),"m")+1)-EDATE($P319,DATEDIF($P319,INT($B319),"m"))))/$R319,0)*$R319),$P319))))),"")))</f>
      </c>
      <c r="M319" s="223">
        <f>IF(OR($C319="",N($L319)=0,N($B319)=0),"",IF(IF(MOD($L319,1)=0,INT($B319),$B319)&lt;=$L319,"Đúng hạn","Trễ hạn"))</f>
      </c>
      <c r="N319" s="225">
        <f>IF($C319="","",ROW())</f>
      </c>
      <c r="O319" s="225">
        <f>IF($I319="Công việc",MATCH($C319,'Kế hoạch'!$A$6:$A$305,0),"")</f>
      </c>
      <c r="P319" s="234">
        <f>IF($O319="","",INDEX('Kế hoạch'!$I$6:$I$305,$O319))</f>
      </c>
      <c r="Q319" s="225">
        <f>IF($O319="","",INDEX('Kế hoạch'!$AJ$6:$AJ$305,$O319))</f>
      </c>
      <c r="R319" s="225">
        <f>IF($O319="","",INDEX('Kế hoạch'!$AK$6:$AK$305,$O319))</f>
      </c>
    </row>
    <row r="320">
      <c r="A320" s="223">
        <f>IF($C320="","",COUNTIF($C$6:$C320,"?*"))</f>
      </c>
      <c r="B320" s="217"/>
      <c r="C320" s="216"/>
      <c r="D320" s="240"/>
      <c r="E320" s="218"/>
      <c r="F320" s="218"/>
      <c r="G320" s="218"/>
      <c r="H320" s="219"/>
      <c r="I320" s="223">
        <f>IF($C320="","",IF(ISNUMBER(MATCH($C320,'Phản ánh'!$A$6:$A$505,0)),"Phản ánh",IF(ISNUMBER(MATCH($C320,'Kế hoạch'!$A$6:$A$305,0)),"Công việc","Mã chưa có")))</f>
      </c>
      <c r="J320" s="221">
        <f>IF($I320="Phản ánh",INDEX('Phản ánh'!$C$6:$C$505,MATCH($C320,'Phản ánh'!$A$6:$A$505,0)),IF($I320="Công việc",INDEX('Kế hoạch'!$C$6:$C$305,$O320),""))</f>
      </c>
      <c r="K320" s="221">
        <f>IF($I320="Phản ánh",INDEX('Phản ánh'!$K$6:$K$505,MATCH($C320,'Phản ánh'!$A$6:$A$505,0))&amp;"",IF($I320="Công việc",INDEX('Kế hoạch'!$N$6:$N$305,$O320)&amp;"",""))</f>
      </c>
      <c r="L320" s="220">
        <f>IF(OR($C320="",N($B320)=0),"",IF(AND($I320="Phản ánh",$E320="Đã xử lý"),INDEX('Phản ánh'!$U$6:$U$505,MATCH($C320,'Phản ánh'!$A$6:$A$505,0)),IF(AND($I320="Công việc",OR($E320="Hoàn thành",$E320="Hoàn thành kỳ")),IF(INDEX('Kế hoạch'!$B$6:$B$305,$O320)="Đột xuất",INDEX('Kế hoạch'!$AY$6:$AY$305,$O320),IF(N($P320)=0,"",IF(INT($B320)&lt;$P320,$P320,IF($Q320&gt;0,$P320+ROUND((INT($B320)-$P320)/$Q320,0)*$Q320,IF($R320&gt;0,EDATE($P320,ROUND((DATEDIF($P320,INT($B320),"m")+(INT($B320)-EDATE($P320,DATEDIF($P320,INT($B320),"m")))/(EDATE($P320,DATEDIF($P320,INT($B320),"m")+1)-EDATE($P320,DATEDIF($P320,INT($B320),"m"))))/$R320,0)*$R320),$P320))))),"")))</f>
      </c>
      <c r="M320" s="223">
        <f>IF(OR($C320="",N($L320)=0,N($B320)=0),"",IF(IF(MOD($L320,1)=0,INT($B320),$B320)&lt;=$L320,"Đúng hạn","Trễ hạn"))</f>
      </c>
      <c r="N320" s="225">
        <f>IF($C320="","",ROW())</f>
      </c>
      <c r="O320" s="225">
        <f>IF($I320="Công việc",MATCH($C320,'Kế hoạch'!$A$6:$A$305,0),"")</f>
      </c>
      <c r="P320" s="234">
        <f>IF($O320="","",INDEX('Kế hoạch'!$I$6:$I$305,$O320))</f>
      </c>
      <c r="Q320" s="225">
        <f>IF($O320="","",INDEX('Kế hoạch'!$AJ$6:$AJ$305,$O320))</f>
      </c>
      <c r="R320" s="225">
        <f>IF($O320="","",INDEX('Kế hoạch'!$AK$6:$AK$305,$O320))</f>
      </c>
    </row>
    <row r="321">
      <c r="A321" s="223">
        <f>IF($C321="","",COUNTIF($C$6:$C321,"?*"))</f>
      </c>
      <c r="B321" s="217"/>
      <c r="C321" s="216"/>
      <c r="D321" s="240"/>
      <c r="E321" s="218"/>
      <c r="F321" s="218"/>
      <c r="G321" s="218"/>
      <c r="H321" s="219"/>
      <c r="I321" s="223">
        <f>IF($C321="","",IF(ISNUMBER(MATCH($C321,'Phản ánh'!$A$6:$A$505,0)),"Phản ánh",IF(ISNUMBER(MATCH($C321,'Kế hoạch'!$A$6:$A$305,0)),"Công việc","Mã chưa có")))</f>
      </c>
      <c r="J321" s="221">
        <f>IF($I321="Phản ánh",INDEX('Phản ánh'!$C$6:$C$505,MATCH($C321,'Phản ánh'!$A$6:$A$505,0)),IF($I321="Công việc",INDEX('Kế hoạch'!$C$6:$C$305,$O321),""))</f>
      </c>
      <c r="K321" s="221">
        <f>IF($I321="Phản ánh",INDEX('Phản ánh'!$K$6:$K$505,MATCH($C321,'Phản ánh'!$A$6:$A$505,0))&amp;"",IF($I321="Công việc",INDEX('Kế hoạch'!$N$6:$N$305,$O321)&amp;"",""))</f>
      </c>
      <c r="L321" s="220">
        <f>IF(OR($C321="",N($B321)=0),"",IF(AND($I321="Phản ánh",$E321="Đã xử lý"),INDEX('Phản ánh'!$U$6:$U$505,MATCH($C321,'Phản ánh'!$A$6:$A$505,0)),IF(AND($I321="Công việc",OR($E321="Hoàn thành",$E321="Hoàn thành kỳ")),IF(INDEX('Kế hoạch'!$B$6:$B$305,$O321)="Đột xuất",INDEX('Kế hoạch'!$AY$6:$AY$305,$O321),IF(N($P321)=0,"",IF(INT($B321)&lt;$P321,$P321,IF($Q321&gt;0,$P321+ROUND((INT($B321)-$P321)/$Q321,0)*$Q321,IF($R321&gt;0,EDATE($P321,ROUND((DATEDIF($P321,INT($B321),"m")+(INT($B321)-EDATE($P321,DATEDIF($P321,INT($B321),"m")))/(EDATE($P321,DATEDIF($P321,INT($B321),"m")+1)-EDATE($P321,DATEDIF($P321,INT($B321),"m"))))/$R321,0)*$R321),$P321))))),"")))</f>
      </c>
      <c r="M321" s="223">
        <f>IF(OR($C321="",N($L321)=0,N($B321)=0),"",IF(IF(MOD($L321,1)=0,INT($B321),$B321)&lt;=$L321,"Đúng hạn","Trễ hạn"))</f>
      </c>
      <c r="N321" s="225">
        <f>IF($C321="","",ROW())</f>
      </c>
      <c r="O321" s="225">
        <f>IF($I321="Công việc",MATCH($C321,'Kế hoạch'!$A$6:$A$305,0),"")</f>
      </c>
      <c r="P321" s="234">
        <f>IF($O321="","",INDEX('Kế hoạch'!$I$6:$I$305,$O321))</f>
      </c>
      <c r="Q321" s="225">
        <f>IF($O321="","",INDEX('Kế hoạch'!$AJ$6:$AJ$305,$O321))</f>
      </c>
      <c r="R321" s="225">
        <f>IF($O321="","",INDEX('Kế hoạch'!$AK$6:$AK$305,$O321))</f>
      </c>
    </row>
    <row r="322">
      <c r="A322" s="223">
        <f>IF($C322="","",COUNTIF($C$6:$C322,"?*"))</f>
      </c>
      <c r="B322" s="217"/>
      <c r="C322" s="216"/>
      <c r="D322" s="240"/>
      <c r="E322" s="218"/>
      <c r="F322" s="218"/>
      <c r="G322" s="218"/>
      <c r="H322" s="219"/>
      <c r="I322" s="223">
        <f>IF($C322="","",IF(ISNUMBER(MATCH($C322,'Phản ánh'!$A$6:$A$505,0)),"Phản ánh",IF(ISNUMBER(MATCH($C322,'Kế hoạch'!$A$6:$A$305,0)),"Công việc","Mã chưa có")))</f>
      </c>
      <c r="J322" s="221">
        <f>IF($I322="Phản ánh",INDEX('Phản ánh'!$C$6:$C$505,MATCH($C322,'Phản ánh'!$A$6:$A$505,0)),IF($I322="Công việc",INDEX('Kế hoạch'!$C$6:$C$305,$O322),""))</f>
      </c>
      <c r="K322" s="221">
        <f>IF($I322="Phản ánh",INDEX('Phản ánh'!$K$6:$K$505,MATCH($C322,'Phản ánh'!$A$6:$A$505,0))&amp;"",IF($I322="Công việc",INDEX('Kế hoạch'!$N$6:$N$305,$O322)&amp;"",""))</f>
      </c>
      <c r="L322" s="220">
        <f>IF(OR($C322="",N($B322)=0),"",IF(AND($I322="Phản ánh",$E322="Đã xử lý"),INDEX('Phản ánh'!$U$6:$U$505,MATCH($C322,'Phản ánh'!$A$6:$A$505,0)),IF(AND($I322="Công việc",OR($E322="Hoàn thành",$E322="Hoàn thành kỳ")),IF(INDEX('Kế hoạch'!$B$6:$B$305,$O322)="Đột xuất",INDEX('Kế hoạch'!$AY$6:$AY$305,$O322),IF(N($P322)=0,"",IF(INT($B322)&lt;$P322,$P322,IF($Q322&gt;0,$P322+ROUND((INT($B322)-$P322)/$Q322,0)*$Q322,IF($R322&gt;0,EDATE($P322,ROUND((DATEDIF($P322,INT($B322),"m")+(INT($B322)-EDATE($P322,DATEDIF($P322,INT($B322),"m")))/(EDATE($P322,DATEDIF($P322,INT($B322),"m")+1)-EDATE($P322,DATEDIF($P322,INT($B322),"m"))))/$R322,0)*$R322),$P322))))),"")))</f>
      </c>
      <c r="M322" s="223">
        <f>IF(OR($C322="",N($L322)=0,N($B322)=0),"",IF(IF(MOD($L322,1)=0,INT($B322),$B322)&lt;=$L322,"Đúng hạn","Trễ hạn"))</f>
      </c>
      <c r="N322" s="225">
        <f>IF($C322="","",ROW())</f>
      </c>
      <c r="O322" s="225">
        <f>IF($I322="Công việc",MATCH($C322,'Kế hoạch'!$A$6:$A$305,0),"")</f>
      </c>
      <c r="P322" s="234">
        <f>IF($O322="","",INDEX('Kế hoạch'!$I$6:$I$305,$O322))</f>
      </c>
      <c r="Q322" s="225">
        <f>IF($O322="","",INDEX('Kế hoạch'!$AJ$6:$AJ$305,$O322))</f>
      </c>
      <c r="R322" s="225">
        <f>IF($O322="","",INDEX('Kế hoạch'!$AK$6:$AK$305,$O322))</f>
      </c>
    </row>
    <row r="323">
      <c r="A323" s="223">
        <f>IF($C323="","",COUNTIF($C$6:$C323,"?*"))</f>
      </c>
      <c r="B323" s="217"/>
      <c r="C323" s="216"/>
      <c r="D323" s="240"/>
      <c r="E323" s="218"/>
      <c r="F323" s="218"/>
      <c r="G323" s="218"/>
      <c r="H323" s="219"/>
      <c r="I323" s="223">
        <f>IF($C323="","",IF(ISNUMBER(MATCH($C323,'Phản ánh'!$A$6:$A$505,0)),"Phản ánh",IF(ISNUMBER(MATCH($C323,'Kế hoạch'!$A$6:$A$305,0)),"Công việc","Mã chưa có")))</f>
      </c>
      <c r="J323" s="221">
        <f>IF($I323="Phản ánh",INDEX('Phản ánh'!$C$6:$C$505,MATCH($C323,'Phản ánh'!$A$6:$A$505,0)),IF($I323="Công việc",INDEX('Kế hoạch'!$C$6:$C$305,$O323),""))</f>
      </c>
      <c r="K323" s="221">
        <f>IF($I323="Phản ánh",INDEX('Phản ánh'!$K$6:$K$505,MATCH($C323,'Phản ánh'!$A$6:$A$505,0))&amp;"",IF($I323="Công việc",INDEX('Kế hoạch'!$N$6:$N$305,$O323)&amp;"",""))</f>
      </c>
      <c r="L323" s="220">
        <f>IF(OR($C323="",N($B323)=0),"",IF(AND($I323="Phản ánh",$E323="Đã xử lý"),INDEX('Phản ánh'!$U$6:$U$505,MATCH($C323,'Phản ánh'!$A$6:$A$505,0)),IF(AND($I323="Công việc",OR($E323="Hoàn thành",$E323="Hoàn thành kỳ")),IF(INDEX('Kế hoạch'!$B$6:$B$305,$O323)="Đột xuất",INDEX('Kế hoạch'!$AY$6:$AY$305,$O323),IF(N($P323)=0,"",IF(INT($B323)&lt;$P323,$P323,IF($Q323&gt;0,$P323+ROUND((INT($B323)-$P323)/$Q323,0)*$Q323,IF($R323&gt;0,EDATE($P323,ROUND((DATEDIF($P323,INT($B323),"m")+(INT($B323)-EDATE($P323,DATEDIF($P323,INT($B323),"m")))/(EDATE($P323,DATEDIF($P323,INT($B323),"m")+1)-EDATE($P323,DATEDIF($P323,INT($B323),"m"))))/$R323,0)*$R323),$P323))))),"")))</f>
      </c>
      <c r="M323" s="223">
        <f>IF(OR($C323="",N($L323)=0,N($B323)=0),"",IF(IF(MOD($L323,1)=0,INT($B323),$B323)&lt;=$L323,"Đúng hạn","Trễ hạn"))</f>
      </c>
      <c r="N323" s="225">
        <f>IF($C323="","",ROW())</f>
      </c>
      <c r="O323" s="225">
        <f>IF($I323="Công việc",MATCH($C323,'Kế hoạch'!$A$6:$A$305,0),"")</f>
      </c>
      <c r="P323" s="234">
        <f>IF($O323="","",INDEX('Kế hoạch'!$I$6:$I$305,$O323))</f>
      </c>
      <c r="Q323" s="225">
        <f>IF($O323="","",INDEX('Kế hoạch'!$AJ$6:$AJ$305,$O323))</f>
      </c>
      <c r="R323" s="225">
        <f>IF($O323="","",INDEX('Kế hoạch'!$AK$6:$AK$305,$O323))</f>
      </c>
    </row>
    <row r="324">
      <c r="A324" s="223">
        <f>IF($C324="","",COUNTIF($C$6:$C324,"?*"))</f>
      </c>
      <c r="B324" s="217"/>
      <c r="C324" s="216"/>
      <c r="D324" s="240"/>
      <c r="E324" s="218"/>
      <c r="F324" s="218"/>
      <c r="G324" s="218"/>
      <c r="H324" s="219"/>
      <c r="I324" s="223">
        <f>IF($C324="","",IF(ISNUMBER(MATCH($C324,'Phản ánh'!$A$6:$A$505,0)),"Phản ánh",IF(ISNUMBER(MATCH($C324,'Kế hoạch'!$A$6:$A$305,0)),"Công việc","Mã chưa có")))</f>
      </c>
      <c r="J324" s="221">
        <f>IF($I324="Phản ánh",INDEX('Phản ánh'!$C$6:$C$505,MATCH($C324,'Phản ánh'!$A$6:$A$505,0)),IF($I324="Công việc",INDEX('Kế hoạch'!$C$6:$C$305,$O324),""))</f>
      </c>
      <c r="K324" s="221">
        <f>IF($I324="Phản ánh",INDEX('Phản ánh'!$K$6:$K$505,MATCH($C324,'Phản ánh'!$A$6:$A$505,0))&amp;"",IF($I324="Công việc",INDEX('Kế hoạch'!$N$6:$N$305,$O324)&amp;"",""))</f>
      </c>
      <c r="L324" s="220">
        <f>IF(OR($C324="",N($B324)=0),"",IF(AND($I324="Phản ánh",$E324="Đã xử lý"),INDEX('Phản ánh'!$U$6:$U$505,MATCH($C324,'Phản ánh'!$A$6:$A$505,0)),IF(AND($I324="Công việc",OR($E324="Hoàn thành",$E324="Hoàn thành kỳ")),IF(INDEX('Kế hoạch'!$B$6:$B$305,$O324)="Đột xuất",INDEX('Kế hoạch'!$AY$6:$AY$305,$O324),IF(N($P324)=0,"",IF(INT($B324)&lt;$P324,$P324,IF($Q324&gt;0,$P324+ROUND((INT($B324)-$P324)/$Q324,0)*$Q324,IF($R324&gt;0,EDATE($P324,ROUND((DATEDIF($P324,INT($B324),"m")+(INT($B324)-EDATE($P324,DATEDIF($P324,INT($B324),"m")))/(EDATE($P324,DATEDIF($P324,INT($B324),"m")+1)-EDATE($P324,DATEDIF($P324,INT($B324),"m"))))/$R324,0)*$R324),$P324))))),"")))</f>
      </c>
      <c r="M324" s="223">
        <f>IF(OR($C324="",N($L324)=0,N($B324)=0),"",IF(IF(MOD($L324,1)=0,INT($B324),$B324)&lt;=$L324,"Đúng hạn","Trễ hạn"))</f>
      </c>
      <c r="N324" s="225">
        <f>IF($C324="","",ROW())</f>
      </c>
      <c r="O324" s="225">
        <f>IF($I324="Công việc",MATCH($C324,'Kế hoạch'!$A$6:$A$305,0),"")</f>
      </c>
      <c r="P324" s="234">
        <f>IF($O324="","",INDEX('Kế hoạch'!$I$6:$I$305,$O324))</f>
      </c>
      <c r="Q324" s="225">
        <f>IF($O324="","",INDEX('Kế hoạch'!$AJ$6:$AJ$305,$O324))</f>
      </c>
      <c r="R324" s="225">
        <f>IF($O324="","",INDEX('Kế hoạch'!$AK$6:$AK$305,$O324))</f>
      </c>
    </row>
    <row r="325">
      <c r="A325" s="223">
        <f>IF($C325="","",COUNTIF($C$6:$C325,"?*"))</f>
      </c>
      <c r="B325" s="217"/>
      <c r="C325" s="216"/>
      <c r="D325" s="240"/>
      <c r="E325" s="218"/>
      <c r="F325" s="218"/>
      <c r="G325" s="218"/>
      <c r="H325" s="219"/>
      <c r="I325" s="223">
        <f>IF($C325="","",IF(ISNUMBER(MATCH($C325,'Phản ánh'!$A$6:$A$505,0)),"Phản ánh",IF(ISNUMBER(MATCH($C325,'Kế hoạch'!$A$6:$A$305,0)),"Công việc","Mã chưa có")))</f>
      </c>
      <c r="J325" s="221">
        <f>IF($I325="Phản ánh",INDEX('Phản ánh'!$C$6:$C$505,MATCH($C325,'Phản ánh'!$A$6:$A$505,0)),IF($I325="Công việc",INDEX('Kế hoạch'!$C$6:$C$305,$O325),""))</f>
      </c>
      <c r="K325" s="221">
        <f>IF($I325="Phản ánh",INDEX('Phản ánh'!$K$6:$K$505,MATCH($C325,'Phản ánh'!$A$6:$A$505,0))&amp;"",IF($I325="Công việc",INDEX('Kế hoạch'!$N$6:$N$305,$O325)&amp;"",""))</f>
      </c>
      <c r="L325" s="220">
        <f>IF(OR($C325="",N($B325)=0),"",IF(AND($I325="Phản ánh",$E325="Đã xử lý"),INDEX('Phản ánh'!$U$6:$U$505,MATCH($C325,'Phản ánh'!$A$6:$A$505,0)),IF(AND($I325="Công việc",OR($E325="Hoàn thành",$E325="Hoàn thành kỳ")),IF(INDEX('Kế hoạch'!$B$6:$B$305,$O325)="Đột xuất",INDEX('Kế hoạch'!$AY$6:$AY$305,$O325),IF(N($P325)=0,"",IF(INT($B325)&lt;$P325,$P325,IF($Q325&gt;0,$P325+ROUND((INT($B325)-$P325)/$Q325,0)*$Q325,IF($R325&gt;0,EDATE($P325,ROUND((DATEDIF($P325,INT($B325),"m")+(INT($B325)-EDATE($P325,DATEDIF($P325,INT($B325),"m")))/(EDATE($P325,DATEDIF($P325,INT($B325),"m")+1)-EDATE($P325,DATEDIF($P325,INT($B325),"m"))))/$R325,0)*$R325),$P325))))),"")))</f>
      </c>
      <c r="M325" s="223">
        <f>IF(OR($C325="",N($L325)=0,N($B325)=0),"",IF(IF(MOD($L325,1)=0,INT($B325),$B325)&lt;=$L325,"Đúng hạn","Trễ hạn"))</f>
      </c>
      <c r="N325" s="225">
        <f>IF($C325="","",ROW())</f>
      </c>
      <c r="O325" s="225">
        <f>IF($I325="Công việc",MATCH($C325,'Kế hoạch'!$A$6:$A$305,0),"")</f>
      </c>
      <c r="P325" s="234">
        <f>IF($O325="","",INDEX('Kế hoạch'!$I$6:$I$305,$O325))</f>
      </c>
      <c r="Q325" s="225">
        <f>IF($O325="","",INDEX('Kế hoạch'!$AJ$6:$AJ$305,$O325))</f>
      </c>
      <c r="R325" s="225">
        <f>IF($O325="","",INDEX('Kế hoạch'!$AK$6:$AK$305,$O325))</f>
      </c>
    </row>
    <row r="326">
      <c r="A326" s="223">
        <f>IF($C326="","",COUNTIF($C$6:$C326,"?*"))</f>
      </c>
      <c r="B326" s="217"/>
      <c r="C326" s="216"/>
      <c r="D326" s="240"/>
      <c r="E326" s="218"/>
      <c r="F326" s="218"/>
      <c r="G326" s="218"/>
      <c r="H326" s="219"/>
      <c r="I326" s="223">
        <f>IF($C326="","",IF(ISNUMBER(MATCH($C326,'Phản ánh'!$A$6:$A$505,0)),"Phản ánh",IF(ISNUMBER(MATCH($C326,'Kế hoạch'!$A$6:$A$305,0)),"Công việc","Mã chưa có")))</f>
      </c>
      <c r="J326" s="221">
        <f>IF($I326="Phản ánh",INDEX('Phản ánh'!$C$6:$C$505,MATCH($C326,'Phản ánh'!$A$6:$A$505,0)),IF($I326="Công việc",INDEX('Kế hoạch'!$C$6:$C$305,$O326),""))</f>
      </c>
      <c r="K326" s="221">
        <f>IF($I326="Phản ánh",INDEX('Phản ánh'!$K$6:$K$505,MATCH($C326,'Phản ánh'!$A$6:$A$505,0))&amp;"",IF($I326="Công việc",INDEX('Kế hoạch'!$N$6:$N$305,$O326)&amp;"",""))</f>
      </c>
      <c r="L326" s="220">
        <f>IF(OR($C326="",N($B326)=0),"",IF(AND($I326="Phản ánh",$E326="Đã xử lý"),INDEX('Phản ánh'!$U$6:$U$505,MATCH($C326,'Phản ánh'!$A$6:$A$505,0)),IF(AND($I326="Công việc",OR($E326="Hoàn thành",$E326="Hoàn thành kỳ")),IF(INDEX('Kế hoạch'!$B$6:$B$305,$O326)="Đột xuất",INDEX('Kế hoạch'!$AY$6:$AY$305,$O326),IF(N($P326)=0,"",IF(INT($B326)&lt;$P326,$P326,IF($Q326&gt;0,$P326+ROUND((INT($B326)-$P326)/$Q326,0)*$Q326,IF($R326&gt;0,EDATE($P326,ROUND((DATEDIF($P326,INT($B326),"m")+(INT($B326)-EDATE($P326,DATEDIF($P326,INT($B326),"m")))/(EDATE($P326,DATEDIF($P326,INT($B326),"m")+1)-EDATE($P326,DATEDIF($P326,INT($B326),"m"))))/$R326,0)*$R326),$P326))))),"")))</f>
      </c>
      <c r="M326" s="223">
        <f>IF(OR($C326="",N($L326)=0,N($B326)=0),"",IF(IF(MOD($L326,1)=0,INT($B326),$B326)&lt;=$L326,"Đúng hạn","Trễ hạn"))</f>
      </c>
      <c r="N326" s="225">
        <f>IF($C326="","",ROW())</f>
      </c>
      <c r="O326" s="225">
        <f>IF($I326="Công việc",MATCH($C326,'Kế hoạch'!$A$6:$A$305,0),"")</f>
      </c>
      <c r="P326" s="234">
        <f>IF($O326="","",INDEX('Kế hoạch'!$I$6:$I$305,$O326))</f>
      </c>
      <c r="Q326" s="225">
        <f>IF($O326="","",INDEX('Kế hoạch'!$AJ$6:$AJ$305,$O326))</f>
      </c>
      <c r="R326" s="225">
        <f>IF($O326="","",INDEX('Kế hoạch'!$AK$6:$AK$305,$O326))</f>
      </c>
    </row>
    <row r="327">
      <c r="A327" s="223">
        <f>IF($C327="","",COUNTIF($C$6:$C327,"?*"))</f>
      </c>
      <c r="B327" s="217"/>
      <c r="C327" s="216"/>
      <c r="D327" s="240"/>
      <c r="E327" s="218"/>
      <c r="F327" s="218"/>
      <c r="G327" s="218"/>
      <c r="H327" s="219"/>
      <c r="I327" s="223">
        <f>IF($C327="","",IF(ISNUMBER(MATCH($C327,'Phản ánh'!$A$6:$A$505,0)),"Phản ánh",IF(ISNUMBER(MATCH($C327,'Kế hoạch'!$A$6:$A$305,0)),"Công việc","Mã chưa có")))</f>
      </c>
      <c r="J327" s="221">
        <f>IF($I327="Phản ánh",INDEX('Phản ánh'!$C$6:$C$505,MATCH($C327,'Phản ánh'!$A$6:$A$505,0)),IF($I327="Công việc",INDEX('Kế hoạch'!$C$6:$C$305,$O327),""))</f>
      </c>
      <c r="K327" s="221">
        <f>IF($I327="Phản ánh",INDEX('Phản ánh'!$K$6:$K$505,MATCH($C327,'Phản ánh'!$A$6:$A$505,0))&amp;"",IF($I327="Công việc",INDEX('Kế hoạch'!$N$6:$N$305,$O327)&amp;"",""))</f>
      </c>
      <c r="L327" s="220">
        <f>IF(OR($C327="",N($B327)=0),"",IF(AND($I327="Phản ánh",$E327="Đã xử lý"),INDEX('Phản ánh'!$U$6:$U$505,MATCH($C327,'Phản ánh'!$A$6:$A$505,0)),IF(AND($I327="Công việc",OR($E327="Hoàn thành",$E327="Hoàn thành kỳ")),IF(INDEX('Kế hoạch'!$B$6:$B$305,$O327)="Đột xuất",INDEX('Kế hoạch'!$AY$6:$AY$305,$O327),IF(N($P327)=0,"",IF(INT($B327)&lt;$P327,$P327,IF($Q327&gt;0,$P327+ROUND((INT($B327)-$P327)/$Q327,0)*$Q327,IF($R327&gt;0,EDATE($P327,ROUND((DATEDIF($P327,INT($B327),"m")+(INT($B327)-EDATE($P327,DATEDIF($P327,INT($B327),"m")))/(EDATE($P327,DATEDIF($P327,INT($B327),"m")+1)-EDATE($P327,DATEDIF($P327,INT($B327),"m"))))/$R327,0)*$R327),$P327))))),"")))</f>
      </c>
      <c r="M327" s="223">
        <f>IF(OR($C327="",N($L327)=0,N($B327)=0),"",IF(IF(MOD($L327,1)=0,INT($B327),$B327)&lt;=$L327,"Đúng hạn","Trễ hạn"))</f>
      </c>
      <c r="N327" s="225">
        <f>IF($C327="","",ROW())</f>
      </c>
      <c r="O327" s="225">
        <f>IF($I327="Công việc",MATCH($C327,'Kế hoạch'!$A$6:$A$305,0),"")</f>
      </c>
      <c r="P327" s="234">
        <f>IF($O327="","",INDEX('Kế hoạch'!$I$6:$I$305,$O327))</f>
      </c>
      <c r="Q327" s="225">
        <f>IF($O327="","",INDEX('Kế hoạch'!$AJ$6:$AJ$305,$O327))</f>
      </c>
      <c r="R327" s="225">
        <f>IF($O327="","",INDEX('Kế hoạch'!$AK$6:$AK$305,$O327))</f>
      </c>
    </row>
    <row r="328">
      <c r="A328" s="223">
        <f>IF($C328="","",COUNTIF($C$6:$C328,"?*"))</f>
      </c>
      <c r="B328" s="217"/>
      <c r="C328" s="216"/>
      <c r="D328" s="240"/>
      <c r="E328" s="218"/>
      <c r="F328" s="218"/>
      <c r="G328" s="218"/>
      <c r="H328" s="219"/>
      <c r="I328" s="223">
        <f>IF($C328="","",IF(ISNUMBER(MATCH($C328,'Phản ánh'!$A$6:$A$505,0)),"Phản ánh",IF(ISNUMBER(MATCH($C328,'Kế hoạch'!$A$6:$A$305,0)),"Công việc","Mã chưa có")))</f>
      </c>
      <c r="J328" s="221">
        <f>IF($I328="Phản ánh",INDEX('Phản ánh'!$C$6:$C$505,MATCH($C328,'Phản ánh'!$A$6:$A$505,0)),IF($I328="Công việc",INDEX('Kế hoạch'!$C$6:$C$305,$O328),""))</f>
      </c>
      <c r="K328" s="221">
        <f>IF($I328="Phản ánh",INDEX('Phản ánh'!$K$6:$K$505,MATCH($C328,'Phản ánh'!$A$6:$A$505,0))&amp;"",IF($I328="Công việc",INDEX('Kế hoạch'!$N$6:$N$305,$O328)&amp;"",""))</f>
      </c>
      <c r="L328" s="220">
        <f>IF(OR($C328="",N($B328)=0),"",IF(AND($I328="Phản ánh",$E328="Đã xử lý"),INDEX('Phản ánh'!$U$6:$U$505,MATCH($C328,'Phản ánh'!$A$6:$A$505,0)),IF(AND($I328="Công việc",OR($E328="Hoàn thành",$E328="Hoàn thành kỳ")),IF(INDEX('Kế hoạch'!$B$6:$B$305,$O328)="Đột xuất",INDEX('Kế hoạch'!$AY$6:$AY$305,$O328),IF(N($P328)=0,"",IF(INT($B328)&lt;$P328,$P328,IF($Q328&gt;0,$P328+ROUND((INT($B328)-$P328)/$Q328,0)*$Q328,IF($R328&gt;0,EDATE($P328,ROUND((DATEDIF($P328,INT($B328),"m")+(INT($B328)-EDATE($P328,DATEDIF($P328,INT($B328),"m")))/(EDATE($P328,DATEDIF($P328,INT($B328),"m")+1)-EDATE($P328,DATEDIF($P328,INT($B328),"m"))))/$R328,0)*$R328),$P328))))),"")))</f>
      </c>
      <c r="M328" s="223">
        <f>IF(OR($C328="",N($L328)=0,N($B328)=0),"",IF(IF(MOD($L328,1)=0,INT($B328),$B328)&lt;=$L328,"Đúng hạn","Trễ hạn"))</f>
      </c>
      <c r="N328" s="225">
        <f>IF($C328="","",ROW())</f>
      </c>
      <c r="O328" s="225">
        <f>IF($I328="Công việc",MATCH($C328,'Kế hoạch'!$A$6:$A$305,0),"")</f>
      </c>
      <c r="P328" s="234">
        <f>IF($O328="","",INDEX('Kế hoạch'!$I$6:$I$305,$O328))</f>
      </c>
      <c r="Q328" s="225">
        <f>IF($O328="","",INDEX('Kế hoạch'!$AJ$6:$AJ$305,$O328))</f>
      </c>
      <c r="R328" s="225">
        <f>IF($O328="","",INDEX('Kế hoạch'!$AK$6:$AK$305,$O328))</f>
      </c>
    </row>
    <row r="329">
      <c r="A329" s="223">
        <f>IF($C329="","",COUNTIF($C$6:$C329,"?*"))</f>
      </c>
      <c r="B329" s="217"/>
      <c r="C329" s="216"/>
      <c r="D329" s="240"/>
      <c r="E329" s="218"/>
      <c r="F329" s="218"/>
      <c r="G329" s="218"/>
      <c r="H329" s="219"/>
      <c r="I329" s="223">
        <f>IF($C329="","",IF(ISNUMBER(MATCH($C329,'Phản ánh'!$A$6:$A$505,0)),"Phản ánh",IF(ISNUMBER(MATCH($C329,'Kế hoạch'!$A$6:$A$305,0)),"Công việc","Mã chưa có")))</f>
      </c>
      <c r="J329" s="221">
        <f>IF($I329="Phản ánh",INDEX('Phản ánh'!$C$6:$C$505,MATCH($C329,'Phản ánh'!$A$6:$A$505,0)),IF($I329="Công việc",INDEX('Kế hoạch'!$C$6:$C$305,$O329),""))</f>
      </c>
      <c r="K329" s="221">
        <f>IF($I329="Phản ánh",INDEX('Phản ánh'!$K$6:$K$505,MATCH($C329,'Phản ánh'!$A$6:$A$505,0))&amp;"",IF($I329="Công việc",INDEX('Kế hoạch'!$N$6:$N$305,$O329)&amp;"",""))</f>
      </c>
      <c r="L329" s="220">
        <f>IF(OR($C329="",N($B329)=0),"",IF(AND($I329="Phản ánh",$E329="Đã xử lý"),INDEX('Phản ánh'!$U$6:$U$505,MATCH($C329,'Phản ánh'!$A$6:$A$505,0)),IF(AND($I329="Công việc",OR($E329="Hoàn thành",$E329="Hoàn thành kỳ")),IF(INDEX('Kế hoạch'!$B$6:$B$305,$O329)="Đột xuất",INDEX('Kế hoạch'!$AY$6:$AY$305,$O329),IF(N($P329)=0,"",IF(INT($B329)&lt;$P329,$P329,IF($Q329&gt;0,$P329+ROUND((INT($B329)-$P329)/$Q329,0)*$Q329,IF($R329&gt;0,EDATE($P329,ROUND((DATEDIF($P329,INT($B329),"m")+(INT($B329)-EDATE($P329,DATEDIF($P329,INT($B329),"m")))/(EDATE($P329,DATEDIF($P329,INT($B329),"m")+1)-EDATE($P329,DATEDIF($P329,INT($B329),"m"))))/$R329,0)*$R329),$P329))))),"")))</f>
      </c>
      <c r="M329" s="223">
        <f>IF(OR($C329="",N($L329)=0,N($B329)=0),"",IF(IF(MOD($L329,1)=0,INT($B329),$B329)&lt;=$L329,"Đúng hạn","Trễ hạn"))</f>
      </c>
      <c r="N329" s="225">
        <f>IF($C329="","",ROW())</f>
      </c>
      <c r="O329" s="225">
        <f>IF($I329="Công việc",MATCH($C329,'Kế hoạch'!$A$6:$A$305,0),"")</f>
      </c>
      <c r="P329" s="234">
        <f>IF($O329="","",INDEX('Kế hoạch'!$I$6:$I$305,$O329))</f>
      </c>
      <c r="Q329" s="225">
        <f>IF($O329="","",INDEX('Kế hoạch'!$AJ$6:$AJ$305,$O329))</f>
      </c>
      <c r="R329" s="225">
        <f>IF($O329="","",INDEX('Kế hoạch'!$AK$6:$AK$305,$O329))</f>
      </c>
    </row>
    <row r="330">
      <c r="A330" s="223">
        <f>IF($C330="","",COUNTIF($C$6:$C330,"?*"))</f>
      </c>
      <c r="B330" s="217"/>
      <c r="C330" s="216"/>
      <c r="D330" s="240"/>
      <c r="E330" s="218"/>
      <c r="F330" s="218"/>
      <c r="G330" s="218"/>
      <c r="H330" s="219"/>
      <c r="I330" s="223">
        <f>IF($C330="","",IF(ISNUMBER(MATCH($C330,'Phản ánh'!$A$6:$A$505,0)),"Phản ánh",IF(ISNUMBER(MATCH($C330,'Kế hoạch'!$A$6:$A$305,0)),"Công việc","Mã chưa có")))</f>
      </c>
      <c r="J330" s="221">
        <f>IF($I330="Phản ánh",INDEX('Phản ánh'!$C$6:$C$505,MATCH($C330,'Phản ánh'!$A$6:$A$505,0)),IF($I330="Công việc",INDEX('Kế hoạch'!$C$6:$C$305,$O330),""))</f>
      </c>
      <c r="K330" s="221">
        <f>IF($I330="Phản ánh",INDEX('Phản ánh'!$K$6:$K$505,MATCH($C330,'Phản ánh'!$A$6:$A$505,0))&amp;"",IF($I330="Công việc",INDEX('Kế hoạch'!$N$6:$N$305,$O330)&amp;"",""))</f>
      </c>
      <c r="L330" s="220">
        <f>IF(OR($C330="",N($B330)=0),"",IF(AND($I330="Phản ánh",$E330="Đã xử lý"),INDEX('Phản ánh'!$U$6:$U$505,MATCH($C330,'Phản ánh'!$A$6:$A$505,0)),IF(AND($I330="Công việc",OR($E330="Hoàn thành",$E330="Hoàn thành kỳ")),IF(INDEX('Kế hoạch'!$B$6:$B$305,$O330)="Đột xuất",INDEX('Kế hoạch'!$AY$6:$AY$305,$O330),IF(N($P330)=0,"",IF(INT($B330)&lt;$P330,$P330,IF($Q330&gt;0,$P330+ROUND((INT($B330)-$P330)/$Q330,0)*$Q330,IF($R330&gt;0,EDATE($P330,ROUND((DATEDIF($P330,INT($B330),"m")+(INT($B330)-EDATE($P330,DATEDIF($P330,INT($B330),"m")))/(EDATE($P330,DATEDIF($P330,INT($B330),"m")+1)-EDATE($P330,DATEDIF($P330,INT($B330),"m"))))/$R330,0)*$R330),$P330))))),"")))</f>
      </c>
      <c r="M330" s="223">
        <f>IF(OR($C330="",N($L330)=0,N($B330)=0),"",IF(IF(MOD($L330,1)=0,INT($B330),$B330)&lt;=$L330,"Đúng hạn","Trễ hạn"))</f>
      </c>
      <c r="N330" s="225">
        <f>IF($C330="","",ROW())</f>
      </c>
      <c r="O330" s="225">
        <f>IF($I330="Công việc",MATCH($C330,'Kế hoạch'!$A$6:$A$305,0),"")</f>
      </c>
      <c r="P330" s="234">
        <f>IF($O330="","",INDEX('Kế hoạch'!$I$6:$I$305,$O330))</f>
      </c>
      <c r="Q330" s="225">
        <f>IF($O330="","",INDEX('Kế hoạch'!$AJ$6:$AJ$305,$O330))</f>
      </c>
      <c r="R330" s="225">
        <f>IF($O330="","",INDEX('Kế hoạch'!$AK$6:$AK$305,$O330))</f>
      </c>
    </row>
    <row r="331">
      <c r="A331" s="223">
        <f>IF($C331="","",COUNTIF($C$6:$C331,"?*"))</f>
      </c>
      <c r="B331" s="217"/>
      <c r="C331" s="216"/>
      <c r="D331" s="240"/>
      <c r="E331" s="218"/>
      <c r="F331" s="218"/>
      <c r="G331" s="218"/>
      <c r="H331" s="219"/>
      <c r="I331" s="223">
        <f>IF($C331="","",IF(ISNUMBER(MATCH($C331,'Phản ánh'!$A$6:$A$505,0)),"Phản ánh",IF(ISNUMBER(MATCH($C331,'Kế hoạch'!$A$6:$A$305,0)),"Công việc","Mã chưa có")))</f>
      </c>
      <c r="J331" s="221">
        <f>IF($I331="Phản ánh",INDEX('Phản ánh'!$C$6:$C$505,MATCH($C331,'Phản ánh'!$A$6:$A$505,0)),IF($I331="Công việc",INDEX('Kế hoạch'!$C$6:$C$305,$O331),""))</f>
      </c>
      <c r="K331" s="221">
        <f>IF($I331="Phản ánh",INDEX('Phản ánh'!$K$6:$K$505,MATCH($C331,'Phản ánh'!$A$6:$A$505,0))&amp;"",IF($I331="Công việc",INDEX('Kế hoạch'!$N$6:$N$305,$O331)&amp;"",""))</f>
      </c>
      <c r="L331" s="220">
        <f>IF(OR($C331="",N($B331)=0),"",IF(AND($I331="Phản ánh",$E331="Đã xử lý"),INDEX('Phản ánh'!$U$6:$U$505,MATCH($C331,'Phản ánh'!$A$6:$A$505,0)),IF(AND($I331="Công việc",OR($E331="Hoàn thành",$E331="Hoàn thành kỳ")),IF(INDEX('Kế hoạch'!$B$6:$B$305,$O331)="Đột xuất",INDEX('Kế hoạch'!$AY$6:$AY$305,$O331),IF(N($P331)=0,"",IF(INT($B331)&lt;$P331,$P331,IF($Q331&gt;0,$P331+ROUND((INT($B331)-$P331)/$Q331,0)*$Q331,IF($R331&gt;0,EDATE($P331,ROUND((DATEDIF($P331,INT($B331),"m")+(INT($B331)-EDATE($P331,DATEDIF($P331,INT($B331),"m")))/(EDATE($P331,DATEDIF($P331,INT($B331),"m")+1)-EDATE($P331,DATEDIF($P331,INT($B331),"m"))))/$R331,0)*$R331),$P331))))),"")))</f>
      </c>
      <c r="M331" s="223">
        <f>IF(OR($C331="",N($L331)=0,N($B331)=0),"",IF(IF(MOD($L331,1)=0,INT($B331),$B331)&lt;=$L331,"Đúng hạn","Trễ hạn"))</f>
      </c>
      <c r="N331" s="225">
        <f>IF($C331="","",ROW())</f>
      </c>
      <c r="O331" s="225">
        <f>IF($I331="Công việc",MATCH($C331,'Kế hoạch'!$A$6:$A$305,0),"")</f>
      </c>
      <c r="P331" s="234">
        <f>IF($O331="","",INDEX('Kế hoạch'!$I$6:$I$305,$O331))</f>
      </c>
      <c r="Q331" s="225">
        <f>IF($O331="","",INDEX('Kế hoạch'!$AJ$6:$AJ$305,$O331))</f>
      </c>
      <c r="R331" s="225">
        <f>IF($O331="","",INDEX('Kế hoạch'!$AK$6:$AK$305,$O331))</f>
      </c>
    </row>
    <row r="332">
      <c r="A332" s="223">
        <f>IF($C332="","",COUNTIF($C$6:$C332,"?*"))</f>
      </c>
      <c r="B332" s="217"/>
      <c r="C332" s="216"/>
      <c r="D332" s="240"/>
      <c r="E332" s="218"/>
      <c r="F332" s="218"/>
      <c r="G332" s="218"/>
      <c r="H332" s="219"/>
      <c r="I332" s="223">
        <f>IF($C332="","",IF(ISNUMBER(MATCH($C332,'Phản ánh'!$A$6:$A$505,0)),"Phản ánh",IF(ISNUMBER(MATCH($C332,'Kế hoạch'!$A$6:$A$305,0)),"Công việc","Mã chưa có")))</f>
      </c>
      <c r="J332" s="221">
        <f>IF($I332="Phản ánh",INDEX('Phản ánh'!$C$6:$C$505,MATCH($C332,'Phản ánh'!$A$6:$A$505,0)),IF($I332="Công việc",INDEX('Kế hoạch'!$C$6:$C$305,$O332),""))</f>
      </c>
      <c r="K332" s="221">
        <f>IF($I332="Phản ánh",INDEX('Phản ánh'!$K$6:$K$505,MATCH($C332,'Phản ánh'!$A$6:$A$505,0))&amp;"",IF($I332="Công việc",INDEX('Kế hoạch'!$N$6:$N$305,$O332)&amp;"",""))</f>
      </c>
      <c r="L332" s="220">
        <f>IF(OR($C332="",N($B332)=0),"",IF(AND($I332="Phản ánh",$E332="Đã xử lý"),INDEX('Phản ánh'!$U$6:$U$505,MATCH($C332,'Phản ánh'!$A$6:$A$505,0)),IF(AND($I332="Công việc",OR($E332="Hoàn thành",$E332="Hoàn thành kỳ")),IF(INDEX('Kế hoạch'!$B$6:$B$305,$O332)="Đột xuất",INDEX('Kế hoạch'!$AY$6:$AY$305,$O332),IF(N($P332)=0,"",IF(INT($B332)&lt;$P332,$P332,IF($Q332&gt;0,$P332+ROUND((INT($B332)-$P332)/$Q332,0)*$Q332,IF($R332&gt;0,EDATE($P332,ROUND((DATEDIF($P332,INT($B332),"m")+(INT($B332)-EDATE($P332,DATEDIF($P332,INT($B332),"m")))/(EDATE($P332,DATEDIF($P332,INT($B332),"m")+1)-EDATE($P332,DATEDIF($P332,INT($B332),"m"))))/$R332,0)*$R332),$P332))))),"")))</f>
      </c>
      <c r="M332" s="223">
        <f>IF(OR($C332="",N($L332)=0,N($B332)=0),"",IF(IF(MOD($L332,1)=0,INT($B332),$B332)&lt;=$L332,"Đúng hạn","Trễ hạn"))</f>
      </c>
      <c r="N332" s="225">
        <f>IF($C332="","",ROW())</f>
      </c>
      <c r="O332" s="225">
        <f>IF($I332="Công việc",MATCH($C332,'Kế hoạch'!$A$6:$A$305,0),"")</f>
      </c>
      <c r="P332" s="234">
        <f>IF($O332="","",INDEX('Kế hoạch'!$I$6:$I$305,$O332))</f>
      </c>
      <c r="Q332" s="225">
        <f>IF($O332="","",INDEX('Kế hoạch'!$AJ$6:$AJ$305,$O332))</f>
      </c>
      <c r="R332" s="225">
        <f>IF($O332="","",INDEX('Kế hoạch'!$AK$6:$AK$305,$O332))</f>
      </c>
    </row>
    <row r="333">
      <c r="A333" s="223">
        <f>IF($C333="","",COUNTIF($C$6:$C333,"?*"))</f>
      </c>
      <c r="B333" s="217"/>
      <c r="C333" s="216"/>
      <c r="D333" s="240"/>
      <c r="E333" s="218"/>
      <c r="F333" s="218"/>
      <c r="G333" s="218"/>
      <c r="H333" s="219"/>
      <c r="I333" s="223">
        <f>IF($C333="","",IF(ISNUMBER(MATCH($C333,'Phản ánh'!$A$6:$A$505,0)),"Phản ánh",IF(ISNUMBER(MATCH($C333,'Kế hoạch'!$A$6:$A$305,0)),"Công việc","Mã chưa có")))</f>
      </c>
      <c r="J333" s="221">
        <f>IF($I333="Phản ánh",INDEX('Phản ánh'!$C$6:$C$505,MATCH($C333,'Phản ánh'!$A$6:$A$505,0)),IF($I333="Công việc",INDEX('Kế hoạch'!$C$6:$C$305,$O333),""))</f>
      </c>
      <c r="K333" s="221">
        <f>IF($I333="Phản ánh",INDEX('Phản ánh'!$K$6:$K$505,MATCH($C333,'Phản ánh'!$A$6:$A$505,0))&amp;"",IF($I333="Công việc",INDEX('Kế hoạch'!$N$6:$N$305,$O333)&amp;"",""))</f>
      </c>
      <c r="L333" s="220">
        <f>IF(OR($C333="",N($B333)=0),"",IF(AND($I333="Phản ánh",$E333="Đã xử lý"),INDEX('Phản ánh'!$U$6:$U$505,MATCH($C333,'Phản ánh'!$A$6:$A$505,0)),IF(AND($I333="Công việc",OR($E333="Hoàn thành",$E333="Hoàn thành kỳ")),IF(INDEX('Kế hoạch'!$B$6:$B$305,$O333)="Đột xuất",INDEX('Kế hoạch'!$AY$6:$AY$305,$O333),IF(N($P333)=0,"",IF(INT($B333)&lt;$P333,$P333,IF($Q333&gt;0,$P333+ROUND((INT($B333)-$P333)/$Q333,0)*$Q333,IF($R333&gt;0,EDATE($P333,ROUND((DATEDIF($P333,INT($B333),"m")+(INT($B333)-EDATE($P333,DATEDIF($P333,INT($B333),"m")))/(EDATE($P333,DATEDIF($P333,INT($B333),"m")+1)-EDATE($P333,DATEDIF($P333,INT($B333),"m"))))/$R333,0)*$R333),$P333))))),"")))</f>
      </c>
      <c r="M333" s="223">
        <f>IF(OR($C333="",N($L333)=0,N($B333)=0),"",IF(IF(MOD($L333,1)=0,INT($B333),$B333)&lt;=$L333,"Đúng hạn","Trễ hạn"))</f>
      </c>
      <c r="N333" s="225">
        <f>IF($C333="","",ROW())</f>
      </c>
      <c r="O333" s="225">
        <f>IF($I333="Công việc",MATCH($C333,'Kế hoạch'!$A$6:$A$305,0),"")</f>
      </c>
      <c r="P333" s="234">
        <f>IF($O333="","",INDEX('Kế hoạch'!$I$6:$I$305,$O333))</f>
      </c>
      <c r="Q333" s="225">
        <f>IF($O333="","",INDEX('Kế hoạch'!$AJ$6:$AJ$305,$O333))</f>
      </c>
      <c r="R333" s="225">
        <f>IF($O333="","",INDEX('Kế hoạch'!$AK$6:$AK$305,$O333))</f>
      </c>
    </row>
    <row r="334">
      <c r="A334" s="223">
        <f>IF($C334="","",COUNTIF($C$6:$C334,"?*"))</f>
      </c>
      <c r="B334" s="217"/>
      <c r="C334" s="216"/>
      <c r="D334" s="240"/>
      <c r="E334" s="218"/>
      <c r="F334" s="218"/>
      <c r="G334" s="218"/>
      <c r="H334" s="219"/>
      <c r="I334" s="223">
        <f>IF($C334="","",IF(ISNUMBER(MATCH($C334,'Phản ánh'!$A$6:$A$505,0)),"Phản ánh",IF(ISNUMBER(MATCH($C334,'Kế hoạch'!$A$6:$A$305,0)),"Công việc","Mã chưa có")))</f>
      </c>
      <c r="J334" s="221">
        <f>IF($I334="Phản ánh",INDEX('Phản ánh'!$C$6:$C$505,MATCH($C334,'Phản ánh'!$A$6:$A$505,0)),IF($I334="Công việc",INDEX('Kế hoạch'!$C$6:$C$305,$O334),""))</f>
      </c>
      <c r="K334" s="221">
        <f>IF($I334="Phản ánh",INDEX('Phản ánh'!$K$6:$K$505,MATCH($C334,'Phản ánh'!$A$6:$A$505,0))&amp;"",IF($I334="Công việc",INDEX('Kế hoạch'!$N$6:$N$305,$O334)&amp;"",""))</f>
      </c>
      <c r="L334" s="220">
        <f>IF(OR($C334="",N($B334)=0),"",IF(AND($I334="Phản ánh",$E334="Đã xử lý"),INDEX('Phản ánh'!$U$6:$U$505,MATCH($C334,'Phản ánh'!$A$6:$A$505,0)),IF(AND($I334="Công việc",OR($E334="Hoàn thành",$E334="Hoàn thành kỳ")),IF(INDEX('Kế hoạch'!$B$6:$B$305,$O334)="Đột xuất",INDEX('Kế hoạch'!$AY$6:$AY$305,$O334),IF(N($P334)=0,"",IF(INT($B334)&lt;$P334,$P334,IF($Q334&gt;0,$P334+ROUND((INT($B334)-$P334)/$Q334,0)*$Q334,IF($R334&gt;0,EDATE($P334,ROUND((DATEDIF($P334,INT($B334),"m")+(INT($B334)-EDATE($P334,DATEDIF($P334,INT($B334),"m")))/(EDATE($P334,DATEDIF($P334,INT($B334),"m")+1)-EDATE($P334,DATEDIF($P334,INT($B334),"m"))))/$R334,0)*$R334),$P334))))),"")))</f>
      </c>
      <c r="M334" s="223">
        <f>IF(OR($C334="",N($L334)=0,N($B334)=0),"",IF(IF(MOD($L334,1)=0,INT($B334),$B334)&lt;=$L334,"Đúng hạn","Trễ hạn"))</f>
      </c>
      <c r="N334" s="225">
        <f>IF($C334="","",ROW())</f>
      </c>
      <c r="O334" s="225">
        <f>IF($I334="Công việc",MATCH($C334,'Kế hoạch'!$A$6:$A$305,0),"")</f>
      </c>
      <c r="P334" s="234">
        <f>IF($O334="","",INDEX('Kế hoạch'!$I$6:$I$305,$O334))</f>
      </c>
      <c r="Q334" s="225">
        <f>IF($O334="","",INDEX('Kế hoạch'!$AJ$6:$AJ$305,$O334))</f>
      </c>
      <c r="R334" s="225">
        <f>IF($O334="","",INDEX('Kế hoạch'!$AK$6:$AK$305,$O334))</f>
      </c>
    </row>
    <row r="335">
      <c r="A335" s="223">
        <f>IF($C335="","",COUNTIF($C$6:$C335,"?*"))</f>
      </c>
      <c r="B335" s="217"/>
      <c r="C335" s="216"/>
      <c r="D335" s="240"/>
      <c r="E335" s="218"/>
      <c r="F335" s="218"/>
      <c r="G335" s="218"/>
      <c r="H335" s="219"/>
      <c r="I335" s="223">
        <f>IF($C335="","",IF(ISNUMBER(MATCH($C335,'Phản ánh'!$A$6:$A$505,0)),"Phản ánh",IF(ISNUMBER(MATCH($C335,'Kế hoạch'!$A$6:$A$305,0)),"Công việc","Mã chưa có")))</f>
      </c>
      <c r="J335" s="221">
        <f>IF($I335="Phản ánh",INDEX('Phản ánh'!$C$6:$C$505,MATCH($C335,'Phản ánh'!$A$6:$A$505,0)),IF($I335="Công việc",INDEX('Kế hoạch'!$C$6:$C$305,$O335),""))</f>
      </c>
      <c r="K335" s="221">
        <f>IF($I335="Phản ánh",INDEX('Phản ánh'!$K$6:$K$505,MATCH($C335,'Phản ánh'!$A$6:$A$505,0))&amp;"",IF($I335="Công việc",INDEX('Kế hoạch'!$N$6:$N$305,$O335)&amp;"",""))</f>
      </c>
      <c r="L335" s="220">
        <f>IF(OR($C335="",N($B335)=0),"",IF(AND($I335="Phản ánh",$E335="Đã xử lý"),INDEX('Phản ánh'!$U$6:$U$505,MATCH($C335,'Phản ánh'!$A$6:$A$505,0)),IF(AND($I335="Công việc",OR($E335="Hoàn thành",$E335="Hoàn thành kỳ")),IF(INDEX('Kế hoạch'!$B$6:$B$305,$O335)="Đột xuất",INDEX('Kế hoạch'!$AY$6:$AY$305,$O335),IF(N($P335)=0,"",IF(INT($B335)&lt;$P335,$P335,IF($Q335&gt;0,$P335+ROUND((INT($B335)-$P335)/$Q335,0)*$Q335,IF($R335&gt;0,EDATE($P335,ROUND((DATEDIF($P335,INT($B335),"m")+(INT($B335)-EDATE($P335,DATEDIF($P335,INT($B335),"m")))/(EDATE($P335,DATEDIF($P335,INT($B335),"m")+1)-EDATE($P335,DATEDIF($P335,INT($B335),"m"))))/$R335,0)*$R335),$P335))))),"")))</f>
      </c>
      <c r="M335" s="223">
        <f>IF(OR($C335="",N($L335)=0,N($B335)=0),"",IF(IF(MOD($L335,1)=0,INT($B335),$B335)&lt;=$L335,"Đúng hạn","Trễ hạn"))</f>
      </c>
      <c r="N335" s="225">
        <f>IF($C335="","",ROW())</f>
      </c>
      <c r="O335" s="225">
        <f>IF($I335="Công việc",MATCH($C335,'Kế hoạch'!$A$6:$A$305,0),"")</f>
      </c>
      <c r="P335" s="234">
        <f>IF($O335="","",INDEX('Kế hoạch'!$I$6:$I$305,$O335))</f>
      </c>
      <c r="Q335" s="225">
        <f>IF($O335="","",INDEX('Kế hoạch'!$AJ$6:$AJ$305,$O335))</f>
      </c>
      <c r="R335" s="225">
        <f>IF($O335="","",INDEX('Kế hoạch'!$AK$6:$AK$305,$O335))</f>
      </c>
    </row>
    <row r="336">
      <c r="A336" s="223">
        <f>IF($C336="","",COUNTIF($C$6:$C336,"?*"))</f>
      </c>
      <c r="B336" s="217"/>
      <c r="C336" s="216"/>
      <c r="D336" s="240"/>
      <c r="E336" s="218"/>
      <c r="F336" s="218"/>
      <c r="G336" s="218"/>
      <c r="H336" s="219"/>
      <c r="I336" s="223">
        <f>IF($C336="","",IF(ISNUMBER(MATCH($C336,'Phản ánh'!$A$6:$A$505,0)),"Phản ánh",IF(ISNUMBER(MATCH($C336,'Kế hoạch'!$A$6:$A$305,0)),"Công việc","Mã chưa có")))</f>
      </c>
      <c r="J336" s="221">
        <f>IF($I336="Phản ánh",INDEX('Phản ánh'!$C$6:$C$505,MATCH($C336,'Phản ánh'!$A$6:$A$505,0)),IF($I336="Công việc",INDEX('Kế hoạch'!$C$6:$C$305,$O336),""))</f>
      </c>
      <c r="K336" s="221">
        <f>IF($I336="Phản ánh",INDEX('Phản ánh'!$K$6:$K$505,MATCH($C336,'Phản ánh'!$A$6:$A$505,0))&amp;"",IF($I336="Công việc",INDEX('Kế hoạch'!$N$6:$N$305,$O336)&amp;"",""))</f>
      </c>
      <c r="L336" s="220">
        <f>IF(OR($C336="",N($B336)=0),"",IF(AND($I336="Phản ánh",$E336="Đã xử lý"),INDEX('Phản ánh'!$U$6:$U$505,MATCH($C336,'Phản ánh'!$A$6:$A$505,0)),IF(AND($I336="Công việc",OR($E336="Hoàn thành",$E336="Hoàn thành kỳ")),IF(INDEX('Kế hoạch'!$B$6:$B$305,$O336)="Đột xuất",INDEX('Kế hoạch'!$AY$6:$AY$305,$O336),IF(N($P336)=0,"",IF(INT($B336)&lt;$P336,$P336,IF($Q336&gt;0,$P336+ROUND((INT($B336)-$P336)/$Q336,0)*$Q336,IF($R336&gt;0,EDATE($P336,ROUND((DATEDIF($P336,INT($B336),"m")+(INT($B336)-EDATE($P336,DATEDIF($P336,INT($B336),"m")))/(EDATE($P336,DATEDIF($P336,INT($B336),"m")+1)-EDATE($P336,DATEDIF($P336,INT($B336),"m"))))/$R336,0)*$R336),$P336))))),"")))</f>
      </c>
      <c r="M336" s="223">
        <f>IF(OR($C336="",N($L336)=0,N($B336)=0),"",IF(IF(MOD($L336,1)=0,INT($B336),$B336)&lt;=$L336,"Đúng hạn","Trễ hạn"))</f>
      </c>
      <c r="N336" s="225">
        <f>IF($C336="","",ROW())</f>
      </c>
      <c r="O336" s="225">
        <f>IF($I336="Công việc",MATCH($C336,'Kế hoạch'!$A$6:$A$305,0),"")</f>
      </c>
      <c r="P336" s="234">
        <f>IF($O336="","",INDEX('Kế hoạch'!$I$6:$I$305,$O336))</f>
      </c>
      <c r="Q336" s="225">
        <f>IF($O336="","",INDEX('Kế hoạch'!$AJ$6:$AJ$305,$O336))</f>
      </c>
      <c r="R336" s="225">
        <f>IF($O336="","",INDEX('Kế hoạch'!$AK$6:$AK$305,$O336))</f>
      </c>
    </row>
    <row r="337">
      <c r="A337" s="223">
        <f>IF($C337="","",COUNTIF($C$6:$C337,"?*"))</f>
      </c>
      <c r="B337" s="217"/>
      <c r="C337" s="216"/>
      <c r="D337" s="240"/>
      <c r="E337" s="218"/>
      <c r="F337" s="218"/>
      <c r="G337" s="218"/>
      <c r="H337" s="219"/>
      <c r="I337" s="223">
        <f>IF($C337="","",IF(ISNUMBER(MATCH($C337,'Phản ánh'!$A$6:$A$505,0)),"Phản ánh",IF(ISNUMBER(MATCH($C337,'Kế hoạch'!$A$6:$A$305,0)),"Công việc","Mã chưa có")))</f>
      </c>
      <c r="J337" s="221">
        <f>IF($I337="Phản ánh",INDEX('Phản ánh'!$C$6:$C$505,MATCH($C337,'Phản ánh'!$A$6:$A$505,0)),IF($I337="Công việc",INDEX('Kế hoạch'!$C$6:$C$305,$O337),""))</f>
      </c>
      <c r="K337" s="221">
        <f>IF($I337="Phản ánh",INDEX('Phản ánh'!$K$6:$K$505,MATCH($C337,'Phản ánh'!$A$6:$A$505,0))&amp;"",IF($I337="Công việc",INDEX('Kế hoạch'!$N$6:$N$305,$O337)&amp;"",""))</f>
      </c>
      <c r="L337" s="220">
        <f>IF(OR($C337="",N($B337)=0),"",IF(AND($I337="Phản ánh",$E337="Đã xử lý"),INDEX('Phản ánh'!$U$6:$U$505,MATCH($C337,'Phản ánh'!$A$6:$A$505,0)),IF(AND($I337="Công việc",OR($E337="Hoàn thành",$E337="Hoàn thành kỳ")),IF(INDEX('Kế hoạch'!$B$6:$B$305,$O337)="Đột xuất",INDEX('Kế hoạch'!$AY$6:$AY$305,$O337),IF(N($P337)=0,"",IF(INT($B337)&lt;$P337,$P337,IF($Q337&gt;0,$P337+ROUND((INT($B337)-$P337)/$Q337,0)*$Q337,IF($R337&gt;0,EDATE($P337,ROUND((DATEDIF($P337,INT($B337),"m")+(INT($B337)-EDATE($P337,DATEDIF($P337,INT($B337),"m")))/(EDATE($P337,DATEDIF($P337,INT($B337),"m")+1)-EDATE($P337,DATEDIF($P337,INT($B337),"m"))))/$R337,0)*$R337),$P337))))),"")))</f>
      </c>
      <c r="M337" s="223">
        <f>IF(OR($C337="",N($L337)=0,N($B337)=0),"",IF(IF(MOD($L337,1)=0,INT($B337),$B337)&lt;=$L337,"Đúng hạn","Trễ hạn"))</f>
      </c>
      <c r="N337" s="225">
        <f>IF($C337="","",ROW())</f>
      </c>
      <c r="O337" s="225">
        <f>IF($I337="Công việc",MATCH($C337,'Kế hoạch'!$A$6:$A$305,0),"")</f>
      </c>
      <c r="P337" s="234">
        <f>IF($O337="","",INDEX('Kế hoạch'!$I$6:$I$305,$O337))</f>
      </c>
      <c r="Q337" s="225">
        <f>IF($O337="","",INDEX('Kế hoạch'!$AJ$6:$AJ$305,$O337))</f>
      </c>
      <c r="R337" s="225">
        <f>IF($O337="","",INDEX('Kế hoạch'!$AK$6:$AK$305,$O337))</f>
      </c>
    </row>
    <row r="338">
      <c r="A338" s="223">
        <f>IF($C338="","",COUNTIF($C$6:$C338,"?*"))</f>
      </c>
      <c r="B338" s="217"/>
      <c r="C338" s="216"/>
      <c r="D338" s="240"/>
      <c r="E338" s="218"/>
      <c r="F338" s="218"/>
      <c r="G338" s="218"/>
      <c r="H338" s="219"/>
      <c r="I338" s="223">
        <f>IF($C338="","",IF(ISNUMBER(MATCH($C338,'Phản ánh'!$A$6:$A$505,0)),"Phản ánh",IF(ISNUMBER(MATCH($C338,'Kế hoạch'!$A$6:$A$305,0)),"Công việc","Mã chưa có")))</f>
      </c>
      <c r="J338" s="221">
        <f>IF($I338="Phản ánh",INDEX('Phản ánh'!$C$6:$C$505,MATCH($C338,'Phản ánh'!$A$6:$A$505,0)),IF($I338="Công việc",INDEX('Kế hoạch'!$C$6:$C$305,$O338),""))</f>
      </c>
      <c r="K338" s="221">
        <f>IF($I338="Phản ánh",INDEX('Phản ánh'!$K$6:$K$505,MATCH($C338,'Phản ánh'!$A$6:$A$505,0))&amp;"",IF($I338="Công việc",INDEX('Kế hoạch'!$N$6:$N$305,$O338)&amp;"",""))</f>
      </c>
      <c r="L338" s="220">
        <f>IF(OR($C338="",N($B338)=0),"",IF(AND($I338="Phản ánh",$E338="Đã xử lý"),INDEX('Phản ánh'!$U$6:$U$505,MATCH($C338,'Phản ánh'!$A$6:$A$505,0)),IF(AND($I338="Công việc",OR($E338="Hoàn thành",$E338="Hoàn thành kỳ")),IF(INDEX('Kế hoạch'!$B$6:$B$305,$O338)="Đột xuất",INDEX('Kế hoạch'!$AY$6:$AY$305,$O338),IF(N($P338)=0,"",IF(INT($B338)&lt;$P338,$P338,IF($Q338&gt;0,$P338+ROUND((INT($B338)-$P338)/$Q338,0)*$Q338,IF($R338&gt;0,EDATE($P338,ROUND((DATEDIF($P338,INT($B338),"m")+(INT($B338)-EDATE($P338,DATEDIF($P338,INT($B338),"m")))/(EDATE($P338,DATEDIF($P338,INT($B338),"m")+1)-EDATE($P338,DATEDIF($P338,INT($B338),"m"))))/$R338,0)*$R338),$P338))))),"")))</f>
      </c>
      <c r="M338" s="223">
        <f>IF(OR($C338="",N($L338)=0,N($B338)=0),"",IF(IF(MOD($L338,1)=0,INT($B338),$B338)&lt;=$L338,"Đúng hạn","Trễ hạn"))</f>
      </c>
      <c r="N338" s="225">
        <f>IF($C338="","",ROW())</f>
      </c>
      <c r="O338" s="225">
        <f>IF($I338="Công việc",MATCH($C338,'Kế hoạch'!$A$6:$A$305,0),"")</f>
      </c>
      <c r="P338" s="234">
        <f>IF($O338="","",INDEX('Kế hoạch'!$I$6:$I$305,$O338))</f>
      </c>
      <c r="Q338" s="225">
        <f>IF($O338="","",INDEX('Kế hoạch'!$AJ$6:$AJ$305,$O338))</f>
      </c>
      <c r="R338" s="225">
        <f>IF($O338="","",INDEX('Kế hoạch'!$AK$6:$AK$305,$O338))</f>
      </c>
    </row>
    <row r="339">
      <c r="A339" s="223">
        <f>IF($C339="","",COUNTIF($C$6:$C339,"?*"))</f>
      </c>
      <c r="B339" s="217"/>
      <c r="C339" s="216"/>
      <c r="D339" s="240"/>
      <c r="E339" s="218"/>
      <c r="F339" s="218"/>
      <c r="G339" s="218"/>
      <c r="H339" s="219"/>
      <c r="I339" s="223">
        <f>IF($C339="","",IF(ISNUMBER(MATCH($C339,'Phản ánh'!$A$6:$A$505,0)),"Phản ánh",IF(ISNUMBER(MATCH($C339,'Kế hoạch'!$A$6:$A$305,0)),"Công việc","Mã chưa có")))</f>
      </c>
      <c r="J339" s="221">
        <f>IF($I339="Phản ánh",INDEX('Phản ánh'!$C$6:$C$505,MATCH($C339,'Phản ánh'!$A$6:$A$505,0)),IF($I339="Công việc",INDEX('Kế hoạch'!$C$6:$C$305,$O339),""))</f>
      </c>
      <c r="K339" s="221">
        <f>IF($I339="Phản ánh",INDEX('Phản ánh'!$K$6:$K$505,MATCH($C339,'Phản ánh'!$A$6:$A$505,0))&amp;"",IF($I339="Công việc",INDEX('Kế hoạch'!$N$6:$N$305,$O339)&amp;"",""))</f>
      </c>
      <c r="L339" s="220">
        <f>IF(OR($C339="",N($B339)=0),"",IF(AND($I339="Phản ánh",$E339="Đã xử lý"),INDEX('Phản ánh'!$U$6:$U$505,MATCH($C339,'Phản ánh'!$A$6:$A$505,0)),IF(AND($I339="Công việc",OR($E339="Hoàn thành",$E339="Hoàn thành kỳ")),IF(INDEX('Kế hoạch'!$B$6:$B$305,$O339)="Đột xuất",INDEX('Kế hoạch'!$AY$6:$AY$305,$O339),IF(N($P339)=0,"",IF(INT($B339)&lt;$P339,$P339,IF($Q339&gt;0,$P339+ROUND((INT($B339)-$P339)/$Q339,0)*$Q339,IF($R339&gt;0,EDATE($P339,ROUND((DATEDIF($P339,INT($B339),"m")+(INT($B339)-EDATE($P339,DATEDIF($P339,INT($B339),"m")))/(EDATE($P339,DATEDIF($P339,INT($B339),"m")+1)-EDATE($P339,DATEDIF($P339,INT($B339),"m"))))/$R339,0)*$R339),$P339))))),"")))</f>
      </c>
      <c r="M339" s="223">
        <f>IF(OR($C339="",N($L339)=0,N($B339)=0),"",IF(IF(MOD($L339,1)=0,INT($B339),$B339)&lt;=$L339,"Đúng hạn","Trễ hạn"))</f>
      </c>
      <c r="N339" s="225">
        <f>IF($C339="","",ROW())</f>
      </c>
      <c r="O339" s="225">
        <f>IF($I339="Công việc",MATCH($C339,'Kế hoạch'!$A$6:$A$305,0),"")</f>
      </c>
      <c r="P339" s="234">
        <f>IF($O339="","",INDEX('Kế hoạch'!$I$6:$I$305,$O339))</f>
      </c>
      <c r="Q339" s="225">
        <f>IF($O339="","",INDEX('Kế hoạch'!$AJ$6:$AJ$305,$O339))</f>
      </c>
      <c r="R339" s="225">
        <f>IF($O339="","",INDEX('Kế hoạch'!$AK$6:$AK$305,$O339))</f>
      </c>
    </row>
    <row r="340">
      <c r="A340" s="223">
        <f>IF($C340="","",COUNTIF($C$6:$C340,"?*"))</f>
      </c>
      <c r="B340" s="217"/>
      <c r="C340" s="216"/>
      <c r="D340" s="240"/>
      <c r="E340" s="218"/>
      <c r="F340" s="218"/>
      <c r="G340" s="218"/>
      <c r="H340" s="219"/>
      <c r="I340" s="223">
        <f>IF($C340="","",IF(ISNUMBER(MATCH($C340,'Phản ánh'!$A$6:$A$505,0)),"Phản ánh",IF(ISNUMBER(MATCH($C340,'Kế hoạch'!$A$6:$A$305,0)),"Công việc","Mã chưa có")))</f>
      </c>
      <c r="J340" s="221">
        <f>IF($I340="Phản ánh",INDEX('Phản ánh'!$C$6:$C$505,MATCH($C340,'Phản ánh'!$A$6:$A$505,0)),IF($I340="Công việc",INDEX('Kế hoạch'!$C$6:$C$305,$O340),""))</f>
      </c>
      <c r="K340" s="221">
        <f>IF($I340="Phản ánh",INDEX('Phản ánh'!$K$6:$K$505,MATCH($C340,'Phản ánh'!$A$6:$A$505,0))&amp;"",IF($I340="Công việc",INDEX('Kế hoạch'!$N$6:$N$305,$O340)&amp;"",""))</f>
      </c>
      <c r="L340" s="220">
        <f>IF(OR($C340="",N($B340)=0),"",IF(AND($I340="Phản ánh",$E340="Đã xử lý"),INDEX('Phản ánh'!$U$6:$U$505,MATCH($C340,'Phản ánh'!$A$6:$A$505,0)),IF(AND($I340="Công việc",OR($E340="Hoàn thành",$E340="Hoàn thành kỳ")),IF(INDEX('Kế hoạch'!$B$6:$B$305,$O340)="Đột xuất",INDEX('Kế hoạch'!$AY$6:$AY$305,$O340),IF(N($P340)=0,"",IF(INT($B340)&lt;$P340,$P340,IF($Q340&gt;0,$P340+ROUND((INT($B340)-$P340)/$Q340,0)*$Q340,IF($R340&gt;0,EDATE($P340,ROUND((DATEDIF($P340,INT($B340),"m")+(INT($B340)-EDATE($P340,DATEDIF($P340,INT($B340),"m")))/(EDATE($P340,DATEDIF($P340,INT($B340),"m")+1)-EDATE($P340,DATEDIF($P340,INT($B340),"m"))))/$R340,0)*$R340),$P340))))),"")))</f>
      </c>
      <c r="M340" s="223">
        <f>IF(OR($C340="",N($L340)=0,N($B340)=0),"",IF(IF(MOD($L340,1)=0,INT($B340),$B340)&lt;=$L340,"Đúng hạn","Trễ hạn"))</f>
      </c>
      <c r="N340" s="225">
        <f>IF($C340="","",ROW())</f>
      </c>
      <c r="O340" s="225">
        <f>IF($I340="Công việc",MATCH($C340,'Kế hoạch'!$A$6:$A$305,0),"")</f>
      </c>
      <c r="P340" s="234">
        <f>IF($O340="","",INDEX('Kế hoạch'!$I$6:$I$305,$O340))</f>
      </c>
      <c r="Q340" s="225">
        <f>IF($O340="","",INDEX('Kế hoạch'!$AJ$6:$AJ$305,$O340))</f>
      </c>
      <c r="R340" s="225">
        <f>IF($O340="","",INDEX('Kế hoạch'!$AK$6:$AK$305,$O340))</f>
      </c>
    </row>
    <row r="341">
      <c r="A341" s="223">
        <f>IF($C341="","",COUNTIF($C$6:$C341,"?*"))</f>
      </c>
      <c r="B341" s="217"/>
      <c r="C341" s="216"/>
      <c r="D341" s="240"/>
      <c r="E341" s="218"/>
      <c r="F341" s="218"/>
      <c r="G341" s="218"/>
      <c r="H341" s="219"/>
      <c r="I341" s="223">
        <f>IF($C341="","",IF(ISNUMBER(MATCH($C341,'Phản ánh'!$A$6:$A$505,0)),"Phản ánh",IF(ISNUMBER(MATCH($C341,'Kế hoạch'!$A$6:$A$305,0)),"Công việc","Mã chưa có")))</f>
      </c>
      <c r="J341" s="221">
        <f>IF($I341="Phản ánh",INDEX('Phản ánh'!$C$6:$C$505,MATCH($C341,'Phản ánh'!$A$6:$A$505,0)),IF($I341="Công việc",INDEX('Kế hoạch'!$C$6:$C$305,$O341),""))</f>
      </c>
      <c r="K341" s="221">
        <f>IF($I341="Phản ánh",INDEX('Phản ánh'!$K$6:$K$505,MATCH($C341,'Phản ánh'!$A$6:$A$505,0))&amp;"",IF($I341="Công việc",INDEX('Kế hoạch'!$N$6:$N$305,$O341)&amp;"",""))</f>
      </c>
      <c r="L341" s="220">
        <f>IF(OR($C341="",N($B341)=0),"",IF(AND($I341="Phản ánh",$E341="Đã xử lý"),INDEX('Phản ánh'!$U$6:$U$505,MATCH($C341,'Phản ánh'!$A$6:$A$505,0)),IF(AND($I341="Công việc",OR($E341="Hoàn thành",$E341="Hoàn thành kỳ")),IF(INDEX('Kế hoạch'!$B$6:$B$305,$O341)="Đột xuất",INDEX('Kế hoạch'!$AY$6:$AY$305,$O341),IF(N($P341)=0,"",IF(INT($B341)&lt;$P341,$P341,IF($Q341&gt;0,$P341+ROUND((INT($B341)-$P341)/$Q341,0)*$Q341,IF($R341&gt;0,EDATE($P341,ROUND((DATEDIF($P341,INT($B341),"m")+(INT($B341)-EDATE($P341,DATEDIF($P341,INT($B341),"m")))/(EDATE($P341,DATEDIF($P341,INT($B341),"m")+1)-EDATE($P341,DATEDIF($P341,INT($B341),"m"))))/$R341,0)*$R341),$P341))))),"")))</f>
      </c>
      <c r="M341" s="223">
        <f>IF(OR($C341="",N($L341)=0,N($B341)=0),"",IF(IF(MOD($L341,1)=0,INT($B341),$B341)&lt;=$L341,"Đúng hạn","Trễ hạn"))</f>
      </c>
      <c r="N341" s="225">
        <f>IF($C341="","",ROW())</f>
      </c>
      <c r="O341" s="225">
        <f>IF($I341="Công việc",MATCH($C341,'Kế hoạch'!$A$6:$A$305,0),"")</f>
      </c>
      <c r="P341" s="234">
        <f>IF($O341="","",INDEX('Kế hoạch'!$I$6:$I$305,$O341))</f>
      </c>
      <c r="Q341" s="225">
        <f>IF($O341="","",INDEX('Kế hoạch'!$AJ$6:$AJ$305,$O341))</f>
      </c>
      <c r="R341" s="225">
        <f>IF($O341="","",INDEX('Kế hoạch'!$AK$6:$AK$305,$O341))</f>
      </c>
    </row>
    <row r="342">
      <c r="A342" s="223">
        <f>IF($C342="","",COUNTIF($C$6:$C342,"?*"))</f>
      </c>
      <c r="B342" s="217"/>
      <c r="C342" s="216"/>
      <c r="D342" s="240"/>
      <c r="E342" s="218"/>
      <c r="F342" s="218"/>
      <c r="G342" s="218"/>
      <c r="H342" s="219"/>
      <c r="I342" s="223">
        <f>IF($C342="","",IF(ISNUMBER(MATCH($C342,'Phản ánh'!$A$6:$A$505,0)),"Phản ánh",IF(ISNUMBER(MATCH($C342,'Kế hoạch'!$A$6:$A$305,0)),"Công việc","Mã chưa có")))</f>
      </c>
      <c r="J342" s="221">
        <f>IF($I342="Phản ánh",INDEX('Phản ánh'!$C$6:$C$505,MATCH($C342,'Phản ánh'!$A$6:$A$505,0)),IF($I342="Công việc",INDEX('Kế hoạch'!$C$6:$C$305,$O342),""))</f>
      </c>
      <c r="K342" s="221">
        <f>IF($I342="Phản ánh",INDEX('Phản ánh'!$K$6:$K$505,MATCH($C342,'Phản ánh'!$A$6:$A$505,0))&amp;"",IF($I342="Công việc",INDEX('Kế hoạch'!$N$6:$N$305,$O342)&amp;"",""))</f>
      </c>
      <c r="L342" s="220">
        <f>IF(OR($C342="",N($B342)=0),"",IF(AND($I342="Phản ánh",$E342="Đã xử lý"),INDEX('Phản ánh'!$U$6:$U$505,MATCH($C342,'Phản ánh'!$A$6:$A$505,0)),IF(AND($I342="Công việc",OR($E342="Hoàn thành",$E342="Hoàn thành kỳ")),IF(INDEX('Kế hoạch'!$B$6:$B$305,$O342)="Đột xuất",INDEX('Kế hoạch'!$AY$6:$AY$305,$O342),IF(N($P342)=0,"",IF(INT($B342)&lt;$P342,$P342,IF($Q342&gt;0,$P342+ROUND((INT($B342)-$P342)/$Q342,0)*$Q342,IF($R342&gt;0,EDATE($P342,ROUND((DATEDIF($P342,INT($B342),"m")+(INT($B342)-EDATE($P342,DATEDIF($P342,INT($B342),"m")))/(EDATE($P342,DATEDIF($P342,INT($B342),"m")+1)-EDATE($P342,DATEDIF($P342,INT($B342),"m"))))/$R342,0)*$R342),$P342))))),"")))</f>
      </c>
      <c r="M342" s="223">
        <f>IF(OR($C342="",N($L342)=0,N($B342)=0),"",IF(IF(MOD($L342,1)=0,INT($B342),$B342)&lt;=$L342,"Đúng hạn","Trễ hạn"))</f>
      </c>
      <c r="N342" s="225">
        <f>IF($C342="","",ROW())</f>
      </c>
      <c r="O342" s="225">
        <f>IF($I342="Công việc",MATCH($C342,'Kế hoạch'!$A$6:$A$305,0),"")</f>
      </c>
      <c r="P342" s="234">
        <f>IF($O342="","",INDEX('Kế hoạch'!$I$6:$I$305,$O342))</f>
      </c>
      <c r="Q342" s="225">
        <f>IF($O342="","",INDEX('Kế hoạch'!$AJ$6:$AJ$305,$O342))</f>
      </c>
      <c r="R342" s="225">
        <f>IF($O342="","",INDEX('Kế hoạch'!$AK$6:$AK$305,$O342))</f>
      </c>
    </row>
    <row r="343">
      <c r="A343" s="223">
        <f>IF($C343="","",COUNTIF($C$6:$C343,"?*"))</f>
      </c>
      <c r="B343" s="217"/>
      <c r="C343" s="216"/>
      <c r="D343" s="240"/>
      <c r="E343" s="218"/>
      <c r="F343" s="218"/>
      <c r="G343" s="218"/>
      <c r="H343" s="219"/>
      <c r="I343" s="223">
        <f>IF($C343="","",IF(ISNUMBER(MATCH($C343,'Phản ánh'!$A$6:$A$505,0)),"Phản ánh",IF(ISNUMBER(MATCH($C343,'Kế hoạch'!$A$6:$A$305,0)),"Công việc","Mã chưa có")))</f>
      </c>
      <c r="J343" s="221">
        <f>IF($I343="Phản ánh",INDEX('Phản ánh'!$C$6:$C$505,MATCH($C343,'Phản ánh'!$A$6:$A$505,0)),IF($I343="Công việc",INDEX('Kế hoạch'!$C$6:$C$305,$O343),""))</f>
      </c>
      <c r="K343" s="221">
        <f>IF($I343="Phản ánh",INDEX('Phản ánh'!$K$6:$K$505,MATCH($C343,'Phản ánh'!$A$6:$A$505,0))&amp;"",IF($I343="Công việc",INDEX('Kế hoạch'!$N$6:$N$305,$O343)&amp;"",""))</f>
      </c>
      <c r="L343" s="220">
        <f>IF(OR($C343="",N($B343)=0),"",IF(AND($I343="Phản ánh",$E343="Đã xử lý"),INDEX('Phản ánh'!$U$6:$U$505,MATCH($C343,'Phản ánh'!$A$6:$A$505,0)),IF(AND($I343="Công việc",OR($E343="Hoàn thành",$E343="Hoàn thành kỳ")),IF(INDEX('Kế hoạch'!$B$6:$B$305,$O343)="Đột xuất",INDEX('Kế hoạch'!$AY$6:$AY$305,$O343),IF(N($P343)=0,"",IF(INT($B343)&lt;$P343,$P343,IF($Q343&gt;0,$P343+ROUND((INT($B343)-$P343)/$Q343,0)*$Q343,IF($R343&gt;0,EDATE($P343,ROUND((DATEDIF($P343,INT($B343),"m")+(INT($B343)-EDATE($P343,DATEDIF($P343,INT($B343),"m")))/(EDATE($P343,DATEDIF($P343,INT($B343),"m")+1)-EDATE($P343,DATEDIF($P343,INT($B343),"m"))))/$R343,0)*$R343),$P343))))),"")))</f>
      </c>
      <c r="M343" s="223">
        <f>IF(OR($C343="",N($L343)=0,N($B343)=0),"",IF(IF(MOD($L343,1)=0,INT($B343),$B343)&lt;=$L343,"Đúng hạn","Trễ hạn"))</f>
      </c>
      <c r="N343" s="225">
        <f>IF($C343="","",ROW())</f>
      </c>
      <c r="O343" s="225">
        <f>IF($I343="Công việc",MATCH($C343,'Kế hoạch'!$A$6:$A$305,0),"")</f>
      </c>
      <c r="P343" s="234">
        <f>IF($O343="","",INDEX('Kế hoạch'!$I$6:$I$305,$O343))</f>
      </c>
      <c r="Q343" s="225">
        <f>IF($O343="","",INDEX('Kế hoạch'!$AJ$6:$AJ$305,$O343))</f>
      </c>
      <c r="R343" s="225">
        <f>IF($O343="","",INDEX('Kế hoạch'!$AK$6:$AK$305,$O343))</f>
      </c>
    </row>
    <row r="344">
      <c r="A344" s="223">
        <f>IF($C344="","",COUNTIF($C$6:$C344,"?*"))</f>
      </c>
      <c r="B344" s="217"/>
      <c r="C344" s="216"/>
      <c r="D344" s="240"/>
      <c r="E344" s="218"/>
      <c r="F344" s="218"/>
      <c r="G344" s="218"/>
      <c r="H344" s="219"/>
      <c r="I344" s="223">
        <f>IF($C344="","",IF(ISNUMBER(MATCH($C344,'Phản ánh'!$A$6:$A$505,0)),"Phản ánh",IF(ISNUMBER(MATCH($C344,'Kế hoạch'!$A$6:$A$305,0)),"Công việc","Mã chưa có")))</f>
      </c>
      <c r="J344" s="221">
        <f>IF($I344="Phản ánh",INDEX('Phản ánh'!$C$6:$C$505,MATCH($C344,'Phản ánh'!$A$6:$A$505,0)),IF($I344="Công việc",INDEX('Kế hoạch'!$C$6:$C$305,$O344),""))</f>
      </c>
      <c r="K344" s="221">
        <f>IF($I344="Phản ánh",INDEX('Phản ánh'!$K$6:$K$505,MATCH($C344,'Phản ánh'!$A$6:$A$505,0))&amp;"",IF($I344="Công việc",INDEX('Kế hoạch'!$N$6:$N$305,$O344)&amp;"",""))</f>
      </c>
      <c r="L344" s="220">
        <f>IF(OR($C344="",N($B344)=0),"",IF(AND($I344="Phản ánh",$E344="Đã xử lý"),INDEX('Phản ánh'!$U$6:$U$505,MATCH($C344,'Phản ánh'!$A$6:$A$505,0)),IF(AND($I344="Công việc",OR($E344="Hoàn thành",$E344="Hoàn thành kỳ")),IF(INDEX('Kế hoạch'!$B$6:$B$305,$O344)="Đột xuất",INDEX('Kế hoạch'!$AY$6:$AY$305,$O344),IF(N($P344)=0,"",IF(INT($B344)&lt;$P344,$P344,IF($Q344&gt;0,$P344+ROUND((INT($B344)-$P344)/$Q344,0)*$Q344,IF($R344&gt;0,EDATE($P344,ROUND((DATEDIF($P344,INT($B344),"m")+(INT($B344)-EDATE($P344,DATEDIF($P344,INT($B344),"m")))/(EDATE($P344,DATEDIF($P344,INT($B344),"m")+1)-EDATE($P344,DATEDIF($P344,INT($B344),"m"))))/$R344,0)*$R344),$P344))))),"")))</f>
      </c>
      <c r="M344" s="223">
        <f>IF(OR($C344="",N($L344)=0,N($B344)=0),"",IF(IF(MOD($L344,1)=0,INT($B344),$B344)&lt;=$L344,"Đúng hạn","Trễ hạn"))</f>
      </c>
      <c r="N344" s="225">
        <f>IF($C344="","",ROW())</f>
      </c>
      <c r="O344" s="225">
        <f>IF($I344="Công việc",MATCH($C344,'Kế hoạch'!$A$6:$A$305,0),"")</f>
      </c>
      <c r="P344" s="234">
        <f>IF($O344="","",INDEX('Kế hoạch'!$I$6:$I$305,$O344))</f>
      </c>
      <c r="Q344" s="225">
        <f>IF($O344="","",INDEX('Kế hoạch'!$AJ$6:$AJ$305,$O344))</f>
      </c>
      <c r="R344" s="225">
        <f>IF($O344="","",INDEX('Kế hoạch'!$AK$6:$AK$305,$O344))</f>
      </c>
    </row>
    <row r="345">
      <c r="A345" s="223">
        <f>IF($C345="","",COUNTIF($C$6:$C345,"?*"))</f>
      </c>
      <c r="B345" s="217"/>
      <c r="C345" s="216"/>
      <c r="D345" s="240"/>
      <c r="E345" s="218"/>
      <c r="F345" s="218"/>
      <c r="G345" s="218"/>
      <c r="H345" s="219"/>
      <c r="I345" s="223">
        <f>IF($C345="","",IF(ISNUMBER(MATCH($C345,'Phản ánh'!$A$6:$A$505,0)),"Phản ánh",IF(ISNUMBER(MATCH($C345,'Kế hoạch'!$A$6:$A$305,0)),"Công việc","Mã chưa có")))</f>
      </c>
      <c r="J345" s="221">
        <f>IF($I345="Phản ánh",INDEX('Phản ánh'!$C$6:$C$505,MATCH($C345,'Phản ánh'!$A$6:$A$505,0)),IF($I345="Công việc",INDEX('Kế hoạch'!$C$6:$C$305,$O345),""))</f>
      </c>
      <c r="K345" s="221">
        <f>IF($I345="Phản ánh",INDEX('Phản ánh'!$K$6:$K$505,MATCH($C345,'Phản ánh'!$A$6:$A$505,0))&amp;"",IF($I345="Công việc",INDEX('Kế hoạch'!$N$6:$N$305,$O345)&amp;"",""))</f>
      </c>
      <c r="L345" s="220">
        <f>IF(OR($C345="",N($B345)=0),"",IF(AND($I345="Phản ánh",$E345="Đã xử lý"),INDEX('Phản ánh'!$U$6:$U$505,MATCH($C345,'Phản ánh'!$A$6:$A$505,0)),IF(AND($I345="Công việc",OR($E345="Hoàn thành",$E345="Hoàn thành kỳ")),IF(INDEX('Kế hoạch'!$B$6:$B$305,$O345)="Đột xuất",INDEX('Kế hoạch'!$AY$6:$AY$305,$O345),IF(N($P345)=0,"",IF(INT($B345)&lt;$P345,$P345,IF($Q345&gt;0,$P345+ROUND((INT($B345)-$P345)/$Q345,0)*$Q345,IF($R345&gt;0,EDATE($P345,ROUND((DATEDIF($P345,INT($B345),"m")+(INT($B345)-EDATE($P345,DATEDIF($P345,INT($B345),"m")))/(EDATE($P345,DATEDIF($P345,INT($B345),"m")+1)-EDATE($P345,DATEDIF($P345,INT($B345),"m"))))/$R345,0)*$R345),$P345))))),"")))</f>
      </c>
      <c r="M345" s="223">
        <f>IF(OR($C345="",N($L345)=0,N($B345)=0),"",IF(IF(MOD($L345,1)=0,INT($B345),$B345)&lt;=$L345,"Đúng hạn","Trễ hạn"))</f>
      </c>
      <c r="N345" s="225">
        <f>IF($C345="","",ROW())</f>
      </c>
      <c r="O345" s="225">
        <f>IF($I345="Công việc",MATCH($C345,'Kế hoạch'!$A$6:$A$305,0),"")</f>
      </c>
      <c r="P345" s="234">
        <f>IF($O345="","",INDEX('Kế hoạch'!$I$6:$I$305,$O345))</f>
      </c>
      <c r="Q345" s="225">
        <f>IF($O345="","",INDEX('Kế hoạch'!$AJ$6:$AJ$305,$O345))</f>
      </c>
      <c r="R345" s="225">
        <f>IF($O345="","",INDEX('Kế hoạch'!$AK$6:$AK$305,$O345))</f>
      </c>
    </row>
    <row r="346">
      <c r="A346" s="223">
        <f>IF($C346="","",COUNTIF($C$6:$C346,"?*"))</f>
      </c>
      <c r="B346" s="217"/>
      <c r="C346" s="216"/>
      <c r="D346" s="240"/>
      <c r="E346" s="218"/>
      <c r="F346" s="218"/>
      <c r="G346" s="218"/>
      <c r="H346" s="219"/>
      <c r="I346" s="223">
        <f>IF($C346="","",IF(ISNUMBER(MATCH($C346,'Phản ánh'!$A$6:$A$505,0)),"Phản ánh",IF(ISNUMBER(MATCH($C346,'Kế hoạch'!$A$6:$A$305,0)),"Công việc","Mã chưa có")))</f>
      </c>
      <c r="J346" s="221">
        <f>IF($I346="Phản ánh",INDEX('Phản ánh'!$C$6:$C$505,MATCH($C346,'Phản ánh'!$A$6:$A$505,0)),IF($I346="Công việc",INDEX('Kế hoạch'!$C$6:$C$305,$O346),""))</f>
      </c>
      <c r="K346" s="221">
        <f>IF($I346="Phản ánh",INDEX('Phản ánh'!$K$6:$K$505,MATCH($C346,'Phản ánh'!$A$6:$A$505,0))&amp;"",IF($I346="Công việc",INDEX('Kế hoạch'!$N$6:$N$305,$O346)&amp;"",""))</f>
      </c>
      <c r="L346" s="220">
        <f>IF(OR($C346="",N($B346)=0),"",IF(AND($I346="Phản ánh",$E346="Đã xử lý"),INDEX('Phản ánh'!$U$6:$U$505,MATCH($C346,'Phản ánh'!$A$6:$A$505,0)),IF(AND($I346="Công việc",OR($E346="Hoàn thành",$E346="Hoàn thành kỳ")),IF(INDEX('Kế hoạch'!$B$6:$B$305,$O346)="Đột xuất",INDEX('Kế hoạch'!$AY$6:$AY$305,$O346),IF(N($P346)=0,"",IF(INT($B346)&lt;$P346,$P346,IF($Q346&gt;0,$P346+ROUND((INT($B346)-$P346)/$Q346,0)*$Q346,IF($R346&gt;0,EDATE($P346,ROUND((DATEDIF($P346,INT($B346),"m")+(INT($B346)-EDATE($P346,DATEDIF($P346,INT($B346),"m")))/(EDATE($P346,DATEDIF($P346,INT($B346),"m")+1)-EDATE($P346,DATEDIF($P346,INT($B346),"m"))))/$R346,0)*$R346),$P346))))),"")))</f>
      </c>
      <c r="M346" s="223">
        <f>IF(OR($C346="",N($L346)=0,N($B346)=0),"",IF(IF(MOD($L346,1)=0,INT($B346),$B346)&lt;=$L346,"Đúng hạn","Trễ hạn"))</f>
      </c>
      <c r="N346" s="225">
        <f>IF($C346="","",ROW())</f>
      </c>
      <c r="O346" s="225">
        <f>IF($I346="Công việc",MATCH($C346,'Kế hoạch'!$A$6:$A$305,0),"")</f>
      </c>
      <c r="P346" s="234">
        <f>IF($O346="","",INDEX('Kế hoạch'!$I$6:$I$305,$O346))</f>
      </c>
      <c r="Q346" s="225">
        <f>IF($O346="","",INDEX('Kế hoạch'!$AJ$6:$AJ$305,$O346))</f>
      </c>
      <c r="R346" s="225">
        <f>IF($O346="","",INDEX('Kế hoạch'!$AK$6:$AK$305,$O346))</f>
      </c>
    </row>
    <row r="347">
      <c r="A347" s="223">
        <f>IF($C347="","",COUNTIF($C$6:$C347,"?*"))</f>
      </c>
      <c r="B347" s="217"/>
      <c r="C347" s="216"/>
      <c r="D347" s="240"/>
      <c r="E347" s="218"/>
      <c r="F347" s="218"/>
      <c r="G347" s="218"/>
      <c r="H347" s="219"/>
      <c r="I347" s="223">
        <f>IF($C347="","",IF(ISNUMBER(MATCH($C347,'Phản ánh'!$A$6:$A$505,0)),"Phản ánh",IF(ISNUMBER(MATCH($C347,'Kế hoạch'!$A$6:$A$305,0)),"Công việc","Mã chưa có")))</f>
      </c>
      <c r="J347" s="221">
        <f>IF($I347="Phản ánh",INDEX('Phản ánh'!$C$6:$C$505,MATCH($C347,'Phản ánh'!$A$6:$A$505,0)),IF($I347="Công việc",INDEX('Kế hoạch'!$C$6:$C$305,$O347),""))</f>
      </c>
      <c r="K347" s="221">
        <f>IF($I347="Phản ánh",INDEX('Phản ánh'!$K$6:$K$505,MATCH($C347,'Phản ánh'!$A$6:$A$505,0))&amp;"",IF($I347="Công việc",INDEX('Kế hoạch'!$N$6:$N$305,$O347)&amp;"",""))</f>
      </c>
      <c r="L347" s="220">
        <f>IF(OR($C347="",N($B347)=0),"",IF(AND($I347="Phản ánh",$E347="Đã xử lý"),INDEX('Phản ánh'!$U$6:$U$505,MATCH($C347,'Phản ánh'!$A$6:$A$505,0)),IF(AND($I347="Công việc",OR($E347="Hoàn thành",$E347="Hoàn thành kỳ")),IF(INDEX('Kế hoạch'!$B$6:$B$305,$O347)="Đột xuất",INDEX('Kế hoạch'!$AY$6:$AY$305,$O347),IF(N($P347)=0,"",IF(INT($B347)&lt;$P347,$P347,IF($Q347&gt;0,$P347+ROUND((INT($B347)-$P347)/$Q347,0)*$Q347,IF($R347&gt;0,EDATE($P347,ROUND((DATEDIF($P347,INT($B347),"m")+(INT($B347)-EDATE($P347,DATEDIF($P347,INT($B347),"m")))/(EDATE($P347,DATEDIF($P347,INT($B347),"m")+1)-EDATE($P347,DATEDIF($P347,INT($B347),"m"))))/$R347,0)*$R347),$P347))))),"")))</f>
      </c>
      <c r="M347" s="223">
        <f>IF(OR($C347="",N($L347)=0,N($B347)=0),"",IF(IF(MOD($L347,1)=0,INT($B347),$B347)&lt;=$L347,"Đúng hạn","Trễ hạn"))</f>
      </c>
      <c r="N347" s="225">
        <f>IF($C347="","",ROW())</f>
      </c>
      <c r="O347" s="225">
        <f>IF($I347="Công việc",MATCH($C347,'Kế hoạch'!$A$6:$A$305,0),"")</f>
      </c>
      <c r="P347" s="234">
        <f>IF($O347="","",INDEX('Kế hoạch'!$I$6:$I$305,$O347))</f>
      </c>
      <c r="Q347" s="225">
        <f>IF($O347="","",INDEX('Kế hoạch'!$AJ$6:$AJ$305,$O347))</f>
      </c>
      <c r="R347" s="225">
        <f>IF($O347="","",INDEX('Kế hoạch'!$AK$6:$AK$305,$O347))</f>
      </c>
    </row>
    <row r="348">
      <c r="A348" s="223">
        <f>IF($C348="","",COUNTIF($C$6:$C348,"?*"))</f>
      </c>
      <c r="B348" s="217"/>
      <c r="C348" s="216"/>
      <c r="D348" s="240"/>
      <c r="E348" s="218"/>
      <c r="F348" s="218"/>
      <c r="G348" s="218"/>
      <c r="H348" s="219"/>
      <c r="I348" s="223">
        <f>IF($C348="","",IF(ISNUMBER(MATCH($C348,'Phản ánh'!$A$6:$A$505,0)),"Phản ánh",IF(ISNUMBER(MATCH($C348,'Kế hoạch'!$A$6:$A$305,0)),"Công việc","Mã chưa có")))</f>
      </c>
      <c r="J348" s="221">
        <f>IF($I348="Phản ánh",INDEX('Phản ánh'!$C$6:$C$505,MATCH($C348,'Phản ánh'!$A$6:$A$505,0)),IF($I348="Công việc",INDEX('Kế hoạch'!$C$6:$C$305,$O348),""))</f>
      </c>
      <c r="K348" s="221">
        <f>IF($I348="Phản ánh",INDEX('Phản ánh'!$K$6:$K$505,MATCH($C348,'Phản ánh'!$A$6:$A$505,0))&amp;"",IF($I348="Công việc",INDEX('Kế hoạch'!$N$6:$N$305,$O348)&amp;"",""))</f>
      </c>
      <c r="L348" s="220">
        <f>IF(OR($C348="",N($B348)=0),"",IF(AND($I348="Phản ánh",$E348="Đã xử lý"),INDEX('Phản ánh'!$U$6:$U$505,MATCH($C348,'Phản ánh'!$A$6:$A$505,0)),IF(AND($I348="Công việc",OR($E348="Hoàn thành",$E348="Hoàn thành kỳ")),IF(INDEX('Kế hoạch'!$B$6:$B$305,$O348)="Đột xuất",INDEX('Kế hoạch'!$AY$6:$AY$305,$O348),IF(N($P348)=0,"",IF(INT($B348)&lt;$P348,$P348,IF($Q348&gt;0,$P348+ROUND((INT($B348)-$P348)/$Q348,0)*$Q348,IF($R348&gt;0,EDATE($P348,ROUND((DATEDIF($P348,INT($B348),"m")+(INT($B348)-EDATE($P348,DATEDIF($P348,INT($B348),"m")))/(EDATE($P348,DATEDIF($P348,INT($B348),"m")+1)-EDATE($P348,DATEDIF($P348,INT($B348),"m"))))/$R348,0)*$R348),$P348))))),"")))</f>
      </c>
      <c r="M348" s="223">
        <f>IF(OR($C348="",N($L348)=0,N($B348)=0),"",IF(IF(MOD($L348,1)=0,INT($B348),$B348)&lt;=$L348,"Đúng hạn","Trễ hạn"))</f>
      </c>
      <c r="N348" s="225">
        <f>IF($C348="","",ROW())</f>
      </c>
      <c r="O348" s="225">
        <f>IF($I348="Công việc",MATCH($C348,'Kế hoạch'!$A$6:$A$305,0),"")</f>
      </c>
      <c r="P348" s="234">
        <f>IF($O348="","",INDEX('Kế hoạch'!$I$6:$I$305,$O348))</f>
      </c>
      <c r="Q348" s="225">
        <f>IF($O348="","",INDEX('Kế hoạch'!$AJ$6:$AJ$305,$O348))</f>
      </c>
      <c r="R348" s="225">
        <f>IF($O348="","",INDEX('Kế hoạch'!$AK$6:$AK$305,$O348))</f>
      </c>
    </row>
    <row r="349">
      <c r="A349" s="223">
        <f>IF($C349="","",COUNTIF($C$6:$C349,"?*"))</f>
      </c>
      <c r="B349" s="217"/>
      <c r="C349" s="216"/>
      <c r="D349" s="240"/>
      <c r="E349" s="218"/>
      <c r="F349" s="218"/>
      <c r="G349" s="218"/>
      <c r="H349" s="219"/>
      <c r="I349" s="223">
        <f>IF($C349="","",IF(ISNUMBER(MATCH($C349,'Phản ánh'!$A$6:$A$505,0)),"Phản ánh",IF(ISNUMBER(MATCH($C349,'Kế hoạch'!$A$6:$A$305,0)),"Công việc","Mã chưa có")))</f>
      </c>
      <c r="J349" s="221">
        <f>IF($I349="Phản ánh",INDEX('Phản ánh'!$C$6:$C$505,MATCH($C349,'Phản ánh'!$A$6:$A$505,0)),IF($I349="Công việc",INDEX('Kế hoạch'!$C$6:$C$305,$O349),""))</f>
      </c>
      <c r="K349" s="221">
        <f>IF($I349="Phản ánh",INDEX('Phản ánh'!$K$6:$K$505,MATCH($C349,'Phản ánh'!$A$6:$A$505,0))&amp;"",IF($I349="Công việc",INDEX('Kế hoạch'!$N$6:$N$305,$O349)&amp;"",""))</f>
      </c>
      <c r="L349" s="220">
        <f>IF(OR($C349="",N($B349)=0),"",IF(AND($I349="Phản ánh",$E349="Đã xử lý"),INDEX('Phản ánh'!$U$6:$U$505,MATCH($C349,'Phản ánh'!$A$6:$A$505,0)),IF(AND($I349="Công việc",OR($E349="Hoàn thành",$E349="Hoàn thành kỳ")),IF(INDEX('Kế hoạch'!$B$6:$B$305,$O349)="Đột xuất",INDEX('Kế hoạch'!$AY$6:$AY$305,$O349),IF(N($P349)=0,"",IF(INT($B349)&lt;$P349,$P349,IF($Q349&gt;0,$P349+ROUND((INT($B349)-$P349)/$Q349,0)*$Q349,IF($R349&gt;0,EDATE($P349,ROUND((DATEDIF($P349,INT($B349),"m")+(INT($B349)-EDATE($P349,DATEDIF($P349,INT($B349),"m")))/(EDATE($P349,DATEDIF($P349,INT($B349),"m")+1)-EDATE($P349,DATEDIF($P349,INT($B349),"m"))))/$R349,0)*$R349),$P349))))),"")))</f>
      </c>
      <c r="M349" s="223">
        <f>IF(OR($C349="",N($L349)=0,N($B349)=0),"",IF(IF(MOD($L349,1)=0,INT($B349),$B349)&lt;=$L349,"Đúng hạn","Trễ hạn"))</f>
      </c>
      <c r="N349" s="225">
        <f>IF($C349="","",ROW())</f>
      </c>
      <c r="O349" s="225">
        <f>IF($I349="Công việc",MATCH($C349,'Kế hoạch'!$A$6:$A$305,0),"")</f>
      </c>
      <c r="P349" s="234">
        <f>IF($O349="","",INDEX('Kế hoạch'!$I$6:$I$305,$O349))</f>
      </c>
      <c r="Q349" s="225">
        <f>IF($O349="","",INDEX('Kế hoạch'!$AJ$6:$AJ$305,$O349))</f>
      </c>
      <c r="R349" s="225">
        <f>IF($O349="","",INDEX('Kế hoạch'!$AK$6:$AK$305,$O349))</f>
      </c>
    </row>
    <row r="350">
      <c r="A350" s="223">
        <f>IF($C350="","",COUNTIF($C$6:$C350,"?*"))</f>
      </c>
      <c r="B350" s="217"/>
      <c r="C350" s="216"/>
      <c r="D350" s="240"/>
      <c r="E350" s="218"/>
      <c r="F350" s="218"/>
      <c r="G350" s="218"/>
      <c r="H350" s="219"/>
      <c r="I350" s="223">
        <f>IF($C350="","",IF(ISNUMBER(MATCH($C350,'Phản ánh'!$A$6:$A$505,0)),"Phản ánh",IF(ISNUMBER(MATCH($C350,'Kế hoạch'!$A$6:$A$305,0)),"Công việc","Mã chưa có")))</f>
      </c>
      <c r="J350" s="221">
        <f>IF($I350="Phản ánh",INDEX('Phản ánh'!$C$6:$C$505,MATCH($C350,'Phản ánh'!$A$6:$A$505,0)),IF($I350="Công việc",INDEX('Kế hoạch'!$C$6:$C$305,$O350),""))</f>
      </c>
      <c r="K350" s="221">
        <f>IF($I350="Phản ánh",INDEX('Phản ánh'!$K$6:$K$505,MATCH($C350,'Phản ánh'!$A$6:$A$505,0))&amp;"",IF($I350="Công việc",INDEX('Kế hoạch'!$N$6:$N$305,$O350)&amp;"",""))</f>
      </c>
      <c r="L350" s="220">
        <f>IF(OR($C350="",N($B350)=0),"",IF(AND($I350="Phản ánh",$E350="Đã xử lý"),INDEX('Phản ánh'!$U$6:$U$505,MATCH($C350,'Phản ánh'!$A$6:$A$505,0)),IF(AND($I350="Công việc",OR($E350="Hoàn thành",$E350="Hoàn thành kỳ")),IF(INDEX('Kế hoạch'!$B$6:$B$305,$O350)="Đột xuất",INDEX('Kế hoạch'!$AY$6:$AY$305,$O350),IF(N($P350)=0,"",IF(INT($B350)&lt;$P350,$P350,IF($Q350&gt;0,$P350+ROUND((INT($B350)-$P350)/$Q350,0)*$Q350,IF($R350&gt;0,EDATE($P350,ROUND((DATEDIF($P350,INT($B350),"m")+(INT($B350)-EDATE($P350,DATEDIF($P350,INT($B350),"m")))/(EDATE($P350,DATEDIF($P350,INT($B350),"m")+1)-EDATE($P350,DATEDIF($P350,INT($B350),"m"))))/$R350,0)*$R350),$P350))))),"")))</f>
      </c>
      <c r="M350" s="223">
        <f>IF(OR($C350="",N($L350)=0,N($B350)=0),"",IF(IF(MOD($L350,1)=0,INT($B350),$B350)&lt;=$L350,"Đúng hạn","Trễ hạn"))</f>
      </c>
      <c r="N350" s="225">
        <f>IF($C350="","",ROW())</f>
      </c>
      <c r="O350" s="225">
        <f>IF($I350="Công việc",MATCH($C350,'Kế hoạch'!$A$6:$A$305,0),"")</f>
      </c>
      <c r="P350" s="234">
        <f>IF($O350="","",INDEX('Kế hoạch'!$I$6:$I$305,$O350))</f>
      </c>
      <c r="Q350" s="225">
        <f>IF($O350="","",INDEX('Kế hoạch'!$AJ$6:$AJ$305,$O350))</f>
      </c>
      <c r="R350" s="225">
        <f>IF($O350="","",INDEX('Kế hoạch'!$AK$6:$AK$305,$O350))</f>
      </c>
    </row>
    <row r="351">
      <c r="A351" s="223">
        <f>IF($C351="","",COUNTIF($C$6:$C351,"?*"))</f>
      </c>
      <c r="B351" s="217"/>
      <c r="C351" s="216"/>
      <c r="D351" s="240"/>
      <c r="E351" s="218"/>
      <c r="F351" s="218"/>
      <c r="G351" s="218"/>
      <c r="H351" s="219"/>
      <c r="I351" s="223">
        <f>IF($C351="","",IF(ISNUMBER(MATCH($C351,'Phản ánh'!$A$6:$A$505,0)),"Phản ánh",IF(ISNUMBER(MATCH($C351,'Kế hoạch'!$A$6:$A$305,0)),"Công việc","Mã chưa có")))</f>
      </c>
      <c r="J351" s="221">
        <f>IF($I351="Phản ánh",INDEX('Phản ánh'!$C$6:$C$505,MATCH($C351,'Phản ánh'!$A$6:$A$505,0)),IF($I351="Công việc",INDEX('Kế hoạch'!$C$6:$C$305,$O351),""))</f>
      </c>
      <c r="K351" s="221">
        <f>IF($I351="Phản ánh",INDEX('Phản ánh'!$K$6:$K$505,MATCH($C351,'Phản ánh'!$A$6:$A$505,0))&amp;"",IF($I351="Công việc",INDEX('Kế hoạch'!$N$6:$N$305,$O351)&amp;"",""))</f>
      </c>
      <c r="L351" s="220">
        <f>IF(OR($C351="",N($B351)=0),"",IF(AND($I351="Phản ánh",$E351="Đã xử lý"),INDEX('Phản ánh'!$U$6:$U$505,MATCH($C351,'Phản ánh'!$A$6:$A$505,0)),IF(AND($I351="Công việc",OR($E351="Hoàn thành",$E351="Hoàn thành kỳ")),IF(INDEX('Kế hoạch'!$B$6:$B$305,$O351)="Đột xuất",INDEX('Kế hoạch'!$AY$6:$AY$305,$O351),IF(N($P351)=0,"",IF(INT($B351)&lt;$P351,$P351,IF($Q351&gt;0,$P351+ROUND((INT($B351)-$P351)/$Q351,0)*$Q351,IF($R351&gt;0,EDATE($P351,ROUND((DATEDIF($P351,INT($B351),"m")+(INT($B351)-EDATE($P351,DATEDIF($P351,INT($B351),"m")))/(EDATE($P351,DATEDIF($P351,INT($B351),"m")+1)-EDATE($P351,DATEDIF($P351,INT($B351),"m"))))/$R351,0)*$R351),$P351))))),"")))</f>
      </c>
      <c r="M351" s="223">
        <f>IF(OR($C351="",N($L351)=0,N($B351)=0),"",IF(IF(MOD($L351,1)=0,INT($B351),$B351)&lt;=$L351,"Đúng hạn","Trễ hạn"))</f>
      </c>
      <c r="N351" s="225">
        <f>IF($C351="","",ROW())</f>
      </c>
      <c r="O351" s="225">
        <f>IF($I351="Công việc",MATCH($C351,'Kế hoạch'!$A$6:$A$305,0),"")</f>
      </c>
      <c r="P351" s="234">
        <f>IF($O351="","",INDEX('Kế hoạch'!$I$6:$I$305,$O351))</f>
      </c>
      <c r="Q351" s="225">
        <f>IF($O351="","",INDEX('Kế hoạch'!$AJ$6:$AJ$305,$O351))</f>
      </c>
      <c r="R351" s="225">
        <f>IF($O351="","",INDEX('Kế hoạch'!$AK$6:$AK$305,$O351))</f>
      </c>
    </row>
    <row r="352">
      <c r="A352" s="223">
        <f>IF($C352="","",COUNTIF($C$6:$C352,"?*"))</f>
      </c>
      <c r="B352" s="217"/>
      <c r="C352" s="216"/>
      <c r="D352" s="240"/>
      <c r="E352" s="218"/>
      <c r="F352" s="218"/>
      <c r="G352" s="218"/>
      <c r="H352" s="219"/>
      <c r="I352" s="223">
        <f>IF($C352="","",IF(ISNUMBER(MATCH($C352,'Phản ánh'!$A$6:$A$505,0)),"Phản ánh",IF(ISNUMBER(MATCH($C352,'Kế hoạch'!$A$6:$A$305,0)),"Công việc","Mã chưa có")))</f>
      </c>
      <c r="J352" s="221">
        <f>IF($I352="Phản ánh",INDEX('Phản ánh'!$C$6:$C$505,MATCH($C352,'Phản ánh'!$A$6:$A$505,0)),IF($I352="Công việc",INDEX('Kế hoạch'!$C$6:$C$305,$O352),""))</f>
      </c>
      <c r="K352" s="221">
        <f>IF($I352="Phản ánh",INDEX('Phản ánh'!$K$6:$K$505,MATCH($C352,'Phản ánh'!$A$6:$A$505,0))&amp;"",IF($I352="Công việc",INDEX('Kế hoạch'!$N$6:$N$305,$O352)&amp;"",""))</f>
      </c>
      <c r="L352" s="220">
        <f>IF(OR($C352="",N($B352)=0),"",IF(AND($I352="Phản ánh",$E352="Đã xử lý"),INDEX('Phản ánh'!$U$6:$U$505,MATCH($C352,'Phản ánh'!$A$6:$A$505,0)),IF(AND($I352="Công việc",OR($E352="Hoàn thành",$E352="Hoàn thành kỳ")),IF(INDEX('Kế hoạch'!$B$6:$B$305,$O352)="Đột xuất",INDEX('Kế hoạch'!$AY$6:$AY$305,$O352),IF(N($P352)=0,"",IF(INT($B352)&lt;$P352,$P352,IF($Q352&gt;0,$P352+ROUND((INT($B352)-$P352)/$Q352,0)*$Q352,IF($R352&gt;0,EDATE($P352,ROUND((DATEDIF($P352,INT($B352),"m")+(INT($B352)-EDATE($P352,DATEDIF($P352,INT($B352),"m")))/(EDATE($P352,DATEDIF($P352,INT($B352),"m")+1)-EDATE($P352,DATEDIF($P352,INT($B352),"m"))))/$R352,0)*$R352),$P352))))),"")))</f>
      </c>
      <c r="M352" s="223">
        <f>IF(OR($C352="",N($L352)=0,N($B352)=0),"",IF(IF(MOD($L352,1)=0,INT($B352),$B352)&lt;=$L352,"Đúng hạn","Trễ hạn"))</f>
      </c>
      <c r="N352" s="225">
        <f>IF($C352="","",ROW())</f>
      </c>
      <c r="O352" s="225">
        <f>IF($I352="Công việc",MATCH($C352,'Kế hoạch'!$A$6:$A$305,0),"")</f>
      </c>
      <c r="P352" s="234">
        <f>IF($O352="","",INDEX('Kế hoạch'!$I$6:$I$305,$O352))</f>
      </c>
      <c r="Q352" s="225">
        <f>IF($O352="","",INDEX('Kế hoạch'!$AJ$6:$AJ$305,$O352))</f>
      </c>
      <c r="R352" s="225">
        <f>IF($O352="","",INDEX('Kế hoạch'!$AK$6:$AK$305,$O352))</f>
      </c>
    </row>
    <row r="353">
      <c r="A353" s="223">
        <f>IF($C353="","",COUNTIF($C$6:$C353,"?*"))</f>
      </c>
      <c r="B353" s="217"/>
      <c r="C353" s="216"/>
      <c r="D353" s="240"/>
      <c r="E353" s="218"/>
      <c r="F353" s="218"/>
      <c r="G353" s="218"/>
      <c r="H353" s="219"/>
      <c r="I353" s="223">
        <f>IF($C353="","",IF(ISNUMBER(MATCH($C353,'Phản ánh'!$A$6:$A$505,0)),"Phản ánh",IF(ISNUMBER(MATCH($C353,'Kế hoạch'!$A$6:$A$305,0)),"Công việc","Mã chưa có")))</f>
      </c>
      <c r="J353" s="221">
        <f>IF($I353="Phản ánh",INDEX('Phản ánh'!$C$6:$C$505,MATCH($C353,'Phản ánh'!$A$6:$A$505,0)),IF($I353="Công việc",INDEX('Kế hoạch'!$C$6:$C$305,$O353),""))</f>
      </c>
      <c r="K353" s="221">
        <f>IF($I353="Phản ánh",INDEX('Phản ánh'!$K$6:$K$505,MATCH($C353,'Phản ánh'!$A$6:$A$505,0))&amp;"",IF($I353="Công việc",INDEX('Kế hoạch'!$N$6:$N$305,$O353)&amp;"",""))</f>
      </c>
      <c r="L353" s="220">
        <f>IF(OR($C353="",N($B353)=0),"",IF(AND($I353="Phản ánh",$E353="Đã xử lý"),INDEX('Phản ánh'!$U$6:$U$505,MATCH($C353,'Phản ánh'!$A$6:$A$505,0)),IF(AND($I353="Công việc",OR($E353="Hoàn thành",$E353="Hoàn thành kỳ")),IF(INDEX('Kế hoạch'!$B$6:$B$305,$O353)="Đột xuất",INDEX('Kế hoạch'!$AY$6:$AY$305,$O353),IF(N($P353)=0,"",IF(INT($B353)&lt;$P353,$P353,IF($Q353&gt;0,$P353+ROUND((INT($B353)-$P353)/$Q353,0)*$Q353,IF($R353&gt;0,EDATE($P353,ROUND((DATEDIF($P353,INT($B353),"m")+(INT($B353)-EDATE($P353,DATEDIF($P353,INT($B353),"m")))/(EDATE($P353,DATEDIF($P353,INT($B353),"m")+1)-EDATE($P353,DATEDIF($P353,INT($B353),"m"))))/$R353,0)*$R353),$P353))))),"")))</f>
      </c>
      <c r="M353" s="223">
        <f>IF(OR($C353="",N($L353)=0,N($B353)=0),"",IF(IF(MOD($L353,1)=0,INT($B353),$B353)&lt;=$L353,"Đúng hạn","Trễ hạn"))</f>
      </c>
      <c r="N353" s="225">
        <f>IF($C353="","",ROW())</f>
      </c>
      <c r="O353" s="225">
        <f>IF($I353="Công việc",MATCH($C353,'Kế hoạch'!$A$6:$A$305,0),"")</f>
      </c>
      <c r="P353" s="234">
        <f>IF($O353="","",INDEX('Kế hoạch'!$I$6:$I$305,$O353))</f>
      </c>
      <c r="Q353" s="225">
        <f>IF($O353="","",INDEX('Kế hoạch'!$AJ$6:$AJ$305,$O353))</f>
      </c>
      <c r="R353" s="225">
        <f>IF($O353="","",INDEX('Kế hoạch'!$AK$6:$AK$305,$O353))</f>
      </c>
    </row>
    <row r="354">
      <c r="A354" s="223">
        <f>IF($C354="","",COUNTIF($C$6:$C354,"?*"))</f>
      </c>
      <c r="B354" s="217"/>
      <c r="C354" s="216"/>
      <c r="D354" s="240"/>
      <c r="E354" s="218"/>
      <c r="F354" s="218"/>
      <c r="G354" s="218"/>
      <c r="H354" s="219"/>
      <c r="I354" s="223">
        <f>IF($C354="","",IF(ISNUMBER(MATCH($C354,'Phản ánh'!$A$6:$A$505,0)),"Phản ánh",IF(ISNUMBER(MATCH($C354,'Kế hoạch'!$A$6:$A$305,0)),"Công việc","Mã chưa có")))</f>
      </c>
      <c r="J354" s="221">
        <f>IF($I354="Phản ánh",INDEX('Phản ánh'!$C$6:$C$505,MATCH($C354,'Phản ánh'!$A$6:$A$505,0)),IF($I354="Công việc",INDEX('Kế hoạch'!$C$6:$C$305,$O354),""))</f>
      </c>
      <c r="K354" s="221">
        <f>IF($I354="Phản ánh",INDEX('Phản ánh'!$K$6:$K$505,MATCH($C354,'Phản ánh'!$A$6:$A$505,0))&amp;"",IF($I354="Công việc",INDEX('Kế hoạch'!$N$6:$N$305,$O354)&amp;"",""))</f>
      </c>
      <c r="L354" s="220">
        <f>IF(OR($C354="",N($B354)=0),"",IF(AND($I354="Phản ánh",$E354="Đã xử lý"),INDEX('Phản ánh'!$U$6:$U$505,MATCH($C354,'Phản ánh'!$A$6:$A$505,0)),IF(AND($I354="Công việc",OR($E354="Hoàn thành",$E354="Hoàn thành kỳ")),IF(INDEX('Kế hoạch'!$B$6:$B$305,$O354)="Đột xuất",INDEX('Kế hoạch'!$AY$6:$AY$305,$O354),IF(N($P354)=0,"",IF(INT($B354)&lt;$P354,$P354,IF($Q354&gt;0,$P354+ROUND((INT($B354)-$P354)/$Q354,0)*$Q354,IF($R354&gt;0,EDATE($P354,ROUND((DATEDIF($P354,INT($B354),"m")+(INT($B354)-EDATE($P354,DATEDIF($P354,INT($B354),"m")))/(EDATE($P354,DATEDIF($P354,INT($B354),"m")+1)-EDATE($P354,DATEDIF($P354,INT($B354),"m"))))/$R354,0)*$R354),$P354))))),"")))</f>
      </c>
      <c r="M354" s="223">
        <f>IF(OR($C354="",N($L354)=0,N($B354)=0),"",IF(IF(MOD($L354,1)=0,INT($B354),$B354)&lt;=$L354,"Đúng hạn","Trễ hạn"))</f>
      </c>
      <c r="N354" s="225">
        <f>IF($C354="","",ROW())</f>
      </c>
      <c r="O354" s="225">
        <f>IF($I354="Công việc",MATCH($C354,'Kế hoạch'!$A$6:$A$305,0),"")</f>
      </c>
      <c r="P354" s="234">
        <f>IF($O354="","",INDEX('Kế hoạch'!$I$6:$I$305,$O354))</f>
      </c>
      <c r="Q354" s="225">
        <f>IF($O354="","",INDEX('Kế hoạch'!$AJ$6:$AJ$305,$O354))</f>
      </c>
      <c r="R354" s="225">
        <f>IF($O354="","",INDEX('Kế hoạch'!$AK$6:$AK$305,$O354))</f>
      </c>
    </row>
    <row r="355">
      <c r="A355" s="223">
        <f>IF($C355="","",COUNTIF($C$6:$C355,"?*"))</f>
      </c>
      <c r="B355" s="217"/>
      <c r="C355" s="216"/>
      <c r="D355" s="240"/>
      <c r="E355" s="218"/>
      <c r="F355" s="218"/>
      <c r="G355" s="218"/>
      <c r="H355" s="219"/>
      <c r="I355" s="223">
        <f>IF($C355="","",IF(ISNUMBER(MATCH($C355,'Phản ánh'!$A$6:$A$505,0)),"Phản ánh",IF(ISNUMBER(MATCH($C355,'Kế hoạch'!$A$6:$A$305,0)),"Công việc","Mã chưa có")))</f>
      </c>
      <c r="J355" s="221">
        <f>IF($I355="Phản ánh",INDEX('Phản ánh'!$C$6:$C$505,MATCH($C355,'Phản ánh'!$A$6:$A$505,0)),IF($I355="Công việc",INDEX('Kế hoạch'!$C$6:$C$305,$O355),""))</f>
      </c>
      <c r="K355" s="221">
        <f>IF($I355="Phản ánh",INDEX('Phản ánh'!$K$6:$K$505,MATCH($C355,'Phản ánh'!$A$6:$A$505,0))&amp;"",IF($I355="Công việc",INDEX('Kế hoạch'!$N$6:$N$305,$O355)&amp;"",""))</f>
      </c>
      <c r="L355" s="220">
        <f>IF(OR($C355="",N($B355)=0),"",IF(AND($I355="Phản ánh",$E355="Đã xử lý"),INDEX('Phản ánh'!$U$6:$U$505,MATCH($C355,'Phản ánh'!$A$6:$A$505,0)),IF(AND($I355="Công việc",OR($E355="Hoàn thành",$E355="Hoàn thành kỳ")),IF(INDEX('Kế hoạch'!$B$6:$B$305,$O355)="Đột xuất",INDEX('Kế hoạch'!$AY$6:$AY$305,$O355),IF(N($P355)=0,"",IF(INT($B355)&lt;$P355,$P355,IF($Q355&gt;0,$P355+ROUND((INT($B355)-$P355)/$Q355,0)*$Q355,IF($R355&gt;0,EDATE($P355,ROUND((DATEDIF($P355,INT($B355),"m")+(INT($B355)-EDATE($P355,DATEDIF($P355,INT($B355),"m")))/(EDATE($P355,DATEDIF($P355,INT($B355),"m")+1)-EDATE($P355,DATEDIF($P355,INT($B355),"m"))))/$R355,0)*$R355),$P355))))),"")))</f>
      </c>
      <c r="M355" s="223">
        <f>IF(OR($C355="",N($L355)=0,N($B355)=0),"",IF(IF(MOD($L355,1)=0,INT($B355),$B355)&lt;=$L355,"Đúng hạn","Trễ hạn"))</f>
      </c>
      <c r="N355" s="225">
        <f>IF($C355="","",ROW())</f>
      </c>
      <c r="O355" s="225">
        <f>IF($I355="Công việc",MATCH($C355,'Kế hoạch'!$A$6:$A$305,0),"")</f>
      </c>
      <c r="P355" s="234">
        <f>IF($O355="","",INDEX('Kế hoạch'!$I$6:$I$305,$O355))</f>
      </c>
      <c r="Q355" s="225">
        <f>IF($O355="","",INDEX('Kế hoạch'!$AJ$6:$AJ$305,$O355))</f>
      </c>
      <c r="R355" s="225">
        <f>IF($O355="","",INDEX('Kế hoạch'!$AK$6:$AK$305,$O355))</f>
      </c>
    </row>
    <row r="356">
      <c r="A356" s="223">
        <f>IF($C356="","",COUNTIF($C$6:$C356,"?*"))</f>
      </c>
      <c r="B356" s="217"/>
      <c r="C356" s="216"/>
      <c r="D356" s="240"/>
      <c r="E356" s="218"/>
      <c r="F356" s="218"/>
      <c r="G356" s="218"/>
      <c r="H356" s="219"/>
      <c r="I356" s="223">
        <f>IF($C356="","",IF(ISNUMBER(MATCH($C356,'Phản ánh'!$A$6:$A$505,0)),"Phản ánh",IF(ISNUMBER(MATCH($C356,'Kế hoạch'!$A$6:$A$305,0)),"Công việc","Mã chưa có")))</f>
      </c>
      <c r="J356" s="221">
        <f>IF($I356="Phản ánh",INDEX('Phản ánh'!$C$6:$C$505,MATCH($C356,'Phản ánh'!$A$6:$A$505,0)),IF($I356="Công việc",INDEX('Kế hoạch'!$C$6:$C$305,$O356),""))</f>
      </c>
      <c r="K356" s="221">
        <f>IF($I356="Phản ánh",INDEX('Phản ánh'!$K$6:$K$505,MATCH($C356,'Phản ánh'!$A$6:$A$505,0))&amp;"",IF($I356="Công việc",INDEX('Kế hoạch'!$N$6:$N$305,$O356)&amp;"",""))</f>
      </c>
      <c r="L356" s="220">
        <f>IF(OR($C356="",N($B356)=0),"",IF(AND($I356="Phản ánh",$E356="Đã xử lý"),INDEX('Phản ánh'!$U$6:$U$505,MATCH($C356,'Phản ánh'!$A$6:$A$505,0)),IF(AND($I356="Công việc",OR($E356="Hoàn thành",$E356="Hoàn thành kỳ")),IF(INDEX('Kế hoạch'!$B$6:$B$305,$O356)="Đột xuất",INDEX('Kế hoạch'!$AY$6:$AY$305,$O356),IF(N($P356)=0,"",IF(INT($B356)&lt;$P356,$P356,IF($Q356&gt;0,$P356+ROUND((INT($B356)-$P356)/$Q356,0)*$Q356,IF($R356&gt;0,EDATE($P356,ROUND((DATEDIF($P356,INT($B356),"m")+(INT($B356)-EDATE($P356,DATEDIF($P356,INT($B356),"m")))/(EDATE($P356,DATEDIF($P356,INT($B356),"m")+1)-EDATE($P356,DATEDIF($P356,INT($B356),"m"))))/$R356,0)*$R356),$P356))))),"")))</f>
      </c>
      <c r="M356" s="223">
        <f>IF(OR($C356="",N($L356)=0,N($B356)=0),"",IF(IF(MOD($L356,1)=0,INT($B356),$B356)&lt;=$L356,"Đúng hạn","Trễ hạn"))</f>
      </c>
      <c r="N356" s="225">
        <f>IF($C356="","",ROW())</f>
      </c>
      <c r="O356" s="225">
        <f>IF($I356="Công việc",MATCH($C356,'Kế hoạch'!$A$6:$A$305,0),"")</f>
      </c>
      <c r="P356" s="234">
        <f>IF($O356="","",INDEX('Kế hoạch'!$I$6:$I$305,$O356))</f>
      </c>
      <c r="Q356" s="225">
        <f>IF($O356="","",INDEX('Kế hoạch'!$AJ$6:$AJ$305,$O356))</f>
      </c>
      <c r="R356" s="225">
        <f>IF($O356="","",INDEX('Kế hoạch'!$AK$6:$AK$305,$O356))</f>
      </c>
    </row>
    <row r="357">
      <c r="A357" s="223">
        <f>IF($C357="","",COUNTIF($C$6:$C357,"?*"))</f>
      </c>
      <c r="B357" s="217"/>
      <c r="C357" s="216"/>
      <c r="D357" s="240"/>
      <c r="E357" s="218"/>
      <c r="F357" s="218"/>
      <c r="G357" s="218"/>
      <c r="H357" s="219"/>
      <c r="I357" s="223">
        <f>IF($C357="","",IF(ISNUMBER(MATCH($C357,'Phản ánh'!$A$6:$A$505,0)),"Phản ánh",IF(ISNUMBER(MATCH($C357,'Kế hoạch'!$A$6:$A$305,0)),"Công việc","Mã chưa có")))</f>
      </c>
      <c r="J357" s="221">
        <f>IF($I357="Phản ánh",INDEX('Phản ánh'!$C$6:$C$505,MATCH($C357,'Phản ánh'!$A$6:$A$505,0)),IF($I357="Công việc",INDEX('Kế hoạch'!$C$6:$C$305,$O357),""))</f>
      </c>
      <c r="K357" s="221">
        <f>IF($I357="Phản ánh",INDEX('Phản ánh'!$K$6:$K$505,MATCH($C357,'Phản ánh'!$A$6:$A$505,0))&amp;"",IF($I357="Công việc",INDEX('Kế hoạch'!$N$6:$N$305,$O357)&amp;"",""))</f>
      </c>
      <c r="L357" s="220">
        <f>IF(OR($C357="",N($B357)=0),"",IF(AND($I357="Phản ánh",$E357="Đã xử lý"),INDEX('Phản ánh'!$U$6:$U$505,MATCH($C357,'Phản ánh'!$A$6:$A$505,0)),IF(AND($I357="Công việc",OR($E357="Hoàn thành",$E357="Hoàn thành kỳ")),IF(INDEX('Kế hoạch'!$B$6:$B$305,$O357)="Đột xuất",INDEX('Kế hoạch'!$AY$6:$AY$305,$O357),IF(N($P357)=0,"",IF(INT($B357)&lt;$P357,$P357,IF($Q357&gt;0,$P357+ROUND((INT($B357)-$P357)/$Q357,0)*$Q357,IF($R357&gt;0,EDATE($P357,ROUND((DATEDIF($P357,INT($B357),"m")+(INT($B357)-EDATE($P357,DATEDIF($P357,INT($B357),"m")))/(EDATE($P357,DATEDIF($P357,INT($B357),"m")+1)-EDATE($P357,DATEDIF($P357,INT($B357),"m"))))/$R357,0)*$R357),$P357))))),"")))</f>
      </c>
      <c r="M357" s="223">
        <f>IF(OR($C357="",N($L357)=0,N($B357)=0),"",IF(IF(MOD($L357,1)=0,INT($B357),$B357)&lt;=$L357,"Đúng hạn","Trễ hạn"))</f>
      </c>
      <c r="N357" s="225">
        <f>IF($C357="","",ROW())</f>
      </c>
      <c r="O357" s="225">
        <f>IF($I357="Công việc",MATCH($C357,'Kế hoạch'!$A$6:$A$305,0),"")</f>
      </c>
      <c r="P357" s="234">
        <f>IF($O357="","",INDEX('Kế hoạch'!$I$6:$I$305,$O357))</f>
      </c>
      <c r="Q357" s="225">
        <f>IF($O357="","",INDEX('Kế hoạch'!$AJ$6:$AJ$305,$O357))</f>
      </c>
      <c r="R357" s="225">
        <f>IF($O357="","",INDEX('Kế hoạch'!$AK$6:$AK$305,$O357))</f>
      </c>
    </row>
    <row r="358">
      <c r="A358" s="223">
        <f>IF($C358="","",COUNTIF($C$6:$C358,"?*"))</f>
      </c>
      <c r="B358" s="217"/>
      <c r="C358" s="216"/>
      <c r="D358" s="240"/>
      <c r="E358" s="218"/>
      <c r="F358" s="218"/>
      <c r="G358" s="218"/>
      <c r="H358" s="219"/>
      <c r="I358" s="223">
        <f>IF($C358="","",IF(ISNUMBER(MATCH($C358,'Phản ánh'!$A$6:$A$505,0)),"Phản ánh",IF(ISNUMBER(MATCH($C358,'Kế hoạch'!$A$6:$A$305,0)),"Công việc","Mã chưa có")))</f>
      </c>
      <c r="J358" s="221">
        <f>IF($I358="Phản ánh",INDEX('Phản ánh'!$C$6:$C$505,MATCH($C358,'Phản ánh'!$A$6:$A$505,0)),IF($I358="Công việc",INDEX('Kế hoạch'!$C$6:$C$305,$O358),""))</f>
      </c>
      <c r="K358" s="221">
        <f>IF($I358="Phản ánh",INDEX('Phản ánh'!$K$6:$K$505,MATCH($C358,'Phản ánh'!$A$6:$A$505,0))&amp;"",IF($I358="Công việc",INDEX('Kế hoạch'!$N$6:$N$305,$O358)&amp;"",""))</f>
      </c>
      <c r="L358" s="220">
        <f>IF(OR($C358="",N($B358)=0),"",IF(AND($I358="Phản ánh",$E358="Đã xử lý"),INDEX('Phản ánh'!$U$6:$U$505,MATCH($C358,'Phản ánh'!$A$6:$A$505,0)),IF(AND($I358="Công việc",OR($E358="Hoàn thành",$E358="Hoàn thành kỳ")),IF(INDEX('Kế hoạch'!$B$6:$B$305,$O358)="Đột xuất",INDEX('Kế hoạch'!$AY$6:$AY$305,$O358),IF(N($P358)=0,"",IF(INT($B358)&lt;$P358,$P358,IF($Q358&gt;0,$P358+ROUND((INT($B358)-$P358)/$Q358,0)*$Q358,IF($R358&gt;0,EDATE($P358,ROUND((DATEDIF($P358,INT($B358),"m")+(INT($B358)-EDATE($P358,DATEDIF($P358,INT($B358),"m")))/(EDATE($P358,DATEDIF($P358,INT($B358),"m")+1)-EDATE($P358,DATEDIF($P358,INT($B358),"m"))))/$R358,0)*$R358),$P358))))),"")))</f>
      </c>
      <c r="M358" s="223">
        <f>IF(OR($C358="",N($L358)=0,N($B358)=0),"",IF(IF(MOD($L358,1)=0,INT($B358),$B358)&lt;=$L358,"Đúng hạn","Trễ hạn"))</f>
      </c>
      <c r="N358" s="225">
        <f>IF($C358="","",ROW())</f>
      </c>
      <c r="O358" s="225">
        <f>IF($I358="Công việc",MATCH($C358,'Kế hoạch'!$A$6:$A$305,0),"")</f>
      </c>
      <c r="P358" s="234">
        <f>IF($O358="","",INDEX('Kế hoạch'!$I$6:$I$305,$O358))</f>
      </c>
      <c r="Q358" s="225">
        <f>IF($O358="","",INDEX('Kế hoạch'!$AJ$6:$AJ$305,$O358))</f>
      </c>
      <c r="R358" s="225">
        <f>IF($O358="","",INDEX('Kế hoạch'!$AK$6:$AK$305,$O358))</f>
      </c>
    </row>
    <row r="359">
      <c r="A359" s="223">
        <f>IF($C359="","",COUNTIF($C$6:$C359,"?*"))</f>
      </c>
      <c r="B359" s="217"/>
      <c r="C359" s="216"/>
      <c r="D359" s="240"/>
      <c r="E359" s="218"/>
      <c r="F359" s="218"/>
      <c r="G359" s="218"/>
      <c r="H359" s="219"/>
      <c r="I359" s="223">
        <f>IF($C359="","",IF(ISNUMBER(MATCH($C359,'Phản ánh'!$A$6:$A$505,0)),"Phản ánh",IF(ISNUMBER(MATCH($C359,'Kế hoạch'!$A$6:$A$305,0)),"Công việc","Mã chưa có")))</f>
      </c>
      <c r="J359" s="221">
        <f>IF($I359="Phản ánh",INDEX('Phản ánh'!$C$6:$C$505,MATCH($C359,'Phản ánh'!$A$6:$A$505,0)),IF($I359="Công việc",INDEX('Kế hoạch'!$C$6:$C$305,$O359),""))</f>
      </c>
      <c r="K359" s="221">
        <f>IF($I359="Phản ánh",INDEX('Phản ánh'!$K$6:$K$505,MATCH($C359,'Phản ánh'!$A$6:$A$505,0))&amp;"",IF($I359="Công việc",INDEX('Kế hoạch'!$N$6:$N$305,$O359)&amp;"",""))</f>
      </c>
      <c r="L359" s="220">
        <f>IF(OR($C359="",N($B359)=0),"",IF(AND($I359="Phản ánh",$E359="Đã xử lý"),INDEX('Phản ánh'!$U$6:$U$505,MATCH($C359,'Phản ánh'!$A$6:$A$505,0)),IF(AND($I359="Công việc",OR($E359="Hoàn thành",$E359="Hoàn thành kỳ")),IF(INDEX('Kế hoạch'!$B$6:$B$305,$O359)="Đột xuất",INDEX('Kế hoạch'!$AY$6:$AY$305,$O359),IF(N($P359)=0,"",IF(INT($B359)&lt;$P359,$P359,IF($Q359&gt;0,$P359+ROUND((INT($B359)-$P359)/$Q359,0)*$Q359,IF($R359&gt;0,EDATE($P359,ROUND((DATEDIF($P359,INT($B359),"m")+(INT($B359)-EDATE($P359,DATEDIF($P359,INT($B359),"m")))/(EDATE($P359,DATEDIF($P359,INT($B359),"m")+1)-EDATE($P359,DATEDIF($P359,INT($B359),"m"))))/$R359,0)*$R359),$P359))))),"")))</f>
      </c>
      <c r="M359" s="223">
        <f>IF(OR($C359="",N($L359)=0,N($B359)=0),"",IF(IF(MOD($L359,1)=0,INT($B359),$B359)&lt;=$L359,"Đúng hạn","Trễ hạn"))</f>
      </c>
      <c r="N359" s="225">
        <f>IF($C359="","",ROW())</f>
      </c>
      <c r="O359" s="225">
        <f>IF($I359="Công việc",MATCH($C359,'Kế hoạch'!$A$6:$A$305,0),"")</f>
      </c>
      <c r="P359" s="234">
        <f>IF($O359="","",INDEX('Kế hoạch'!$I$6:$I$305,$O359))</f>
      </c>
      <c r="Q359" s="225">
        <f>IF($O359="","",INDEX('Kế hoạch'!$AJ$6:$AJ$305,$O359))</f>
      </c>
      <c r="R359" s="225">
        <f>IF($O359="","",INDEX('Kế hoạch'!$AK$6:$AK$305,$O359))</f>
      </c>
    </row>
    <row r="360">
      <c r="A360" s="223">
        <f>IF($C360="","",COUNTIF($C$6:$C360,"?*"))</f>
      </c>
      <c r="B360" s="217"/>
      <c r="C360" s="216"/>
      <c r="D360" s="240"/>
      <c r="E360" s="218"/>
      <c r="F360" s="218"/>
      <c r="G360" s="218"/>
      <c r="H360" s="219"/>
      <c r="I360" s="223">
        <f>IF($C360="","",IF(ISNUMBER(MATCH($C360,'Phản ánh'!$A$6:$A$505,0)),"Phản ánh",IF(ISNUMBER(MATCH($C360,'Kế hoạch'!$A$6:$A$305,0)),"Công việc","Mã chưa có")))</f>
      </c>
      <c r="J360" s="221">
        <f>IF($I360="Phản ánh",INDEX('Phản ánh'!$C$6:$C$505,MATCH($C360,'Phản ánh'!$A$6:$A$505,0)),IF($I360="Công việc",INDEX('Kế hoạch'!$C$6:$C$305,$O360),""))</f>
      </c>
      <c r="K360" s="221">
        <f>IF($I360="Phản ánh",INDEX('Phản ánh'!$K$6:$K$505,MATCH($C360,'Phản ánh'!$A$6:$A$505,0))&amp;"",IF($I360="Công việc",INDEX('Kế hoạch'!$N$6:$N$305,$O360)&amp;"",""))</f>
      </c>
      <c r="L360" s="220">
        <f>IF(OR($C360="",N($B360)=0),"",IF(AND($I360="Phản ánh",$E360="Đã xử lý"),INDEX('Phản ánh'!$U$6:$U$505,MATCH($C360,'Phản ánh'!$A$6:$A$505,0)),IF(AND($I360="Công việc",OR($E360="Hoàn thành",$E360="Hoàn thành kỳ")),IF(INDEX('Kế hoạch'!$B$6:$B$305,$O360)="Đột xuất",INDEX('Kế hoạch'!$AY$6:$AY$305,$O360),IF(N($P360)=0,"",IF(INT($B360)&lt;$P360,$P360,IF($Q360&gt;0,$P360+ROUND((INT($B360)-$P360)/$Q360,0)*$Q360,IF($R360&gt;0,EDATE($P360,ROUND((DATEDIF($P360,INT($B360),"m")+(INT($B360)-EDATE($P360,DATEDIF($P360,INT($B360),"m")))/(EDATE($P360,DATEDIF($P360,INT($B360),"m")+1)-EDATE($P360,DATEDIF($P360,INT($B360),"m"))))/$R360,0)*$R360),$P360))))),"")))</f>
      </c>
      <c r="M360" s="223">
        <f>IF(OR($C360="",N($L360)=0,N($B360)=0),"",IF(IF(MOD($L360,1)=0,INT($B360),$B360)&lt;=$L360,"Đúng hạn","Trễ hạn"))</f>
      </c>
      <c r="N360" s="225">
        <f>IF($C360="","",ROW())</f>
      </c>
      <c r="O360" s="225">
        <f>IF($I360="Công việc",MATCH($C360,'Kế hoạch'!$A$6:$A$305,0),"")</f>
      </c>
      <c r="P360" s="234">
        <f>IF($O360="","",INDEX('Kế hoạch'!$I$6:$I$305,$O360))</f>
      </c>
      <c r="Q360" s="225">
        <f>IF($O360="","",INDEX('Kế hoạch'!$AJ$6:$AJ$305,$O360))</f>
      </c>
      <c r="R360" s="225">
        <f>IF($O360="","",INDEX('Kế hoạch'!$AK$6:$AK$305,$O360))</f>
      </c>
    </row>
    <row r="361">
      <c r="A361" s="223">
        <f>IF($C361="","",COUNTIF($C$6:$C361,"?*"))</f>
      </c>
      <c r="B361" s="217"/>
      <c r="C361" s="216"/>
      <c r="D361" s="240"/>
      <c r="E361" s="218"/>
      <c r="F361" s="218"/>
      <c r="G361" s="218"/>
      <c r="H361" s="219"/>
      <c r="I361" s="223">
        <f>IF($C361="","",IF(ISNUMBER(MATCH($C361,'Phản ánh'!$A$6:$A$505,0)),"Phản ánh",IF(ISNUMBER(MATCH($C361,'Kế hoạch'!$A$6:$A$305,0)),"Công việc","Mã chưa có")))</f>
      </c>
      <c r="J361" s="221">
        <f>IF($I361="Phản ánh",INDEX('Phản ánh'!$C$6:$C$505,MATCH($C361,'Phản ánh'!$A$6:$A$505,0)),IF($I361="Công việc",INDEX('Kế hoạch'!$C$6:$C$305,$O361),""))</f>
      </c>
      <c r="K361" s="221">
        <f>IF($I361="Phản ánh",INDEX('Phản ánh'!$K$6:$K$505,MATCH($C361,'Phản ánh'!$A$6:$A$505,0))&amp;"",IF($I361="Công việc",INDEX('Kế hoạch'!$N$6:$N$305,$O361)&amp;"",""))</f>
      </c>
      <c r="L361" s="220">
        <f>IF(OR($C361="",N($B361)=0),"",IF(AND($I361="Phản ánh",$E361="Đã xử lý"),INDEX('Phản ánh'!$U$6:$U$505,MATCH($C361,'Phản ánh'!$A$6:$A$505,0)),IF(AND($I361="Công việc",OR($E361="Hoàn thành",$E361="Hoàn thành kỳ")),IF(INDEX('Kế hoạch'!$B$6:$B$305,$O361)="Đột xuất",INDEX('Kế hoạch'!$AY$6:$AY$305,$O361),IF(N($P361)=0,"",IF(INT($B361)&lt;$P361,$P361,IF($Q361&gt;0,$P361+ROUND((INT($B361)-$P361)/$Q361,0)*$Q361,IF($R361&gt;0,EDATE($P361,ROUND((DATEDIF($P361,INT($B361),"m")+(INT($B361)-EDATE($P361,DATEDIF($P361,INT($B361),"m")))/(EDATE($P361,DATEDIF($P361,INT($B361),"m")+1)-EDATE($P361,DATEDIF($P361,INT($B361),"m"))))/$R361,0)*$R361),$P361))))),"")))</f>
      </c>
      <c r="M361" s="223">
        <f>IF(OR($C361="",N($L361)=0,N($B361)=0),"",IF(IF(MOD($L361,1)=0,INT($B361),$B361)&lt;=$L361,"Đúng hạn","Trễ hạn"))</f>
      </c>
      <c r="N361" s="225">
        <f>IF($C361="","",ROW())</f>
      </c>
      <c r="O361" s="225">
        <f>IF($I361="Công việc",MATCH($C361,'Kế hoạch'!$A$6:$A$305,0),"")</f>
      </c>
      <c r="P361" s="234">
        <f>IF($O361="","",INDEX('Kế hoạch'!$I$6:$I$305,$O361))</f>
      </c>
      <c r="Q361" s="225">
        <f>IF($O361="","",INDEX('Kế hoạch'!$AJ$6:$AJ$305,$O361))</f>
      </c>
      <c r="R361" s="225">
        <f>IF($O361="","",INDEX('Kế hoạch'!$AK$6:$AK$305,$O361))</f>
      </c>
    </row>
    <row r="362">
      <c r="A362" s="223">
        <f>IF($C362="","",COUNTIF($C$6:$C362,"?*"))</f>
      </c>
      <c r="B362" s="217"/>
      <c r="C362" s="216"/>
      <c r="D362" s="240"/>
      <c r="E362" s="218"/>
      <c r="F362" s="218"/>
      <c r="G362" s="218"/>
      <c r="H362" s="219"/>
      <c r="I362" s="223">
        <f>IF($C362="","",IF(ISNUMBER(MATCH($C362,'Phản ánh'!$A$6:$A$505,0)),"Phản ánh",IF(ISNUMBER(MATCH($C362,'Kế hoạch'!$A$6:$A$305,0)),"Công việc","Mã chưa có")))</f>
      </c>
      <c r="J362" s="221">
        <f>IF($I362="Phản ánh",INDEX('Phản ánh'!$C$6:$C$505,MATCH($C362,'Phản ánh'!$A$6:$A$505,0)),IF($I362="Công việc",INDEX('Kế hoạch'!$C$6:$C$305,$O362),""))</f>
      </c>
      <c r="K362" s="221">
        <f>IF($I362="Phản ánh",INDEX('Phản ánh'!$K$6:$K$505,MATCH($C362,'Phản ánh'!$A$6:$A$505,0))&amp;"",IF($I362="Công việc",INDEX('Kế hoạch'!$N$6:$N$305,$O362)&amp;"",""))</f>
      </c>
      <c r="L362" s="220">
        <f>IF(OR($C362="",N($B362)=0),"",IF(AND($I362="Phản ánh",$E362="Đã xử lý"),INDEX('Phản ánh'!$U$6:$U$505,MATCH($C362,'Phản ánh'!$A$6:$A$505,0)),IF(AND($I362="Công việc",OR($E362="Hoàn thành",$E362="Hoàn thành kỳ")),IF(INDEX('Kế hoạch'!$B$6:$B$305,$O362)="Đột xuất",INDEX('Kế hoạch'!$AY$6:$AY$305,$O362),IF(N($P362)=0,"",IF(INT($B362)&lt;$P362,$P362,IF($Q362&gt;0,$P362+ROUND((INT($B362)-$P362)/$Q362,0)*$Q362,IF($R362&gt;0,EDATE($P362,ROUND((DATEDIF($P362,INT($B362),"m")+(INT($B362)-EDATE($P362,DATEDIF($P362,INT($B362),"m")))/(EDATE($P362,DATEDIF($P362,INT($B362),"m")+1)-EDATE($P362,DATEDIF($P362,INT($B362),"m"))))/$R362,0)*$R362),$P362))))),"")))</f>
      </c>
      <c r="M362" s="223">
        <f>IF(OR($C362="",N($L362)=0,N($B362)=0),"",IF(IF(MOD($L362,1)=0,INT($B362),$B362)&lt;=$L362,"Đúng hạn","Trễ hạn"))</f>
      </c>
      <c r="N362" s="225">
        <f>IF($C362="","",ROW())</f>
      </c>
      <c r="O362" s="225">
        <f>IF($I362="Công việc",MATCH($C362,'Kế hoạch'!$A$6:$A$305,0),"")</f>
      </c>
      <c r="P362" s="234">
        <f>IF($O362="","",INDEX('Kế hoạch'!$I$6:$I$305,$O362))</f>
      </c>
      <c r="Q362" s="225">
        <f>IF($O362="","",INDEX('Kế hoạch'!$AJ$6:$AJ$305,$O362))</f>
      </c>
      <c r="R362" s="225">
        <f>IF($O362="","",INDEX('Kế hoạch'!$AK$6:$AK$305,$O362))</f>
      </c>
    </row>
    <row r="363">
      <c r="A363" s="223">
        <f>IF($C363="","",COUNTIF($C$6:$C363,"?*"))</f>
      </c>
      <c r="B363" s="217"/>
      <c r="C363" s="216"/>
      <c r="D363" s="240"/>
      <c r="E363" s="218"/>
      <c r="F363" s="218"/>
      <c r="G363" s="218"/>
      <c r="H363" s="219"/>
      <c r="I363" s="223">
        <f>IF($C363="","",IF(ISNUMBER(MATCH($C363,'Phản ánh'!$A$6:$A$505,0)),"Phản ánh",IF(ISNUMBER(MATCH($C363,'Kế hoạch'!$A$6:$A$305,0)),"Công việc","Mã chưa có")))</f>
      </c>
      <c r="J363" s="221">
        <f>IF($I363="Phản ánh",INDEX('Phản ánh'!$C$6:$C$505,MATCH($C363,'Phản ánh'!$A$6:$A$505,0)),IF($I363="Công việc",INDEX('Kế hoạch'!$C$6:$C$305,$O363),""))</f>
      </c>
      <c r="K363" s="221">
        <f>IF($I363="Phản ánh",INDEX('Phản ánh'!$K$6:$K$505,MATCH($C363,'Phản ánh'!$A$6:$A$505,0))&amp;"",IF($I363="Công việc",INDEX('Kế hoạch'!$N$6:$N$305,$O363)&amp;"",""))</f>
      </c>
      <c r="L363" s="220">
        <f>IF(OR($C363="",N($B363)=0),"",IF(AND($I363="Phản ánh",$E363="Đã xử lý"),INDEX('Phản ánh'!$U$6:$U$505,MATCH($C363,'Phản ánh'!$A$6:$A$505,0)),IF(AND($I363="Công việc",OR($E363="Hoàn thành",$E363="Hoàn thành kỳ")),IF(INDEX('Kế hoạch'!$B$6:$B$305,$O363)="Đột xuất",INDEX('Kế hoạch'!$AY$6:$AY$305,$O363),IF(N($P363)=0,"",IF(INT($B363)&lt;$P363,$P363,IF($Q363&gt;0,$P363+ROUND((INT($B363)-$P363)/$Q363,0)*$Q363,IF($R363&gt;0,EDATE($P363,ROUND((DATEDIF($P363,INT($B363),"m")+(INT($B363)-EDATE($P363,DATEDIF($P363,INT($B363),"m")))/(EDATE($P363,DATEDIF($P363,INT($B363),"m")+1)-EDATE($P363,DATEDIF($P363,INT($B363),"m"))))/$R363,0)*$R363),$P363))))),"")))</f>
      </c>
      <c r="M363" s="223">
        <f>IF(OR($C363="",N($L363)=0,N($B363)=0),"",IF(IF(MOD($L363,1)=0,INT($B363),$B363)&lt;=$L363,"Đúng hạn","Trễ hạn"))</f>
      </c>
      <c r="N363" s="225">
        <f>IF($C363="","",ROW())</f>
      </c>
      <c r="O363" s="225">
        <f>IF($I363="Công việc",MATCH($C363,'Kế hoạch'!$A$6:$A$305,0),"")</f>
      </c>
      <c r="P363" s="234">
        <f>IF($O363="","",INDEX('Kế hoạch'!$I$6:$I$305,$O363))</f>
      </c>
      <c r="Q363" s="225">
        <f>IF($O363="","",INDEX('Kế hoạch'!$AJ$6:$AJ$305,$O363))</f>
      </c>
      <c r="R363" s="225">
        <f>IF($O363="","",INDEX('Kế hoạch'!$AK$6:$AK$305,$O363))</f>
      </c>
    </row>
    <row r="364">
      <c r="A364" s="223">
        <f>IF($C364="","",COUNTIF($C$6:$C364,"?*"))</f>
      </c>
      <c r="B364" s="217"/>
      <c r="C364" s="216"/>
      <c r="D364" s="240"/>
      <c r="E364" s="218"/>
      <c r="F364" s="218"/>
      <c r="G364" s="218"/>
      <c r="H364" s="219"/>
      <c r="I364" s="223">
        <f>IF($C364="","",IF(ISNUMBER(MATCH($C364,'Phản ánh'!$A$6:$A$505,0)),"Phản ánh",IF(ISNUMBER(MATCH($C364,'Kế hoạch'!$A$6:$A$305,0)),"Công việc","Mã chưa có")))</f>
      </c>
      <c r="J364" s="221">
        <f>IF($I364="Phản ánh",INDEX('Phản ánh'!$C$6:$C$505,MATCH($C364,'Phản ánh'!$A$6:$A$505,0)),IF($I364="Công việc",INDEX('Kế hoạch'!$C$6:$C$305,$O364),""))</f>
      </c>
      <c r="K364" s="221">
        <f>IF($I364="Phản ánh",INDEX('Phản ánh'!$K$6:$K$505,MATCH($C364,'Phản ánh'!$A$6:$A$505,0))&amp;"",IF($I364="Công việc",INDEX('Kế hoạch'!$N$6:$N$305,$O364)&amp;"",""))</f>
      </c>
      <c r="L364" s="220">
        <f>IF(OR($C364="",N($B364)=0),"",IF(AND($I364="Phản ánh",$E364="Đã xử lý"),INDEX('Phản ánh'!$U$6:$U$505,MATCH($C364,'Phản ánh'!$A$6:$A$505,0)),IF(AND($I364="Công việc",OR($E364="Hoàn thành",$E364="Hoàn thành kỳ")),IF(INDEX('Kế hoạch'!$B$6:$B$305,$O364)="Đột xuất",INDEX('Kế hoạch'!$AY$6:$AY$305,$O364),IF(N($P364)=0,"",IF(INT($B364)&lt;$P364,$P364,IF($Q364&gt;0,$P364+ROUND((INT($B364)-$P364)/$Q364,0)*$Q364,IF($R364&gt;0,EDATE($P364,ROUND((DATEDIF($P364,INT($B364),"m")+(INT($B364)-EDATE($P364,DATEDIF($P364,INT($B364),"m")))/(EDATE($P364,DATEDIF($P364,INT($B364),"m")+1)-EDATE($P364,DATEDIF($P364,INT($B364),"m"))))/$R364,0)*$R364),$P364))))),"")))</f>
      </c>
      <c r="M364" s="223">
        <f>IF(OR($C364="",N($L364)=0,N($B364)=0),"",IF(IF(MOD($L364,1)=0,INT($B364),$B364)&lt;=$L364,"Đúng hạn","Trễ hạn"))</f>
      </c>
      <c r="N364" s="225">
        <f>IF($C364="","",ROW())</f>
      </c>
      <c r="O364" s="225">
        <f>IF($I364="Công việc",MATCH($C364,'Kế hoạch'!$A$6:$A$305,0),"")</f>
      </c>
      <c r="P364" s="234">
        <f>IF($O364="","",INDEX('Kế hoạch'!$I$6:$I$305,$O364))</f>
      </c>
      <c r="Q364" s="225">
        <f>IF($O364="","",INDEX('Kế hoạch'!$AJ$6:$AJ$305,$O364))</f>
      </c>
      <c r="R364" s="225">
        <f>IF($O364="","",INDEX('Kế hoạch'!$AK$6:$AK$305,$O364))</f>
      </c>
    </row>
    <row r="365">
      <c r="A365" s="223">
        <f>IF($C365="","",COUNTIF($C$6:$C365,"?*"))</f>
      </c>
      <c r="B365" s="217"/>
      <c r="C365" s="216"/>
      <c r="D365" s="240"/>
      <c r="E365" s="218"/>
      <c r="F365" s="218"/>
      <c r="G365" s="218"/>
      <c r="H365" s="219"/>
      <c r="I365" s="223">
        <f>IF($C365="","",IF(ISNUMBER(MATCH($C365,'Phản ánh'!$A$6:$A$505,0)),"Phản ánh",IF(ISNUMBER(MATCH($C365,'Kế hoạch'!$A$6:$A$305,0)),"Công việc","Mã chưa có")))</f>
      </c>
      <c r="J365" s="221">
        <f>IF($I365="Phản ánh",INDEX('Phản ánh'!$C$6:$C$505,MATCH($C365,'Phản ánh'!$A$6:$A$505,0)),IF($I365="Công việc",INDEX('Kế hoạch'!$C$6:$C$305,$O365),""))</f>
      </c>
      <c r="K365" s="221">
        <f>IF($I365="Phản ánh",INDEX('Phản ánh'!$K$6:$K$505,MATCH($C365,'Phản ánh'!$A$6:$A$505,0))&amp;"",IF($I365="Công việc",INDEX('Kế hoạch'!$N$6:$N$305,$O365)&amp;"",""))</f>
      </c>
      <c r="L365" s="220">
        <f>IF(OR($C365="",N($B365)=0),"",IF(AND($I365="Phản ánh",$E365="Đã xử lý"),INDEX('Phản ánh'!$U$6:$U$505,MATCH($C365,'Phản ánh'!$A$6:$A$505,0)),IF(AND($I365="Công việc",OR($E365="Hoàn thành",$E365="Hoàn thành kỳ")),IF(INDEX('Kế hoạch'!$B$6:$B$305,$O365)="Đột xuất",INDEX('Kế hoạch'!$AY$6:$AY$305,$O365),IF(N($P365)=0,"",IF(INT($B365)&lt;$P365,$P365,IF($Q365&gt;0,$P365+ROUND((INT($B365)-$P365)/$Q365,0)*$Q365,IF($R365&gt;0,EDATE($P365,ROUND((DATEDIF($P365,INT($B365),"m")+(INT($B365)-EDATE($P365,DATEDIF($P365,INT($B365),"m")))/(EDATE($P365,DATEDIF($P365,INT($B365),"m")+1)-EDATE($P365,DATEDIF($P365,INT($B365),"m"))))/$R365,0)*$R365),$P365))))),"")))</f>
      </c>
      <c r="M365" s="223">
        <f>IF(OR($C365="",N($L365)=0,N($B365)=0),"",IF(IF(MOD($L365,1)=0,INT($B365),$B365)&lt;=$L365,"Đúng hạn","Trễ hạn"))</f>
      </c>
      <c r="N365" s="225">
        <f>IF($C365="","",ROW())</f>
      </c>
      <c r="O365" s="225">
        <f>IF($I365="Công việc",MATCH($C365,'Kế hoạch'!$A$6:$A$305,0),"")</f>
      </c>
      <c r="P365" s="234">
        <f>IF($O365="","",INDEX('Kế hoạch'!$I$6:$I$305,$O365))</f>
      </c>
      <c r="Q365" s="225">
        <f>IF($O365="","",INDEX('Kế hoạch'!$AJ$6:$AJ$305,$O365))</f>
      </c>
      <c r="R365" s="225">
        <f>IF($O365="","",INDEX('Kế hoạch'!$AK$6:$AK$305,$O365))</f>
      </c>
    </row>
    <row r="366">
      <c r="A366" s="223">
        <f>IF($C366="","",COUNTIF($C$6:$C366,"?*"))</f>
      </c>
      <c r="B366" s="217"/>
      <c r="C366" s="216"/>
      <c r="D366" s="240"/>
      <c r="E366" s="218"/>
      <c r="F366" s="218"/>
      <c r="G366" s="218"/>
      <c r="H366" s="219"/>
      <c r="I366" s="223">
        <f>IF($C366="","",IF(ISNUMBER(MATCH($C366,'Phản ánh'!$A$6:$A$505,0)),"Phản ánh",IF(ISNUMBER(MATCH($C366,'Kế hoạch'!$A$6:$A$305,0)),"Công việc","Mã chưa có")))</f>
      </c>
      <c r="J366" s="221">
        <f>IF($I366="Phản ánh",INDEX('Phản ánh'!$C$6:$C$505,MATCH($C366,'Phản ánh'!$A$6:$A$505,0)),IF($I366="Công việc",INDEX('Kế hoạch'!$C$6:$C$305,$O366),""))</f>
      </c>
      <c r="K366" s="221">
        <f>IF($I366="Phản ánh",INDEX('Phản ánh'!$K$6:$K$505,MATCH($C366,'Phản ánh'!$A$6:$A$505,0))&amp;"",IF($I366="Công việc",INDEX('Kế hoạch'!$N$6:$N$305,$O366)&amp;"",""))</f>
      </c>
      <c r="L366" s="220">
        <f>IF(OR($C366="",N($B366)=0),"",IF(AND($I366="Phản ánh",$E366="Đã xử lý"),INDEX('Phản ánh'!$U$6:$U$505,MATCH($C366,'Phản ánh'!$A$6:$A$505,0)),IF(AND($I366="Công việc",OR($E366="Hoàn thành",$E366="Hoàn thành kỳ")),IF(INDEX('Kế hoạch'!$B$6:$B$305,$O366)="Đột xuất",INDEX('Kế hoạch'!$AY$6:$AY$305,$O366),IF(N($P366)=0,"",IF(INT($B366)&lt;$P366,$P366,IF($Q366&gt;0,$P366+ROUND((INT($B366)-$P366)/$Q366,0)*$Q366,IF($R366&gt;0,EDATE($P366,ROUND((DATEDIF($P366,INT($B366),"m")+(INT($B366)-EDATE($P366,DATEDIF($P366,INT($B366),"m")))/(EDATE($P366,DATEDIF($P366,INT($B366),"m")+1)-EDATE($P366,DATEDIF($P366,INT($B366),"m"))))/$R366,0)*$R366),$P366))))),"")))</f>
      </c>
      <c r="M366" s="223">
        <f>IF(OR($C366="",N($L366)=0,N($B366)=0),"",IF(IF(MOD($L366,1)=0,INT($B366),$B366)&lt;=$L366,"Đúng hạn","Trễ hạn"))</f>
      </c>
      <c r="N366" s="225">
        <f>IF($C366="","",ROW())</f>
      </c>
      <c r="O366" s="225">
        <f>IF($I366="Công việc",MATCH($C366,'Kế hoạch'!$A$6:$A$305,0),"")</f>
      </c>
      <c r="P366" s="234">
        <f>IF($O366="","",INDEX('Kế hoạch'!$I$6:$I$305,$O366))</f>
      </c>
      <c r="Q366" s="225">
        <f>IF($O366="","",INDEX('Kế hoạch'!$AJ$6:$AJ$305,$O366))</f>
      </c>
      <c r="R366" s="225">
        <f>IF($O366="","",INDEX('Kế hoạch'!$AK$6:$AK$305,$O366))</f>
      </c>
    </row>
    <row r="367">
      <c r="A367" s="223">
        <f>IF($C367="","",COUNTIF($C$6:$C367,"?*"))</f>
      </c>
      <c r="B367" s="217"/>
      <c r="C367" s="216"/>
      <c r="D367" s="240"/>
      <c r="E367" s="218"/>
      <c r="F367" s="218"/>
      <c r="G367" s="218"/>
      <c r="H367" s="219"/>
      <c r="I367" s="223">
        <f>IF($C367="","",IF(ISNUMBER(MATCH($C367,'Phản ánh'!$A$6:$A$505,0)),"Phản ánh",IF(ISNUMBER(MATCH($C367,'Kế hoạch'!$A$6:$A$305,0)),"Công việc","Mã chưa có")))</f>
      </c>
      <c r="J367" s="221">
        <f>IF($I367="Phản ánh",INDEX('Phản ánh'!$C$6:$C$505,MATCH($C367,'Phản ánh'!$A$6:$A$505,0)),IF($I367="Công việc",INDEX('Kế hoạch'!$C$6:$C$305,$O367),""))</f>
      </c>
      <c r="K367" s="221">
        <f>IF($I367="Phản ánh",INDEX('Phản ánh'!$K$6:$K$505,MATCH($C367,'Phản ánh'!$A$6:$A$505,0))&amp;"",IF($I367="Công việc",INDEX('Kế hoạch'!$N$6:$N$305,$O367)&amp;"",""))</f>
      </c>
      <c r="L367" s="220">
        <f>IF(OR($C367="",N($B367)=0),"",IF(AND($I367="Phản ánh",$E367="Đã xử lý"),INDEX('Phản ánh'!$U$6:$U$505,MATCH($C367,'Phản ánh'!$A$6:$A$505,0)),IF(AND($I367="Công việc",OR($E367="Hoàn thành",$E367="Hoàn thành kỳ")),IF(INDEX('Kế hoạch'!$B$6:$B$305,$O367)="Đột xuất",INDEX('Kế hoạch'!$AY$6:$AY$305,$O367),IF(N($P367)=0,"",IF(INT($B367)&lt;$P367,$P367,IF($Q367&gt;0,$P367+ROUND((INT($B367)-$P367)/$Q367,0)*$Q367,IF($R367&gt;0,EDATE($P367,ROUND((DATEDIF($P367,INT($B367),"m")+(INT($B367)-EDATE($P367,DATEDIF($P367,INT($B367),"m")))/(EDATE($P367,DATEDIF($P367,INT($B367),"m")+1)-EDATE($P367,DATEDIF($P367,INT($B367),"m"))))/$R367,0)*$R367),$P367))))),"")))</f>
      </c>
      <c r="M367" s="223">
        <f>IF(OR($C367="",N($L367)=0,N($B367)=0),"",IF(IF(MOD($L367,1)=0,INT($B367),$B367)&lt;=$L367,"Đúng hạn","Trễ hạn"))</f>
      </c>
      <c r="N367" s="225">
        <f>IF($C367="","",ROW())</f>
      </c>
      <c r="O367" s="225">
        <f>IF($I367="Công việc",MATCH($C367,'Kế hoạch'!$A$6:$A$305,0),"")</f>
      </c>
      <c r="P367" s="234">
        <f>IF($O367="","",INDEX('Kế hoạch'!$I$6:$I$305,$O367))</f>
      </c>
      <c r="Q367" s="225">
        <f>IF($O367="","",INDEX('Kế hoạch'!$AJ$6:$AJ$305,$O367))</f>
      </c>
      <c r="R367" s="225">
        <f>IF($O367="","",INDEX('Kế hoạch'!$AK$6:$AK$305,$O367))</f>
      </c>
    </row>
    <row r="368">
      <c r="A368" s="223">
        <f>IF($C368="","",COUNTIF($C$6:$C368,"?*"))</f>
      </c>
      <c r="B368" s="217"/>
      <c r="C368" s="216"/>
      <c r="D368" s="240"/>
      <c r="E368" s="218"/>
      <c r="F368" s="218"/>
      <c r="G368" s="218"/>
      <c r="H368" s="219"/>
      <c r="I368" s="223">
        <f>IF($C368="","",IF(ISNUMBER(MATCH($C368,'Phản ánh'!$A$6:$A$505,0)),"Phản ánh",IF(ISNUMBER(MATCH($C368,'Kế hoạch'!$A$6:$A$305,0)),"Công việc","Mã chưa có")))</f>
      </c>
      <c r="J368" s="221">
        <f>IF($I368="Phản ánh",INDEX('Phản ánh'!$C$6:$C$505,MATCH($C368,'Phản ánh'!$A$6:$A$505,0)),IF($I368="Công việc",INDEX('Kế hoạch'!$C$6:$C$305,$O368),""))</f>
      </c>
      <c r="K368" s="221">
        <f>IF($I368="Phản ánh",INDEX('Phản ánh'!$K$6:$K$505,MATCH($C368,'Phản ánh'!$A$6:$A$505,0))&amp;"",IF($I368="Công việc",INDEX('Kế hoạch'!$N$6:$N$305,$O368)&amp;"",""))</f>
      </c>
      <c r="L368" s="220">
        <f>IF(OR($C368="",N($B368)=0),"",IF(AND($I368="Phản ánh",$E368="Đã xử lý"),INDEX('Phản ánh'!$U$6:$U$505,MATCH($C368,'Phản ánh'!$A$6:$A$505,0)),IF(AND($I368="Công việc",OR($E368="Hoàn thành",$E368="Hoàn thành kỳ")),IF(INDEX('Kế hoạch'!$B$6:$B$305,$O368)="Đột xuất",INDEX('Kế hoạch'!$AY$6:$AY$305,$O368),IF(N($P368)=0,"",IF(INT($B368)&lt;$P368,$P368,IF($Q368&gt;0,$P368+ROUND((INT($B368)-$P368)/$Q368,0)*$Q368,IF($R368&gt;0,EDATE($P368,ROUND((DATEDIF($P368,INT($B368),"m")+(INT($B368)-EDATE($P368,DATEDIF($P368,INT($B368),"m")))/(EDATE($P368,DATEDIF($P368,INT($B368),"m")+1)-EDATE($P368,DATEDIF($P368,INT($B368),"m"))))/$R368,0)*$R368),$P368))))),"")))</f>
      </c>
      <c r="M368" s="223">
        <f>IF(OR($C368="",N($L368)=0,N($B368)=0),"",IF(IF(MOD($L368,1)=0,INT($B368),$B368)&lt;=$L368,"Đúng hạn","Trễ hạn"))</f>
      </c>
      <c r="N368" s="225">
        <f>IF($C368="","",ROW())</f>
      </c>
      <c r="O368" s="225">
        <f>IF($I368="Công việc",MATCH($C368,'Kế hoạch'!$A$6:$A$305,0),"")</f>
      </c>
      <c r="P368" s="234">
        <f>IF($O368="","",INDEX('Kế hoạch'!$I$6:$I$305,$O368))</f>
      </c>
      <c r="Q368" s="225">
        <f>IF($O368="","",INDEX('Kế hoạch'!$AJ$6:$AJ$305,$O368))</f>
      </c>
      <c r="R368" s="225">
        <f>IF($O368="","",INDEX('Kế hoạch'!$AK$6:$AK$305,$O368))</f>
      </c>
    </row>
    <row r="369">
      <c r="A369" s="223">
        <f>IF($C369="","",COUNTIF($C$6:$C369,"?*"))</f>
      </c>
      <c r="B369" s="217"/>
      <c r="C369" s="216"/>
      <c r="D369" s="240"/>
      <c r="E369" s="218"/>
      <c r="F369" s="218"/>
      <c r="G369" s="218"/>
      <c r="H369" s="219"/>
      <c r="I369" s="223">
        <f>IF($C369="","",IF(ISNUMBER(MATCH($C369,'Phản ánh'!$A$6:$A$505,0)),"Phản ánh",IF(ISNUMBER(MATCH($C369,'Kế hoạch'!$A$6:$A$305,0)),"Công việc","Mã chưa có")))</f>
      </c>
      <c r="J369" s="221">
        <f>IF($I369="Phản ánh",INDEX('Phản ánh'!$C$6:$C$505,MATCH($C369,'Phản ánh'!$A$6:$A$505,0)),IF($I369="Công việc",INDEX('Kế hoạch'!$C$6:$C$305,$O369),""))</f>
      </c>
      <c r="K369" s="221">
        <f>IF($I369="Phản ánh",INDEX('Phản ánh'!$K$6:$K$505,MATCH($C369,'Phản ánh'!$A$6:$A$505,0))&amp;"",IF($I369="Công việc",INDEX('Kế hoạch'!$N$6:$N$305,$O369)&amp;"",""))</f>
      </c>
      <c r="L369" s="220">
        <f>IF(OR($C369="",N($B369)=0),"",IF(AND($I369="Phản ánh",$E369="Đã xử lý"),INDEX('Phản ánh'!$U$6:$U$505,MATCH($C369,'Phản ánh'!$A$6:$A$505,0)),IF(AND($I369="Công việc",OR($E369="Hoàn thành",$E369="Hoàn thành kỳ")),IF(INDEX('Kế hoạch'!$B$6:$B$305,$O369)="Đột xuất",INDEX('Kế hoạch'!$AY$6:$AY$305,$O369),IF(N($P369)=0,"",IF(INT($B369)&lt;$P369,$P369,IF($Q369&gt;0,$P369+ROUND((INT($B369)-$P369)/$Q369,0)*$Q369,IF($R369&gt;0,EDATE($P369,ROUND((DATEDIF($P369,INT($B369),"m")+(INT($B369)-EDATE($P369,DATEDIF($P369,INT($B369),"m")))/(EDATE($P369,DATEDIF($P369,INT($B369),"m")+1)-EDATE($P369,DATEDIF($P369,INT($B369),"m"))))/$R369,0)*$R369),$P369))))),"")))</f>
      </c>
      <c r="M369" s="223">
        <f>IF(OR($C369="",N($L369)=0,N($B369)=0),"",IF(IF(MOD($L369,1)=0,INT($B369),$B369)&lt;=$L369,"Đúng hạn","Trễ hạn"))</f>
      </c>
      <c r="N369" s="225">
        <f>IF($C369="","",ROW())</f>
      </c>
      <c r="O369" s="225">
        <f>IF($I369="Công việc",MATCH($C369,'Kế hoạch'!$A$6:$A$305,0),"")</f>
      </c>
      <c r="P369" s="234">
        <f>IF($O369="","",INDEX('Kế hoạch'!$I$6:$I$305,$O369))</f>
      </c>
      <c r="Q369" s="225">
        <f>IF($O369="","",INDEX('Kế hoạch'!$AJ$6:$AJ$305,$O369))</f>
      </c>
      <c r="R369" s="225">
        <f>IF($O369="","",INDEX('Kế hoạch'!$AK$6:$AK$305,$O369))</f>
      </c>
    </row>
    <row r="370">
      <c r="A370" s="223">
        <f>IF($C370="","",COUNTIF($C$6:$C370,"?*"))</f>
      </c>
      <c r="B370" s="217"/>
      <c r="C370" s="216"/>
      <c r="D370" s="240"/>
      <c r="E370" s="218"/>
      <c r="F370" s="218"/>
      <c r="G370" s="218"/>
      <c r="H370" s="219"/>
      <c r="I370" s="223">
        <f>IF($C370="","",IF(ISNUMBER(MATCH($C370,'Phản ánh'!$A$6:$A$505,0)),"Phản ánh",IF(ISNUMBER(MATCH($C370,'Kế hoạch'!$A$6:$A$305,0)),"Công việc","Mã chưa có")))</f>
      </c>
      <c r="J370" s="221">
        <f>IF($I370="Phản ánh",INDEX('Phản ánh'!$C$6:$C$505,MATCH($C370,'Phản ánh'!$A$6:$A$505,0)),IF($I370="Công việc",INDEX('Kế hoạch'!$C$6:$C$305,$O370),""))</f>
      </c>
      <c r="K370" s="221">
        <f>IF($I370="Phản ánh",INDEX('Phản ánh'!$K$6:$K$505,MATCH($C370,'Phản ánh'!$A$6:$A$505,0))&amp;"",IF($I370="Công việc",INDEX('Kế hoạch'!$N$6:$N$305,$O370)&amp;"",""))</f>
      </c>
      <c r="L370" s="220">
        <f>IF(OR($C370="",N($B370)=0),"",IF(AND($I370="Phản ánh",$E370="Đã xử lý"),INDEX('Phản ánh'!$U$6:$U$505,MATCH($C370,'Phản ánh'!$A$6:$A$505,0)),IF(AND($I370="Công việc",OR($E370="Hoàn thành",$E370="Hoàn thành kỳ")),IF(INDEX('Kế hoạch'!$B$6:$B$305,$O370)="Đột xuất",INDEX('Kế hoạch'!$AY$6:$AY$305,$O370),IF(N($P370)=0,"",IF(INT($B370)&lt;$P370,$P370,IF($Q370&gt;0,$P370+ROUND((INT($B370)-$P370)/$Q370,0)*$Q370,IF($R370&gt;0,EDATE($P370,ROUND((DATEDIF($P370,INT($B370),"m")+(INT($B370)-EDATE($P370,DATEDIF($P370,INT($B370),"m")))/(EDATE($P370,DATEDIF($P370,INT($B370),"m")+1)-EDATE($P370,DATEDIF($P370,INT($B370),"m"))))/$R370,0)*$R370),$P370))))),"")))</f>
      </c>
      <c r="M370" s="223">
        <f>IF(OR($C370="",N($L370)=0,N($B370)=0),"",IF(IF(MOD($L370,1)=0,INT($B370),$B370)&lt;=$L370,"Đúng hạn","Trễ hạn"))</f>
      </c>
      <c r="N370" s="225">
        <f>IF($C370="","",ROW())</f>
      </c>
      <c r="O370" s="225">
        <f>IF($I370="Công việc",MATCH($C370,'Kế hoạch'!$A$6:$A$305,0),"")</f>
      </c>
      <c r="P370" s="234">
        <f>IF($O370="","",INDEX('Kế hoạch'!$I$6:$I$305,$O370))</f>
      </c>
      <c r="Q370" s="225">
        <f>IF($O370="","",INDEX('Kế hoạch'!$AJ$6:$AJ$305,$O370))</f>
      </c>
      <c r="R370" s="225">
        <f>IF($O370="","",INDEX('Kế hoạch'!$AK$6:$AK$305,$O370))</f>
      </c>
    </row>
    <row r="371">
      <c r="A371" s="223">
        <f>IF($C371="","",COUNTIF($C$6:$C371,"?*"))</f>
      </c>
      <c r="B371" s="217"/>
      <c r="C371" s="216"/>
      <c r="D371" s="240"/>
      <c r="E371" s="218"/>
      <c r="F371" s="218"/>
      <c r="G371" s="218"/>
      <c r="H371" s="219"/>
      <c r="I371" s="223">
        <f>IF($C371="","",IF(ISNUMBER(MATCH($C371,'Phản ánh'!$A$6:$A$505,0)),"Phản ánh",IF(ISNUMBER(MATCH($C371,'Kế hoạch'!$A$6:$A$305,0)),"Công việc","Mã chưa có")))</f>
      </c>
      <c r="J371" s="221">
        <f>IF($I371="Phản ánh",INDEX('Phản ánh'!$C$6:$C$505,MATCH($C371,'Phản ánh'!$A$6:$A$505,0)),IF($I371="Công việc",INDEX('Kế hoạch'!$C$6:$C$305,$O371),""))</f>
      </c>
      <c r="K371" s="221">
        <f>IF($I371="Phản ánh",INDEX('Phản ánh'!$K$6:$K$505,MATCH($C371,'Phản ánh'!$A$6:$A$505,0))&amp;"",IF($I371="Công việc",INDEX('Kế hoạch'!$N$6:$N$305,$O371)&amp;"",""))</f>
      </c>
      <c r="L371" s="220">
        <f>IF(OR($C371="",N($B371)=0),"",IF(AND($I371="Phản ánh",$E371="Đã xử lý"),INDEX('Phản ánh'!$U$6:$U$505,MATCH($C371,'Phản ánh'!$A$6:$A$505,0)),IF(AND($I371="Công việc",OR($E371="Hoàn thành",$E371="Hoàn thành kỳ")),IF(INDEX('Kế hoạch'!$B$6:$B$305,$O371)="Đột xuất",INDEX('Kế hoạch'!$AY$6:$AY$305,$O371),IF(N($P371)=0,"",IF(INT($B371)&lt;$P371,$P371,IF($Q371&gt;0,$P371+ROUND((INT($B371)-$P371)/$Q371,0)*$Q371,IF($R371&gt;0,EDATE($P371,ROUND((DATEDIF($P371,INT($B371),"m")+(INT($B371)-EDATE($P371,DATEDIF($P371,INT($B371),"m")))/(EDATE($P371,DATEDIF($P371,INT($B371),"m")+1)-EDATE($P371,DATEDIF($P371,INT($B371),"m"))))/$R371,0)*$R371),$P371))))),"")))</f>
      </c>
      <c r="M371" s="223">
        <f>IF(OR($C371="",N($L371)=0,N($B371)=0),"",IF(IF(MOD($L371,1)=0,INT($B371),$B371)&lt;=$L371,"Đúng hạn","Trễ hạn"))</f>
      </c>
      <c r="N371" s="225">
        <f>IF($C371="","",ROW())</f>
      </c>
      <c r="O371" s="225">
        <f>IF($I371="Công việc",MATCH($C371,'Kế hoạch'!$A$6:$A$305,0),"")</f>
      </c>
      <c r="P371" s="234">
        <f>IF($O371="","",INDEX('Kế hoạch'!$I$6:$I$305,$O371))</f>
      </c>
      <c r="Q371" s="225">
        <f>IF($O371="","",INDEX('Kế hoạch'!$AJ$6:$AJ$305,$O371))</f>
      </c>
      <c r="R371" s="225">
        <f>IF($O371="","",INDEX('Kế hoạch'!$AK$6:$AK$305,$O371))</f>
      </c>
    </row>
    <row r="372">
      <c r="A372" s="223">
        <f>IF($C372="","",COUNTIF($C$6:$C372,"?*"))</f>
      </c>
      <c r="B372" s="217"/>
      <c r="C372" s="216"/>
      <c r="D372" s="240"/>
      <c r="E372" s="218"/>
      <c r="F372" s="218"/>
      <c r="G372" s="218"/>
      <c r="H372" s="219"/>
      <c r="I372" s="223">
        <f>IF($C372="","",IF(ISNUMBER(MATCH($C372,'Phản ánh'!$A$6:$A$505,0)),"Phản ánh",IF(ISNUMBER(MATCH($C372,'Kế hoạch'!$A$6:$A$305,0)),"Công việc","Mã chưa có")))</f>
      </c>
      <c r="J372" s="221">
        <f>IF($I372="Phản ánh",INDEX('Phản ánh'!$C$6:$C$505,MATCH($C372,'Phản ánh'!$A$6:$A$505,0)),IF($I372="Công việc",INDEX('Kế hoạch'!$C$6:$C$305,$O372),""))</f>
      </c>
      <c r="K372" s="221">
        <f>IF($I372="Phản ánh",INDEX('Phản ánh'!$K$6:$K$505,MATCH($C372,'Phản ánh'!$A$6:$A$505,0))&amp;"",IF($I372="Công việc",INDEX('Kế hoạch'!$N$6:$N$305,$O372)&amp;"",""))</f>
      </c>
      <c r="L372" s="220">
        <f>IF(OR($C372="",N($B372)=0),"",IF(AND($I372="Phản ánh",$E372="Đã xử lý"),INDEX('Phản ánh'!$U$6:$U$505,MATCH($C372,'Phản ánh'!$A$6:$A$505,0)),IF(AND($I372="Công việc",OR($E372="Hoàn thành",$E372="Hoàn thành kỳ")),IF(INDEX('Kế hoạch'!$B$6:$B$305,$O372)="Đột xuất",INDEX('Kế hoạch'!$AY$6:$AY$305,$O372),IF(N($P372)=0,"",IF(INT($B372)&lt;$P372,$P372,IF($Q372&gt;0,$P372+ROUND((INT($B372)-$P372)/$Q372,0)*$Q372,IF($R372&gt;0,EDATE($P372,ROUND((DATEDIF($P372,INT($B372),"m")+(INT($B372)-EDATE($P372,DATEDIF($P372,INT($B372),"m")))/(EDATE($P372,DATEDIF($P372,INT($B372),"m")+1)-EDATE($P372,DATEDIF($P372,INT($B372),"m"))))/$R372,0)*$R372),$P372))))),"")))</f>
      </c>
      <c r="M372" s="223">
        <f>IF(OR($C372="",N($L372)=0,N($B372)=0),"",IF(IF(MOD($L372,1)=0,INT($B372),$B372)&lt;=$L372,"Đúng hạn","Trễ hạn"))</f>
      </c>
      <c r="N372" s="225">
        <f>IF($C372="","",ROW())</f>
      </c>
      <c r="O372" s="225">
        <f>IF($I372="Công việc",MATCH($C372,'Kế hoạch'!$A$6:$A$305,0),"")</f>
      </c>
      <c r="P372" s="234">
        <f>IF($O372="","",INDEX('Kế hoạch'!$I$6:$I$305,$O372))</f>
      </c>
      <c r="Q372" s="225">
        <f>IF($O372="","",INDEX('Kế hoạch'!$AJ$6:$AJ$305,$O372))</f>
      </c>
      <c r="R372" s="225">
        <f>IF($O372="","",INDEX('Kế hoạch'!$AK$6:$AK$305,$O372))</f>
      </c>
    </row>
    <row r="373">
      <c r="A373" s="223">
        <f>IF($C373="","",COUNTIF($C$6:$C373,"?*"))</f>
      </c>
      <c r="B373" s="217"/>
      <c r="C373" s="216"/>
      <c r="D373" s="240"/>
      <c r="E373" s="218"/>
      <c r="F373" s="218"/>
      <c r="G373" s="218"/>
      <c r="H373" s="219"/>
      <c r="I373" s="223">
        <f>IF($C373="","",IF(ISNUMBER(MATCH($C373,'Phản ánh'!$A$6:$A$505,0)),"Phản ánh",IF(ISNUMBER(MATCH($C373,'Kế hoạch'!$A$6:$A$305,0)),"Công việc","Mã chưa có")))</f>
      </c>
      <c r="J373" s="221">
        <f>IF($I373="Phản ánh",INDEX('Phản ánh'!$C$6:$C$505,MATCH($C373,'Phản ánh'!$A$6:$A$505,0)),IF($I373="Công việc",INDEX('Kế hoạch'!$C$6:$C$305,$O373),""))</f>
      </c>
      <c r="K373" s="221">
        <f>IF($I373="Phản ánh",INDEX('Phản ánh'!$K$6:$K$505,MATCH($C373,'Phản ánh'!$A$6:$A$505,0))&amp;"",IF($I373="Công việc",INDEX('Kế hoạch'!$N$6:$N$305,$O373)&amp;"",""))</f>
      </c>
      <c r="L373" s="220">
        <f>IF(OR($C373="",N($B373)=0),"",IF(AND($I373="Phản ánh",$E373="Đã xử lý"),INDEX('Phản ánh'!$U$6:$U$505,MATCH($C373,'Phản ánh'!$A$6:$A$505,0)),IF(AND($I373="Công việc",OR($E373="Hoàn thành",$E373="Hoàn thành kỳ")),IF(INDEX('Kế hoạch'!$B$6:$B$305,$O373)="Đột xuất",INDEX('Kế hoạch'!$AY$6:$AY$305,$O373),IF(N($P373)=0,"",IF(INT($B373)&lt;$P373,$P373,IF($Q373&gt;0,$P373+ROUND((INT($B373)-$P373)/$Q373,0)*$Q373,IF($R373&gt;0,EDATE($P373,ROUND((DATEDIF($P373,INT($B373),"m")+(INT($B373)-EDATE($P373,DATEDIF($P373,INT($B373),"m")))/(EDATE($P373,DATEDIF($P373,INT($B373),"m")+1)-EDATE($P373,DATEDIF($P373,INT($B373),"m"))))/$R373,0)*$R373),$P373))))),"")))</f>
      </c>
      <c r="M373" s="223">
        <f>IF(OR($C373="",N($L373)=0,N($B373)=0),"",IF(IF(MOD($L373,1)=0,INT($B373),$B373)&lt;=$L373,"Đúng hạn","Trễ hạn"))</f>
      </c>
      <c r="N373" s="225">
        <f>IF($C373="","",ROW())</f>
      </c>
      <c r="O373" s="225">
        <f>IF($I373="Công việc",MATCH($C373,'Kế hoạch'!$A$6:$A$305,0),"")</f>
      </c>
      <c r="P373" s="234">
        <f>IF($O373="","",INDEX('Kế hoạch'!$I$6:$I$305,$O373))</f>
      </c>
      <c r="Q373" s="225">
        <f>IF($O373="","",INDEX('Kế hoạch'!$AJ$6:$AJ$305,$O373))</f>
      </c>
      <c r="R373" s="225">
        <f>IF($O373="","",INDEX('Kế hoạch'!$AK$6:$AK$305,$O373))</f>
      </c>
    </row>
    <row r="374">
      <c r="A374" s="223">
        <f>IF($C374="","",COUNTIF($C$6:$C374,"?*"))</f>
      </c>
      <c r="B374" s="217"/>
      <c r="C374" s="216"/>
      <c r="D374" s="240"/>
      <c r="E374" s="218"/>
      <c r="F374" s="218"/>
      <c r="G374" s="218"/>
      <c r="H374" s="219"/>
      <c r="I374" s="223">
        <f>IF($C374="","",IF(ISNUMBER(MATCH($C374,'Phản ánh'!$A$6:$A$505,0)),"Phản ánh",IF(ISNUMBER(MATCH($C374,'Kế hoạch'!$A$6:$A$305,0)),"Công việc","Mã chưa có")))</f>
      </c>
      <c r="J374" s="221">
        <f>IF($I374="Phản ánh",INDEX('Phản ánh'!$C$6:$C$505,MATCH($C374,'Phản ánh'!$A$6:$A$505,0)),IF($I374="Công việc",INDEX('Kế hoạch'!$C$6:$C$305,$O374),""))</f>
      </c>
      <c r="K374" s="221">
        <f>IF($I374="Phản ánh",INDEX('Phản ánh'!$K$6:$K$505,MATCH($C374,'Phản ánh'!$A$6:$A$505,0))&amp;"",IF($I374="Công việc",INDEX('Kế hoạch'!$N$6:$N$305,$O374)&amp;"",""))</f>
      </c>
      <c r="L374" s="220">
        <f>IF(OR($C374="",N($B374)=0),"",IF(AND($I374="Phản ánh",$E374="Đã xử lý"),INDEX('Phản ánh'!$U$6:$U$505,MATCH($C374,'Phản ánh'!$A$6:$A$505,0)),IF(AND($I374="Công việc",OR($E374="Hoàn thành",$E374="Hoàn thành kỳ")),IF(INDEX('Kế hoạch'!$B$6:$B$305,$O374)="Đột xuất",INDEX('Kế hoạch'!$AY$6:$AY$305,$O374),IF(N($P374)=0,"",IF(INT($B374)&lt;$P374,$P374,IF($Q374&gt;0,$P374+ROUND((INT($B374)-$P374)/$Q374,0)*$Q374,IF($R374&gt;0,EDATE($P374,ROUND((DATEDIF($P374,INT($B374),"m")+(INT($B374)-EDATE($P374,DATEDIF($P374,INT($B374),"m")))/(EDATE($P374,DATEDIF($P374,INT($B374),"m")+1)-EDATE($P374,DATEDIF($P374,INT($B374),"m"))))/$R374,0)*$R374),$P374))))),"")))</f>
      </c>
      <c r="M374" s="223">
        <f>IF(OR($C374="",N($L374)=0,N($B374)=0),"",IF(IF(MOD($L374,1)=0,INT($B374),$B374)&lt;=$L374,"Đúng hạn","Trễ hạn"))</f>
      </c>
      <c r="N374" s="225">
        <f>IF($C374="","",ROW())</f>
      </c>
      <c r="O374" s="225">
        <f>IF($I374="Công việc",MATCH($C374,'Kế hoạch'!$A$6:$A$305,0),"")</f>
      </c>
      <c r="P374" s="234">
        <f>IF($O374="","",INDEX('Kế hoạch'!$I$6:$I$305,$O374))</f>
      </c>
      <c r="Q374" s="225">
        <f>IF($O374="","",INDEX('Kế hoạch'!$AJ$6:$AJ$305,$O374))</f>
      </c>
      <c r="R374" s="225">
        <f>IF($O374="","",INDEX('Kế hoạch'!$AK$6:$AK$305,$O374))</f>
      </c>
    </row>
    <row r="375">
      <c r="A375" s="223">
        <f>IF($C375="","",COUNTIF($C$6:$C375,"?*"))</f>
      </c>
      <c r="B375" s="217"/>
      <c r="C375" s="216"/>
      <c r="D375" s="240"/>
      <c r="E375" s="218"/>
      <c r="F375" s="218"/>
      <c r="G375" s="218"/>
      <c r="H375" s="219"/>
      <c r="I375" s="223">
        <f>IF($C375="","",IF(ISNUMBER(MATCH($C375,'Phản ánh'!$A$6:$A$505,0)),"Phản ánh",IF(ISNUMBER(MATCH($C375,'Kế hoạch'!$A$6:$A$305,0)),"Công việc","Mã chưa có")))</f>
      </c>
      <c r="J375" s="221">
        <f>IF($I375="Phản ánh",INDEX('Phản ánh'!$C$6:$C$505,MATCH($C375,'Phản ánh'!$A$6:$A$505,0)),IF($I375="Công việc",INDEX('Kế hoạch'!$C$6:$C$305,$O375),""))</f>
      </c>
      <c r="K375" s="221">
        <f>IF($I375="Phản ánh",INDEX('Phản ánh'!$K$6:$K$505,MATCH($C375,'Phản ánh'!$A$6:$A$505,0))&amp;"",IF($I375="Công việc",INDEX('Kế hoạch'!$N$6:$N$305,$O375)&amp;"",""))</f>
      </c>
      <c r="L375" s="220">
        <f>IF(OR($C375="",N($B375)=0),"",IF(AND($I375="Phản ánh",$E375="Đã xử lý"),INDEX('Phản ánh'!$U$6:$U$505,MATCH($C375,'Phản ánh'!$A$6:$A$505,0)),IF(AND($I375="Công việc",OR($E375="Hoàn thành",$E375="Hoàn thành kỳ")),IF(INDEX('Kế hoạch'!$B$6:$B$305,$O375)="Đột xuất",INDEX('Kế hoạch'!$AY$6:$AY$305,$O375),IF(N($P375)=0,"",IF(INT($B375)&lt;$P375,$P375,IF($Q375&gt;0,$P375+ROUND((INT($B375)-$P375)/$Q375,0)*$Q375,IF($R375&gt;0,EDATE($P375,ROUND((DATEDIF($P375,INT($B375),"m")+(INT($B375)-EDATE($P375,DATEDIF($P375,INT($B375),"m")))/(EDATE($P375,DATEDIF($P375,INT($B375),"m")+1)-EDATE($P375,DATEDIF($P375,INT($B375),"m"))))/$R375,0)*$R375),$P375))))),"")))</f>
      </c>
      <c r="M375" s="223">
        <f>IF(OR($C375="",N($L375)=0,N($B375)=0),"",IF(IF(MOD($L375,1)=0,INT($B375),$B375)&lt;=$L375,"Đúng hạn","Trễ hạn"))</f>
      </c>
      <c r="N375" s="225">
        <f>IF($C375="","",ROW())</f>
      </c>
      <c r="O375" s="225">
        <f>IF($I375="Công việc",MATCH($C375,'Kế hoạch'!$A$6:$A$305,0),"")</f>
      </c>
      <c r="P375" s="234">
        <f>IF($O375="","",INDEX('Kế hoạch'!$I$6:$I$305,$O375))</f>
      </c>
      <c r="Q375" s="225">
        <f>IF($O375="","",INDEX('Kế hoạch'!$AJ$6:$AJ$305,$O375))</f>
      </c>
      <c r="R375" s="225">
        <f>IF($O375="","",INDEX('Kế hoạch'!$AK$6:$AK$305,$O375))</f>
      </c>
    </row>
    <row r="376">
      <c r="A376" s="223">
        <f>IF($C376="","",COUNTIF($C$6:$C376,"?*"))</f>
      </c>
      <c r="B376" s="217"/>
      <c r="C376" s="216"/>
      <c r="D376" s="240"/>
      <c r="E376" s="218"/>
      <c r="F376" s="218"/>
      <c r="G376" s="218"/>
      <c r="H376" s="219"/>
      <c r="I376" s="223">
        <f>IF($C376="","",IF(ISNUMBER(MATCH($C376,'Phản ánh'!$A$6:$A$505,0)),"Phản ánh",IF(ISNUMBER(MATCH($C376,'Kế hoạch'!$A$6:$A$305,0)),"Công việc","Mã chưa có")))</f>
      </c>
      <c r="J376" s="221">
        <f>IF($I376="Phản ánh",INDEX('Phản ánh'!$C$6:$C$505,MATCH($C376,'Phản ánh'!$A$6:$A$505,0)),IF($I376="Công việc",INDEX('Kế hoạch'!$C$6:$C$305,$O376),""))</f>
      </c>
      <c r="K376" s="221">
        <f>IF($I376="Phản ánh",INDEX('Phản ánh'!$K$6:$K$505,MATCH($C376,'Phản ánh'!$A$6:$A$505,0))&amp;"",IF($I376="Công việc",INDEX('Kế hoạch'!$N$6:$N$305,$O376)&amp;"",""))</f>
      </c>
      <c r="L376" s="220">
        <f>IF(OR($C376="",N($B376)=0),"",IF(AND($I376="Phản ánh",$E376="Đã xử lý"),INDEX('Phản ánh'!$U$6:$U$505,MATCH($C376,'Phản ánh'!$A$6:$A$505,0)),IF(AND($I376="Công việc",OR($E376="Hoàn thành",$E376="Hoàn thành kỳ")),IF(INDEX('Kế hoạch'!$B$6:$B$305,$O376)="Đột xuất",INDEX('Kế hoạch'!$AY$6:$AY$305,$O376),IF(N($P376)=0,"",IF(INT($B376)&lt;$P376,$P376,IF($Q376&gt;0,$P376+ROUND((INT($B376)-$P376)/$Q376,0)*$Q376,IF($R376&gt;0,EDATE($P376,ROUND((DATEDIF($P376,INT($B376),"m")+(INT($B376)-EDATE($P376,DATEDIF($P376,INT($B376),"m")))/(EDATE($P376,DATEDIF($P376,INT($B376),"m")+1)-EDATE($P376,DATEDIF($P376,INT($B376),"m"))))/$R376,0)*$R376),$P376))))),"")))</f>
      </c>
      <c r="M376" s="223">
        <f>IF(OR($C376="",N($L376)=0,N($B376)=0),"",IF(IF(MOD($L376,1)=0,INT($B376),$B376)&lt;=$L376,"Đúng hạn","Trễ hạn"))</f>
      </c>
      <c r="N376" s="225">
        <f>IF($C376="","",ROW())</f>
      </c>
      <c r="O376" s="225">
        <f>IF($I376="Công việc",MATCH($C376,'Kế hoạch'!$A$6:$A$305,0),"")</f>
      </c>
      <c r="P376" s="234">
        <f>IF($O376="","",INDEX('Kế hoạch'!$I$6:$I$305,$O376))</f>
      </c>
      <c r="Q376" s="225">
        <f>IF($O376="","",INDEX('Kế hoạch'!$AJ$6:$AJ$305,$O376))</f>
      </c>
      <c r="R376" s="225">
        <f>IF($O376="","",INDEX('Kế hoạch'!$AK$6:$AK$305,$O376))</f>
      </c>
    </row>
    <row r="377">
      <c r="A377" s="223">
        <f>IF($C377="","",COUNTIF($C$6:$C377,"?*"))</f>
      </c>
      <c r="B377" s="217"/>
      <c r="C377" s="216"/>
      <c r="D377" s="240"/>
      <c r="E377" s="218"/>
      <c r="F377" s="218"/>
      <c r="G377" s="218"/>
      <c r="H377" s="219"/>
      <c r="I377" s="223">
        <f>IF($C377="","",IF(ISNUMBER(MATCH($C377,'Phản ánh'!$A$6:$A$505,0)),"Phản ánh",IF(ISNUMBER(MATCH($C377,'Kế hoạch'!$A$6:$A$305,0)),"Công việc","Mã chưa có")))</f>
      </c>
      <c r="J377" s="221">
        <f>IF($I377="Phản ánh",INDEX('Phản ánh'!$C$6:$C$505,MATCH($C377,'Phản ánh'!$A$6:$A$505,0)),IF($I377="Công việc",INDEX('Kế hoạch'!$C$6:$C$305,$O377),""))</f>
      </c>
      <c r="K377" s="221">
        <f>IF($I377="Phản ánh",INDEX('Phản ánh'!$K$6:$K$505,MATCH($C377,'Phản ánh'!$A$6:$A$505,0))&amp;"",IF($I377="Công việc",INDEX('Kế hoạch'!$N$6:$N$305,$O377)&amp;"",""))</f>
      </c>
      <c r="L377" s="220">
        <f>IF(OR($C377="",N($B377)=0),"",IF(AND($I377="Phản ánh",$E377="Đã xử lý"),INDEX('Phản ánh'!$U$6:$U$505,MATCH($C377,'Phản ánh'!$A$6:$A$505,0)),IF(AND($I377="Công việc",OR($E377="Hoàn thành",$E377="Hoàn thành kỳ")),IF(INDEX('Kế hoạch'!$B$6:$B$305,$O377)="Đột xuất",INDEX('Kế hoạch'!$AY$6:$AY$305,$O377),IF(N($P377)=0,"",IF(INT($B377)&lt;$P377,$P377,IF($Q377&gt;0,$P377+ROUND((INT($B377)-$P377)/$Q377,0)*$Q377,IF($R377&gt;0,EDATE($P377,ROUND((DATEDIF($P377,INT($B377),"m")+(INT($B377)-EDATE($P377,DATEDIF($P377,INT($B377),"m")))/(EDATE($P377,DATEDIF($P377,INT($B377),"m")+1)-EDATE($P377,DATEDIF($P377,INT($B377),"m"))))/$R377,0)*$R377),$P377))))),"")))</f>
      </c>
      <c r="M377" s="223">
        <f>IF(OR($C377="",N($L377)=0,N($B377)=0),"",IF(IF(MOD($L377,1)=0,INT($B377),$B377)&lt;=$L377,"Đúng hạn","Trễ hạn"))</f>
      </c>
      <c r="N377" s="225">
        <f>IF($C377="","",ROW())</f>
      </c>
      <c r="O377" s="225">
        <f>IF($I377="Công việc",MATCH($C377,'Kế hoạch'!$A$6:$A$305,0),"")</f>
      </c>
      <c r="P377" s="234">
        <f>IF($O377="","",INDEX('Kế hoạch'!$I$6:$I$305,$O377))</f>
      </c>
      <c r="Q377" s="225">
        <f>IF($O377="","",INDEX('Kế hoạch'!$AJ$6:$AJ$305,$O377))</f>
      </c>
      <c r="R377" s="225">
        <f>IF($O377="","",INDEX('Kế hoạch'!$AK$6:$AK$305,$O377))</f>
      </c>
    </row>
    <row r="378">
      <c r="A378" s="223">
        <f>IF($C378="","",COUNTIF($C$6:$C378,"?*"))</f>
      </c>
      <c r="B378" s="217"/>
      <c r="C378" s="216"/>
      <c r="D378" s="240"/>
      <c r="E378" s="218"/>
      <c r="F378" s="218"/>
      <c r="G378" s="218"/>
      <c r="H378" s="219"/>
      <c r="I378" s="223">
        <f>IF($C378="","",IF(ISNUMBER(MATCH($C378,'Phản ánh'!$A$6:$A$505,0)),"Phản ánh",IF(ISNUMBER(MATCH($C378,'Kế hoạch'!$A$6:$A$305,0)),"Công việc","Mã chưa có")))</f>
      </c>
      <c r="J378" s="221">
        <f>IF($I378="Phản ánh",INDEX('Phản ánh'!$C$6:$C$505,MATCH($C378,'Phản ánh'!$A$6:$A$505,0)),IF($I378="Công việc",INDEX('Kế hoạch'!$C$6:$C$305,$O378),""))</f>
      </c>
      <c r="K378" s="221">
        <f>IF($I378="Phản ánh",INDEX('Phản ánh'!$K$6:$K$505,MATCH($C378,'Phản ánh'!$A$6:$A$505,0))&amp;"",IF($I378="Công việc",INDEX('Kế hoạch'!$N$6:$N$305,$O378)&amp;"",""))</f>
      </c>
      <c r="L378" s="220">
        <f>IF(OR($C378="",N($B378)=0),"",IF(AND($I378="Phản ánh",$E378="Đã xử lý"),INDEX('Phản ánh'!$U$6:$U$505,MATCH($C378,'Phản ánh'!$A$6:$A$505,0)),IF(AND($I378="Công việc",OR($E378="Hoàn thành",$E378="Hoàn thành kỳ")),IF(INDEX('Kế hoạch'!$B$6:$B$305,$O378)="Đột xuất",INDEX('Kế hoạch'!$AY$6:$AY$305,$O378),IF(N($P378)=0,"",IF(INT($B378)&lt;$P378,$P378,IF($Q378&gt;0,$P378+ROUND((INT($B378)-$P378)/$Q378,0)*$Q378,IF($R378&gt;0,EDATE($P378,ROUND((DATEDIF($P378,INT($B378),"m")+(INT($B378)-EDATE($P378,DATEDIF($P378,INT($B378),"m")))/(EDATE($P378,DATEDIF($P378,INT($B378),"m")+1)-EDATE($P378,DATEDIF($P378,INT($B378),"m"))))/$R378,0)*$R378),$P378))))),"")))</f>
      </c>
      <c r="M378" s="223">
        <f>IF(OR($C378="",N($L378)=0,N($B378)=0),"",IF(IF(MOD($L378,1)=0,INT($B378),$B378)&lt;=$L378,"Đúng hạn","Trễ hạn"))</f>
      </c>
      <c r="N378" s="225">
        <f>IF($C378="","",ROW())</f>
      </c>
      <c r="O378" s="225">
        <f>IF($I378="Công việc",MATCH($C378,'Kế hoạch'!$A$6:$A$305,0),"")</f>
      </c>
      <c r="P378" s="234">
        <f>IF($O378="","",INDEX('Kế hoạch'!$I$6:$I$305,$O378))</f>
      </c>
      <c r="Q378" s="225">
        <f>IF($O378="","",INDEX('Kế hoạch'!$AJ$6:$AJ$305,$O378))</f>
      </c>
      <c r="R378" s="225">
        <f>IF($O378="","",INDEX('Kế hoạch'!$AK$6:$AK$305,$O378))</f>
      </c>
    </row>
    <row r="379">
      <c r="A379" s="223">
        <f>IF($C379="","",COUNTIF($C$6:$C379,"?*"))</f>
      </c>
      <c r="B379" s="217"/>
      <c r="C379" s="216"/>
      <c r="D379" s="240"/>
      <c r="E379" s="218"/>
      <c r="F379" s="218"/>
      <c r="G379" s="218"/>
      <c r="H379" s="219"/>
      <c r="I379" s="223">
        <f>IF($C379="","",IF(ISNUMBER(MATCH($C379,'Phản ánh'!$A$6:$A$505,0)),"Phản ánh",IF(ISNUMBER(MATCH($C379,'Kế hoạch'!$A$6:$A$305,0)),"Công việc","Mã chưa có")))</f>
      </c>
      <c r="J379" s="221">
        <f>IF($I379="Phản ánh",INDEX('Phản ánh'!$C$6:$C$505,MATCH($C379,'Phản ánh'!$A$6:$A$505,0)),IF($I379="Công việc",INDEX('Kế hoạch'!$C$6:$C$305,$O379),""))</f>
      </c>
      <c r="K379" s="221">
        <f>IF($I379="Phản ánh",INDEX('Phản ánh'!$K$6:$K$505,MATCH($C379,'Phản ánh'!$A$6:$A$505,0))&amp;"",IF($I379="Công việc",INDEX('Kế hoạch'!$N$6:$N$305,$O379)&amp;"",""))</f>
      </c>
      <c r="L379" s="220">
        <f>IF(OR($C379="",N($B379)=0),"",IF(AND($I379="Phản ánh",$E379="Đã xử lý"),INDEX('Phản ánh'!$U$6:$U$505,MATCH($C379,'Phản ánh'!$A$6:$A$505,0)),IF(AND($I379="Công việc",OR($E379="Hoàn thành",$E379="Hoàn thành kỳ")),IF(INDEX('Kế hoạch'!$B$6:$B$305,$O379)="Đột xuất",INDEX('Kế hoạch'!$AY$6:$AY$305,$O379),IF(N($P379)=0,"",IF(INT($B379)&lt;$P379,$P379,IF($Q379&gt;0,$P379+ROUND((INT($B379)-$P379)/$Q379,0)*$Q379,IF($R379&gt;0,EDATE($P379,ROUND((DATEDIF($P379,INT($B379),"m")+(INT($B379)-EDATE($P379,DATEDIF($P379,INT($B379),"m")))/(EDATE($P379,DATEDIF($P379,INT($B379),"m")+1)-EDATE($P379,DATEDIF($P379,INT($B379),"m"))))/$R379,0)*$R379),$P379))))),"")))</f>
      </c>
      <c r="M379" s="223">
        <f>IF(OR($C379="",N($L379)=0,N($B379)=0),"",IF(IF(MOD($L379,1)=0,INT($B379),$B379)&lt;=$L379,"Đúng hạn","Trễ hạn"))</f>
      </c>
      <c r="N379" s="225">
        <f>IF($C379="","",ROW())</f>
      </c>
      <c r="O379" s="225">
        <f>IF($I379="Công việc",MATCH($C379,'Kế hoạch'!$A$6:$A$305,0),"")</f>
      </c>
      <c r="P379" s="234">
        <f>IF($O379="","",INDEX('Kế hoạch'!$I$6:$I$305,$O379))</f>
      </c>
      <c r="Q379" s="225">
        <f>IF($O379="","",INDEX('Kế hoạch'!$AJ$6:$AJ$305,$O379))</f>
      </c>
      <c r="R379" s="225">
        <f>IF($O379="","",INDEX('Kế hoạch'!$AK$6:$AK$305,$O379))</f>
      </c>
    </row>
    <row r="380">
      <c r="A380" s="223">
        <f>IF($C380="","",COUNTIF($C$6:$C380,"?*"))</f>
      </c>
      <c r="B380" s="217"/>
      <c r="C380" s="216"/>
      <c r="D380" s="240"/>
      <c r="E380" s="218"/>
      <c r="F380" s="218"/>
      <c r="G380" s="218"/>
      <c r="H380" s="219"/>
      <c r="I380" s="223">
        <f>IF($C380="","",IF(ISNUMBER(MATCH($C380,'Phản ánh'!$A$6:$A$505,0)),"Phản ánh",IF(ISNUMBER(MATCH($C380,'Kế hoạch'!$A$6:$A$305,0)),"Công việc","Mã chưa có")))</f>
      </c>
      <c r="J380" s="221">
        <f>IF($I380="Phản ánh",INDEX('Phản ánh'!$C$6:$C$505,MATCH($C380,'Phản ánh'!$A$6:$A$505,0)),IF($I380="Công việc",INDEX('Kế hoạch'!$C$6:$C$305,$O380),""))</f>
      </c>
      <c r="K380" s="221">
        <f>IF($I380="Phản ánh",INDEX('Phản ánh'!$K$6:$K$505,MATCH($C380,'Phản ánh'!$A$6:$A$505,0))&amp;"",IF($I380="Công việc",INDEX('Kế hoạch'!$N$6:$N$305,$O380)&amp;"",""))</f>
      </c>
      <c r="L380" s="220">
        <f>IF(OR($C380="",N($B380)=0),"",IF(AND($I380="Phản ánh",$E380="Đã xử lý"),INDEX('Phản ánh'!$U$6:$U$505,MATCH($C380,'Phản ánh'!$A$6:$A$505,0)),IF(AND($I380="Công việc",OR($E380="Hoàn thành",$E380="Hoàn thành kỳ")),IF(INDEX('Kế hoạch'!$B$6:$B$305,$O380)="Đột xuất",INDEX('Kế hoạch'!$AY$6:$AY$305,$O380),IF(N($P380)=0,"",IF(INT($B380)&lt;$P380,$P380,IF($Q380&gt;0,$P380+ROUND((INT($B380)-$P380)/$Q380,0)*$Q380,IF($R380&gt;0,EDATE($P380,ROUND((DATEDIF($P380,INT($B380),"m")+(INT($B380)-EDATE($P380,DATEDIF($P380,INT($B380),"m")))/(EDATE($P380,DATEDIF($P380,INT($B380),"m")+1)-EDATE($P380,DATEDIF($P380,INT($B380),"m"))))/$R380,0)*$R380),$P380))))),"")))</f>
      </c>
      <c r="M380" s="223">
        <f>IF(OR($C380="",N($L380)=0,N($B380)=0),"",IF(IF(MOD($L380,1)=0,INT($B380),$B380)&lt;=$L380,"Đúng hạn","Trễ hạn"))</f>
      </c>
      <c r="N380" s="225">
        <f>IF($C380="","",ROW())</f>
      </c>
      <c r="O380" s="225">
        <f>IF($I380="Công việc",MATCH($C380,'Kế hoạch'!$A$6:$A$305,0),"")</f>
      </c>
      <c r="P380" s="234">
        <f>IF($O380="","",INDEX('Kế hoạch'!$I$6:$I$305,$O380))</f>
      </c>
      <c r="Q380" s="225">
        <f>IF($O380="","",INDEX('Kế hoạch'!$AJ$6:$AJ$305,$O380))</f>
      </c>
      <c r="R380" s="225">
        <f>IF($O380="","",INDEX('Kế hoạch'!$AK$6:$AK$305,$O380))</f>
      </c>
    </row>
    <row r="381">
      <c r="A381" s="223">
        <f>IF($C381="","",COUNTIF($C$6:$C381,"?*"))</f>
      </c>
      <c r="B381" s="217"/>
      <c r="C381" s="216"/>
      <c r="D381" s="240"/>
      <c r="E381" s="218"/>
      <c r="F381" s="218"/>
      <c r="G381" s="218"/>
      <c r="H381" s="219"/>
      <c r="I381" s="223">
        <f>IF($C381="","",IF(ISNUMBER(MATCH($C381,'Phản ánh'!$A$6:$A$505,0)),"Phản ánh",IF(ISNUMBER(MATCH($C381,'Kế hoạch'!$A$6:$A$305,0)),"Công việc","Mã chưa có")))</f>
      </c>
      <c r="J381" s="221">
        <f>IF($I381="Phản ánh",INDEX('Phản ánh'!$C$6:$C$505,MATCH($C381,'Phản ánh'!$A$6:$A$505,0)),IF($I381="Công việc",INDEX('Kế hoạch'!$C$6:$C$305,$O381),""))</f>
      </c>
      <c r="K381" s="221">
        <f>IF($I381="Phản ánh",INDEX('Phản ánh'!$K$6:$K$505,MATCH($C381,'Phản ánh'!$A$6:$A$505,0))&amp;"",IF($I381="Công việc",INDEX('Kế hoạch'!$N$6:$N$305,$O381)&amp;"",""))</f>
      </c>
      <c r="L381" s="220">
        <f>IF(OR($C381="",N($B381)=0),"",IF(AND($I381="Phản ánh",$E381="Đã xử lý"),INDEX('Phản ánh'!$U$6:$U$505,MATCH($C381,'Phản ánh'!$A$6:$A$505,0)),IF(AND($I381="Công việc",OR($E381="Hoàn thành",$E381="Hoàn thành kỳ")),IF(INDEX('Kế hoạch'!$B$6:$B$305,$O381)="Đột xuất",INDEX('Kế hoạch'!$AY$6:$AY$305,$O381),IF(N($P381)=0,"",IF(INT($B381)&lt;$P381,$P381,IF($Q381&gt;0,$P381+ROUND((INT($B381)-$P381)/$Q381,0)*$Q381,IF($R381&gt;0,EDATE($P381,ROUND((DATEDIF($P381,INT($B381),"m")+(INT($B381)-EDATE($P381,DATEDIF($P381,INT($B381),"m")))/(EDATE($P381,DATEDIF($P381,INT($B381),"m")+1)-EDATE($P381,DATEDIF($P381,INT($B381),"m"))))/$R381,0)*$R381),$P381))))),"")))</f>
      </c>
      <c r="M381" s="223">
        <f>IF(OR($C381="",N($L381)=0,N($B381)=0),"",IF(IF(MOD($L381,1)=0,INT($B381),$B381)&lt;=$L381,"Đúng hạn","Trễ hạn"))</f>
      </c>
      <c r="N381" s="225">
        <f>IF($C381="","",ROW())</f>
      </c>
      <c r="O381" s="225">
        <f>IF($I381="Công việc",MATCH($C381,'Kế hoạch'!$A$6:$A$305,0),"")</f>
      </c>
      <c r="P381" s="234">
        <f>IF($O381="","",INDEX('Kế hoạch'!$I$6:$I$305,$O381))</f>
      </c>
      <c r="Q381" s="225">
        <f>IF($O381="","",INDEX('Kế hoạch'!$AJ$6:$AJ$305,$O381))</f>
      </c>
      <c r="R381" s="225">
        <f>IF($O381="","",INDEX('Kế hoạch'!$AK$6:$AK$305,$O381))</f>
      </c>
    </row>
    <row r="382">
      <c r="A382" s="223">
        <f>IF($C382="","",COUNTIF($C$6:$C382,"?*"))</f>
      </c>
      <c r="B382" s="217"/>
      <c r="C382" s="216"/>
      <c r="D382" s="240"/>
      <c r="E382" s="218"/>
      <c r="F382" s="218"/>
      <c r="G382" s="218"/>
      <c r="H382" s="219"/>
      <c r="I382" s="223">
        <f>IF($C382="","",IF(ISNUMBER(MATCH($C382,'Phản ánh'!$A$6:$A$505,0)),"Phản ánh",IF(ISNUMBER(MATCH($C382,'Kế hoạch'!$A$6:$A$305,0)),"Công việc","Mã chưa có")))</f>
      </c>
      <c r="J382" s="221">
        <f>IF($I382="Phản ánh",INDEX('Phản ánh'!$C$6:$C$505,MATCH($C382,'Phản ánh'!$A$6:$A$505,0)),IF($I382="Công việc",INDEX('Kế hoạch'!$C$6:$C$305,$O382),""))</f>
      </c>
      <c r="K382" s="221">
        <f>IF($I382="Phản ánh",INDEX('Phản ánh'!$K$6:$K$505,MATCH($C382,'Phản ánh'!$A$6:$A$505,0))&amp;"",IF($I382="Công việc",INDEX('Kế hoạch'!$N$6:$N$305,$O382)&amp;"",""))</f>
      </c>
      <c r="L382" s="220">
        <f>IF(OR($C382="",N($B382)=0),"",IF(AND($I382="Phản ánh",$E382="Đã xử lý"),INDEX('Phản ánh'!$U$6:$U$505,MATCH($C382,'Phản ánh'!$A$6:$A$505,0)),IF(AND($I382="Công việc",OR($E382="Hoàn thành",$E382="Hoàn thành kỳ")),IF(INDEX('Kế hoạch'!$B$6:$B$305,$O382)="Đột xuất",INDEX('Kế hoạch'!$AY$6:$AY$305,$O382),IF(N($P382)=0,"",IF(INT($B382)&lt;$P382,$P382,IF($Q382&gt;0,$P382+ROUND((INT($B382)-$P382)/$Q382,0)*$Q382,IF($R382&gt;0,EDATE($P382,ROUND((DATEDIF($P382,INT($B382),"m")+(INT($B382)-EDATE($P382,DATEDIF($P382,INT($B382),"m")))/(EDATE($P382,DATEDIF($P382,INT($B382),"m")+1)-EDATE($P382,DATEDIF($P382,INT($B382),"m"))))/$R382,0)*$R382),$P382))))),"")))</f>
      </c>
      <c r="M382" s="223">
        <f>IF(OR($C382="",N($L382)=0,N($B382)=0),"",IF(IF(MOD($L382,1)=0,INT($B382),$B382)&lt;=$L382,"Đúng hạn","Trễ hạn"))</f>
      </c>
      <c r="N382" s="225">
        <f>IF($C382="","",ROW())</f>
      </c>
      <c r="O382" s="225">
        <f>IF($I382="Công việc",MATCH($C382,'Kế hoạch'!$A$6:$A$305,0),"")</f>
      </c>
      <c r="P382" s="234">
        <f>IF($O382="","",INDEX('Kế hoạch'!$I$6:$I$305,$O382))</f>
      </c>
      <c r="Q382" s="225">
        <f>IF($O382="","",INDEX('Kế hoạch'!$AJ$6:$AJ$305,$O382))</f>
      </c>
      <c r="R382" s="225">
        <f>IF($O382="","",INDEX('Kế hoạch'!$AK$6:$AK$305,$O382))</f>
      </c>
    </row>
    <row r="383">
      <c r="A383" s="223">
        <f>IF($C383="","",COUNTIF($C$6:$C383,"?*"))</f>
      </c>
      <c r="B383" s="217"/>
      <c r="C383" s="216"/>
      <c r="D383" s="240"/>
      <c r="E383" s="218"/>
      <c r="F383" s="218"/>
      <c r="G383" s="218"/>
      <c r="H383" s="219"/>
      <c r="I383" s="223">
        <f>IF($C383="","",IF(ISNUMBER(MATCH($C383,'Phản ánh'!$A$6:$A$505,0)),"Phản ánh",IF(ISNUMBER(MATCH($C383,'Kế hoạch'!$A$6:$A$305,0)),"Công việc","Mã chưa có")))</f>
      </c>
      <c r="J383" s="221">
        <f>IF($I383="Phản ánh",INDEX('Phản ánh'!$C$6:$C$505,MATCH($C383,'Phản ánh'!$A$6:$A$505,0)),IF($I383="Công việc",INDEX('Kế hoạch'!$C$6:$C$305,$O383),""))</f>
      </c>
      <c r="K383" s="221">
        <f>IF($I383="Phản ánh",INDEX('Phản ánh'!$K$6:$K$505,MATCH($C383,'Phản ánh'!$A$6:$A$505,0))&amp;"",IF($I383="Công việc",INDEX('Kế hoạch'!$N$6:$N$305,$O383)&amp;"",""))</f>
      </c>
      <c r="L383" s="220">
        <f>IF(OR($C383="",N($B383)=0),"",IF(AND($I383="Phản ánh",$E383="Đã xử lý"),INDEX('Phản ánh'!$U$6:$U$505,MATCH($C383,'Phản ánh'!$A$6:$A$505,0)),IF(AND($I383="Công việc",OR($E383="Hoàn thành",$E383="Hoàn thành kỳ")),IF(INDEX('Kế hoạch'!$B$6:$B$305,$O383)="Đột xuất",INDEX('Kế hoạch'!$AY$6:$AY$305,$O383),IF(N($P383)=0,"",IF(INT($B383)&lt;$P383,$P383,IF($Q383&gt;0,$P383+ROUND((INT($B383)-$P383)/$Q383,0)*$Q383,IF($R383&gt;0,EDATE($P383,ROUND((DATEDIF($P383,INT($B383),"m")+(INT($B383)-EDATE($P383,DATEDIF($P383,INT($B383),"m")))/(EDATE($P383,DATEDIF($P383,INT($B383),"m")+1)-EDATE($P383,DATEDIF($P383,INT($B383),"m"))))/$R383,0)*$R383),$P383))))),"")))</f>
      </c>
      <c r="M383" s="223">
        <f>IF(OR($C383="",N($L383)=0,N($B383)=0),"",IF(IF(MOD($L383,1)=0,INT($B383),$B383)&lt;=$L383,"Đúng hạn","Trễ hạn"))</f>
      </c>
      <c r="N383" s="225">
        <f>IF($C383="","",ROW())</f>
      </c>
      <c r="O383" s="225">
        <f>IF($I383="Công việc",MATCH($C383,'Kế hoạch'!$A$6:$A$305,0),"")</f>
      </c>
      <c r="P383" s="234">
        <f>IF($O383="","",INDEX('Kế hoạch'!$I$6:$I$305,$O383))</f>
      </c>
      <c r="Q383" s="225">
        <f>IF($O383="","",INDEX('Kế hoạch'!$AJ$6:$AJ$305,$O383))</f>
      </c>
      <c r="R383" s="225">
        <f>IF($O383="","",INDEX('Kế hoạch'!$AK$6:$AK$305,$O383))</f>
      </c>
    </row>
    <row r="384">
      <c r="A384" s="223">
        <f>IF($C384="","",COUNTIF($C$6:$C384,"?*"))</f>
      </c>
      <c r="B384" s="217"/>
      <c r="C384" s="216"/>
      <c r="D384" s="240"/>
      <c r="E384" s="218"/>
      <c r="F384" s="218"/>
      <c r="G384" s="218"/>
      <c r="H384" s="219"/>
      <c r="I384" s="223">
        <f>IF($C384="","",IF(ISNUMBER(MATCH($C384,'Phản ánh'!$A$6:$A$505,0)),"Phản ánh",IF(ISNUMBER(MATCH($C384,'Kế hoạch'!$A$6:$A$305,0)),"Công việc","Mã chưa có")))</f>
      </c>
      <c r="J384" s="221">
        <f>IF($I384="Phản ánh",INDEX('Phản ánh'!$C$6:$C$505,MATCH($C384,'Phản ánh'!$A$6:$A$505,0)),IF($I384="Công việc",INDEX('Kế hoạch'!$C$6:$C$305,$O384),""))</f>
      </c>
      <c r="K384" s="221">
        <f>IF($I384="Phản ánh",INDEX('Phản ánh'!$K$6:$K$505,MATCH($C384,'Phản ánh'!$A$6:$A$505,0))&amp;"",IF($I384="Công việc",INDEX('Kế hoạch'!$N$6:$N$305,$O384)&amp;"",""))</f>
      </c>
      <c r="L384" s="220">
        <f>IF(OR($C384="",N($B384)=0),"",IF(AND($I384="Phản ánh",$E384="Đã xử lý"),INDEX('Phản ánh'!$U$6:$U$505,MATCH($C384,'Phản ánh'!$A$6:$A$505,0)),IF(AND($I384="Công việc",OR($E384="Hoàn thành",$E384="Hoàn thành kỳ")),IF(INDEX('Kế hoạch'!$B$6:$B$305,$O384)="Đột xuất",INDEX('Kế hoạch'!$AY$6:$AY$305,$O384),IF(N($P384)=0,"",IF(INT($B384)&lt;$P384,$P384,IF($Q384&gt;0,$P384+ROUND((INT($B384)-$P384)/$Q384,0)*$Q384,IF($R384&gt;0,EDATE($P384,ROUND((DATEDIF($P384,INT($B384),"m")+(INT($B384)-EDATE($P384,DATEDIF($P384,INT($B384),"m")))/(EDATE($P384,DATEDIF($P384,INT($B384),"m")+1)-EDATE($P384,DATEDIF($P384,INT($B384),"m"))))/$R384,0)*$R384),$P384))))),"")))</f>
      </c>
      <c r="M384" s="223">
        <f>IF(OR($C384="",N($L384)=0,N($B384)=0),"",IF(IF(MOD($L384,1)=0,INT($B384),$B384)&lt;=$L384,"Đúng hạn","Trễ hạn"))</f>
      </c>
      <c r="N384" s="225">
        <f>IF($C384="","",ROW())</f>
      </c>
      <c r="O384" s="225">
        <f>IF($I384="Công việc",MATCH($C384,'Kế hoạch'!$A$6:$A$305,0),"")</f>
      </c>
      <c r="P384" s="234">
        <f>IF($O384="","",INDEX('Kế hoạch'!$I$6:$I$305,$O384))</f>
      </c>
      <c r="Q384" s="225">
        <f>IF($O384="","",INDEX('Kế hoạch'!$AJ$6:$AJ$305,$O384))</f>
      </c>
      <c r="R384" s="225">
        <f>IF($O384="","",INDEX('Kế hoạch'!$AK$6:$AK$305,$O384))</f>
      </c>
    </row>
    <row r="385">
      <c r="A385" s="223">
        <f>IF($C385="","",COUNTIF($C$6:$C385,"?*"))</f>
      </c>
      <c r="B385" s="217"/>
      <c r="C385" s="216"/>
      <c r="D385" s="240"/>
      <c r="E385" s="218"/>
      <c r="F385" s="218"/>
      <c r="G385" s="218"/>
      <c r="H385" s="219"/>
      <c r="I385" s="223">
        <f>IF($C385="","",IF(ISNUMBER(MATCH($C385,'Phản ánh'!$A$6:$A$505,0)),"Phản ánh",IF(ISNUMBER(MATCH($C385,'Kế hoạch'!$A$6:$A$305,0)),"Công việc","Mã chưa có")))</f>
      </c>
      <c r="J385" s="221">
        <f>IF($I385="Phản ánh",INDEX('Phản ánh'!$C$6:$C$505,MATCH($C385,'Phản ánh'!$A$6:$A$505,0)),IF($I385="Công việc",INDEX('Kế hoạch'!$C$6:$C$305,$O385),""))</f>
      </c>
      <c r="K385" s="221">
        <f>IF($I385="Phản ánh",INDEX('Phản ánh'!$K$6:$K$505,MATCH($C385,'Phản ánh'!$A$6:$A$505,0))&amp;"",IF($I385="Công việc",INDEX('Kế hoạch'!$N$6:$N$305,$O385)&amp;"",""))</f>
      </c>
      <c r="L385" s="220">
        <f>IF(OR($C385="",N($B385)=0),"",IF(AND($I385="Phản ánh",$E385="Đã xử lý"),INDEX('Phản ánh'!$U$6:$U$505,MATCH($C385,'Phản ánh'!$A$6:$A$505,0)),IF(AND($I385="Công việc",OR($E385="Hoàn thành",$E385="Hoàn thành kỳ")),IF(INDEX('Kế hoạch'!$B$6:$B$305,$O385)="Đột xuất",INDEX('Kế hoạch'!$AY$6:$AY$305,$O385),IF(N($P385)=0,"",IF(INT($B385)&lt;$P385,$P385,IF($Q385&gt;0,$P385+ROUND((INT($B385)-$P385)/$Q385,0)*$Q385,IF($R385&gt;0,EDATE($P385,ROUND((DATEDIF($P385,INT($B385),"m")+(INT($B385)-EDATE($P385,DATEDIF($P385,INT($B385),"m")))/(EDATE($P385,DATEDIF($P385,INT($B385),"m")+1)-EDATE($P385,DATEDIF($P385,INT($B385),"m"))))/$R385,0)*$R385),$P385))))),"")))</f>
      </c>
      <c r="M385" s="223">
        <f>IF(OR($C385="",N($L385)=0,N($B385)=0),"",IF(IF(MOD($L385,1)=0,INT($B385),$B385)&lt;=$L385,"Đúng hạn","Trễ hạn"))</f>
      </c>
      <c r="N385" s="225">
        <f>IF($C385="","",ROW())</f>
      </c>
      <c r="O385" s="225">
        <f>IF($I385="Công việc",MATCH($C385,'Kế hoạch'!$A$6:$A$305,0),"")</f>
      </c>
      <c r="P385" s="234">
        <f>IF($O385="","",INDEX('Kế hoạch'!$I$6:$I$305,$O385))</f>
      </c>
      <c r="Q385" s="225">
        <f>IF($O385="","",INDEX('Kế hoạch'!$AJ$6:$AJ$305,$O385))</f>
      </c>
      <c r="R385" s="225">
        <f>IF($O385="","",INDEX('Kế hoạch'!$AK$6:$AK$305,$O385))</f>
      </c>
    </row>
    <row r="386">
      <c r="A386" s="223">
        <f>IF($C386="","",COUNTIF($C$6:$C386,"?*"))</f>
      </c>
      <c r="B386" s="217"/>
      <c r="C386" s="216"/>
      <c r="D386" s="240"/>
      <c r="E386" s="218"/>
      <c r="F386" s="218"/>
      <c r="G386" s="218"/>
      <c r="H386" s="219"/>
      <c r="I386" s="223">
        <f>IF($C386="","",IF(ISNUMBER(MATCH($C386,'Phản ánh'!$A$6:$A$505,0)),"Phản ánh",IF(ISNUMBER(MATCH($C386,'Kế hoạch'!$A$6:$A$305,0)),"Công việc","Mã chưa có")))</f>
      </c>
      <c r="J386" s="221">
        <f>IF($I386="Phản ánh",INDEX('Phản ánh'!$C$6:$C$505,MATCH($C386,'Phản ánh'!$A$6:$A$505,0)),IF($I386="Công việc",INDEX('Kế hoạch'!$C$6:$C$305,$O386),""))</f>
      </c>
      <c r="K386" s="221">
        <f>IF($I386="Phản ánh",INDEX('Phản ánh'!$K$6:$K$505,MATCH($C386,'Phản ánh'!$A$6:$A$505,0))&amp;"",IF($I386="Công việc",INDEX('Kế hoạch'!$N$6:$N$305,$O386)&amp;"",""))</f>
      </c>
      <c r="L386" s="220">
        <f>IF(OR($C386="",N($B386)=0),"",IF(AND($I386="Phản ánh",$E386="Đã xử lý"),INDEX('Phản ánh'!$U$6:$U$505,MATCH($C386,'Phản ánh'!$A$6:$A$505,0)),IF(AND($I386="Công việc",OR($E386="Hoàn thành",$E386="Hoàn thành kỳ")),IF(INDEX('Kế hoạch'!$B$6:$B$305,$O386)="Đột xuất",INDEX('Kế hoạch'!$AY$6:$AY$305,$O386),IF(N($P386)=0,"",IF(INT($B386)&lt;$P386,$P386,IF($Q386&gt;0,$P386+ROUND((INT($B386)-$P386)/$Q386,0)*$Q386,IF($R386&gt;0,EDATE($P386,ROUND((DATEDIF($P386,INT($B386),"m")+(INT($B386)-EDATE($P386,DATEDIF($P386,INT($B386),"m")))/(EDATE($P386,DATEDIF($P386,INT($B386),"m")+1)-EDATE($P386,DATEDIF($P386,INT($B386),"m"))))/$R386,0)*$R386),$P386))))),"")))</f>
      </c>
      <c r="M386" s="223">
        <f>IF(OR($C386="",N($L386)=0,N($B386)=0),"",IF(IF(MOD($L386,1)=0,INT($B386),$B386)&lt;=$L386,"Đúng hạn","Trễ hạn"))</f>
      </c>
      <c r="N386" s="225">
        <f>IF($C386="","",ROW())</f>
      </c>
      <c r="O386" s="225">
        <f>IF($I386="Công việc",MATCH($C386,'Kế hoạch'!$A$6:$A$305,0),"")</f>
      </c>
      <c r="P386" s="234">
        <f>IF($O386="","",INDEX('Kế hoạch'!$I$6:$I$305,$O386))</f>
      </c>
      <c r="Q386" s="225">
        <f>IF($O386="","",INDEX('Kế hoạch'!$AJ$6:$AJ$305,$O386))</f>
      </c>
      <c r="R386" s="225">
        <f>IF($O386="","",INDEX('Kế hoạch'!$AK$6:$AK$305,$O386))</f>
      </c>
    </row>
    <row r="387">
      <c r="A387" s="223">
        <f>IF($C387="","",COUNTIF($C$6:$C387,"?*"))</f>
      </c>
      <c r="B387" s="217"/>
      <c r="C387" s="216"/>
      <c r="D387" s="240"/>
      <c r="E387" s="218"/>
      <c r="F387" s="218"/>
      <c r="G387" s="218"/>
      <c r="H387" s="219"/>
      <c r="I387" s="223">
        <f>IF($C387="","",IF(ISNUMBER(MATCH($C387,'Phản ánh'!$A$6:$A$505,0)),"Phản ánh",IF(ISNUMBER(MATCH($C387,'Kế hoạch'!$A$6:$A$305,0)),"Công việc","Mã chưa có")))</f>
      </c>
      <c r="J387" s="221">
        <f>IF($I387="Phản ánh",INDEX('Phản ánh'!$C$6:$C$505,MATCH($C387,'Phản ánh'!$A$6:$A$505,0)),IF($I387="Công việc",INDEX('Kế hoạch'!$C$6:$C$305,$O387),""))</f>
      </c>
      <c r="K387" s="221">
        <f>IF($I387="Phản ánh",INDEX('Phản ánh'!$K$6:$K$505,MATCH($C387,'Phản ánh'!$A$6:$A$505,0))&amp;"",IF($I387="Công việc",INDEX('Kế hoạch'!$N$6:$N$305,$O387)&amp;"",""))</f>
      </c>
      <c r="L387" s="220">
        <f>IF(OR($C387="",N($B387)=0),"",IF(AND($I387="Phản ánh",$E387="Đã xử lý"),INDEX('Phản ánh'!$U$6:$U$505,MATCH($C387,'Phản ánh'!$A$6:$A$505,0)),IF(AND($I387="Công việc",OR($E387="Hoàn thành",$E387="Hoàn thành kỳ")),IF(INDEX('Kế hoạch'!$B$6:$B$305,$O387)="Đột xuất",INDEX('Kế hoạch'!$AY$6:$AY$305,$O387),IF(N($P387)=0,"",IF(INT($B387)&lt;$P387,$P387,IF($Q387&gt;0,$P387+ROUND((INT($B387)-$P387)/$Q387,0)*$Q387,IF($R387&gt;0,EDATE($P387,ROUND((DATEDIF($P387,INT($B387),"m")+(INT($B387)-EDATE($P387,DATEDIF($P387,INT($B387),"m")))/(EDATE($P387,DATEDIF($P387,INT($B387),"m")+1)-EDATE($P387,DATEDIF($P387,INT($B387),"m"))))/$R387,0)*$R387),$P387))))),"")))</f>
      </c>
      <c r="M387" s="223">
        <f>IF(OR($C387="",N($L387)=0,N($B387)=0),"",IF(IF(MOD($L387,1)=0,INT($B387),$B387)&lt;=$L387,"Đúng hạn","Trễ hạn"))</f>
      </c>
      <c r="N387" s="225">
        <f>IF($C387="","",ROW())</f>
      </c>
      <c r="O387" s="225">
        <f>IF($I387="Công việc",MATCH($C387,'Kế hoạch'!$A$6:$A$305,0),"")</f>
      </c>
      <c r="P387" s="234">
        <f>IF($O387="","",INDEX('Kế hoạch'!$I$6:$I$305,$O387))</f>
      </c>
      <c r="Q387" s="225">
        <f>IF($O387="","",INDEX('Kế hoạch'!$AJ$6:$AJ$305,$O387))</f>
      </c>
      <c r="R387" s="225">
        <f>IF($O387="","",INDEX('Kế hoạch'!$AK$6:$AK$305,$O387))</f>
      </c>
    </row>
    <row r="388">
      <c r="A388" s="223">
        <f>IF($C388="","",COUNTIF($C$6:$C388,"?*"))</f>
      </c>
      <c r="B388" s="217"/>
      <c r="C388" s="216"/>
      <c r="D388" s="240"/>
      <c r="E388" s="218"/>
      <c r="F388" s="218"/>
      <c r="G388" s="218"/>
      <c r="H388" s="219"/>
      <c r="I388" s="223">
        <f>IF($C388="","",IF(ISNUMBER(MATCH($C388,'Phản ánh'!$A$6:$A$505,0)),"Phản ánh",IF(ISNUMBER(MATCH($C388,'Kế hoạch'!$A$6:$A$305,0)),"Công việc","Mã chưa có")))</f>
      </c>
      <c r="J388" s="221">
        <f>IF($I388="Phản ánh",INDEX('Phản ánh'!$C$6:$C$505,MATCH($C388,'Phản ánh'!$A$6:$A$505,0)),IF($I388="Công việc",INDEX('Kế hoạch'!$C$6:$C$305,$O388),""))</f>
      </c>
      <c r="K388" s="221">
        <f>IF($I388="Phản ánh",INDEX('Phản ánh'!$K$6:$K$505,MATCH($C388,'Phản ánh'!$A$6:$A$505,0))&amp;"",IF($I388="Công việc",INDEX('Kế hoạch'!$N$6:$N$305,$O388)&amp;"",""))</f>
      </c>
      <c r="L388" s="220">
        <f>IF(OR($C388="",N($B388)=0),"",IF(AND($I388="Phản ánh",$E388="Đã xử lý"),INDEX('Phản ánh'!$U$6:$U$505,MATCH($C388,'Phản ánh'!$A$6:$A$505,0)),IF(AND($I388="Công việc",OR($E388="Hoàn thành",$E388="Hoàn thành kỳ")),IF(INDEX('Kế hoạch'!$B$6:$B$305,$O388)="Đột xuất",INDEX('Kế hoạch'!$AY$6:$AY$305,$O388),IF(N($P388)=0,"",IF(INT($B388)&lt;$P388,$P388,IF($Q388&gt;0,$P388+ROUND((INT($B388)-$P388)/$Q388,0)*$Q388,IF($R388&gt;0,EDATE($P388,ROUND((DATEDIF($P388,INT($B388),"m")+(INT($B388)-EDATE($P388,DATEDIF($P388,INT($B388),"m")))/(EDATE($P388,DATEDIF($P388,INT($B388),"m")+1)-EDATE($P388,DATEDIF($P388,INT($B388),"m"))))/$R388,0)*$R388),$P388))))),"")))</f>
      </c>
      <c r="M388" s="223">
        <f>IF(OR($C388="",N($L388)=0,N($B388)=0),"",IF(IF(MOD($L388,1)=0,INT($B388),$B388)&lt;=$L388,"Đúng hạn","Trễ hạn"))</f>
      </c>
      <c r="N388" s="225">
        <f>IF($C388="","",ROW())</f>
      </c>
      <c r="O388" s="225">
        <f>IF($I388="Công việc",MATCH($C388,'Kế hoạch'!$A$6:$A$305,0),"")</f>
      </c>
      <c r="P388" s="234">
        <f>IF($O388="","",INDEX('Kế hoạch'!$I$6:$I$305,$O388))</f>
      </c>
      <c r="Q388" s="225">
        <f>IF($O388="","",INDEX('Kế hoạch'!$AJ$6:$AJ$305,$O388))</f>
      </c>
      <c r="R388" s="225">
        <f>IF($O388="","",INDEX('Kế hoạch'!$AK$6:$AK$305,$O388))</f>
      </c>
    </row>
    <row r="389">
      <c r="A389" s="223">
        <f>IF($C389="","",COUNTIF($C$6:$C389,"?*"))</f>
      </c>
      <c r="B389" s="217"/>
      <c r="C389" s="216"/>
      <c r="D389" s="240"/>
      <c r="E389" s="218"/>
      <c r="F389" s="218"/>
      <c r="G389" s="218"/>
      <c r="H389" s="219"/>
      <c r="I389" s="223">
        <f>IF($C389="","",IF(ISNUMBER(MATCH($C389,'Phản ánh'!$A$6:$A$505,0)),"Phản ánh",IF(ISNUMBER(MATCH($C389,'Kế hoạch'!$A$6:$A$305,0)),"Công việc","Mã chưa có")))</f>
      </c>
      <c r="J389" s="221">
        <f>IF($I389="Phản ánh",INDEX('Phản ánh'!$C$6:$C$505,MATCH($C389,'Phản ánh'!$A$6:$A$505,0)),IF($I389="Công việc",INDEX('Kế hoạch'!$C$6:$C$305,$O389),""))</f>
      </c>
      <c r="K389" s="221">
        <f>IF($I389="Phản ánh",INDEX('Phản ánh'!$K$6:$K$505,MATCH($C389,'Phản ánh'!$A$6:$A$505,0))&amp;"",IF($I389="Công việc",INDEX('Kế hoạch'!$N$6:$N$305,$O389)&amp;"",""))</f>
      </c>
      <c r="L389" s="220">
        <f>IF(OR($C389="",N($B389)=0),"",IF(AND($I389="Phản ánh",$E389="Đã xử lý"),INDEX('Phản ánh'!$U$6:$U$505,MATCH($C389,'Phản ánh'!$A$6:$A$505,0)),IF(AND($I389="Công việc",OR($E389="Hoàn thành",$E389="Hoàn thành kỳ")),IF(INDEX('Kế hoạch'!$B$6:$B$305,$O389)="Đột xuất",INDEX('Kế hoạch'!$AY$6:$AY$305,$O389),IF(N($P389)=0,"",IF(INT($B389)&lt;$P389,$P389,IF($Q389&gt;0,$P389+ROUND((INT($B389)-$P389)/$Q389,0)*$Q389,IF($R389&gt;0,EDATE($P389,ROUND((DATEDIF($P389,INT($B389),"m")+(INT($B389)-EDATE($P389,DATEDIF($P389,INT($B389),"m")))/(EDATE($P389,DATEDIF($P389,INT($B389),"m")+1)-EDATE($P389,DATEDIF($P389,INT($B389),"m"))))/$R389,0)*$R389),$P389))))),"")))</f>
      </c>
      <c r="M389" s="223">
        <f>IF(OR($C389="",N($L389)=0,N($B389)=0),"",IF(IF(MOD($L389,1)=0,INT($B389),$B389)&lt;=$L389,"Đúng hạn","Trễ hạn"))</f>
      </c>
      <c r="N389" s="225">
        <f>IF($C389="","",ROW())</f>
      </c>
      <c r="O389" s="225">
        <f>IF($I389="Công việc",MATCH($C389,'Kế hoạch'!$A$6:$A$305,0),"")</f>
      </c>
      <c r="P389" s="234">
        <f>IF($O389="","",INDEX('Kế hoạch'!$I$6:$I$305,$O389))</f>
      </c>
      <c r="Q389" s="225">
        <f>IF($O389="","",INDEX('Kế hoạch'!$AJ$6:$AJ$305,$O389))</f>
      </c>
      <c r="R389" s="225">
        <f>IF($O389="","",INDEX('Kế hoạch'!$AK$6:$AK$305,$O389))</f>
      </c>
    </row>
    <row r="390">
      <c r="A390" s="223">
        <f>IF($C390="","",COUNTIF($C$6:$C390,"?*"))</f>
      </c>
      <c r="B390" s="217"/>
      <c r="C390" s="216"/>
      <c r="D390" s="240"/>
      <c r="E390" s="218"/>
      <c r="F390" s="218"/>
      <c r="G390" s="218"/>
      <c r="H390" s="219"/>
      <c r="I390" s="223">
        <f>IF($C390="","",IF(ISNUMBER(MATCH($C390,'Phản ánh'!$A$6:$A$505,0)),"Phản ánh",IF(ISNUMBER(MATCH($C390,'Kế hoạch'!$A$6:$A$305,0)),"Công việc","Mã chưa có")))</f>
      </c>
      <c r="J390" s="221">
        <f>IF($I390="Phản ánh",INDEX('Phản ánh'!$C$6:$C$505,MATCH($C390,'Phản ánh'!$A$6:$A$505,0)),IF($I390="Công việc",INDEX('Kế hoạch'!$C$6:$C$305,$O390),""))</f>
      </c>
      <c r="K390" s="221">
        <f>IF($I390="Phản ánh",INDEX('Phản ánh'!$K$6:$K$505,MATCH($C390,'Phản ánh'!$A$6:$A$505,0))&amp;"",IF($I390="Công việc",INDEX('Kế hoạch'!$N$6:$N$305,$O390)&amp;"",""))</f>
      </c>
      <c r="L390" s="220">
        <f>IF(OR($C390="",N($B390)=0),"",IF(AND($I390="Phản ánh",$E390="Đã xử lý"),INDEX('Phản ánh'!$U$6:$U$505,MATCH($C390,'Phản ánh'!$A$6:$A$505,0)),IF(AND($I390="Công việc",OR($E390="Hoàn thành",$E390="Hoàn thành kỳ")),IF(INDEX('Kế hoạch'!$B$6:$B$305,$O390)="Đột xuất",INDEX('Kế hoạch'!$AY$6:$AY$305,$O390),IF(N($P390)=0,"",IF(INT($B390)&lt;$P390,$P390,IF($Q390&gt;0,$P390+ROUND((INT($B390)-$P390)/$Q390,0)*$Q390,IF($R390&gt;0,EDATE($P390,ROUND((DATEDIF($P390,INT($B390),"m")+(INT($B390)-EDATE($P390,DATEDIF($P390,INT($B390),"m")))/(EDATE($P390,DATEDIF($P390,INT($B390),"m")+1)-EDATE($P390,DATEDIF($P390,INT($B390),"m"))))/$R390,0)*$R390),$P390))))),"")))</f>
      </c>
      <c r="M390" s="223">
        <f>IF(OR($C390="",N($L390)=0,N($B390)=0),"",IF(IF(MOD($L390,1)=0,INT($B390),$B390)&lt;=$L390,"Đúng hạn","Trễ hạn"))</f>
      </c>
      <c r="N390" s="225">
        <f>IF($C390="","",ROW())</f>
      </c>
      <c r="O390" s="225">
        <f>IF($I390="Công việc",MATCH($C390,'Kế hoạch'!$A$6:$A$305,0),"")</f>
      </c>
      <c r="P390" s="234">
        <f>IF($O390="","",INDEX('Kế hoạch'!$I$6:$I$305,$O390))</f>
      </c>
      <c r="Q390" s="225">
        <f>IF($O390="","",INDEX('Kế hoạch'!$AJ$6:$AJ$305,$O390))</f>
      </c>
      <c r="R390" s="225">
        <f>IF($O390="","",INDEX('Kế hoạch'!$AK$6:$AK$305,$O390))</f>
      </c>
    </row>
    <row r="391">
      <c r="A391" s="223">
        <f>IF($C391="","",COUNTIF($C$6:$C391,"?*"))</f>
      </c>
      <c r="B391" s="217"/>
      <c r="C391" s="216"/>
      <c r="D391" s="240"/>
      <c r="E391" s="218"/>
      <c r="F391" s="218"/>
      <c r="G391" s="218"/>
      <c r="H391" s="219"/>
      <c r="I391" s="223">
        <f>IF($C391="","",IF(ISNUMBER(MATCH($C391,'Phản ánh'!$A$6:$A$505,0)),"Phản ánh",IF(ISNUMBER(MATCH($C391,'Kế hoạch'!$A$6:$A$305,0)),"Công việc","Mã chưa có")))</f>
      </c>
      <c r="J391" s="221">
        <f>IF($I391="Phản ánh",INDEX('Phản ánh'!$C$6:$C$505,MATCH($C391,'Phản ánh'!$A$6:$A$505,0)),IF($I391="Công việc",INDEX('Kế hoạch'!$C$6:$C$305,$O391),""))</f>
      </c>
      <c r="K391" s="221">
        <f>IF($I391="Phản ánh",INDEX('Phản ánh'!$K$6:$K$505,MATCH($C391,'Phản ánh'!$A$6:$A$505,0))&amp;"",IF($I391="Công việc",INDEX('Kế hoạch'!$N$6:$N$305,$O391)&amp;"",""))</f>
      </c>
      <c r="L391" s="220">
        <f>IF(OR($C391="",N($B391)=0),"",IF(AND($I391="Phản ánh",$E391="Đã xử lý"),INDEX('Phản ánh'!$U$6:$U$505,MATCH($C391,'Phản ánh'!$A$6:$A$505,0)),IF(AND($I391="Công việc",OR($E391="Hoàn thành",$E391="Hoàn thành kỳ")),IF(INDEX('Kế hoạch'!$B$6:$B$305,$O391)="Đột xuất",INDEX('Kế hoạch'!$AY$6:$AY$305,$O391),IF(N($P391)=0,"",IF(INT($B391)&lt;$P391,$P391,IF($Q391&gt;0,$P391+ROUND((INT($B391)-$P391)/$Q391,0)*$Q391,IF($R391&gt;0,EDATE($P391,ROUND((DATEDIF($P391,INT($B391),"m")+(INT($B391)-EDATE($P391,DATEDIF($P391,INT($B391),"m")))/(EDATE($P391,DATEDIF($P391,INT($B391),"m")+1)-EDATE($P391,DATEDIF($P391,INT($B391),"m"))))/$R391,0)*$R391),$P391))))),"")))</f>
      </c>
      <c r="M391" s="223">
        <f>IF(OR($C391="",N($L391)=0,N($B391)=0),"",IF(IF(MOD($L391,1)=0,INT($B391),$B391)&lt;=$L391,"Đúng hạn","Trễ hạn"))</f>
      </c>
      <c r="N391" s="225">
        <f>IF($C391="","",ROW())</f>
      </c>
      <c r="O391" s="225">
        <f>IF($I391="Công việc",MATCH($C391,'Kế hoạch'!$A$6:$A$305,0),"")</f>
      </c>
      <c r="P391" s="234">
        <f>IF($O391="","",INDEX('Kế hoạch'!$I$6:$I$305,$O391))</f>
      </c>
      <c r="Q391" s="225">
        <f>IF($O391="","",INDEX('Kế hoạch'!$AJ$6:$AJ$305,$O391))</f>
      </c>
      <c r="R391" s="225">
        <f>IF($O391="","",INDEX('Kế hoạch'!$AK$6:$AK$305,$O391))</f>
      </c>
    </row>
    <row r="392">
      <c r="A392" s="223">
        <f>IF($C392="","",COUNTIF($C$6:$C392,"?*"))</f>
      </c>
      <c r="B392" s="217"/>
      <c r="C392" s="216"/>
      <c r="D392" s="240"/>
      <c r="E392" s="218"/>
      <c r="F392" s="218"/>
      <c r="G392" s="218"/>
      <c r="H392" s="219"/>
      <c r="I392" s="223">
        <f>IF($C392="","",IF(ISNUMBER(MATCH($C392,'Phản ánh'!$A$6:$A$505,0)),"Phản ánh",IF(ISNUMBER(MATCH($C392,'Kế hoạch'!$A$6:$A$305,0)),"Công việc","Mã chưa có")))</f>
      </c>
      <c r="J392" s="221">
        <f>IF($I392="Phản ánh",INDEX('Phản ánh'!$C$6:$C$505,MATCH($C392,'Phản ánh'!$A$6:$A$505,0)),IF($I392="Công việc",INDEX('Kế hoạch'!$C$6:$C$305,$O392),""))</f>
      </c>
      <c r="K392" s="221">
        <f>IF($I392="Phản ánh",INDEX('Phản ánh'!$K$6:$K$505,MATCH($C392,'Phản ánh'!$A$6:$A$505,0))&amp;"",IF($I392="Công việc",INDEX('Kế hoạch'!$N$6:$N$305,$O392)&amp;"",""))</f>
      </c>
      <c r="L392" s="220">
        <f>IF(OR($C392="",N($B392)=0),"",IF(AND($I392="Phản ánh",$E392="Đã xử lý"),INDEX('Phản ánh'!$U$6:$U$505,MATCH($C392,'Phản ánh'!$A$6:$A$505,0)),IF(AND($I392="Công việc",OR($E392="Hoàn thành",$E392="Hoàn thành kỳ")),IF(INDEX('Kế hoạch'!$B$6:$B$305,$O392)="Đột xuất",INDEX('Kế hoạch'!$AY$6:$AY$305,$O392),IF(N($P392)=0,"",IF(INT($B392)&lt;$P392,$P392,IF($Q392&gt;0,$P392+ROUND((INT($B392)-$P392)/$Q392,0)*$Q392,IF($R392&gt;0,EDATE($P392,ROUND((DATEDIF($P392,INT($B392),"m")+(INT($B392)-EDATE($P392,DATEDIF($P392,INT($B392),"m")))/(EDATE($P392,DATEDIF($P392,INT($B392),"m")+1)-EDATE($P392,DATEDIF($P392,INT($B392),"m"))))/$R392,0)*$R392),$P392))))),"")))</f>
      </c>
      <c r="M392" s="223">
        <f>IF(OR($C392="",N($L392)=0,N($B392)=0),"",IF(IF(MOD($L392,1)=0,INT($B392),$B392)&lt;=$L392,"Đúng hạn","Trễ hạn"))</f>
      </c>
      <c r="N392" s="225">
        <f>IF($C392="","",ROW())</f>
      </c>
      <c r="O392" s="225">
        <f>IF($I392="Công việc",MATCH($C392,'Kế hoạch'!$A$6:$A$305,0),"")</f>
      </c>
      <c r="P392" s="234">
        <f>IF($O392="","",INDEX('Kế hoạch'!$I$6:$I$305,$O392))</f>
      </c>
      <c r="Q392" s="225">
        <f>IF($O392="","",INDEX('Kế hoạch'!$AJ$6:$AJ$305,$O392))</f>
      </c>
      <c r="R392" s="225">
        <f>IF($O392="","",INDEX('Kế hoạch'!$AK$6:$AK$305,$O392))</f>
      </c>
    </row>
    <row r="393">
      <c r="A393" s="223">
        <f>IF($C393="","",COUNTIF($C$6:$C393,"?*"))</f>
      </c>
      <c r="B393" s="217"/>
      <c r="C393" s="216"/>
      <c r="D393" s="240"/>
      <c r="E393" s="218"/>
      <c r="F393" s="218"/>
      <c r="G393" s="218"/>
      <c r="H393" s="219"/>
      <c r="I393" s="223">
        <f>IF($C393="","",IF(ISNUMBER(MATCH($C393,'Phản ánh'!$A$6:$A$505,0)),"Phản ánh",IF(ISNUMBER(MATCH($C393,'Kế hoạch'!$A$6:$A$305,0)),"Công việc","Mã chưa có")))</f>
      </c>
      <c r="J393" s="221">
        <f>IF($I393="Phản ánh",INDEX('Phản ánh'!$C$6:$C$505,MATCH($C393,'Phản ánh'!$A$6:$A$505,0)),IF($I393="Công việc",INDEX('Kế hoạch'!$C$6:$C$305,$O393),""))</f>
      </c>
      <c r="K393" s="221">
        <f>IF($I393="Phản ánh",INDEX('Phản ánh'!$K$6:$K$505,MATCH($C393,'Phản ánh'!$A$6:$A$505,0))&amp;"",IF($I393="Công việc",INDEX('Kế hoạch'!$N$6:$N$305,$O393)&amp;"",""))</f>
      </c>
      <c r="L393" s="220">
        <f>IF(OR($C393="",N($B393)=0),"",IF(AND($I393="Phản ánh",$E393="Đã xử lý"),INDEX('Phản ánh'!$U$6:$U$505,MATCH($C393,'Phản ánh'!$A$6:$A$505,0)),IF(AND($I393="Công việc",OR($E393="Hoàn thành",$E393="Hoàn thành kỳ")),IF(INDEX('Kế hoạch'!$B$6:$B$305,$O393)="Đột xuất",INDEX('Kế hoạch'!$AY$6:$AY$305,$O393),IF(N($P393)=0,"",IF(INT($B393)&lt;$P393,$P393,IF($Q393&gt;0,$P393+ROUND((INT($B393)-$P393)/$Q393,0)*$Q393,IF($R393&gt;0,EDATE($P393,ROUND((DATEDIF($P393,INT($B393),"m")+(INT($B393)-EDATE($P393,DATEDIF($P393,INT($B393),"m")))/(EDATE($P393,DATEDIF($P393,INT($B393),"m")+1)-EDATE($P393,DATEDIF($P393,INT($B393),"m"))))/$R393,0)*$R393),$P393))))),"")))</f>
      </c>
      <c r="M393" s="223">
        <f>IF(OR($C393="",N($L393)=0,N($B393)=0),"",IF(IF(MOD($L393,1)=0,INT($B393),$B393)&lt;=$L393,"Đúng hạn","Trễ hạn"))</f>
      </c>
      <c r="N393" s="225">
        <f>IF($C393="","",ROW())</f>
      </c>
      <c r="O393" s="225">
        <f>IF($I393="Công việc",MATCH($C393,'Kế hoạch'!$A$6:$A$305,0),"")</f>
      </c>
      <c r="P393" s="234">
        <f>IF($O393="","",INDEX('Kế hoạch'!$I$6:$I$305,$O393))</f>
      </c>
      <c r="Q393" s="225">
        <f>IF($O393="","",INDEX('Kế hoạch'!$AJ$6:$AJ$305,$O393))</f>
      </c>
      <c r="R393" s="225">
        <f>IF($O393="","",INDEX('Kế hoạch'!$AK$6:$AK$305,$O393))</f>
      </c>
    </row>
    <row r="394">
      <c r="A394" s="223">
        <f>IF($C394="","",COUNTIF($C$6:$C394,"?*"))</f>
      </c>
      <c r="B394" s="217"/>
      <c r="C394" s="216"/>
      <c r="D394" s="240"/>
      <c r="E394" s="218"/>
      <c r="F394" s="218"/>
      <c r="G394" s="218"/>
      <c r="H394" s="219"/>
      <c r="I394" s="223">
        <f>IF($C394="","",IF(ISNUMBER(MATCH($C394,'Phản ánh'!$A$6:$A$505,0)),"Phản ánh",IF(ISNUMBER(MATCH($C394,'Kế hoạch'!$A$6:$A$305,0)),"Công việc","Mã chưa có")))</f>
      </c>
      <c r="J394" s="221">
        <f>IF($I394="Phản ánh",INDEX('Phản ánh'!$C$6:$C$505,MATCH($C394,'Phản ánh'!$A$6:$A$505,0)),IF($I394="Công việc",INDEX('Kế hoạch'!$C$6:$C$305,$O394),""))</f>
      </c>
      <c r="K394" s="221">
        <f>IF($I394="Phản ánh",INDEX('Phản ánh'!$K$6:$K$505,MATCH($C394,'Phản ánh'!$A$6:$A$505,0))&amp;"",IF($I394="Công việc",INDEX('Kế hoạch'!$N$6:$N$305,$O394)&amp;"",""))</f>
      </c>
      <c r="L394" s="220">
        <f>IF(OR($C394="",N($B394)=0),"",IF(AND($I394="Phản ánh",$E394="Đã xử lý"),INDEX('Phản ánh'!$U$6:$U$505,MATCH($C394,'Phản ánh'!$A$6:$A$505,0)),IF(AND($I394="Công việc",OR($E394="Hoàn thành",$E394="Hoàn thành kỳ")),IF(INDEX('Kế hoạch'!$B$6:$B$305,$O394)="Đột xuất",INDEX('Kế hoạch'!$AY$6:$AY$305,$O394),IF(N($P394)=0,"",IF(INT($B394)&lt;$P394,$P394,IF($Q394&gt;0,$P394+ROUND((INT($B394)-$P394)/$Q394,0)*$Q394,IF($R394&gt;0,EDATE($P394,ROUND((DATEDIF($P394,INT($B394),"m")+(INT($B394)-EDATE($P394,DATEDIF($P394,INT($B394),"m")))/(EDATE($P394,DATEDIF($P394,INT($B394),"m")+1)-EDATE($P394,DATEDIF($P394,INT($B394),"m"))))/$R394,0)*$R394),$P394))))),"")))</f>
      </c>
      <c r="M394" s="223">
        <f>IF(OR($C394="",N($L394)=0,N($B394)=0),"",IF(IF(MOD($L394,1)=0,INT($B394),$B394)&lt;=$L394,"Đúng hạn","Trễ hạn"))</f>
      </c>
      <c r="N394" s="225">
        <f>IF($C394="","",ROW())</f>
      </c>
      <c r="O394" s="225">
        <f>IF($I394="Công việc",MATCH($C394,'Kế hoạch'!$A$6:$A$305,0),"")</f>
      </c>
      <c r="P394" s="234">
        <f>IF($O394="","",INDEX('Kế hoạch'!$I$6:$I$305,$O394))</f>
      </c>
      <c r="Q394" s="225">
        <f>IF($O394="","",INDEX('Kế hoạch'!$AJ$6:$AJ$305,$O394))</f>
      </c>
      <c r="R394" s="225">
        <f>IF($O394="","",INDEX('Kế hoạch'!$AK$6:$AK$305,$O394))</f>
      </c>
    </row>
    <row r="395">
      <c r="A395" s="223">
        <f>IF($C395="","",COUNTIF($C$6:$C395,"?*"))</f>
      </c>
      <c r="B395" s="217"/>
      <c r="C395" s="216"/>
      <c r="D395" s="240"/>
      <c r="E395" s="218"/>
      <c r="F395" s="218"/>
      <c r="G395" s="218"/>
      <c r="H395" s="219"/>
      <c r="I395" s="223">
        <f>IF($C395="","",IF(ISNUMBER(MATCH($C395,'Phản ánh'!$A$6:$A$505,0)),"Phản ánh",IF(ISNUMBER(MATCH($C395,'Kế hoạch'!$A$6:$A$305,0)),"Công việc","Mã chưa có")))</f>
      </c>
      <c r="J395" s="221">
        <f>IF($I395="Phản ánh",INDEX('Phản ánh'!$C$6:$C$505,MATCH($C395,'Phản ánh'!$A$6:$A$505,0)),IF($I395="Công việc",INDEX('Kế hoạch'!$C$6:$C$305,$O395),""))</f>
      </c>
      <c r="K395" s="221">
        <f>IF($I395="Phản ánh",INDEX('Phản ánh'!$K$6:$K$505,MATCH($C395,'Phản ánh'!$A$6:$A$505,0))&amp;"",IF($I395="Công việc",INDEX('Kế hoạch'!$N$6:$N$305,$O395)&amp;"",""))</f>
      </c>
      <c r="L395" s="220">
        <f>IF(OR($C395="",N($B395)=0),"",IF(AND($I395="Phản ánh",$E395="Đã xử lý"),INDEX('Phản ánh'!$U$6:$U$505,MATCH($C395,'Phản ánh'!$A$6:$A$505,0)),IF(AND($I395="Công việc",OR($E395="Hoàn thành",$E395="Hoàn thành kỳ")),IF(INDEX('Kế hoạch'!$B$6:$B$305,$O395)="Đột xuất",INDEX('Kế hoạch'!$AY$6:$AY$305,$O395),IF(N($P395)=0,"",IF(INT($B395)&lt;$P395,$P395,IF($Q395&gt;0,$P395+ROUND((INT($B395)-$P395)/$Q395,0)*$Q395,IF($R395&gt;0,EDATE($P395,ROUND((DATEDIF($P395,INT($B395),"m")+(INT($B395)-EDATE($P395,DATEDIF($P395,INT($B395),"m")))/(EDATE($P395,DATEDIF($P395,INT($B395),"m")+1)-EDATE($P395,DATEDIF($P395,INT($B395),"m"))))/$R395,0)*$R395),$P395))))),"")))</f>
      </c>
      <c r="M395" s="223">
        <f>IF(OR($C395="",N($L395)=0,N($B395)=0),"",IF(IF(MOD($L395,1)=0,INT($B395),$B395)&lt;=$L395,"Đúng hạn","Trễ hạn"))</f>
      </c>
      <c r="N395" s="225">
        <f>IF($C395="","",ROW())</f>
      </c>
      <c r="O395" s="225">
        <f>IF($I395="Công việc",MATCH($C395,'Kế hoạch'!$A$6:$A$305,0),"")</f>
      </c>
      <c r="P395" s="234">
        <f>IF($O395="","",INDEX('Kế hoạch'!$I$6:$I$305,$O395))</f>
      </c>
      <c r="Q395" s="225">
        <f>IF($O395="","",INDEX('Kế hoạch'!$AJ$6:$AJ$305,$O395))</f>
      </c>
      <c r="R395" s="225">
        <f>IF($O395="","",INDEX('Kế hoạch'!$AK$6:$AK$305,$O395))</f>
      </c>
    </row>
    <row r="396">
      <c r="A396" s="223">
        <f>IF($C396="","",COUNTIF($C$6:$C396,"?*"))</f>
      </c>
      <c r="B396" s="217"/>
      <c r="C396" s="216"/>
      <c r="D396" s="240"/>
      <c r="E396" s="218"/>
      <c r="F396" s="218"/>
      <c r="G396" s="218"/>
      <c r="H396" s="219"/>
      <c r="I396" s="223">
        <f>IF($C396="","",IF(ISNUMBER(MATCH($C396,'Phản ánh'!$A$6:$A$505,0)),"Phản ánh",IF(ISNUMBER(MATCH($C396,'Kế hoạch'!$A$6:$A$305,0)),"Công việc","Mã chưa có")))</f>
      </c>
      <c r="J396" s="221">
        <f>IF($I396="Phản ánh",INDEX('Phản ánh'!$C$6:$C$505,MATCH($C396,'Phản ánh'!$A$6:$A$505,0)),IF($I396="Công việc",INDEX('Kế hoạch'!$C$6:$C$305,$O396),""))</f>
      </c>
      <c r="K396" s="221">
        <f>IF($I396="Phản ánh",INDEX('Phản ánh'!$K$6:$K$505,MATCH($C396,'Phản ánh'!$A$6:$A$505,0))&amp;"",IF($I396="Công việc",INDEX('Kế hoạch'!$N$6:$N$305,$O396)&amp;"",""))</f>
      </c>
      <c r="L396" s="220">
        <f>IF(OR($C396="",N($B396)=0),"",IF(AND($I396="Phản ánh",$E396="Đã xử lý"),INDEX('Phản ánh'!$U$6:$U$505,MATCH($C396,'Phản ánh'!$A$6:$A$505,0)),IF(AND($I396="Công việc",OR($E396="Hoàn thành",$E396="Hoàn thành kỳ")),IF(INDEX('Kế hoạch'!$B$6:$B$305,$O396)="Đột xuất",INDEX('Kế hoạch'!$AY$6:$AY$305,$O396),IF(N($P396)=0,"",IF(INT($B396)&lt;$P396,$P396,IF($Q396&gt;0,$P396+ROUND((INT($B396)-$P396)/$Q396,0)*$Q396,IF($R396&gt;0,EDATE($P396,ROUND((DATEDIF($P396,INT($B396),"m")+(INT($B396)-EDATE($P396,DATEDIF($P396,INT($B396),"m")))/(EDATE($P396,DATEDIF($P396,INT($B396),"m")+1)-EDATE($P396,DATEDIF($P396,INT($B396),"m"))))/$R396,0)*$R396),$P396))))),"")))</f>
      </c>
      <c r="M396" s="223">
        <f>IF(OR($C396="",N($L396)=0,N($B396)=0),"",IF(IF(MOD($L396,1)=0,INT($B396),$B396)&lt;=$L396,"Đúng hạn","Trễ hạn"))</f>
      </c>
      <c r="N396" s="225">
        <f>IF($C396="","",ROW())</f>
      </c>
      <c r="O396" s="225">
        <f>IF($I396="Công việc",MATCH($C396,'Kế hoạch'!$A$6:$A$305,0),"")</f>
      </c>
      <c r="P396" s="234">
        <f>IF($O396="","",INDEX('Kế hoạch'!$I$6:$I$305,$O396))</f>
      </c>
      <c r="Q396" s="225">
        <f>IF($O396="","",INDEX('Kế hoạch'!$AJ$6:$AJ$305,$O396))</f>
      </c>
      <c r="R396" s="225">
        <f>IF($O396="","",INDEX('Kế hoạch'!$AK$6:$AK$305,$O396))</f>
      </c>
    </row>
    <row r="397">
      <c r="A397" s="223">
        <f>IF($C397="","",COUNTIF($C$6:$C397,"?*"))</f>
      </c>
      <c r="B397" s="217"/>
      <c r="C397" s="216"/>
      <c r="D397" s="240"/>
      <c r="E397" s="218"/>
      <c r="F397" s="218"/>
      <c r="G397" s="218"/>
      <c r="H397" s="219"/>
      <c r="I397" s="223">
        <f>IF($C397="","",IF(ISNUMBER(MATCH($C397,'Phản ánh'!$A$6:$A$505,0)),"Phản ánh",IF(ISNUMBER(MATCH($C397,'Kế hoạch'!$A$6:$A$305,0)),"Công việc","Mã chưa có")))</f>
      </c>
      <c r="J397" s="221">
        <f>IF($I397="Phản ánh",INDEX('Phản ánh'!$C$6:$C$505,MATCH($C397,'Phản ánh'!$A$6:$A$505,0)),IF($I397="Công việc",INDEX('Kế hoạch'!$C$6:$C$305,$O397),""))</f>
      </c>
      <c r="K397" s="221">
        <f>IF($I397="Phản ánh",INDEX('Phản ánh'!$K$6:$K$505,MATCH($C397,'Phản ánh'!$A$6:$A$505,0))&amp;"",IF($I397="Công việc",INDEX('Kế hoạch'!$N$6:$N$305,$O397)&amp;"",""))</f>
      </c>
      <c r="L397" s="220">
        <f>IF(OR($C397="",N($B397)=0),"",IF(AND($I397="Phản ánh",$E397="Đã xử lý"),INDEX('Phản ánh'!$U$6:$U$505,MATCH($C397,'Phản ánh'!$A$6:$A$505,0)),IF(AND($I397="Công việc",OR($E397="Hoàn thành",$E397="Hoàn thành kỳ")),IF(INDEX('Kế hoạch'!$B$6:$B$305,$O397)="Đột xuất",INDEX('Kế hoạch'!$AY$6:$AY$305,$O397),IF(N($P397)=0,"",IF(INT($B397)&lt;$P397,$P397,IF($Q397&gt;0,$P397+ROUND((INT($B397)-$P397)/$Q397,0)*$Q397,IF($R397&gt;0,EDATE($P397,ROUND((DATEDIF($P397,INT($B397),"m")+(INT($B397)-EDATE($P397,DATEDIF($P397,INT($B397),"m")))/(EDATE($P397,DATEDIF($P397,INT($B397),"m")+1)-EDATE($P397,DATEDIF($P397,INT($B397),"m"))))/$R397,0)*$R397),$P397))))),"")))</f>
      </c>
      <c r="M397" s="223">
        <f>IF(OR($C397="",N($L397)=0,N($B397)=0),"",IF(IF(MOD($L397,1)=0,INT($B397),$B397)&lt;=$L397,"Đúng hạn","Trễ hạn"))</f>
      </c>
      <c r="N397" s="225">
        <f>IF($C397="","",ROW())</f>
      </c>
      <c r="O397" s="225">
        <f>IF($I397="Công việc",MATCH($C397,'Kế hoạch'!$A$6:$A$305,0),"")</f>
      </c>
      <c r="P397" s="234">
        <f>IF($O397="","",INDEX('Kế hoạch'!$I$6:$I$305,$O397))</f>
      </c>
      <c r="Q397" s="225">
        <f>IF($O397="","",INDEX('Kế hoạch'!$AJ$6:$AJ$305,$O397))</f>
      </c>
      <c r="R397" s="225">
        <f>IF($O397="","",INDEX('Kế hoạch'!$AK$6:$AK$305,$O397))</f>
      </c>
    </row>
    <row r="398">
      <c r="A398" s="223">
        <f>IF($C398="","",COUNTIF($C$6:$C398,"?*"))</f>
      </c>
      <c r="B398" s="217"/>
      <c r="C398" s="216"/>
      <c r="D398" s="240"/>
      <c r="E398" s="218"/>
      <c r="F398" s="218"/>
      <c r="G398" s="218"/>
      <c r="H398" s="219"/>
      <c r="I398" s="223">
        <f>IF($C398="","",IF(ISNUMBER(MATCH($C398,'Phản ánh'!$A$6:$A$505,0)),"Phản ánh",IF(ISNUMBER(MATCH($C398,'Kế hoạch'!$A$6:$A$305,0)),"Công việc","Mã chưa có")))</f>
      </c>
      <c r="J398" s="221">
        <f>IF($I398="Phản ánh",INDEX('Phản ánh'!$C$6:$C$505,MATCH($C398,'Phản ánh'!$A$6:$A$505,0)),IF($I398="Công việc",INDEX('Kế hoạch'!$C$6:$C$305,$O398),""))</f>
      </c>
      <c r="K398" s="221">
        <f>IF($I398="Phản ánh",INDEX('Phản ánh'!$K$6:$K$505,MATCH($C398,'Phản ánh'!$A$6:$A$505,0))&amp;"",IF($I398="Công việc",INDEX('Kế hoạch'!$N$6:$N$305,$O398)&amp;"",""))</f>
      </c>
      <c r="L398" s="220">
        <f>IF(OR($C398="",N($B398)=0),"",IF(AND($I398="Phản ánh",$E398="Đã xử lý"),INDEX('Phản ánh'!$U$6:$U$505,MATCH($C398,'Phản ánh'!$A$6:$A$505,0)),IF(AND($I398="Công việc",OR($E398="Hoàn thành",$E398="Hoàn thành kỳ")),IF(INDEX('Kế hoạch'!$B$6:$B$305,$O398)="Đột xuất",INDEX('Kế hoạch'!$AY$6:$AY$305,$O398),IF(N($P398)=0,"",IF(INT($B398)&lt;$P398,$P398,IF($Q398&gt;0,$P398+ROUND((INT($B398)-$P398)/$Q398,0)*$Q398,IF($R398&gt;0,EDATE($P398,ROUND((DATEDIF($P398,INT($B398),"m")+(INT($B398)-EDATE($P398,DATEDIF($P398,INT($B398),"m")))/(EDATE($P398,DATEDIF($P398,INT($B398),"m")+1)-EDATE($P398,DATEDIF($P398,INT($B398),"m"))))/$R398,0)*$R398),$P398))))),"")))</f>
      </c>
      <c r="M398" s="223">
        <f>IF(OR($C398="",N($L398)=0,N($B398)=0),"",IF(IF(MOD($L398,1)=0,INT($B398),$B398)&lt;=$L398,"Đúng hạn","Trễ hạn"))</f>
      </c>
      <c r="N398" s="225">
        <f>IF($C398="","",ROW())</f>
      </c>
      <c r="O398" s="225">
        <f>IF($I398="Công việc",MATCH($C398,'Kế hoạch'!$A$6:$A$305,0),"")</f>
      </c>
      <c r="P398" s="234">
        <f>IF($O398="","",INDEX('Kế hoạch'!$I$6:$I$305,$O398))</f>
      </c>
      <c r="Q398" s="225">
        <f>IF($O398="","",INDEX('Kế hoạch'!$AJ$6:$AJ$305,$O398))</f>
      </c>
      <c r="R398" s="225">
        <f>IF($O398="","",INDEX('Kế hoạch'!$AK$6:$AK$305,$O398))</f>
      </c>
    </row>
    <row r="399">
      <c r="A399" s="223">
        <f>IF($C399="","",COUNTIF($C$6:$C399,"?*"))</f>
      </c>
      <c r="B399" s="217"/>
      <c r="C399" s="216"/>
      <c r="D399" s="240"/>
      <c r="E399" s="218"/>
      <c r="F399" s="218"/>
      <c r="G399" s="218"/>
      <c r="H399" s="219"/>
      <c r="I399" s="223">
        <f>IF($C399="","",IF(ISNUMBER(MATCH($C399,'Phản ánh'!$A$6:$A$505,0)),"Phản ánh",IF(ISNUMBER(MATCH($C399,'Kế hoạch'!$A$6:$A$305,0)),"Công việc","Mã chưa có")))</f>
      </c>
      <c r="J399" s="221">
        <f>IF($I399="Phản ánh",INDEX('Phản ánh'!$C$6:$C$505,MATCH($C399,'Phản ánh'!$A$6:$A$505,0)),IF($I399="Công việc",INDEX('Kế hoạch'!$C$6:$C$305,$O399),""))</f>
      </c>
      <c r="K399" s="221">
        <f>IF($I399="Phản ánh",INDEX('Phản ánh'!$K$6:$K$505,MATCH($C399,'Phản ánh'!$A$6:$A$505,0))&amp;"",IF($I399="Công việc",INDEX('Kế hoạch'!$N$6:$N$305,$O399)&amp;"",""))</f>
      </c>
      <c r="L399" s="220">
        <f>IF(OR($C399="",N($B399)=0),"",IF(AND($I399="Phản ánh",$E399="Đã xử lý"),INDEX('Phản ánh'!$U$6:$U$505,MATCH($C399,'Phản ánh'!$A$6:$A$505,0)),IF(AND($I399="Công việc",OR($E399="Hoàn thành",$E399="Hoàn thành kỳ")),IF(INDEX('Kế hoạch'!$B$6:$B$305,$O399)="Đột xuất",INDEX('Kế hoạch'!$AY$6:$AY$305,$O399),IF(N($P399)=0,"",IF(INT($B399)&lt;$P399,$P399,IF($Q399&gt;0,$P399+ROUND((INT($B399)-$P399)/$Q399,0)*$Q399,IF($R399&gt;0,EDATE($P399,ROUND((DATEDIF($P399,INT($B399),"m")+(INT($B399)-EDATE($P399,DATEDIF($P399,INT($B399),"m")))/(EDATE($P399,DATEDIF($P399,INT($B399),"m")+1)-EDATE($P399,DATEDIF($P399,INT($B399),"m"))))/$R399,0)*$R399),$P399))))),"")))</f>
      </c>
      <c r="M399" s="223">
        <f>IF(OR($C399="",N($L399)=0,N($B399)=0),"",IF(IF(MOD($L399,1)=0,INT($B399),$B399)&lt;=$L399,"Đúng hạn","Trễ hạn"))</f>
      </c>
      <c r="N399" s="225">
        <f>IF($C399="","",ROW())</f>
      </c>
      <c r="O399" s="225">
        <f>IF($I399="Công việc",MATCH($C399,'Kế hoạch'!$A$6:$A$305,0),"")</f>
      </c>
      <c r="P399" s="234">
        <f>IF($O399="","",INDEX('Kế hoạch'!$I$6:$I$305,$O399))</f>
      </c>
      <c r="Q399" s="225">
        <f>IF($O399="","",INDEX('Kế hoạch'!$AJ$6:$AJ$305,$O399))</f>
      </c>
      <c r="R399" s="225">
        <f>IF($O399="","",INDEX('Kế hoạch'!$AK$6:$AK$305,$O399))</f>
      </c>
    </row>
    <row r="400">
      <c r="A400" s="223">
        <f>IF($C400="","",COUNTIF($C$6:$C400,"?*"))</f>
      </c>
      <c r="B400" s="217"/>
      <c r="C400" s="216"/>
      <c r="D400" s="240"/>
      <c r="E400" s="218"/>
      <c r="F400" s="218"/>
      <c r="G400" s="218"/>
      <c r="H400" s="219"/>
      <c r="I400" s="223">
        <f>IF($C400="","",IF(ISNUMBER(MATCH($C400,'Phản ánh'!$A$6:$A$505,0)),"Phản ánh",IF(ISNUMBER(MATCH($C400,'Kế hoạch'!$A$6:$A$305,0)),"Công việc","Mã chưa có")))</f>
      </c>
      <c r="J400" s="221">
        <f>IF($I400="Phản ánh",INDEX('Phản ánh'!$C$6:$C$505,MATCH($C400,'Phản ánh'!$A$6:$A$505,0)),IF($I400="Công việc",INDEX('Kế hoạch'!$C$6:$C$305,$O400),""))</f>
      </c>
      <c r="K400" s="221">
        <f>IF($I400="Phản ánh",INDEX('Phản ánh'!$K$6:$K$505,MATCH($C400,'Phản ánh'!$A$6:$A$505,0))&amp;"",IF($I400="Công việc",INDEX('Kế hoạch'!$N$6:$N$305,$O400)&amp;"",""))</f>
      </c>
      <c r="L400" s="220">
        <f>IF(OR($C400="",N($B400)=0),"",IF(AND($I400="Phản ánh",$E400="Đã xử lý"),INDEX('Phản ánh'!$U$6:$U$505,MATCH($C400,'Phản ánh'!$A$6:$A$505,0)),IF(AND($I400="Công việc",OR($E400="Hoàn thành",$E400="Hoàn thành kỳ")),IF(INDEX('Kế hoạch'!$B$6:$B$305,$O400)="Đột xuất",INDEX('Kế hoạch'!$AY$6:$AY$305,$O400),IF(N($P400)=0,"",IF(INT($B400)&lt;$P400,$P400,IF($Q400&gt;0,$P400+ROUND((INT($B400)-$P400)/$Q400,0)*$Q400,IF($R400&gt;0,EDATE($P400,ROUND((DATEDIF($P400,INT($B400),"m")+(INT($B400)-EDATE($P400,DATEDIF($P400,INT($B400),"m")))/(EDATE($P400,DATEDIF($P400,INT($B400),"m")+1)-EDATE($P400,DATEDIF($P400,INT($B400),"m"))))/$R400,0)*$R400),$P400))))),"")))</f>
      </c>
      <c r="M400" s="223">
        <f>IF(OR($C400="",N($L400)=0,N($B400)=0),"",IF(IF(MOD($L400,1)=0,INT($B400),$B400)&lt;=$L400,"Đúng hạn","Trễ hạn"))</f>
      </c>
      <c r="N400" s="225">
        <f>IF($C400="","",ROW())</f>
      </c>
      <c r="O400" s="225">
        <f>IF($I400="Công việc",MATCH($C400,'Kế hoạch'!$A$6:$A$305,0),"")</f>
      </c>
      <c r="P400" s="234">
        <f>IF($O400="","",INDEX('Kế hoạch'!$I$6:$I$305,$O400))</f>
      </c>
      <c r="Q400" s="225">
        <f>IF($O400="","",INDEX('Kế hoạch'!$AJ$6:$AJ$305,$O400))</f>
      </c>
      <c r="R400" s="225">
        <f>IF($O400="","",INDEX('Kế hoạch'!$AK$6:$AK$305,$O400))</f>
      </c>
    </row>
    <row r="401">
      <c r="A401" s="223">
        <f>IF($C401="","",COUNTIF($C$6:$C401,"?*"))</f>
      </c>
      <c r="B401" s="217"/>
      <c r="C401" s="216"/>
      <c r="D401" s="240"/>
      <c r="E401" s="218"/>
      <c r="F401" s="218"/>
      <c r="G401" s="218"/>
      <c r="H401" s="219"/>
      <c r="I401" s="223">
        <f>IF($C401="","",IF(ISNUMBER(MATCH($C401,'Phản ánh'!$A$6:$A$505,0)),"Phản ánh",IF(ISNUMBER(MATCH($C401,'Kế hoạch'!$A$6:$A$305,0)),"Công việc","Mã chưa có")))</f>
      </c>
      <c r="J401" s="221">
        <f>IF($I401="Phản ánh",INDEX('Phản ánh'!$C$6:$C$505,MATCH($C401,'Phản ánh'!$A$6:$A$505,0)),IF($I401="Công việc",INDEX('Kế hoạch'!$C$6:$C$305,$O401),""))</f>
      </c>
      <c r="K401" s="221">
        <f>IF($I401="Phản ánh",INDEX('Phản ánh'!$K$6:$K$505,MATCH($C401,'Phản ánh'!$A$6:$A$505,0))&amp;"",IF($I401="Công việc",INDEX('Kế hoạch'!$N$6:$N$305,$O401)&amp;"",""))</f>
      </c>
      <c r="L401" s="220">
        <f>IF(OR($C401="",N($B401)=0),"",IF(AND($I401="Phản ánh",$E401="Đã xử lý"),INDEX('Phản ánh'!$U$6:$U$505,MATCH($C401,'Phản ánh'!$A$6:$A$505,0)),IF(AND($I401="Công việc",OR($E401="Hoàn thành",$E401="Hoàn thành kỳ")),IF(INDEX('Kế hoạch'!$B$6:$B$305,$O401)="Đột xuất",INDEX('Kế hoạch'!$AY$6:$AY$305,$O401),IF(N($P401)=0,"",IF(INT($B401)&lt;$P401,$P401,IF($Q401&gt;0,$P401+ROUND((INT($B401)-$P401)/$Q401,0)*$Q401,IF($R401&gt;0,EDATE($P401,ROUND((DATEDIF($P401,INT($B401),"m")+(INT($B401)-EDATE($P401,DATEDIF($P401,INT($B401),"m")))/(EDATE($P401,DATEDIF($P401,INT($B401),"m")+1)-EDATE($P401,DATEDIF($P401,INT($B401),"m"))))/$R401,0)*$R401),$P401))))),"")))</f>
      </c>
      <c r="M401" s="223">
        <f>IF(OR($C401="",N($L401)=0,N($B401)=0),"",IF(IF(MOD($L401,1)=0,INT($B401),$B401)&lt;=$L401,"Đúng hạn","Trễ hạn"))</f>
      </c>
      <c r="N401" s="225">
        <f>IF($C401="","",ROW())</f>
      </c>
      <c r="O401" s="225">
        <f>IF($I401="Công việc",MATCH($C401,'Kế hoạch'!$A$6:$A$305,0),"")</f>
      </c>
      <c r="P401" s="234">
        <f>IF($O401="","",INDEX('Kế hoạch'!$I$6:$I$305,$O401))</f>
      </c>
      <c r="Q401" s="225">
        <f>IF($O401="","",INDEX('Kế hoạch'!$AJ$6:$AJ$305,$O401))</f>
      </c>
      <c r="R401" s="225">
        <f>IF($O401="","",INDEX('Kế hoạch'!$AK$6:$AK$305,$O401))</f>
      </c>
    </row>
    <row r="402">
      <c r="A402" s="223">
        <f>IF($C402="","",COUNTIF($C$6:$C402,"?*"))</f>
      </c>
      <c r="B402" s="217"/>
      <c r="C402" s="216"/>
      <c r="D402" s="240"/>
      <c r="E402" s="218"/>
      <c r="F402" s="218"/>
      <c r="G402" s="218"/>
      <c r="H402" s="219"/>
      <c r="I402" s="223">
        <f>IF($C402="","",IF(ISNUMBER(MATCH($C402,'Phản ánh'!$A$6:$A$505,0)),"Phản ánh",IF(ISNUMBER(MATCH($C402,'Kế hoạch'!$A$6:$A$305,0)),"Công việc","Mã chưa có")))</f>
      </c>
      <c r="J402" s="221">
        <f>IF($I402="Phản ánh",INDEX('Phản ánh'!$C$6:$C$505,MATCH($C402,'Phản ánh'!$A$6:$A$505,0)),IF($I402="Công việc",INDEX('Kế hoạch'!$C$6:$C$305,$O402),""))</f>
      </c>
      <c r="K402" s="221">
        <f>IF($I402="Phản ánh",INDEX('Phản ánh'!$K$6:$K$505,MATCH($C402,'Phản ánh'!$A$6:$A$505,0))&amp;"",IF($I402="Công việc",INDEX('Kế hoạch'!$N$6:$N$305,$O402)&amp;"",""))</f>
      </c>
      <c r="L402" s="220">
        <f>IF(OR($C402="",N($B402)=0),"",IF(AND($I402="Phản ánh",$E402="Đã xử lý"),INDEX('Phản ánh'!$U$6:$U$505,MATCH($C402,'Phản ánh'!$A$6:$A$505,0)),IF(AND($I402="Công việc",OR($E402="Hoàn thành",$E402="Hoàn thành kỳ")),IF(INDEX('Kế hoạch'!$B$6:$B$305,$O402)="Đột xuất",INDEX('Kế hoạch'!$AY$6:$AY$305,$O402),IF(N($P402)=0,"",IF(INT($B402)&lt;$P402,$P402,IF($Q402&gt;0,$P402+ROUND((INT($B402)-$P402)/$Q402,0)*$Q402,IF($R402&gt;0,EDATE($P402,ROUND((DATEDIF($P402,INT($B402),"m")+(INT($B402)-EDATE($P402,DATEDIF($P402,INT($B402),"m")))/(EDATE($P402,DATEDIF($P402,INT($B402),"m")+1)-EDATE($P402,DATEDIF($P402,INT($B402),"m"))))/$R402,0)*$R402),$P402))))),"")))</f>
      </c>
      <c r="M402" s="223">
        <f>IF(OR($C402="",N($L402)=0,N($B402)=0),"",IF(IF(MOD($L402,1)=0,INT($B402),$B402)&lt;=$L402,"Đúng hạn","Trễ hạn"))</f>
      </c>
      <c r="N402" s="225">
        <f>IF($C402="","",ROW())</f>
      </c>
      <c r="O402" s="225">
        <f>IF($I402="Công việc",MATCH($C402,'Kế hoạch'!$A$6:$A$305,0),"")</f>
      </c>
      <c r="P402" s="234">
        <f>IF($O402="","",INDEX('Kế hoạch'!$I$6:$I$305,$O402))</f>
      </c>
      <c r="Q402" s="225">
        <f>IF($O402="","",INDEX('Kế hoạch'!$AJ$6:$AJ$305,$O402))</f>
      </c>
      <c r="R402" s="225">
        <f>IF($O402="","",INDEX('Kế hoạch'!$AK$6:$AK$305,$O402))</f>
      </c>
    </row>
    <row r="403">
      <c r="A403" s="223">
        <f>IF($C403="","",COUNTIF($C$6:$C403,"?*"))</f>
      </c>
      <c r="B403" s="217"/>
      <c r="C403" s="216"/>
      <c r="D403" s="240"/>
      <c r="E403" s="218"/>
      <c r="F403" s="218"/>
      <c r="G403" s="218"/>
      <c r="H403" s="219"/>
      <c r="I403" s="223">
        <f>IF($C403="","",IF(ISNUMBER(MATCH($C403,'Phản ánh'!$A$6:$A$505,0)),"Phản ánh",IF(ISNUMBER(MATCH($C403,'Kế hoạch'!$A$6:$A$305,0)),"Công việc","Mã chưa có")))</f>
      </c>
      <c r="J403" s="221">
        <f>IF($I403="Phản ánh",INDEX('Phản ánh'!$C$6:$C$505,MATCH($C403,'Phản ánh'!$A$6:$A$505,0)),IF($I403="Công việc",INDEX('Kế hoạch'!$C$6:$C$305,$O403),""))</f>
      </c>
      <c r="K403" s="221">
        <f>IF($I403="Phản ánh",INDEX('Phản ánh'!$K$6:$K$505,MATCH($C403,'Phản ánh'!$A$6:$A$505,0))&amp;"",IF($I403="Công việc",INDEX('Kế hoạch'!$N$6:$N$305,$O403)&amp;"",""))</f>
      </c>
      <c r="L403" s="220">
        <f>IF(OR($C403="",N($B403)=0),"",IF(AND($I403="Phản ánh",$E403="Đã xử lý"),INDEX('Phản ánh'!$U$6:$U$505,MATCH($C403,'Phản ánh'!$A$6:$A$505,0)),IF(AND($I403="Công việc",OR($E403="Hoàn thành",$E403="Hoàn thành kỳ")),IF(INDEX('Kế hoạch'!$B$6:$B$305,$O403)="Đột xuất",INDEX('Kế hoạch'!$AY$6:$AY$305,$O403),IF(N($P403)=0,"",IF(INT($B403)&lt;$P403,$P403,IF($Q403&gt;0,$P403+ROUND((INT($B403)-$P403)/$Q403,0)*$Q403,IF($R403&gt;0,EDATE($P403,ROUND((DATEDIF($P403,INT($B403),"m")+(INT($B403)-EDATE($P403,DATEDIF($P403,INT($B403),"m")))/(EDATE($P403,DATEDIF($P403,INT($B403),"m")+1)-EDATE($P403,DATEDIF($P403,INT($B403),"m"))))/$R403,0)*$R403),$P403))))),"")))</f>
      </c>
      <c r="M403" s="223">
        <f>IF(OR($C403="",N($L403)=0,N($B403)=0),"",IF(IF(MOD($L403,1)=0,INT($B403),$B403)&lt;=$L403,"Đúng hạn","Trễ hạn"))</f>
      </c>
      <c r="N403" s="225">
        <f>IF($C403="","",ROW())</f>
      </c>
      <c r="O403" s="225">
        <f>IF($I403="Công việc",MATCH($C403,'Kế hoạch'!$A$6:$A$305,0),"")</f>
      </c>
      <c r="P403" s="234">
        <f>IF($O403="","",INDEX('Kế hoạch'!$I$6:$I$305,$O403))</f>
      </c>
      <c r="Q403" s="225">
        <f>IF($O403="","",INDEX('Kế hoạch'!$AJ$6:$AJ$305,$O403))</f>
      </c>
      <c r="R403" s="225">
        <f>IF($O403="","",INDEX('Kế hoạch'!$AK$6:$AK$305,$O403))</f>
      </c>
    </row>
    <row r="404">
      <c r="A404" s="223">
        <f>IF($C404="","",COUNTIF($C$6:$C404,"?*"))</f>
      </c>
      <c r="B404" s="217"/>
      <c r="C404" s="216"/>
      <c r="D404" s="240"/>
      <c r="E404" s="218"/>
      <c r="F404" s="218"/>
      <c r="G404" s="218"/>
      <c r="H404" s="219"/>
      <c r="I404" s="223">
        <f>IF($C404="","",IF(ISNUMBER(MATCH($C404,'Phản ánh'!$A$6:$A$505,0)),"Phản ánh",IF(ISNUMBER(MATCH($C404,'Kế hoạch'!$A$6:$A$305,0)),"Công việc","Mã chưa có")))</f>
      </c>
      <c r="J404" s="221">
        <f>IF($I404="Phản ánh",INDEX('Phản ánh'!$C$6:$C$505,MATCH($C404,'Phản ánh'!$A$6:$A$505,0)),IF($I404="Công việc",INDEX('Kế hoạch'!$C$6:$C$305,$O404),""))</f>
      </c>
      <c r="K404" s="221">
        <f>IF($I404="Phản ánh",INDEX('Phản ánh'!$K$6:$K$505,MATCH($C404,'Phản ánh'!$A$6:$A$505,0))&amp;"",IF($I404="Công việc",INDEX('Kế hoạch'!$N$6:$N$305,$O404)&amp;"",""))</f>
      </c>
      <c r="L404" s="220">
        <f>IF(OR($C404="",N($B404)=0),"",IF(AND($I404="Phản ánh",$E404="Đã xử lý"),INDEX('Phản ánh'!$U$6:$U$505,MATCH($C404,'Phản ánh'!$A$6:$A$505,0)),IF(AND($I404="Công việc",OR($E404="Hoàn thành",$E404="Hoàn thành kỳ")),IF(INDEX('Kế hoạch'!$B$6:$B$305,$O404)="Đột xuất",INDEX('Kế hoạch'!$AY$6:$AY$305,$O404),IF(N($P404)=0,"",IF(INT($B404)&lt;$P404,$P404,IF($Q404&gt;0,$P404+ROUND((INT($B404)-$P404)/$Q404,0)*$Q404,IF($R404&gt;0,EDATE($P404,ROUND((DATEDIF($P404,INT($B404),"m")+(INT($B404)-EDATE($P404,DATEDIF($P404,INT($B404),"m")))/(EDATE($P404,DATEDIF($P404,INT($B404),"m")+1)-EDATE($P404,DATEDIF($P404,INT($B404),"m"))))/$R404,0)*$R404),$P404))))),"")))</f>
      </c>
      <c r="M404" s="223">
        <f>IF(OR($C404="",N($L404)=0,N($B404)=0),"",IF(IF(MOD($L404,1)=0,INT($B404),$B404)&lt;=$L404,"Đúng hạn","Trễ hạn"))</f>
      </c>
      <c r="N404" s="225">
        <f>IF($C404="","",ROW())</f>
      </c>
      <c r="O404" s="225">
        <f>IF($I404="Công việc",MATCH($C404,'Kế hoạch'!$A$6:$A$305,0),"")</f>
      </c>
      <c r="P404" s="234">
        <f>IF($O404="","",INDEX('Kế hoạch'!$I$6:$I$305,$O404))</f>
      </c>
      <c r="Q404" s="225">
        <f>IF($O404="","",INDEX('Kế hoạch'!$AJ$6:$AJ$305,$O404))</f>
      </c>
      <c r="R404" s="225">
        <f>IF($O404="","",INDEX('Kế hoạch'!$AK$6:$AK$305,$O404))</f>
      </c>
    </row>
    <row r="405">
      <c r="A405" s="223">
        <f>IF($C405="","",COUNTIF($C$6:$C405,"?*"))</f>
      </c>
      <c r="B405" s="217"/>
      <c r="C405" s="216"/>
      <c r="D405" s="240"/>
      <c r="E405" s="218"/>
      <c r="F405" s="218"/>
      <c r="G405" s="218"/>
      <c r="H405" s="219"/>
      <c r="I405" s="223">
        <f>IF($C405="","",IF(ISNUMBER(MATCH($C405,'Phản ánh'!$A$6:$A$505,0)),"Phản ánh",IF(ISNUMBER(MATCH($C405,'Kế hoạch'!$A$6:$A$305,0)),"Công việc","Mã chưa có")))</f>
      </c>
      <c r="J405" s="221">
        <f>IF($I405="Phản ánh",INDEX('Phản ánh'!$C$6:$C$505,MATCH($C405,'Phản ánh'!$A$6:$A$505,0)),IF($I405="Công việc",INDEX('Kế hoạch'!$C$6:$C$305,$O405),""))</f>
      </c>
      <c r="K405" s="221">
        <f>IF($I405="Phản ánh",INDEX('Phản ánh'!$K$6:$K$505,MATCH($C405,'Phản ánh'!$A$6:$A$505,0))&amp;"",IF($I405="Công việc",INDEX('Kế hoạch'!$N$6:$N$305,$O405)&amp;"",""))</f>
      </c>
      <c r="L405" s="220">
        <f>IF(OR($C405="",N($B405)=0),"",IF(AND($I405="Phản ánh",$E405="Đã xử lý"),INDEX('Phản ánh'!$U$6:$U$505,MATCH($C405,'Phản ánh'!$A$6:$A$505,0)),IF(AND($I405="Công việc",OR($E405="Hoàn thành",$E405="Hoàn thành kỳ")),IF(INDEX('Kế hoạch'!$B$6:$B$305,$O405)="Đột xuất",INDEX('Kế hoạch'!$AY$6:$AY$305,$O405),IF(N($P405)=0,"",IF(INT($B405)&lt;$P405,$P405,IF($Q405&gt;0,$P405+ROUND((INT($B405)-$P405)/$Q405,0)*$Q405,IF($R405&gt;0,EDATE($P405,ROUND((DATEDIF($P405,INT($B405),"m")+(INT($B405)-EDATE($P405,DATEDIF($P405,INT($B405),"m")))/(EDATE($P405,DATEDIF($P405,INT($B405),"m")+1)-EDATE($P405,DATEDIF($P405,INT($B405),"m"))))/$R405,0)*$R405),$P405))))),"")))</f>
      </c>
      <c r="M405" s="223">
        <f>IF(OR($C405="",N($L405)=0,N($B405)=0),"",IF(IF(MOD($L405,1)=0,INT($B405),$B405)&lt;=$L405,"Đúng hạn","Trễ hạn"))</f>
      </c>
      <c r="N405" s="225">
        <f>IF($C405="","",ROW())</f>
      </c>
      <c r="O405" s="225">
        <f>IF($I405="Công việc",MATCH($C405,'Kế hoạch'!$A$6:$A$305,0),"")</f>
      </c>
      <c r="P405" s="234">
        <f>IF($O405="","",INDEX('Kế hoạch'!$I$6:$I$305,$O405))</f>
      </c>
      <c r="Q405" s="225">
        <f>IF($O405="","",INDEX('Kế hoạch'!$AJ$6:$AJ$305,$O405))</f>
      </c>
      <c r="R405" s="225">
        <f>IF($O405="","",INDEX('Kế hoạch'!$AK$6:$AK$305,$O405))</f>
      </c>
    </row>
    <row r="406">
      <c r="A406" s="223">
        <f>IF($C406="","",COUNTIF($C$6:$C406,"?*"))</f>
      </c>
      <c r="B406" s="217"/>
      <c r="C406" s="216"/>
      <c r="D406" s="240"/>
      <c r="E406" s="218"/>
      <c r="F406" s="218"/>
      <c r="G406" s="218"/>
      <c r="H406" s="219"/>
      <c r="I406" s="223">
        <f>IF($C406="","",IF(ISNUMBER(MATCH($C406,'Phản ánh'!$A$6:$A$505,0)),"Phản ánh",IF(ISNUMBER(MATCH($C406,'Kế hoạch'!$A$6:$A$305,0)),"Công việc","Mã chưa có")))</f>
      </c>
      <c r="J406" s="221">
        <f>IF($I406="Phản ánh",INDEX('Phản ánh'!$C$6:$C$505,MATCH($C406,'Phản ánh'!$A$6:$A$505,0)),IF($I406="Công việc",INDEX('Kế hoạch'!$C$6:$C$305,$O406),""))</f>
      </c>
      <c r="K406" s="221">
        <f>IF($I406="Phản ánh",INDEX('Phản ánh'!$K$6:$K$505,MATCH($C406,'Phản ánh'!$A$6:$A$505,0))&amp;"",IF($I406="Công việc",INDEX('Kế hoạch'!$N$6:$N$305,$O406)&amp;"",""))</f>
      </c>
      <c r="L406" s="220">
        <f>IF(OR($C406="",N($B406)=0),"",IF(AND($I406="Phản ánh",$E406="Đã xử lý"),INDEX('Phản ánh'!$U$6:$U$505,MATCH($C406,'Phản ánh'!$A$6:$A$505,0)),IF(AND($I406="Công việc",OR($E406="Hoàn thành",$E406="Hoàn thành kỳ")),IF(INDEX('Kế hoạch'!$B$6:$B$305,$O406)="Đột xuất",INDEX('Kế hoạch'!$AY$6:$AY$305,$O406),IF(N($P406)=0,"",IF(INT($B406)&lt;$P406,$P406,IF($Q406&gt;0,$P406+ROUND((INT($B406)-$P406)/$Q406,0)*$Q406,IF($R406&gt;0,EDATE($P406,ROUND((DATEDIF($P406,INT($B406),"m")+(INT($B406)-EDATE($P406,DATEDIF($P406,INT($B406),"m")))/(EDATE($P406,DATEDIF($P406,INT($B406),"m")+1)-EDATE($P406,DATEDIF($P406,INT($B406),"m"))))/$R406,0)*$R406),$P406))))),"")))</f>
      </c>
      <c r="M406" s="223">
        <f>IF(OR($C406="",N($L406)=0,N($B406)=0),"",IF(IF(MOD($L406,1)=0,INT($B406),$B406)&lt;=$L406,"Đúng hạn","Trễ hạn"))</f>
      </c>
      <c r="N406" s="225">
        <f>IF($C406="","",ROW())</f>
      </c>
      <c r="O406" s="225">
        <f>IF($I406="Công việc",MATCH($C406,'Kế hoạch'!$A$6:$A$305,0),"")</f>
      </c>
      <c r="P406" s="234">
        <f>IF($O406="","",INDEX('Kế hoạch'!$I$6:$I$305,$O406))</f>
      </c>
      <c r="Q406" s="225">
        <f>IF($O406="","",INDEX('Kế hoạch'!$AJ$6:$AJ$305,$O406))</f>
      </c>
      <c r="R406" s="225">
        <f>IF($O406="","",INDEX('Kế hoạch'!$AK$6:$AK$305,$O406))</f>
      </c>
    </row>
    <row r="407">
      <c r="A407" s="223">
        <f>IF($C407="","",COUNTIF($C$6:$C407,"?*"))</f>
      </c>
      <c r="B407" s="217"/>
      <c r="C407" s="216"/>
      <c r="D407" s="240"/>
      <c r="E407" s="218"/>
      <c r="F407" s="218"/>
      <c r="G407" s="218"/>
      <c r="H407" s="219"/>
      <c r="I407" s="223">
        <f>IF($C407="","",IF(ISNUMBER(MATCH($C407,'Phản ánh'!$A$6:$A$505,0)),"Phản ánh",IF(ISNUMBER(MATCH($C407,'Kế hoạch'!$A$6:$A$305,0)),"Công việc","Mã chưa có")))</f>
      </c>
      <c r="J407" s="221">
        <f>IF($I407="Phản ánh",INDEX('Phản ánh'!$C$6:$C$505,MATCH($C407,'Phản ánh'!$A$6:$A$505,0)),IF($I407="Công việc",INDEX('Kế hoạch'!$C$6:$C$305,$O407),""))</f>
      </c>
      <c r="K407" s="221">
        <f>IF($I407="Phản ánh",INDEX('Phản ánh'!$K$6:$K$505,MATCH($C407,'Phản ánh'!$A$6:$A$505,0))&amp;"",IF($I407="Công việc",INDEX('Kế hoạch'!$N$6:$N$305,$O407)&amp;"",""))</f>
      </c>
      <c r="L407" s="220">
        <f>IF(OR($C407="",N($B407)=0),"",IF(AND($I407="Phản ánh",$E407="Đã xử lý"),INDEX('Phản ánh'!$U$6:$U$505,MATCH($C407,'Phản ánh'!$A$6:$A$505,0)),IF(AND($I407="Công việc",OR($E407="Hoàn thành",$E407="Hoàn thành kỳ")),IF(INDEX('Kế hoạch'!$B$6:$B$305,$O407)="Đột xuất",INDEX('Kế hoạch'!$AY$6:$AY$305,$O407),IF(N($P407)=0,"",IF(INT($B407)&lt;$P407,$P407,IF($Q407&gt;0,$P407+ROUND((INT($B407)-$P407)/$Q407,0)*$Q407,IF($R407&gt;0,EDATE($P407,ROUND((DATEDIF($P407,INT($B407),"m")+(INT($B407)-EDATE($P407,DATEDIF($P407,INT($B407),"m")))/(EDATE($P407,DATEDIF($P407,INT($B407),"m")+1)-EDATE($P407,DATEDIF($P407,INT($B407),"m"))))/$R407,0)*$R407),$P407))))),"")))</f>
      </c>
      <c r="M407" s="223">
        <f>IF(OR($C407="",N($L407)=0,N($B407)=0),"",IF(IF(MOD($L407,1)=0,INT($B407),$B407)&lt;=$L407,"Đúng hạn","Trễ hạn"))</f>
      </c>
      <c r="N407" s="225">
        <f>IF($C407="","",ROW())</f>
      </c>
      <c r="O407" s="225">
        <f>IF($I407="Công việc",MATCH($C407,'Kế hoạch'!$A$6:$A$305,0),"")</f>
      </c>
      <c r="P407" s="234">
        <f>IF($O407="","",INDEX('Kế hoạch'!$I$6:$I$305,$O407))</f>
      </c>
      <c r="Q407" s="225">
        <f>IF($O407="","",INDEX('Kế hoạch'!$AJ$6:$AJ$305,$O407))</f>
      </c>
      <c r="R407" s="225">
        <f>IF($O407="","",INDEX('Kế hoạch'!$AK$6:$AK$305,$O407))</f>
      </c>
    </row>
    <row r="408">
      <c r="A408" s="223">
        <f>IF($C408="","",COUNTIF($C$6:$C408,"?*"))</f>
      </c>
      <c r="B408" s="217"/>
      <c r="C408" s="216"/>
      <c r="D408" s="240"/>
      <c r="E408" s="218"/>
      <c r="F408" s="218"/>
      <c r="G408" s="218"/>
      <c r="H408" s="219"/>
      <c r="I408" s="223">
        <f>IF($C408="","",IF(ISNUMBER(MATCH($C408,'Phản ánh'!$A$6:$A$505,0)),"Phản ánh",IF(ISNUMBER(MATCH($C408,'Kế hoạch'!$A$6:$A$305,0)),"Công việc","Mã chưa có")))</f>
      </c>
      <c r="J408" s="221">
        <f>IF($I408="Phản ánh",INDEX('Phản ánh'!$C$6:$C$505,MATCH($C408,'Phản ánh'!$A$6:$A$505,0)),IF($I408="Công việc",INDEX('Kế hoạch'!$C$6:$C$305,$O408),""))</f>
      </c>
      <c r="K408" s="221">
        <f>IF($I408="Phản ánh",INDEX('Phản ánh'!$K$6:$K$505,MATCH($C408,'Phản ánh'!$A$6:$A$505,0))&amp;"",IF($I408="Công việc",INDEX('Kế hoạch'!$N$6:$N$305,$O408)&amp;"",""))</f>
      </c>
      <c r="L408" s="220">
        <f>IF(OR($C408="",N($B408)=0),"",IF(AND($I408="Phản ánh",$E408="Đã xử lý"),INDEX('Phản ánh'!$U$6:$U$505,MATCH($C408,'Phản ánh'!$A$6:$A$505,0)),IF(AND($I408="Công việc",OR($E408="Hoàn thành",$E408="Hoàn thành kỳ")),IF(INDEX('Kế hoạch'!$B$6:$B$305,$O408)="Đột xuất",INDEX('Kế hoạch'!$AY$6:$AY$305,$O408),IF(N($P408)=0,"",IF(INT($B408)&lt;$P408,$P408,IF($Q408&gt;0,$P408+ROUND((INT($B408)-$P408)/$Q408,0)*$Q408,IF($R408&gt;0,EDATE($P408,ROUND((DATEDIF($P408,INT($B408),"m")+(INT($B408)-EDATE($P408,DATEDIF($P408,INT($B408),"m")))/(EDATE($P408,DATEDIF($P408,INT($B408),"m")+1)-EDATE($P408,DATEDIF($P408,INT($B408),"m"))))/$R408,0)*$R408),$P408))))),"")))</f>
      </c>
      <c r="M408" s="223">
        <f>IF(OR($C408="",N($L408)=0,N($B408)=0),"",IF(IF(MOD($L408,1)=0,INT($B408),$B408)&lt;=$L408,"Đúng hạn","Trễ hạn"))</f>
      </c>
      <c r="N408" s="225">
        <f>IF($C408="","",ROW())</f>
      </c>
      <c r="O408" s="225">
        <f>IF($I408="Công việc",MATCH($C408,'Kế hoạch'!$A$6:$A$305,0),"")</f>
      </c>
      <c r="P408" s="234">
        <f>IF($O408="","",INDEX('Kế hoạch'!$I$6:$I$305,$O408))</f>
      </c>
      <c r="Q408" s="225">
        <f>IF($O408="","",INDEX('Kế hoạch'!$AJ$6:$AJ$305,$O408))</f>
      </c>
      <c r="R408" s="225">
        <f>IF($O408="","",INDEX('Kế hoạch'!$AK$6:$AK$305,$O408))</f>
      </c>
    </row>
    <row r="409">
      <c r="A409" s="223">
        <f>IF($C409="","",COUNTIF($C$6:$C409,"?*"))</f>
      </c>
      <c r="B409" s="217"/>
      <c r="C409" s="216"/>
      <c r="D409" s="240"/>
      <c r="E409" s="218"/>
      <c r="F409" s="218"/>
      <c r="G409" s="218"/>
      <c r="H409" s="219"/>
      <c r="I409" s="223">
        <f>IF($C409="","",IF(ISNUMBER(MATCH($C409,'Phản ánh'!$A$6:$A$505,0)),"Phản ánh",IF(ISNUMBER(MATCH($C409,'Kế hoạch'!$A$6:$A$305,0)),"Công việc","Mã chưa có")))</f>
      </c>
      <c r="J409" s="221">
        <f>IF($I409="Phản ánh",INDEX('Phản ánh'!$C$6:$C$505,MATCH($C409,'Phản ánh'!$A$6:$A$505,0)),IF($I409="Công việc",INDEX('Kế hoạch'!$C$6:$C$305,$O409),""))</f>
      </c>
      <c r="K409" s="221">
        <f>IF($I409="Phản ánh",INDEX('Phản ánh'!$K$6:$K$505,MATCH($C409,'Phản ánh'!$A$6:$A$505,0))&amp;"",IF($I409="Công việc",INDEX('Kế hoạch'!$N$6:$N$305,$O409)&amp;"",""))</f>
      </c>
      <c r="L409" s="220">
        <f>IF(OR($C409="",N($B409)=0),"",IF(AND($I409="Phản ánh",$E409="Đã xử lý"),INDEX('Phản ánh'!$U$6:$U$505,MATCH($C409,'Phản ánh'!$A$6:$A$505,0)),IF(AND($I409="Công việc",OR($E409="Hoàn thành",$E409="Hoàn thành kỳ")),IF(INDEX('Kế hoạch'!$B$6:$B$305,$O409)="Đột xuất",INDEX('Kế hoạch'!$AY$6:$AY$305,$O409),IF(N($P409)=0,"",IF(INT($B409)&lt;$P409,$P409,IF($Q409&gt;0,$P409+ROUND((INT($B409)-$P409)/$Q409,0)*$Q409,IF($R409&gt;0,EDATE($P409,ROUND((DATEDIF($P409,INT($B409),"m")+(INT($B409)-EDATE($P409,DATEDIF($P409,INT($B409),"m")))/(EDATE($P409,DATEDIF($P409,INT($B409),"m")+1)-EDATE($P409,DATEDIF($P409,INT($B409),"m"))))/$R409,0)*$R409),$P409))))),"")))</f>
      </c>
      <c r="M409" s="223">
        <f>IF(OR($C409="",N($L409)=0,N($B409)=0),"",IF(IF(MOD($L409,1)=0,INT($B409),$B409)&lt;=$L409,"Đúng hạn","Trễ hạn"))</f>
      </c>
      <c r="N409" s="225">
        <f>IF($C409="","",ROW())</f>
      </c>
      <c r="O409" s="225">
        <f>IF($I409="Công việc",MATCH($C409,'Kế hoạch'!$A$6:$A$305,0),"")</f>
      </c>
      <c r="P409" s="234">
        <f>IF($O409="","",INDEX('Kế hoạch'!$I$6:$I$305,$O409))</f>
      </c>
      <c r="Q409" s="225">
        <f>IF($O409="","",INDEX('Kế hoạch'!$AJ$6:$AJ$305,$O409))</f>
      </c>
      <c r="R409" s="225">
        <f>IF($O409="","",INDEX('Kế hoạch'!$AK$6:$AK$305,$O409))</f>
      </c>
    </row>
    <row r="410">
      <c r="A410" s="223">
        <f>IF($C410="","",COUNTIF($C$6:$C410,"?*"))</f>
      </c>
      <c r="B410" s="217"/>
      <c r="C410" s="216"/>
      <c r="D410" s="240"/>
      <c r="E410" s="218"/>
      <c r="F410" s="218"/>
      <c r="G410" s="218"/>
      <c r="H410" s="219"/>
      <c r="I410" s="223">
        <f>IF($C410="","",IF(ISNUMBER(MATCH($C410,'Phản ánh'!$A$6:$A$505,0)),"Phản ánh",IF(ISNUMBER(MATCH($C410,'Kế hoạch'!$A$6:$A$305,0)),"Công việc","Mã chưa có")))</f>
      </c>
      <c r="J410" s="221">
        <f>IF($I410="Phản ánh",INDEX('Phản ánh'!$C$6:$C$505,MATCH($C410,'Phản ánh'!$A$6:$A$505,0)),IF($I410="Công việc",INDEX('Kế hoạch'!$C$6:$C$305,$O410),""))</f>
      </c>
      <c r="K410" s="221">
        <f>IF($I410="Phản ánh",INDEX('Phản ánh'!$K$6:$K$505,MATCH($C410,'Phản ánh'!$A$6:$A$505,0))&amp;"",IF($I410="Công việc",INDEX('Kế hoạch'!$N$6:$N$305,$O410)&amp;"",""))</f>
      </c>
      <c r="L410" s="220">
        <f>IF(OR($C410="",N($B410)=0),"",IF(AND($I410="Phản ánh",$E410="Đã xử lý"),INDEX('Phản ánh'!$U$6:$U$505,MATCH($C410,'Phản ánh'!$A$6:$A$505,0)),IF(AND($I410="Công việc",OR($E410="Hoàn thành",$E410="Hoàn thành kỳ")),IF(INDEX('Kế hoạch'!$B$6:$B$305,$O410)="Đột xuất",INDEX('Kế hoạch'!$AY$6:$AY$305,$O410),IF(N($P410)=0,"",IF(INT($B410)&lt;$P410,$P410,IF($Q410&gt;0,$P410+ROUND((INT($B410)-$P410)/$Q410,0)*$Q410,IF($R410&gt;0,EDATE($P410,ROUND((DATEDIF($P410,INT($B410),"m")+(INT($B410)-EDATE($P410,DATEDIF($P410,INT($B410),"m")))/(EDATE($P410,DATEDIF($P410,INT($B410),"m")+1)-EDATE($P410,DATEDIF($P410,INT($B410),"m"))))/$R410,0)*$R410),$P410))))),"")))</f>
      </c>
      <c r="M410" s="223">
        <f>IF(OR($C410="",N($L410)=0,N($B410)=0),"",IF(IF(MOD($L410,1)=0,INT($B410),$B410)&lt;=$L410,"Đúng hạn","Trễ hạn"))</f>
      </c>
      <c r="N410" s="225">
        <f>IF($C410="","",ROW())</f>
      </c>
      <c r="O410" s="225">
        <f>IF($I410="Công việc",MATCH($C410,'Kế hoạch'!$A$6:$A$305,0),"")</f>
      </c>
      <c r="P410" s="234">
        <f>IF($O410="","",INDEX('Kế hoạch'!$I$6:$I$305,$O410))</f>
      </c>
      <c r="Q410" s="225">
        <f>IF($O410="","",INDEX('Kế hoạch'!$AJ$6:$AJ$305,$O410))</f>
      </c>
      <c r="R410" s="225">
        <f>IF($O410="","",INDEX('Kế hoạch'!$AK$6:$AK$305,$O410))</f>
      </c>
    </row>
    <row r="411">
      <c r="A411" s="223">
        <f>IF($C411="","",COUNTIF($C$6:$C411,"?*"))</f>
      </c>
      <c r="B411" s="217"/>
      <c r="C411" s="216"/>
      <c r="D411" s="240"/>
      <c r="E411" s="218"/>
      <c r="F411" s="218"/>
      <c r="G411" s="218"/>
      <c r="H411" s="219"/>
      <c r="I411" s="223">
        <f>IF($C411="","",IF(ISNUMBER(MATCH($C411,'Phản ánh'!$A$6:$A$505,0)),"Phản ánh",IF(ISNUMBER(MATCH($C411,'Kế hoạch'!$A$6:$A$305,0)),"Công việc","Mã chưa có")))</f>
      </c>
      <c r="J411" s="221">
        <f>IF($I411="Phản ánh",INDEX('Phản ánh'!$C$6:$C$505,MATCH($C411,'Phản ánh'!$A$6:$A$505,0)),IF($I411="Công việc",INDEX('Kế hoạch'!$C$6:$C$305,$O411),""))</f>
      </c>
      <c r="K411" s="221">
        <f>IF($I411="Phản ánh",INDEX('Phản ánh'!$K$6:$K$505,MATCH($C411,'Phản ánh'!$A$6:$A$505,0))&amp;"",IF($I411="Công việc",INDEX('Kế hoạch'!$N$6:$N$305,$O411)&amp;"",""))</f>
      </c>
      <c r="L411" s="220">
        <f>IF(OR($C411="",N($B411)=0),"",IF(AND($I411="Phản ánh",$E411="Đã xử lý"),INDEX('Phản ánh'!$U$6:$U$505,MATCH($C411,'Phản ánh'!$A$6:$A$505,0)),IF(AND($I411="Công việc",OR($E411="Hoàn thành",$E411="Hoàn thành kỳ")),IF(INDEX('Kế hoạch'!$B$6:$B$305,$O411)="Đột xuất",INDEX('Kế hoạch'!$AY$6:$AY$305,$O411),IF(N($P411)=0,"",IF(INT($B411)&lt;$P411,$P411,IF($Q411&gt;0,$P411+ROUND((INT($B411)-$P411)/$Q411,0)*$Q411,IF($R411&gt;0,EDATE($P411,ROUND((DATEDIF($P411,INT($B411),"m")+(INT($B411)-EDATE($P411,DATEDIF($P411,INT($B411),"m")))/(EDATE($P411,DATEDIF($P411,INT($B411),"m")+1)-EDATE($P411,DATEDIF($P411,INT($B411),"m"))))/$R411,0)*$R411),$P411))))),"")))</f>
      </c>
      <c r="M411" s="223">
        <f>IF(OR($C411="",N($L411)=0,N($B411)=0),"",IF(IF(MOD($L411,1)=0,INT($B411),$B411)&lt;=$L411,"Đúng hạn","Trễ hạn"))</f>
      </c>
      <c r="N411" s="225">
        <f>IF($C411="","",ROW())</f>
      </c>
      <c r="O411" s="225">
        <f>IF($I411="Công việc",MATCH($C411,'Kế hoạch'!$A$6:$A$305,0),"")</f>
      </c>
      <c r="P411" s="234">
        <f>IF($O411="","",INDEX('Kế hoạch'!$I$6:$I$305,$O411))</f>
      </c>
      <c r="Q411" s="225">
        <f>IF($O411="","",INDEX('Kế hoạch'!$AJ$6:$AJ$305,$O411))</f>
      </c>
      <c r="R411" s="225">
        <f>IF($O411="","",INDEX('Kế hoạch'!$AK$6:$AK$305,$O411))</f>
      </c>
    </row>
    <row r="412">
      <c r="A412" s="223">
        <f>IF($C412="","",COUNTIF($C$6:$C412,"?*"))</f>
      </c>
      <c r="B412" s="217"/>
      <c r="C412" s="216"/>
      <c r="D412" s="240"/>
      <c r="E412" s="218"/>
      <c r="F412" s="218"/>
      <c r="G412" s="218"/>
      <c r="H412" s="219"/>
      <c r="I412" s="223">
        <f>IF($C412="","",IF(ISNUMBER(MATCH($C412,'Phản ánh'!$A$6:$A$505,0)),"Phản ánh",IF(ISNUMBER(MATCH($C412,'Kế hoạch'!$A$6:$A$305,0)),"Công việc","Mã chưa có")))</f>
      </c>
      <c r="J412" s="221">
        <f>IF($I412="Phản ánh",INDEX('Phản ánh'!$C$6:$C$505,MATCH($C412,'Phản ánh'!$A$6:$A$505,0)),IF($I412="Công việc",INDEX('Kế hoạch'!$C$6:$C$305,$O412),""))</f>
      </c>
      <c r="K412" s="221">
        <f>IF($I412="Phản ánh",INDEX('Phản ánh'!$K$6:$K$505,MATCH($C412,'Phản ánh'!$A$6:$A$505,0))&amp;"",IF($I412="Công việc",INDEX('Kế hoạch'!$N$6:$N$305,$O412)&amp;"",""))</f>
      </c>
      <c r="L412" s="220">
        <f>IF(OR($C412="",N($B412)=0),"",IF(AND($I412="Phản ánh",$E412="Đã xử lý"),INDEX('Phản ánh'!$U$6:$U$505,MATCH($C412,'Phản ánh'!$A$6:$A$505,0)),IF(AND($I412="Công việc",OR($E412="Hoàn thành",$E412="Hoàn thành kỳ")),IF(INDEX('Kế hoạch'!$B$6:$B$305,$O412)="Đột xuất",INDEX('Kế hoạch'!$AY$6:$AY$305,$O412),IF(N($P412)=0,"",IF(INT($B412)&lt;$P412,$P412,IF($Q412&gt;0,$P412+ROUND((INT($B412)-$P412)/$Q412,0)*$Q412,IF($R412&gt;0,EDATE($P412,ROUND((DATEDIF($P412,INT($B412),"m")+(INT($B412)-EDATE($P412,DATEDIF($P412,INT($B412),"m")))/(EDATE($P412,DATEDIF($P412,INT($B412),"m")+1)-EDATE($P412,DATEDIF($P412,INT($B412),"m"))))/$R412,0)*$R412),$P412))))),"")))</f>
      </c>
      <c r="M412" s="223">
        <f>IF(OR($C412="",N($L412)=0,N($B412)=0),"",IF(IF(MOD($L412,1)=0,INT($B412),$B412)&lt;=$L412,"Đúng hạn","Trễ hạn"))</f>
      </c>
      <c r="N412" s="225">
        <f>IF($C412="","",ROW())</f>
      </c>
      <c r="O412" s="225">
        <f>IF($I412="Công việc",MATCH($C412,'Kế hoạch'!$A$6:$A$305,0),"")</f>
      </c>
      <c r="P412" s="234">
        <f>IF($O412="","",INDEX('Kế hoạch'!$I$6:$I$305,$O412))</f>
      </c>
      <c r="Q412" s="225">
        <f>IF($O412="","",INDEX('Kế hoạch'!$AJ$6:$AJ$305,$O412))</f>
      </c>
      <c r="R412" s="225">
        <f>IF($O412="","",INDEX('Kế hoạch'!$AK$6:$AK$305,$O412))</f>
      </c>
    </row>
    <row r="413">
      <c r="A413" s="223">
        <f>IF($C413="","",COUNTIF($C$6:$C413,"?*"))</f>
      </c>
      <c r="B413" s="217"/>
      <c r="C413" s="216"/>
      <c r="D413" s="240"/>
      <c r="E413" s="218"/>
      <c r="F413" s="218"/>
      <c r="G413" s="218"/>
      <c r="H413" s="219"/>
      <c r="I413" s="223">
        <f>IF($C413="","",IF(ISNUMBER(MATCH($C413,'Phản ánh'!$A$6:$A$505,0)),"Phản ánh",IF(ISNUMBER(MATCH($C413,'Kế hoạch'!$A$6:$A$305,0)),"Công việc","Mã chưa có")))</f>
      </c>
      <c r="J413" s="221">
        <f>IF($I413="Phản ánh",INDEX('Phản ánh'!$C$6:$C$505,MATCH($C413,'Phản ánh'!$A$6:$A$505,0)),IF($I413="Công việc",INDEX('Kế hoạch'!$C$6:$C$305,$O413),""))</f>
      </c>
      <c r="K413" s="221">
        <f>IF($I413="Phản ánh",INDEX('Phản ánh'!$K$6:$K$505,MATCH($C413,'Phản ánh'!$A$6:$A$505,0))&amp;"",IF($I413="Công việc",INDEX('Kế hoạch'!$N$6:$N$305,$O413)&amp;"",""))</f>
      </c>
      <c r="L413" s="220">
        <f>IF(OR($C413="",N($B413)=0),"",IF(AND($I413="Phản ánh",$E413="Đã xử lý"),INDEX('Phản ánh'!$U$6:$U$505,MATCH($C413,'Phản ánh'!$A$6:$A$505,0)),IF(AND($I413="Công việc",OR($E413="Hoàn thành",$E413="Hoàn thành kỳ")),IF(INDEX('Kế hoạch'!$B$6:$B$305,$O413)="Đột xuất",INDEX('Kế hoạch'!$AY$6:$AY$305,$O413),IF(N($P413)=0,"",IF(INT($B413)&lt;$P413,$P413,IF($Q413&gt;0,$P413+ROUND((INT($B413)-$P413)/$Q413,0)*$Q413,IF($R413&gt;0,EDATE($P413,ROUND((DATEDIF($P413,INT($B413),"m")+(INT($B413)-EDATE($P413,DATEDIF($P413,INT($B413),"m")))/(EDATE($P413,DATEDIF($P413,INT($B413),"m")+1)-EDATE($P413,DATEDIF($P413,INT($B413),"m"))))/$R413,0)*$R413),$P413))))),"")))</f>
      </c>
      <c r="M413" s="223">
        <f>IF(OR($C413="",N($L413)=0,N($B413)=0),"",IF(IF(MOD($L413,1)=0,INT($B413),$B413)&lt;=$L413,"Đúng hạn","Trễ hạn"))</f>
      </c>
      <c r="N413" s="225">
        <f>IF($C413="","",ROW())</f>
      </c>
      <c r="O413" s="225">
        <f>IF($I413="Công việc",MATCH($C413,'Kế hoạch'!$A$6:$A$305,0),"")</f>
      </c>
      <c r="P413" s="234">
        <f>IF($O413="","",INDEX('Kế hoạch'!$I$6:$I$305,$O413))</f>
      </c>
      <c r="Q413" s="225">
        <f>IF($O413="","",INDEX('Kế hoạch'!$AJ$6:$AJ$305,$O413))</f>
      </c>
      <c r="R413" s="225">
        <f>IF($O413="","",INDEX('Kế hoạch'!$AK$6:$AK$305,$O413))</f>
      </c>
    </row>
    <row r="414">
      <c r="A414" s="223">
        <f>IF($C414="","",COUNTIF($C$6:$C414,"?*"))</f>
      </c>
      <c r="B414" s="217"/>
      <c r="C414" s="216"/>
      <c r="D414" s="240"/>
      <c r="E414" s="218"/>
      <c r="F414" s="218"/>
      <c r="G414" s="218"/>
      <c r="H414" s="219"/>
      <c r="I414" s="223">
        <f>IF($C414="","",IF(ISNUMBER(MATCH($C414,'Phản ánh'!$A$6:$A$505,0)),"Phản ánh",IF(ISNUMBER(MATCH($C414,'Kế hoạch'!$A$6:$A$305,0)),"Công việc","Mã chưa có")))</f>
      </c>
      <c r="J414" s="221">
        <f>IF($I414="Phản ánh",INDEX('Phản ánh'!$C$6:$C$505,MATCH($C414,'Phản ánh'!$A$6:$A$505,0)),IF($I414="Công việc",INDEX('Kế hoạch'!$C$6:$C$305,$O414),""))</f>
      </c>
      <c r="K414" s="221">
        <f>IF($I414="Phản ánh",INDEX('Phản ánh'!$K$6:$K$505,MATCH($C414,'Phản ánh'!$A$6:$A$505,0))&amp;"",IF($I414="Công việc",INDEX('Kế hoạch'!$N$6:$N$305,$O414)&amp;"",""))</f>
      </c>
      <c r="L414" s="220">
        <f>IF(OR($C414="",N($B414)=0),"",IF(AND($I414="Phản ánh",$E414="Đã xử lý"),INDEX('Phản ánh'!$U$6:$U$505,MATCH($C414,'Phản ánh'!$A$6:$A$505,0)),IF(AND($I414="Công việc",OR($E414="Hoàn thành",$E414="Hoàn thành kỳ")),IF(INDEX('Kế hoạch'!$B$6:$B$305,$O414)="Đột xuất",INDEX('Kế hoạch'!$AY$6:$AY$305,$O414),IF(N($P414)=0,"",IF(INT($B414)&lt;$P414,$P414,IF($Q414&gt;0,$P414+ROUND((INT($B414)-$P414)/$Q414,0)*$Q414,IF($R414&gt;0,EDATE($P414,ROUND((DATEDIF($P414,INT($B414),"m")+(INT($B414)-EDATE($P414,DATEDIF($P414,INT($B414),"m")))/(EDATE($P414,DATEDIF($P414,INT($B414),"m")+1)-EDATE($P414,DATEDIF($P414,INT($B414),"m"))))/$R414,0)*$R414),$P414))))),"")))</f>
      </c>
      <c r="M414" s="223">
        <f>IF(OR($C414="",N($L414)=0,N($B414)=0),"",IF(IF(MOD($L414,1)=0,INT($B414),$B414)&lt;=$L414,"Đúng hạn","Trễ hạn"))</f>
      </c>
      <c r="N414" s="225">
        <f>IF($C414="","",ROW())</f>
      </c>
      <c r="O414" s="225">
        <f>IF($I414="Công việc",MATCH($C414,'Kế hoạch'!$A$6:$A$305,0),"")</f>
      </c>
      <c r="P414" s="234">
        <f>IF($O414="","",INDEX('Kế hoạch'!$I$6:$I$305,$O414))</f>
      </c>
      <c r="Q414" s="225">
        <f>IF($O414="","",INDEX('Kế hoạch'!$AJ$6:$AJ$305,$O414))</f>
      </c>
      <c r="R414" s="225">
        <f>IF($O414="","",INDEX('Kế hoạch'!$AK$6:$AK$305,$O414))</f>
      </c>
    </row>
    <row r="415">
      <c r="A415" s="223">
        <f>IF($C415="","",COUNTIF($C$6:$C415,"?*"))</f>
      </c>
      <c r="B415" s="217"/>
      <c r="C415" s="216"/>
      <c r="D415" s="240"/>
      <c r="E415" s="218"/>
      <c r="F415" s="218"/>
      <c r="G415" s="218"/>
      <c r="H415" s="219"/>
      <c r="I415" s="223">
        <f>IF($C415="","",IF(ISNUMBER(MATCH($C415,'Phản ánh'!$A$6:$A$505,0)),"Phản ánh",IF(ISNUMBER(MATCH($C415,'Kế hoạch'!$A$6:$A$305,0)),"Công việc","Mã chưa có")))</f>
      </c>
      <c r="J415" s="221">
        <f>IF($I415="Phản ánh",INDEX('Phản ánh'!$C$6:$C$505,MATCH($C415,'Phản ánh'!$A$6:$A$505,0)),IF($I415="Công việc",INDEX('Kế hoạch'!$C$6:$C$305,$O415),""))</f>
      </c>
      <c r="K415" s="221">
        <f>IF($I415="Phản ánh",INDEX('Phản ánh'!$K$6:$K$505,MATCH($C415,'Phản ánh'!$A$6:$A$505,0))&amp;"",IF($I415="Công việc",INDEX('Kế hoạch'!$N$6:$N$305,$O415)&amp;"",""))</f>
      </c>
      <c r="L415" s="220">
        <f>IF(OR($C415="",N($B415)=0),"",IF(AND($I415="Phản ánh",$E415="Đã xử lý"),INDEX('Phản ánh'!$U$6:$U$505,MATCH($C415,'Phản ánh'!$A$6:$A$505,0)),IF(AND($I415="Công việc",OR($E415="Hoàn thành",$E415="Hoàn thành kỳ")),IF(INDEX('Kế hoạch'!$B$6:$B$305,$O415)="Đột xuất",INDEX('Kế hoạch'!$AY$6:$AY$305,$O415),IF(N($P415)=0,"",IF(INT($B415)&lt;$P415,$P415,IF($Q415&gt;0,$P415+ROUND((INT($B415)-$P415)/$Q415,0)*$Q415,IF($R415&gt;0,EDATE($P415,ROUND((DATEDIF($P415,INT($B415),"m")+(INT($B415)-EDATE($P415,DATEDIF($P415,INT($B415),"m")))/(EDATE($P415,DATEDIF($P415,INT($B415),"m")+1)-EDATE($P415,DATEDIF($P415,INT($B415),"m"))))/$R415,0)*$R415),$P415))))),"")))</f>
      </c>
      <c r="M415" s="223">
        <f>IF(OR($C415="",N($L415)=0,N($B415)=0),"",IF(IF(MOD($L415,1)=0,INT($B415),$B415)&lt;=$L415,"Đúng hạn","Trễ hạn"))</f>
      </c>
      <c r="N415" s="225">
        <f>IF($C415="","",ROW())</f>
      </c>
      <c r="O415" s="225">
        <f>IF($I415="Công việc",MATCH($C415,'Kế hoạch'!$A$6:$A$305,0),"")</f>
      </c>
      <c r="P415" s="234">
        <f>IF($O415="","",INDEX('Kế hoạch'!$I$6:$I$305,$O415))</f>
      </c>
      <c r="Q415" s="225">
        <f>IF($O415="","",INDEX('Kế hoạch'!$AJ$6:$AJ$305,$O415))</f>
      </c>
      <c r="R415" s="225">
        <f>IF($O415="","",INDEX('Kế hoạch'!$AK$6:$AK$305,$O415))</f>
      </c>
    </row>
    <row r="416">
      <c r="A416" s="223">
        <f>IF($C416="","",COUNTIF($C$6:$C416,"?*"))</f>
      </c>
      <c r="B416" s="217"/>
      <c r="C416" s="216"/>
      <c r="D416" s="240"/>
      <c r="E416" s="218"/>
      <c r="F416" s="218"/>
      <c r="G416" s="218"/>
      <c r="H416" s="219"/>
      <c r="I416" s="223">
        <f>IF($C416="","",IF(ISNUMBER(MATCH($C416,'Phản ánh'!$A$6:$A$505,0)),"Phản ánh",IF(ISNUMBER(MATCH($C416,'Kế hoạch'!$A$6:$A$305,0)),"Công việc","Mã chưa có")))</f>
      </c>
      <c r="J416" s="221">
        <f>IF($I416="Phản ánh",INDEX('Phản ánh'!$C$6:$C$505,MATCH($C416,'Phản ánh'!$A$6:$A$505,0)),IF($I416="Công việc",INDEX('Kế hoạch'!$C$6:$C$305,$O416),""))</f>
      </c>
      <c r="K416" s="221">
        <f>IF($I416="Phản ánh",INDEX('Phản ánh'!$K$6:$K$505,MATCH($C416,'Phản ánh'!$A$6:$A$505,0))&amp;"",IF($I416="Công việc",INDEX('Kế hoạch'!$N$6:$N$305,$O416)&amp;"",""))</f>
      </c>
      <c r="L416" s="220">
        <f>IF(OR($C416="",N($B416)=0),"",IF(AND($I416="Phản ánh",$E416="Đã xử lý"),INDEX('Phản ánh'!$U$6:$U$505,MATCH($C416,'Phản ánh'!$A$6:$A$505,0)),IF(AND($I416="Công việc",OR($E416="Hoàn thành",$E416="Hoàn thành kỳ")),IF(INDEX('Kế hoạch'!$B$6:$B$305,$O416)="Đột xuất",INDEX('Kế hoạch'!$AY$6:$AY$305,$O416),IF(N($P416)=0,"",IF(INT($B416)&lt;$P416,$P416,IF($Q416&gt;0,$P416+ROUND((INT($B416)-$P416)/$Q416,0)*$Q416,IF($R416&gt;0,EDATE($P416,ROUND((DATEDIF($P416,INT($B416),"m")+(INT($B416)-EDATE($P416,DATEDIF($P416,INT($B416),"m")))/(EDATE($P416,DATEDIF($P416,INT($B416),"m")+1)-EDATE($P416,DATEDIF($P416,INT($B416),"m"))))/$R416,0)*$R416),$P416))))),"")))</f>
      </c>
      <c r="M416" s="223">
        <f>IF(OR($C416="",N($L416)=0,N($B416)=0),"",IF(IF(MOD($L416,1)=0,INT($B416),$B416)&lt;=$L416,"Đúng hạn","Trễ hạn"))</f>
      </c>
      <c r="N416" s="225">
        <f>IF($C416="","",ROW())</f>
      </c>
      <c r="O416" s="225">
        <f>IF($I416="Công việc",MATCH($C416,'Kế hoạch'!$A$6:$A$305,0),"")</f>
      </c>
      <c r="P416" s="234">
        <f>IF($O416="","",INDEX('Kế hoạch'!$I$6:$I$305,$O416))</f>
      </c>
      <c r="Q416" s="225">
        <f>IF($O416="","",INDEX('Kế hoạch'!$AJ$6:$AJ$305,$O416))</f>
      </c>
      <c r="R416" s="225">
        <f>IF($O416="","",INDEX('Kế hoạch'!$AK$6:$AK$305,$O416))</f>
      </c>
    </row>
    <row r="417">
      <c r="A417" s="223">
        <f>IF($C417="","",COUNTIF($C$6:$C417,"?*"))</f>
      </c>
      <c r="B417" s="217"/>
      <c r="C417" s="216"/>
      <c r="D417" s="240"/>
      <c r="E417" s="218"/>
      <c r="F417" s="218"/>
      <c r="G417" s="218"/>
      <c r="H417" s="219"/>
      <c r="I417" s="223">
        <f>IF($C417="","",IF(ISNUMBER(MATCH($C417,'Phản ánh'!$A$6:$A$505,0)),"Phản ánh",IF(ISNUMBER(MATCH($C417,'Kế hoạch'!$A$6:$A$305,0)),"Công việc","Mã chưa có")))</f>
      </c>
      <c r="J417" s="221">
        <f>IF($I417="Phản ánh",INDEX('Phản ánh'!$C$6:$C$505,MATCH($C417,'Phản ánh'!$A$6:$A$505,0)),IF($I417="Công việc",INDEX('Kế hoạch'!$C$6:$C$305,$O417),""))</f>
      </c>
      <c r="K417" s="221">
        <f>IF($I417="Phản ánh",INDEX('Phản ánh'!$K$6:$K$505,MATCH($C417,'Phản ánh'!$A$6:$A$505,0))&amp;"",IF($I417="Công việc",INDEX('Kế hoạch'!$N$6:$N$305,$O417)&amp;"",""))</f>
      </c>
      <c r="L417" s="220">
        <f>IF(OR($C417="",N($B417)=0),"",IF(AND($I417="Phản ánh",$E417="Đã xử lý"),INDEX('Phản ánh'!$U$6:$U$505,MATCH($C417,'Phản ánh'!$A$6:$A$505,0)),IF(AND($I417="Công việc",OR($E417="Hoàn thành",$E417="Hoàn thành kỳ")),IF(INDEX('Kế hoạch'!$B$6:$B$305,$O417)="Đột xuất",INDEX('Kế hoạch'!$AY$6:$AY$305,$O417),IF(N($P417)=0,"",IF(INT($B417)&lt;$P417,$P417,IF($Q417&gt;0,$P417+ROUND((INT($B417)-$P417)/$Q417,0)*$Q417,IF($R417&gt;0,EDATE($P417,ROUND((DATEDIF($P417,INT($B417),"m")+(INT($B417)-EDATE($P417,DATEDIF($P417,INT($B417),"m")))/(EDATE($P417,DATEDIF($P417,INT($B417),"m")+1)-EDATE($P417,DATEDIF($P417,INT($B417),"m"))))/$R417,0)*$R417),$P417))))),"")))</f>
      </c>
      <c r="M417" s="223">
        <f>IF(OR($C417="",N($L417)=0,N($B417)=0),"",IF(IF(MOD($L417,1)=0,INT($B417),$B417)&lt;=$L417,"Đúng hạn","Trễ hạn"))</f>
      </c>
      <c r="N417" s="225">
        <f>IF($C417="","",ROW())</f>
      </c>
      <c r="O417" s="225">
        <f>IF($I417="Công việc",MATCH($C417,'Kế hoạch'!$A$6:$A$305,0),"")</f>
      </c>
      <c r="P417" s="234">
        <f>IF($O417="","",INDEX('Kế hoạch'!$I$6:$I$305,$O417))</f>
      </c>
      <c r="Q417" s="225">
        <f>IF($O417="","",INDEX('Kế hoạch'!$AJ$6:$AJ$305,$O417))</f>
      </c>
      <c r="R417" s="225">
        <f>IF($O417="","",INDEX('Kế hoạch'!$AK$6:$AK$305,$O417))</f>
      </c>
    </row>
    <row r="418">
      <c r="A418" s="223">
        <f>IF($C418="","",COUNTIF($C$6:$C418,"?*"))</f>
      </c>
      <c r="B418" s="217"/>
      <c r="C418" s="216"/>
      <c r="D418" s="240"/>
      <c r="E418" s="218"/>
      <c r="F418" s="218"/>
      <c r="G418" s="218"/>
      <c r="H418" s="219"/>
      <c r="I418" s="223">
        <f>IF($C418="","",IF(ISNUMBER(MATCH($C418,'Phản ánh'!$A$6:$A$505,0)),"Phản ánh",IF(ISNUMBER(MATCH($C418,'Kế hoạch'!$A$6:$A$305,0)),"Công việc","Mã chưa có")))</f>
      </c>
      <c r="J418" s="221">
        <f>IF($I418="Phản ánh",INDEX('Phản ánh'!$C$6:$C$505,MATCH($C418,'Phản ánh'!$A$6:$A$505,0)),IF($I418="Công việc",INDEX('Kế hoạch'!$C$6:$C$305,$O418),""))</f>
      </c>
      <c r="K418" s="221">
        <f>IF($I418="Phản ánh",INDEX('Phản ánh'!$K$6:$K$505,MATCH($C418,'Phản ánh'!$A$6:$A$505,0))&amp;"",IF($I418="Công việc",INDEX('Kế hoạch'!$N$6:$N$305,$O418)&amp;"",""))</f>
      </c>
      <c r="L418" s="220">
        <f>IF(OR($C418="",N($B418)=0),"",IF(AND($I418="Phản ánh",$E418="Đã xử lý"),INDEX('Phản ánh'!$U$6:$U$505,MATCH($C418,'Phản ánh'!$A$6:$A$505,0)),IF(AND($I418="Công việc",OR($E418="Hoàn thành",$E418="Hoàn thành kỳ")),IF(INDEX('Kế hoạch'!$B$6:$B$305,$O418)="Đột xuất",INDEX('Kế hoạch'!$AY$6:$AY$305,$O418),IF(N($P418)=0,"",IF(INT($B418)&lt;$P418,$P418,IF($Q418&gt;0,$P418+ROUND((INT($B418)-$P418)/$Q418,0)*$Q418,IF($R418&gt;0,EDATE($P418,ROUND((DATEDIF($P418,INT($B418),"m")+(INT($B418)-EDATE($P418,DATEDIF($P418,INT($B418),"m")))/(EDATE($P418,DATEDIF($P418,INT($B418),"m")+1)-EDATE($P418,DATEDIF($P418,INT($B418),"m"))))/$R418,0)*$R418),$P418))))),"")))</f>
      </c>
      <c r="M418" s="223">
        <f>IF(OR($C418="",N($L418)=0,N($B418)=0),"",IF(IF(MOD($L418,1)=0,INT($B418),$B418)&lt;=$L418,"Đúng hạn","Trễ hạn"))</f>
      </c>
      <c r="N418" s="225">
        <f>IF($C418="","",ROW())</f>
      </c>
      <c r="O418" s="225">
        <f>IF($I418="Công việc",MATCH($C418,'Kế hoạch'!$A$6:$A$305,0),"")</f>
      </c>
      <c r="P418" s="234">
        <f>IF($O418="","",INDEX('Kế hoạch'!$I$6:$I$305,$O418))</f>
      </c>
      <c r="Q418" s="225">
        <f>IF($O418="","",INDEX('Kế hoạch'!$AJ$6:$AJ$305,$O418))</f>
      </c>
      <c r="R418" s="225">
        <f>IF($O418="","",INDEX('Kế hoạch'!$AK$6:$AK$305,$O418))</f>
      </c>
    </row>
    <row r="419">
      <c r="A419" s="223">
        <f>IF($C419="","",COUNTIF($C$6:$C419,"?*"))</f>
      </c>
      <c r="B419" s="217"/>
      <c r="C419" s="216"/>
      <c r="D419" s="240"/>
      <c r="E419" s="218"/>
      <c r="F419" s="218"/>
      <c r="G419" s="218"/>
      <c r="H419" s="219"/>
      <c r="I419" s="223">
        <f>IF($C419="","",IF(ISNUMBER(MATCH($C419,'Phản ánh'!$A$6:$A$505,0)),"Phản ánh",IF(ISNUMBER(MATCH($C419,'Kế hoạch'!$A$6:$A$305,0)),"Công việc","Mã chưa có")))</f>
      </c>
      <c r="J419" s="221">
        <f>IF($I419="Phản ánh",INDEX('Phản ánh'!$C$6:$C$505,MATCH($C419,'Phản ánh'!$A$6:$A$505,0)),IF($I419="Công việc",INDEX('Kế hoạch'!$C$6:$C$305,$O419),""))</f>
      </c>
      <c r="K419" s="221">
        <f>IF($I419="Phản ánh",INDEX('Phản ánh'!$K$6:$K$505,MATCH($C419,'Phản ánh'!$A$6:$A$505,0))&amp;"",IF($I419="Công việc",INDEX('Kế hoạch'!$N$6:$N$305,$O419)&amp;"",""))</f>
      </c>
      <c r="L419" s="220">
        <f>IF(OR($C419="",N($B419)=0),"",IF(AND($I419="Phản ánh",$E419="Đã xử lý"),INDEX('Phản ánh'!$U$6:$U$505,MATCH($C419,'Phản ánh'!$A$6:$A$505,0)),IF(AND($I419="Công việc",OR($E419="Hoàn thành",$E419="Hoàn thành kỳ")),IF(INDEX('Kế hoạch'!$B$6:$B$305,$O419)="Đột xuất",INDEX('Kế hoạch'!$AY$6:$AY$305,$O419),IF(N($P419)=0,"",IF(INT($B419)&lt;$P419,$P419,IF($Q419&gt;0,$P419+ROUND((INT($B419)-$P419)/$Q419,0)*$Q419,IF($R419&gt;0,EDATE($P419,ROUND((DATEDIF($P419,INT($B419),"m")+(INT($B419)-EDATE($P419,DATEDIF($P419,INT($B419),"m")))/(EDATE($P419,DATEDIF($P419,INT($B419),"m")+1)-EDATE($P419,DATEDIF($P419,INT($B419),"m"))))/$R419,0)*$R419),$P419))))),"")))</f>
      </c>
      <c r="M419" s="223">
        <f>IF(OR($C419="",N($L419)=0,N($B419)=0),"",IF(IF(MOD($L419,1)=0,INT($B419),$B419)&lt;=$L419,"Đúng hạn","Trễ hạn"))</f>
      </c>
      <c r="N419" s="225">
        <f>IF($C419="","",ROW())</f>
      </c>
      <c r="O419" s="225">
        <f>IF($I419="Công việc",MATCH($C419,'Kế hoạch'!$A$6:$A$305,0),"")</f>
      </c>
      <c r="P419" s="234">
        <f>IF($O419="","",INDEX('Kế hoạch'!$I$6:$I$305,$O419))</f>
      </c>
      <c r="Q419" s="225">
        <f>IF($O419="","",INDEX('Kế hoạch'!$AJ$6:$AJ$305,$O419))</f>
      </c>
      <c r="R419" s="225">
        <f>IF($O419="","",INDEX('Kế hoạch'!$AK$6:$AK$305,$O419))</f>
      </c>
    </row>
    <row r="420">
      <c r="A420" s="223">
        <f>IF($C420="","",COUNTIF($C$6:$C420,"?*"))</f>
      </c>
      <c r="B420" s="217"/>
      <c r="C420" s="216"/>
      <c r="D420" s="240"/>
      <c r="E420" s="218"/>
      <c r="F420" s="218"/>
      <c r="G420" s="218"/>
      <c r="H420" s="219"/>
      <c r="I420" s="223">
        <f>IF($C420="","",IF(ISNUMBER(MATCH($C420,'Phản ánh'!$A$6:$A$505,0)),"Phản ánh",IF(ISNUMBER(MATCH($C420,'Kế hoạch'!$A$6:$A$305,0)),"Công việc","Mã chưa có")))</f>
      </c>
      <c r="J420" s="221">
        <f>IF($I420="Phản ánh",INDEX('Phản ánh'!$C$6:$C$505,MATCH($C420,'Phản ánh'!$A$6:$A$505,0)),IF($I420="Công việc",INDEX('Kế hoạch'!$C$6:$C$305,$O420),""))</f>
      </c>
      <c r="K420" s="221">
        <f>IF($I420="Phản ánh",INDEX('Phản ánh'!$K$6:$K$505,MATCH($C420,'Phản ánh'!$A$6:$A$505,0))&amp;"",IF($I420="Công việc",INDEX('Kế hoạch'!$N$6:$N$305,$O420)&amp;"",""))</f>
      </c>
      <c r="L420" s="220">
        <f>IF(OR($C420="",N($B420)=0),"",IF(AND($I420="Phản ánh",$E420="Đã xử lý"),INDEX('Phản ánh'!$U$6:$U$505,MATCH($C420,'Phản ánh'!$A$6:$A$505,0)),IF(AND($I420="Công việc",OR($E420="Hoàn thành",$E420="Hoàn thành kỳ")),IF(INDEX('Kế hoạch'!$B$6:$B$305,$O420)="Đột xuất",INDEX('Kế hoạch'!$AY$6:$AY$305,$O420),IF(N($P420)=0,"",IF(INT($B420)&lt;$P420,$P420,IF($Q420&gt;0,$P420+ROUND((INT($B420)-$P420)/$Q420,0)*$Q420,IF($R420&gt;0,EDATE($P420,ROUND((DATEDIF($P420,INT($B420),"m")+(INT($B420)-EDATE($P420,DATEDIF($P420,INT($B420),"m")))/(EDATE($P420,DATEDIF($P420,INT($B420),"m")+1)-EDATE($P420,DATEDIF($P420,INT($B420),"m"))))/$R420,0)*$R420),$P420))))),"")))</f>
      </c>
      <c r="M420" s="223">
        <f>IF(OR($C420="",N($L420)=0,N($B420)=0),"",IF(IF(MOD($L420,1)=0,INT($B420),$B420)&lt;=$L420,"Đúng hạn","Trễ hạn"))</f>
      </c>
      <c r="N420" s="225">
        <f>IF($C420="","",ROW())</f>
      </c>
      <c r="O420" s="225">
        <f>IF($I420="Công việc",MATCH($C420,'Kế hoạch'!$A$6:$A$305,0),"")</f>
      </c>
      <c r="P420" s="234">
        <f>IF($O420="","",INDEX('Kế hoạch'!$I$6:$I$305,$O420))</f>
      </c>
      <c r="Q420" s="225">
        <f>IF($O420="","",INDEX('Kế hoạch'!$AJ$6:$AJ$305,$O420))</f>
      </c>
      <c r="R420" s="225">
        <f>IF($O420="","",INDEX('Kế hoạch'!$AK$6:$AK$305,$O420))</f>
      </c>
    </row>
    <row r="421">
      <c r="A421" s="223">
        <f>IF($C421="","",COUNTIF($C$6:$C421,"?*"))</f>
      </c>
      <c r="B421" s="217"/>
      <c r="C421" s="216"/>
      <c r="D421" s="240"/>
      <c r="E421" s="218"/>
      <c r="F421" s="218"/>
      <c r="G421" s="218"/>
      <c r="H421" s="219"/>
      <c r="I421" s="223">
        <f>IF($C421="","",IF(ISNUMBER(MATCH($C421,'Phản ánh'!$A$6:$A$505,0)),"Phản ánh",IF(ISNUMBER(MATCH($C421,'Kế hoạch'!$A$6:$A$305,0)),"Công việc","Mã chưa có")))</f>
      </c>
      <c r="J421" s="221">
        <f>IF($I421="Phản ánh",INDEX('Phản ánh'!$C$6:$C$505,MATCH($C421,'Phản ánh'!$A$6:$A$505,0)),IF($I421="Công việc",INDEX('Kế hoạch'!$C$6:$C$305,$O421),""))</f>
      </c>
      <c r="K421" s="221">
        <f>IF($I421="Phản ánh",INDEX('Phản ánh'!$K$6:$K$505,MATCH($C421,'Phản ánh'!$A$6:$A$505,0))&amp;"",IF($I421="Công việc",INDEX('Kế hoạch'!$N$6:$N$305,$O421)&amp;"",""))</f>
      </c>
      <c r="L421" s="220">
        <f>IF(OR($C421="",N($B421)=0),"",IF(AND($I421="Phản ánh",$E421="Đã xử lý"),INDEX('Phản ánh'!$U$6:$U$505,MATCH($C421,'Phản ánh'!$A$6:$A$505,0)),IF(AND($I421="Công việc",OR($E421="Hoàn thành",$E421="Hoàn thành kỳ")),IF(INDEX('Kế hoạch'!$B$6:$B$305,$O421)="Đột xuất",INDEX('Kế hoạch'!$AY$6:$AY$305,$O421),IF(N($P421)=0,"",IF(INT($B421)&lt;$P421,$P421,IF($Q421&gt;0,$P421+ROUND((INT($B421)-$P421)/$Q421,0)*$Q421,IF($R421&gt;0,EDATE($P421,ROUND((DATEDIF($P421,INT($B421),"m")+(INT($B421)-EDATE($P421,DATEDIF($P421,INT($B421),"m")))/(EDATE($P421,DATEDIF($P421,INT($B421),"m")+1)-EDATE($P421,DATEDIF($P421,INT($B421),"m"))))/$R421,0)*$R421),$P421))))),"")))</f>
      </c>
      <c r="M421" s="223">
        <f>IF(OR($C421="",N($L421)=0,N($B421)=0),"",IF(IF(MOD($L421,1)=0,INT($B421),$B421)&lt;=$L421,"Đúng hạn","Trễ hạn"))</f>
      </c>
      <c r="N421" s="225">
        <f>IF($C421="","",ROW())</f>
      </c>
      <c r="O421" s="225">
        <f>IF($I421="Công việc",MATCH($C421,'Kế hoạch'!$A$6:$A$305,0),"")</f>
      </c>
      <c r="P421" s="234">
        <f>IF($O421="","",INDEX('Kế hoạch'!$I$6:$I$305,$O421))</f>
      </c>
      <c r="Q421" s="225">
        <f>IF($O421="","",INDEX('Kế hoạch'!$AJ$6:$AJ$305,$O421))</f>
      </c>
      <c r="R421" s="225">
        <f>IF($O421="","",INDEX('Kế hoạch'!$AK$6:$AK$305,$O421))</f>
      </c>
    </row>
    <row r="422">
      <c r="A422" s="223">
        <f>IF($C422="","",COUNTIF($C$6:$C422,"?*"))</f>
      </c>
      <c r="B422" s="217"/>
      <c r="C422" s="216"/>
      <c r="D422" s="240"/>
      <c r="E422" s="218"/>
      <c r="F422" s="218"/>
      <c r="G422" s="218"/>
      <c r="H422" s="219"/>
      <c r="I422" s="223">
        <f>IF($C422="","",IF(ISNUMBER(MATCH($C422,'Phản ánh'!$A$6:$A$505,0)),"Phản ánh",IF(ISNUMBER(MATCH($C422,'Kế hoạch'!$A$6:$A$305,0)),"Công việc","Mã chưa có")))</f>
      </c>
      <c r="J422" s="221">
        <f>IF($I422="Phản ánh",INDEX('Phản ánh'!$C$6:$C$505,MATCH($C422,'Phản ánh'!$A$6:$A$505,0)),IF($I422="Công việc",INDEX('Kế hoạch'!$C$6:$C$305,$O422),""))</f>
      </c>
      <c r="K422" s="221">
        <f>IF($I422="Phản ánh",INDEX('Phản ánh'!$K$6:$K$505,MATCH($C422,'Phản ánh'!$A$6:$A$505,0))&amp;"",IF($I422="Công việc",INDEX('Kế hoạch'!$N$6:$N$305,$O422)&amp;"",""))</f>
      </c>
      <c r="L422" s="220">
        <f>IF(OR($C422="",N($B422)=0),"",IF(AND($I422="Phản ánh",$E422="Đã xử lý"),INDEX('Phản ánh'!$U$6:$U$505,MATCH($C422,'Phản ánh'!$A$6:$A$505,0)),IF(AND($I422="Công việc",OR($E422="Hoàn thành",$E422="Hoàn thành kỳ")),IF(INDEX('Kế hoạch'!$B$6:$B$305,$O422)="Đột xuất",INDEX('Kế hoạch'!$AY$6:$AY$305,$O422),IF(N($P422)=0,"",IF(INT($B422)&lt;$P422,$P422,IF($Q422&gt;0,$P422+ROUND((INT($B422)-$P422)/$Q422,0)*$Q422,IF($R422&gt;0,EDATE($P422,ROUND((DATEDIF($P422,INT($B422),"m")+(INT($B422)-EDATE($P422,DATEDIF($P422,INT($B422),"m")))/(EDATE($P422,DATEDIF($P422,INT($B422),"m")+1)-EDATE($P422,DATEDIF($P422,INT($B422),"m"))))/$R422,0)*$R422),$P422))))),"")))</f>
      </c>
      <c r="M422" s="223">
        <f>IF(OR($C422="",N($L422)=0,N($B422)=0),"",IF(IF(MOD($L422,1)=0,INT($B422),$B422)&lt;=$L422,"Đúng hạn","Trễ hạn"))</f>
      </c>
      <c r="N422" s="225">
        <f>IF($C422="","",ROW())</f>
      </c>
      <c r="O422" s="225">
        <f>IF($I422="Công việc",MATCH($C422,'Kế hoạch'!$A$6:$A$305,0),"")</f>
      </c>
      <c r="P422" s="234">
        <f>IF($O422="","",INDEX('Kế hoạch'!$I$6:$I$305,$O422))</f>
      </c>
      <c r="Q422" s="225">
        <f>IF($O422="","",INDEX('Kế hoạch'!$AJ$6:$AJ$305,$O422))</f>
      </c>
      <c r="R422" s="225">
        <f>IF($O422="","",INDEX('Kế hoạch'!$AK$6:$AK$305,$O422))</f>
      </c>
    </row>
    <row r="423">
      <c r="A423" s="223">
        <f>IF($C423="","",COUNTIF($C$6:$C423,"?*"))</f>
      </c>
      <c r="B423" s="217"/>
      <c r="C423" s="216"/>
      <c r="D423" s="240"/>
      <c r="E423" s="218"/>
      <c r="F423" s="218"/>
      <c r="G423" s="218"/>
      <c r="H423" s="219"/>
      <c r="I423" s="223">
        <f>IF($C423="","",IF(ISNUMBER(MATCH($C423,'Phản ánh'!$A$6:$A$505,0)),"Phản ánh",IF(ISNUMBER(MATCH($C423,'Kế hoạch'!$A$6:$A$305,0)),"Công việc","Mã chưa có")))</f>
      </c>
      <c r="J423" s="221">
        <f>IF($I423="Phản ánh",INDEX('Phản ánh'!$C$6:$C$505,MATCH($C423,'Phản ánh'!$A$6:$A$505,0)),IF($I423="Công việc",INDEX('Kế hoạch'!$C$6:$C$305,$O423),""))</f>
      </c>
      <c r="K423" s="221">
        <f>IF($I423="Phản ánh",INDEX('Phản ánh'!$K$6:$K$505,MATCH($C423,'Phản ánh'!$A$6:$A$505,0))&amp;"",IF($I423="Công việc",INDEX('Kế hoạch'!$N$6:$N$305,$O423)&amp;"",""))</f>
      </c>
      <c r="L423" s="220">
        <f>IF(OR($C423="",N($B423)=0),"",IF(AND($I423="Phản ánh",$E423="Đã xử lý"),INDEX('Phản ánh'!$U$6:$U$505,MATCH($C423,'Phản ánh'!$A$6:$A$505,0)),IF(AND($I423="Công việc",OR($E423="Hoàn thành",$E423="Hoàn thành kỳ")),IF(INDEX('Kế hoạch'!$B$6:$B$305,$O423)="Đột xuất",INDEX('Kế hoạch'!$AY$6:$AY$305,$O423),IF(N($P423)=0,"",IF(INT($B423)&lt;$P423,$P423,IF($Q423&gt;0,$P423+ROUND((INT($B423)-$P423)/$Q423,0)*$Q423,IF($R423&gt;0,EDATE($P423,ROUND((DATEDIF($P423,INT($B423),"m")+(INT($B423)-EDATE($P423,DATEDIF($P423,INT($B423),"m")))/(EDATE($P423,DATEDIF($P423,INT($B423),"m")+1)-EDATE($P423,DATEDIF($P423,INT($B423),"m"))))/$R423,0)*$R423),$P423))))),"")))</f>
      </c>
      <c r="M423" s="223">
        <f>IF(OR($C423="",N($L423)=0,N($B423)=0),"",IF(IF(MOD($L423,1)=0,INT($B423),$B423)&lt;=$L423,"Đúng hạn","Trễ hạn"))</f>
      </c>
      <c r="N423" s="225">
        <f>IF($C423="","",ROW())</f>
      </c>
      <c r="O423" s="225">
        <f>IF($I423="Công việc",MATCH($C423,'Kế hoạch'!$A$6:$A$305,0),"")</f>
      </c>
      <c r="P423" s="234">
        <f>IF($O423="","",INDEX('Kế hoạch'!$I$6:$I$305,$O423))</f>
      </c>
      <c r="Q423" s="225">
        <f>IF($O423="","",INDEX('Kế hoạch'!$AJ$6:$AJ$305,$O423))</f>
      </c>
      <c r="R423" s="225">
        <f>IF($O423="","",INDEX('Kế hoạch'!$AK$6:$AK$305,$O423))</f>
      </c>
    </row>
    <row r="424">
      <c r="A424" s="223">
        <f>IF($C424="","",COUNTIF($C$6:$C424,"?*"))</f>
      </c>
      <c r="B424" s="217"/>
      <c r="C424" s="216"/>
      <c r="D424" s="240"/>
      <c r="E424" s="218"/>
      <c r="F424" s="218"/>
      <c r="G424" s="218"/>
      <c r="H424" s="219"/>
      <c r="I424" s="223">
        <f>IF($C424="","",IF(ISNUMBER(MATCH($C424,'Phản ánh'!$A$6:$A$505,0)),"Phản ánh",IF(ISNUMBER(MATCH($C424,'Kế hoạch'!$A$6:$A$305,0)),"Công việc","Mã chưa có")))</f>
      </c>
      <c r="J424" s="221">
        <f>IF($I424="Phản ánh",INDEX('Phản ánh'!$C$6:$C$505,MATCH($C424,'Phản ánh'!$A$6:$A$505,0)),IF($I424="Công việc",INDEX('Kế hoạch'!$C$6:$C$305,$O424),""))</f>
      </c>
      <c r="K424" s="221">
        <f>IF($I424="Phản ánh",INDEX('Phản ánh'!$K$6:$K$505,MATCH($C424,'Phản ánh'!$A$6:$A$505,0))&amp;"",IF($I424="Công việc",INDEX('Kế hoạch'!$N$6:$N$305,$O424)&amp;"",""))</f>
      </c>
      <c r="L424" s="220">
        <f>IF(OR($C424="",N($B424)=0),"",IF(AND($I424="Phản ánh",$E424="Đã xử lý"),INDEX('Phản ánh'!$U$6:$U$505,MATCH($C424,'Phản ánh'!$A$6:$A$505,0)),IF(AND($I424="Công việc",OR($E424="Hoàn thành",$E424="Hoàn thành kỳ")),IF(INDEX('Kế hoạch'!$B$6:$B$305,$O424)="Đột xuất",INDEX('Kế hoạch'!$AY$6:$AY$305,$O424),IF(N($P424)=0,"",IF(INT($B424)&lt;$P424,$P424,IF($Q424&gt;0,$P424+ROUND((INT($B424)-$P424)/$Q424,0)*$Q424,IF($R424&gt;0,EDATE($P424,ROUND((DATEDIF($P424,INT($B424),"m")+(INT($B424)-EDATE($P424,DATEDIF($P424,INT($B424),"m")))/(EDATE($P424,DATEDIF($P424,INT($B424),"m")+1)-EDATE($P424,DATEDIF($P424,INT($B424),"m"))))/$R424,0)*$R424),$P424))))),"")))</f>
      </c>
      <c r="M424" s="223">
        <f>IF(OR($C424="",N($L424)=0,N($B424)=0),"",IF(IF(MOD($L424,1)=0,INT($B424),$B424)&lt;=$L424,"Đúng hạn","Trễ hạn"))</f>
      </c>
      <c r="N424" s="225">
        <f>IF($C424="","",ROW())</f>
      </c>
      <c r="O424" s="225">
        <f>IF($I424="Công việc",MATCH($C424,'Kế hoạch'!$A$6:$A$305,0),"")</f>
      </c>
      <c r="P424" s="234">
        <f>IF($O424="","",INDEX('Kế hoạch'!$I$6:$I$305,$O424))</f>
      </c>
      <c r="Q424" s="225">
        <f>IF($O424="","",INDEX('Kế hoạch'!$AJ$6:$AJ$305,$O424))</f>
      </c>
      <c r="R424" s="225">
        <f>IF($O424="","",INDEX('Kế hoạch'!$AK$6:$AK$305,$O424))</f>
      </c>
    </row>
    <row r="425">
      <c r="A425" s="223">
        <f>IF($C425="","",COUNTIF($C$6:$C425,"?*"))</f>
      </c>
      <c r="B425" s="217"/>
      <c r="C425" s="216"/>
      <c r="D425" s="240"/>
      <c r="E425" s="218"/>
      <c r="F425" s="218"/>
      <c r="G425" s="218"/>
      <c r="H425" s="219"/>
      <c r="I425" s="223">
        <f>IF($C425="","",IF(ISNUMBER(MATCH($C425,'Phản ánh'!$A$6:$A$505,0)),"Phản ánh",IF(ISNUMBER(MATCH($C425,'Kế hoạch'!$A$6:$A$305,0)),"Công việc","Mã chưa có")))</f>
      </c>
      <c r="J425" s="221">
        <f>IF($I425="Phản ánh",INDEX('Phản ánh'!$C$6:$C$505,MATCH($C425,'Phản ánh'!$A$6:$A$505,0)),IF($I425="Công việc",INDEX('Kế hoạch'!$C$6:$C$305,$O425),""))</f>
      </c>
      <c r="K425" s="221">
        <f>IF($I425="Phản ánh",INDEX('Phản ánh'!$K$6:$K$505,MATCH($C425,'Phản ánh'!$A$6:$A$505,0))&amp;"",IF($I425="Công việc",INDEX('Kế hoạch'!$N$6:$N$305,$O425)&amp;"",""))</f>
      </c>
      <c r="L425" s="220">
        <f>IF(OR($C425="",N($B425)=0),"",IF(AND($I425="Phản ánh",$E425="Đã xử lý"),INDEX('Phản ánh'!$U$6:$U$505,MATCH($C425,'Phản ánh'!$A$6:$A$505,0)),IF(AND($I425="Công việc",OR($E425="Hoàn thành",$E425="Hoàn thành kỳ")),IF(INDEX('Kế hoạch'!$B$6:$B$305,$O425)="Đột xuất",INDEX('Kế hoạch'!$AY$6:$AY$305,$O425),IF(N($P425)=0,"",IF(INT($B425)&lt;$P425,$P425,IF($Q425&gt;0,$P425+ROUND((INT($B425)-$P425)/$Q425,0)*$Q425,IF($R425&gt;0,EDATE($P425,ROUND((DATEDIF($P425,INT($B425),"m")+(INT($B425)-EDATE($P425,DATEDIF($P425,INT($B425),"m")))/(EDATE($P425,DATEDIF($P425,INT($B425),"m")+1)-EDATE($P425,DATEDIF($P425,INT($B425),"m"))))/$R425,0)*$R425),$P425))))),"")))</f>
      </c>
      <c r="M425" s="223">
        <f>IF(OR($C425="",N($L425)=0,N($B425)=0),"",IF(IF(MOD($L425,1)=0,INT($B425),$B425)&lt;=$L425,"Đúng hạn","Trễ hạn"))</f>
      </c>
      <c r="N425" s="225">
        <f>IF($C425="","",ROW())</f>
      </c>
      <c r="O425" s="225">
        <f>IF($I425="Công việc",MATCH($C425,'Kế hoạch'!$A$6:$A$305,0),"")</f>
      </c>
      <c r="P425" s="234">
        <f>IF($O425="","",INDEX('Kế hoạch'!$I$6:$I$305,$O425))</f>
      </c>
      <c r="Q425" s="225">
        <f>IF($O425="","",INDEX('Kế hoạch'!$AJ$6:$AJ$305,$O425))</f>
      </c>
      <c r="R425" s="225">
        <f>IF($O425="","",INDEX('Kế hoạch'!$AK$6:$AK$305,$O425))</f>
      </c>
    </row>
    <row r="426">
      <c r="A426" s="223">
        <f>IF($C426="","",COUNTIF($C$6:$C426,"?*"))</f>
      </c>
      <c r="B426" s="217"/>
      <c r="C426" s="216"/>
      <c r="D426" s="240"/>
      <c r="E426" s="218"/>
      <c r="F426" s="218"/>
      <c r="G426" s="218"/>
      <c r="H426" s="219"/>
      <c r="I426" s="223">
        <f>IF($C426="","",IF(ISNUMBER(MATCH($C426,'Phản ánh'!$A$6:$A$505,0)),"Phản ánh",IF(ISNUMBER(MATCH($C426,'Kế hoạch'!$A$6:$A$305,0)),"Công việc","Mã chưa có")))</f>
      </c>
      <c r="J426" s="221">
        <f>IF($I426="Phản ánh",INDEX('Phản ánh'!$C$6:$C$505,MATCH($C426,'Phản ánh'!$A$6:$A$505,0)),IF($I426="Công việc",INDEX('Kế hoạch'!$C$6:$C$305,$O426),""))</f>
      </c>
      <c r="K426" s="221">
        <f>IF($I426="Phản ánh",INDEX('Phản ánh'!$K$6:$K$505,MATCH($C426,'Phản ánh'!$A$6:$A$505,0))&amp;"",IF($I426="Công việc",INDEX('Kế hoạch'!$N$6:$N$305,$O426)&amp;"",""))</f>
      </c>
      <c r="L426" s="220">
        <f>IF(OR($C426="",N($B426)=0),"",IF(AND($I426="Phản ánh",$E426="Đã xử lý"),INDEX('Phản ánh'!$U$6:$U$505,MATCH($C426,'Phản ánh'!$A$6:$A$505,0)),IF(AND($I426="Công việc",OR($E426="Hoàn thành",$E426="Hoàn thành kỳ")),IF(INDEX('Kế hoạch'!$B$6:$B$305,$O426)="Đột xuất",INDEX('Kế hoạch'!$AY$6:$AY$305,$O426),IF(N($P426)=0,"",IF(INT($B426)&lt;$P426,$P426,IF($Q426&gt;0,$P426+ROUND((INT($B426)-$P426)/$Q426,0)*$Q426,IF($R426&gt;0,EDATE($P426,ROUND((DATEDIF($P426,INT($B426),"m")+(INT($B426)-EDATE($P426,DATEDIF($P426,INT($B426),"m")))/(EDATE($P426,DATEDIF($P426,INT($B426),"m")+1)-EDATE($P426,DATEDIF($P426,INT($B426),"m"))))/$R426,0)*$R426),$P426))))),"")))</f>
      </c>
      <c r="M426" s="223">
        <f>IF(OR($C426="",N($L426)=0,N($B426)=0),"",IF(IF(MOD($L426,1)=0,INT($B426),$B426)&lt;=$L426,"Đúng hạn","Trễ hạn"))</f>
      </c>
      <c r="N426" s="225">
        <f>IF($C426="","",ROW())</f>
      </c>
      <c r="O426" s="225">
        <f>IF($I426="Công việc",MATCH($C426,'Kế hoạch'!$A$6:$A$305,0),"")</f>
      </c>
      <c r="P426" s="234">
        <f>IF($O426="","",INDEX('Kế hoạch'!$I$6:$I$305,$O426))</f>
      </c>
      <c r="Q426" s="225">
        <f>IF($O426="","",INDEX('Kế hoạch'!$AJ$6:$AJ$305,$O426))</f>
      </c>
      <c r="R426" s="225">
        <f>IF($O426="","",INDEX('Kế hoạch'!$AK$6:$AK$305,$O426))</f>
      </c>
    </row>
    <row r="427">
      <c r="A427" s="223">
        <f>IF($C427="","",COUNTIF($C$6:$C427,"?*"))</f>
      </c>
      <c r="B427" s="217"/>
      <c r="C427" s="216"/>
      <c r="D427" s="240"/>
      <c r="E427" s="218"/>
      <c r="F427" s="218"/>
      <c r="G427" s="218"/>
      <c r="H427" s="219"/>
      <c r="I427" s="223">
        <f>IF($C427="","",IF(ISNUMBER(MATCH($C427,'Phản ánh'!$A$6:$A$505,0)),"Phản ánh",IF(ISNUMBER(MATCH($C427,'Kế hoạch'!$A$6:$A$305,0)),"Công việc","Mã chưa có")))</f>
      </c>
      <c r="J427" s="221">
        <f>IF($I427="Phản ánh",INDEX('Phản ánh'!$C$6:$C$505,MATCH($C427,'Phản ánh'!$A$6:$A$505,0)),IF($I427="Công việc",INDEX('Kế hoạch'!$C$6:$C$305,$O427),""))</f>
      </c>
      <c r="K427" s="221">
        <f>IF($I427="Phản ánh",INDEX('Phản ánh'!$K$6:$K$505,MATCH($C427,'Phản ánh'!$A$6:$A$505,0))&amp;"",IF($I427="Công việc",INDEX('Kế hoạch'!$N$6:$N$305,$O427)&amp;"",""))</f>
      </c>
      <c r="L427" s="220">
        <f>IF(OR($C427="",N($B427)=0),"",IF(AND($I427="Phản ánh",$E427="Đã xử lý"),INDEX('Phản ánh'!$U$6:$U$505,MATCH($C427,'Phản ánh'!$A$6:$A$505,0)),IF(AND($I427="Công việc",OR($E427="Hoàn thành",$E427="Hoàn thành kỳ")),IF(INDEX('Kế hoạch'!$B$6:$B$305,$O427)="Đột xuất",INDEX('Kế hoạch'!$AY$6:$AY$305,$O427),IF(N($P427)=0,"",IF(INT($B427)&lt;$P427,$P427,IF($Q427&gt;0,$P427+ROUND((INT($B427)-$P427)/$Q427,0)*$Q427,IF($R427&gt;0,EDATE($P427,ROUND((DATEDIF($P427,INT($B427),"m")+(INT($B427)-EDATE($P427,DATEDIF($P427,INT($B427),"m")))/(EDATE($P427,DATEDIF($P427,INT($B427),"m")+1)-EDATE($P427,DATEDIF($P427,INT($B427),"m"))))/$R427,0)*$R427),$P427))))),"")))</f>
      </c>
      <c r="M427" s="223">
        <f>IF(OR($C427="",N($L427)=0,N($B427)=0),"",IF(IF(MOD($L427,1)=0,INT($B427),$B427)&lt;=$L427,"Đúng hạn","Trễ hạn"))</f>
      </c>
      <c r="N427" s="225">
        <f>IF($C427="","",ROW())</f>
      </c>
      <c r="O427" s="225">
        <f>IF($I427="Công việc",MATCH($C427,'Kế hoạch'!$A$6:$A$305,0),"")</f>
      </c>
      <c r="P427" s="234">
        <f>IF($O427="","",INDEX('Kế hoạch'!$I$6:$I$305,$O427))</f>
      </c>
      <c r="Q427" s="225">
        <f>IF($O427="","",INDEX('Kế hoạch'!$AJ$6:$AJ$305,$O427))</f>
      </c>
      <c r="R427" s="225">
        <f>IF($O427="","",INDEX('Kế hoạch'!$AK$6:$AK$305,$O427))</f>
      </c>
    </row>
    <row r="428">
      <c r="A428" s="223">
        <f>IF($C428="","",COUNTIF($C$6:$C428,"?*"))</f>
      </c>
      <c r="B428" s="217"/>
      <c r="C428" s="216"/>
      <c r="D428" s="240"/>
      <c r="E428" s="218"/>
      <c r="F428" s="218"/>
      <c r="G428" s="218"/>
      <c r="H428" s="219"/>
      <c r="I428" s="223">
        <f>IF($C428="","",IF(ISNUMBER(MATCH($C428,'Phản ánh'!$A$6:$A$505,0)),"Phản ánh",IF(ISNUMBER(MATCH($C428,'Kế hoạch'!$A$6:$A$305,0)),"Công việc","Mã chưa có")))</f>
      </c>
      <c r="J428" s="221">
        <f>IF($I428="Phản ánh",INDEX('Phản ánh'!$C$6:$C$505,MATCH($C428,'Phản ánh'!$A$6:$A$505,0)),IF($I428="Công việc",INDEX('Kế hoạch'!$C$6:$C$305,$O428),""))</f>
      </c>
      <c r="K428" s="221">
        <f>IF($I428="Phản ánh",INDEX('Phản ánh'!$K$6:$K$505,MATCH($C428,'Phản ánh'!$A$6:$A$505,0))&amp;"",IF($I428="Công việc",INDEX('Kế hoạch'!$N$6:$N$305,$O428)&amp;"",""))</f>
      </c>
      <c r="L428" s="220">
        <f>IF(OR($C428="",N($B428)=0),"",IF(AND($I428="Phản ánh",$E428="Đã xử lý"),INDEX('Phản ánh'!$U$6:$U$505,MATCH($C428,'Phản ánh'!$A$6:$A$505,0)),IF(AND($I428="Công việc",OR($E428="Hoàn thành",$E428="Hoàn thành kỳ")),IF(INDEX('Kế hoạch'!$B$6:$B$305,$O428)="Đột xuất",INDEX('Kế hoạch'!$AY$6:$AY$305,$O428),IF(N($P428)=0,"",IF(INT($B428)&lt;$P428,$P428,IF($Q428&gt;0,$P428+ROUND((INT($B428)-$P428)/$Q428,0)*$Q428,IF($R428&gt;0,EDATE($P428,ROUND((DATEDIF($P428,INT($B428),"m")+(INT($B428)-EDATE($P428,DATEDIF($P428,INT($B428),"m")))/(EDATE($P428,DATEDIF($P428,INT($B428),"m")+1)-EDATE($P428,DATEDIF($P428,INT($B428),"m"))))/$R428,0)*$R428),$P428))))),"")))</f>
      </c>
      <c r="M428" s="223">
        <f>IF(OR($C428="",N($L428)=0,N($B428)=0),"",IF(IF(MOD($L428,1)=0,INT($B428),$B428)&lt;=$L428,"Đúng hạn","Trễ hạn"))</f>
      </c>
      <c r="N428" s="225">
        <f>IF($C428="","",ROW())</f>
      </c>
      <c r="O428" s="225">
        <f>IF($I428="Công việc",MATCH($C428,'Kế hoạch'!$A$6:$A$305,0),"")</f>
      </c>
      <c r="P428" s="234">
        <f>IF($O428="","",INDEX('Kế hoạch'!$I$6:$I$305,$O428))</f>
      </c>
      <c r="Q428" s="225">
        <f>IF($O428="","",INDEX('Kế hoạch'!$AJ$6:$AJ$305,$O428))</f>
      </c>
      <c r="R428" s="225">
        <f>IF($O428="","",INDEX('Kế hoạch'!$AK$6:$AK$305,$O428))</f>
      </c>
    </row>
    <row r="429">
      <c r="A429" s="223">
        <f>IF($C429="","",COUNTIF($C$6:$C429,"?*"))</f>
      </c>
      <c r="B429" s="217"/>
      <c r="C429" s="216"/>
      <c r="D429" s="240"/>
      <c r="E429" s="218"/>
      <c r="F429" s="218"/>
      <c r="G429" s="218"/>
      <c r="H429" s="219"/>
      <c r="I429" s="223">
        <f>IF($C429="","",IF(ISNUMBER(MATCH($C429,'Phản ánh'!$A$6:$A$505,0)),"Phản ánh",IF(ISNUMBER(MATCH($C429,'Kế hoạch'!$A$6:$A$305,0)),"Công việc","Mã chưa có")))</f>
      </c>
      <c r="J429" s="221">
        <f>IF($I429="Phản ánh",INDEX('Phản ánh'!$C$6:$C$505,MATCH($C429,'Phản ánh'!$A$6:$A$505,0)),IF($I429="Công việc",INDEX('Kế hoạch'!$C$6:$C$305,$O429),""))</f>
      </c>
      <c r="K429" s="221">
        <f>IF($I429="Phản ánh",INDEX('Phản ánh'!$K$6:$K$505,MATCH($C429,'Phản ánh'!$A$6:$A$505,0))&amp;"",IF($I429="Công việc",INDEX('Kế hoạch'!$N$6:$N$305,$O429)&amp;"",""))</f>
      </c>
      <c r="L429" s="220">
        <f>IF(OR($C429="",N($B429)=0),"",IF(AND($I429="Phản ánh",$E429="Đã xử lý"),INDEX('Phản ánh'!$U$6:$U$505,MATCH($C429,'Phản ánh'!$A$6:$A$505,0)),IF(AND($I429="Công việc",OR($E429="Hoàn thành",$E429="Hoàn thành kỳ")),IF(INDEX('Kế hoạch'!$B$6:$B$305,$O429)="Đột xuất",INDEX('Kế hoạch'!$AY$6:$AY$305,$O429),IF(N($P429)=0,"",IF(INT($B429)&lt;$P429,$P429,IF($Q429&gt;0,$P429+ROUND((INT($B429)-$P429)/$Q429,0)*$Q429,IF($R429&gt;0,EDATE($P429,ROUND((DATEDIF($P429,INT($B429),"m")+(INT($B429)-EDATE($P429,DATEDIF($P429,INT($B429),"m")))/(EDATE($P429,DATEDIF($P429,INT($B429),"m")+1)-EDATE($P429,DATEDIF($P429,INT($B429),"m"))))/$R429,0)*$R429),$P429))))),"")))</f>
      </c>
      <c r="M429" s="223">
        <f>IF(OR($C429="",N($L429)=0,N($B429)=0),"",IF(IF(MOD($L429,1)=0,INT($B429),$B429)&lt;=$L429,"Đúng hạn","Trễ hạn"))</f>
      </c>
      <c r="N429" s="225">
        <f>IF($C429="","",ROW())</f>
      </c>
      <c r="O429" s="225">
        <f>IF($I429="Công việc",MATCH($C429,'Kế hoạch'!$A$6:$A$305,0),"")</f>
      </c>
      <c r="P429" s="234">
        <f>IF($O429="","",INDEX('Kế hoạch'!$I$6:$I$305,$O429))</f>
      </c>
      <c r="Q429" s="225">
        <f>IF($O429="","",INDEX('Kế hoạch'!$AJ$6:$AJ$305,$O429))</f>
      </c>
      <c r="R429" s="225">
        <f>IF($O429="","",INDEX('Kế hoạch'!$AK$6:$AK$305,$O429))</f>
      </c>
    </row>
    <row r="430">
      <c r="A430" s="223">
        <f>IF($C430="","",COUNTIF($C$6:$C430,"?*"))</f>
      </c>
      <c r="B430" s="217"/>
      <c r="C430" s="216"/>
      <c r="D430" s="240"/>
      <c r="E430" s="218"/>
      <c r="F430" s="218"/>
      <c r="G430" s="218"/>
      <c r="H430" s="219"/>
      <c r="I430" s="223">
        <f>IF($C430="","",IF(ISNUMBER(MATCH($C430,'Phản ánh'!$A$6:$A$505,0)),"Phản ánh",IF(ISNUMBER(MATCH($C430,'Kế hoạch'!$A$6:$A$305,0)),"Công việc","Mã chưa có")))</f>
      </c>
      <c r="J430" s="221">
        <f>IF($I430="Phản ánh",INDEX('Phản ánh'!$C$6:$C$505,MATCH($C430,'Phản ánh'!$A$6:$A$505,0)),IF($I430="Công việc",INDEX('Kế hoạch'!$C$6:$C$305,$O430),""))</f>
      </c>
      <c r="K430" s="221">
        <f>IF($I430="Phản ánh",INDEX('Phản ánh'!$K$6:$K$505,MATCH($C430,'Phản ánh'!$A$6:$A$505,0))&amp;"",IF($I430="Công việc",INDEX('Kế hoạch'!$N$6:$N$305,$O430)&amp;"",""))</f>
      </c>
      <c r="L430" s="220">
        <f>IF(OR($C430="",N($B430)=0),"",IF(AND($I430="Phản ánh",$E430="Đã xử lý"),INDEX('Phản ánh'!$U$6:$U$505,MATCH($C430,'Phản ánh'!$A$6:$A$505,0)),IF(AND($I430="Công việc",OR($E430="Hoàn thành",$E430="Hoàn thành kỳ")),IF(INDEX('Kế hoạch'!$B$6:$B$305,$O430)="Đột xuất",INDEX('Kế hoạch'!$AY$6:$AY$305,$O430),IF(N($P430)=0,"",IF(INT($B430)&lt;$P430,$P430,IF($Q430&gt;0,$P430+ROUND((INT($B430)-$P430)/$Q430,0)*$Q430,IF($R430&gt;0,EDATE($P430,ROUND((DATEDIF($P430,INT($B430),"m")+(INT($B430)-EDATE($P430,DATEDIF($P430,INT($B430),"m")))/(EDATE($P430,DATEDIF($P430,INT($B430),"m")+1)-EDATE($P430,DATEDIF($P430,INT($B430),"m"))))/$R430,0)*$R430),$P430))))),"")))</f>
      </c>
      <c r="M430" s="223">
        <f>IF(OR($C430="",N($L430)=0,N($B430)=0),"",IF(IF(MOD($L430,1)=0,INT($B430),$B430)&lt;=$L430,"Đúng hạn","Trễ hạn"))</f>
      </c>
      <c r="N430" s="225">
        <f>IF($C430="","",ROW())</f>
      </c>
      <c r="O430" s="225">
        <f>IF($I430="Công việc",MATCH($C430,'Kế hoạch'!$A$6:$A$305,0),"")</f>
      </c>
      <c r="P430" s="234">
        <f>IF($O430="","",INDEX('Kế hoạch'!$I$6:$I$305,$O430))</f>
      </c>
      <c r="Q430" s="225">
        <f>IF($O430="","",INDEX('Kế hoạch'!$AJ$6:$AJ$305,$O430))</f>
      </c>
      <c r="R430" s="225">
        <f>IF($O430="","",INDEX('Kế hoạch'!$AK$6:$AK$305,$O430))</f>
      </c>
    </row>
    <row r="431">
      <c r="A431" s="223">
        <f>IF($C431="","",COUNTIF($C$6:$C431,"?*"))</f>
      </c>
      <c r="B431" s="217"/>
      <c r="C431" s="216"/>
      <c r="D431" s="240"/>
      <c r="E431" s="218"/>
      <c r="F431" s="218"/>
      <c r="G431" s="218"/>
      <c r="H431" s="219"/>
      <c r="I431" s="223">
        <f>IF($C431="","",IF(ISNUMBER(MATCH($C431,'Phản ánh'!$A$6:$A$505,0)),"Phản ánh",IF(ISNUMBER(MATCH($C431,'Kế hoạch'!$A$6:$A$305,0)),"Công việc","Mã chưa có")))</f>
      </c>
      <c r="J431" s="221">
        <f>IF($I431="Phản ánh",INDEX('Phản ánh'!$C$6:$C$505,MATCH($C431,'Phản ánh'!$A$6:$A$505,0)),IF($I431="Công việc",INDEX('Kế hoạch'!$C$6:$C$305,$O431),""))</f>
      </c>
      <c r="K431" s="221">
        <f>IF($I431="Phản ánh",INDEX('Phản ánh'!$K$6:$K$505,MATCH($C431,'Phản ánh'!$A$6:$A$505,0))&amp;"",IF($I431="Công việc",INDEX('Kế hoạch'!$N$6:$N$305,$O431)&amp;"",""))</f>
      </c>
      <c r="L431" s="220">
        <f>IF(OR($C431="",N($B431)=0),"",IF(AND($I431="Phản ánh",$E431="Đã xử lý"),INDEX('Phản ánh'!$U$6:$U$505,MATCH($C431,'Phản ánh'!$A$6:$A$505,0)),IF(AND($I431="Công việc",OR($E431="Hoàn thành",$E431="Hoàn thành kỳ")),IF(INDEX('Kế hoạch'!$B$6:$B$305,$O431)="Đột xuất",INDEX('Kế hoạch'!$AY$6:$AY$305,$O431),IF(N($P431)=0,"",IF(INT($B431)&lt;$P431,$P431,IF($Q431&gt;0,$P431+ROUND((INT($B431)-$P431)/$Q431,0)*$Q431,IF($R431&gt;0,EDATE($P431,ROUND((DATEDIF($P431,INT($B431),"m")+(INT($B431)-EDATE($P431,DATEDIF($P431,INT($B431),"m")))/(EDATE($P431,DATEDIF($P431,INT($B431),"m")+1)-EDATE($P431,DATEDIF($P431,INT($B431),"m"))))/$R431,0)*$R431),$P431))))),"")))</f>
      </c>
      <c r="M431" s="223">
        <f>IF(OR($C431="",N($L431)=0,N($B431)=0),"",IF(IF(MOD($L431,1)=0,INT($B431),$B431)&lt;=$L431,"Đúng hạn","Trễ hạn"))</f>
      </c>
      <c r="N431" s="225">
        <f>IF($C431="","",ROW())</f>
      </c>
      <c r="O431" s="225">
        <f>IF($I431="Công việc",MATCH($C431,'Kế hoạch'!$A$6:$A$305,0),"")</f>
      </c>
      <c r="P431" s="234">
        <f>IF($O431="","",INDEX('Kế hoạch'!$I$6:$I$305,$O431))</f>
      </c>
      <c r="Q431" s="225">
        <f>IF($O431="","",INDEX('Kế hoạch'!$AJ$6:$AJ$305,$O431))</f>
      </c>
      <c r="R431" s="225">
        <f>IF($O431="","",INDEX('Kế hoạch'!$AK$6:$AK$305,$O431))</f>
      </c>
    </row>
    <row r="432">
      <c r="A432" s="223">
        <f>IF($C432="","",COUNTIF($C$6:$C432,"?*"))</f>
      </c>
      <c r="B432" s="217"/>
      <c r="C432" s="216"/>
      <c r="D432" s="240"/>
      <c r="E432" s="218"/>
      <c r="F432" s="218"/>
      <c r="G432" s="218"/>
      <c r="H432" s="219"/>
      <c r="I432" s="223">
        <f>IF($C432="","",IF(ISNUMBER(MATCH($C432,'Phản ánh'!$A$6:$A$505,0)),"Phản ánh",IF(ISNUMBER(MATCH($C432,'Kế hoạch'!$A$6:$A$305,0)),"Công việc","Mã chưa có")))</f>
      </c>
      <c r="J432" s="221">
        <f>IF($I432="Phản ánh",INDEX('Phản ánh'!$C$6:$C$505,MATCH($C432,'Phản ánh'!$A$6:$A$505,0)),IF($I432="Công việc",INDEX('Kế hoạch'!$C$6:$C$305,$O432),""))</f>
      </c>
      <c r="K432" s="221">
        <f>IF($I432="Phản ánh",INDEX('Phản ánh'!$K$6:$K$505,MATCH($C432,'Phản ánh'!$A$6:$A$505,0))&amp;"",IF($I432="Công việc",INDEX('Kế hoạch'!$N$6:$N$305,$O432)&amp;"",""))</f>
      </c>
      <c r="L432" s="220">
        <f>IF(OR($C432="",N($B432)=0),"",IF(AND($I432="Phản ánh",$E432="Đã xử lý"),INDEX('Phản ánh'!$U$6:$U$505,MATCH($C432,'Phản ánh'!$A$6:$A$505,0)),IF(AND($I432="Công việc",OR($E432="Hoàn thành",$E432="Hoàn thành kỳ")),IF(INDEX('Kế hoạch'!$B$6:$B$305,$O432)="Đột xuất",INDEX('Kế hoạch'!$AY$6:$AY$305,$O432),IF(N($P432)=0,"",IF(INT($B432)&lt;$P432,$P432,IF($Q432&gt;0,$P432+ROUND((INT($B432)-$P432)/$Q432,0)*$Q432,IF($R432&gt;0,EDATE($P432,ROUND((DATEDIF($P432,INT($B432),"m")+(INT($B432)-EDATE($P432,DATEDIF($P432,INT($B432),"m")))/(EDATE($P432,DATEDIF($P432,INT($B432),"m")+1)-EDATE($P432,DATEDIF($P432,INT($B432),"m"))))/$R432,0)*$R432),$P432))))),"")))</f>
      </c>
      <c r="M432" s="223">
        <f>IF(OR($C432="",N($L432)=0,N($B432)=0),"",IF(IF(MOD($L432,1)=0,INT($B432),$B432)&lt;=$L432,"Đúng hạn","Trễ hạn"))</f>
      </c>
      <c r="N432" s="225">
        <f>IF($C432="","",ROW())</f>
      </c>
      <c r="O432" s="225">
        <f>IF($I432="Công việc",MATCH($C432,'Kế hoạch'!$A$6:$A$305,0),"")</f>
      </c>
      <c r="P432" s="234">
        <f>IF($O432="","",INDEX('Kế hoạch'!$I$6:$I$305,$O432))</f>
      </c>
      <c r="Q432" s="225">
        <f>IF($O432="","",INDEX('Kế hoạch'!$AJ$6:$AJ$305,$O432))</f>
      </c>
      <c r="R432" s="225">
        <f>IF($O432="","",INDEX('Kế hoạch'!$AK$6:$AK$305,$O432))</f>
      </c>
    </row>
    <row r="433">
      <c r="A433" s="223">
        <f>IF($C433="","",COUNTIF($C$6:$C433,"?*"))</f>
      </c>
      <c r="B433" s="217"/>
      <c r="C433" s="216"/>
      <c r="D433" s="240"/>
      <c r="E433" s="218"/>
      <c r="F433" s="218"/>
      <c r="G433" s="218"/>
      <c r="H433" s="219"/>
      <c r="I433" s="223">
        <f>IF($C433="","",IF(ISNUMBER(MATCH($C433,'Phản ánh'!$A$6:$A$505,0)),"Phản ánh",IF(ISNUMBER(MATCH($C433,'Kế hoạch'!$A$6:$A$305,0)),"Công việc","Mã chưa có")))</f>
      </c>
      <c r="J433" s="221">
        <f>IF($I433="Phản ánh",INDEX('Phản ánh'!$C$6:$C$505,MATCH($C433,'Phản ánh'!$A$6:$A$505,0)),IF($I433="Công việc",INDEX('Kế hoạch'!$C$6:$C$305,$O433),""))</f>
      </c>
      <c r="K433" s="221">
        <f>IF($I433="Phản ánh",INDEX('Phản ánh'!$K$6:$K$505,MATCH($C433,'Phản ánh'!$A$6:$A$505,0))&amp;"",IF($I433="Công việc",INDEX('Kế hoạch'!$N$6:$N$305,$O433)&amp;"",""))</f>
      </c>
      <c r="L433" s="220">
        <f>IF(OR($C433="",N($B433)=0),"",IF(AND($I433="Phản ánh",$E433="Đã xử lý"),INDEX('Phản ánh'!$U$6:$U$505,MATCH($C433,'Phản ánh'!$A$6:$A$505,0)),IF(AND($I433="Công việc",OR($E433="Hoàn thành",$E433="Hoàn thành kỳ")),IF(INDEX('Kế hoạch'!$B$6:$B$305,$O433)="Đột xuất",INDEX('Kế hoạch'!$AY$6:$AY$305,$O433),IF(N($P433)=0,"",IF(INT($B433)&lt;$P433,$P433,IF($Q433&gt;0,$P433+ROUND((INT($B433)-$P433)/$Q433,0)*$Q433,IF($R433&gt;0,EDATE($P433,ROUND((DATEDIF($P433,INT($B433),"m")+(INT($B433)-EDATE($P433,DATEDIF($P433,INT($B433),"m")))/(EDATE($P433,DATEDIF($P433,INT($B433),"m")+1)-EDATE($P433,DATEDIF($P433,INT($B433),"m"))))/$R433,0)*$R433),$P433))))),"")))</f>
      </c>
      <c r="M433" s="223">
        <f>IF(OR($C433="",N($L433)=0,N($B433)=0),"",IF(IF(MOD($L433,1)=0,INT($B433),$B433)&lt;=$L433,"Đúng hạn","Trễ hạn"))</f>
      </c>
      <c r="N433" s="225">
        <f>IF($C433="","",ROW())</f>
      </c>
      <c r="O433" s="225">
        <f>IF($I433="Công việc",MATCH($C433,'Kế hoạch'!$A$6:$A$305,0),"")</f>
      </c>
      <c r="P433" s="234">
        <f>IF($O433="","",INDEX('Kế hoạch'!$I$6:$I$305,$O433))</f>
      </c>
      <c r="Q433" s="225">
        <f>IF($O433="","",INDEX('Kế hoạch'!$AJ$6:$AJ$305,$O433))</f>
      </c>
      <c r="R433" s="225">
        <f>IF($O433="","",INDEX('Kế hoạch'!$AK$6:$AK$305,$O433))</f>
      </c>
    </row>
    <row r="434">
      <c r="A434" s="223">
        <f>IF($C434="","",COUNTIF($C$6:$C434,"?*"))</f>
      </c>
      <c r="B434" s="217"/>
      <c r="C434" s="216"/>
      <c r="D434" s="240"/>
      <c r="E434" s="218"/>
      <c r="F434" s="218"/>
      <c r="G434" s="218"/>
      <c r="H434" s="219"/>
      <c r="I434" s="223">
        <f>IF($C434="","",IF(ISNUMBER(MATCH($C434,'Phản ánh'!$A$6:$A$505,0)),"Phản ánh",IF(ISNUMBER(MATCH($C434,'Kế hoạch'!$A$6:$A$305,0)),"Công việc","Mã chưa có")))</f>
      </c>
      <c r="J434" s="221">
        <f>IF($I434="Phản ánh",INDEX('Phản ánh'!$C$6:$C$505,MATCH($C434,'Phản ánh'!$A$6:$A$505,0)),IF($I434="Công việc",INDEX('Kế hoạch'!$C$6:$C$305,$O434),""))</f>
      </c>
      <c r="K434" s="221">
        <f>IF($I434="Phản ánh",INDEX('Phản ánh'!$K$6:$K$505,MATCH($C434,'Phản ánh'!$A$6:$A$505,0))&amp;"",IF($I434="Công việc",INDEX('Kế hoạch'!$N$6:$N$305,$O434)&amp;"",""))</f>
      </c>
      <c r="L434" s="220">
        <f>IF(OR($C434="",N($B434)=0),"",IF(AND($I434="Phản ánh",$E434="Đã xử lý"),INDEX('Phản ánh'!$U$6:$U$505,MATCH($C434,'Phản ánh'!$A$6:$A$505,0)),IF(AND($I434="Công việc",OR($E434="Hoàn thành",$E434="Hoàn thành kỳ")),IF(INDEX('Kế hoạch'!$B$6:$B$305,$O434)="Đột xuất",INDEX('Kế hoạch'!$AY$6:$AY$305,$O434),IF(N($P434)=0,"",IF(INT($B434)&lt;$P434,$P434,IF($Q434&gt;0,$P434+ROUND((INT($B434)-$P434)/$Q434,0)*$Q434,IF($R434&gt;0,EDATE($P434,ROUND((DATEDIF($P434,INT($B434),"m")+(INT($B434)-EDATE($P434,DATEDIF($P434,INT($B434),"m")))/(EDATE($P434,DATEDIF($P434,INT($B434),"m")+1)-EDATE($P434,DATEDIF($P434,INT($B434),"m"))))/$R434,0)*$R434),$P434))))),"")))</f>
      </c>
      <c r="M434" s="223">
        <f>IF(OR($C434="",N($L434)=0,N($B434)=0),"",IF(IF(MOD($L434,1)=0,INT($B434),$B434)&lt;=$L434,"Đúng hạn","Trễ hạn"))</f>
      </c>
      <c r="N434" s="225">
        <f>IF($C434="","",ROW())</f>
      </c>
      <c r="O434" s="225">
        <f>IF($I434="Công việc",MATCH($C434,'Kế hoạch'!$A$6:$A$305,0),"")</f>
      </c>
      <c r="P434" s="234">
        <f>IF($O434="","",INDEX('Kế hoạch'!$I$6:$I$305,$O434))</f>
      </c>
      <c r="Q434" s="225">
        <f>IF($O434="","",INDEX('Kế hoạch'!$AJ$6:$AJ$305,$O434))</f>
      </c>
      <c r="R434" s="225">
        <f>IF($O434="","",INDEX('Kế hoạch'!$AK$6:$AK$305,$O434))</f>
      </c>
    </row>
    <row r="435">
      <c r="A435" s="223">
        <f>IF($C435="","",COUNTIF($C$6:$C435,"?*"))</f>
      </c>
      <c r="B435" s="217"/>
      <c r="C435" s="216"/>
      <c r="D435" s="240"/>
      <c r="E435" s="218"/>
      <c r="F435" s="218"/>
      <c r="G435" s="218"/>
      <c r="H435" s="219"/>
      <c r="I435" s="223">
        <f>IF($C435="","",IF(ISNUMBER(MATCH($C435,'Phản ánh'!$A$6:$A$505,0)),"Phản ánh",IF(ISNUMBER(MATCH($C435,'Kế hoạch'!$A$6:$A$305,0)),"Công việc","Mã chưa có")))</f>
      </c>
      <c r="J435" s="221">
        <f>IF($I435="Phản ánh",INDEX('Phản ánh'!$C$6:$C$505,MATCH($C435,'Phản ánh'!$A$6:$A$505,0)),IF($I435="Công việc",INDEX('Kế hoạch'!$C$6:$C$305,$O435),""))</f>
      </c>
      <c r="K435" s="221">
        <f>IF($I435="Phản ánh",INDEX('Phản ánh'!$K$6:$K$505,MATCH($C435,'Phản ánh'!$A$6:$A$505,0))&amp;"",IF($I435="Công việc",INDEX('Kế hoạch'!$N$6:$N$305,$O435)&amp;"",""))</f>
      </c>
      <c r="L435" s="220">
        <f>IF(OR($C435="",N($B435)=0),"",IF(AND($I435="Phản ánh",$E435="Đã xử lý"),INDEX('Phản ánh'!$U$6:$U$505,MATCH($C435,'Phản ánh'!$A$6:$A$505,0)),IF(AND($I435="Công việc",OR($E435="Hoàn thành",$E435="Hoàn thành kỳ")),IF(INDEX('Kế hoạch'!$B$6:$B$305,$O435)="Đột xuất",INDEX('Kế hoạch'!$AY$6:$AY$305,$O435),IF(N($P435)=0,"",IF(INT($B435)&lt;$P435,$P435,IF($Q435&gt;0,$P435+ROUND((INT($B435)-$P435)/$Q435,0)*$Q435,IF($R435&gt;0,EDATE($P435,ROUND((DATEDIF($P435,INT($B435),"m")+(INT($B435)-EDATE($P435,DATEDIF($P435,INT($B435),"m")))/(EDATE($P435,DATEDIF($P435,INT($B435),"m")+1)-EDATE($P435,DATEDIF($P435,INT($B435),"m"))))/$R435,0)*$R435),$P435))))),"")))</f>
      </c>
      <c r="M435" s="223">
        <f>IF(OR($C435="",N($L435)=0,N($B435)=0),"",IF(IF(MOD($L435,1)=0,INT($B435),$B435)&lt;=$L435,"Đúng hạn","Trễ hạn"))</f>
      </c>
      <c r="N435" s="225">
        <f>IF($C435="","",ROW())</f>
      </c>
      <c r="O435" s="225">
        <f>IF($I435="Công việc",MATCH($C435,'Kế hoạch'!$A$6:$A$305,0),"")</f>
      </c>
      <c r="P435" s="234">
        <f>IF($O435="","",INDEX('Kế hoạch'!$I$6:$I$305,$O435))</f>
      </c>
      <c r="Q435" s="225">
        <f>IF($O435="","",INDEX('Kế hoạch'!$AJ$6:$AJ$305,$O435))</f>
      </c>
      <c r="R435" s="225">
        <f>IF($O435="","",INDEX('Kế hoạch'!$AK$6:$AK$305,$O435))</f>
      </c>
    </row>
    <row r="436">
      <c r="A436" s="223">
        <f>IF($C436="","",COUNTIF($C$6:$C436,"?*"))</f>
      </c>
      <c r="B436" s="217"/>
      <c r="C436" s="216"/>
      <c r="D436" s="240"/>
      <c r="E436" s="218"/>
      <c r="F436" s="218"/>
      <c r="G436" s="218"/>
      <c r="H436" s="219"/>
      <c r="I436" s="223">
        <f>IF($C436="","",IF(ISNUMBER(MATCH($C436,'Phản ánh'!$A$6:$A$505,0)),"Phản ánh",IF(ISNUMBER(MATCH($C436,'Kế hoạch'!$A$6:$A$305,0)),"Công việc","Mã chưa có")))</f>
      </c>
      <c r="J436" s="221">
        <f>IF($I436="Phản ánh",INDEX('Phản ánh'!$C$6:$C$505,MATCH($C436,'Phản ánh'!$A$6:$A$505,0)),IF($I436="Công việc",INDEX('Kế hoạch'!$C$6:$C$305,$O436),""))</f>
      </c>
      <c r="K436" s="221">
        <f>IF($I436="Phản ánh",INDEX('Phản ánh'!$K$6:$K$505,MATCH($C436,'Phản ánh'!$A$6:$A$505,0))&amp;"",IF($I436="Công việc",INDEX('Kế hoạch'!$N$6:$N$305,$O436)&amp;"",""))</f>
      </c>
      <c r="L436" s="220">
        <f>IF(OR($C436="",N($B436)=0),"",IF(AND($I436="Phản ánh",$E436="Đã xử lý"),INDEX('Phản ánh'!$U$6:$U$505,MATCH($C436,'Phản ánh'!$A$6:$A$505,0)),IF(AND($I436="Công việc",OR($E436="Hoàn thành",$E436="Hoàn thành kỳ")),IF(INDEX('Kế hoạch'!$B$6:$B$305,$O436)="Đột xuất",INDEX('Kế hoạch'!$AY$6:$AY$305,$O436),IF(N($P436)=0,"",IF(INT($B436)&lt;$P436,$P436,IF($Q436&gt;0,$P436+ROUND((INT($B436)-$P436)/$Q436,0)*$Q436,IF($R436&gt;0,EDATE($P436,ROUND((DATEDIF($P436,INT($B436),"m")+(INT($B436)-EDATE($P436,DATEDIF($P436,INT($B436),"m")))/(EDATE($P436,DATEDIF($P436,INT($B436),"m")+1)-EDATE($P436,DATEDIF($P436,INT($B436),"m"))))/$R436,0)*$R436),$P436))))),"")))</f>
      </c>
      <c r="M436" s="223">
        <f>IF(OR($C436="",N($L436)=0,N($B436)=0),"",IF(IF(MOD($L436,1)=0,INT($B436),$B436)&lt;=$L436,"Đúng hạn","Trễ hạn"))</f>
      </c>
      <c r="N436" s="225">
        <f>IF($C436="","",ROW())</f>
      </c>
      <c r="O436" s="225">
        <f>IF($I436="Công việc",MATCH($C436,'Kế hoạch'!$A$6:$A$305,0),"")</f>
      </c>
      <c r="P436" s="234">
        <f>IF($O436="","",INDEX('Kế hoạch'!$I$6:$I$305,$O436))</f>
      </c>
      <c r="Q436" s="225">
        <f>IF($O436="","",INDEX('Kế hoạch'!$AJ$6:$AJ$305,$O436))</f>
      </c>
      <c r="R436" s="225">
        <f>IF($O436="","",INDEX('Kế hoạch'!$AK$6:$AK$305,$O436))</f>
      </c>
    </row>
    <row r="437">
      <c r="A437" s="223">
        <f>IF($C437="","",COUNTIF($C$6:$C437,"?*"))</f>
      </c>
      <c r="B437" s="217"/>
      <c r="C437" s="216"/>
      <c r="D437" s="240"/>
      <c r="E437" s="218"/>
      <c r="F437" s="218"/>
      <c r="G437" s="218"/>
      <c r="H437" s="219"/>
      <c r="I437" s="223">
        <f>IF($C437="","",IF(ISNUMBER(MATCH($C437,'Phản ánh'!$A$6:$A$505,0)),"Phản ánh",IF(ISNUMBER(MATCH($C437,'Kế hoạch'!$A$6:$A$305,0)),"Công việc","Mã chưa có")))</f>
      </c>
      <c r="J437" s="221">
        <f>IF($I437="Phản ánh",INDEX('Phản ánh'!$C$6:$C$505,MATCH($C437,'Phản ánh'!$A$6:$A$505,0)),IF($I437="Công việc",INDEX('Kế hoạch'!$C$6:$C$305,$O437),""))</f>
      </c>
      <c r="K437" s="221">
        <f>IF($I437="Phản ánh",INDEX('Phản ánh'!$K$6:$K$505,MATCH($C437,'Phản ánh'!$A$6:$A$505,0))&amp;"",IF($I437="Công việc",INDEX('Kế hoạch'!$N$6:$N$305,$O437)&amp;"",""))</f>
      </c>
      <c r="L437" s="220">
        <f>IF(OR($C437="",N($B437)=0),"",IF(AND($I437="Phản ánh",$E437="Đã xử lý"),INDEX('Phản ánh'!$U$6:$U$505,MATCH($C437,'Phản ánh'!$A$6:$A$505,0)),IF(AND($I437="Công việc",OR($E437="Hoàn thành",$E437="Hoàn thành kỳ")),IF(INDEX('Kế hoạch'!$B$6:$B$305,$O437)="Đột xuất",INDEX('Kế hoạch'!$AY$6:$AY$305,$O437),IF(N($P437)=0,"",IF(INT($B437)&lt;$P437,$P437,IF($Q437&gt;0,$P437+ROUND((INT($B437)-$P437)/$Q437,0)*$Q437,IF($R437&gt;0,EDATE($P437,ROUND((DATEDIF($P437,INT($B437),"m")+(INT($B437)-EDATE($P437,DATEDIF($P437,INT($B437),"m")))/(EDATE($P437,DATEDIF($P437,INT($B437),"m")+1)-EDATE($P437,DATEDIF($P437,INT($B437),"m"))))/$R437,0)*$R437),$P437))))),"")))</f>
      </c>
      <c r="M437" s="223">
        <f>IF(OR($C437="",N($L437)=0,N($B437)=0),"",IF(IF(MOD($L437,1)=0,INT($B437),$B437)&lt;=$L437,"Đúng hạn","Trễ hạn"))</f>
      </c>
      <c r="N437" s="225">
        <f>IF($C437="","",ROW())</f>
      </c>
      <c r="O437" s="225">
        <f>IF($I437="Công việc",MATCH($C437,'Kế hoạch'!$A$6:$A$305,0),"")</f>
      </c>
      <c r="P437" s="234">
        <f>IF($O437="","",INDEX('Kế hoạch'!$I$6:$I$305,$O437))</f>
      </c>
      <c r="Q437" s="225">
        <f>IF($O437="","",INDEX('Kế hoạch'!$AJ$6:$AJ$305,$O437))</f>
      </c>
      <c r="R437" s="225">
        <f>IF($O437="","",INDEX('Kế hoạch'!$AK$6:$AK$305,$O437))</f>
      </c>
    </row>
    <row r="438">
      <c r="A438" s="223">
        <f>IF($C438="","",COUNTIF($C$6:$C438,"?*"))</f>
      </c>
      <c r="B438" s="217"/>
      <c r="C438" s="216"/>
      <c r="D438" s="240"/>
      <c r="E438" s="218"/>
      <c r="F438" s="218"/>
      <c r="G438" s="218"/>
      <c r="H438" s="219"/>
      <c r="I438" s="223">
        <f>IF($C438="","",IF(ISNUMBER(MATCH($C438,'Phản ánh'!$A$6:$A$505,0)),"Phản ánh",IF(ISNUMBER(MATCH($C438,'Kế hoạch'!$A$6:$A$305,0)),"Công việc","Mã chưa có")))</f>
      </c>
      <c r="J438" s="221">
        <f>IF($I438="Phản ánh",INDEX('Phản ánh'!$C$6:$C$505,MATCH($C438,'Phản ánh'!$A$6:$A$505,0)),IF($I438="Công việc",INDEX('Kế hoạch'!$C$6:$C$305,$O438),""))</f>
      </c>
      <c r="K438" s="221">
        <f>IF($I438="Phản ánh",INDEX('Phản ánh'!$K$6:$K$505,MATCH($C438,'Phản ánh'!$A$6:$A$505,0))&amp;"",IF($I438="Công việc",INDEX('Kế hoạch'!$N$6:$N$305,$O438)&amp;"",""))</f>
      </c>
      <c r="L438" s="220">
        <f>IF(OR($C438="",N($B438)=0),"",IF(AND($I438="Phản ánh",$E438="Đã xử lý"),INDEX('Phản ánh'!$U$6:$U$505,MATCH($C438,'Phản ánh'!$A$6:$A$505,0)),IF(AND($I438="Công việc",OR($E438="Hoàn thành",$E438="Hoàn thành kỳ")),IF(INDEX('Kế hoạch'!$B$6:$B$305,$O438)="Đột xuất",INDEX('Kế hoạch'!$AY$6:$AY$305,$O438),IF(N($P438)=0,"",IF(INT($B438)&lt;$P438,$P438,IF($Q438&gt;0,$P438+ROUND((INT($B438)-$P438)/$Q438,0)*$Q438,IF($R438&gt;0,EDATE($P438,ROUND((DATEDIF($P438,INT($B438),"m")+(INT($B438)-EDATE($P438,DATEDIF($P438,INT($B438),"m")))/(EDATE($P438,DATEDIF($P438,INT($B438),"m")+1)-EDATE($P438,DATEDIF($P438,INT($B438),"m"))))/$R438,0)*$R438),$P438))))),"")))</f>
      </c>
      <c r="M438" s="223">
        <f>IF(OR($C438="",N($L438)=0,N($B438)=0),"",IF(IF(MOD($L438,1)=0,INT($B438),$B438)&lt;=$L438,"Đúng hạn","Trễ hạn"))</f>
      </c>
      <c r="N438" s="225">
        <f>IF($C438="","",ROW())</f>
      </c>
      <c r="O438" s="225">
        <f>IF($I438="Công việc",MATCH($C438,'Kế hoạch'!$A$6:$A$305,0),"")</f>
      </c>
      <c r="P438" s="234">
        <f>IF($O438="","",INDEX('Kế hoạch'!$I$6:$I$305,$O438))</f>
      </c>
      <c r="Q438" s="225">
        <f>IF($O438="","",INDEX('Kế hoạch'!$AJ$6:$AJ$305,$O438))</f>
      </c>
      <c r="R438" s="225">
        <f>IF($O438="","",INDEX('Kế hoạch'!$AK$6:$AK$305,$O438))</f>
      </c>
    </row>
    <row r="439">
      <c r="A439" s="223">
        <f>IF($C439="","",COUNTIF($C$6:$C439,"?*"))</f>
      </c>
      <c r="B439" s="217"/>
      <c r="C439" s="216"/>
      <c r="D439" s="240"/>
      <c r="E439" s="218"/>
      <c r="F439" s="218"/>
      <c r="G439" s="218"/>
      <c r="H439" s="219"/>
      <c r="I439" s="223">
        <f>IF($C439="","",IF(ISNUMBER(MATCH($C439,'Phản ánh'!$A$6:$A$505,0)),"Phản ánh",IF(ISNUMBER(MATCH($C439,'Kế hoạch'!$A$6:$A$305,0)),"Công việc","Mã chưa có")))</f>
      </c>
      <c r="J439" s="221">
        <f>IF($I439="Phản ánh",INDEX('Phản ánh'!$C$6:$C$505,MATCH($C439,'Phản ánh'!$A$6:$A$505,0)),IF($I439="Công việc",INDEX('Kế hoạch'!$C$6:$C$305,$O439),""))</f>
      </c>
      <c r="K439" s="221">
        <f>IF($I439="Phản ánh",INDEX('Phản ánh'!$K$6:$K$505,MATCH($C439,'Phản ánh'!$A$6:$A$505,0))&amp;"",IF($I439="Công việc",INDEX('Kế hoạch'!$N$6:$N$305,$O439)&amp;"",""))</f>
      </c>
      <c r="L439" s="220">
        <f>IF(OR($C439="",N($B439)=0),"",IF(AND($I439="Phản ánh",$E439="Đã xử lý"),INDEX('Phản ánh'!$U$6:$U$505,MATCH($C439,'Phản ánh'!$A$6:$A$505,0)),IF(AND($I439="Công việc",OR($E439="Hoàn thành",$E439="Hoàn thành kỳ")),IF(INDEX('Kế hoạch'!$B$6:$B$305,$O439)="Đột xuất",INDEX('Kế hoạch'!$AY$6:$AY$305,$O439),IF(N($P439)=0,"",IF(INT($B439)&lt;$P439,$P439,IF($Q439&gt;0,$P439+ROUND((INT($B439)-$P439)/$Q439,0)*$Q439,IF($R439&gt;0,EDATE($P439,ROUND((DATEDIF($P439,INT($B439),"m")+(INT($B439)-EDATE($P439,DATEDIF($P439,INT($B439),"m")))/(EDATE($P439,DATEDIF($P439,INT($B439),"m")+1)-EDATE($P439,DATEDIF($P439,INT($B439),"m"))))/$R439,0)*$R439),$P439))))),"")))</f>
      </c>
      <c r="M439" s="223">
        <f>IF(OR($C439="",N($L439)=0,N($B439)=0),"",IF(IF(MOD($L439,1)=0,INT($B439),$B439)&lt;=$L439,"Đúng hạn","Trễ hạn"))</f>
      </c>
      <c r="N439" s="225">
        <f>IF($C439="","",ROW())</f>
      </c>
      <c r="O439" s="225">
        <f>IF($I439="Công việc",MATCH($C439,'Kế hoạch'!$A$6:$A$305,0),"")</f>
      </c>
      <c r="P439" s="234">
        <f>IF($O439="","",INDEX('Kế hoạch'!$I$6:$I$305,$O439))</f>
      </c>
      <c r="Q439" s="225">
        <f>IF($O439="","",INDEX('Kế hoạch'!$AJ$6:$AJ$305,$O439))</f>
      </c>
      <c r="R439" s="225">
        <f>IF($O439="","",INDEX('Kế hoạch'!$AK$6:$AK$305,$O439))</f>
      </c>
    </row>
    <row r="440">
      <c r="A440" s="223">
        <f>IF($C440="","",COUNTIF($C$6:$C440,"?*"))</f>
      </c>
      <c r="B440" s="217"/>
      <c r="C440" s="216"/>
      <c r="D440" s="240"/>
      <c r="E440" s="218"/>
      <c r="F440" s="218"/>
      <c r="G440" s="218"/>
      <c r="H440" s="219"/>
      <c r="I440" s="223">
        <f>IF($C440="","",IF(ISNUMBER(MATCH($C440,'Phản ánh'!$A$6:$A$505,0)),"Phản ánh",IF(ISNUMBER(MATCH($C440,'Kế hoạch'!$A$6:$A$305,0)),"Công việc","Mã chưa có")))</f>
      </c>
      <c r="J440" s="221">
        <f>IF($I440="Phản ánh",INDEX('Phản ánh'!$C$6:$C$505,MATCH($C440,'Phản ánh'!$A$6:$A$505,0)),IF($I440="Công việc",INDEX('Kế hoạch'!$C$6:$C$305,$O440),""))</f>
      </c>
      <c r="K440" s="221">
        <f>IF($I440="Phản ánh",INDEX('Phản ánh'!$K$6:$K$505,MATCH($C440,'Phản ánh'!$A$6:$A$505,0))&amp;"",IF($I440="Công việc",INDEX('Kế hoạch'!$N$6:$N$305,$O440)&amp;"",""))</f>
      </c>
      <c r="L440" s="220">
        <f>IF(OR($C440="",N($B440)=0),"",IF(AND($I440="Phản ánh",$E440="Đã xử lý"),INDEX('Phản ánh'!$U$6:$U$505,MATCH($C440,'Phản ánh'!$A$6:$A$505,0)),IF(AND($I440="Công việc",OR($E440="Hoàn thành",$E440="Hoàn thành kỳ")),IF(INDEX('Kế hoạch'!$B$6:$B$305,$O440)="Đột xuất",INDEX('Kế hoạch'!$AY$6:$AY$305,$O440),IF(N($P440)=0,"",IF(INT($B440)&lt;$P440,$P440,IF($Q440&gt;0,$P440+ROUND((INT($B440)-$P440)/$Q440,0)*$Q440,IF($R440&gt;0,EDATE($P440,ROUND((DATEDIF($P440,INT($B440),"m")+(INT($B440)-EDATE($P440,DATEDIF($P440,INT($B440),"m")))/(EDATE($P440,DATEDIF($P440,INT($B440),"m")+1)-EDATE($P440,DATEDIF($P440,INT($B440),"m"))))/$R440,0)*$R440),$P440))))),"")))</f>
      </c>
      <c r="M440" s="223">
        <f>IF(OR($C440="",N($L440)=0,N($B440)=0),"",IF(IF(MOD($L440,1)=0,INT($B440),$B440)&lt;=$L440,"Đúng hạn","Trễ hạn"))</f>
      </c>
      <c r="N440" s="225">
        <f>IF($C440="","",ROW())</f>
      </c>
      <c r="O440" s="225">
        <f>IF($I440="Công việc",MATCH($C440,'Kế hoạch'!$A$6:$A$305,0),"")</f>
      </c>
      <c r="P440" s="234">
        <f>IF($O440="","",INDEX('Kế hoạch'!$I$6:$I$305,$O440))</f>
      </c>
      <c r="Q440" s="225">
        <f>IF($O440="","",INDEX('Kế hoạch'!$AJ$6:$AJ$305,$O440))</f>
      </c>
      <c r="R440" s="225">
        <f>IF($O440="","",INDEX('Kế hoạch'!$AK$6:$AK$305,$O440))</f>
      </c>
    </row>
    <row r="441">
      <c r="A441" s="223">
        <f>IF($C441="","",COUNTIF($C$6:$C441,"?*"))</f>
      </c>
      <c r="B441" s="217"/>
      <c r="C441" s="216"/>
      <c r="D441" s="240"/>
      <c r="E441" s="218"/>
      <c r="F441" s="218"/>
      <c r="G441" s="218"/>
      <c r="H441" s="219"/>
      <c r="I441" s="223">
        <f>IF($C441="","",IF(ISNUMBER(MATCH($C441,'Phản ánh'!$A$6:$A$505,0)),"Phản ánh",IF(ISNUMBER(MATCH($C441,'Kế hoạch'!$A$6:$A$305,0)),"Công việc","Mã chưa có")))</f>
      </c>
      <c r="J441" s="221">
        <f>IF($I441="Phản ánh",INDEX('Phản ánh'!$C$6:$C$505,MATCH($C441,'Phản ánh'!$A$6:$A$505,0)),IF($I441="Công việc",INDEX('Kế hoạch'!$C$6:$C$305,$O441),""))</f>
      </c>
      <c r="K441" s="221">
        <f>IF($I441="Phản ánh",INDEX('Phản ánh'!$K$6:$K$505,MATCH($C441,'Phản ánh'!$A$6:$A$505,0))&amp;"",IF($I441="Công việc",INDEX('Kế hoạch'!$N$6:$N$305,$O441)&amp;"",""))</f>
      </c>
      <c r="L441" s="220">
        <f>IF(OR($C441="",N($B441)=0),"",IF(AND($I441="Phản ánh",$E441="Đã xử lý"),INDEX('Phản ánh'!$U$6:$U$505,MATCH($C441,'Phản ánh'!$A$6:$A$505,0)),IF(AND($I441="Công việc",OR($E441="Hoàn thành",$E441="Hoàn thành kỳ")),IF(INDEX('Kế hoạch'!$B$6:$B$305,$O441)="Đột xuất",INDEX('Kế hoạch'!$AY$6:$AY$305,$O441),IF(N($P441)=0,"",IF(INT($B441)&lt;$P441,$P441,IF($Q441&gt;0,$P441+ROUND((INT($B441)-$P441)/$Q441,0)*$Q441,IF($R441&gt;0,EDATE($P441,ROUND((DATEDIF($P441,INT($B441),"m")+(INT($B441)-EDATE($P441,DATEDIF($P441,INT($B441),"m")))/(EDATE($P441,DATEDIF($P441,INT($B441),"m")+1)-EDATE($P441,DATEDIF($P441,INT($B441),"m"))))/$R441,0)*$R441),$P441))))),"")))</f>
      </c>
      <c r="M441" s="223">
        <f>IF(OR($C441="",N($L441)=0,N($B441)=0),"",IF(IF(MOD($L441,1)=0,INT($B441),$B441)&lt;=$L441,"Đúng hạn","Trễ hạn"))</f>
      </c>
      <c r="N441" s="225">
        <f>IF($C441="","",ROW())</f>
      </c>
      <c r="O441" s="225">
        <f>IF($I441="Công việc",MATCH($C441,'Kế hoạch'!$A$6:$A$305,0),"")</f>
      </c>
      <c r="P441" s="234">
        <f>IF($O441="","",INDEX('Kế hoạch'!$I$6:$I$305,$O441))</f>
      </c>
      <c r="Q441" s="225">
        <f>IF($O441="","",INDEX('Kế hoạch'!$AJ$6:$AJ$305,$O441))</f>
      </c>
      <c r="R441" s="225">
        <f>IF($O441="","",INDEX('Kế hoạch'!$AK$6:$AK$305,$O441))</f>
      </c>
    </row>
    <row r="442">
      <c r="A442" s="223">
        <f>IF($C442="","",COUNTIF($C$6:$C442,"?*"))</f>
      </c>
      <c r="B442" s="217"/>
      <c r="C442" s="216"/>
      <c r="D442" s="240"/>
      <c r="E442" s="218"/>
      <c r="F442" s="218"/>
      <c r="G442" s="218"/>
      <c r="H442" s="219"/>
      <c r="I442" s="223">
        <f>IF($C442="","",IF(ISNUMBER(MATCH($C442,'Phản ánh'!$A$6:$A$505,0)),"Phản ánh",IF(ISNUMBER(MATCH($C442,'Kế hoạch'!$A$6:$A$305,0)),"Công việc","Mã chưa có")))</f>
      </c>
      <c r="J442" s="221">
        <f>IF($I442="Phản ánh",INDEX('Phản ánh'!$C$6:$C$505,MATCH($C442,'Phản ánh'!$A$6:$A$505,0)),IF($I442="Công việc",INDEX('Kế hoạch'!$C$6:$C$305,$O442),""))</f>
      </c>
      <c r="K442" s="221">
        <f>IF($I442="Phản ánh",INDEX('Phản ánh'!$K$6:$K$505,MATCH($C442,'Phản ánh'!$A$6:$A$505,0))&amp;"",IF($I442="Công việc",INDEX('Kế hoạch'!$N$6:$N$305,$O442)&amp;"",""))</f>
      </c>
      <c r="L442" s="220">
        <f>IF(OR($C442="",N($B442)=0),"",IF(AND($I442="Phản ánh",$E442="Đã xử lý"),INDEX('Phản ánh'!$U$6:$U$505,MATCH($C442,'Phản ánh'!$A$6:$A$505,0)),IF(AND($I442="Công việc",OR($E442="Hoàn thành",$E442="Hoàn thành kỳ")),IF(INDEX('Kế hoạch'!$B$6:$B$305,$O442)="Đột xuất",INDEX('Kế hoạch'!$AY$6:$AY$305,$O442),IF(N($P442)=0,"",IF(INT($B442)&lt;$P442,$P442,IF($Q442&gt;0,$P442+ROUND((INT($B442)-$P442)/$Q442,0)*$Q442,IF($R442&gt;0,EDATE($P442,ROUND((DATEDIF($P442,INT($B442),"m")+(INT($B442)-EDATE($P442,DATEDIF($P442,INT($B442),"m")))/(EDATE($P442,DATEDIF($P442,INT($B442),"m")+1)-EDATE($P442,DATEDIF($P442,INT($B442),"m"))))/$R442,0)*$R442),$P442))))),"")))</f>
      </c>
      <c r="M442" s="223">
        <f>IF(OR($C442="",N($L442)=0,N($B442)=0),"",IF(IF(MOD($L442,1)=0,INT($B442),$B442)&lt;=$L442,"Đúng hạn","Trễ hạn"))</f>
      </c>
      <c r="N442" s="225">
        <f>IF($C442="","",ROW())</f>
      </c>
      <c r="O442" s="225">
        <f>IF($I442="Công việc",MATCH($C442,'Kế hoạch'!$A$6:$A$305,0),"")</f>
      </c>
      <c r="P442" s="234">
        <f>IF($O442="","",INDEX('Kế hoạch'!$I$6:$I$305,$O442))</f>
      </c>
      <c r="Q442" s="225">
        <f>IF($O442="","",INDEX('Kế hoạch'!$AJ$6:$AJ$305,$O442))</f>
      </c>
      <c r="R442" s="225">
        <f>IF($O442="","",INDEX('Kế hoạch'!$AK$6:$AK$305,$O442))</f>
      </c>
    </row>
    <row r="443">
      <c r="A443" s="223">
        <f>IF($C443="","",COUNTIF($C$6:$C443,"?*"))</f>
      </c>
      <c r="B443" s="217"/>
      <c r="C443" s="216"/>
      <c r="D443" s="240"/>
      <c r="E443" s="218"/>
      <c r="F443" s="218"/>
      <c r="G443" s="218"/>
      <c r="H443" s="219"/>
      <c r="I443" s="223">
        <f>IF($C443="","",IF(ISNUMBER(MATCH($C443,'Phản ánh'!$A$6:$A$505,0)),"Phản ánh",IF(ISNUMBER(MATCH($C443,'Kế hoạch'!$A$6:$A$305,0)),"Công việc","Mã chưa có")))</f>
      </c>
      <c r="J443" s="221">
        <f>IF($I443="Phản ánh",INDEX('Phản ánh'!$C$6:$C$505,MATCH($C443,'Phản ánh'!$A$6:$A$505,0)),IF($I443="Công việc",INDEX('Kế hoạch'!$C$6:$C$305,$O443),""))</f>
      </c>
      <c r="K443" s="221">
        <f>IF($I443="Phản ánh",INDEX('Phản ánh'!$K$6:$K$505,MATCH($C443,'Phản ánh'!$A$6:$A$505,0))&amp;"",IF($I443="Công việc",INDEX('Kế hoạch'!$N$6:$N$305,$O443)&amp;"",""))</f>
      </c>
      <c r="L443" s="220">
        <f>IF(OR($C443="",N($B443)=0),"",IF(AND($I443="Phản ánh",$E443="Đã xử lý"),INDEX('Phản ánh'!$U$6:$U$505,MATCH($C443,'Phản ánh'!$A$6:$A$505,0)),IF(AND($I443="Công việc",OR($E443="Hoàn thành",$E443="Hoàn thành kỳ")),IF(INDEX('Kế hoạch'!$B$6:$B$305,$O443)="Đột xuất",INDEX('Kế hoạch'!$AY$6:$AY$305,$O443),IF(N($P443)=0,"",IF(INT($B443)&lt;$P443,$P443,IF($Q443&gt;0,$P443+ROUND((INT($B443)-$P443)/$Q443,0)*$Q443,IF($R443&gt;0,EDATE($P443,ROUND((DATEDIF($P443,INT($B443),"m")+(INT($B443)-EDATE($P443,DATEDIF($P443,INT($B443),"m")))/(EDATE($P443,DATEDIF($P443,INT($B443),"m")+1)-EDATE($P443,DATEDIF($P443,INT($B443),"m"))))/$R443,0)*$R443),$P443))))),"")))</f>
      </c>
      <c r="M443" s="223">
        <f>IF(OR($C443="",N($L443)=0,N($B443)=0),"",IF(IF(MOD($L443,1)=0,INT($B443),$B443)&lt;=$L443,"Đúng hạn","Trễ hạn"))</f>
      </c>
      <c r="N443" s="225">
        <f>IF($C443="","",ROW())</f>
      </c>
      <c r="O443" s="225">
        <f>IF($I443="Công việc",MATCH($C443,'Kế hoạch'!$A$6:$A$305,0),"")</f>
      </c>
      <c r="P443" s="234">
        <f>IF($O443="","",INDEX('Kế hoạch'!$I$6:$I$305,$O443))</f>
      </c>
      <c r="Q443" s="225">
        <f>IF($O443="","",INDEX('Kế hoạch'!$AJ$6:$AJ$305,$O443))</f>
      </c>
      <c r="R443" s="225">
        <f>IF($O443="","",INDEX('Kế hoạch'!$AK$6:$AK$305,$O443))</f>
      </c>
    </row>
    <row r="444">
      <c r="A444" s="223">
        <f>IF($C444="","",COUNTIF($C$6:$C444,"?*"))</f>
      </c>
      <c r="B444" s="217"/>
      <c r="C444" s="216"/>
      <c r="D444" s="240"/>
      <c r="E444" s="218"/>
      <c r="F444" s="218"/>
      <c r="G444" s="218"/>
      <c r="H444" s="219"/>
      <c r="I444" s="223">
        <f>IF($C444="","",IF(ISNUMBER(MATCH($C444,'Phản ánh'!$A$6:$A$505,0)),"Phản ánh",IF(ISNUMBER(MATCH($C444,'Kế hoạch'!$A$6:$A$305,0)),"Công việc","Mã chưa có")))</f>
      </c>
      <c r="J444" s="221">
        <f>IF($I444="Phản ánh",INDEX('Phản ánh'!$C$6:$C$505,MATCH($C444,'Phản ánh'!$A$6:$A$505,0)),IF($I444="Công việc",INDEX('Kế hoạch'!$C$6:$C$305,$O444),""))</f>
      </c>
      <c r="K444" s="221">
        <f>IF($I444="Phản ánh",INDEX('Phản ánh'!$K$6:$K$505,MATCH($C444,'Phản ánh'!$A$6:$A$505,0))&amp;"",IF($I444="Công việc",INDEX('Kế hoạch'!$N$6:$N$305,$O444)&amp;"",""))</f>
      </c>
      <c r="L444" s="220">
        <f>IF(OR($C444="",N($B444)=0),"",IF(AND($I444="Phản ánh",$E444="Đã xử lý"),INDEX('Phản ánh'!$U$6:$U$505,MATCH($C444,'Phản ánh'!$A$6:$A$505,0)),IF(AND($I444="Công việc",OR($E444="Hoàn thành",$E444="Hoàn thành kỳ")),IF(INDEX('Kế hoạch'!$B$6:$B$305,$O444)="Đột xuất",INDEX('Kế hoạch'!$AY$6:$AY$305,$O444),IF(N($P444)=0,"",IF(INT($B444)&lt;$P444,$P444,IF($Q444&gt;0,$P444+ROUND((INT($B444)-$P444)/$Q444,0)*$Q444,IF($R444&gt;0,EDATE($P444,ROUND((DATEDIF($P444,INT($B444),"m")+(INT($B444)-EDATE($P444,DATEDIF($P444,INT($B444),"m")))/(EDATE($P444,DATEDIF($P444,INT($B444),"m")+1)-EDATE($P444,DATEDIF($P444,INT($B444),"m"))))/$R444,0)*$R444),$P444))))),"")))</f>
      </c>
      <c r="M444" s="223">
        <f>IF(OR($C444="",N($L444)=0,N($B444)=0),"",IF(IF(MOD($L444,1)=0,INT($B444),$B444)&lt;=$L444,"Đúng hạn","Trễ hạn"))</f>
      </c>
      <c r="N444" s="225">
        <f>IF($C444="","",ROW())</f>
      </c>
      <c r="O444" s="225">
        <f>IF($I444="Công việc",MATCH($C444,'Kế hoạch'!$A$6:$A$305,0),"")</f>
      </c>
      <c r="P444" s="234">
        <f>IF($O444="","",INDEX('Kế hoạch'!$I$6:$I$305,$O444))</f>
      </c>
      <c r="Q444" s="225">
        <f>IF($O444="","",INDEX('Kế hoạch'!$AJ$6:$AJ$305,$O444))</f>
      </c>
      <c r="R444" s="225">
        <f>IF($O444="","",INDEX('Kế hoạch'!$AK$6:$AK$305,$O444))</f>
      </c>
    </row>
    <row r="445">
      <c r="A445" s="223">
        <f>IF($C445="","",COUNTIF($C$6:$C445,"?*"))</f>
      </c>
      <c r="B445" s="217"/>
      <c r="C445" s="216"/>
      <c r="D445" s="240"/>
      <c r="E445" s="218"/>
      <c r="F445" s="218"/>
      <c r="G445" s="218"/>
      <c r="H445" s="219"/>
      <c r="I445" s="223">
        <f>IF($C445="","",IF(ISNUMBER(MATCH($C445,'Phản ánh'!$A$6:$A$505,0)),"Phản ánh",IF(ISNUMBER(MATCH($C445,'Kế hoạch'!$A$6:$A$305,0)),"Công việc","Mã chưa có")))</f>
      </c>
      <c r="J445" s="221">
        <f>IF($I445="Phản ánh",INDEX('Phản ánh'!$C$6:$C$505,MATCH($C445,'Phản ánh'!$A$6:$A$505,0)),IF($I445="Công việc",INDEX('Kế hoạch'!$C$6:$C$305,$O445),""))</f>
      </c>
      <c r="K445" s="221">
        <f>IF($I445="Phản ánh",INDEX('Phản ánh'!$K$6:$K$505,MATCH($C445,'Phản ánh'!$A$6:$A$505,0))&amp;"",IF($I445="Công việc",INDEX('Kế hoạch'!$N$6:$N$305,$O445)&amp;"",""))</f>
      </c>
      <c r="L445" s="220">
        <f>IF(OR($C445="",N($B445)=0),"",IF(AND($I445="Phản ánh",$E445="Đã xử lý"),INDEX('Phản ánh'!$U$6:$U$505,MATCH($C445,'Phản ánh'!$A$6:$A$505,0)),IF(AND($I445="Công việc",OR($E445="Hoàn thành",$E445="Hoàn thành kỳ")),IF(INDEX('Kế hoạch'!$B$6:$B$305,$O445)="Đột xuất",INDEX('Kế hoạch'!$AY$6:$AY$305,$O445),IF(N($P445)=0,"",IF(INT($B445)&lt;$P445,$P445,IF($Q445&gt;0,$P445+ROUND((INT($B445)-$P445)/$Q445,0)*$Q445,IF($R445&gt;0,EDATE($P445,ROUND((DATEDIF($P445,INT($B445),"m")+(INT($B445)-EDATE($P445,DATEDIF($P445,INT($B445),"m")))/(EDATE($P445,DATEDIF($P445,INT($B445),"m")+1)-EDATE($P445,DATEDIF($P445,INT($B445),"m"))))/$R445,0)*$R445),$P445))))),"")))</f>
      </c>
      <c r="M445" s="223">
        <f>IF(OR($C445="",N($L445)=0,N($B445)=0),"",IF(IF(MOD($L445,1)=0,INT($B445),$B445)&lt;=$L445,"Đúng hạn","Trễ hạn"))</f>
      </c>
      <c r="N445" s="225">
        <f>IF($C445="","",ROW())</f>
      </c>
      <c r="O445" s="225">
        <f>IF($I445="Công việc",MATCH($C445,'Kế hoạch'!$A$6:$A$305,0),"")</f>
      </c>
      <c r="P445" s="234">
        <f>IF($O445="","",INDEX('Kế hoạch'!$I$6:$I$305,$O445))</f>
      </c>
      <c r="Q445" s="225">
        <f>IF($O445="","",INDEX('Kế hoạch'!$AJ$6:$AJ$305,$O445))</f>
      </c>
      <c r="R445" s="225">
        <f>IF($O445="","",INDEX('Kế hoạch'!$AK$6:$AK$305,$O445))</f>
      </c>
    </row>
    <row r="446">
      <c r="A446" s="223">
        <f>IF($C446="","",COUNTIF($C$6:$C446,"?*"))</f>
      </c>
      <c r="B446" s="217"/>
      <c r="C446" s="216"/>
      <c r="D446" s="240"/>
      <c r="E446" s="218"/>
      <c r="F446" s="218"/>
      <c r="G446" s="218"/>
      <c r="H446" s="219"/>
      <c r="I446" s="223">
        <f>IF($C446="","",IF(ISNUMBER(MATCH($C446,'Phản ánh'!$A$6:$A$505,0)),"Phản ánh",IF(ISNUMBER(MATCH($C446,'Kế hoạch'!$A$6:$A$305,0)),"Công việc","Mã chưa có")))</f>
      </c>
      <c r="J446" s="221">
        <f>IF($I446="Phản ánh",INDEX('Phản ánh'!$C$6:$C$505,MATCH($C446,'Phản ánh'!$A$6:$A$505,0)),IF($I446="Công việc",INDEX('Kế hoạch'!$C$6:$C$305,$O446),""))</f>
      </c>
      <c r="K446" s="221">
        <f>IF($I446="Phản ánh",INDEX('Phản ánh'!$K$6:$K$505,MATCH($C446,'Phản ánh'!$A$6:$A$505,0))&amp;"",IF($I446="Công việc",INDEX('Kế hoạch'!$N$6:$N$305,$O446)&amp;"",""))</f>
      </c>
      <c r="L446" s="220">
        <f>IF(OR($C446="",N($B446)=0),"",IF(AND($I446="Phản ánh",$E446="Đã xử lý"),INDEX('Phản ánh'!$U$6:$U$505,MATCH($C446,'Phản ánh'!$A$6:$A$505,0)),IF(AND($I446="Công việc",OR($E446="Hoàn thành",$E446="Hoàn thành kỳ")),IF(INDEX('Kế hoạch'!$B$6:$B$305,$O446)="Đột xuất",INDEX('Kế hoạch'!$AY$6:$AY$305,$O446),IF(N($P446)=0,"",IF(INT($B446)&lt;$P446,$P446,IF($Q446&gt;0,$P446+ROUND((INT($B446)-$P446)/$Q446,0)*$Q446,IF($R446&gt;0,EDATE($P446,ROUND((DATEDIF($P446,INT($B446),"m")+(INT($B446)-EDATE($P446,DATEDIF($P446,INT($B446),"m")))/(EDATE($P446,DATEDIF($P446,INT($B446),"m")+1)-EDATE($P446,DATEDIF($P446,INT($B446),"m"))))/$R446,0)*$R446),$P446))))),"")))</f>
      </c>
      <c r="M446" s="223">
        <f>IF(OR($C446="",N($L446)=0,N($B446)=0),"",IF(IF(MOD($L446,1)=0,INT($B446),$B446)&lt;=$L446,"Đúng hạn","Trễ hạn"))</f>
      </c>
      <c r="N446" s="225">
        <f>IF($C446="","",ROW())</f>
      </c>
      <c r="O446" s="225">
        <f>IF($I446="Công việc",MATCH($C446,'Kế hoạch'!$A$6:$A$305,0),"")</f>
      </c>
      <c r="P446" s="234">
        <f>IF($O446="","",INDEX('Kế hoạch'!$I$6:$I$305,$O446))</f>
      </c>
      <c r="Q446" s="225">
        <f>IF($O446="","",INDEX('Kế hoạch'!$AJ$6:$AJ$305,$O446))</f>
      </c>
      <c r="R446" s="225">
        <f>IF($O446="","",INDEX('Kế hoạch'!$AK$6:$AK$305,$O446))</f>
      </c>
    </row>
    <row r="447">
      <c r="A447" s="223">
        <f>IF($C447="","",COUNTIF($C$6:$C447,"?*"))</f>
      </c>
      <c r="B447" s="217"/>
      <c r="C447" s="216"/>
      <c r="D447" s="240"/>
      <c r="E447" s="218"/>
      <c r="F447" s="218"/>
      <c r="G447" s="218"/>
      <c r="H447" s="219"/>
      <c r="I447" s="223">
        <f>IF($C447="","",IF(ISNUMBER(MATCH($C447,'Phản ánh'!$A$6:$A$505,0)),"Phản ánh",IF(ISNUMBER(MATCH($C447,'Kế hoạch'!$A$6:$A$305,0)),"Công việc","Mã chưa có")))</f>
      </c>
      <c r="J447" s="221">
        <f>IF($I447="Phản ánh",INDEX('Phản ánh'!$C$6:$C$505,MATCH($C447,'Phản ánh'!$A$6:$A$505,0)),IF($I447="Công việc",INDEX('Kế hoạch'!$C$6:$C$305,$O447),""))</f>
      </c>
      <c r="K447" s="221">
        <f>IF($I447="Phản ánh",INDEX('Phản ánh'!$K$6:$K$505,MATCH($C447,'Phản ánh'!$A$6:$A$505,0))&amp;"",IF($I447="Công việc",INDEX('Kế hoạch'!$N$6:$N$305,$O447)&amp;"",""))</f>
      </c>
      <c r="L447" s="220">
        <f>IF(OR($C447="",N($B447)=0),"",IF(AND($I447="Phản ánh",$E447="Đã xử lý"),INDEX('Phản ánh'!$U$6:$U$505,MATCH($C447,'Phản ánh'!$A$6:$A$505,0)),IF(AND($I447="Công việc",OR($E447="Hoàn thành",$E447="Hoàn thành kỳ")),IF(INDEX('Kế hoạch'!$B$6:$B$305,$O447)="Đột xuất",INDEX('Kế hoạch'!$AY$6:$AY$305,$O447),IF(N($P447)=0,"",IF(INT($B447)&lt;$P447,$P447,IF($Q447&gt;0,$P447+ROUND((INT($B447)-$P447)/$Q447,0)*$Q447,IF($R447&gt;0,EDATE($P447,ROUND((DATEDIF($P447,INT($B447),"m")+(INT($B447)-EDATE($P447,DATEDIF($P447,INT($B447),"m")))/(EDATE($P447,DATEDIF($P447,INT($B447),"m")+1)-EDATE($P447,DATEDIF($P447,INT($B447),"m"))))/$R447,0)*$R447),$P447))))),"")))</f>
      </c>
      <c r="M447" s="223">
        <f>IF(OR($C447="",N($L447)=0,N($B447)=0),"",IF(IF(MOD($L447,1)=0,INT($B447),$B447)&lt;=$L447,"Đúng hạn","Trễ hạn"))</f>
      </c>
      <c r="N447" s="225">
        <f>IF($C447="","",ROW())</f>
      </c>
      <c r="O447" s="225">
        <f>IF($I447="Công việc",MATCH($C447,'Kế hoạch'!$A$6:$A$305,0),"")</f>
      </c>
      <c r="P447" s="234">
        <f>IF($O447="","",INDEX('Kế hoạch'!$I$6:$I$305,$O447))</f>
      </c>
      <c r="Q447" s="225">
        <f>IF($O447="","",INDEX('Kế hoạch'!$AJ$6:$AJ$305,$O447))</f>
      </c>
      <c r="R447" s="225">
        <f>IF($O447="","",INDEX('Kế hoạch'!$AK$6:$AK$305,$O447))</f>
      </c>
    </row>
    <row r="448">
      <c r="A448" s="223">
        <f>IF($C448="","",COUNTIF($C$6:$C448,"?*"))</f>
      </c>
      <c r="B448" s="217"/>
      <c r="C448" s="216"/>
      <c r="D448" s="240"/>
      <c r="E448" s="218"/>
      <c r="F448" s="218"/>
      <c r="G448" s="218"/>
      <c r="H448" s="219"/>
      <c r="I448" s="223">
        <f>IF($C448="","",IF(ISNUMBER(MATCH($C448,'Phản ánh'!$A$6:$A$505,0)),"Phản ánh",IF(ISNUMBER(MATCH($C448,'Kế hoạch'!$A$6:$A$305,0)),"Công việc","Mã chưa có")))</f>
      </c>
      <c r="J448" s="221">
        <f>IF($I448="Phản ánh",INDEX('Phản ánh'!$C$6:$C$505,MATCH($C448,'Phản ánh'!$A$6:$A$505,0)),IF($I448="Công việc",INDEX('Kế hoạch'!$C$6:$C$305,$O448),""))</f>
      </c>
      <c r="K448" s="221">
        <f>IF($I448="Phản ánh",INDEX('Phản ánh'!$K$6:$K$505,MATCH($C448,'Phản ánh'!$A$6:$A$505,0))&amp;"",IF($I448="Công việc",INDEX('Kế hoạch'!$N$6:$N$305,$O448)&amp;"",""))</f>
      </c>
      <c r="L448" s="220">
        <f>IF(OR($C448="",N($B448)=0),"",IF(AND($I448="Phản ánh",$E448="Đã xử lý"),INDEX('Phản ánh'!$U$6:$U$505,MATCH($C448,'Phản ánh'!$A$6:$A$505,0)),IF(AND($I448="Công việc",OR($E448="Hoàn thành",$E448="Hoàn thành kỳ")),IF(INDEX('Kế hoạch'!$B$6:$B$305,$O448)="Đột xuất",INDEX('Kế hoạch'!$AY$6:$AY$305,$O448),IF(N($P448)=0,"",IF(INT($B448)&lt;$P448,$P448,IF($Q448&gt;0,$P448+ROUND((INT($B448)-$P448)/$Q448,0)*$Q448,IF($R448&gt;0,EDATE($P448,ROUND((DATEDIF($P448,INT($B448),"m")+(INT($B448)-EDATE($P448,DATEDIF($P448,INT($B448),"m")))/(EDATE($P448,DATEDIF($P448,INT($B448),"m")+1)-EDATE($P448,DATEDIF($P448,INT($B448),"m"))))/$R448,0)*$R448),$P448))))),"")))</f>
      </c>
      <c r="M448" s="223">
        <f>IF(OR($C448="",N($L448)=0,N($B448)=0),"",IF(IF(MOD($L448,1)=0,INT($B448),$B448)&lt;=$L448,"Đúng hạn","Trễ hạn"))</f>
      </c>
      <c r="N448" s="225">
        <f>IF($C448="","",ROW())</f>
      </c>
      <c r="O448" s="225">
        <f>IF($I448="Công việc",MATCH($C448,'Kế hoạch'!$A$6:$A$305,0),"")</f>
      </c>
      <c r="P448" s="234">
        <f>IF($O448="","",INDEX('Kế hoạch'!$I$6:$I$305,$O448))</f>
      </c>
      <c r="Q448" s="225">
        <f>IF($O448="","",INDEX('Kế hoạch'!$AJ$6:$AJ$305,$O448))</f>
      </c>
      <c r="R448" s="225">
        <f>IF($O448="","",INDEX('Kế hoạch'!$AK$6:$AK$305,$O448))</f>
      </c>
    </row>
    <row r="449">
      <c r="A449" s="223">
        <f>IF($C449="","",COUNTIF($C$6:$C449,"?*"))</f>
      </c>
      <c r="B449" s="217"/>
      <c r="C449" s="216"/>
      <c r="D449" s="240"/>
      <c r="E449" s="218"/>
      <c r="F449" s="218"/>
      <c r="G449" s="218"/>
      <c r="H449" s="219"/>
      <c r="I449" s="223">
        <f>IF($C449="","",IF(ISNUMBER(MATCH($C449,'Phản ánh'!$A$6:$A$505,0)),"Phản ánh",IF(ISNUMBER(MATCH($C449,'Kế hoạch'!$A$6:$A$305,0)),"Công việc","Mã chưa có")))</f>
      </c>
      <c r="J449" s="221">
        <f>IF($I449="Phản ánh",INDEX('Phản ánh'!$C$6:$C$505,MATCH($C449,'Phản ánh'!$A$6:$A$505,0)),IF($I449="Công việc",INDEX('Kế hoạch'!$C$6:$C$305,$O449),""))</f>
      </c>
      <c r="K449" s="221">
        <f>IF($I449="Phản ánh",INDEX('Phản ánh'!$K$6:$K$505,MATCH($C449,'Phản ánh'!$A$6:$A$505,0))&amp;"",IF($I449="Công việc",INDEX('Kế hoạch'!$N$6:$N$305,$O449)&amp;"",""))</f>
      </c>
      <c r="L449" s="220">
        <f>IF(OR($C449="",N($B449)=0),"",IF(AND($I449="Phản ánh",$E449="Đã xử lý"),INDEX('Phản ánh'!$U$6:$U$505,MATCH($C449,'Phản ánh'!$A$6:$A$505,0)),IF(AND($I449="Công việc",OR($E449="Hoàn thành",$E449="Hoàn thành kỳ")),IF(INDEX('Kế hoạch'!$B$6:$B$305,$O449)="Đột xuất",INDEX('Kế hoạch'!$AY$6:$AY$305,$O449),IF(N($P449)=0,"",IF(INT($B449)&lt;$P449,$P449,IF($Q449&gt;0,$P449+ROUND((INT($B449)-$P449)/$Q449,0)*$Q449,IF($R449&gt;0,EDATE($P449,ROUND((DATEDIF($P449,INT($B449),"m")+(INT($B449)-EDATE($P449,DATEDIF($P449,INT($B449),"m")))/(EDATE($P449,DATEDIF($P449,INT($B449),"m")+1)-EDATE($P449,DATEDIF($P449,INT($B449),"m"))))/$R449,0)*$R449),$P449))))),"")))</f>
      </c>
      <c r="M449" s="223">
        <f>IF(OR($C449="",N($L449)=0,N($B449)=0),"",IF(IF(MOD($L449,1)=0,INT($B449),$B449)&lt;=$L449,"Đúng hạn","Trễ hạn"))</f>
      </c>
      <c r="N449" s="225">
        <f>IF($C449="","",ROW())</f>
      </c>
      <c r="O449" s="225">
        <f>IF($I449="Công việc",MATCH($C449,'Kế hoạch'!$A$6:$A$305,0),"")</f>
      </c>
      <c r="P449" s="234">
        <f>IF($O449="","",INDEX('Kế hoạch'!$I$6:$I$305,$O449))</f>
      </c>
      <c r="Q449" s="225">
        <f>IF($O449="","",INDEX('Kế hoạch'!$AJ$6:$AJ$305,$O449))</f>
      </c>
      <c r="R449" s="225">
        <f>IF($O449="","",INDEX('Kế hoạch'!$AK$6:$AK$305,$O449))</f>
      </c>
    </row>
    <row r="450">
      <c r="A450" s="223">
        <f>IF($C450="","",COUNTIF($C$6:$C450,"?*"))</f>
      </c>
      <c r="B450" s="217"/>
      <c r="C450" s="216"/>
      <c r="D450" s="240"/>
      <c r="E450" s="218"/>
      <c r="F450" s="218"/>
      <c r="G450" s="218"/>
      <c r="H450" s="219"/>
      <c r="I450" s="223">
        <f>IF($C450="","",IF(ISNUMBER(MATCH($C450,'Phản ánh'!$A$6:$A$505,0)),"Phản ánh",IF(ISNUMBER(MATCH($C450,'Kế hoạch'!$A$6:$A$305,0)),"Công việc","Mã chưa có")))</f>
      </c>
      <c r="J450" s="221">
        <f>IF($I450="Phản ánh",INDEX('Phản ánh'!$C$6:$C$505,MATCH($C450,'Phản ánh'!$A$6:$A$505,0)),IF($I450="Công việc",INDEX('Kế hoạch'!$C$6:$C$305,$O450),""))</f>
      </c>
      <c r="K450" s="221">
        <f>IF($I450="Phản ánh",INDEX('Phản ánh'!$K$6:$K$505,MATCH($C450,'Phản ánh'!$A$6:$A$505,0))&amp;"",IF($I450="Công việc",INDEX('Kế hoạch'!$N$6:$N$305,$O450)&amp;"",""))</f>
      </c>
      <c r="L450" s="220">
        <f>IF(OR($C450="",N($B450)=0),"",IF(AND($I450="Phản ánh",$E450="Đã xử lý"),INDEX('Phản ánh'!$U$6:$U$505,MATCH($C450,'Phản ánh'!$A$6:$A$505,0)),IF(AND($I450="Công việc",OR($E450="Hoàn thành",$E450="Hoàn thành kỳ")),IF(INDEX('Kế hoạch'!$B$6:$B$305,$O450)="Đột xuất",INDEX('Kế hoạch'!$AY$6:$AY$305,$O450),IF(N($P450)=0,"",IF(INT($B450)&lt;$P450,$P450,IF($Q450&gt;0,$P450+ROUND((INT($B450)-$P450)/$Q450,0)*$Q450,IF($R450&gt;0,EDATE($P450,ROUND((DATEDIF($P450,INT($B450),"m")+(INT($B450)-EDATE($P450,DATEDIF($P450,INT($B450),"m")))/(EDATE($P450,DATEDIF($P450,INT($B450),"m")+1)-EDATE($P450,DATEDIF($P450,INT($B450),"m"))))/$R450,0)*$R450),$P450))))),"")))</f>
      </c>
      <c r="M450" s="223">
        <f>IF(OR($C450="",N($L450)=0,N($B450)=0),"",IF(IF(MOD($L450,1)=0,INT($B450),$B450)&lt;=$L450,"Đúng hạn","Trễ hạn"))</f>
      </c>
      <c r="N450" s="225">
        <f>IF($C450="","",ROW())</f>
      </c>
      <c r="O450" s="225">
        <f>IF($I450="Công việc",MATCH($C450,'Kế hoạch'!$A$6:$A$305,0),"")</f>
      </c>
      <c r="P450" s="234">
        <f>IF($O450="","",INDEX('Kế hoạch'!$I$6:$I$305,$O450))</f>
      </c>
      <c r="Q450" s="225">
        <f>IF($O450="","",INDEX('Kế hoạch'!$AJ$6:$AJ$305,$O450))</f>
      </c>
      <c r="R450" s="225">
        <f>IF($O450="","",INDEX('Kế hoạch'!$AK$6:$AK$305,$O450))</f>
      </c>
    </row>
    <row r="451">
      <c r="A451" s="223">
        <f>IF($C451="","",COUNTIF($C$6:$C451,"?*"))</f>
      </c>
      <c r="B451" s="217"/>
      <c r="C451" s="216"/>
      <c r="D451" s="240"/>
      <c r="E451" s="218"/>
      <c r="F451" s="218"/>
      <c r="G451" s="218"/>
      <c r="H451" s="219"/>
      <c r="I451" s="223">
        <f>IF($C451="","",IF(ISNUMBER(MATCH($C451,'Phản ánh'!$A$6:$A$505,0)),"Phản ánh",IF(ISNUMBER(MATCH($C451,'Kế hoạch'!$A$6:$A$305,0)),"Công việc","Mã chưa có")))</f>
      </c>
      <c r="J451" s="221">
        <f>IF($I451="Phản ánh",INDEX('Phản ánh'!$C$6:$C$505,MATCH($C451,'Phản ánh'!$A$6:$A$505,0)),IF($I451="Công việc",INDEX('Kế hoạch'!$C$6:$C$305,$O451),""))</f>
      </c>
      <c r="K451" s="221">
        <f>IF($I451="Phản ánh",INDEX('Phản ánh'!$K$6:$K$505,MATCH($C451,'Phản ánh'!$A$6:$A$505,0))&amp;"",IF($I451="Công việc",INDEX('Kế hoạch'!$N$6:$N$305,$O451)&amp;"",""))</f>
      </c>
      <c r="L451" s="220">
        <f>IF(OR($C451="",N($B451)=0),"",IF(AND($I451="Phản ánh",$E451="Đã xử lý"),INDEX('Phản ánh'!$U$6:$U$505,MATCH($C451,'Phản ánh'!$A$6:$A$505,0)),IF(AND($I451="Công việc",OR($E451="Hoàn thành",$E451="Hoàn thành kỳ")),IF(INDEX('Kế hoạch'!$B$6:$B$305,$O451)="Đột xuất",INDEX('Kế hoạch'!$AY$6:$AY$305,$O451),IF(N($P451)=0,"",IF(INT($B451)&lt;$P451,$P451,IF($Q451&gt;0,$P451+ROUND((INT($B451)-$P451)/$Q451,0)*$Q451,IF($R451&gt;0,EDATE($P451,ROUND((DATEDIF($P451,INT($B451),"m")+(INT($B451)-EDATE($P451,DATEDIF($P451,INT($B451),"m")))/(EDATE($P451,DATEDIF($P451,INT($B451),"m")+1)-EDATE($P451,DATEDIF($P451,INT($B451),"m"))))/$R451,0)*$R451),$P451))))),"")))</f>
      </c>
      <c r="M451" s="223">
        <f>IF(OR($C451="",N($L451)=0,N($B451)=0),"",IF(IF(MOD($L451,1)=0,INT($B451),$B451)&lt;=$L451,"Đúng hạn","Trễ hạn"))</f>
      </c>
      <c r="N451" s="225">
        <f>IF($C451="","",ROW())</f>
      </c>
      <c r="O451" s="225">
        <f>IF($I451="Công việc",MATCH($C451,'Kế hoạch'!$A$6:$A$305,0),"")</f>
      </c>
      <c r="P451" s="234">
        <f>IF($O451="","",INDEX('Kế hoạch'!$I$6:$I$305,$O451))</f>
      </c>
      <c r="Q451" s="225">
        <f>IF($O451="","",INDEX('Kế hoạch'!$AJ$6:$AJ$305,$O451))</f>
      </c>
      <c r="R451" s="225">
        <f>IF($O451="","",INDEX('Kế hoạch'!$AK$6:$AK$305,$O451))</f>
      </c>
    </row>
    <row r="452">
      <c r="A452" s="223">
        <f>IF($C452="","",COUNTIF($C$6:$C452,"?*"))</f>
      </c>
      <c r="B452" s="217"/>
      <c r="C452" s="216"/>
      <c r="D452" s="240"/>
      <c r="E452" s="218"/>
      <c r="F452" s="218"/>
      <c r="G452" s="218"/>
      <c r="H452" s="219"/>
      <c r="I452" s="223">
        <f>IF($C452="","",IF(ISNUMBER(MATCH($C452,'Phản ánh'!$A$6:$A$505,0)),"Phản ánh",IF(ISNUMBER(MATCH($C452,'Kế hoạch'!$A$6:$A$305,0)),"Công việc","Mã chưa có")))</f>
      </c>
      <c r="J452" s="221">
        <f>IF($I452="Phản ánh",INDEX('Phản ánh'!$C$6:$C$505,MATCH($C452,'Phản ánh'!$A$6:$A$505,0)),IF($I452="Công việc",INDEX('Kế hoạch'!$C$6:$C$305,$O452),""))</f>
      </c>
      <c r="K452" s="221">
        <f>IF($I452="Phản ánh",INDEX('Phản ánh'!$K$6:$K$505,MATCH($C452,'Phản ánh'!$A$6:$A$505,0))&amp;"",IF($I452="Công việc",INDEX('Kế hoạch'!$N$6:$N$305,$O452)&amp;"",""))</f>
      </c>
      <c r="L452" s="220">
        <f>IF(OR($C452="",N($B452)=0),"",IF(AND($I452="Phản ánh",$E452="Đã xử lý"),INDEX('Phản ánh'!$U$6:$U$505,MATCH($C452,'Phản ánh'!$A$6:$A$505,0)),IF(AND($I452="Công việc",OR($E452="Hoàn thành",$E452="Hoàn thành kỳ")),IF(INDEX('Kế hoạch'!$B$6:$B$305,$O452)="Đột xuất",INDEX('Kế hoạch'!$AY$6:$AY$305,$O452),IF(N($P452)=0,"",IF(INT($B452)&lt;$P452,$P452,IF($Q452&gt;0,$P452+ROUND((INT($B452)-$P452)/$Q452,0)*$Q452,IF($R452&gt;0,EDATE($P452,ROUND((DATEDIF($P452,INT($B452),"m")+(INT($B452)-EDATE($P452,DATEDIF($P452,INT($B452),"m")))/(EDATE($P452,DATEDIF($P452,INT($B452),"m")+1)-EDATE($P452,DATEDIF($P452,INT($B452),"m"))))/$R452,0)*$R452),$P452))))),"")))</f>
      </c>
      <c r="M452" s="223">
        <f>IF(OR($C452="",N($L452)=0,N($B452)=0),"",IF(IF(MOD($L452,1)=0,INT($B452),$B452)&lt;=$L452,"Đúng hạn","Trễ hạn"))</f>
      </c>
      <c r="N452" s="225">
        <f>IF($C452="","",ROW())</f>
      </c>
      <c r="O452" s="225">
        <f>IF($I452="Công việc",MATCH($C452,'Kế hoạch'!$A$6:$A$305,0),"")</f>
      </c>
      <c r="P452" s="234">
        <f>IF($O452="","",INDEX('Kế hoạch'!$I$6:$I$305,$O452))</f>
      </c>
      <c r="Q452" s="225">
        <f>IF($O452="","",INDEX('Kế hoạch'!$AJ$6:$AJ$305,$O452))</f>
      </c>
      <c r="R452" s="225">
        <f>IF($O452="","",INDEX('Kế hoạch'!$AK$6:$AK$305,$O452))</f>
      </c>
    </row>
    <row r="453">
      <c r="A453" s="223">
        <f>IF($C453="","",COUNTIF($C$6:$C453,"?*"))</f>
      </c>
      <c r="B453" s="217"/>
      <c r="C453" s="216"/>
      <c r="D453" s="240"/>
      <c r="E453" s="218"/>
      <c r="F453" s="218"/>
      <c r="G453" s="218"/>
      <c r="H453" s="219"/>
      <c r="I453" s="223">
        <f>IF($C453="","",IF(ISNUMBER(MATCH($C453,'Phản ánh'!$A$6:$A$505,0)),"Phản ánh",IF(ISNUMBER(MATCH($C453,'Kế hoạch'!$A$6:$A$305,0)),"Công việc","Mã chưa có")))</f>
      </c>
      <c r="J453" s="221">
        <f>IF($I453="Phản ánh",INDEX('Phản ánh'!$C$6:$C$505,MATCH($C453,'Phản ánh'!$A$6:$A$505,0)),IF($I453="Công việc",INDEX('Kế hoạch'!$C$6:$C$305,$O453),""))</f>
      </c>
      <c r="K453" s="221">
        <f>IF($I453="Phản ánh",INDEX('Phản ánh'!$K$6:$K$505,MATCH($C453,'Phản ánh'!$A$6:$A$505,0))&amp;"",IF($I453="Công việc",INDEX('Kế hoạch'!$N$6:$N$305,$O453)&amp;"",""))</f>
      </c>
      <c r="L453" s="220">
        <f>IF(OR($C453="",N($B453)=0),"",IF(AND($I453="Phản ánh",$E453="Đã xử lý"),INDEX('Phản ánh'!$U$6:$U$505,MATCH($C453,'Phản ánh'!$A$6:$A$505,0)),IF(AND($I453="Công việc",OR($E453="Hoàn thành",$E453="Hoàn thành kỳ")),IF(INDEX('Kế hoạch'!$B$6:$B$305,$O453)="Đột xuất",INDEX('Kế hoạch'!$AY$6:$AY$305,$O453),IF(N($P453)=0,"",IF(INT($B453)&lt;$P453,$P453,IF($Q453&gt;0,$P453+ROUND((INT($B453)-$P453)/$Q453,0)*$Q453,IF($R453&gt;0,EDATE($P453,ROUND((DATEDIF($P453,INT($B453),"m")+(INT($B453)-EDATE($P453,DATEDIF($P453,INT($B453),"m")))/(EDATE($P453,DATEDIF($P453,INT($B453),"m")+1)-EDATE($P453,DATEDIF($P453,INT($B453),"m"))))/$R453,0)*$R453),$P453))))),"")))</f>
      </c>
      <c r="M453" s="223">
        <f>IF(OR($C453="",N($L453)=0,N($B453)=0),"",IF(IF(MOD($L453,1)=0,INT($B453),$B453)&lt;=$L453,"Đúng hạn","Trễ hạn"))</f>
      </c>
      <c r="N453" s="225">
        <f>IF($C453="","",ROW())</f>
      </c>
      <c r="O453" s="225">
        <f>IF($I453="Công việc",MATCH($C453,'Kế hoạch'!$A$6:$A$305,0),"")</f>
      </c>
      <c r="P453" s="234">
        <f>IF($O453="","",INDEX('Kế hoạch'!$I$6:$I$305,$O453))</f>
      </c>
      <c r="Q453" s="225">
        <f>IF($O453="","",INDEX('Kế hoạch'!$AJ$6:$AJ$305,$O453))</f>
      </c>
      <c r="R453" s="225">
        <f>IF($O453="","",INDEX('Kế hoạch'!$AK$6:$AK$305,$O453))</f>
      </c>
    </row>
    <row r="454">
      <c r="A454" s="223">
        <f>IF($C454="","",COUNTIF($C$6:$C454,"?*"))</f>
      </c>
      <c r="B454" s="217"/>
      <c r="C454" s="216"/>
      <c r="D454" s="240"/>
      <c r="E454" s="218"/>
      <c r="F454" s="218"/>
      <c r="G454" s="218"/>
      <c r="H454" s="219"/>
      <c r="I454" s="223">
        <f>IF($C454="","",IF(ISNUMBER(MATCH($C454,'Phản ánh'!$A$6:$A$505,0)),"Phản ánh",IF(ISNUMBER(MATCH($C454,'Kế hoạch'!$A$6:$A$305,0)),"Công việc","Mã chưa có")))</f>
      </c>
      <c r="J454" s="221">
        <f>IF($I454="Phản ánh",INDEX('Phản ánh'!$C$6:$C$505,MATCH($C454,'Phản ánh'!$A$6:$A$505,0)),IF($I454="Công việc",INDEX('Kế hoạch'!$C$6:$C$305,$O454),""))</f>
      </c>
      <c r="K454" s="221">
        <f>IF($I454="Phản ánh",INDEX('Phản ánh'!$K$6:$K$505,MATCH($C454,'Phản ánh'!$A$6:$A$505,0))&amp;"",IF($I454="Công việc",INDEX('Kế hoạch'!$N$6:$N$305,$O454)&amp;"",""))</f>
      </c>
      <c r="L454" s="220">
        <f>IF(OR($C454="",N($B454)=0),"",IF(AND($I454="Phản ánh",$E454="Đã xử lý"),INDEX('Phản ánh'!$U$6:$U$505,MATCH($C454,'Phản ánh'!$A$6:$A$505,0)),IF(AND($I454="Công việc",OR($E454="Hoàn thành",$E454="Hoàn thành kỳ")),IF(INDEX('Kế hoạch'!$B$6:$B$305,$O454)="Đột xuất",INDEX('Kế hoạch'!$AY$6:$AY$305,$O454),IF(N($P454)=0,"",IF(INT($B454)&lt;$P454,$P454,IF($Q454&gt;0,$P454+ROUND((INT($B454)-$P454)/$Q454,0)*$Q454,IF($R454&gt;0,EDATE($P454,ROUND((DATEDIF($P454,INT($B454),"m")+(INT($B454)-EDATE($P454,DATEDIF($P454,INT($B454),"m")))/(EDATE($P454,DATEDIF($P454,INT($B454),"m")+1)-EDATE($P454,DATEDIF($P454,INT($B454),"m"))))/$R454,0)*$R454),$P454))))),"")))</f>
      </c>
      <c r="M454" s="223">
        <f>IF(OR($C454="",N($L454)=0,N($B454)=0),"",IF(IF(MOD($L454,1)=0,INT($B454),$B454)&lt;=$L454,"Đúng hạn","Trễ hạn"))</f>
      </c>
      <c r="N454" s="225">
        <f>IF($C454="","",ROW())</f>
      </c>
      <c r="O454" s="225">
        <f>IF($I454="Công việc",MATCH($C454,'Kế hoạch'!$A$6:$A$305,0),"")</f>
      </c>
      <c r="P454" s="234">
        <f>IF($O454="","",INDEX('Kế hoạch'!$I$6:$I$305,$O454))</f>
      </c>
      <c r="Q454" s="225">
        <f>IF($O454="","",INDEX('Kế hoạch'!$AJ$6:$AJ$305,$O454))</f>
      </c>
      <c r="R454" s="225">
        <f>IF($O454="","",INDEX('Kế hoạch'!$AK$6:$AK$305,$O454))</f>
      </c>
    </row>
    <row r="455">
      <c r="A455" s="223">
        <f>IF($C455="","",COUNTIF($C$6:$C455,"?*"))</f>
      </c>
      <c r="B455" s="217"/>
      <c r="C455" s="216"/>
      <c r="D455" s="240"/>
      <c r="E455" s="218"/>
      <c r="F455" s="218"/>
      <c r="G455" s="218"/>
      <c r="H455" s="219"/>
      <c r="I455" s="223">
        <f>IF($C455="","",IF(ISNUMBER(MATCH($C455,'Phản ánh'!$A$6:$A$505,0)),"Phản ánh",IF(ISNUMBER(MATCH($C455,'Kế hoạch'!$A$6:$A$305,0)),"Công việc","Mã chưa có")))</f>
      </c>
      <c r="J455" s="221">
        <f>IF($I455="Phản ánh",INDEX('Phản ánh'!$C$6:$C$505,MATCH($C455,'Phản ánh'!$A$6:$A$505,0)),IF($I455="Công việc",INDEX('Kế hoạch'!$C$6:$C$305,$O455),""))</f>
      </c>
      <c r="K455" s="221">
        <f>IF($I455="Phản ánh",INDEX('Phản ánh'!$K$6:$K$505,MATCH($C455,'Phản ánh'!$A$6:$A$505,0))&amp;"",IF($I455="Công việc",INDEX('Kế hoạch'!$N$6:$N$305,$O455)&amp;"",""))</f>
      </c>
      <c r="L455" s="220">
        <f>IF(OR($C455="",N($B455)=0),"",IF(AND($I455="Phản ánh",$E455="Đã xử lý"),INDEX('Phản ánh'!$U$6:$U$505,MATCH($C455,'Phản ánh'!$A$6:$A$505,0)),IF(AND($I455="Công việc",OR($E455="Hoàn thành",$E455="Hoàn thành kỳ")),IF(INDEX('Kế hoạch'!$B$6:$B$305,$O455)="Đột xuất",INDEX('Kế hoạch'!$AY$6:$AY$305,$O455),IF(N($P455)=0,"",IF(INT($B455)&lt;$P455,$P455,IF($Q455&gt;0,$P455+ROUND((INT($B455)-$P455)/$Q455,0)*$Q455,IF($R455&gt;0,EDATE($P455,ROUND((DATEDIF($P455,INT($B455),"m")+(INT($B455)-EDATE($P455,DATEDIF($P455,INT($B455),"m")))/(EDATE($P455,DATEDIF($P455,INT($B455),"m")+1)-EDATE($P455,DATEDIF($P455,INT($B455),"m"))))/$R455,0)*$R455),$P455))))),"")))</f>
      </c>
      <c r="M455" s="223">
        <f>IF(OR($C455="",N($L455)=0,N($B455)=0),"",IF(IF(MOD($L455,1)=0,INT($B455),$B455)&lt;=$L455,"Đúng hạn","Trễ hạn"))</f>
      </c>
      <c r="N455" s="225">
        <f>IF($C455="","",ROW())</f>
      </c>
      <c r="O455" s="225">
        <f>IF($I455="Công việc",MATCH($C455,'Kế hoạch'!$A$6:$A$305,0),"")</f>
      </c>
      <c r="P455" s="234">
        <f>IF($O455="","",INDEX('Kế hoạch'!$I$6:$I$305,$O455))</f>
      </c>
      <c r="Q455" s="225">
        <f>IF($O455="","",INDEX('Kế hoạch'!$AJ$6:$AJ$305,$O455))</f>
      </c>
      <c r="R455" s="225">
        <f>IF($O455="","",INDEX('Kế hoạch'!$AK$6:$AK$305,$O455))</f>
      </c>
    </row>
    <row r="456">
      <c r="A456" s="223">
        <f>IF($C456="","",COUNTIF($C$6:$C456,"?*"))</f>
      </c>
      <c r="B456" s="217"/>
      <c r="C456" s="216"/>
      <c r="D456" s="240"/>
      <c r="E456" s="218"/>
      <c r="F456" s="218"/>
      <c r="G456" s="218"/>
      <c r="H456" s="219"/>
      <c r="I456" s="223">
        <f>IF($C456="","",IF(ISNUMBER(MATCH($C456,'Phản ánh'!$A$6:$A$505,0)),"Phản ánh",IF(ISNUMBER(MATCH($C456,'Kế hoạch'!$A$6:$A$305,0)),"Công việc","Mã chưa có")))</f>
      </c>
      <c r="J456" s="221">
        <f>IF($I456="Phản ánh",INDEX('Phản ánh'!$C$6:$C$505,MATCH($C456,'Phản ánh'!$A$6:$A$505,0)),IF($I456="Công việc",INDEX('Kế hoạch'!$C$6:$C$305,$O456),""))</f>
      </c>
      <c r="K456" s="221">
        <f>IF($I456="Phản ánh",INDEX('Phản ánh'!$K$6:$K$505,MATCH($C456,'Phản ánh'!$A$6:$A$505,0))&amp;"",IF($I456="Công việc",INDEX('Kế hoạch'!$N$6:$N$305,$O456)&amp;"",""))</f>
      </c>
      <c r="L456" s="220">
        <f>IF(OR($C456="",N($B456)=0),"",IF(AND($I456="Phản ánh",$E456="Đã xử lý"),INDEX('Phản ánh'!$U$6:$U$505,MATCH($C456,'Phản ánh'!$A$6:$A$505,0)),IF(AND($I456="Công việc",OR($E456="Hoàn thành",$E456="Hoàn thành kỳ")),IF(INDEX('Kế hoạch'!$B$6:$B$305,$O456)="Đột xuất",INDEX('Kế hoạch'!$AY$6:$AY$305,$O456),IF(N($P456)=0,"",IF(INT($B456)&lt;$P456,$P456,IF($Q456&gt;0,$P456+ROUND((INT($B456)-$P456)/$Q456,0)*$Q456,IF($R456&gt;0,EDATE($P456,ROUND((DATEDIF($P456,INT($B456),"m")+(INT($B456)-EDATE($P456,DATEDIF($P456,INT($B456),"m")))/(EDATE($P456,DATEDIF($P456,INT($B456),"m")+1)-EDATE($P456,DATEDIF($P456,INT($B456),"m"))))/$R456,0)*$R456),$P456))))),"")))</f>
      </c>
      <c r="M456" s="223">
        <f>IF(OR($C456="",N($L456)=0,N($B456)=0),"",IF(IF(MOD($L456,1)=0,INT($B456),$B456)&lt;=$L456,"Đúng hạn","Trễ hạn"))</f>
      </c>
      <c r="N456" s="225">
        <f>IF($C456="","",ROW())</f>
      </c>
      <c r="O456" s="225">
        <f>IF($I456="Công việc",MATCH($C456,'Kế hoạch'!$A$6:$A$305,0),"")</f>
      </c>
      <c r="P456" s="234">
        <f>IF($O456="","",INDEX('Kế hoạch'!$I$6:$I$305,$O456))</f>
      </c>
      <c r="Q456" s="225">
        <f>IF($O456="","",INDEX('Kế hoạch'!$AJ$6:$AJ$305,$O456))</f>
      </c>
      <c r="R456" s="225">
        <f>IF($O456="","",INDEX('Kế hoạch'!$AK$6:$AK$305,$O456))</f>
      </c>
    </row>
    <row r="457">
      <c r="A457" s="223">
        <f>IF($C457="","",COUNTIF($C$6:$C457,"?*"))</f>
      </c>
      <c r="B457" s="217"/>
      <c r="C457" s="216"/>
      <c r="D457" s="240"/>
      <c r="E457" s="218"/>
      <c r="F457" s="218"/>
      <c r="G457" s="218"/>
      <c r="H457" s="219"/>
      <c r="I457" s="223">
        <f>IF($C457="","",IF(ISNUMBER(MATCH($C457,'Phản ánh'!$A$6:$A$505,0)),"Phản ánh",IF(ISNUMBER(MATCH($C457,'Kế hoạch'!$A$6:$A$305,0)),"Công việc","Mã chưa có")))</f>
      </c>
      <c r="J457" s="221">
        <f>IF($I457="Phản ánh",INDEX('Phản ánh'!$C$6:$C$505,MATCH($C457,'Phản ánh'!$A$6:$A$505,0)),IF($I457="Công việc",INDEX('Kế hoạch'!$C$6:$C$305,$O457),""))</f>
      </c>
      <c r="K457" s="221">
        <f>IF($I457="Phản ánh",INDEX('Phản ánh'!$K$6:$K$505,MATCH($C457,'Phản ánh'!$A$6:$A$505,0))&amp;"",IF($I457="Công việc",INDEX('Kế hoạch'!$N$6:$N$305,$O457)&amp;"",""))</f>
      </c>
      <c r="L457" s="220">
        <f>IF(OR($C457="",N($B457)=0),"",IF(AND($I457="Phản ánh",$E457="Đã xử lý"),INDEX('Phản ánh'!$U$6:$U$505,MATCH($C457,'Phản ánh'!$A$6:$A$505,0)),IF(AND($I457="Công việc",OR($E457="Hoàn thành",$E457="Hoàn thành kỳ")),IF(INDEX('Kế hoạch'!$B$6:$B$305,$O457)="Đột xuất",INDEX('Kế hoạch'!$AY$6:$AY$305,$O457),IF(N($P457)=0,"",IF(INT($B457)&lt;$P457,$P457,IF($Q457&gt;0,$P457+ROUND((INT($B457)-$P457)/$Q457,0)*$Q457,IF($R457&gt;0,EDATE($P457,ROUND((DATEDIF($P457,INT($B457),"m")+(INT($B457)-EDATE($P457,DATEDIF($P457,INT($B457),"m")))/(EDATE($P457,DATEDIF($P457,INT($B457),"m")+1)-EDATE($P457,DATEDIF($P457,INT($B457),"m"))))/$R457,0)*$R457),$P457))))),"")))</f>
      </c>
      <c r="M457" s="223">
        <f>IF(OR($C457="",N($L457)=0,N($B457)=0),"",IF(IF(MOD($L457,1)=0,INT($B457),$B457)&lt;=$L457,"Đúng hạn","Trễ hạn"))</f>
      </c>
      <c r="N457" s="225">
        <f>IF($C457="","",ROW())</f>
      </c>
      <c r="O457" s="225">
        <f>IF($I457="Công việc",MATCH($C457,'Kế hoạch'!$A$6:$A$305,0),"")</f>
      </c>
      <c r="P457" s="234">
        <f>IF($O457="","",INDEX('Kế hoạch'!$I$6:$I$305,$O457))</f>
      </c>
      <c r="Q457" s="225">
        <f>IF($O457="","",INDEX('Kế hoạch'!$AJ$6:$AJ$305,$O457))</f>
      </c>
      <c r="R457" s="225">
        <f>IF($O457="","",INDEX('Kế hoạch'!$AK$6:$AK$305,$O457))</f>
      </c>
    </row>
    <row r="458">
      <c r="A458" s="223">
        <f>IF($C458="","",COUNTIF($C$6:$C458,"?*"))</f>
      </c>
      <c r="B458" s="217"/>
      <c r="C458" s="216"/>
      <c r="D458" s="240"/>
      <c r="E458" s="218"/>
      <c r="F458" s="218"/>
      <c r="G458" s="218"/>
      <c r="H458" s="219"/>
      <c r="I458" s="223">
        <f>IF($C458="","",IF(ISNUMBER(MATCH($C458,'Phản ánh'!$A$6:$A$505,0)),"Phản ánh",IF(ISNUMBER(MATCH($C458,'Kế hoạch'!$A$6:$A$305,0)),"Công việc","Mã chưa có")))</f>
      </c>
      <c r="J458" s="221">
        <f>IF($I458="Phản ánh",INDEX('Phản ánh'!$C$6:$C$505,MATCH($C458,'Phản ánh'!$A$6:$A$505,0)),IF($I458="Công việc",INDEX('Kế hoạch'!$C$6:$C$305,$O458),""))</f>
      </c>
      <c r="K458" s="221">
        <f>IF($I458="Phản ánh",INDEX('Phản ánh'!$K$6:$K$505,MATCH($C458,'Phản ánh'!$A$6:$A$505,0))&amp;"",IF($I458="Công việc",INDEX('Kế hoạch'!$N$6:$N$305,$O458)&amp;"",""))</f>
      </c>
      <c r="L458" s="220">
        <f>IF(OR($C458="",N($B458)=0),"",IF(AND($I458="Phản ánh",$E458="Đã xử lý"),INDEX('Phản ánh'!$U$6:$U$505,MATCH($C458,'Phản ánh'!$A$6:$A$505,0)),IF(AND($I458="Công việc",OR($E458="Hoàn thành",$E458="Hoàn thành kỳ")),IF(INDEX('Kế hoạch'!$B$6:$B$305,$O458)="Đột xuất",INDEX('Kế hoạch'!$AY$6:$AY$305,$O458),IF(N($P458)=0,"",IF(INT($B458)&lt;$P458,$P458,IF($Q458&gt;0,$P458+ROUND((INT($B458)-$P458)/$Q458,0)*$Q458,IF($R458&gt;0,EDATE($P458,ROUND((DATEDIF($P458,INT($B458),"m")+(INT($B458)-EDATE($P458,DATEDIF($P458,INT($B458),"m")))/(EDATE($P458,DATEDIF($P458,INT($B458),"m")+1)-EDATE($P458,DATEDIF($P458,INT($B458),"m"))))/$R458,0)*$R458),$P458))))),"")))</f>
      </c>
      <c r="M458" s="223">
        <f>IF(OR($C458="",N($L458)=0,N($B458)=0),"",IF(IF(MOD($L458,1)=0,INT($B458),$B458)&lt;=$L458,"Đúng hạn","Trễ hạn"))</f>
      </c>
      <c r="N458" s="225">
        <f>IF($C458="","",ROW())</f>
      </c>
      <c r="O458" s="225">
        <f>IF($I458="Công việc",MATCH($C458,'Kế hoạch'!$A$6:$A$305,0),"")</f>
      </c>
      <c r="P458" s="234">
        <f>IF($O458="","",INDEX('Kế hoạch'!$I$6:$I$305,$O458))</f>
      </c>
      <c r="Q458" s="225">
        <f>IF($O458="","",INDEX('Kế hoạch'!$AJ$6:$AJ$305,$O458))</f>
      </c>
      <c r="R458" s="225">
        <f>IF($O458="","",INDEX('Kế hoạch'!$AK$6:$AK$305,$O458))</f>
      </c>
    </row>
    <row r="459">
      <c r="A459" s="223">
        <f>IF($C459="","",COUNTIF($C$6:$C459,"?*"))</f>
      </c>
      <c r="B459" s="217"/>
      <c r="C459" s="216"/>
      <c r="D459" s="240"/>
      <c r="E459" s="218"/>
      <c r="F459" s="218"/>
      <c r="G459" s="218"/>
      <c r="H459" s="219"/>
      <c r="I459" s="223">
        <f>IF($C459="","",IF(ISNUMBER(MATCH($C459,'Phản ánh'!$A$6:$A$505,0)),"Phản ánh",IF(ISNUMBER(MATCH($C459,'Kế hoạch'!$A$6:$A$305,0)),"Công việc","Mã chưa có")))</f>
      </c>
      <c r="J459" s="221">
        <f>IF($I459="Phản ánh",INDEX('Phản ánh'!$C$6:$C$505,MATCH($C459,'Phản ánh'!$A$6:$A$505,0)),IF($I459="Công việc",INDEX('Kế hoạch'!$C$6:$C$305,$O459),""))</f>
      </c>
      <c r="K459" s="221">
        <f>IF($I459="Phản ánh",INDEX('Phản ánh'!$K$6:$K$505,MATCH($C459,'Phản ánh'!$A$6:$A$505,0))&amp;"",IF($I459="Công việc",INDEX('Kế hoạch'!$N$6:$N$305,$O459)&amp;"",""))</f>
      </c>
      <c r="L459" s="220">
        <f>IF(OR($C459="",N($B459)=0),"",IF(AND($I459="Phản ánh",$E459="Đã xử lý"),INDEX('Phản ánh'!$U$6:$U$505,MATCH($C459,'Phản ánh'!$A$6:$A$505,0)),IF(AND($I459="Công việc",OR($E459="Hoàn thành",$E459="Hoàn thành kỳ")),IF(INDEX('Kế hoạch'!$B$6:$B$305,$O459)="Đột xuất",INDEX('Kế hoạch'!$AY$6:$AY$305,$O459),IF(N($P459)=0,"",IF(INT($B459)&lt;$P459,$P459,IF($Q459&gt;0,$P459+ROUND((INT($B459)-$P459)/$Q459,0)*$Q459,IF($R459&gt;0,EDATE($P459,ROUND((DATEDIF($P459,INT($B459),"m")+(INT($B459)-EDATE($P459,DATEDIF($P459,INT($B459),"m")))/(EDATE($P459,DATEDIF($P459,INT($B459),"m")+1)-EDATE($P459,DATEDIF($P459,INT($B459),"m"))))/$R459,0)*$R459),$P459))))),"")))</f>
      </c>
      <c r="M459" s="223">
        <f>IF(OR($C459="",N($L459)=0,N($B459)=0),"",IF(IF(MOD($L459,1)=0,INT($B459),$B459)&lt;=$L459,"Đúng hạn","Trễ hạn"))</f>
      </c>
      <c r="N459" s="225">
        <f>IF($C459="","",ROW())</f>
      </c>
      <c r="O459" s="225">
        <f>IF($I459="Công việc",MATCH($C459,'Kế hoạch'!$A$6:$A$305,0),"")</f>
      </c>
      <c r="P459" s="234">
        <f>IF($O459="","",INDEX('Kế hoạch'!$I$6:$I$305,$O459))</f>
      </c>
      <c r="Q459" s="225">
        <f>IF($O459="","",INDEX('Kế hoạch'!$AJ$6:$AJ$305,$O459))</f>
      </c>
      <c r="R459" s="225">
        <f>IF($O459="","",INDEX('Kế hoạch'!$AK$6:$AK$305,$O459))</f>
      </c>
    </row>
    <row r="460">
      <c r="A460" s="223">
        <f>IF($C460="","",COUNTIF($C$6:$C460,"?*"))</f>
      </c>
      <c r="B460" s="217"/>
      <c r="C460" s="216"/>
      <c r="D460" s="240"/>
      <c r="E460" s="218"/>
      <c r="F460" s="218"/>
      <c r="G460" s="218"/>
      <c r="H460" s="219"/>
      <c r="I460" s="223">
        <f>IF($C460="","",IF(ISNUMBER(MATCH($C460,'Phản ánh'!$A$6:$A$505,0)),"Phản ánh",IF(ISNUMBER(MATCH($C460,'Kế hoạch'!$A$6:$A$305,0)),"Công việc","Mã chưa có")))</f>
      </c>
      <c r="J460" s="221">
        <f>IF($I460="Phản ánh",INDEX('Phản ánh'!$C$6:$C$505,MATCH($C460,'Phản ánh'!$A$6:$A$505,0)),IF($I460="Công việc",INDEX('Kế hoạch'!$C$6:$C$305,$O460),""))</f>
      </c>
      <c r="K460" s="221">
        <f>IF($I460="Phản ánh",INDEX('Phản ánh'!$K$6:$K$505,MATCH($C460,'Phản ánh'!$A$6:$A$505,0))&amp;"",IF($I460="Công việc",INDEX('Kế hoạch'!$N$6:$N$305,$O460)&amp;"",""))</f>
      </c>
      <c r="L460" s="220">
        <f>IF(OR($C460="",N($B460)=0),"",IF(AND($I460="Phản ánh",$E460="Đã xử lý"),INDEX('Phản ánh'!$U$6:$U$505,MATCH($C460,'Phản ánh'!$A$6:$A$505,0)),IF(AND($I460="Công việc",OR($E460="Hoàn thành",$E460="Hoàn thành kỳ")),IF(INDEX('Kế hoạch'!$B$6:$B$305,$O460)="Đột xuất",INDEX('Kế hoạch'!$AY$6:$AY$305,$O460),IF(N($P460)=0,"",IF(INT($B460)&lt;$P460,$P460,IF($Q460&gt;0,$P460+ROUND((INT($B460)-$P460)/$Q460,0)*$Q460,IF($R460&gt;0,EDATE($P460,ROUND((DATEDIF($P460,INT($B460),"m")+(INT($B460)-EDATE($P460,DATEDIF($P460,INT($B460),"m")))/(EDATE($P460,DATEDIF($P460,INT($B460),"m")+1)-EDATE($P460,DATEDIF($P460,INT($B460),"m"))))/$R460,0)*$R460),$P460))))),"")))</f>
      </c>
      <c r="M460" s="223">
        <f>IF(OR($C460="",N($L460)=0,N($B460)=0),"",IF(IF(MOD($L460,1)=0,INT($B460),$B460)&lt;=$L460,"Đúng hạn","Trễ hạn"))</f>
      </c>
      <c r="N460" s="225">
        <f>IF($C460="","",ROW())</f>
      </c>
      <c r="O460" s="225">
        <f>IF($I460="Công việc",MATCH($C460,'Kế hoạch'!$A$6:$A$305,0),"")</f>
      </c>
      <c r="P460" s="234">
        <f>IF($O460="","",INDEX('Kế hoạch'!$I$6:$I$305,$O460))</f>
      </c>
      <c r="Q460" s="225">
        <f>IF($O460="","",INDEX('Kế hoạch'!$AJ$6:$AJ$305,$O460))</f>
      </c>
      <c r="R460" s="225">
        <f>IF($O460="","",INDEX('Kế hoạch'!$AK$6:$AK$305,$O460))</f>
      </c>
    </row>
    <row r="461">
      <c r="A461" s="223">
        <f>IF($C461="","",COUNTIF($C$6:$C461,"?*"))</f>
      </c>
      <c r="B461" s="217"/>
      <c r="C461" s="216"/>
      <c r="D461" s="240"/>
      <c r="E461" s="218"/>
      <c r="F461" s="218"/>
      <c r="G461" s="218"/>
      <c r="H461" s="219"/>
      <c r="I461" s="223">
        <f>IF($C461="","",IF(ISNUMBER(MATCH($C461,'Phản ánh'!$A$6:$A$505,0)),"Phản ánh",IF(ISNUMBER(MATCH($C461,'Kế hoạch'!$A$6:$A$305,0)),"Công việc","Mã chưa có")))</f>
      </c>
      <c r="J461" s="221">
        <f>IF($I461="Phản ánh",INDEX('Phản ánh'!$C$6:$C$505,MATCH($C461,'Phản ánh'!$A$6:$A$505,0)),IF($I461="Công việc",INDEX('Kế hoạch'!$C$6:$C$305,$O461),""))</f>
      </c>
      <c r="K461" s="221">
        <f>IF($I461="Phản ánh",INDEX('Phản ánh'!$K$6:$K$505,MATCH($C461,'Phản ánh'!$A$6:$A$505,0))&amp;"",IF($I461="Công việc",INDEX('Kế hoạch'!$N$6:$N$305,$O461)&amp;"",""))</f>
      </c>
      <c r="L461" s="220">
        <f>IF(OR($C461="",N($B461)=0),"",IF(AND($I461="Phản ánh",$E461="Đã xử lý"),INDEX('Phản ánh'!$U$6:$U$505,MATCH($C461,'Phản ánh'!$A$6:$A$505,0)),IF(AND($I461="Công việc",OR($E461="Hoàn thành",$E461="Hoàn thành kỳ")),IF(INDEX('Kế hoạch'!$B$6:$B$305,$O461)="Đột xuất",INDEX('Kế hoạch'!$AY$6:$AY$305,$O461),IF(N($P461)=0,"",IF(INT($B461)&lt;$P461,$P461,IF($Q461&gt;0,$P461+ROUND((INT($B461)-$P461)/$Q461,0)*$Q461,IF($R461&gt;0,EDATE($P461,ROUND((DATEDIF($P461,INT($B461),"m")+(INT($B461)-EDATE($P461,DATEDIF($P461,INT($B461),"m")))/(EDATE($P461,DATEDIF($P461,INT($B461),"m")+1)-EDATE($P461,DATEDIF($P461,INT($B461),"m"))))/$R461,0)*$R461),$P461))))),"")))</f>
      </c>
      <c r="M461" s="223">
        <f>IF(OR($C461="",N($L461)=0,N($B461)=0),"",IF(IF(MOD($L461,1)=0,INT($B461),$B461)&lt;=$L461,"Đúng hạn","Trễ hạn"))</f>
      </c>
      <c r="N461" s="225">
        <f>IF($C461="","",ROW())</f>
      </c>
      <c r="O461" s="225">
        <f>IF($I461="Công việc",MATCH($C461,'Kế hoạch'!$A$6:$A$305,0),"")</f>
      </c>
      <c r="P461" s="234">
        <f>IF($O461="","",INDEX('Kế hoạch'!$I$6:$I$305,$O461))</f>
      </c>
      <c r="Q461" s="225">
        <f>IF($O461="","",INDEX('Kế hoạch'!$AJ$6:$AJ$305,$O461))</f>
      </c>
      <c r="R461" s="225">
        <f>IF($O461="","",INDEX('Kế hoạch'!$AK$6:$AK$305,$O461))</f>
      </c>
    </row>
    <row r="462">
      <c r="A462" s="223">
        <f>IF($C462="","",COUNTIF($C$6:$C462,"?*"))</f>
      </c>
      <c r="B462" s="217"/>
      <c r="C462" s="216"/>
      <c r="D462" s="240"/>
      <c r="E462" s="218"/>
      <c r="F462" s="218"/>
      <c r="G462" s="218"/>
      <c r="H462" s="219"/>
      <c r="I462" s="223">
        <f>IF($C462="","",IF(ISNUMBER(MATCH($C462,'Phản ánh'!$A$6:$A$505,0)),"Phản ánh",IF(ISNUMBER(MATCH($C462,'Kế hoạch'!$A$6:$A$305,0)),"Công việc","Mã chưa có")))</f>
      </c>
      <c r="J462" s="221">
        <f>IF($I462="Phản ánh",INDEX('Phản ánh'!$C$6:$C$505,MATCH($C462,'Phản ánh'!$A$6:$A$505,0)),IF($I462="Công việc",INDEX('Kế hoạch'!$C$6:$C$305,$O462),""))</f>
      </c>
      <c r="K462" s="221">
        <f>IF($I462="Phản ánh",INDEX('Phản ánh'!$K$6:$K$505,MATCH($C462,'Phản ánh'!$A$6:$A$505,0))&amp;"",IF($I462="Công việc",INDEX('Kế hoạch'!$N$6:$N$305,$O462)&amp;"",""))</f>
      </c>
      <c r="L462" s="220">
        <f>IF(OR($C462="",N($B462)=0),"",IF(AND($I462="Phản ánh",$E462="Đã xử lý"),INDEX('Phản ánh'!$U$6:$U$505,MATCH($C462,'Phản ánh'!$A$6:$A$505,0)),IF(AND($I462="Công việc",OR($E462="Hoàn thành",$E462="Hoàn thành kỳ")),IF(INDEX('Kế hoạch'!$B$6:$B$305,$O462)="Đột xuất",INDEX('Kế hoạch'!$AY$6:$AY$305,$O462),IF(N($P462)=0,"",IF(INT($B462)&lt;$P462,$P462,IF($Q462&gt;0,$P462+ROUND((INT($B462)-$P462)/$Q462,0)*$Q462,IF($R462&gt;0,EDATE($P462,ROUND((DATEDIF($P462,INT($B462),"m")+(INT($B462)-EDATE($P462,DATEDIF($P462,INT($B462),"m")))/(EDATE($P462,DATEDIF($P462,INT($B462),"m")+1)-EDATE($P462,DATEDIF($P462,INT($B462),"m"))))/$R462,0)*$R462),$P462))))),"")))</f>
      </c>
      <c r="M462" s="223">
        <f>IF(OR($C462="",N($L462)=0,N($B462)=0),"",IF(IF(MOD($L462,1)=0,INT($B462),$B462)&lt;=$L462,"Đúng hạn","Trễ hạn"))</f>
      </c>
      <c r="N462" s="225">
        <f>IF($C462="","",ROW())</f>
      </c>
      <c r="O462" s="225">
        <f>IF($I462="Công việc",MATCH($C462,'Kế hoạch'!$A$6:$A$305,0),"")</f>
      </c>
      <c r="P462" s="234">
        <f>IF($O462="","",INDEX('Kế hoạch'!$I$6:$I$305,$O462))</f>
      </c>
      <c r="Q462" s="225">
        <f>IF($O462="","",INDEX('Kế hoạch'!$AJ$6:$AJ$305,$O462))</f>
      </c>
      <c r="R462" s="225">
        <f>IF($O462="","",INDEX('Kế hoạch'!$AK$6:$AK$305,$O462))</f>
      </c>
    </row>
    <row r="463">
      <c r="A463" s="223">
        <f>IF($C463="","",COUNTIF($C$6:$C463,"?*"))</f>
      </c>
      <c r="B463" s="217"/>
      <c r="C463" s="216"/>
      <c r="D463" s="240"/>
      <c r="E463" s="218"/>
      <c r="F463" s="218"/>
      <c r="G463" s="218"/>
      <c r="H463" s="219"/>
      <c r="I463" s="223">
        <f>IF($C463="","",IF(ISNUMBER(MATCH($C463,'Phản ánh'!$A$6:$A$505,0)),"Phản ánh",IF(ISNUMBER(MATCH($C463,'Kế hoạch'!$A$6:$A$305,0)),"Công việc","Mã chưa có")))</f>
      </c>
      <c r="J463" s="221">
        <f>IF($I463="Phản ánh",INDEX('Phản ánh'!$C$6:$C$505,MATCH($C463,'Phản ánh'!$A$6:$A$505,0)),IF($I463="Công việc",INDEX('Kế hoạch'!$C$6:$C$305,$O463),""))</f>
      </c>
      <c r="K463" s="221">
        <f>IF($I463="Phản ánh",INDEX('Phản ánh'!$K$6:$K$505,MATCH($C463,'Phản ánh'!$A$6:$A$505,0))&amp;"",IF($I463="Công việc",INDEX('Kế hoạch'!$N$6:$N$305,$O463)&amp;"",""))</f>
      </c>
      <c r="L463" s="220">
        <f>IF(OR($C463="",N($B463)=0),"",IF(AND($I463="Phản ánh",$E463="Đã xử lý"),INDEX('Phản ánh'!$U$6:$U$505,MATCH($C463,'Phản ánh'!$A$6:$A$505,0)),IF(AND($I463="Công việc",OR($E463="Hoàn thành",$E463="Hoàn thành kỳ")),IF(INDEX('Kế hoạch'!$B$6:$B$305,$O463)="Đột xuất",INDEX('Kế hoạch'!$AY$6:$AY$305,$O463),IF(N($P463)=0,"",IF(INT($B463)&lt;$P463,$P463,IF($Q463&gt;0,$P463+ROUND((INT($B463)-$P463)/$Q463,0)*$Q463,IF($R463&gt;0,EDATE($P463,ROUND((DATEDIF($P463,INT($B463),"m")+(INT($B463)-EDATE($P463,DATEDIF($P463,INT($B463),"m")))/(EDATE($P463,DATEDIF($P463,INT($B463),"m")+1)-EDATE($P463,DATEDIF($P463,INT($B463),"m"))))/$R463,0)*$R463),$P463))))),"")))</f>
      </c>
      <c r="M463" s="223">
        <f>IF(OR($C463="",N($L463)=0,N($B463)=0),"",IF(IF(MOD($L463,1)=0,INT($B463),$B463)&lt;=$L463,"Đúng hạn","Trễ hạn"))</f>
      </c>
      <c r="N463" s="225">
        <f>IF($C463="","",ROW())</f>
      </c>
      <c r="O463" s="225">
        <f>IF($I463="Công việc",MATCH($C463,'Kế hoạch'!$A$6:$A$305,0),"")</f>
      </c>
      <c r="P463" s="234">
        <f>IF($O463="","",INDEX('Kế hoạch'!$I$6:$I$305,$O463))</f>
      </c>
      <c r="Q463" s="225">
        <f>IF($O463="","",INDEX('Kế hoạch'!$AJ$6:$AJ$305,$O463))</f>
      </c>
      <c r="R463" s="225">
        <f>IF($O463="","",INDEX('Kế hoạch'!$AK$6:$AK$305,$O463))</f>
      </c>
    </row>
    <row r="464">
      <c r="A464" s="223">
        <f>IF($C464="","",COUNTIF($C$6:$C464,"?*"))</f>
      </c>
      <c r="B464" s="217"/>
      <c r="C464" s="216"/>
      <c r="D464" s="240"/>
      <c r="E464" s="218"/>
      <c r="F464" s="218"/>
      <c r="G464" s="218"/>
      <c r="H464" s="219"/>
      <c r="I464" s="223">
        <f>IF($C464="","",IF(ISNUMBER(MATCH($C464,'Phản ánh'!$A$6:$A$505,0)),"Phản ánh",IF(ISNUMBER(MATCH($C464,'Kế hoạch'!$A$6:$A$305,0)),"Công việc","Mã chưa có")))</f>
      </c>
      <c r="J464" s="221">
        <f>IF($I464="Phản ánh",INDEX('Phản ánh'!$C$6:$C$505,MATCH($C464,'Phản ánh'!$A$6:$A$505,0)),IF($I464="Công việc",INDEX('Kế hoạch'!$C$6:$C$305,$O464),""))</f>
      </c>
      <c r="K464" s="221">
        <f>IF($I464="Phản ánh",INDEX('Phản ánh'!$K$6:$K$505,MATCH($C464,'Phản ánh'!$A$6:$A$505,0))&amp;"",IF($I464="Công việc",INDEX('Kế hoạch'!$N$6:$N$305,$O464)&amp;"",""))</f>
      </c>
      <c r="L464" s="220">
        <f>IF(OR($C464="",N($B464)=0),"",IF(AND($I464="Phản ánh",$E464="Đã xử lý"),INDEX('Phản ánh'!$U$6:$U$505,MATCH($C464,'Phản ánh'!$A$6:$A$505,0)),IF(AND($I464="Công việc",OR($E464="Hoàn thành",$E464="Hoàn thành kỳ")),IF(INDEX('Kế hoạch'!$B$6:$B$305,$O464)="Đột xuất",INDEX('Kế hoạch'!$AY$6:$AY$305,$O464),IF(N($P464)=0,"",IF(INT($B464)&lt;$P464,$P464,IF($Q464&gt;0,$P464+ROUND((INT($B464)-$P464)/$Q464,0)*$Q464,IF($R464&gt;0,EDATE($P464,ROUND((DATEDIF($P464,INT($B464),"m")+(INT($B464)-EDATE($P464,DATEDIF($P464,INT($B464),"m")))/(EDATE($P464,DATEDIF($P464,INT($B464),"m")+1)-EDATE($P464,DATEDIF($P464,INT($B464),"m"))))/$R464,0)*$R464),$P464))))),"")))</f>
      </c>
      <c r="M464" s="223">
        <f>IF(OR($C464="",N($L464)=0,N($B464)=0),"",IF(IF(MOD($L464,1)=0,INT($B464),$B464)&lt;=$L464,"Đúng hạn","Trễ hạn"))</f>
      </c>
      <c r="N464" s="225">
        <f>IF($C464="","",ROW())</f>
      </c>
      <c r="O464" s="225">
        <f>IF($I464="Công việc",MATCH($C464,'Kế hoạch'!$A$6:$A$305,0),"")</f>
      </c>
      <c r="P464" s="234">
        <f>IF($O464="","",INDEX('Kế hoạch'!$I$6:$I$305,$O464))</f>
      </c>
      <c r="Q464" s="225">
        <f>IF($O464="","",INDEX('Kế hoạch'!$AJ$6:$AJ$305,$O464))</f>
      </c>
      <c r="R464" s="225">
        <f>IF($O464="","",INDEX('Kế hoạch'!$AK$6:$AK$305,$O464))</f>
      </c>
    </row>
    <row r="465">
      <c r="A465" s="223">
        <f>IF($C465="","",COUNTIF($C$6:$C465,"?*"))</f>
      </c>
      <c r="B465" s="217"/>
      <c r="C465" s="216"/>
      <c r="D465" s="240"/>
      <c r="E465" s="218"/>
      <c r="F465" s="218"/>
      <c r="G465" s="218"/>
      <c r="H465" s="219"/>
      <c r="I465" s="223">
        <f>IF($C465="","",IF(ISNUMBER(MATCH($C465,'Phản ánh'!$A$6:$A$505,0)),"Phản ánh",IF(ISNUMBER(MATCH($C465,'Kế hoạch'!$A$6:$A$305,0)),"Công việc","Mã chưa có")))</f>
      </c>
      <c r="J465" s="221">
        <f>IF($I465="Phản ánh",INDEX('Phản ánh'!$C$6:$C$505,MATCH($C465,'Phản ánh'!$A$6:$A$505,0)),IF($I465="Công việc",INDEX('Kế hoạch'!$C$6:$C$305,$O465),""))</f>
      </c>
      <c r="K465" s="221">
        <f>IF($I465="Phản ánh",INDEX('Phản ánh'!$K$6:$K$505,MATCH($C465,'Phản ánh'!$A$6:$A$505,0))&amp;"",IF($I465="Công việc",INDEX('Kế hoạch'!$N$6:$N$305,$O465)&amp;"",""))</f>
      </c>
      <c r="L465" s="220">
        <f>IF(OR($C465="",N($B465)=0),"",IF(AND($I465="Phản ánh",$E465="Đã xử lý"),INDEX('Phản ánh'!$U$6:$U$505,MATCH($C465,'Phản ánh'!$A$6:$A$505,0)),IF(AND($I465="Công việc",OR($E465="Hoàn thành",$E465="Hoàn thành kỳ")),IF(INDEX('Kế hoạch'!$B$6:$B$305,$O465)="Đột xuất",INDEX('Kế hoạch'!$AY$6:$AY$305,$O465),IF(N($P465)=0,"",IF(INT($B465)&lt;$P465,$P465,IF($Q465&gt;0,$P465+ROUND((INT($B465)-$P465)/$Q465,0)*$Q465,IF($R465&gt;0,EDATE($P465,ROUND((DATEDIF($P465,INT($B465),"m")+(INT($B465)-EDATE($P465,DATEDIF($P465,INT($B465),"m")))/(EDATE($P465,DATEDIF($P465,INT($B465),"m")+1)-EDATE($P465,DATEDIF($P465,INT($B465),"m"))))/$R465,0)*$R465),$P465))))),"")))</f>
      </c>
      <c r="M465" s="223">
        <f>IF(OR($C465="",N($L465)=0,N($B465)=0),"",IF(IF(MOD($L465,1)=0,INT($B465),$B465)&lt;=$L465,"Đúng hạn","Trễ hạn"))</f>
      </c>
      <c r="N465" s="225">
        <f>IF($C465="","",ROW())</f>
      </c>
      <c r="O465" s="225">
        <f>IF($I465="Công việc",MATCH($C465,'Kế hoạch'!$A$6:$A$305,0),"")</f>
      </c>
      <c r="P465" s="234">
        <f>IF($O465="","",INDEX('Kế hoạch'!$I$6:$I$305,$O465))</f>
      </c>
      <c r="Q465" s="225">
        <f>IF($O465="","",INDEX('Kế hoạch'!$AJ$6:$AJ$305,$O465))</f>
      </c>
      <c r="R465" s="225">
        <f>IF($O465="","",INDEX('Kế hoạch'!$AK$6:$AK$305,$O465))</f>
      </c>
    </row>
    <row r="466">
      <c r="A466" s="223">
        <f>IF($C466="","",COUNTIF($C$6:$C466,"?*"))</f>
      </c>
      <c r="B466" s="217"/>
      <c r="C466" s="216"/>
      <c r="D466" s="240"/>
      <c r="E466" s="218"/>
      <c r="F466" s="218"/>
      <c r="G466" s="218"/>
      <c r="H466" s="219"/>
      <c r="I466" s="223">
        <f>IF($C466="","",IF(ISNUMBER(MATCH($C466,'Phản ánh'!$A$6:$A$505,0)),"Phản ánh",IF(ISNUMBER(MATCH($C466,'Kế hoạch'!$A$6:$A$305,0)),"Công việc","Mã chưa có")))</f>
      </c>
      <c r="J466" s="221">
        <f>IF($I466="Phản ánh",INDEX('Phản ánh'!$C$6:$C$505,MATCH($C466,'Phản ánh'!$A$6:$A$505,0)),IF($I466="Công việc",INDEX('Kế hoạch'!$C$6:$C$305,$O466),""))</f>
      </c>
      <c r="K466" s="221">
        <f>IF($I466="Phản ánh",INDEX('Phản ánh'!$K$6:$K$505,MATCH($C466,'Phản ánh'!$A$6:$A$505,0))&amp;"",IF($I466="Công việc",INDEX('Kế hoạch'!$N$6:$N$305,$O466)&amp;"",""))</f>
      </c>
      <c r="L466" s="220">
        <f>IF(OR($C466="",N($B466)=0),"",IF(AND($I466="Phản ánh",$E466="Đã xử lý"),INDEX('Phản ánh'!$U$6:$U$505,MATCH($C466,'Phản ánh'!$A$6:$A$505,0)),IF(AND($I466="Công việc",OR($E466="Hoàn thành",$E466="Hoàn thành kỳ")),IF(INDEX('Kế hoạch'!$B$6:$B$305,$O466)="Đột xuất",INDEX('Kế hoạch'!$AY$6:$AY$305,$O466),IF(N($P466)=0,"",IF(INT($B466)&lt;$P466,$P466,IF($Q466&gt;0,$P466+ROUND((INT($B466)-$P466)/$Q466,0)*$Q466,IF($R466&gt;0,EDATE($P466,ROUND((DATEDIF($P466,INT($B466),"m")+(INT($B466)-EDATE($P466,DATEDIF($P466,INT($B466),"m")))/(EDATE($P466,DATEDIF($P466,INT($B466),"m")+1)-EDATE($P466,DATEDIF($P466,INT($B466),"m"))))/$R466,0)*$R466),$P466))))),"")))</f>
      </c>
      <c r="M466" s="223">
        <f>IF(OR($C466="",N($L466)=0,N($B466)=0),"",IF(IF(MOD($L466,1)=0,INT($B466),$B466)&lt;=$L466,"Đúng hạn","Trễ hạn"))</f>
      </c>
      <c r="N466" s="225">
        <f>IF($C466="","",ROW())</f>
      </c>
      <c r="O466" s="225">
        <f>IF($I466="Công việc",MATCH($C466,'Kế hoạch'!$A$6:$A$305,0),"")</f>
      </c>
      <c r="P466" s="234">
        <f>IF($O466="","",INDEX('Kế hoạch'!$I$6:$I$305,$O466))</f>
      </c>
      <c r="Q466" s="225">
        <f>IF($O466="","",INDEX('Kế hoạch'!$AJ$6:$AJ$305,$O466))</f>
      </c>
      <c r="R466" s="225">
        <f>IF($O466="","",INDEX('Kế hoạch'!$AK$6:$AK$305,$O466))</f>
      </c>
    </row>
    <row r="467">
      <c r="A467" s="223">
        <f>IF($C467="","",COUNTIF($C$6:$C467,"?*"))</f>
      </c>
      <c r="B467" s="217"/>
      <c r="C467" s="216"/>
      <c r="D467" s="240"/>
      <c r="E467" s="218"/>
      <c r="F467" s="218"/>
      <c r="G467" s="218"/>
      <c r="H467" s="219"/>
      <c r="I467" s="223">
        <f>IF($C467="","",IF(ISNUMBER(MATCH($C467,'Phản ánh'!$A$6:$A$505,0)),"Phản ánh",IF(ISNUMBER(MATCH($C467,'Kế hoạch'!$A$6:$A$305,0)),"Công việc","Mã chưa có")))</f>
      </c>
      <c r="J467" s="221">
        <f>IF($I467="Phản ánh",INDEX('Phản ánh'!$C$6:$C$505,MATCH($C467,'Phản ánh'!$A$6:$A$505,0)),IF($I467="Công việc",INDEX('Kế hoạch'!$C$6:$C$305,$O467),""))</f>
      </c>
      <c r="K467" s="221">
        <f>IF($I467="Phản ánh",INDEX('Phản ánh'!$K$6:$K$505,MATCH($C467,'Phản ánh'!$A$6:$A$505,0))&amp;"",IF($I467="Công việc",INDEX('Kế hoạch'!$N$6:$N$305,$O467)&amp;"",""))</f>
      </c>
      <c r="L467" s="220">
        <f>IF(OR($C467="",N($B467)=0),"",IF(AND($I467="Phản ánh",$E467="Đã xử lý"),INDEX('Phản ánh'!$U$6:$U$505,MATCH($C467,'Phản ánh'!$A$6:$A$505,0)),IF(AND($I467="Công việc",OR($E467="Hoàn thành",$E467="Hoàn thành kỳ")),IF(INDEX('Kế hoạch'!$B$6:$B$305,$O467)="Đột xuất",INDEX('Kế hoạch'!$AY$6:$AY$305,$O467),IF(N($P467)=0,"",IF(INT($B467)&lt;$P467,$P467,IF($Q467&gt;0,$P467+ROUND((INT($B467)-$P467)/$Q467,0)*$Q467,IF($R467&gt;0,EDATE($P467,ROUND((DATEDIF($P467,INT($B467),"m")+(INT($B467)-EDATE($P467,DATEDIF($P467,INT($B467),"m")))/(EDATE($P467,DATEDIF($P467,INT($B467),"m")+1)-EDATE($P467,DATEDIF($P467,INT($B467),"m"))))/$R467,0)*$R467),$P467))))),"")))</f>
      </c>
      <c r="M467" s="223">
        <f>IF(OR($C467="",N($L467)=0,N($B467)=0),"",IF(IF(MOD($L467,1)=0,INT($B467),$B467)&lt;=$L467,"Đúng hạn","Trễ hạn"))</f>
      </c>
      <c r="N467" s="225">
        <f>IF($C467="","",ROW())</f>
      </c>
      <c r="O467" s="225">
        <f>IF($I467="Công việc",MATCH($C467,'Kế hoạch'!$A$6:$A$305,0),"")</f>
      </c>
      <c r="P467" s="234">
        <f>IF($O467="","",INDEX('Kế hoạch'!$I$6:$I$305,$O467))</f>
      </c>
      <c r="Q467" s="225">
        <f>IF($O467="","",INDEX('Kế hoạch'!$AJ$6:$AJ$305,$O467))</f>
      </c>
      <c r="R467" s="225">
        <f>IF($O467="","",INDEX('Kế hoạch'!$AK$6:$AK$305,$O467))</f>
      </c>
    </row>
    <row r="468">
      <c r="A468" s="223">
        <f>IF($C468="","",COUNTIF($C$6:$C468,"?*"))</f>
      </c>
      <c r="B468" s="217"/>
      <c r="C468" s="216"/>
      <c r="D468" s="240"/>
      <c r="E468" s="218"/>
      <c r="F468" s="218"/>
      <c r="G468" s="218"/>
      <c r="H468" s="219"/>
      <c r="I468" s="223">
        <f>IF($C468="","",IF(ISNUMBER(MATCH($C468,'Phản ánh'!$A$6:$A$505,0)),"Phản ánh",IF(ISNUMBER(MATCH($C468,'Kế hoạch'!$A$6:$A$305,0)),"Công việc","Mã chưa có")))</f>
      </c>
      <c r="J468" s="221">
        <f>IF($I468="Phản ánh",INDEX('Phản ánh'!$C$6:$C$505,MATCH($C468,'Phản ánh'!$A$6:$A$505,0)),IF($I468="Công việc",INDEX('Kế hoạch'!$C$6:$C$305,$O468),""))</f>
      </c>
      <c r="K468" s="221">
        <f>IF($I468="Phản ánh",INDEX('Phản ánh'!$K$6:$K$505,MATCH($C468,'Phản ánh'!$A$6:$A$505,0))&amp;"",IF($I468="Công việc",INDEX('Kế hoạch'!$N$6:$N$305,$O468)&amp;"",""))</f>
      </c>
      <c r="L468" s="220">
        <f>IF(OR($C468="",N($B468)=0),"",IF(AND($I468="Phản ánh",$E468="Đã xử lý"),INDEX('Phản ánh'!$U$6:$U$505,MATCH($C468,'Phản ánh'!$A$6:$A$505,0)),IF(AND($I468="Công việc",OR($E468="Hoàn thành",$E468="Hoàn thành kỳ")),IF(INDEX('Kế hoạch'!$B$6:$B$305,$O468)="Đột xuất",INDEX('Kế hoạch'!$AY$6:$AY$305,$O468),IF(N($P468)=0,"",IF(INT($B468)&lt;$P468,$P468,IF($Q468&gt;0,$P468+ROUND((INT($B468)-$P468)/$Q468,0)*$Q468,IF($R468&gt;0,EDATE($P468,ROUND((DATEDIF($P468,INT($B468),"m")+(INT($B468)-EDATE($P468,DATEDIF($P468,INT($B468),"m")))/(EDATE($P468,DATEDIF($P468,INT($B468),"m")+1)-EDATE($P468,DATEDIF($P468,INT($B468),"m"))))/$R468,0)*$R468),$P468))))),"")))</f>
      </c>
      <c r="M468" s="223">
        <f>IF(OR($C468="",N($L468)=0,N($B468)=0),"",IF(IF(MOD($L468,1)=0,INT($B468),$B468)&lt;=$L468,"Đúng hạn","Trễ hạn"))</f>
      </c>
      <c r="N468" s="225">
        <f>IF($C468="","",ROW())</f>
      </c>
      <c r="O468" s="225">
        <f>IF($I468="Công việc",MATCH($C468,'Kế hoạch'!$A$6:$A$305,0),"")</f>
      </c>
      <c r="P468" s="234">
        <f>IF($O468="","",INDEX('Kế hoạch'!$I$6:$I$305,$O468))</f>
      </c>
      <c r="Q468" s="225">
        <f>IF($O468="","",INDEX('Kế hoạch'!$AJ$6:$AJ$305,$O468))</f>
      </c>
      <c r="R468" s="225">
        <f>IF($O468="","",INDEX('Kế hoạch'!$AK$6:$AK$305,$O468))</f>
      </c>
    </row>
    <row r="469">
      <c r="A469" s="223">
        <f>IF($C469="","",COUNTIF($C$6:$C469,"?*"))</f>
      </c>
      <c r="B469" s="217"/>
      <c r="C469" s="216"/>
      <c r="D469" s="240"/>
      <c r="E469" s="218"/>
      <c r="F469" s="218"/>
      <c r="G469" s="218"/>
      <c r="H469" s="219"/>
      <c r="I469" s="223">
        <f>IF($C469="","",IF(ISNUMBER(MATCH($C469,'Phản ánh'!$A$6:$A$505,0)),"Phản ánh",IF(ISNUMBER(MATCH($C469,'Kế hoạch'!$A$6:$A$305,0)),"Công việc","Mã chưa có")))</f>
      </c>
      <c r="J469" s="221">
        <f>IF($I469="Phản ánh",INDEX('Phản ánh'!$C$6:$C$505,MATCH($C469,'Phản ánh'!$A$6:$A$505,0)),IF($I469="Công việc",INDEX('Kế hoạch'!$C$6:$C$305,$O469),""))</f>
      </c>
      <c r="K469" s="221">
        <f>IF($I469="Phản ánh",INDEX('Phản ánh'!$K$6:$K$505,MATCH($C469,'Phản ánh'!$A$6:$A$505,0))&amp;"",IF($I469="Công việc",INDEX('Kế hoạch'!$N$6:$N$305,$O469)&amp;"",""))</f>
      </c>
      <c r="L469" s="220">
        <f>IF(OR($C469="",N($B469)=0),"",IF(AND($I469="Phản ánh",$E469="Đã xử lý"),INDEX('Phản ánh'!$U$6:$U$505,MATCH($C469,'Phản ánh'!$A$6:$A$505,0)),IF(AND($I469="Công việc",OR($E469="Hoàn thành",$E469="Hoàn thành kỳ")),IF(INDEX('Kế hoạch'!$B$6:$B$305,$O469)="Đột xuất",INDEX('Kế hoạch'!$AY$6:$AY$305,$O469),IF(N($P469)=0,"",IF(INT($B469)&lt;$P469,$P469,IF($Q469&gt;0,$P469+ROUND((INT($B469)-$P469)/$Q469,0)*$Q469,IF($R469&gt;0,EDATE($P469,ROUND((DATEDIF($P469,INT($B469),"m")+(INT($B469)-EDATE($P469,DATEDIF($P469,INT($B469),"m")))/(EDATE($P469,DATEDIF($P469,INT($B469),"m")+1)-EDATE($P469,DATEDIF($P469,INT($B469),"m"))))/$R469,0)*$R469),$P469))))),"")))</f>
      </c>
      <c r="M469" s="223">
        <f>IF(OR($C469="",N($L469)=0,N($B469)=0),"",IF(IF(MOD($L469,1)=0,INT($B469),$B469)&lt;=$L469,"Đúng hạn","Trễ hạn"))</f>
      </c>
      <c r="N469" s="225">
        <f>IF($C469="","",ROW())</f>
      </c>
      <c r="O469" s="225">
        <f>IF($I469="Công việc",MATCH($C469,'Kế hoạch'!$A$6:$A$305,0),"")</f>
      </c>
      <c r="P469" s="234">
        <f>IF($O469="","",INDEX('Kế hoạch'!$I$6:$I$305,$O469))</f>
      </c>
      <c r="Q469" s="225">
        <f>IF($O469="","",INDEX('Kế hoạch'!$AJ$6:$AJ$305,$O469))</f>
      </c>
      <c r="R469" s="225">
        <f>IF($O469="","",INDEX('Kế hoạch'!$AK$6:$AK$305,$O469))</f>
      </c>
    </row>
    <row r="470">
      <c r="A470" s="223">
        <f>IF($C470="","",COUNTIF($C$6:$C470,"?*"))</f>
      </c>
      <c r="B470" s="217"/>
      <c r="C470" s="216"/>
      <c r="D470" s="240"/>
      <c r="E470" s="218"/>
      <c r="F470" s="218"/>
      <c r="G470" s="218"/>
      <c r="H470" s="219"/>
      <c r="I470" s="223">
        <f>IF($C470="","",IF(ISNUMBER(MATCH($C470,'Phản ánh'!$A$6:$A$505,0)),"Phản ánh",IF(ISNUMBER(MATCH($C470,'Kế hoạch'!$A$6:$A$305,0)),"Công việc","Mã chưa có")))</f>
      </c>
      <c r="J470" s="221">
        <f>IF($I470="Phản ánh",INDEX('Phản ánh'!$C$6:$C$505,MATCH($C470,'Phản ánh'!$A$6:$A$505,0)),IF($I470="Công việc",INDEX('Kế hoạch'!$C$6:$C$305,$O470),""))</f>
      </c>
      <c r="K470" s="221">
        <f>IF($I470="Phản ánh",INDEX('Phản ánh'!$K$6:$K$505,MATCH($C470,'Phản ánh'!$A$6:$A$505,0))&amp;"",IF($I470="Công việc",INDEX('Kế hoạch'!$N$6:$N$305,$O470)&amp;"",""))</f>
      </c>
      <c r="L470" s="220">
        <f>IF(OR($C470="",N($B470)=0),"",IF(AND($I470="Phản ánh",$E470="Đã xử lý"),INDEX('Phản ánh'!$U$6:$U$505,MATCH($C470,'Phản ánh'!$A$6:$A$505,0)),IF(AND($I470="Công việc",OR($E470="Hoàn thành",$E470="Hoàn thành kỳ")),IF(INDEX('Kế hoạch'!$B$6:$B$305,$O470)="Đột xuất",INDEX('Kế hoạch'!$AY$6:$AY$305,$O470),IF(N($P470)=0,"",IF(INT($B470)&lt;$P470,$P470,IF($Q470&gt;0,$P470+ROUND((INT($B470)-$P470)/$Q470,0)*$Q470,IF($R470&gt;0,EDATE($P470,ROUND((DATEDIF($P470,INT($B470),"m")+(INT($B470)-EDATE($P470,DATEDIF($P470,INT($B470),"m")))/(EDATE($P470,DATEDIF($P470,INT($B470),"m")+1)-EDATE($P470,DATEDIF($P470,INT($B470),"m"))))/$R470,0)*$R470),$P470))))),"")))</f>
      </c>
      <c r="M470" s="223">
        <f>IF(OR($C470="",N($L470)=0,N($B470)=0),"",IF(IF(MOD($L470,1)=0,INT($B470),$B470)&lt;=$L470,"Đúng hạn","Trễ hạn"))</f>
      </c>
      <c r="N470" s="225">
        <f>IF($C470="","",ROW())</f>
      </c>
      <c r="O470" s="225">
        <f>IF($I470="Công việc",MATCH($C470,'Kế hoạch'!$A$6:$A$305,0),"")</f>
      </c>
      <c r="P470" s="234">
        <f>IF($O470="","",INDEX('Kế hoạch'!$I$6:$I$305,$O470))</f>
      </c>
      <c r="Q470" s="225">
        <f>IF($O470="","",INDEX('Kế hoạch'!$AJ$6:$AJ$305,$O470))</f>
      </c>
      <c r="R470" s="225">
        <f>IF($O470="","",INDEX('Kế hoạch'!$AK$6:$AK$305,$O470))</f>
      </c>
    </row>
    <row r="471">
      <c r="A471" s="223">
        <f>IF($C471="","",COUNTIF($C$6:$C471,"?*"))</f>
      </c>
      <c r="B471" s="217"/>
      <c r="C471" s="216"/>
      <c r="D471" s="240"/>
      <c r="E471" s="218"/>
      <c r="F471" s="218"/>
      <c r="G471" s="218"/>
      <c r="H471" s="219"/>
      <c r="I471" s="223">
        <f>IF($C471="","",IF(ISNUMBER(MATCH($C471,'Phản ánh'!$A$6:$A$505,0)),"Phản ánh",IF(ISNUMBER(MATCH($C471,'Kế hoạch'!$A$6:$A$305,0)),"Công việc","Mã chưa có")))</f>
      </c>
      <c r="J471" s="221">
        <f>IF($I471="Phản ánh",INDEX('Phản ánh'!$C$6:$C$505,MATCH($C471,'Phản ánh'!$A$6:$A$505,0)),IF($I471="Công việc",INDEX('Kế hoạch'!$C$6:$C$305,$O471),""))</f>
      </c>
      <c r="K471" s="221">
        <f>IF($I471="Phản ánh",INDEX('Phản ánh'!$K$6:$K$505,MATCH($C471,'Phản ánh'!$A$6:$A$505,0))&amp;"",IF($I471="Công việc",INDEX('Kế hoạch'!$N$6:$N$305,$O471)&amp;"",""))</f>
      </c>
      <c r="L471" s="220">
        <f>IF(OR($C471="",N($B471)=0),"",IF(AND($I471="Phản ánh",$E471="Đã xử lý"),INDEX('Phản ánh'!$U$6:$U$505,MATCH($C471,'Phản ánh'!$A$6:$A$505,0)),IF(AND($I471="Công việc",OR($E471="Hoàn thành",$E471="Hoàn thành kỳ")),IF(INDEX('Kế hoạch'!$B$6:$B$305,$O471)="Đột xuất",INDEX('Kế hoạch'!$AY$6:$AY$305,$O471),IF(N($P471)=0,"",IF(INT($B471)&lt;$P471,$P471,IF($Q471&gt;0,$P471+ROUND((INT($B471)-$P471)/$Q471,0)*$Q471,IF($R471&gt;0,EDATE($P471,ROUND((DATEDIF($P471,INT($B471),"m")+(INT($B471)-EDATE($P471,DATEDIF($P471,INT($B471),"m")))/(EDATE($P471,DATEDIF($P471,INT($B471),"m")+1)-EDATE($P471,DATEDIF($P471,INT($B471),"m"))))/$R471,0)*$R471),$P471))))),"")))</f>
      </c>
      <c r="M471" s="223">
        <f>IF(OR($C471="",N($L471)=0,N($B471)=0),"",IF(IF(MOD($L471,1)=0,INT($B471),$B471)&lt;=$L471,"Đúng hạn","Trễ hạn"))</f>
      </c>
      <c r="N471" s="225">
        <f>IF($C471="","",ROW())</f>
      </c>
      <c r="O471" s="225">
        <f>IF($I471="Công việc",MATCH($C471,'Kế hoạch'!$A$6:$A$305,0),"")</f>
      </c>
      <c r="P471" s="234">
        <f>IF($O471="","",INDEX('Kế hoạch'!$I$6:$I$305,$O471))</f>
      </c>
      <c r="Q471" s="225">
        <f>IF($O471="","",INDEX('Kế hoạch'!$AJ$6:$AJ$305,$O471))</f>
      </c>
      <c r="R471" s="225">
        <f>IF($O471="","",INDEX('Kế hoạch'!$AK$6:$AK$305,$O471))</f>
      </c>
    </row>
    <row r="472">
      <c r="A472" s="223">
        <f>IF($C472="","",COUNTIF($C$6:$C472,"?*"))</f>
      </c>
      <c r="B472" s="217"/>
      <c r="C472" s="216"/>
      <c r="D472" s="240"/>
      <c r="E472" s="218"/>
      <c r="F472" s="218"/>
      <c r="G472" s="218"/>
      <c r="H472" s="219"/>
      <c r="I472" s="223">
        <f>IF($C472="","",IF(ISNUMBER(MATCH($C472,'Phản ánh'!$A$6:$A$505,0)),"Phản ánh",IF(ISNUMBER(MATCH($C472,'Kế hoạch'!$A$6:$A$305,0)),"Công việc","Mã chưa có")))</f>
      </c>
      <c r="J472" s="221">
        <f>IF($I472="Phản ánh",INDEX('Phản ánh'!$C$6:$C$505,MATCH($C472,'Phản ánh'!$A$6:$A$505,0)),IF($I472="Công việc",INDEX('Kế hoạch'!$C$6:$C$305,$O472),""))</f>
      </c>
      <c r="K472" s="221">
        <f>IF($I472="Phản ánh",INDEX('Phản ánh'!$K$6:$K$505,MATCH($C472,'Phản ánh'!$A$6:$A$505,0))&amp;"",IF($I472="Công việc",INDEX('Kế hoạch'!$N$6:$N$305,$O472)&amp;"",""))</f>
      </c>
      <c r="L472" s="220">
        <f>IF(OR($C472="",N($B472)=0),"",IF(AND($I472="Phản ánh",$E472="Đã xử lý"),INDEX('Phản ánh'!$U$6:$U$505,MATCH($C472,'Phản ánh'!$A$6:$A$505,0)),IF(AND($I472="Công việc",OR($E472="Hoàn thành",$E472="Hoàn thành kỳ")),IF(INDEX('Kế hoạch'!$B$6:$B$305,$O472)="Đột xuất",INDEX('Kế hoạch'!$AY$6:$AY$305,$O472),IF(N($P472)=0,"",IF(INT($B472)&lt;$P472,$P472,IF($Q472&gt;0,$P472+ROUND((INT($B472)-$P472)/$Q472,0)*$Q472,IF($R472&gt;0,EDATE($P472,ROUND((DATEDIF($P472,INT($B472),"m")+(INT($B472)-EDATE($P472,DATEDIF($P472,INT($B472),"m")))/(EDATE($P472,DATEDIF($P472,INT($B472),"m")+1)-EDATE($P472,DATEDIF($P472,INT($B472),"m"))))/$R472,0)*$R472),$P472))))),"")))</f>
      </c>
      <c r="M472" s="223">
        <f>IF(OR($C472="",N($L472)=0,N($B472)=0),"",IF(IF(MOD($L472,1)=0,INT($B472),$B472)&lt;=$L472,"Đúng hạn","Trễ hạn"))</f>
      </c>
      <c r="N472" s="225">
        <f>IF($C472="","",ROW())</f>
      </c>
      <c r="O472" s="225">
        <f>IF($I472="Công việc",MATCH($C472,'Kế hoạch'!$A$6:$A$305,0),"")</f>
      </c>
      <c r="P472" s="234">
        <f>IF($O472="","",INDEX('Kế hoạch'!$I$6:$I$305,$O472))</f>
      </c>
      <c r="Q472" s="225">
        <f>IF($O472="","",INDEX('Kế hoạch'!$AJ$6:$AJ$305,$O472))</f>
      </c>
      <c r="R472" s="225">
        <f>IF($O472="","",INDEX('Kế hoạch'!$AK$6:$AK$305,$O472))</f>
      </c>
    </row>
    <row r="473">
      <c r="A473" s="223">
        <f>IF($C473="","",COUNTIF($C$6:$C473,"?*"))</f>
      </c>
      <c r="B473" s="217"/>
      <c r="C473" s="216"/>
      <c r="D473" s="240"/>
      <c r="E473" s="218"/>
      <c r="F473" s="218"/>
      <c r="G473" s="218"/>
      <c r="H473" s="219"/>
      <c r="I473" s="223">
        <f>IF($C473="","",IF(ISNUMBER(MATCH($C473,'Phản ánh'!$A$6:$A$505,0)),"Phản ánh",IF(ISNUMBER(MATCH($C473,'Kế hoạch'!$A$6:$A$305,0)),"Công việc","Mã chưa có")))</f>
      </c>
      <c r="J473" s="221">
        <f>IF($I473="Phản ánh",INDEX('Phản ánh'!$C$6:$C$505,MATCH($C473,'Phản ánh'!$A$6:$A$505,0)),IF($I473="Công việc",INDEX('Kế hoạch'!$C$6:$C$305,$O473),""))</f>
      </c>
      <c r="K473" s="221">
        <f>IF($I473="Phản ánh",INDEX('Phản ánh'!$K$6:$K$505,MATCH($C473,'Phản ánh'!$A$6:$A$505,0))&amp;"",IF($I473="Công việc",INDEX('Kế hoạch'!$N$6:$N$305,$O473)&amp;"",""))</f>
      </c>
      <c r="L473" s="220">
        <f>IF(OR($C473="",N($B473)=0),"",IF(AND($I473="Phản ánh",$E473="Đã xử lý"),INDEX('Phản ánh'!$U$6:$U$505,MATCH($C473,'Phản ánh'!$A$6:$A$505,0)),IF(AND($I473="Công việc",OR($E473="Hoàn thành",$E473="Hoàn thành kỳ")),IF(INDEX('Kế hoạch'!$B$6:$B$305,$O473)="Đột xuất",INDEX('Kế hoạch'!$AY$6:$AY$305,$O473),IF(N($P473)=0,"",IF(INT($B473)&lt;$P473,$P473,IF($Q473&gt;0,$P473+ROUND((INT($B473)-$P473)/$Q473,0)*$Q473,IF($R473&gt;0,EDATE($P473,ROUND((DATEDIF($P473,INT($B473),"m")+(INT($B473)-EDATE($P473,DATEDIF($P473,INT($B473),"m")))/(EDATE($P473,DATEDIF($P473,INT($B473),"m")+1)-EDATE($P473,DATEDIF($P473,INT($B473),"m"))))/$R473,0)*$R473),$P473))))),"")))</f>
      </c>
      <c r="M473" s="223">
        <f>IF(OR($C473="",N($L473)=0,N($B473)=0),"",IF(IF(MOD($L473,1)=0,INT($B473),$B473)&lt;=$L473,"Đúng hạn","Trễ hạn"))</f>
      </c>
      <c r="N473" s="225">
        <f>IF($C473="","",ROW())</f>
      </c>
      <c r="O473" s="225">
        <f>IF($I473="Công việc",MATCH($C473,'Kế hoạch'!$A$6:$A$305,0),"")</f>
      </c>
      <c r="P473" s="234">
        <f>IF($O473="","",INDEX('Kế hoạch'!$I$6:$I$305,$O473))</f>
      </c>
      <c r="Q473" s="225">
        <f>IF($O473="","",INDEX('Kế hoạch'!$AJ$6:$AJ$305,$O473))</f>
      </c>
      <c r="R473" s="225">
        <f>IF($O473="","",INDEX('Kế hoạch'!$AK$6:$AK$305,$O473))</f>
      </c>
    </row>
    <row r="474">
      <c r="A474" s="223">
        <f>IF($C474="","",COUNTIF($C$6:$C474,"?*"))</f>
      </c>
      <c r="B474" s="217"/>
      <c r="C474" s="216"/>
      <c r="D474" s="240"/>
      <c r="E474" s="218"/>
      <c r="F474" s="218"/>
      <c r="G474" s="218"/>
      <c r="H474" s="219"/>
      <c r="I474" s="223">
        <f>IF($C474="","",IF(ISNUMBER(MATCH($C474,'Phản ánh'!$A$6:$A$505,0)),"Phản ánh",IF(ISNUMBER(MATCH($C474,'Kế hoạch'!$A$6:$A$305,0)),"Công việc","Mã chưa có")))</f>
      </c>
      <c r="J474" s="221">
        <f>IF($I474="Phản ánh",INDEX('Phản ánh'!$C$6:$C$505,MATCH($C474,'Phản ánh'!$A$6:$A$505,0)),IF($I474="Công việc",INDEX('Kế hoạch'!$C$6:$C$305,$O474),""))</f>
      </c>
      <c r="K474" s="221">
        <f>IF($I474="Phản ánh",INDEX('Phản ánh'!$K$6:$K$505,MATCH($C474,'Phản ánh'!$A$6:$A$505,0))&amp;"",IF($I474="Công việc",INDEX('Kế hoạch'!$N$6:$N$305,$O474)&amp;"",""))</f>
      </c>
      <c r="L474" s="220">
        <f>IF(OR($C474="",N($B474)=0),"",IF(AND($I474="Phản ánh",$E474="Đã xử lý"),INDEX('Phản ánh'!$U$6:$U$505,MATCH($C474,'Phản ánh'!$A$6:$A$505,0)),IF(AND($I474="Công việc",OR($E474="Hoàn thành",$E474="Hoàn thành kỳ")),IF(INDEX('Kế hoạch'!$B$6:$B$305,$O474)="Đột xuất",INDEX('Kế hoạch'!$AY$6:$AY$305,$O474),IF(N($P474)=0,"",IF(INT($B474)&lt;$P474,$P474,IF($Q474&gt;0,$P474+ROUND((INT($B474)-$P474)/$Q474,0)*$Q474,IF($R474&gt;0,EDATE($P474,ROUND((DATEDIF($P474,INT($B474),"m")+(INT($B474)-EDATE($P474,DATEDIF($P474,INT($B474),"m")))/(EDATE($P474,DATEDIF($P474,INT($B474),"m")+1)-EDATE($P474,DATEDIF($P474,INT($B474),"m"))))/$R474,0)*$R474),$P474))))),"")))</f>
      </c>
      <c r="M474" s="223">
        <f>IF(OR($C474="",N($L474)=0,N($B474)=0),"",IF(IF(MOD($L474,1)=0,INT($B474),$B474)&lt;=$L474,"Đúng hạn","Trễ hạn"))</f>
      </c>
      <c r="N474" s="225">
        <f>IF($C474="","",ROW())</f>
      </c>
      <c r="O474" s="225">
        <f>IF($I474="Công việc",MATCH($C474,'Kế hoạch'!$A$6:$A$305,0),"")</f>
      </c>
      <c r="P474" s="234">
        <f>IF($O474="","",INDEX('Kế hoạch'!$I$6:$I$305,$O474))</f>
      </c>
      <c r="Q474" s="225">
        <f>IF($O474="","",INDEX('Kế hoạch'!$AJ$6:$AJ$305,$O474))</f>
      </c>
      <c r="R474" s="225">
        <f>IF($O474="","",INDEX('Kế hoạch'!$AK$6:$AK$305,$O474))</f>
      </c>
    </row>
    <row r="475">
      <c r="A475" s="223">
        <f>IF($C475="","",COUNTIF($C$6:$C475,"?*"))</f>
      </c>
      <c r="B475" s="217"/>
      <c r="C475" s="216"/>
      <c r="D475" s="240"/>
      <c r="E475" s="218"/>
      <c r="F475" s="218"/>
      <c r="G475" s="218"/>
      <c r="H475" s="219"/>
      <c r="I475" s="223">
        <f>IF($C475="","",IF(ISNUMBER(MATCH($C475,'Phản ánh'!$A$6:$A$505,0)),"Phản ánh",IF(ISNUMBER(MATCH($C475,'Kế hoạch'!$A$6:$A$305,0)),"Công việc","Mã chưa có")))</f>
      </c>
      <c r="J475" s="221">
        <f>IF($I475="Phản ánh",INDEX('Phản ánh'!$C$6:$C$505,MATCH($C475,'Phản ánh'!$A$6:$A$505,0)),IF($I475="Công việc",INDEX('Kế hoạch'!$C$6:$C$305,$O475),""))</f>
      </c>
      <c r="K475" s="221">
        <f>IF($I475="Phản ánh",INDEX('Phản ánh'!$K$6:$K$505,MATCH($C475,'Phản ánh'!$A$6:$A$505,0))&amp;"",IF($I475="Công việc",INDEX('Kế hoạch'!$N$6:$N$305,$O475)&amp;"",""))</f>
      </c>
      <c r="L475" s="220">
        <f>IF(OR($C475="",N($B475)=0),"",IF(AND($I475="Phản ánh",$E475="Đã xử lý"),INDEX('Phản ánh'!$U$6:$U$505,MATCH($C475,'Phản ánh'!$A$6:$A$505,0)),IF(AND($I475="Công việc",OR($E475="Hoàn thành",$E475="Hoàn thành kỳ")),IF(INDEX('Kế hoạch'!$B$6:$B$305,$O475)="Đột xuất",INDEX('Kế hoạch'!$AY$6:$AY$305,$O475),IF(N($P475)=0,"",IF(INT($B475)&lt;$P475,$P475,IF($Q475&gt;0,$P475+ROUND((INT($B475)-$P475)/$Q475,0)*$Q475,IF($R475&gt;0,EDATE($P475,ROUND((DATEDIF($P475,INT($B475),"m")+(INT($B475)-EDATE($P475,DATEDIF($P475,INT($B475),"m")))/(EDATE($P475,DATEDIF($P475,INT($B475),"m")+1)-EDATE($P475,DATEDIF($P475,INT($B475),"m"))))/$R475,0)*$R475),$P475))))),"")))</f>
      </c>
      <c r="M475" s="223">
        <f>IF(OR($C475="",N($L475)=0,N($B475)=0),"",IF(IF(MOD($L475,1)=0,INT($B475),$B475)&lt;=$L475,"Đúng hạn","Trễ hạn"))</f>
      </c>
      <c r="N475" s="225">
        <f>IF($C475="","",ROW())</f>
      </c>
      <c r="O475" s="225">
        <f>IF($I475="Công việc",MATCH($C475,'Kế hoạch'!$A$6:$A$305,0),"")</f>
      </c>
      <c r="P475" s="234">
        <f>IF($O475="","",INDEX('Kế hoạch'!$I$6:$I$305,$O475))</f>
      </c>
      <c r="Q475" s="225">
        <f>IF($O475="","",INDEX('Kế hoạch'!$AJ$6:$AJ$305,$O475))</f>
      </c>
      <c r="R475" s="225">
        <f>IF($O475="","",INDEX('Kế hoạch'!$AK$6:$AK$305,$O475))</f>
      </c>
    </row>
    <row r="476">
      <c r="A476" s="223">
        <f>IF($C476="","",COUNTIF($C$6:$C476,"?*"))</f>
      </c>
      <c r="B476" s="217"/>
      <c r="C476" s="216"/>
      <c r="D476" s="240"/>
      <c r="E476" s="218"/>
      <c r="F476" s="218"/>
      <c r="G476" s="218"/>
      <c r="H476" s="219"/>
      <c r="I476" s="223">
        <f>IF($C476="","",IF(ISNUMBER(MATCH($C476,'Phản ánh'!$A$6:$A$505,0)),"Phản ánh",IF(ISNUMBER(MATCH($C476,'Kế hoạch'!$A$6:$A$305,0)),"Công việc","Mã chưa có")))</f>
      </c>
      <c r="J476" s="221">
        <f>IF($I476="Phản ánh",INDEX('Phản ánh'!$C$6:$C$505,MATCH($C476,'Phản ánh'!$A$6:$A$505,0)),IF($I476="Công việc",INDEX('Kế hoạch'!$C$6:$C$305,$O476),""))</f>
      </c>
      <c r="K476" s="221">
        <f>IF($I476="Phản ánh",INDEX('Phản ánh'!$K$6:$K$505,MATCH($C476,'Phản ánh'!$A$6:$A$505,0))&amp;"",IF($I476="Công việc",INDEX('Kế hoạch'!$N$6:$N$305,$O476)&amp;"",""))</f>
      </c>
      <c r="L476" s="220">
        <f>IF(OR($C476="",N($B476)=0),"",IF(AND($I476="Phản ánh",$E476="Đã xử lý"),INDEX('Phản ánh'!$U$6:$U$505,MATCH($C476,'Phản ánh'!$A$6:$A$505,0)),IF(AND($I476="Công việc",OR($E476="Hoàn thành",$E476="Hoàn thành kỳ")),IF(INDEX('Kế hoạch'!$B$6:$B$305,$O476)="Đột xuất",INDEX('Kế hoạch'!$AY$6:$AY$305,$O476),IF(N($P476)=0,"",IF(INT($B476)&lt;$P476,$P476,IF($Q476&gt;0,$P476+ROUND((INT($B476)-$P476)/$Q476,0)*$Q476,IF($R476&gt;0,EDATE($P476,ROUND((DATEDIF($P476,INT($B476),"m")+(INT($B476)-EDATE($P476,DATEDIF($P476,INT($B476),"m")))/(EDATE($P476,DATEDIF($P476,INT($B476),"m")+1)-EDATE($P476,DATEDIF($P476,INT($B476),"m"))))/$R476,0)*$R476),$P476))))),"")))</f>
      </c>
      <c r="M476" s="223">
        <f>IF(OR($C476="",N($L476)=0,N($B476)=0),"",IF(IF(MOD($L476,1)=0,INT($B476),$B476)&lt;=$L476,"Đúng hạn","Trễ hạn"))</f>
      </c>
      <c r="N476" s="225">
        <f>IF($C476="","",ROW())</f>
      </c>
      <c r="O476" s="225">
        <f>IF($I476="Công việc",MATCH($C476,'Kế hoạch'!$A$6:$A$305,0),"")</f>
      </c>
      <c r="P476" s="234">
        <f>IF($O476="","",INDEX('Kế hoạch'!$I$6:$I$305,$O476))</f>
      </c>
      <c r="Q476" s="225">
        <f>IF($O476="","",INDEX('Kế hoạch'!$AJ$6:$AJ$305,$O476))</f>
      </c>
      <c r="R476" s="225">
        <f>IF($O476="","",INDEX('Kế hoạch'!$AK$6:$AK$305,$O476))</f>
      </c>
    </row>
    <row r="477">
      <c r="A477" s="223">
        <f>IF($C477="","",COUNTIF($C$6:$C477,"?*"))</f>
      </c>
      <c r="B477" s="217"/>
      <c r="C477" s="216"/>
      <c r="D477" s="240"/>
      <c r="E477" s="218"/>
      <c r="F477" s="218"/>
      <c r="G477" s="218"/>
      <c r="H477" s="219"/>
      <c r="I477" s="223">
        <f>IF($C477="","",IF(ISNUMBER(MATCH($C477,'Phản ánh'!$A$6:$A$505,0)),"Phản ánh",IF(ISNUMBER(MATCH($C477,'Kế hoạch'!$A$6:$A$305,0)),"Công việc","Mã chưa có")))</f>
      </c>
      <c r="J477" s="221">
        <f>IF($I477="Phản ánh",INDEX('Phản ánh'!$C$6:$C$505,MATCH($C477,'Phản ánh'!$A$6:$A$505,0)),IF($I477="Công việc",INDEX('Kế hoạch'!$C$6:$C$305,$O477),""))</f>
      </c>
      <c r="K477" s="221">
        <f>IF($I477="Phản ánh",INDEX('Phản ánh'!$K$6:$K$505,MATCH($C477,'Phản ánh'!$A$6:$A$505,0))&amp;"",IF($I477="Công việc",INDEX('Kế hoạch'!$N$6:$N$305,$O477)&amp;"",""))</f>
      </c>
      <c r="L477" s="220">
        <f>IF(OR($C477="",N($B477)=0),"",IF(AND($I477="Phản ánh",$E477="Đã xử lý"),INDEX('Phản ánh'!$U$6:$U$505,MATCH($C477,'Phản ánh'!$A$6:$A$505,0)),IF(AND($I477="Công việc",OR($E477="Hoàn thành",$E477="Hoàn thành kỳ")),IF(INDEX('Kế hoạch'!$B$6:$B$305,$O477)="Đột xuất",INDEX('Kế hoạch'!$AY$6:$AY$305,$O477),IF(N($P477)=0,"",IF(INT($B477)&lt;$P477,$P477,IF($Q477&gt;0,$P477+ROUND((INT($B477)-$P477)/$Q477,0)*$Q477,IF($R477&gt;0,EDATE($P477,ROUND((DATEDIF($P477,INT($B477),"m")+(INT($B477)-EDATE($P477,DATEDIF($P477,INT($B477),"m")))/(EDATE($P477,DATEDIF($P477,INT($B477),"m")+1)-EDATE($P477,DATEDIF($P477,INT($B477),"m"))))/$R477,0)*$R477),$P477))))),"")))</f>
      </c>
      <c r="M477" s="223">
        <f>IF(OR($C477="",N($L477)=0,N($B477)=0),"",IF(IF(MOD($L477,1)=0,INT($B477),$B477)&lt;=$L477,"Đúng hạn","Trễ hạn"))</f>
      </c>
      <c r="N477" s="225">
        <f>IF($C477="","",ROW())</f>
      </c>
      <c r="O477" s="225">
        <f>IF($I477="Công việc",MATCH($C477,'Kế hoạch'!$A$6:$A$305,0),"")</f>
      </c>
      <c r="P477" s="234">
        <f>IF($O477="","",INDEX('Kế hoạch'!$I$6:$I$305,$O477))</f>
      </c>
      <c r="Q477" s="225">
        <f>IF($O477="","",INDEX('Kế hoạch'!$AJ$6:$AJ$305,$O477))</f>
      </c>
      <c r="R477" s="225">
        <f>IF($O477="","",INDEX('Kế hoạch'!$AK$6:$AK$305,$O477))</f>
      </c>
    </row>
    <row r="478">
      <c r="A478" s="223">
        <f>IF($C478="","",COUNTIF($C$6:$C478,"?*"))</f>
      </c>
      <c r="B478" s="217"/>
      <c r="C478" s="216"/>
      <c r="D478" s="240"/>
      <c r="E478" s="218"/>
      <c r="F478" s="218"/>
      <c r="G478" s="218"/>
      <c r="H478" s="219"/>
      <c r="I478" s="223">
        <f>IF($C478="","",IF(ISNUMBER(MATCH($C478,'Phản ánh'!$A$6:$A$505,0)),"Phản ánh",IF(ISNUMBER(MATCH($C478,'Kế hoạch'!$A$6:$A$305,0)),"Công việc","Mã chưa có")))</f>
      </c>
      <c r="J478" s="221">
        <f>IF($I478="Phản ánh",INDEX('Phản ánh'!$C$6:$C$505,MATCH($C478,'Phản ánh'!$A$6:$A$505,0)),IF($I478="Công việc",INDEX('Kế hoạch'!$C$6:$C$305,$O478),""))</f>
      </c>
      <c r="K478" s="221">
        <f>IF($I478="Phản ánh",INDEX('Phản ánh'!$K$6:$K$505,MATCH($C478,'Phản ánh'!$A$6:$A$505,0))&amp;"",IF($I478="Công việc",INDEX('Kế hoạch'!$N$6:$N$305,$O478)&amp;"",""))</f>
      </c>
      <c r="L478" s="220">
        <f>IF(OR($C478="",N($B478)=0),"",IF(AND($I478="Phản ánh",$E478="Đã xử lý"),INDEX('Phản ánh'!$U$6:$U$505,MATCH($C478,'Phản ánh'!$A$6:$A$505,0)),IF(AND($I478="Công việc",OR($E478="Hoàn thành",$E478="Hoàn thành kỳ")),IF(INDEX('Kế hoạch'!$B$6:$B$305,$O478)="Đột xuất",INDEX('Kế hoạch'!$AY$6:$AY$305,$O478),IF(N($P478)=0,"",IF(INT($B478)&lt;$P478,$P478,IF($Q478&gt;0,$P478+ROUND((INT($B478)-$P478)/$Q478,0)*$Q478,IF($R478&gt;0,EDATE($P478,ROUND((DATEDIF($P478,INT($B478),"m")+(INT($B478)-EDATE($P478,DATEDIF($P478,INT($B478),"m")))/(EDATE($P478,DATEDIF($P478,INT($B478),"m")+1)-EDATE($P478,DATEDIF($P478,INT($B478),"m"))))/$R478,0)*$R478),$P478))))),"")))</f>
      </c>
      <c r="M478" s="223">
        <f>IF(OR($C478="",N($L478)=0,N($B478)=0),"",IF(IF(MOD($L478,1)=0,INT($B478),$B478)&lt;=$L478,"Đúng hạn","Trễ hạn"))</f>
      </c>
      <c r="N478" s="225">
        <f>IF($C478="","",ROW())</f>
      </c>
      <c r="O478" s="225">
        <f>IF($I478="Công việc",MATCH($C478,'Kế hoạch'!$A$6:$A$305,0),"")</f>
      </c>
      <c r="P478" s="234">
        <f>IF($O478="","",INDEX('Kế hoạch'!$I$6:$I$305,$O478))</f>
      </c>
      <c r="Q478" s="225">
        <f>IF($O478="","",INDEX('Kế hoạch'!$AJ$6:$AJ$305,$O478))</f>
      </c>
      <c r="R478" s="225">
        <f>IF($O478="","",INDEX('Kế hoạch'!$AK$6:$AK$305,$O478))</f>
      </c>
    </row>
    <row r="479">
      <c r="A479" s="223">
        <f>IF($C479="","",COUNTIF($C$6:$C479,"?*"))</f>
      </c>
      <c r="B479" s="217"/>
      <c r="C479" s="216"/>
      <c r="D479" s="240"/>
      <c r="E479" s="218"/>
      <c r="F479" s="218"/>
      <c r="G479" s="218"/>
      <c r="H479" s="219"/>
      <c r="I479" s="223">
        <f>IF($C479="","",IF(ISNUMBER(MATCH($C479,'Phản ánh'!$A$6:$A$505,0)),"Phản ánh",IF(ISNUMBER(MATCH($C479,'Kế hoạch'!$A$6:$A$305,0)),"Công việc","Mã chưa có")))</f>
      </c>
      <c r="J479" s="221">
        <f>IF($I479="Phản ánh",INDEX('Phản ánh'!$C$6:$C$505,MATCH($C479,'Phản ánh'!$A$6:$A$505,0)),IF($I479="Công việc",INDEX('Kế hoạch'!$C$6:$C$305,$O479),""))</f>
      </c>
      <c r="K479" s="221">
        <f>IF($I479="Phản ánh",INDEX('Phản ánh'!$K$6:$K$505,MATCH($C479,'Phản ánh'!$A$6:$A$505,0))&amp;"",IF($I479="Công việc",INDEX('Kế hoạch'!$N$6:$N$305,$O479)&amp;"",""))</f>
      </c>
      <c r="L479" s="220">
        <f>IF(OR($C479="",N($B479)=0),"",IF(AND($I479="Phản ánh",$E479="Đã xử lý"),INDEX('Phản ánh'!$U$6:$U$505,MATCH($C479,'Phản ánh'!$A$6:$A$505,0)),IF(AND($I479="Công việc",OR($E479="Hoàn thành",$E479="Hoàn thành kỳ")),IF(INDEX('Kế hoạch'!$B$6:$B$305,$O479)="Đột xuất",INDEX('Kế hoạch'!$AY$6:$AY$305,$O479),IF(N($P479)=0,"",IF(INT($B479)&lt;$P479,$P479,IF($Q479&gt;0,$P479+ROUND((INT($B479)-$P479)/$Q479,0)*$Q479,IF($R479&gt;0,EDATE($P479,ROUND((DATEDIF($P479,INT($B479),"m")+(INT($B479)-EDATE($P479,DATEDIF($P479,INT($B479),"m")))/(EDATE($P479,DATEDIF($P479,INT($B479),"m")+1)-EDATE($P479,DATEDIF($P479,INT($B479),"m"))))/$R479,0)*$R479),$P479))))),"")))</f>
      </c>
      <c r="M479" s="223">
        <f>IF(OR($C479="",N($L479)=0,N($B479)=0),"",IF(IF(MOD($L479,1)=0,INT($B479),$B479)&lt;=$L479,"Đúng hạn","Trễ hạn"))</f>
      </c>
      <c r="N479" s="225">
        <f>IF($C479="","",ROW())</f>
      </c>
      <c r="O479" s="225">
        <f>IF($I479="Công việc",MATCH($C479,'Kế hoạch'!$A$6:$A$305,0),"")</f>
      </c>
      <c r="P479" s="234">
        <f>IF($O479="","",INDEX('Kế hoạch'!$I$6:$I$305,$O479))</f>
      </c>
      <c r="Q479" s="225">
        <f>IF($O479="","",INDEX('Kế hoạch'!$AJ$6:$AJ$305,$O479))</f>
      </c>
      <c r="R479" s="225">
        <f>IF($O479="","",INDEX('Kế hoạch'!$AK$6:$AK$305,$O479))</f>
      </c>
    </row>
    <row r="480">
      <c r="A480" s="223">
        <f>IF($C480="","",COUNTIF($C$6:$C480,"?*"))</f>
      </c>
      <c r="B480" s="217"/>
      <c r="C480" s="216"/>
      <c r="D480" s="240"/>
      <c r="E480" s="218"/>
      <c r="F480" s="218"/>
      <c r="G480" s="218"/>
      <c r="H480" s="219"/>
      <c r="I480" s="223">
        <f>IF($C480="","",IF(ISNUMBER(MATCH($C480,'Phản ánh'!$A$6:$A$505,0)),"Phản ánh",IF(ISNUMBER(MATCH($C480,'Kế hoạch'!$A$6:$A$305,0)),"Công việc","Mã chưa có")))</f>
      </c>
      <c r="J480" s="221">
        <f>IF($I480="Phản ánh",INDEX('Phản ánh'!$C$6:$C$505,MATCH($C480,'Phản ánh'!$A$6:$A$505,0)),IF($I480="Công việc",INDEX('Kế hoạch'!$C$6:$C$305,$O480),""))</f>
      </c>
      <c r="K480" s="221">
        <f>IF($I480="Phản ánh",INDEX('Phản ánh'!$K$6:$K$505,MATCH($C480,'Phản ánh'!$A$6:$A$505,0))&amp;"",IF($I480="Công việc",INDEX('Kế hoạch'!$N$6:$N$305,$O480)&amp;"",""))</f>
      </c>
      <c r="L480" s="220">
        <f>IF(OR($C480="",N($B480)=0),"",IF(AND($I480="Phản ánh",$E480="Đã xử lý"),INDEX('Phản ánh'!$U$6:$U$505,MATCH($C480,'Phản ánh'!$A$6:$A$505,0)),IF(AND($I480="Công việc",OR($E480="Hoàn thành",$E480="Hoàn thành kỳ")),IF(INDEX('Kế hoạch'!$B$6:$B$305,$O480)="Đột xuất",INDEX('Kế hoạch'!$AY$6:$AY$305,$O480),IF(N($P480)=0,"",IF(INT($B480)&lt;$P480,$P480,IF($Q480&gt;0,$P480+ROUND((INT($B480)-$P480)/$Q480,0)*$Q480,IF($R480&gt;0,EDATE($P480,ROUND((DATEDIF($P480,INT($B480),"m")+(INT($B480)-EDATE($P480,DATEDIF($P480,INT($B480),"m")))/(EDATE($P480,DATEDIF($P480,INT($B480),"m")+1)-EDATE($P480,DATEDIF($P480,INT($B480),"m"))))/$R480,0)*$R480),$P480))))),"")))</f>
      </c>
      <c r="M480" s="223">
        <f>IF(OR($C480="",N($L480)=0,N($B480)=0),"",IF(IF(MOD($L480,1)=0,INT($B480),$B480)&lt;=$L480,"Đúng hạn","Trễ hạn"))</f>
      </c>
      <c r="N480" s="225">
        <f>IF($C480="","",ROW())</f>
      </c>
      <c r="O480" s="225">
        <f>IF($I480="Công việc",MATCH($C480,'Kế hoạch'!$A$6:$A$305,0),"")</f>
      </c>
      <c r="P480" s="234">
        <f>IF($O480="","",INDEX('Kế hoạch'!$I$6:$I$305,$O480))</f>
      </c>
      <c r="Q480" s="225">
        <f>IF($O480="","",INDEX('Kế hoạch'!$AJ$6:$AJ$305,$O480))</f>
      </c>
      <c r="R480" s="225">
        <f>IF($O480="","",INDEX('Kế hoạch'!$AK$6:$AK$305,$O480))</f>
      </c>
    </row>
    <row r="481">
      <c r="A481" s="223">
        <f>IF($C481="","",COUNTIF($C$6:$C481,"?*"))</f>
      </c>
      <c r="B481" s="217"/>
      <c r="C481" s="216"/>
      <c r="D481" s="240"/>
      <c r="E481" s="218"/>
      <c r="F481" s="218"/>
      <c r="G481" s="218"/>
      <c r="H481" s="219"/>
      <c r="I481" s="223">
        <f>IF($C481="","",IF(ISNUMBER(MATCH($C481,'Phản ánh'!$A$6:$A$505,0)),"Phản ánh",IF(ISNUMBER(MATCH($C481,'Kế hoạch'!$A$6:$A$305,0)),"Công việc","Mã chưa có")))</f>
      </c>
      <c r="J481" s="221">
        <f>IF($I481="Phản ánh",INDEX('Phản ánh'!$C$6:$C$505,MATCH($C481,'Phản ánh'!$A$6:$A$505,0)),IF($I481="Công việc",INDEX('Kế hoạch'!$C$6:$C$305,$O481),""))</f>
      </c>
      <c r="K481" s="221">
        <f>IF($I481="Phản ánh",INDEX('Phản ánh'!$K$6:$K$505,MATCH($C481,'Phản ánh'!$A$6:$A$505,0))&amp;"",IF($I481="Công việc",INDEX('Kế hoạch'!$N$6:$N$305,$O481)&amp;"",""))</f>
      </c>
      <c r="L481" s="220">
        <f>IF(OR($C481="",N($B481)=0),"",IF(AND($I481="Phản ánh",$E481="Đã xử lý"),INDEX('Phản ánh'!$U$6:$U$505,MATCH($C481,'Phản ánh'!$A$6:$A$505,0)),IF(AND($I481="Công việc",OR($E481="Hoàn thành",$E481="Hoàn thành kỳ")),IF(INDEX('Kế hoạch'!$B$6:$B$305,$O481)="Đột xuất",INDEX('Kế hoạch'!$AY$6:$AY$305,$O481),IF(N($P481)=0,"",IF(INT($B481)&lt;$P481,$P481,IF($Q481&gt;0,$P481+ROUND((INT($B481)-$P481)/$Q481,0)*$Q481,IF($R481&gt;0,EDATE($P481,ROUND((DATEDIF($P481,INT($B481),"m")+(INT($B481)-EDATE($P481,DATEDIF($P481,INT($B481),"m")))/(EDATE($P481,DATEDIF($P481,INT($B481),"m")+1)-EDATE($P481,DATEDIF($P481,INT($B481),"m"))))/$R481,0)*$R481),$P481))))),"")))</f>
      </c>
      <c r="M481" s="223">
        <f>IF(OR($C481="",N($L481)=0,N($B481)=0),"",IF(IF(MOD($L481,1)=0,INT($B481),$B481)&lt;=$L481,"Đúng hạn","Trễ hạn"))</f>
      </c>
      <c r="N481" s="225">
        <f>IF($C481="","",ROW())</f>
      </c>
      <c r="O481" s="225">
        <f>IF($I481="Công việc",MATCH($C481,'Kế hoạch'!$A$6:$A$305,0),"")</f>
      </c>
      <c r="P481" s="234">
        <f>IF($O481="","",INDEX('Kế hoạch'!$I$6:$I$305,$O481))</f>
      </c>
      <c r="Q481" s="225">
        <f>IF($O481="","",INDEX('Kế hoạch'!$AJ$6:$AJ$305,$O481))</f>
      </c>
      <c r="R481" s="225">
        <f>IF($O481="","",INDEX('Kế hoạch'!$AK$6:$AK$305,$O481))</f>
      </c>
    </row>
    <row r="482">
      <c r="A482" s="223">
        <f>IF($C482="","",COUNTIF($C$6:$C482,"?*"))</f>
      </c>
      <c r="B482" s="217"/>
      <c r="C482" s="216"/>
      <c r="D482" s="240"/>
      <c r="E482" s="218"/>
      <c r="F482" s="218"/>
      <c r="G482" s="218"/>
      <c r="H482" s="219"/>
      <c r="I482" s="223">
        <f>IF($C482="","",IF(ISNUMBER(MATCH($C482,'Phản ánh'!$A$6:$A$505,0)),"Phản ánh",IF(ISNUMBER(MATCH($C482,'Kế hoạch'!$A$6:$A$305,0)),"Công việc","Mã chưa có")))</f>
      </c>
      <c r="J482" s="221">
        <f>IF($I482="Phản ánh",INDEX('Phản ánh'!$C$6:$C$505,MATCH($C482,'Phản ánh'!$A$6:$A$505,0)),IF($I482="Công việc",INDEX('Kế hoạch'!$C$6:$C$305,$O482),""))</f>
      </c>
      <c r="K482" s="221">
        <f>IF($I482="Phản ánh",INDEX('Phản ánh'!$K$6:$K$505,MATCH($C482,'Phản ánh'!$A$6:$A$505,0))&amp;"",IF($I482="Công việc",INDEX('Kế hoạch'!$N$6:$N$305,$O482)&amp;"",""))</f>
      </c>
      <c r="L482" s="220">
        <f>IF(OR($C482="",N($B482)=0),"",IF(AND($I482="Phản ánh",$E482="Đã xử lý"),INDEX('Phản ánh'!$U$6:$U$505,MATCH($C482,'Phản ánh'!$A$6:$A$505,0)),IF(AND($I482="Công việc",OR($E482="Hoàn thành",$E482="Hoàn thành kỳ")),IF(INDEX('Kế hoạch'!$B$6:$B$305,$O482)="Đột xuất",INDEX('Kế hoạch'!$AY$6:$AY$305,$O482),IF(N($P482)=0,"",IF(INT($B482)&lt;$P482,$P482,IF($Q482&gt;0,$P482+ROUND((INT($B482)-$P482)/$Q482,0)*$Q482,IF($R482&gt;0,EDATE($P482,ROUND((DATEDIF($P482,INT($B482),"m")+(INT($B482)-EDATE($P482,DATEDIF($P482,INT($B482),"m")))/(EDATE($P482,DATEDIF($P482,INT($B482),"m")+1)-EDATE($P482,DATEDIF($P482,INT($B482),"m"))))/$R482,0)*$R482),$P482))))),"")))</f>
      </c>
      <c r="M482" s="223">
        <f>IF(OR($C482="",N($L482)=0,N($B482)=0),"",IF(IF(MOD($L482,1)=0,INT($B482),$B482)&lt;=$L482,"Đúng hạn","Trễ hạn"))</f>
      </c>
      <c r="N482" s="225">
        <f>IF($C482="","",ROW())</f>
      </c>
      <c r="O482" s="225">
        <f>IF($I482="Công việc",MATCH($C482,'Kế hoạch'!$A$6:$A$305,0),"")</f>
      </c>
      <c r="P482" s="234">
        <f>IF($O482="","",INDEX('Kế hoạch'!$I$6:$I$305,$O482))</f>
      </c>
      <c r="Q482" s="225">
        <f>IF($O482="","",INDEX('Kế hoạch'!$AJ$6:$AJ$305,$O482))</f>
      </c>
      <c r="R482" s="225">
        <f>IF($O482="","",INDEX('Kế hoạch'!$AK$6:$AK$305,$O482))</f>
      </c>
    </row>
    <row r="483">
      <c r="A483" s="223">
        <f>IF($C483="","",COUNTIF($C$6:$C483,"?*"))</f>
      </c>
      <c r="B483" s="217"/>
      <c r="C483" s="216"/>
      <c r="D483" s="240"/>
      <c r="E483" s="218"/>
      <c r="F483" s="218"/>
      <c r="G483" s="218"/>
      <c r="H483" s="219"/>
      <c r="I483" s="223">
        <f>IF($C483="","",IF(ISNUMBER(MATCH($C483,'Phản ánh'!$A$6:$A$505,0)),"Phản ánh",IF(ISNUMBER(MATCH($C483,'Kế hoạch'!$A$6:$A$305,0)),"Công việc","Mã chưa có")))</f>
      </c>
      <c r="J483" s="221">
        <f>IF($I483="Phản ánh",INDEX('Phản ánh'!$C$6:$C$505,MATCH($C483,'Phản ánh'!$A$6:$A$505,0)),IF($I483="Công việc",INDEX('Kế hoạch'!$C$6:$C$305,$O483),""))</f>
      </c>
      <c r="K483" s="221">
        <f>IF($I483="Phản ánh",INDEX('Phản ánh'!$K$6:$K$505,MATCH($C483,'Phản ánh'!$A$6:$A$505,0))&amp;"",IF($I483="Công việc",INDEX('Kế hoạch'!$N$6:$N$305,$O483)&amp;"",""))</f>
      </c>
      <c r="L483" s="220">
        <f>IF(OR($C483="",N($B483)=0),"",IF(AND($I483="Phản ánh",$E483="Đã xử lý"),INDEX('Phản ánh'!$U$6:$U$505,MATCH($C483,'Phản ánh'!$A$6:$A$505,0)),IF(AND($I483="Công việc",OR($E483="Hoàn thành",$E483="Hoàn thành kỳ")),IF(INDEX('Kế hoạch'!$B$6:$B$305,$O483)="Đột xuất",INDEX('Kế hoạch'!$AY$6:$AY$305,$O483),IF(N($P483)=0,"",IF(INT($B483)&lt;$P483,$P483,IF($Q483&gt;0,$P483+ROUND((INT($B483)-$P483)/$Q483,0)*$Q483,IF($R483&gt;0,EDATE($P483,ROUND((DATEDIF($P483,INT($B483),"m")+(INT($B483)-EDATE($P483,DATEDIF($P483,INT($B483),"m")))/(EDATE($P483,DATEDIF($P483,INT($B483),"m")+1)-EDATE($P483,DATEDIF($P483,INT($B483),"m"))))/$R483,0)*$R483),$P483))))),"")))</f>
      </c>
      <c r="M483" s="223">
        <f>IF(OR($C483="",N($L483)=0,N($B483)=0),"",IF(IF(MOD($L483,1)=0,INT($B483),$B483)&lt;=$L483,"Đúng hạn","Trễ hạn"))</f>
      </c>
      <c r="N483" s="225">
        <f>IF($C483="","",ROW())</f>
      </c>
      <c r="O483" s="225">
        <f>IF($I483="Công việc",MATCH($C483,'Kế hoạch'!$A$6:$A$305,0),"")</f>
      </c>
      <c r="P483" s="234">
        <f>IF($O483="","",INDEX('Kế hoạch'!$I$6:$I$305,$O483))</f>
      </c>
      <c r="Q483" s="225">
        <f>IF($O483="","",INDEX('Kế hoạch'!$AJ$6:$AJ$305,$O483))</f>
      </c>
      <c r="R483" s="225">
        <f>IF($O483="","",INDEX('Kế hoạch'!$AK$6:$AK$305,$O483))</f>
      </c>
    </row>
    <row r="484">
      <c r="A484" s="223">
        <f>IF($C484="","",COUNTIF($C$6:$C484,"?*"))</f>
      </c>
      <c r="B484" s="217"/>
      <c r="C484" s="216"/>
      <c r="D484" s="240"/>
      <c r="E484" s="218"/>
      <c r="F484" s="218"/>
      <c r="G484" s="218"/>
      <c r="H484" s="219"/>
      <c r="I484" s="223">
        <f>IF($C484="","",IF(ISNUMBER(MATCH($C484,'Phản ánh'!$A$6:$A$505,0)),"Phản ánh",IF(ISNUMBER(MATCH($C484,'Kế hoạch'!$A$6:$A$305,0)),"Công việc","Mã chưa có")))</f>
      </c>
      <c r="J484" s="221">
        <f>IF($I484="Phản ánh",INDEX('Phản ánh'!$C$6:$C$505,MATCH($C484,'Phản ánh'!$A$6:$A$505,0)),IF($I484="Công việc",INDEX('Kế hoạch'!$C$6:$C$305,$O484),""))</f>
      </c>
      <c r="K484" s="221">
        <f>IF($I484="Phản ánh",INDEX('Phản ánh'!$K$6:$K$505,MATCH($C484,'Phản ánh'!$A$6:$A$505,0))&amp;"",IF($I484="Công việc",INDEX('Kế hoạch'!$N$6:$N$305,$O484)&amp;"",""))</f>
      </c>
      <c r="L484" s="220">
        <f>IF(OR($C484="",N($B484)=0),"",IF(AND($I484="Phản ánh",$E484="Đã xử lý"),INDEX('Phản ánh'!$U$6:$U$505,MATCH($C484,'Phản ánh'!$A$6:$A$505,0)),IF(AND($I484="Công việc",OR($E484="Hoàn thành",$E484="Hoàn thành kỳ")),IF(INDEX('Kế hoạch'!$B$6:$B$305,$O484)="Đột xuất",INDEX('Kế hoạch'!$AY$6:$AY$305,$O484),IF(N($P484)=0,"",IF(INT($B484)&lt;$P484,$P484,IF($Q484&gt;0,$P484+ROUND((INT($B484)-$P484)/$Q484,0)*$Q484,IF($R484&gt;0,EDATE($P484,ROUND((DATEDIF($P484,INT($B484),"m")+(INT($B484)-EDATE($P484,DATEDIF($P484,INT($B484),"m")))/(EDATE($P484,DATEDIF($P484,INT($B484),"m")+1)-EDATE($P484,DATEDIF($P484,INT($B484),"m"))))/$R484,0)*$R484),$P484))))),"")))</f>
      </c>
      <c r="M484" s="223">
        <f>IF(OR($C484="",N($L484)=0,N($B484)=0),"",IF(IF(MOD($L484,1)=0,INT($B484),$B484)&lt;=$L484,"Đúng hạn","Trễ hạn"))</f>
      </c>
      <c r="N484" s="225">
        <f>IF($C484="","",ROW())</f>
      </c>
      <c r="O484" s="225">
        <f>IF($I484="Công việc",MATCH($C484,'Kế hoạch'!$A$6:$A$305,0),"")</f>
      </c>
      <c r="P484" s="234">
        <f>IF($O484="","",INDEX('Kế hoạch'!$I$6:$I$305,$O484))</f>
      </c>
      <c r="Q484" s="225">
        <f>IF($O484="","",INDEX('Kế hoạch'!$AJ$6:$AJ$305,$O484))</f>
      </c>
      <c r="R484" s="225">
        <f>IF($O484="","",INDEX('Kế hoạch'!$AK$6:$AK$305,$O484))</f>
      </c>
    </row>
    <row r="485">
      <c r="A485" s="223">
        <f>IF($C485="","",COUNTIF($C$6:$C485,"?*"))</f>
      </c>
      <c r="B485" s="217"/>
      <c r="C485" s="216"/>
      <c r="D485" s="240"/>
      <c r="E485" s="218"/>
      <c r="F485" s="218"/>
      <c r="G485" s="218"/>
      <c r="H485" s="219"/>
      <c r="I485" s="223">
        <f>IF($C485="","",IF(ISNUMBER(MATCH($C485,'Phản ánh'!$A$6:$A$505,0)),"Phản ánh",IF(ISNUMBER(MATCH($C485,'Kế hoạch'!$A$6:$A$305,0)),"Công việc","Mã chưa có")))</f>
      </c>
      <c r="J485" s="221">
        <f>IF($I485="Phản ánh",INDEX('Phản ánh'!$C$6:$C$505,MATCH($C485,'Phản ánh'!$A$6:$A$505,0)),IF($I485="Công việc",INDEX('Kế hoạch'!$C$6:$C$305,$O485),""))</f>
      </c>
      <c r="K485" s="221">
        <f>IF($I485="Phản ánh",INDEX('Phản ánh'!$K$6:$K$505,MATCH($C485,'Phản ánh'!$A$6:$A$505,0))&amp;"",IF($I485="Công việc",INDEX('Kế hoạch'!$N$6:$N$305,$O485)&amp;"",""))</f>
      </c>
      <c r="L485" s="220">
        <f>IF(OR($C485="",N($B485)=0),"",IF(AND($I485="Phản ánh",$E485="Đã xử lý"),INDEX('Phản ánh'!$U$6:$U$505,MATCH($C485,'Phản ánh'!$A$6:$A$505,0)),IF(AND($I485="Công việc",OR($E485="Hoàn thành",$E485="Hoàn thành kỳ")),IF(INDEX('Kế hoạch'!$B$6:$B$305,$O485)="Đột xuất",INDEX('Kế hoạch'!$AY$6:$AY$305,$O485),IF(N($P485)=0,"",IF(INT($B485)&lt;$P485,$P485,IF($Q485&gt;0,$P485+ROUND((INT($B485)-$P485)/$Q485,0)*$Q485,IF($R485&gt;0,EDATE($P485,ROUND((DATEDIF($P485,INT($B485),"m")+(INT($B485)-EDATE($P485,DATEDIF($P485,INT($B485),"m")))/(EDATE($P485,DATEDIF($P485,INT($B485),"m")+1)-EDATE($P485,DATEDIF($P485,INT($B485),"m"))))/$R485,0)*$R485),$P485))))),"")))</f>
      </c>
      <c r="M485" s="223">
        <f>IF(OR($C485="",N($L485)=0,N($B485)=0),"",IF(IF(MOD($L485,1)=0,INT($B485),$B485)&lt;=$L485,"Đúng hạn","Trễ hạn"))</f>
      </c>
      <c r="N485" s="225">
        <f>IF($C485="","",ROW())</f>
      </c>
      <c r="O485" s="225">
        <f>IF($I485="Công việc",MATCH($C485,'Kế hoạch'!$A$6:$A$305,0),"")</f>
      </c>
      <c r="P485" s="234">
        <f>IF($O485="","",INDEX('Kế hoạch'!$I$6:$I$305,$O485))</f>
      </c>
      <c r="Q485" s="225">
        <f>IF($O485="","",INDEX('Kế hoạch'!$AJ$6:$AJ$305,$O485))</f>
      </c>
      <c r="R485" s="225">
        <f>IF($O485="","",INDEX('Kế hoạch'!$AK$6:$AK$305,$O485))</f>
      </c>
    </row>
    <row r="486">
      <c r="A486" s="223">
        <f>IF($C486="","",COUNTIF($C$6:$C486,"?*"))</f>
      </c>
      <c r="B486" s="217"/>
      <c r="C486" s="216"/>
      <c r="D486" s="240"/>
      <c r="E486" s="218"/>
      <c r="F486" s="218"/>
      <c r="G486" s="218"/>
      <c r="H486" s="219"/>
      <c r="I486" s="223">
        <f>IF($C486="","",IF(ISNUMBER(MATCH($C486,'Phản ánh'!$A$6:$A$505,0)),"Phản ánh",IF(ISNUMBER(MATCH($C486,'Kế hoạch'!$A$6:$A$305,0)),"Công việc","Mã chưa có")))</f>
      </c>
      <c r="J486" s="221">
        <f>IF($I486="Phản ánh",INDEX('Phản ánh'!$C$6:$C$505,MATCH($C486,'Phản ánh'!$A$6:$A$505,0)),IF($I486="Công việc",INDEX('Kế hoạch'!$C$6:$C$305,$O486),""))</f>
      </c>
      <c r="K486" s="221">
        <f>IF($I486="Phản ánh",INDEX('Phản ánh'!$K$6:$K$505,MATCH($C486,'Phản ánh'!$A$6:$A$505,0))&amp;"",IF($I486="Công việc",INDEX('Kế hoạch'!$N$6:$N$305,$O486)&amp;"",""))</f>
      </c>
      <c r="L486" s="220">
        <f>IF(OR($C486="",N($B486)=0),"",IF(AND($I486="Phản ánh",$E486="Đã xử lý"),INDEX('Phản ánh'!$U$6:$U$505,MATCH($C486,'Phản ánh'!$A$6:$A$505,0)),IF(AND($I486="Công việc",OR($E486="Hoàn thành",$E486="Hoàn thành kỳ")),IF(INDEX('Kế hoạch'!$B$6:$B$305,$O486)="Đột xuất",INDEX('Kế hoạch'!$AY$6:$AY$305,$O486),IF(N($P486)=0,"",IF(INT($B486)&lt;$P486,$P486,IF($Q486&gt;0,$P486+ROUND((INT($B486)-$P486)/$Q486,0)*$Q486,IF($R486&gt;0,EDATE($P486,ROUND((DATEDIF($P486,INT($B486),"m")+(INT($B486)-EDATE($P486,DATEDIF($P486,INT($B486),"m")))/(EDATE($P486,DATEDIF($P486,INT($B486),"m")+1)-EDATE($P486,DATEDIF($P486,INT($B486),"m"))))/$R486,0)*$R486),$P486))))),"")))</f>
      </c>
      <c r="M486" s="223">
        <f>IF(OR($C486="",N($L486)=0,N($B486)=0),"",IF(IF(MOD($L486,1)=0,INT($B486),$B486)&lt;=$L486,"Đúng hạn","Trễ hạn"))</f>
      </c>
      <c r="N486" s="225">
        <f>IF($C486="","",ROW())</f>
      </c>
      <c r="O486" s="225">
        <f>IF($I486="Công việc",MATCH($C486,'Kế hoạch'!$A$6:$A$305,0),"")</f>
      </c>
      <c r="P486" s="234">
        <f>IF($O486="","",INDEX('Kế hoạch'!$I$6:$I$305,$O486))</f>
      </c>
      <c r="Q486" s="225">
        <f>IF($O486="","",INDEX('Kế hoạch'!$AJ$6:$AJ$305,$O486))</f>
      </c>
      <c r="R486" s="225">
        <f>IF($O486="","",INDEX('Kế hoạch'!$AK$6:$AK$305,$O486))</f>
      </c>
    </row>
    <row r="487">
      <c r="A487" s="223">
        <f>IF($C487="","",COUNTIF($C$6:$C487,"?*"))</f>
      </c>
      <c r="B487" s="217"/>
      <c r="C487" s="216"/>
      <c r="D487" s="240"/>
      <c r="E487" s="218"/>
      <c r="F487" s="218"/>
      <c r="G487" s="218"/>
      <c r="H487" s="219"/>
      <c r="I487" s="223">
        <f>IF($C487="","",IF(ISNUMBER(MATCH($C487,'Phản ánh'!$A$6:$A$505,0)),"Phản ánh",IF(ISNUMBER(MATCH($C487,'Kế hoạch'!$A$6:$A$305,0)),"Công việc","Mã chưa có")))</f>
      </c>
      <c r="J487" s="221">
        <f>IF($I487="Phản ánh",INDEX('Phản ánh'!$C$6:$C$505,MATCH($C487,'Phản ánh'!$A$6:$A$505,0)),IF($I487="Công việc",INDEX('Kế hoạch'!$C$6:$C$305,$O487),""))</f>
      </c>
      <c r="K487" s="221">
        <f>IF($I487="Phản ánh",INDEX('Phản ánh'!$K$6:$K$505,MATCH($C487,'Phản ánh'!$A$6:$A$505,0))&amp;"",IF($I487="Công việc",INDEX('Kế hoạch'!$N$6:$N$305,$O487)&amp;"",""))</f>
      </c>
      <c r="L487" s="220">
        <f>IF(OR($C487="",N($B487)=0),"",IF(AND($I487="Phản ánh",$E487="Đã xử lý"),INDEX('Phản ánh'!$U$6:$U$505,MATCH($C487,'Phản ánh'!$A$6:$A$505,0)),IF(AND($I487="Công việc",OR($E487="Hoàn thành",$E487="Hoàn thành kỳ")),IF(INDEX('Kế hoạch'!$B$6:$B$305,$O487)="Đột xuất",INDEX('Kế hoạch'!$AY$6:$AY$305,$O487),IF(N($P487)=0,"",IF(INT($B487)&lt;$P487,$P487,IF($Q487&gt;0,$P487+ROUND((INT($B487)-$P487)/$Q487,0)*$Q487,IF($R487&gt;0,EDATE($P487,ROUND((DATEDIF($P487,INT($B487),"m")+(INT($B487)-EDATE($P487,DATEDIF($P487,INT($B487),"m")))/(EDATE($P487,DATEDIF($P487,INT($B487),"m")+1)-EDATE($P487,DATEDIF($P487,INT($B487),"m"))))/$R487,0)*$R487),$P487))))),"")))</f>
      </c>
      <c r="M487" s="223">
        <f>IF(OR($C487="",N($L487)=0,N($B487)=0),"",IF(IF(MOD($L487,1)=0,INT($B487),$B487)&lt;=$L487,"Đúng hạn","Trễ hạn"))</f>
      </c>
      <c r="N487" s="225">
        <f>IF($C487="","",ROW())</f>
      </c>
      <c r="O487" s="225">
        <f>IF($I487="Công việc",MATCH($C487,'Kế hoạch'!$A$6:$A$305,0),"")</f>
      </c>
      <c r="P487" s="234">
        <f>IF($O487="","",INDEX('Kế hoạch'!$I$6:$I$305,$O487))</f>
      </c>
      <c r="Q487" s="225">
        <f>IF($O487="","",INDEX('Kế hoạch'!$AJ$6:$AJ$305,$O487))</f>
      </c>
      <c r="R487" s="225">
        <f>IF($O487="","",INDEX('Kế hoạch'!$AK$6:$AK$305,$O487))</f>
      </c>
    </row>
    <row r="488">
      <c r="A488" s="223">
        <f>IF($C488="","",COUNTIF($C$6:$C488,"?*"))</f>
      </c>
      <c r="B488" s="217"/>
      <c r="C488" s="216"/>
      <c r="D488" s="240"/>
      <c r="E488" s="218"/>
      <c r="F488" s="218"/>
      <c r="G488" s="218"/>
      <c r="H488" s="219"/>
      <c r="I488" s="223">
        <f>IF($C488="","",IF(ISNUMBER(MATCH($C488,'Phản ánh'!$A$6:$A$505,0)),"Phản ánh",IF(ISNUMBER(MATCH($C488,'Kế hoạch'!$A$6:$A$305,0)),"Công việc","Mã chưa có")))</f>
      </c>
      <c r="J488" s="221">
        <f>IF($I488="Phản ánh",INDEX('Phản ánh'!$C$6:$C$505,MATCH($C488,'Phản ánh'!$A$6:$A$505,0)),IF($I488="Công việc",INDEX('Kế hoạch'!$C$6:$C$305,$O488),""))</f>
      </c>
      <c r="K488" s="221">
        <f>IF($I488="Phản ánh",INDEX('Phản ánh'!$K$6:$K$505,MATCH($C488,'Phản ánh'!$A$6:$A$505,0))&amp;"",IF($I488="Công việc",INDEX('Kế hoạch'!$N$6:$N$305,$O488)&amp;"",""))</f>
      </c>
      <c r="L488" s="220">
        <f>IF(OR($C488="",N($B488)=0),"",IF(AND($I488="Phản ánh",$E488="Đã xử lý"),INDEX('Phản ánh'!$U$6:$U$505,MATCH($C488,'Phản ánh'!$A$6:$A$505,0)),IF(AND($I488="Công việc",OR($E488="Hoàn thành",$E488="Hoàn thành kỳ")),IF(INDEX('Kế hoạch'!$B$6:$B$305,$O488)="Đột xuất",INDEX('Kế hoạch'!$AY$6:$AY$305,$O488),IF(N($P488)=0,"",IF(INT($B488)&lt;$P488,$P488,IF($Q488&gt;0,$P488+ROUND((INT($B488)-$P488)/$Q488,0)*$Q488,IF($R488&gt;0,EDATE($P488,ROUND((DATEDIF($P488,INT($B488),"m")+(INT($B488)-EDATE($P488,DATEDIF($P488,INT($B488),"m")))/(EDATE($P488,DATEDIF($P488,INT($B488),"m")+1)-EDATE($P488,DATEDIF($P488,INT($B488),"m"))))/$R488,0)*$R488),$P488))))),"")))</f>
      </c>
      <c r="M488" s="223">
        <f>IF(OR($C488="",N($L488)=0,N($B488)=0),"",IF(IF(MOD($L488,1)=0,INT($B488),$B488)&lt;=$L488,"Đúng hạn","Trễ hạn"))</f>
      </c>
      <c r="N488" s="225">
        <f>IF($C488="","",ROW())</f>
      </c>
      <c r="O488" s="225">
        <f>IF($I488="Công việc",MATCH($C488,'Kế hoạch'!$A$6:$A$305,0),"")</f>
      </c>
      <c r="P488" s="234">
        <f>IF($O488="","",INDEX('Kế hoạch'!$I$6:$I$305,$O488))</f>
      </c>
      <c r="Q488" s="225">
        <f>IF($O488="","",INDEX('Kế hoạch'!$AJ$6:$AJ$305,$O488))</f>
      </c>
      <c r="R488" s="225">
        <f>IF($O488="","",INDEX('Kế hoạch'!$AK$6:$AK$305,$O488))</f>
      </c>
    </row>
    <row r="489">
      <c r="A489" s="223">
        <f>IF($C489="","",COUNTIF($C$6:$C489,"?*"))</f>
      </c>
      <c r="B489" s="217"/>
      <c r="C489" s="216"/>
      <c r="D489" s="240"/>
      <c r="E489" s="218"/>
      <c r="F489" s="218"/>
      <c r="G489" s="218"/>
      <c r="H489" s="219"/>
      <c r="I489" s="223">
        <f>IF($C489="","",IF(ISNUMBER(MATCH($C489,'Phản ánh'!$A$6:$A$505,0)),"Phản ánh",IF(ISNUMBER(MATCH($C489,'Kế hoạch'!$A$6:$A$305,0)),"Công việc","Mã chưa có")))</f>
      </c>
      <c r="J489" s="221">
        <f>IF($I489="Phản ánh",INDEX('Phản ánh'!$C$6:$C$505,MATCH($C489,'Phản ánh'!$A$6:$A$505,0)),IF($I489="Công việc",INDEX('Kế hoạch'!$C$6:$C$305,$O489),""))</f>
      </c>
      <c r="K489" s="221">
        <f>IF($I489="Phản ánh",INDEX('Phản ánh'!$K$6:$K$505,MATCH($C489,'Phản ánh'!$A$6:$A$505,0))&amp;"",IF($I489="Công việc",INDEX('Kế hoạch'!$N$6:$N$305,$O489)&amp;"",""))</f>
      </c>
      <c r="L489" s="220">
        <f>IF(OR($C489="",N($B489)=0),"",IF(AND($I489="Phản ánh",$E489="Đã xử lý"),INDEX('Phản ánh'!$U$6:$U$505,MATCH($C489,'Phản ánh'!$A$6:$A$505,0)),IF(AND($I489="Công việc",OR($E489="Hoàn thành",$E489="Hoàn thành kỳ")),IF(INDEX('Kế hoạch'!$B$6:$B$305,$O489)="Đột xuất",INDEX('Kế hoạch'!$AY$6:$AY$305,$O489),IF(N($P489)=0,"",IF(INT($B489)&lt;$P489,$P489,IF($Q489&gt;0,$P489+ROUND((INT($B489)-$P489)/$Q489,0)*$Q489,IF($R489&gt;0,EDATE($P489,ROUND((DATEDIF($P489,INT($B489),"m")+(INT($B489)-EDATE($P489,DATEDIF($P489,INT($B489),"m")))/(EDATE($P489,DATEDIF($P489,INT($B489),"m")+1)-EDATE($P489,DATEDIF($P489,INT($B489),"m"))))/$R489,0)*$R489),$P489))))),"")))</f>
      </c>
      <c r="M489" s="223">
        <f>IF(OR($C489="",N($L489)=0,N($B489)=0),"",IF(IF(MOD($L489,1)=0,INT($B489),$B489)&lt;=$L489,"Đúng hạn","Trễ hạn"))</f>
      </c>
      <c r="N489" s="225">
        <f>IF($C489="","",ROW())</f>
      </c>
      <c r="O489" s="225">
        <f>IF($I489="Công việc",MATCH($C489,'Kế hoạch'!$A$6:$A$305,0),"")</f>
      </c>
      <c r="P489" s="234">
        <f>IF($O489="","",INDEX('Kế hoạch'!$I$6:$I$305,$O489))</f>
      </c>
      <c r="Q489" s="225">
        <f>IF($O489="","",INDEX('Kế hoạch'!$AJ$6:$AJ$305,$O489))</f>
      </c>
      <c r="R489" s="225">
        <f>IF($O489="","",INDEX('Kế hoạch'!$AK$6:$AK$305,$O489))</f>
      </c>
    </row>
    <row r="490">
      <c r="A490" s="223">
        <f>IF($C490="","",COUNTIF($C$6:$C490,"?*"))</f>
      </c>
      <c r="B490" s="217"/>
      <c r="C490" s="216"/>
      <c r="D490" s="240"/>
      <c r="E490" s="218"/>
      <c r="F490" s="218"/>
      <c r="G490" s="218"/>
      <c r="H490" s="219"/>
      <c r="I490" s="223">
        <f>IF($C490="","",IF(ISNUMBER(MATCH($C490,'Phản ánh'!$A$6:$A$505,0)),"Phản ánh",IF(ISNUMBER(MATCH($C490,'Kế hoạch'!$A$6:$A$305,0)),"Công việc","Mã chưa có")))</f>
      </c>
      <c r="J490" s="221">
        <f>IF($I490="Phản ánh",INDEX('Phản ánh'!$C$6:$C$505,MATCH($C490,'Phản ánh'!$A$6:$A$505,0)),IF($I490="Công việc",INDEX('Kế hoạch'!$C$6:$C$305,$O490),""))</f>
      </c>
      <c r="K490" s="221">
        <f>IF($I490="Phản ánh",INDEX('Phản ánh'!$K$6:$K$505,MATCH($C490,'Phản ánh'!$A$6:$A$505,0))&amp;"",IF($I490="Công việc",INDEX('Kế hoạch'!$N$6:$N$305,$O490)&amp;"",""))</f>
      </c>
      <c r="L490" s="220">
        <f>IF(OR($C490="",N($B490)=0),"",IF(AND($I490="Phản ánh",$E490="Đã xử lý"),INDEX('Phản ánh'!$U$6:$U$505,MATCH($C490,'Phản ánh'!$A$6:$A$505,0)),IF(AND($I490="Công việc",OR($E490="Hoàn thành",$E490="Hoàn thành kỳ")),IF(INDEX('Kế hoạch'!$B$6:$B$305,$O490)="Đột xuất",INDEX('Kế hoạch'!$AY$6:$AY$305,$O490),IF(N($P490)=0,"",IF(INT($B490)&lt;$P490,$P490,IF($Q490&gt;0,$P490+ROUND((INT($B490)-$P490)/$Q490,0)*$Q490,IF($R490&gt;0,EDATE($P490,ROUND((DATEDIF($P490,INT($B490),"m")+(INT($B490)-EDATE($P490,DATEDIF($P490,INT($B490),"m")))/(EDATE($P490,DATEDIF($P490,INT($B490),"m")+1)-EDATE($P490,DATEDIF($P490,INT($B490),"m"))))/$R490,0)*$R490),$P490))))),"")))</f>
      </c>
      <c r="M490" s="223">
        <f>IF(OR($C490="",N($L490)=0,N($B490)=0),"",IF(IF(MOD($L490,1)=0,INT($B490),$B490)&lt;=$L490,"Đúng hạn","Trễ hạn"))</f>
      </c>
      <c r="N490" s="225">
        <f>IF($C490="","",ROW())</f>
      </c>
      <c r="O490" s="225">
        <f>IF($I490="Công việc",MATCH($C490,'Kế hoạch'!$A$6:$A$305,0),"")</f>
      </c>
      <c r="P490" s="234">
        <f>IF($O490="","",INDEX('Kế hoạch'!$I$6:$I$305,$O490))</f>
      </c>
      <c r="Q490" s="225">
        <f>IF($O490="","",INDEX('Kế hoạch'!$AJ$6:$AJ$305,$O490))</f>
      </c>
      <c r="R490" s="225">
        <f>IF($O490="","",INDEX('Kế hoạch'!$AK$6:$AK$305,$O490))</f>
      </c>
    </row>
    <row r="491">
      <c r="A491" s="223">
        <f>IF($C491="","",COUNTIF($C$6:$C491,"?*"))</f>
      </c>
      <c r="B491" s="217"/>
      <c r="C491" s="216"/>
      <c r="D491" s="240"/>
      <c r="E491" s="218"/>
      <c r="F491" s="218"/>
      <c r="G491" s="218"/>
      <c r="H491" s="219"/>
      <c r="I491" s="223">
        <f>IF($C491="","",IF(ISNUMBER(MATCH($C491,'Phản ánh'!$A$6:$A$505,0)),"Phản ánh",IF(ISNUMBER(MATCH($C491,'Kế hoạch'!$A$6:$A$305,0)),"Công việc","Mã chưa có")))</f>
      </c>
      <c r="J491" s="221">
        <f>IF($I491="Phản ánh",INDEX('Phản ánh'!$C$6:$C$505,MATCH($C491,'Phản ánh'!$A$6:$A$505,0)),IF($I491="Công việc",INDEX('Kế hoạch'!$C$6:$C$305,$O491),""))</f>
      </c>
      <c r="K491" s="221">
        <f>IF($I491="Phản ánh",INDEX('Phản ánh'!$K$6:$K$505,MATCH($C491,'Phản ánh'!$A$6:$A$505,0))&amp;"",IF($I491="Công việc",INDEX('Kế hoạch'!$N$6:$N$305,$O491)&amp;"",""))</f>
      </c>
      <c r="L491" s="220">
        <f>IF(OR($C491="",N($B491)=0),"",IF(AND($I491="Phản ánh",$E491="Đã xử lý"),INDEX('Phản ánh'!$U$6:$U$505,MATCH($C491,'Phản ánh'!$A$6:$A$505,0)),IF(AND($I491="Công việc",OR($E491="Hoàn thành",$E491="Hoàn thành kỳ")),IF(INDEX('Kế hoạch'!$B$6:$B$305,$O491)="Đột xuất",INDEX('Kế hoạch'!$AY$6:$AY$305,$O491),IF(N($P491)=0,"",IF(INT($B491)&lt;$P491,$P491,IF($Q491&gt;0,$P491+ROUND((INT($B491)-$P491)/$Q491,0)*$Q491,IF($R491&gt;0,EDATE($P491,ROUND((DATEDIF($P491,INT($B491),"m")+(INT($B491)-EDATE($P491,DATEDIF($P491,INT($B491),"m")))/(EDATE($P491,DATEDIF($P491,INT($B491),"m")+1)-EDATE($P491,DATEDIF($P491,INT($B491),"m"))))/$R491,0)*$R491),$P491))))),"")))</f>
      </c>
      <c r="M491" s="223">
        <f>IF(OR($C491="",N($L491)=0,N($B491)=0),"",IF(IF(MOD($L491,1)=0,INT($B491),$B491)&lt;=$L491,"Đúng hạn","Trễ hạn"))</f>
      </c>
      <c r="N491" s="225">
        <f>IF($C491="","",ROW())</f>
      </c>
      <c r="O491" s="225">
        <f>IF($I491="Công việc",MATCH($C491,'Kế hoạch'!$A$6:$A$305,0),"")</f>
      </c>
      <c r="P491" s="234">
        <f>IF($O491="","",INDEX('Kế hoạch'!$I$6:$I$305,$O491))</f>
      </c>
      <c r="Q491" s="225">
        <f>IF($O491="","",INDEX('Kế hoạch'!$AJ$6:$AJ$305,$O491))</f>
      </c>
      <c r="R491" s="225">
        <f>IF($O491="","",INDEX('Kế hoạch'!$AK$6:$AK$305,$O491))</f>
      </c>
    </row>
    <row r="492">
      <c r="A492" s="223">
        <f>IF($C492="","",COUNTIF($C$6:$C492,"?*"))</f>
      </c>
      <c r="B492" s="217"/>
      <c r="C492" s="216"/>
      <c r="D492" s="240"/>
      <c r="E492" s="218"/>
      <c r="F492" s="218"/>
      <c r="G492" s="218"/>
      <c r="H492" s="219"/>
      <c r="I492" s="223">
        <f>IF($C492="","",IF(ISNUMBER(MATCH($C492,'Phản ánh'!$A$6:$A$505,0)),"Phản ánh",IF(ISNUMBER(MATCH($C492,'Kế hoạch'!$A$6:$A$305,0)),"Công việc","Mã chưa có")))</f>
      </c>
      <c r="J492" s="221">
        <f>IF($I492="Phản ánh",INDEX('Phản ánh'!$C$6:$C$505,MATCH($C492,'Phản ánh'!$A$6:$A$505,0)),IF($I492="Công việc",INDEX('Kế hoạch'!$C$6:$C$305,$O492),""))</f>
      </c>
      <c r="K492" s="221">
        <f>IF($I492="Phản ánh",INDEX('Phản ánh'!$K$6:$K$505,MATCH($C492,'Phản ánh'!$A$6:$A$505,0))&amp;"",IF($I492="Công việc",INDEX('Kế hoạch'!$N$6:$N$305,$O492)&amp;"",""))</f>
      </c>
      <c r="L492" s="220">
        <f>IF(OR($C492="",N($B492)=0),"",IF(AND($I492="Phản ánh",$E492="Đã xử lý"),INDEX('Phản ánh'!$U$6:$U$505,MATCH($C492,'Phản ánh'!$A$6:$A$505,0)),IF(AND($I492="Công việc",OR($E492="Hoàn thành",$E492="Hoàn thành kỳ")),IF(INDEX('Kế hoạch'!$B$6:$B$305,$O492)="Đột xuất",INDEX('Kế hoạch'!$AY$6:$AY$305,$O492),IF(N($P492)=0,"",IF(INT($B492)&lt;$P492,$P492,IF($Q492&gt;0,$P492+ROUND((INT($B492)-$P492)/$Q492,0)*$Q492,IF($R492&gt;0,EDATE($P492,ROUND((DATEDIF($P492,INT($B492),"m")+(INT($B492)-EDATE($P492,DATEDIF($P492,INT($B492),"m")))/(EDATE($P492,DATEDIF($P492,INT($B492),"m")+1)-EDATE($P492,DATEDIF($P492,INT($B492),"m"))))/$R492,0)*$R492),$P492))))),"")))</f>
      </c>
      <c r="M492" s="223">
        <f>IF(OR($C492="",N($L492)=0,N($B492)=0),"",IF(IF(MOD($L492,1)=0,INT($B492),$B492)&lt;=$L492,"Đúng hạn","Trễ hạn"))</f>
      </c>
      <c r="N492" s="225">
        <f>IF($C492="","",ROW())</f>
      </c>
      <c r="O492" s="225">
        <f>IF($I492="Công việc",MATCH($C492,'Kế hoạch'!$A$6:$A$305,0),"")</f>
      </c>
      <c r="P492" s="234">
        <f>IF($O492="","",INDEX('Kế hoạch'!$I$6:$I$305,$O492))</f>
      </c>
      <c r="Q492" s="225">
        <f>IF($O492="","",INDEX('Kế hoạch'!$AJ$6:$AJ$305,$O492))</f>
      </c>
      <c r="R492" s="225">
        <f>IF($O492="","",INDEX('Kế hoạch'!$AK$6:$AK$305,$O492))</f>
      </c>
    </row>
    <row r="493">
      <c r="A493" s="223">
        <f>IF($C493="","",COUNTIF($C$6:$C493,"?*"))</f>
      </c>
      <c r="B493" s="217"/>
      <c r="C493" s="216"/>
      <c r="D493" s="240"/>
      <c r="E493" s="218"/>
      <c r="F493" s="218"/>
      <c r="G493" s="218"/>
      <c r="H493" s="219"/>
      <c r="I493" s="223">
        <f>IF($C493="","",IF(ISNUMBER(MATCH($C493,'Phản ánh'!$A$6:$A$505,0)),"Phản ánh",IF(ISNUMBER(MATCH($C493,'Kế hoạch'!$A$6:$A$305,0)),"Công việc","Mã chưa có")))</f>
      </c>
      <c r="J493" s="221">
        <f>IF($I493="Phản ánh",INDEX('Phản ánh'!$C$6:$C$505,MATCH($C493,'Phản ánh'!$A$6:$A$505,0)),IF($I493="Công việc",INDEX('Kế hoạch'!$C$6:$C$305,$O493),""))</f>
      </c>
      <c r="K493" s="221">
        <f>IF($I493="Phản ánh",INDEX('Phản ánh'!$K$6:$K$505,MATCH($C493,'Phản ánh'!$A$6:$A$505,0))&amp;"",IF($I493="Công việc",INDEX('Kế hoạch'!$N$6:$N$305,$O493)&amp;"",""))</f>
      </c>
      <c r="L493" s="220">
        <f>IF(OR($C493="",N($B493)=0),"",IF(AND($I493="Phản ánh",$E493="Đã xử lý"),INDEX('Phản ánh'!$U$6:$U$505,MATCH($C493,'Phản ánh'!$A$6:$A$505,0)),IF(AND($I493="Công việc",OR($E493="Hoàn thành",$E493="Hoàn thành kỳ")),IF(INDEX('Kế hoạch'!$B$6:$B$305,$O493)="Đột xuất",INDEX('Kế hoạch'!$AY$6:$AY$305,$O493),IF(N($P493)=0,"",IF(INT($B493)&lt;$P493,$P493,IF($Q493&gt;0,$P493+ROUND((INT($B493)-$P493)/$Q493,0)*$Q493,IF($R493&gt;0,EDATE($P493,ROUND((DATEDIF($P493,INT($B493),"m")+(INT($B493)-EDATE($P493,DATEDIF($P493,INT($B493),"m")))/(EDATE($P493,DATEDIF($P493,INT($B493),"m")+1)-EDATE($P493,DATEDIF($P493,INT($B493),"m"))))/$R493,0)*$R493),$P493))))),"")))</f>
      </c>
      <c r="M493" s="223">
        <f>IF(OR($C493="",N($L493)=0,N($B493)=0),"",IF(IF(MOD($L493,1)=0,INT($B493),$B493)&lt;=$L493,"Đúng hạn","Trễ hạn"))</f>
      </c>
      <c r="N493" s="225">
        <f>IF($C493="","",ROW())</f>
      </c>
      <c r="O493" s="225">
        <f>IF($I493="Công việc",MATCH($C493,'Kế hoạch'!$A$6:$A$305,0),"")</f>
      </c>
      <c r="P493" s="234">
        <f>IF($O493="","",INDEX('Kế hoạch'!$I$6:$I$305,$O493))</f>
      </c>
      <c r="Q493" s="225">
        <f>IF($O493="","",INDEX('Kế hoạch'!$AJ$6:$AJ$305,$O493))</f>
      </c>
      <c r="R493" s="225">
        <f>IF($O493="","",INDEX('Kế hoạch'!$AK$6:$AK$305,$O493))</f>
      </c>
    </row>
    <row r="494">
      <c r="A494" s="223">
        <f>IF($C494="","",COUNTIF($C$6:$C494,"?*"))</f>
      </c>
      <c r="B494" s="217"/>
      <c r="C494" s="216"/>
      <c r="D494" s="240"/>
      <c r="E494" s="218"/>
      <c r="F494" s="218"/>
      <c r="G494" s="218"/>
      <c r="H494" s="219"/>
      <c r="I494" s="223">
        <f>IF($C494="","",IF(ISNUMBER(MATCH($C494,'Phản ánh'!$A$6:$A$505,0)),"Phản ánh",IF(ISNUMBER(MATCH($C494,'Kế hoạch'!$A$6:$A$305,0)),"Công việc","Mã chưa có")))</f>
      </c>
      <c r="J494" s="221">
        <f>IF($I494="Phản ánh",INDEX('Phản ánh'!$C$6:$C$505,MATCH($C494,'Phản ánh'!$A$6:$A$505,0)),IF($I494="Công việc",INDEX('Kế hoạch'!$C$6:$C$305,$O494),""))</f>
      </c>
      <c r="K494" s="221">
        <f>IF($I494="Phản ánh",INDEX('Phản ánh'!$K$6:$K$505,MATCH($C494,'Phản ánh'!$A$6:$A$505,0))&amp;"",IF($I494="Công việc",INDEX('Kế hoạch'!$N$6:$N$305,$O494)&amp;"",""))</f>
      </c>
      <c r="L494" s="220">
        <f>IF(OR($C494="",N($B494)=0),"",IF(AND($I494="Phản ánh",$E494="Đã xử lý"),INDEX('Phản ánh'!$U$6:$U$505,MATCH($C494,'Phản ánh'!$A$6:$A$505,0)),IF(AND($I494="Công việc",OR($E494="Hoàn thành",$E494="Hoàn thành kỳ")),IF(INDEX('Kế hoạch'!$B$6:$B$305,$O494)="Đột xuất",INDEX('Kế hoạch'!$AY$6:$AY$305,$O494),IF(N($P494)=0,"",IF(INT($B494)&lt;$P494,$P494,IF($Q494&gt;0,$P494+ROUND((INT($B494)-$P494)/$Q494,0)*$Q494,IF($R494&gt;0,EDATE($P494,ROUND((DATEDIF($P494,INT($B494),"m")+(INT($B494)-EDATE($P494,DATEDIF($P494,INT($B494),"m")))/(EDATE($P494,DATEDIF($P494,INT($B494),"m")+1)-EDATE($P494,DATEDIF($P494,INT($B494),"m"))))/$R494,0)*$R494),$P494))))),"")))</f>
      </c>
      <c r="M494" s="223">
        <f>IF(OR($C494="",N($L494)=0,N($B494)=0),"",IF(IF(MOD($L494,1)=0,INT($B494),$B494)&lt;=$L494,"Đúng hạn","Trễ hạn"))</f>
      </c>
      <c r="N494" s="225">
        <f>IF($C494="","",ROW())</f>
      </c>
      <c r="O494" s="225">
        <f>IF($I494="Công việc",MATCH($C494,'Kế hoạch'!$A$6:$A$305,0),"")</f>
      </c>
      <c r="P494" s="234">
        <f>IF($O494="","",INDEX('Kế hoạch'!$I$6:$I$305,$O494))</f>
      </c>
      <c r="Q494" s="225">
        <f>IF($O494="","",INDEX('Kế hoạch'!$AJ$6:$AJ$305,$O494))</f>
      </c>
      <c r="R494" s="225">
        <f>IF($O494="","",INDEX('Kế hoạch'!$AK$6:$AK$305,$O494))</f>
      </c>
    </row>
    <row r="495">
      <c r="A495" s="223">
        <f>IF($C495="","",COUNTIF($C$6:$C495,"?*"))</f>
      </c>
      <c r="B495" s="217"/>
      <c r="C495" s="216"/>
      <c r="D495" s="240"/>
      <c r="E495" s="218"/>
      <c r="F495" s="218"/>
      <c r="G495" s="218"/>
      <c r="H495" s="219"/>
      <c r="I495" s="223">
        <f>IF($C495="","",IF(ISNUMBER(MATCH($C495,'Phản ánh'!$A$6:$A$505,0)),"Phản ánh",IF(ISNUMBER(MATCH($C495,'Kế hoạch'!$A$6:$A$305,0)),"Công việc","Mã chưa có")))</f>
      </c>
      <c r="J495" s="221">
        <f>IF($I495="Phản ánh",INDEX('Phản ánh'!$C$6:$C$505,MATCH($C495,'Phản ánh'!$A$6:$A$505,0)),IF($I495="Công việc",INDEX('Kế hoạch'!$C$6:$C$305,$O495),""))</f>
      </c>
      <c r="K495" s="221">
        <f>IF($I495="Phản ánh",INDEX('Phản ánh'!$K$6:$K$505,MATCH($C495,'Phản ánh'!$A$6:$A$505,0))&amp;"",IF($I495="Công việc",INDEX('Kế hoạch'!$N$6:$N$305,$O495)&amp;"",""))</f>
      </c>
      <c r="L495" s="220">
        <f>IF(OR($C495="",N($B495)=0),"",IF(AND($I495="Phản ánh",$E495="Đã xử lý"),INDEX('Phản ánh'!$U$6:$U$505,MATCH($C495,'Phản ánh'!$A$6:$A$505,0)),IF(AND($I495="Công việc",OR($E495="Hoàn thành",$E495="Hoàn thành kỳ")),IF(INDEX('Kế hoạch'!$B$6:$B$305,$O495)="Đột xuất",INDEX('Kế hoạch'!$AY$6:$AY$305,$O495),IF(N($P495)=0,"",IF(INT($B495)&lt;$P495,$P495,IF($Q495&gt;0,$P495+ROUND((INT($B495)-$P495)/$Q495,0)*$Q495,IF($R495&gt;0,EDATE($P495,ROUND((DATEDIF($P495,INT($B495),"m")+(INT($B495)-EDATE($P495,DATEDIF($P495,INT($B495),"m")))/(EDATE($P495,DATEDIF($P495,INT($B495),"m")+1)-EDATE($P495,DATEDIF($P495,INT($B495),"m"))))/$R495,0)*$R495),$P495))))),"")))</f>
      </c>
      <c r="M495" s="223">
        <f>IF(OR($C495="",N($L495)=0,N($B495)=0),"",IF(IF(MOD($L495,1)=0,INT($B495),$B495)&lt;=$L495,"Đúng hạn","Trễ hạn"))</f>
      </c>
      <c r="N495" s="225">
        <f>IF($C495="","",ROW())</f>
      </c>
      <c r="O495" s="225">
        <f>IF($I495="Công việc",MATCH($C495,'Kế hoạch'!$A$6:$A$305,0),"")</f>
      </c>
      <c r="P495" s="234">
        <f>IF($O495="","",INDEX('Kế hoạch'!$I$6:$I$305,$O495))</f>
      </c>
      <c r="Q495" s="225">
        <f>IF($O495="","",INDEX('Kế hoạch'!$AJ$6:$AJ$305,$O495))</f>
      </c>
      <c r="R495" s="225">
        <f>IF($O495="","",INDEX('Kế hoạch'!$AK$6:$AK$305,$O495))</f>
      </c>
    </row>
    <row r="496">
      <c r="A496" s="223">
        <f>IF($C496="","",COUNTIF($C$6:$C496,"?*"))</f>
      </c>
      <c r="B496" s="217"/>
      <c r="C496" s="216"/>
      <c r="D496" s="240"/>
      <c r="E496" s="218"/>
      <c r="F496" s="218"/>
      <c r="G496" s="218"/>
      <c r="H496" s="219"/>
      <c r="I496" s="223">
        <f>IF($C496="","",IF(ISNUMBER(MATCH($C496,'Phản ánh'!$A$6:$A$505,0)),"Phản ánh",IF(ISNUMBER(MATCH($C496,'Kế hoạch'!$A$6:$A$305,0)),"Công việc","Mã chưa có")))</f>
      </c>
      <c r="J496" s="221">
        <f>IF($I496="Phản ánh",INDEX('Phản ánh'!$C$6:$C$505,MATCH($C496,'Phản ánh'!$A$6:$A$505,0)),IF($I496="Công việc",INDEX('Kế hoạch'!$C$6:$C$305,$O496),""))</f>
      </c>
      <c r="K496" s="221">
        <f>IF($I496="Phản ánh",INDEX('Phản ánh'!$K$6:$K$505,MATCH($C496,'Phản ánh'!$A$6:$A$505,0))&amp;"",IF($I496="Công việc",INDEX('Kế hoạch'!$N$6:$N$305,$O496)&amp;"",""))</f>
      </c>
      <c r="L496" s="220">
        <f>IF(OR($C496="",N($B496)=0),"",IF(AND($I496="Phản ánh",$E496="Đã xử lý"),INDEX('Phản ánh'!$U$6:$U$505,MATCH($C496,'Phản ánh'!$A$6:$A$505,0)),IF(AND($I496="Công việc",OR($E496="Hoàn thành",$E496="Hoàn thành kỳ")),IF(INDEX('Kế hoạch'!$B$6:$B$305,$O496)="Đột xuất",INDEX('Kế hoạch'!$AY$6:$AY$305,$O496),IF(N($P496)=0,"",IF(INT($B496)&lt;$P496,$P496,IF($Q496&gt;0,$P496+ROUND((INT($B496)-$P496)/$Q496,0)*$Q496,IF($R496&gt;0,EDATE($P496,ROUND((DATEDIF($P496,INT($B496),"m")+(INT($B496)-EDATE($P496,DATEDIF($P496,INT($B496),"m")))/(EDATE($P496,DATEDIF($P496,INT($B496),"m")+1)-EDATE($P496,DATEDIF($P496,INT($B496),"m"))))/$R496,0)*$R496),$P496))))),"")))</f>
      </c>
      <c r="M496" s="223">
        <f>IF(OR($C496="",N($L496)=0,N($B496)=0),"",IF(IF(MOD($L496,1)=0,INT($B496),$B496)&lt;=$L496,"Đúng hạn","Trễ hạn"))</f>
      </c>
      <c r="N496" s="225">
        <f>IF($C496="","",ROW())</f>
      </c>
      <c r="O496" s="225">
        <f>IF($I496="Công việc",MATCH($C496,'Kế hoạch'!$A$6:$A$305,0),"")</f>
      </c>
      <c r="P496" s="234">
        <f>IF($O496="","",INDEX('Kế hoạch'!$I$6:$I$305,$O496))</f>
      </c>
      <c r="Q496" s="225">
        <f>IF($O496="","",INDEX('Kế hoạch'!$AJ$6:$AJ$305,$O496))</f>
      </c>
      <c r="R496" s="225">
        <f>IF($O496="","",INDEX('Kế hoạch'!$AK$6:$AK$305,$O496))</f>
      </c>
    </row>
    <row r="497">
      <c r="A497" s="223">
        <f>IF($C497="","",COUNTIF($C$6:$C497,"?*"))</f>
      </c>
      <c r="B497" s="217"/>
      <c r="C497" s="216"/>
      <c r="D497" s="240"/>
      <c r="E497" s="218"/>
      <c r="F497" s="218"/>
      <c r="G497" s="218"/>
      <c r="H497" s="219"/>
      <c r="I497" s="223">
        <f>IF($C497="","",IF(ISNUMBER(MATCH($C497,'Phản ánh'!$A$6:$A$505,0)),"Phản ánh",IF(ISNUMBER(MATCH($C497,'Kế hoạch'!$A$6:$A$305,0)),"Công việc","Mã chưa có")))</f>
      </c>
      <c r="J497" s="221">
        <f>IF($I497="Phản ánh",INDEX('Phản ánh'!$C$6:$C$505,MATCH($C497,'Phản ánh'!$A$6:$A$505,0)),IF($I497="Công việc",INDEX('Kế hoạch'!$C$6:$C$305,$O497),""))</f>
      </c>
      <c r="K497" s="221">
        <f>IF($I497="Phản ánh",INDEX('Phản ánh'!$K$6:$K$505,MATCH($C497,'Phản ánh'!$A$6:$A$505,0))&amp;"",IF($I497="Công việc",INDEX('Kế hoạch'!$N$6:$N$305,$O497)&amp;"",""))</f>
      </c>
      <c r="L497" s="220">
        <f>IF(OR($C497="",N($B497)=0),"",IF(AND($I497="Phản ánh",$E497="Đã xử lý"),INDEX('Phản ánh'!$U$6:$U$505,MATCH($C497,'Phản ánh'!$A$6:$A$505,0)),IF(AND($I497="Công việc",OR($E497="Hoàn thành",$E497="Hoàn thành kỳ")),IF(INDEX('Kế hoạch'!$B$6:$B$305,$O497)="Đột xuất",INDEX('Kế hoạch'!$AY$6:$AY$305,$O497),IF(N($P497)=0,"",IF(INT($B497)&lt;$P497,$P497,IF($Q497&gt;0,$P497+ROUND((INT($B497)-$P497)/$Q497,0)*$Q497,IF($R497&gt;0,EDATE($P497,ROUND((DATEDIF($P497,INT($B497),"m")+(INT($B497)-EDATE($P497,DATEDIF($P497,INT($B497),"m")))/(EDATE($P497,DATEDIF($P497,INT($B497),"m")+1)-EDATE($P497,DATEDIF($P497,INT($B497),"m"))))/$R497,0)*$R497),$P497))))),"")))</f>
      </c>
      <c r="M497" s="223">
        <f>IF(OR($C497="",N($L497)=0,N($B497)=0),"",IF(IF(MOD($L497,1)=0,INT($B497),$B497)&lt;=$L497,"Đúng hạn","Trễ hạn"))</f>
      </c>
      <c r="N497" s="225">
        <f>IF($C497="","",ROW())</f>
      </c>
      <c r="O497" s="225">
        <f>IF($I497="Công việc",MATCH($C497,'Kế hoạch'!$A$6:$A$305,0),"")</f>
      </c>
      <c r="P497" s="234">
        <f>IF($O497="","",INDEX('Kế hoạch'!$I$6:$I$305,$O497))</f>
      </c>
      <c r="Q497" s="225">
        <f>IF($O497="","",INDEX('Kế hoạch'!$AJ$6:$AJ$305,$O497))</f>
      </c>
      <c r="R497" s="225">
        <f>IF($O497="","",INDEX('Kế hoạch'!$AK$6:$AK$305,$O497))</f>
      </c>
    </row>
    <row r="498">
      <c r="A498" s="223">
        <f>IF($C498="","",COUNTIF($C$6:$C498,"?*"))</f>
      </c>
      <c r="B498" s="217"/>
      <c r="C498" s="216"/>
      <c r="D498" s="240"/>
      <c r="E498" s="218"/>
      <c r="F498" s="218"/>
      <c r="G498" s="218"/>
      <c r="H498" s="219"/>
      <c r="I498" s="223">
        <f>IF($C498="","",IF(ISNUMBER(MATCH($C498,'Phản ánh'!$A$6:$A$505,0)),"Phản ánh",IF(ISNUMBER(MATCH($C498,'Kế hoạch'!$A$6:$A$305,0)),"Công việc","Mã chưa có")))</f>
      </c>
      <c r="J498" s="221">
        <f>IF($I498="Phản ánh",INDEX('Phản ánh'!$C$6:$C$505,MATCH($C498,'Phản ánh'!$A$6:$A$505,0)),IF($I498="Công việc",INDEX('Kế hoạch'!$C$6:$C$305,$O498),""))</f>
      </c>
      <c r="K498" s="221">
        <f>IF($I498="Phản ánh",INDEX('Phản ánh'!$K$6:$K$505,MATCH($C498,'Phản ánh'!$A$6:$A$505,0))&amp;"",IF($I498="Công việc",INDEX('Kế hoạch'!$N$6:$N$305,$O498)&amp;"",""))</f>
      </c>
      <c r="L498" s="220">
        <f>IF(OR($C498="",N($B498)=0),"",IF(AND($I498="Phản ánh",$E498="Đã xử lý"),INDEX('Phản ánh'!$U$6:$U$505,MATCH($C498,'Phản ánh'!$A$6:$A$505,0)),IF(AND($I498="Công việc",OR($E498="Hoàn thành",$E498="Hoàn thành kỳ")),IF(INDEX('Kế hoạch'!$B$6:$B$305,$O498)="Đột xuất",INDEX('Kế hoạch'!$AY$6:$AY$305,$O498),IF(N($P498)=0,"",IF(INT($B498)&lt;$P498,$P498,IF($Q498&gt;0,$P498+ROUND((INT($B498)-$P498)/$Q498,0)*$Q498,IF($R498&gt;0,EDATE($P498,ROUND((DATEDIF($P498,INT($B498),"m")+(INT($B498)-EDATE($P498,DATEDIF($P498,INT($B498),"m")))/(EDATE($P498,DATEDIF($P498,INT($B498),"m")+1)-EDATE($P498,DATEDIF($P498,INT($B498),"m"))))/$R498,0)*$R498),$P498))))),"")))</f>
      </c>
      <c r="M498" s="223">
        <f>IF(OR($C498="",N($L498)=0,N($B498)=0),"",IF(IF(MOD($L498,1)=0,INT($B498),$B498)&lt;=$L498,"Đúng hạn","Trễ hạn"))</f>
      </c>
      <c r="N498" s="225">
        <f>IF($C498="","",ROW())</f>
      </c>
      <c r="O498" s="225">
        <f>IF($I498="Công việc",MATCH($C498,'Kế hoạch'!$A$6:$A$305,0),"")</f>
      </c>
      <c r="P498" s="234">
        <f>IF($O498="","",INDEX('Kế hoạch'!$I$6:$I$305,$O498))</f>
      </c>
      <c r="Q498" s="225">
        <f>IF($O498="","",INDEX('Kế hoạch'!$AJ$6:$AJ$305,$O498))</f>
      </c>
      <c r="R498" s="225">
        <f>IF($O498="","",INDEX('Kế hoạch'!$AK$6:$AK$305,$O498))</f>
      </c>
    </row>
    <row r="499">
      <c r="A499" s="223">
        <f>IF($C499="","",COUNTIF($C$6:$C499,"?*"))</f>
      </c>
      <c r="B499" s="217"/>
      <c r="C499" s="216"/>
      <c r="D499" s="240"/>
      <c r="E499" s="218"/>
      <c r="F499" s="218"/>
      <c r="G499" s="218"/>
      <c r="H499" s="219"/>
      <c r="I499" s="223">
        <f>IF($C499="","",IF(ISNUMBER(MATCH($C499,'Phản ánh'!$A$6:$A$505,0)),"Phản ánh",IF(ISNUMBER(MATCH($C499,'Kế hoạch'!$A$6:$A$305,0)),"Công việc","Mã chưa có")))</f>
      </c>
      <c r="J499" s="221">
        <f>IF($I499="Phản ánh",INDEX('Phản ánh'!$C$6:$C$505,MATCH($C499,'Phản ánh'!$A$6:$A$505,0)),IF($I499="Công việc",INDEX('Kế hoạch'!$C$6:$C$305,$O499),""))</f>
      </c>
      <c r="K499" s="221">
        <f>IF($I499="Phản ánh",INDEX('Phản ánh'!$K$6:$K$505,MATCH($C499,'Phản ánh'!$A$6:$A$505,0))&amp;"",IF($I499="Công việc",INDEX('Kế hoạch'!$N$6:$N$305,$O499)&amp;"",""))</f>
      </c>
      <c r="L499" s="220">
        <f>IF(OR($C499="",N($B499)=0),"",IF(AND($I499="Phản ánh",$E499="Đã xử lý"),INDEX('Phản ánh'!$U$6:$U$505,MATCH($C499,'Phản ánh'!$A$6:$A$505,0)),IF(AND($I499="Công việc",OR($E499="Hoàn thành",$E499="Hoàn thành kỳ")),IF(INDEX('Kế hoạch'!$B$6:$B$305,$O499)="Đột xuất",INDEX('Kế hoạch'!$AY$6:$AY$305,$O499),IF(N($P499)=0,"",IF(INT($B499)&lt;$P499,$P499,IF($Q499&gt;0,$P499+ROUND((INT($B499)-$P499)/$Q499,0)*$Q499,IF($R499&gt;0,EDATE($P499,ROUND((DATEDIF($P499,INT($B499),"m")+(INT($B499)-EDATE($P499,DATEDIF($P499,INT($B499),"m")))/(EDATE($P499,DATEDIF($P499,INT($B499),"m")+1)-EDATE($P499,DATEDIF($P499,INT($B499),"m"))))/$R499,0)*$R499),$P499))))),"")))</f>
      </c>
      <c r="M499" s="223">
        <f>IF(OR($C499="",N($L499)=0,N($B499)=0),"",IF(IF(MOD($L499,1)=0,INT($B499),$B499)&lt;=$L499,"Đúng hạn","Trễ hạn"))</f>
      </c>
      <c r="N499" s="225">
        <f>IF($C499="","",ROW())</f>
      </c>
      <c r="O499" s="225">
        <f>IF($I499="Công việc",MATCH($C499,'Kế hoạch'!$A$6:$A$305,0),"")</f>
      </c>
      <c r="P499" s="234">
        <f>IF($O499="","",INDEX('Kế hoạch'!$I$6:$I$305,$O499))</f>
      </c>
      <c r="Q499" s="225">
        <f>IF($O499="","",INDEX('Kế hoạch'!$AJ$6:$AJ$305,$O499))</f>
      </c>
      <c r="R499" s="225">
        <f>IF($O499="","",INDEX('Kế hoạch'!$AK$6:$AK$305,$O499))</f>
      </c>
    </row>
    <row r="500">
      <c r="A500" s="223">
        <f>IF($C500="","",COUNTIF($C$6:$C500,"?*"))</f>
      </c>
      <c r="B500" s="217"/>
      <c r="C500" s="216"/>
      <c r="D500" s="240"/>
      <c r="E500" s="218"/>
      <c r="F500" s="218"/>
      <c r="G500" s="218"/>
      <c r="H500" s="219"/>
      <c r="I500" s="223">
        <f>IF($C500="","",IF(ISNUMBER(MATCH($C500,'Phản ánh'!$A$6:$A$505,0)),"Phản ánh",IF(ISNUMBER(MATCH($C500,'Kế hoạch'!$A$6:$A$305,0)),"Công việc","Mã chưa có")))</f>
      </c>
      <c r="J500" s="221">
        <f>IF($I500="Phản ánh",INDEX('Phản ánh'!$C$6:$C$505,MATCH($C500,'Phản ánh'!$A$6:$A$505,0)),IF($I500="Công việc",INDEX('Kế hoạch'!$C$6:$C$305,$O500),""))</f>
      </c>
      <c r="K500" s="221">
        <f>IF($I500="Phản ánh",INDEX('Phản ánh'!$K$6:$K$505,MATCH($C500,'Phản ánh'!$A$6:$A$505,0))&amp;"",IF($I500="Công việc",INDEX('Kế hoạch'!$N$6:$N$305,$O500)&amp;"",""))</f>
      </c>
      <c r="L500" s="220">
        <f>IF(OR($C500="",N($B500)=0),"",IF(AND($I500="Phản ánh",$E500="Đã xử lý"),INDEX('Phản ánh'!$U$6:$U$505,MATCH($C500,'Phản ánh'!$A$6:$A$505,0)),IF(AND($I500="Công việc",OR($E500="Hoàn thành",$E500="Hoàn thành kỳ")),IF(INDEX('Kế hoạch'!$B$6:$B$305,$O500)="Đột xuất",INDEX('Kế hoạch'!$AY$6:$AY$305,$O500),IF(N($P500)=0,"",IF(INT($B500)&lt;$P500,$P500,IF($Q500&gt;0,$P500+ROUND((INT($B500)-$P500)/$Q500,0)*$Q500,IF($R500&gt;0,EDATE($P500,ROUND((DATEDIF($P500,INT($B500),"m")+(INT($B500)-EDATE($P500,DATEDIF($P500,INT($B500),"m")))/(EDATE($P500,DATEDIF($P500,INT($B500),"m")+1)-EDATE($P500,DATEDIF($P500,INT($B500),"m"))))/$R500,0)*$R500),$P500))))),"")))</f>
      </c>
      <c r="M500" s="223">
        <f>IF(OR($C500="",N($L500)=0,N($B500)=0),"",IF(IF(MOD($L500,1)=0,INT($B500),$B500)&lt;=$L500,"Đúng hạn","Trễ hạn"))</f>
      </c>
      <c r="N500" s="225">
        <f>IF($C500="","",ROW())</f>
      </c>
      <c r="O500" s="225">
        <f>IF($I500="Công việc",MATCH($C500,'Kế hoạch'!$A$6:$A$305,0),"")</f>
      </c>
      <c r="P500" s="234">
        <f>IF($O500="","",INDEX('Kế hoạch'!$I$6:$I$305,$O500))</f>
      </c>
      <c r="Q500" s="225">
        <f>IF($O500="","",INDEX('Kế hoạch'!$AJ$6:$AJ$305,$O500))</f>
      </c>
      <c r="R500" s="225">
        <f>IF($O500="","",INDEX('Kế hoạch'!$AK$6:$AK$305,$O500))</f>
      </c>
    </row>
    <row r="501">
      <c r="A501" s="223">
        <f>IF($C501="","",COUNTIF($C$6:$C501,"?*"))</f>
      </c>
      <c r="B501" s="217"/>
      <c r="C501" s="216"/>
      <c r="D501" s="240"/>
      <c r="E501" s="218"/>
      <c r="F501" s="218"/>
      <c r="G501" s="218"/>
      <c r="H501" s="219"/>
      <c r="I501" s="223">
        <f>IF($C501="","",IF(ISNUMBER(MATCH($C501,'Phản ánh'!$A$6:$A$505,0)),"Phản ánh",IF(ISNUMBER(MATCH($C501,'Kế hoạch'!$A$6:$A$305,0)),"Công việc","Mã chưa có")))</f>
      </c>
      <c r="J501" s="221">
        <f>IF($I501="Phản ánh",INDEX('Phản ánh'!$C$6:$C$505,MATCH($C501,'Phản ánh'!$A$6:$A$505,0)),IF($I501="Công việc",INDEX('Kế hoạch'!$C$6:$C$305,$O501),""))</f>
      </c>
      <c r="K501" s="221">
        <f>IF($I501="Phản ánh",INDEX('Phản ánh'!$K$6:$K$505,MATCH($C501,'Phản ánh'!$A$6:$A$505,0))&amp;"",IF($I501="Công việc",INDEX('Kế hoạch'!$N$6:$N$305,$O501)&amp;"",""))</f>
      </c>
      <c r="L501" s="220">
        <f>IF(OR($C501="",N($B501)=0),"",IF(AND($I501="Phản ánh",$E501="Đã xử lý"),INDEX('Phản ánh'!$U$6:$U$505,MATCH($C501,'Phản ánh'!$A$6:$A$505,0)),IF(AND($I501="Công việc",OR($E501="Hoàn thành",$E501="Hoàn thành kỳ")),IF(INDEX('Kế hoạch'!$B$6:$B$305,$O501)="Đột xuất",INDEX('Kế hoạch'!$AY$6:$AY$305,$O501),IF(N($P501)=0,"",IF(INT($B501)&lt;$P501,$P501,IF($Q501&gt;0,$P501+ROUND((INT($B501)-$P501)/$Q501,0)*$Q501,IF($R501&gt;0,EDATE($P501,ROUND((DATEDIF($P501,INT($B501),"m")+(INT($B501)-EDATE($P501,DATEDIF($P501,INT($B501),"m")))/(EDATE($P501,DATEDIF($P501,INT($B501),"m")+1)-EDATE($P501,DATEDIF($P501,INT($B501),"m"))))/$R501,0)*$R501),$P501))))),"")))</f>
      </c>
      <c r="M501" s="223">
        <f>IF(OR($C501="",N($L501)=0,N($B501)=0),"",IF(IF(MOD($L501,1)=0,INT($B501),$B501)&lt;=$L501,"Đúng hạn","Trễ hạn"))</f>
      </c>
      <c r="N501" s="225">
        <f>IF($C501="","",ROW())</f>
      </c>
      <c r="O501" s="225">
        <f>IF($I501="Công việc",MATCH($C501,'Kế hoạch'!$A$6:$A$305,0),"")</f>
      </c>
      <c r="P501" s="234">
        <f>IF($O501="","",INDEX('Kế hoạch'!$I$6:$I$305,$O501))</f>
      </c>
      <c r="Q501" s="225">
        <f>IF($O501="","",INDEX('Kế hoạch'!$AJ$6:$AJ$305,$O501))</f>
      </c>
      <c r="R501" s="225">
        <f>IF($O501="","",INDEX('Kế hoạch'!$AK$6:$AK$305,$O501))</f>
      </c>
    </row>
    <row r="502">
      <c r="A502" s="223">
        <f>IF($C502="","",COUNTIF($C$6:$C502,"?*"))</f>
      </c>
      <c r="B502" s="217"/>
      <c r="C502" s="216"/>
      <c r="D502" s="240"/>
      <c r="E502" s="218"/>
      <c r="F502" s="218"/>
      <c r="G502" s="218"/>
      <c r="H502" s="219"/>
      <c r="I502" s="223">
        <f>IF($C502="","",IF(ISNUMBER(MATCH($C502,'Phản ánh'!$A$6:$A$505,0)),"Phản ánh",IF(ISNUMBER(MATCH($C502,'Kế hoạch'!$A$6:$A$305,0)),"Công việc","Mã chưa có")))</f>
      </c>
      <c r="J502" s="221">
        <f>IF($I502="Phản ánh",INDEX('Phản ánh'!$C$6:$C$505,MATCH($C502,'Phản ánh'!$A$6:$A$505,0)),IF($I502="Công việc",INDEX('Kế hoạch'!$C$6:$C$305,$O502),""))</f>
      </c>
      <c r="K502" s="221">
        <f>IF($I502="Phản ánh",INDEX('Phản ánh'!$K$6:$K$505,MATCH($C502,'Phản ánh'!$A$6:$A$505,0))&amp;"",IF($I502="Công việc",INDEX('Kế hoạch'!$N$6:$N$305,$O502)&amp;"",""))</f>
      </c>
      <c r="L502" s="220">
        <f>IF(OR($C502="",N($B502)=0),"",IF(AND($I502="Phản ánh",$E502="Đã xử lý"),INDEX('Phản ánh'!$U$6:$U$505,MATCH($C502,'Phản ánh'!$A$6:$A$505,0)),IF(AND($I502="Công việc",OR($E502="Hoàn thành",$E502="Hoàn thành kỳ")),IF(INDEX('Kế hoạch'!$B$6:$B$305,$O502)="Đột xuất",INDEX('Kế hoạch'!$AY$6:$AY$305,$O502),IF(N($P502)=0,"",IF(INT($B502)&lt;$P502,$P502,IF($Q502&gt;0,$P502+ROUND((INT($B502)-$P502)/$Q502,0)*$Q502,IF($R502&gt;0,EDATE($P502,ROUND((DATEDIF($P502,INT($B502),"m")+(INT($B502)-EDATE($P502,DATEDIF($P502,INT($B502),"m")))/(EDATE($P502,DATEDIF($P502,INT($B502),"m")+1)-EDATE($P502,DATEDIF($P502,INT($B502),"m"))))/$R502,0)*$R502),$P502))))),"")))</f>
      </c>
      <c r="M502" s="223">
        <f>IF(OR($C502="",N($L502)=0,N($B502)=0),"",IF(IF(MOD($L502,1)=0,INT($B502),$B502)&lt;=$L502,"Đúng hạn","Trễ hạn"))</f>
      </c>
      <c r="N502" s="225">
        <f>IF($C502="","",ROW())</f>
      </c>
      <c r="O502" s="225">
        <f>IF($I502="Công việc",MATCH($C502,'Kế hoạch'!$A$6:$A$305,0),"")</f>
      </c>
      <c r="P502" s="234">
        <f>IF($O502="","",INDEX('Kế hoạch'!$I$6:$I$305,$O502))</f>
      </c>
      <c r="Q502" s="225">
        <f>IF($O502="","",INDEX('Kế hoạch'!$AJ$6:$AJ$305,$O502))</f>
      </c>
      <c r="R502" s="225">
        <f>IF($O502="","",INDEX('Kế hoạch'!$AK$6:$AK$305,$O502))</f>
      </c>
    </row>
    <row r="503">
      <c r="A503" s="223">
        <f>IF($C503="","",COUNTIF($C$6:$C503,"?*"))</f>
      </c>
      <c r="B503" s="217"/>
      <c r="C503" s="216"/>
      <c r="D503" s="240"/>
      <c r="E503" s="218"/>
      <c r="F503" s="218"/>
      <c r="G503" s="218"/>
      <c r="H503" s="219"/>
      <c r="I503" s="223">
        <f>IF($C503="","",IF(ISNUMBER(MATCH($C503,'Phản ánh'!$A$6:$A$505,0)),"Phản ánh",IF(ISNUMBER(MATCH($C503,'Kế hoạch'!$A$6:$A$305,0)),"Công việc","Mã chưa có")))</f>
      </c>
      <c r="J503" s="221">
        <f>IF($I503="Phản ánh",INDEX('Phản ánh'!$C$6:$C$505,MATCH($C503,'Phản ánh'!$A$6:$A$505,0)),IF($I503="Công việc",INDEX('Kế hoạch'!$C$6:$C$305,$O503),""))</f>
      </c>
      <c r="K503" s="221">
        <f>IF($I503="Phản ánh",INDEX('Phản ánh'!$K$6:$K$505,MATCH($C503,'Phản ánh'!$A$6:$A$505,0))&amp;"",IF($I503="Công việc",INDEX('Kế hoạch'!$N$6:$N$305,$O503)&amp;"",""))</f>
      </c>
      <c r="L503" s="220">
        <f>IF(OR($C503="",N($B503)=0),"",IF(AND($I503="Phản ánh",$E503="Đã xử lý"),INDEX('Phản ánh'!$U$6:$U$505,MATCH($C503,'Phản ánh'!$A$6:$A$505,0)),IF(AND($I503="Công việc",OR($E503="Hoàn thành",$E503="Hoàn thành kỳ")),IF(INDEX('Kế hoạch'!$B$6:$B$305,$O503)="Đột xuất",INDEX('Kế hoạch'!$AY$6:$AY$305,$O503),IF(N($P503)=0,"",IF(INT($B503)&lt;$P503,$P503,IF($Q503&gt;0,$P503+ROUND((INT($B503)-$P503)/$Q503,0)*$Q503,IF($R503&gt;0,EDATE($P503,ROUND((DATEDIF($P503,INT($B503),"m")+(INT($B503)-EDATE($P503,DATEDIF($P503,INT($B503),"m")))/(EDATE($P503,DATEDIF($P503,INT($B503),"m")+1)-EDATE($P503,DATEDIF($P503,INT($B503),"m"))))/$R503,0)*$R503),$P503))))),"")))</f>
      </c>
      <c r="M503" s="223">
        <f>IF(OR($C503="",N($L503)=0,N($B503)=0),"",IF(IF(MOD($L503,1)=0,INT($B503),$B503)&lt;=$L503,"Đúng hạn","Trễ hạn"))</f>
      </c>
      <c r="N503" s="225">
        <f>IF($C503="","",ROW())</f>
      </c>
      <c r="O503" s="225">
        <f>IF($I503="Công việc",MATCH($C503,'Kế hoạch'!$A$6:$A$305,0),"")</f>
      </c>
      <c r="P503" s="234">
        <f>IF($O503="","",INDEX('Kế hoạch'!$I$6:$I$305,$O503))</f>
      </c>
      <c r="Q503" s="225">
        <f>IF($O503="","",INDEX('Kế hoạch'!$AJ$6:$AJ$305,$O503))</f>
      </c>
      <c r="R503" s="225">
        <f>IF($O503="","",INDEX('Kế hoạch'!$AK$6:$AK$305,$O503))</f>
      </c>
    </row>
    <row r="504">
      <c r="A504" s="223">
        <f>IF($C504="","",COUNTIF($C$6:$C504,"?*"))</f>
      </c>
      <c r="B504" s="217"/>
      <c r="C504" s="216"/>
      <c r="D504" s="240"/>
      <c r="E504" s="218"/>
      <c r="F504" s="218"/>
      <c r="G504" s="218"/>
      <c r="H504" s="219"/>
      <c r="I504" s="223">
        <f>IF($C504="","",IF(ISNUMBER(MATCH($C504,'Phản ánh'!$A$6:$A$505,0)),"Phản ánh",IF(ISNUMBER(MATCH($C504,'Kế hoạch'!$A$6:$A$305,0)),"Công việc","Mã chưa có")))</f>
      </c>
      <c r="J504" s="221">
        <f>IF($I504="Phản ánh",INDEX('Phản ánh'!$C$6:$C$505,MATCH($C504,'Phản ánh'!$A$6:$A$505,0)),IF($I504="Công việc",INDEX('Kế hoạch'!$C$6:$C$305,$O504),""))</f>
      </c>
      <c r="K504" s="221">
        <f>IF($I504="Phản ánh",INDEX('Phản ánh'!$K$6:$K$505,MATCH($C504,'Phản ánh'!$A$6:$A$505,0))&amp;"",IF($I504="Công việc",INDEX('Kế hoạch'!$N$6:$N$305,$O504)&amp;"",""))</f>
      </c>
      <c r="L504" s="220">
        <f>IF(OR($C504="",N($B504)=0),"",IF(AND($I504="Phản ánh",$E504="Đã xử lý"),INDEX('Phản ánh'!$U$6:$U$505,MATCH($C504,'Phản ánh'!$A$6:$A$505,0)),IF(AND($I504="Công việc",OR($E504="Hoàn thành",$E504="Hoàn thành kỳ")),IF(INDEX('Kế hoạch'!$B$6:$B$305,$O504)="Đột xuất",INDEX('Kế hoạch'!$AY$6:$AY$305,$O504),IF(N($P504)=0,"",IF(INT($B504)&lt;$P504,$P504,IF($Q504&gt;0,$P504+ROUND((INT($B504)-$P504)/$Q504,0)*$Q504,IF($R504&gt;0,EDATE($P504,ROUND((DATEDIF($P504,INT($B504),"m")+(INT($B504)-EDATE($P504,DATEDIF($P504,INT($B504),"m")))/(EDATE($P504,DATEDIF($P504,INT($B504),"m")+1)-EDATE($P504,DATEDIF($P504,INT($B504),"m"))))/$R504,0)*$R504),$P504))))),"")))</f>
      </c>
      <c r="M504" s="223">
        <f>IF(OR($C504="",N($L504)=0,N($B504)=0),"",IF(IF(MOD($L504,1)=0,INT($B504),$B504)&lt;=$L504,"Đúng hạn","Trễ hạn"))</f>
      </c>
      <c r="N504" s="225">
        <f>IF($C504="","",ROW())</f>
      </c>
      <c r="O504" s="225">
        <f>IF($I504="Công việc",MATCH($C504,'Kế hoạch'!$A$6:$A$305,0),"")</f>
      </c>
      <c r="P504" s="234">
        <f>IF($O504="","",INDEX('Kế hoạch'!$I$6:$I$305,$O504))</f>
      </c>
      <c r="Q504" s="225">
        <f>IF($O504="","",INDEX('Kế hoạch'!$AJ$6:$AJ$305,$O504))</f>
      </c>
      <c r="R504" s="225">
        <f>IF($O504="","",INDEX('Kế hoạch'!$AK$6:$AK$305,$O504))</f>
      </c>
    </row>
    <row r="505">
      <c r="A505" s="223">
        <f>IF($C505="","",COUNTIF($C$6:$C505,"?*"))</f>
      </c>
      <c r="B505" s="217"/>
      <c r="C505" s="216"/>
      <c r="D505" s="240"/>
      <c r="E505" s="218"/>
      <c r="F505" s="218"/>
      <c r="G505" s="218"/>
      <c r="H505" s="219"/>
      <c r="I505" s="223">
        <f>IF($C505="","",IF(ISNUMBER(MATCH($C505,'Phản ánh'!$A$6:$A$505,0)),"Phản ánh",IF(ISNUMBER(MATCH($C505,'Kế hoạch'!$A$6:$A$305,0)),"Công việc","Mã chưa có")))</f>
      </c>
      <c r="J505" s="221">
        <f>IF($I505="Phản ánh",INDEX('Phản ánh'!$C$6:$C$505,MATCH($C505,'Phản ánh'!$A$6:$A$505,0)),IF($I505="Công việc",INDEX('Kế hoạch'!$C$6:$C$305,$O505),""))</f>
      </c>
      <c r="K505" s="221">
        <f>IF($I505="Phản ánh",INDEX('Phản ánh'!$K$6:$K$505,MATCH($C505,'Phản ánh'!$A$6:$A$505,0))&amp;"",IF($I505="Công việc",INDEX('Kế hoạch'!$N$6:$N$305,$O505)&amp;"",""))</f>
      </c>
      <c r="L505" s="220">
        <f>IF(OR($C505="",N($B505)=0),"",IF(AND($I505="Phản ánh",$E505="Đã xử lý"),INDEX('Phản ánh'!$U$6:$U$505,MATCH($C505,'Phản ánh'!$A$6:$A$505,0)),IF(AND($I505="Công việc",OR($E505="Hoàn thành",$E505="Hoàn thành kỳ")),IF(INDEX('Kế hoạch'!$B$6:$B$305,$O505)="Đột xuất",INDEX('Kế hoạch'!$AY$6:$AY$305,$O505),IF(N($P505)=0,"",IF(INT($B505)&lt;$P505,$P505,IF($Q505&gt;0,$P505+ROUND((INT($B505)-$P505)/$Q505,0)*$Q505,IF($R505&gt;0,EDATE($P505,ROUND((DATEDIF($P505,INT($B505),"m")+(INT($B505)-EDATE($P505,DATEDIF($P505,INT($B505),"m")))/(EDATE($P505,DATEDIF($P505,INT($B505),"m")+1)-EDATE($P505,DATEDIF($P505,INT($B505),"m"))))/$R505,0)*$R505),$P505))))),"")))</f>
      </c>
      <c r="M505" s="223">
        <f>IF(OR($C505="",N($L505)=0,N($B505)=0),"",IF(IF(MOD($L505,1)=0,INT($B505),$B505)&lt;=$L505,"Đúng hạn","Trễ hạn"))</f>
      </c>
      <c r="N505" s="225">
        <f>IF($C505="","",ROW())</f>
      </c>
      <c r="O505" s="225">
        <f>IF($I505="Công việc",MATCH($C505,'Kế hoạch'!$A$6:$A$305,0),"")</f>
      </c>
      <c r="P505" s="234">
        <f>IF($O505="","",INDEX('Kế hoạch'!$I$6:$I$305,$O505))</f>
      </c>
      <c r="Q505" s="225">
        <f>IF($O505="","",INDEX('Kế hoạch'!$AJ$6:$AJ$305,$O505))</f>
      </c>
      <c r="R505" s="225">
        <f>IF($O505="","",INDEX('Kế hoạch'!$AK$6:$AK$305,$O505))</f>
      </c>
    </row>
    <row r="506">
      <c r="A506" s="223">
        <f>IF($C506="","",COUNTIF($C$6:$C506,"?*"))</f>
      </c>
      <c r="B506" s="217"/>
      <c r="C506" s="216"/>
      <c r="D506" s="240"/>
      <c r="E506" s="218"/>
      <c r="F506" s="218"/>
      <c r="G506" s="218"/>
      <c r="H506" s="219"/>
      <c r="I506" s="223">
        <f>IF($C506="","",IF(ISNUMBER(MATCH($C506,'Phản ánh'!$A$6:$A$505,0)),"Phản ánh",IF(ISNUMBER(MATCH($C506,'Kế hoạch'!$A$6:$A$305,0)),"Công việc","Mã chưa có")))</f>
      </c>
      <c r="J506" s="221">
        <f>IF($I506="Phản ánh",INDEX('Phản ánh'!$C$6:$C$505,MATCH($C506,'Phản ánh'!$A$6:$A$505,0)),IF($I506="Công việc",INDEX('Kế hoạch'!$C$6:$C$305,$O506),""))</f>
      </c>
      <c r="K506" s="221">
        <f>IF($I506="Phản ánh",INDEX('Phản ánh'!$K$6:$K$505,MATCH($C506,'Phản ánh'!$A$6:$A$505,0))&amp;"",IF($I506="Công việc",INDEX('Kế hoạch'!$N$6:$N$305,$O506)&amp;"",""))</f>
      </c>
      <c r="L506" s="220">
        <f>IF(OR($C506="",N($B506)=0),"",IF(AND($I506="Phản ánh",$E506="Đã xử lý"),INDEX('Phản ánh'!$U$6:$U$505,MATCH($C506,'Phản ánh'!$A$6:$A$505,0)),IF(AND($I506="Công việc",OR($E506="Hoàn thành",$E506="Hoàn thành kỳ")),IF(INDEX('Kế hoạch'!$B$6:$B$305,$O506)="Đột xuất",INDEX('Kế hoạch'!$AY$6:$AY$305,$O506),IF(N($P506)=0,"",IF(INT($B506)&lt;$P506,$P506,IF($Q506&gt;0,$P506+ROUND((INT($B506)-$P506)/$Q506,0)*$Q506,IF($R506&gt;0,EDATE($P506,ROUND((DATEDIF($P506,INT($B506),"m")+(INT($B506)-EDATE($P506,DATEDIF($P506,INT($B506),"m")))/(EDATE($P506,DATEDIF($P506,INT($B506),"m")+1)-EDATE($P506,DATEDIF($P506,INT($B506),"m"))))/$R506,0)*$R506),$P506))))),"")))</f>
      </c>
      <c r="M506" s="223">
        <f>IF(OR($C506="",N($L506)=0,N($B506)=0),"",IF(IF(MOD($L506,1)=0,INT($B506),$B506)&lt;=$L506,"Đúng hạn","Trễ hạn"))</f>
      </c>
      <c r="N506" s="225">
        <f>IF($C506="","",ROW())</f>
      </c>
      <c r="O506" s="225">
        <f>IF($I506="Công việc",MATCH($C506,'Kế hoạch'!$A$6:$A$305,0),"")</f>
      </c>
      <c r="P506" s="234">
        <f>IF($O506="","",INDEX('Kế hoạch'!$I$6:$I$305,$O506))</f>
      </c>
      <c r="Q506" s="225">
        <f>IF($O506="","",INDEX('Kế hoạch'!$AJ$6:$AJ$305,$O506))</f>
      </c>
      <c r="R506" s="225">
        <f>IF($O506="","",INDEX('Kế hoạch'!$AK$6:$AK$305,$O506))</f>
      </c>
    </row>
    <row r="507">
      <c r="A507" s="223">
        <f>IF($C507="","",COUNTIF($C$6:$C507,"?*"))</f>
      </c>
      <c r="B507" s="217"/>
      <c r="C507" s="216"/>
      <c r="D507" s="240"/>
      <c r="E507" s="218"/>
      <c r="F507" s="218"/>
      <c r="G507" s="218"/>
      <c r="H507" s="219"/>
      <c r="I507" s="223">
        <f>IF($C507="","",IF(ISNUMBER(MATCH($C507,'Phản ánh'!$A$6:$A$505,0)),"Phản ánh",IF(ISNUMBER(MATCH($C507,'Kế hoạch'!$A$6:$A$305,0)),"Công việc","Mã chưa có")))</f>
      </c>
      <c r="J507" s="221">
        <f>IF($I507="Phản ánh",INDEX('Phản ánh'!$C$6:$C$505,MATCH($C507,'Phản ánh'!$A$6:$A$505,0)),IF($I507="Công việc",INDEX('Kế hoạch'!$C$6:$C$305,$O507),""))</f>
      </c>
      <c r="K507" s="221">
        <f>IF($I507="Phản ánh",INDEX('Phản ánh'!$K$6:$K$505,MATCH($C507,'Phản ánh'!$A$6:$A$505,0))&amp;"",IF($I507="Công việc",INDEX('Kế hoạch'!$N$6:$N$305,$O507)&amp;"",""))</f>
      </c>
      <c r="L507" s="220">
        <f>IF(OR($C507="",N($B507)=0),"",IF(AND($I507="Phản ánh",$E507="Đã xử lý"),INDEX('Phản ánh'!$U$6:$U$505,MATCH($C507,'Phản ánh'!$A$6:$A$505,0)),IF(AND($I507="Công việc",OR($E507="Hoàn thành",$E507="Hoàn thành kỳ")),IF(INDEX('Kế hoạch'!$B$6:$B$305,$O507)="Đột xuất",INDEX('Kế hoạch'!$AY$6:$AY$305,$O507),IF(N($P507)=0,"",IF(INT($B507)&lt;$P507,$P507,IF($Q507&gt;0,$P507+ROUND((INT($B507)-$P507)/$Q507,0)*$Q507,IF($R507&gt;0,EDATE($P507,ROUND((DATEDIF($P507,INT($B507),"m")+(INT($B507)-EDATE($P507,DATEDIF($P507,INT($B507),"m")))/(EDATE($P507,DATEDIF($P507,INT($B507),"m")+1)-EDATE($P507,DATEDIF($P507,INT($B507),"m"))))/$R507,0)*$R507),$P507))))),"")))</f>
      </c>
      <c r="M507" s="223">
        <f>IF(OR($C507="",N($L507)=0,N($B507)=0),"",IF(IF(MOD($L507,1)=0,INT($B507),$B507)&lt;=$L507,"Đúng hạn","Trễ hạn"))</f>
      </c>
      <c r="N507" s="225">
        <f>IF($C507="","",ROW())</f>
      </c>
      <c r="O507" s="225">
        <f>IF($I507="Công việc",MATCH($C507,'Kế hoạch'!$A$6:$A$305,0),"")</f>
      </c>
      <c r="P507" s="234">
        <f>IF($O507="","",INDEX('Kế hoạch'!$I$6:$I$305,$O507))</f>
      </c>
      <c r="Q507" s="225">
        <f>IF($O507="","",INDEX('Kế hoạch'!$AJ$6:$AJ$305,$O507))</f>
      </c>
      <c r="R507" s="225">
        <f>IF($O507="","",INDEX('Kế hoạch'!$AK$6:$AK$305,$O507))</f>
      </c>
    </row>
    <row r="508">
      <c r="A508" s="223">
        <f>IF($C508="","",COUNTIF($C$6:$C508,"?*"))</f>
      </c>
      <c r="B508" s="217"/>
      <c r="C508" s="216"/>
      <c r="D508" s="240"/>
      <c r="E508" s="218"/>
      <c r="F508" s="218"/>
      <c r="G508" s="218"/>
      <c r="H508" s="219"/>
      <c r="I508" s="223">
        <f>IF($C508="","",IF(ISNUMBER(MATCH($C508,'Phản ánh'!$A$6:$A$505,0)),"Phản ánh",IF(ISNUMBER(MATCH($C508,'Kế hoạch'!$A$6:$A$305,0)),"Công việc","Mã chưa có")))</f>
      </c>
      <c r="J508" s="221">
        <f>IF($I508="Phản ánh",INDEX('Phản ánh'!$C$6:$C$505,MATCH($C508,'Phản ánh'!$A$6:$A$505,0)),IF($I508="Công việc",INDEX('Kế hoạch'!$C$6:$C$305,$O508),""))</f>
      </c>
      <c r="K508" s="221">
        <f>IF($I508="Phản ánh",INDEX('Phản ánh'!$K$6:$K$505,MATCH($C508,'Phản ánh'!$A$6:$A$505,0))&amp;"",IF($I508="Công việc",INDEX('Kế hoạch'!$N$6:$N$305,$O508)&amp;"",""))</f>
      </c>
      <c r="L508" s="220">
        <f>IF(OR($C508="",N($B508)=0),"",IF(AND($I508="Phản ánh",$E508="Đã xử lý"),INDEX('Phản ánh'!$U$6:$U$505,MATCH($C508,'Phản ánh'!$A$6:$A$505,0)),IF(AND($I508="Công việc",OR($E508="Hoàn thành",$E508="Hoàn thành kỳ")),IF(INDEX('Kế hoạch'!$B$6:$B$305,$O508)="Đột xuất",INDEX('Kế hoạch'!$AY$6:$AY$305,$O508),IF(N($P508)=0,"",IF(INT($B508)&lt;$P508,$P508,IF($Q508&gt;0,$P508+ROUND((INT($B508)-$P508)/$Q508,0)*$Q508,IF($R508&gt;0,EDATE($P508,ROUND((DATEDIF($P508,INT($B508),"m")+(INT($B508)-EDATE($P508,DATEDIF($P508,INT($B508),"m")))/(EDATE($P508,DATEDIF($P508,INT($B508),"m")+1)-EDATE($P508,DATEDIF($P508,INT($B508),"m"))))/$R508,0)*$R508),$P508))))),"")))</f>
      </c>
      <c r="M508" s="223">
        <f>IF(OR($C508="",N($L508)=0,N($B508)=0),"",IF(IF(MOD($L508,1)=0,INT($B508),$B508)&lt;=$L508,"Đúng hạn","Trễ hạn"))</f>
      </c>
      <c r="N508" s="225">
        <f>IF($C508="","",ROW())</f>
      </c>
      <c r="O508" s="225">
        <f>IF($I508="Công việc",MATCH($C508,'Kế hoạch'!$A$6:$A$305,0),"")</f>
      </c>
      <c r="P508" s="234">
        <f>IF($O508="","",INDEX('Kế hoạch'!$I$6:$I$305,$O508))</f>
      </c>
      <c r="Q508" s="225">
        <f>IF($O508="","",INDEX('Kế hoạch'!$AJ$6:$AJ$305,$O508))</f>
      </c>
      <c r="R508" s="225">
        <f>IF($O508="","",INDEX('Kế hoạch'!$AK$6:$AK$305,$O508))</f>
      </c>
    </row>
    <row r="509">
      <c r="A509" s="223">
        <f>IF($C509="","",COUNTIF($C$6:$C509,"?*"))</f>
      </c>
      <c r="B509" s="217"/>
      <c r="C509" s="216"/>
      <c r="D509" s="240"/>
      <c r="E509" s="218"/>
      <c r="F509" s="218"/>
      <c r="G509" s="218"/>
      <c r="H509" s="219"/>
      <c r="I509" s="223">
        <f>IF($C509="","",IF(ISNUMBER(MATCH($C509,'Phản ánh'!$A$6:$A$505,0)),"Phản ánh",IF(ISNUMBER(MATCH($C509,'Kế hoạch'!$A$6:$A$305,0)),"Công việc","Mã chưa có")))</f>
      </c>
      <c r="J509" s="221">
        <f>IF($I509="Phản ánh",INDEX('Phản ánh'!$C$6:$C$505,MATCH($C509,'Phản ánh'!$A$6:$A$505,0)),IF($I509="Công việc",INDEX('Kế hoạch'!$C$6:$C$305,$O509),""))</f>
      </c>
      <c r="K509" s="221">
        <f>IF($I509="Phản ánh",INDEX('Phản ánh'!$K$6:$K$505,MATCH($C509,'Phản ánh'!$A$6:$A$505,0))&amp;"",IF($I509="Công việc",INDEX('Kế hoạch'!$N$6:$N$305,$O509)&amp;"",""))</f>
      </c>
      <c r="L509" s="220">
        <f>IF(OR($C509="",N($B509)=0),"",IF(AND($I509="Phản ánh",$E509="Đã xử lý"),INDEX('Phản ánh'!$U$6:$U$505,MATCH($C509,'Phản ánh'!$A$6:$A$505,0)),IF(AND($I509="Công việc",OR($E509="Hoàn thành",$E509="Hoàn thành kỳ")),IF(INDEX('Kế hoạch'!$B$6:$B$305,$O509)="Đột xuất",INDEX('Kế hoạch'!$AY$6:$AY$305,$O509),IF(N($P509)=0,"",IF(INT($B509)&lt;$P509,$P509,IF($Q509&gt;0,$P509+ROUND((INT($B509)-$P509)/$Q509,0)*$Q509,IF($R509&gt;0,EDATE($P509,ROUND((DATEDIF($P509,INT($B509),"m")+(INT($B509)-EDATE($P509,DATEDIF($P509,INT($B509),"m")))/(EDATE($P509,DATEDIF($P509,INT($B509),"m")+1)-EDATE($P509,DATEDIF($P509,INT($B509),"m"))))/$R509,0)*$R509),$P509))))),"")))</f>
      </c>
      <c r="M509" s="223">
        <f>IF(OR($C509="",N($L509)=0,N($B509)=0),"",IF(IF(MOD($L509,1)=0,INT($B509),$B509)&lt;=$L509,"Đúng hạn","Trễ hạn"))</f>
      </c>
      <c r="N509" s="225">
        <f>IF($C509="","",ROW())</f>
      </c>
      <c r="O509" s="225">
        <f>IF($I509="Công việc",MATCH($C509,'Kế hoạch'!$A$6:$A$305,0),"")</f>
      </c>
      <c r="P509" s="234">
        <f>IF($O509="","",INDEX('Kế hoạch'!$I$6:$I$305,$O509))</f>
      </c>
      <c r="Q509" s="225">
        <f>IF($O509="","",INDEX('Kế hoạch'!$AJ$6:$AJ$305,$O509))</f>
      </c>
      <c r="R509" s="225">
        <f>IF($O509="","",INDEX('Kế hoạch'!$AK$6:$AK$305,$O509))</f>
      </c>
    </row>
    <row r="510">
      <c r="A510" s="223">
        <f>IF($C510="","",COUNTIF($C$6:$C510,"?*"))</f>
      </c>
      <c r="B510" s="217"/>
      <c r="C510" s="216"/>
      <c r="D510" s="240"/>
      <c r="E510" s="218"/>
      <c r="F510" s="218"/>
      <c r="G510" s="218"/>
      <c r="H510" s="219"/>
      <c r="I510" s="223">
        <f>IF($C510="","",IF(ISNUMBER(MATCH($C510,'Phản ánh'!$A$6:$A$505,0)),"Phản ánh",IF(ISNUMBER(MATCH($C510,'Kế hoạch'!$A$6:$A$305,0)),"Công việc","Mã chưa có")))</f>
      </c>
      <c r="J510" s="221">
        <f>IF($I510="Phản ánh",INDEX('Phản ánh'!$C$6:$C$505,MATCH($C510,'Phản ánh'!$A$6:$A$505,0)),IF($I510="Công việc",INDEX('Kế hoạch'!$C$6:$C$305,$O510),""))</f>
      </c>
      <c r="K510" s="221">
        <f>IF($I510="Phản ánh",INDEX('Phản ánh'!$K$6:$K$505,MATCH($C510,'Phản ánh'!$A$6:$A$505,0))&amp;"",IF($I510="Công việc",INDEX('Kế hoạch'!$N$6:$N$305,$O510)&amp;"",""))</f>
      </c>
      <c r="L510" s="220">
        <f>IF(OR($C510="",N($B510)=0),"",IF(AND($I510="Phản ánh",$E510="Đã xử lý"),INDEX('Phản ánh'!$U$6:$U$505,MATCH($C510,'Phản ánh'!$A$6:$A$505,0)),IF(AND($I510="Công việc",OR($E510="Hoàn thành",$E510="Hoàn thành kỳ")),IF(INDEX('Kế hoạch'!$B$6:$B$305,$O510)="Đột xuất",INDEX('Kế hoạch'!$AY$6:$AY$305,$O510),IF(N($P510)=0,"",IF(INT($B510)&lt;$P510,$P510,IF($Q510&gt;0,$P510+ROUND((INT($B510)-$P510)/$Q510,0)*$Q510,IF($R510&gt;0,EDATE($P510,ROUND((DATEDIF($P510,INT($B510),"m")+(INT($B510)-EDATE($P510,DATEDIF($P510,INT($B510),"m")))/(EDATE($P510,DATEDIF($P510,INT($B510),"m")+1)-EDATE($P510,DATEDIF($P510,INT($B510),"m"))))/$R510,0)*$R510),$P510))))),"")))</f>
      </c>
      <c r="M510" s="223">
        <f>IF(OR($C510="",N($L510)=0,N($B510)=0),"",IF(IF(MOD($L510,1)=0,INT($B510),$B510)&lt;=$L510,"Đúng hạn","Trễ hạn"))</f>
      </c>
      <c r="N510" s="225">
        <f>IF($C510="","",ROW())</f>
      </c>
      <c r="O510" s="225">
        <f>IF($I510="Công việc",MATCH($C510,'Kế hoạch'!$A$6:$A$305,0),"")</f>
      </c>
      <c r="P510" s="234">
        <f>IF($O510="","",INDEX('Kế hoạch'!$I$6:$I$305,$O510))</f>
      </c>
      <c r="Q510" s="225">
        <f>IF($O510="","",INDEX('Kế hoạch'!$AJ$6:$AJ$305,$O510))</f>
      </c>
      <c r="R510" s="225">
        <f>IF($O510="","",INDEX('Kế hoạch'!$AK$6:$AK$305,$O510))</f>
      </c>
    </row>
    <row r="511">
      <c r="A511" s="223">
        <f>IF($C511="","",COUNTIF($C$6:$C511,"?*"))</f>
      </c>
      <c r="B511" s="217"/>
      <c r="C511" s="216"/>
      <c r="D511" s="240"/>
      <c r="E511" s="218"/>
      <c r="F511" s="218"/>
      <c r="G511" s="218"/>
      <c r="H511" s="219"/>
      <c r="I511" s="223">
        <f>IF($C511="","",IF(ISNUMBER(MATCH($C511,'Phản ánh'!$A$6:$A$505,0)),"Phản ánh",IF(ISNUMBER(MATCH($C511,'Kế hoạch'!$A$6:$A$305,0)),"Công việc","Mã chưa có")))</f>
      </c>
      <c r="J511" s="221">
        <f>IF($I511="Phản ánh",INDEX('Phản ánh'!$C$6:$C$505,MATCH($C511,'Phản ánh'!$A$6:$A$505,0)),IF($I511="Công việc",INDEX('Kế hoạch'!$C$6:$C$305,$O511),""))</f>
      </c>
      <c r="K511" s="221">
        <f>IF($I511="Phản ánh",INDEX('Phản ánh'!$K$6:$K$505,MATCH($C511,'Phản ánh'!$A$6:$A$505,0))&amp;"",IF($I511="Công việc",INDEX('Kế hoạch'!$N$6:$N$305,$O511)&amp;"",""))</f>
      </c>
      <c r="L511" s="220">
        <f>IF(OR($C511="",N($B511)=0),"",IF(AND($I511="Phản ánh",$E511="Đã xử lý"),INDEX('Phản ánh'!$U$6:$U$505,MATCH($C511,'Phản ánh'!$A$6:$A$505,0)),IF(AND($I511="Công việc",OR($E511="Hoàn thành",$E511="Hoàn thành kỳ")),IF(INDEX('Kế hoạch'!$B$6:$B$305,$O511)="Đột xuất",INDEX('Kế hoạch'!$AY$6:$AY$305,$O511),IF(N($P511)=0,"",IF(INT($B511)&lt;$P511,$P511,IF($Q511&gt;0,$P511+ROUND((INT($B511)-$P511)/$Q511,0)*$Q511,IF($R511&gt;0,EDATE($P511,ROUND((DATEDIF($P511,INT($B511),"m")+(INT($B511)-EDATE($P511,DATEDIF($P511,INT($B511),"m")))/(EDATE($P511,DATEDIF($P511,INT($B511),"m")+1)-EDATE($P511,DATEDIF($P511,INT($B511),"m"))))/$R511,0)*$R511),$P511))))),"")))</f>
      </c>
      <c r="M511" s="223">
        <f>IF(OR($C511="",N($L511)=0,N($B511)=0),"",IF(IF(MOD($L511,1)=0,INT($B511),$B511)&lt;=$L511,"Đúng hạn","Trễ hạn"))</f>
      </c>
      <c r="N511" s="225">
        <f>IF($C511="","",ROW())</f>
      </c>
      <c r="O511" s="225">
        <f>IF($I511="Công việc",MATCH($C511,'Kế hoạch'!$A$6:$A$305,0),"")</f>
      </c>
      <c r="P511" s="234">
        <f>IF($O511="","",INDEX('Kế hoạch'!$I$6:$I$305,$O511))</f>
      </c>
      <c r="Q511" s="225">
        <f>IF($O511="","",INDEX('Kế hoạch'!$AJ$6:$AJ$305,$O511))</f>
      </c>
      <c r="R511" s="225">
        <f>IF($O511="","",INDEX('Kế hoạch'!$AK$6:$AK$305,$O511))</f>
      </c>
    </row>
    <row r="512">
      <c r="A512" s="223">
        <f>IF($C512="","",COUNTIF($C$6:$C512,"?*"))</f>
      </c>
      <c r="B512" s="217"/>
      <c r="C512" s="216"/>
      <c r="D512" s="240"/>
      <c r="E512" s="218"/>
      <c r="F512" s="218"/>
      <c r="G512" s="218"/>
      <c r="H512" s="219"/>
      <c r="I512" s="223">
        <f>IF($C512="","",IF(ISNUMBER(MATCH($C512,'Phản ánh'!$A$6:$A$505,0)),"Phản ánh",IF(ISNUMBER(MATCH($C512,'Kế hoạch'!$A$6:$A$305,0)),"Công việc","Mã chưa có")))</f>
      </c>
      <c r="J512" s="221">
        <f>IF($I512="Phản ánh",INDEX('Phản ánh'!$C$6:$C$505,MATCH($C512,'Phản ánh'!$A$6:$A$505,0)),IF($I512="Công việc",INDEX('Kế hoạch'!$C$6:$C$305,$O512),""))</f>
      </c>
      <c r="K512" s="221">
        <f>IF($I512="Phản ánh",INDEX('Phản ánh'!$K$6:$K$505,MATCH($C512,'Phản ánh'!$A$6:$A$505,0))&amp;"",IF($I512="Công việc",INDEX('Kế hoạch'!$N$6:$N$305,$O512)&amp;"",""))</f>
      </c>
      <c r="L512" s="220">
        <f>IF(OR($C512="",N($B512)=0),"",IF(AND($I512="Phản ánh",$E512="Đã xử lý"),INDEX('Phản ánh'!$U$6:$U$505,MATCH($C512,'Phản ánh'!$A$6:$A$505,0)),IF(AND($I512="Công việc",OR($E512="Hoàn thành",$E512="Hoàn thành kỳ")),IF(INDEX('Kế hoạch'!$B$6:$B$305,$O512)="Đột xuất",INDEX('Kế hoạch'!$AY$6:$AY$305,$O512),IF(N($P512)=0,"",IF(INT($B512)&lt;$P512,$P512,IF($Q512&gt;0,$P512+ROUND((INT($B512)-$P512)/$Q512,0)*$Q512,IF($R512&gt;0,EDATE($P512,ROUND((DATEDIF($P512,INT($B512),"m")+(INT($B512)-EDATE($P512,DATEDIF($P512,INT($B512),"m")))/(EDATE($P512,DATEDIF($P512,INT($B512),"m")+1)-EDATE($P512,DATEDIF($P512,INT($B512),"m"))))/$R512,0)*$R512),$P512))))),"")))</f>
      </c>
      <c r="M512" s="223">
        <f>IF(OR($C512="",N($L512)=0,N($B512)=0),"",IF(IF(MOD($L512,1)=0,INT($B512),$B512)&lt;=$L512,"Đúng hạn","Trễ hạn"))</f>
      </c>
      <c r="N512" s="225">
        <f>IF($C512="","",ROW())</f>
      </c>
      <c r="O512" s="225">
        <f>IF($I512="Công việc",MATCH($C512,'Kế hoạch'!$A$6:$A$305,0),"")</f>
      </c>
      <c r="P512" s="234">
        <f>IF($O512="","",INDEX('Kế hoạch'!$I$6:$I$305,$O512))</f>
      </c>
      <c r="Q512" s="225">
        <f>IF($O512="","",INDEX('Kế hoạch'!$AJ$6:$AJ$305,$O512))</f>
      </c>
      <c r="R512" s="225">
        <f>IF($O512="","",INDEX('Kế hoạch'!$AK$6:$AK$305,$O512))</f>
      </c>
    </row>
    <row r="513">
      <c r="A513" s="223">
        <f>IF($C513="","",COUNTIF($C$6:$C513,"?*"))</f>
      </c>
      <c r="B513" s="217"/>
      <c r="C513" s="216"/>
      <c r="D513" s="240"/>
      <c r="E513" s="218"/>
      <c r="F513" s="218"/>
      <c r="G513" s="218"/>
      <c r="H513" s="219"/>
      <c r="I513" s="223">
        <f>IF($C513="","",IF(ISNUMBER(MATCH($C513,'Phản ánh'!$A$6:$A$505,0)),"Phản ánh",IF(ISNUMBER(MATCH($C513,'Kế hoạch'!$A$6:$A$305,0)),"Công việc","Mã chưa có")))</f>
      </c>
      <c r="J513" s="221">
        <f>IF($I513="Phản ánh",INDEX('Phản ánh'!$C$6:$C$505,MATCH($C513,'Phản ánh'!$A$6:$A$505,0)),IF($I513="Công việc",INDEX('Kế hoạch'!$C$6:$C$305,$O513),""))</f>
      </c>
      <c r="K513" s="221">
        <f>IF($I513="Phản ánh",INDEX('Phản ánh'!$K$6:$K$505,MATCH($C513,'Phản ánh'!$A$6:$A$505,0))&amp;"",IF($I513="Công việc",INDEX('Kế hoạch'!$N$6:$N$305,$O513)&amp;"",""))</f>
      </c>
      <c r="L513" s="220">
        <f>IF(OR($C513="",N($B513)=0),"",IF(AND($I513="Phản ánh",$E513="Đã xử lý"),INDEX('Phản ánh'!$U$6:$U$505,MATCH($C513,'Phản ánh'!$A$6:$A$505,0)),IF(AND($I513="Công việc",OR($E513="Hoàn thành",$E513="Hoàn thành kỳ")),IF(INDEX('Kế hoạch'!$B$6:$B$305,$O513)="Đột xuất",INDEX('Kế hoạch'!$AY$6:$AY$305,$O513),IF(N($P513)=0,"",IF(INT($B513)&lt;$P513,$P513,IF($Q513&gt;0,$P513+ROUND((INT($B513)-$P513)/$Q513,0)*$Q513,IF($R513&gt;0,EDATE($P513,ROUND((DATEDIF($P513,INT($B513),"m")+(INT($B513)-EDATE($P513,DATEDIF($P513,INT($B513),"m")))/(EDATE($P513,DATEDIF($P513,INT($B513),"m")+1)-EDATE($P513,DATEDIF($P513,INT($B513),"m"))))/$R513,0)*$R513),$P513))))),"")))</f>
      </c>
      <c r="M513" s="223">
        <f>IF(OR($C513="",N($L513)=0,N($B513)=0),"",IF(IF(MOD($L513,1)=0,INT($B513),$B513)&lt;=$L513,"Đúng hạn","Trễ hạn"))</f>
      </c>
      <c r="N513" s="225">
        <f>IF($C513="","",ROW())</f>
      </c>
      <c r="O513" s="225">
        <f>IF($I513="Công việc",MATCH($C513,'Kế hoạch'!$A$6:$A$305,0),"")</f>
      </c>
      <c r="P513" s="234">
        <f>IF($O513="","",INDEX('Kế hoạch'!$I$6:$I$305,$O513))</f>
      </c>
      <c r="Q513" s="225">
        <f>IF($O513="","",INDEX('Kế hoạch'!$AJ$6:$AJ$305,$O513))</f>
      </c>
      <c r="R513" s="225">
        <f>IF($O513="","",INDEX('Kế hoạch'!$AK$6:$AK$305,$O513))</f>
      </c>
    </row>
    <row r="514">
      <c r="A514" s="223">
        <f>IF($C514="","",COUNTIF($C$6:$C514,"?*"))</f>
      </c>
      <c r="B514" s="217"/>
      <c r="C514" s="216"/>
      <c r="D514" s="240"/>
      <c r="E514" s="218"/>
      <c r="F514" s="218"/>
      <c r="G514" s="218"/>
      <c r="H514" s="219"/>
      <c r="I514" s="223">
        <f>IF($C514="","",IF(ISNUMBER(MATCH($C514,'Phản ánh'!$A$6:$A$505,0)),"Phản ánh",IF(ISNUMBER(MATCH($C514,'Kế hoạch'!$A$6:$A$305,0)),"Công việc","Mã chưa có")))</f>
      </c>
      <c r="J514" s="221">
        <f>IF($I514="Phản ánh",INDEX('Phản ánh'!$C$6:$C$505,MATCH($C514,'Phản ánh'!$A$6:$A$505,0)),IF($I514="Công việc",INDEX('Kế hoạch'!$C$6:$C$305,$O514),""))</f>
      </c>
      <c r="K514" s="221">
        <f>IF($I514="Phản ánh",INDEX('Phản ánh'!$K$6:$K$505,MATCH($C514,'Phản ánh'!$A$6:$A$505,0))&amp;"",IF($I514="Công việc",INDEX('Kế hoạch'!$N$6:$N$305,$O514)&amp;"",""))</f>
      </c>
      <c r="L514" s="220">
        <f>IF(OR($C514="",N($B514)=0),"",IF(AND($I514="Phản ánh",$E514="Đã xử lý"),INDEX('Phản ánh'!$U$6:$U$505,MATCH($C514,'Phản ánh'!$A$6:$A$505,0)),IF(AND($I514="Công việc",OR($E514="Hoàn thành",$E514="Hoàn thành kỳ")),IF(INDEX('Kế hoạch'!$B$6:$B$305,$O514)="Đột xuất",INDEX('Kế hoạch'!$AY$6:$AY$305,$O514),IF(N($P514)=0,"",IF(INT($B514)&lt;$P514,$P514,IF($Q514&gt;0,$P514+ROUND((INT($B514)-$P514)/$Q514,0)*$Q514,IF($R514&gt;0,EDATE($P514,ROUND((DATEDIF($P514,INT($B514),"m")+(INT($B514)-EDATE($P514,DATEDIF($P514,INT($B514),"m")))/(EDATE($P514,DATEDIF($P514,INT($B514),"m")+1)-EDATE($P514,DATEDIF($P514,INT($B514),"m"))))/$R514,0)*$R514),$P514))))),"")))</f>
      </c>
      <c r="M514" s="223">
        <f>IF(OR($C514="",N($L514)=0,N($B514)=0),"",IF(IF(MOD($L514,1)=0,INT($B514),$B514)&lt;=$L514,"Đúng hạn","Trễ hạn"))</f>
      </c>
      <c r="N514" s="225">
        <f>IF($C514="","",ROW())</f>
      </c>
      <c r="O514" s="225">
        <f>IF($I514="Công việc",MATCH($C514,'Kế hoạch'!$A$6:$A$305,0),"")</f>
      </c>
      <c r="P514" s="234">
        <f>IF($O514="","",INDEX('Kế hoạch'!$I$6:$I$305,$O514))</f>
      </c>
      <c r="Q514" s="225">
        <f>IF($O514="","",INDEX('Kế hoạch'!$AJ$6:$AJ$305,$O514))</f>
      </c>
      <c r="R514" s="225">
        <f>IF($O514="","",INDEX('Kế hoạch'!$AK$6:$AK$305,$O514))</f>
      </c>
    </row>
    <row r="515">
      <c r="A515" s="223">
        <f>IF($C515="","",COUNTIF($C$6:$C515,"?*"))</f>
      </c>
      <c r="B515" s="217"/>
      <c r="C515" s="216"/>
      <c r="D515" s="240"/>
      <c r="E515" s="218"/>
      <c r="F515" s="218"/>
      <c r="G515" s="218"/>
      <c r="H515" s="219"/>
      <c r="I515" s="223">
        <f>IF($C515="","",IF(ISNUMBER(MATCH($C515,'Phản ánh'!$A$6:$A$505,0)),"Phản ánh",IF(ISNUMBER(MATCH($C515,'Kế hoạch'!$A$6:$A$305,0)),"Công việc","Mã chưa có")))</f>
      </c>
      <c r="J515" s="221">
        <f>IF($I515="Phản ánh",INDEX('Phản ánh'!$C$6:$C$505,MATCH($C515,'Phản ánh'!$A$6:$A$505,0)),IF($I515="Công việc",INDEX('Kế hoạch'!$C$6:$C$305,$O515),""))</f>
      </c>
      <c r="K515" s="221">
        <f>IF($I515="Phản ánh",INDEX('Phản ánh'!$K$6:$K$505,MATCH($C515,'Phản ánh'!$A$6:$A$505,0))&amp;"",IF($I515="Công việc",INDEX('Kế hoạch'!$N$6:$N$305,$O515)&amp;"",""))</f>
      </c>
      <c r="L515" s="220">
        <f>IF(OR($C515="",N($B515)=0),"",IF(AND($I515="Phản ánh",$E515="Đã xử lý"),INDEX('Phản ánh'!$U$6:$U$505,MATCH($C515,'Phản ánh'!$A$6:$A$505,0)),IF(AND($I515="Công việc",OR($E515="Hoàn thành",$E515="Hoàn thành kỳ")),IF(INDEX('Kế hoạch'!$B$6:$B$305,$O515)="Đột xuất",INDEX('Kế hoạch'!$AY$6:$AY$305,$O515),IF(N($P515)=0,"",IF(INT($B515)&lt;$P515,$P515,IF($Q515&gt;0,$P515+ROUND((INT($B515)-$P515)/$Q515,0)*$Q515,IF($R515&gt;0,EDATE($P515,ROUND((DATEDIF($P515,INT($B515),"m")+(INT($B515)-EDATE($P515,DATEDIF($P515,INT($B515),"m")))/(EDATE($P515,DATEDIF($P515,INT($B515),"m")+1)-EDATE($P515,DATEDIF($P515,INT($B515),"m"))))/$R515,0)*$R515),$P515))))),"")))</f>
      </c>
      <c r="M515" s="223">
        <f>IF(OR($C515="",N($L515)=0,N($B515)=0),"",IF(IF(MOD($L515,1)=0,INT($B515),$B515)&lt;=$L515,"Đúng hạn","Trễ hạn"))</f>
      </c>
      <c r="N515" s="225">
        <f>IF($C515="","",ROW())</f>
      </c>
      <c r="O515" s="225">
        <f>IF($I515="Công việc",MATCH($C515,'Kế hoạch'!$A$6:$A$305,0),"")</f>
      </c>
      <c r="P515" s="234">
        <f>IF($O515="","",INDEX('Kế hoạch'!$I$6:$I$305,$O515))</f>
      </c>
      <c r="Q515" s="225">
        <f>IF($O515="","",INDEX('Kế hoạch'!$AJ$6:$AJ$305,$O515))</f>
      </c>
      <c r="R515" s="225">
        <f>IF($O515="","",INDEX('Kế hoạch'!$AK$6:$AK$305,$O515))</f>
      </c>
    </row>
    <row r="516">
      <c r="A516" s="223">
        <f>IF($C516="","",COUNTIF($C$6:$C516,"?*"))</f>
      </c>
      <c r="B516" s="217"/>
      <c r="C516" s="216"/>
      <c r="D516" s="240"/>
      <c r="E516" s="218"/>
      <c r="F516" s="218"/>
      <c r="G516" s="218"/>
      <c r="H516" s="219"/>
      <c r="I516" s="223">
        <f>IF($C516="","",IF(ISNUMBER(MATCH($C516,'Phản ánh'!$A$6:$A$505,0)),"Phản ánh",IF(ISNUMBER(MATCH($C516,'Kế hoạch'!$A$6:$A$305,0)),"Công việc","Mã chưa có")))</f>
      </c>
      <c r="J516" s="221">
        <f>IF($I516="Phản ánh",INDEX('Phản ánh'!$C$6:$C$505,MATCH($C516,'Phản ánh'!$A$6:$A$505,0)),IF($I516="Công việc",INDEX('Kế hoạch'!$C$6:$C$305,$O516),""))</f>
      </c>
      <c r="K516" s="221">
        <f>IF($I516="Phản ánh",INDEX('Phản ánh'!$K$6:$K$505,MATCH($C516,'Phản ánh'!$A$6:$A$505,0))&amp;"",IF($I516="Công việc",INDEX('Kế hoạch'!$N$6:$N$305,$O516)&amp;"",""))</f>
      </c>
      <c r="L516" s="220">
        <f>IF(OR($C516="",N($B516)=0),"",IF(AND($I516="Phản ánh",$E516="Đã xử lý"),INDEX('Phản ánh'!$U$6:$U$505,MATCH($C516,'Phản ánh'!$A$6:$A$505,0)),IF(AND($I516="Công việc",OR($E516="Hoàn thành",$E516="Hoàn thành kỳ")),IF(INDEX('Kế hoạch'!$B$6:$B$305,$O516)="Đột xuất",INDEX('Kế hoạch'!$AY$6:$AY$305,$O516),IF(N($P516)=0,"",IF(INT($B516)&lt;$P516,$P516,IF($Q516&gt;0,$P516+ROUND((INT($B516)-$P516)/$Q516,0)*$Q516,IF($R516&gt;0,EDATE($P516,ROUND((DATEDIF($P516,INT($B516),"m")+(INT($B516)-EDATE($P516,DATEDIF($P516,INT($B516),"m")))/(EDATE($P516,DATEDIF($P516,INT($B516),"m")+1)-EDATE($P516,DATEDIF($P516,INT($B516),"m"))))/$R516,0)*$R516),$P516))))),"")))</f>
      </c>
      <c r="M516" s="223">
        <f>IF(OR($C516="",N($L516)=0,N($B516)=0),"",IF(IF(MOD($L516,1)=0,INT($B516),$B516)&lt;=$L516,"Đúng hạn","Trễ hạn"))</f>
      </c>
      <c r="N516" s="225">
        <f>IF($C516="","",ROW())</f>
      </c>
      <c r="O516" s="225">
        <f>IF($I516="Công việc",MATCH($C516,'Kế hoạch'!$A$6:$A$305,0),"")</f>
      </c>
      <c r="P516" s="234">
        <f>IF($O516="","",INDEX('Kế hoạch'!$I$6:$I$305,$O516))</f>
      </c>
      <c r="Q516" s="225">
        <f>IF($O516="","",INDEX('Kế hoạch'!$AJ$6:$AJ$305,$O516))</f>
      </c>
      <c r="R516" s="225">
        <f>IF($O516="","",INDEX('Kế hoạch'!$AK$6:$AK$305,$O516))</f>
      </c>
    </row>
    <row r="517">
      <c r="A517" s="223">
        <f>IF($C517="","",COUNTIF($C$6:$C517,"?*"))</f>
      </c>
      <c r="B517" s="217"/>
      <c r="C517" s="216"/>
      <c r="D517" s="240"/>
      <c r="E517" s="218"/>
      <c r="F517" s="218"/>
      <c r="G517" s="218"/>
      <c r="H517" s="219"/>
      <c r="I517" s="223">
        <f>IF($C517="","",IF(ISNUMBER(MATCH($C517,'Phản ánh'!$A$6:$A$505,0)),"Phản ánh",IF(ISNUMBER(MATCH($C517,'Kế hoạch'!$A$6:$A$305,0)),"Công việc","Mã chưa có")))</f>
      </c>
      <c r="J517" s="221">
        <f>IF($I517="Phản ánh",INDEX('Phản ánh'!$C$6:$C$505,MATCH($C517,'Phản ánh'!$A$6:$A$505,0)),IF($I517="Công việc",INDEX('Kế hoạch'!$C$6:$C$305,$O517),""))</f>
      </c>
      <c r="K517" s="221">
        <f>IF($I517="Phản ánh",INDEX('Phản ánh'!$K$6:$K$505,MATCH($C517,'Phản ánh'!$A$6:$A$505,0))&amp;"",IF($I517="Công việc",INDEX('Kế hoạch'!$N$6:$N$305,$O517)&amp;"",""))</f>
      </c>
      <c r="L517" s="220">
        <f>IF(OR($C517="",N($B517)=0),"",IF(AND($I517="Phản ánh",$E517="Đã xử lý"),INDEX('Phản ánh'!$U$6:$U$505,MATCH($C517,'Phản ánh'!$A$6:$A$505,0)),IF(AND($I517="Công việc",OR($E517="Hoàn thành",$E517="Hoàn thành kỳ")),IF(INDEX('Kế hoạch'!$B$6:$B$305,$O517)="Đột xuất",INDEX('Kế hoạch'!$AY$6:$AY$305,$O517),IF(N($P517)=0,"",IF(INT($B517)&lt;$P517,$P517,IF($Q517&gt;0,$P517+ROUND((INT($B517)-$P517)/$Q517,0)*$Q517,IF($R517&gt;0,EDATE($P517,ROUND((DATEDIF($P517,INT($B517),"m")+(INT($B517)-EDATE($P517,DATEDIF($P517,INT($B517),"m")))/(EDATE($P517,DATEDIF($P517,INT($B517),"m")+1)-EDATE($P517,DATEDIF($P517,INT($B517),"m"))))/$R517,0)*$R517),$P517))))),"")))</f>
      </c>
      <c r="M517" s="223">
        <f>IF(OR($C517="",N($L517)=0,N($B517)=0),"",IF(IF(MOD($L517,1)=0,INT($B517),$B517)&lt;=$L517,"Đúng hạn","Trễ hạn"))</f>
      </c>
      <c r="N517" s="225">
        <f>IF($C517="","",ROW())</f>
      </c>
      <c r="O517" s="225">
        <f>IF($I517="Công việc",MATCH($C517,'Kế hoạch'!$A$6:$A$305,0),"")</f>
      </c>
      <c r="P517" s="234">
        <f>IF($O517="","",INDEX('Kế hoạch'!$I$6:$I$305,$O517))</f>
      </c>
      <c r="Q517" s="225">
        <f>IF($O517="","",INDEX('Kế hoạch'!$AJ$6:$AJ$305,$O517))</f>
      </c>
      <c r="R517" s="225">
        <f>IF($O517="","",INDEX('Kế hoạch'!$AK$6:$AK$305,$O517))</f>
      </c>
    </row>
    <row r="518">
      <c r="A518" s="223">
        <f>IF($C518="","",COUNTIF($C$6:$C518,"?*"))</f>
      </c>
      <c r="B518" s="217"/>
      <c r="C518" s="216"/>
      <c r="D518" s="240"/>
      <c r="E518" s="218"/>
      <c r="F518" s="218"/>
      <c r="G518" s="218"/>
      <c r="H518" s="219"/>
      <c r="I518" s="223">
        <f>IF($C518="","",IF(ISNUMBER(MATCH($C518,'Phản ánh'!$A$6:$A$505,0)),"Phản ánh",IF(ISNUMBER(MATCH($C518,'Kế hoạch'!$A$6:$A$305,0)),"Công việc","Mã chưa có")))</f>
      </c>
      <c r="J518" s="221">
        <f>IF($I518="Phản ánh",INDEX('Phản ánh'!$C$6:$C$505,MATCH($C518,'Phản ánh'!$A$6:$A$505,0)),IF($I518="Công việc",INDEX('Kế hoạch'!$C$6:$C$305,$O518),""))</f>
      </c>
      <c r="K518" s="221">
        <f>IF($I518="Phản ánh",INDEX('Phản ánh'!$K$6:$K$505,MATCH($C518,'Phản ánh'!$A$6:$A$505,0))&amp;"",IF($I518="Công việc",INDEX('Kế hoạch'!$N$6:$N$305,$O518)&amp;"",""))</f>
      </c>
      <c r="L518" s="220">
        <f>IF(OR($C518="",N($B518)=0),"",IF(AND($I518="Phản ánh",$E518="Đã xử lý"),INDEX('Phản ánh'!$U$6:$U$505,MATCH($C518,'Phản ánh'!$A$6:$A$505,0)),IF(AND($I518="Công việc",OR($E518="Hoàn thành",$E518="Hoàn thành kỳ")),IF(INDEX('Kế hoạch'!$B$6:$B$305,$O518)="Đột xuất",INDEX('Kế hoạch'!$AY$6:$AY$305,$O518),IF(N($P518)=0,"",IF(INT($B518)&lt;$P518,$P518,IF($Q518&gt;0,$P518+ROUND((INT($B518)-$P518)/$Q518,0)*$Q518,IF($R518&gt;0,EDATE($P518,ROUND((DATEDIF($P518,INT($B518),"m")+(INT($B518)-EDATE($P518,DATEDIF($P518,INT($B518),"m")))/(EDATE($P518,DATEDIF($P518,INT($B518),"m")+1)-EDATE($P518,DATEDIF($P518,INT($B518),"m"))))/$R518,0)*$R518),$P518))))),"")))</f>
      </c>
      <c r="M518" s="223">
        <f>IF(OR($C518="",N($L518)=0,N($B518)=0),"",IF(IF(MOD($L518,1)=0,INT($B518),$B518)&lt;=$L518,"Đúng hạn","Trễ hạn"))</f>
      </c>
      <c r="N518" s="225">
        <f>IF($C518="","",ROW())</f>
      </c>
      <c r="O518" s="225">
        <f>IF($I518="Công việc",MATCH($C518,'Kế hoạch'!$A$6:$A$305,0),"")</f>
      </c>
      <c r="P518" s="234">
        <f>IF($O518="","",INDEX('Kế hoạch'!$I$6:$I$305,$O518))</f>
      </c>
      <c r="Q518" s="225">
        <f>IF($O518="","",INDEX('Kế hoạch'!$AJ$6:$AJ$305,$O518))</f>
      </c>
      <c r="R518" s="225">
        <f>IF($O518="","",INDEX('Kế hoạch'!$AK$6:$AK$305,$O518))</f>
      </c>
    </row>
    <row r="519">
      <c r="A519" s="223">
        <f>IF($C519="","",COUNTIF($C$6:$C519,"?*"))</f>
      </c>
      <c r="B519" s="217"/>
      <c r="C519" s="216"/>
      <c r="D519" s="240"/>
      <c r="E519" s="218"/>
      <c r="F519" s="218"/>
      <c r="G519" s="218"/>
      <c r="H519" s="219"/>
      <c r="I519" s="223">
        <f>IF($C519="","",IF(ISNUMBER(MATCH($C519,'Phản ánh'!$A$6:$A$505,0)),"Phản ánh",IF(ISNUMBER(MATCH($C519,'Kế hoạch'!$A$6:$A$305,0)),"Công việc","Mã chưa có")))</f>
      </c>
      <c r="J519" s="221">
        <f>IF($I519="Phản ánh",INDEX('Phản ánh'!$C$6:$C$505,MATCH($C519,'Phản ánh'!$A$6:$A$505,0)),IF($I519="Công việc",INDEX('Kế hoạch'!$C$6:$C$305,$O519),""))</f>
      </c>
      <c r="K519" s="221">
        <f>IF($I519="Phản ánh",INDEX('Phản ánh'!$K$6:$K$505,MATCH($C519,'Phản ánh'!$A$6:$A$505,0))&amp;"",IF($I519="Công việc",INDEX('Kế hoạch'!$N$6:$N$305,$O519)&amp;"",""))</f>
      </c>
      <c r="L519" s="220">
        <f>IF(OR($C519="",N($B519)=0),"",IF(AND($I519="Phản ánh",$E519="Đã xử lý"),INDEX('Phản ánh'!$U$6:$U$505,MATCH($C519,'Phản ánh'!$A$6:$A$505,0)),IF(AND($I519="Công việc",OR($E519="Hoàn thành",$E519="Hoàn thành kỳ")),IF(INDEX('Kế hoạch'!$B$6:$B$305,$O519)="Đột xuất",INDEX('Kế hoạch'!$AY$6:$AY$305,$O519),IF(N($P519)=0,"",IF(INT($B519)&lt;$P519,$P519,IF($Q519&gt;0,$P519+ROUND((INT($B519)-$P519)/$Q519,0)*$Q519,IF($R519&gt;0,EDATE($P519,ROUND((DATEDIF($P519,INT($B519),"m")+(INT($B519)-EDATE($P519,DATEDIF($P519,INT($B519),"m")))/(EDATE($P519,DATEDIF($P519,INT($B519),"m")+1)-EDATE($P519,DATEDIF($P519,INT($B519),"m"))))/$R519,0)*$R519),$P519))))),"")))</f>
      </c>
      <c r="M519" s="223">
        <f>IF(OR($C519="",N($L519)=0,N($B519)=0),"",IF(IF(MOD($L519,1)=0,INT($B519),$B519)&lt;=$L519,"Đúng hạn","Trễ hạn"))</f>
      </c>
      <c r="N519" s="225">
        <f>IF($C519="","",ROW())</f>
      </c>
      <c r="O519" s="225">
        <f>IF($I519="Công việc",MATCH($C519,'Kế hoạch'!$A$6:$A$305,0),"")</f>
      </c>
      <c r="P519" s="234">
        <f>IF($O519="","",INDEX('Kế hoạch'!$I$6:$I$305,$O519))</f>
      </c>
      <c r="Q519" s="225">
        <f>IF($O519="","",INDEX('Kế hoạch'!$AJ$6:$AJ$305,$O519))</f>
      </c>
      <c r="R519" s="225">
        <f>IF($O519="","",INDEX('Kế hoạch'!$AK$6:$AK$305,$O519))</f>
      </c>
    </row>
    <row r="520">
      <c r="A520" s="223">
        <f>IF($C520="","",COUNTIF($C$6:$C520,"?*"))</f>
      </c>
      <c r="B520" s="217"/>
      <c r="C520" s="216"/>
      <c r="D520" s="240"/>
      <c r="E520" s="218"/>
      <c r="F520" s="218"/>
      <c r="G520" s="218"/>
      <c r="H520" s="219"/>
      <c r="I520" s="223">
        <f>IF($C520="","",IF(ISNUMBER(MATCH($C520,'Phản ánh'!$A$6:$A$505,0)),"Phản ánh",IF(ISNUMBER(MATCH($C520,'Kế hoạch'!$A$6:$A$305,0)),"Công việc","Mã chưa có")))</f>
      </c>
      <c r="J520" s="221">
        <f>IF($I520="Phản ánh",INDEX('Phản ánh'!$C$6:$C$505,MATCH($C520,'Phản ánh'!$A$6:$A$505,0)),IF($I520="Công việc",INDEX('Kế hoạch'!$C$6:$C$305,$O520),""))</f>
      </c>
      <c r="K520" s="221">
        <f>IF($I520="Phản ánh",INDEX('Phản ánh'!$K$6:$K$505,MATCH($C520,'Phản ánh'!$A$6:$A$505,0))&amp;"",IF($I520="Công việc",INDEX('Kế hoạch'!$N$6:$N$305,$O520)&amp;"",""))</f>
      </c>
      <c r="L520" s="220">
        <f>IF(OR($C520="",N($B520)=0),"",IF(AND($I520="Phản ánh",$E520="Đã xử lý"),INDEX('Phản ánh'!$U$6:$U$505,MATCH($C520,'Phản ánh'!$A$6:$A$505,0)),IF(AND($I520="Công việc",OR($E520="Hoàn thành",$E520="Hoàn thành kỳ")),IF(INDEX('Kế hoạch'!$B$6:$B$305,$O520)="Đột xuất",INDEX('Kế hoạch'!$AY$6:$AY$305,$O520),IF(N($P520)=0,"",IF(INT($B520)&lt;$P520,$P520,IF($Q520&gt;0,$P520+ROUND((INT($B520)-$P520)/$Q520,0)*$Q520,IF($R520&gt;0,EDATE($P520,ROUND((DATEDIF($P520,INT($B520),"m")+(INT($B520)-EDATE($P520,DATEDIF($P520,INT($B520),"m")))/(EDATE($P520,DATEDIF($P520,INT($B520),"m")+1)-EDATE($P520,DATEDIF($P520,INT($B520),"m"))))/$R520,0)*$R520),$P520))))),"")))</f>
      </c>
      <c r="M520" s="223">
        <f>IF(OR($C520="",N($L520)=0,N($B520)=0),"",IF(IF(MOD($L520,1)=0,INT($B520),$B520)&lt;=$L520,"Đúng hạn","Trễ hạn"))</f>
      </c>
      <c r="N520" s="225">
        <f>IF($C520="","",ROW())</f>
      </c>
      <c r="O520" s="225">
        <f>IF($I520="Công việc",MATCH($C520,'Kế hoạch'!$A$6:$A$305,0),"")</f>
      </c>
      <c r="P520" s="234">
        <f>IF($O520="","",INDEX('Kế hoạch'!$I$6:$I$305,$O520))</f>
      </c>
      <c r="Q520" s="225">
        <f>IF($O520="","",INDEX('Kế hoạch'!$AJ$6:$AJ$305,$O520))</f>
      </c>
      <c r="R520" s="225">
        <f>IF($O520="","",INDEX('Kế hoạch'!$AK$6:$AK$305,$O520))</f>
      </c>
    </row>
    <row r="521">
      <c r="A521" s="223">
        <f>IF($C521="","",COUNTIF($C$6:$C521,"?*"))</f>
      </c>
      <c r="B521" s="217"/>
      <c r="C521" s="216"/>
      <c r="D521" s="240"/>
      <c r="E521" s="218"/>
      <c r="F521" s="218"/>
      <c r="G521" s="218"/>
      <c r="H521" s="219"/>
      <c r="I521" s="223">
        <f>IF($C521="","",IF(ISNUMBER(MATCH($C521,'Phản ánh'!$A$6:$A$505,0)),"Phản ánh",IF(ISNUMBER(MATCH($C521,'Kế hoạch'!$A$6:$A$305,0)),"Công việc","Mã chưa có")))</f>
      </c>
      <c r="J521" s="221">
        <f>IF($I521="Phản ánh",INDEX('Phản ánh'!$C$6:$C$505,MATCH($C521,'Phản ánh'!$A$6:$A$505,0)),IF($I521="Công việc",INDEX('Kế hoạch'!$C$6:$C$305,$O521),""))</f>
      </c>
      <c r="K521" s="221">
        <f>IF($I521="Phản ánh",INDEX('Phản ánh'!$K$6:$K$505,MATCH($C521,'Phản ánh'!$A$6:$A$505,0))&amp;"",IF($I521="Công việc",INDEX('Kế hoạch'!$N$6:$N$305,$O521)&amp;"",""))</f>
      </c>
      <c r="L521" s="220">
        <f>IF(OR($C521="",N($B521)=0),"",IF(AND($I521="Phản ánh",$E521="Đã xử lý"),INDEX('Phản ánh'!$U$6:$U$505,MATCH($C521,'Phản ánh'!$A$6:$A$505,0)),IF(AND($I521="Công việc",OR($E521="Hoàn thành",$E521="Hoàn thành kỳ")),IF(INDEX('Kế hoạch'!$B$6:$B$305,$O521)="Đột xuất",INDEX('Kế hoạch'!$AY$6:$AY$305,$O521),IF(N($P521)=0,"",IF(INT($B521)&lt;$P521,$P521,IF($Q521&gt;0,$P521+ROUND((INT($B521)-$P521)/$Q521,0)*$Q521,IF($R521&gt;0,EDATE($P521,ROUND((DATEDIF($P521,INT($B521),"m")+(INT($B521)-EDATE($P521,DATEDIF($P521,INT($B521),"m")))/(EDATE($P521,DATEDIF($P521,INT($B521),"m")+1)-EDATE($P521,DATEDIF($P521,INT($B521),"m"))))/$R521,0)*$R521),$P521))))),"")))</f>
      </c>
      <c r="M521" s="223">
        <f>IF(OR($C521="",N($L521)=0,N($B521)=0),"",IF(IF(MOD($L521,1)=0,INT($B521),$B521)&lt;=$L521,"Đúng hạn","Trễ hạn"))</f>
      </c>
      <c r="N521" s="225">
        <f>IF($C521="","",ROW())</f>
      </c>
      <c r="O521" s="225">
        <f>IF($I521="Công việc",MATCH($C521,'Kế hoạch'!$A$6:$A$305,0),"")</f>
      </c>
      <c r="P521" s="234">
        <f>IF($O521="","",INDEX('Kế hoạch'!$I$6:$I$305,$O521))</f>
      </c>
      <c r="Q521" s="225">
        <f>IF($O521="","",INDEX('Kế hoạch'!$AJ$6:$AJ$305,$O521))</f>
      </c>
      <c r="R521" s="225">
        <f>IF($O521="","",INDEX('Kế hoạch'!$AK$6:$AK$305,$O521))</f>
      </c>
    </row>
    <row r="522">
      <c r="A522" s="223">
        <f>IF($C522="","",COUNTIF($C$6:$C522,"?*"))</f>
      </c>
      <c r="B522" s="217"/>
      <c r="C522" s="216"/>
      <c r="D522" s="240"/>
      <c r="E522" s="218"/>
      <c r="F522" s="218"/>
      <c r="G522" s="218"/>
      <c r="H522" s="219"/>
      <c r="I522" s="223">
        <f>IF($C522="","",IF(ISNUMBER(MATCH($C522,'Phản ánh'!$A$6:$A$505,0)),"Phản ánh",IF(ISNUMBER(MATCH($C522,'Kế hoạch'!$A$6:$A$305,0)),"Công việc","Mã chưa có")))</f>
      </c>
      <c r="J522" s="221">
        <f>IF($I522="Phản ánh",INDEX('Phản ánh'!$C$6:$C$505,MATCH($C522,'Phản ánh'!$A$6:$A$505,0)),IF($I522="Công việc",INDEX('Kế hoạch'!$C$6:$C$305,$O522),""))</f>
      </c>
      <c r="K522" s="221">
        <f>IF($I522="Phản ánh",INDEX('Phản ánh'!$K$6:$K$505,MATCH($C522,'Phản ánh'!$A$6:$A$505,0))&amp;"",IF($I522="Công việc",INDEX('Kế hoạch'!$N$6:$N$305,$O522)&amp;"",""))</f>
      </c>
      <c r="L522" s="220">
        <f>IF(OR($C522="",N($B522)=0),"",IF(AND($I522="Phản ánh",$E522="Đã xử lý"),INDEX('Phản ánh'!$U$6:$U$505,MATCH($C522,'Phản ánh'!$A$6:$A$505,0)),IF(AND($I522="Công việc",OR($E522="Hoàn thành",$E522="Hoàn thành kỳ")),IF(INDEX('Kế hoạch'!$B$6:$B$305,$O522)="Đột xuất",INDEX('Kế hoạch'!$AY$6:$AY$305,$O522),IF(N($P522)=0,"",IF(INT($B522)&lt;$P522,$P522,IF($Q522&gt;0,$P522+ROUND((INT($B522)-$P522)/$Q522,0)*$Q522,IF($R522&gt;0,EDATE($P522,ROUND((DATEDIF($P522,INT($B522),"m")+(INT($B522)-EDATE($P522,DATEDIF($P522,INT($B522),"m")))/(EDATE($P522,DATEDIF($P522,INT($B522),"m")+1)-EDATE($P522,DATEDIF($P522,INT($B522),"m"))))/$R522,0)*$R522),$P522))))),"")))</f>
      </c>
      <c r="M522" s="223">
        <f>IF(OR($C522="",N($L522)=0,N($B522)=0),"",IF(IF(MOD($L522,1)=0,INT($B522),$B522)&lt;=$L522,"Đúng hạn","Trễ hạn"))</f>
      </c>
      <c r="N522" s="225">
        <f>IF($C522="","",ROW())</f>
      </c>
      <c r="O522" s="225">
        <f>IF($I522="Công việc",MATCH($C522,'Kế hoạch'!$A$6:$A$305,0),"")</f>
      </c>
      <c r="P522" s="234">
        <f>IF($O522="","",INDEX('Kế hoạch'!$I$6:$I$305,$O522))</f>
      </c>
      <c r="Q522" s="225">
        <f>IF($O522="","",INDEX('Kế hoạch'!$AJ$6:$AJ$305,$O522))</f>
      </c>
      <c r="R522" s="225">
        <f>IF($O522="","",INDEX('Kế hoạch'!$AK$6:$AK$305,$O522))</f>
      </c>
    </row>
    <row r="523">
      <c r="A523" s="223">
        <f>IF($C523="","",COUNTIF($C$6:$C523,"?*"))</f>
      </c>
      <c r="B523" s="217"/>
      <c r="C523" s="216"/>
      <c r="D523" s="240"/>
      <c r="E523" s="218"/>
      <c r="F523" s="218"/>
      <c r="G523" s="218"/>
      <c r="H523" s="219"/>
      <c r="I523" s="223">
        <f>IF($C523="","",IF(ISNUMBER(MATCH($C523,'Phản ánh'!$A$6:$A$505,0)),"Phản ánh",IF(ISNUMBER(MATCH($C523,'Kế hoạch'!$A$6:$A$305,0)),"Công việc","Mã chưa có")))</f>
      </c>
      <c r="J523" s="221">
        <f>IF($I523="Phản ánh",INDEX('Phản ánh'!$C$6:$C$505,MATCH($C523,'Phản ánh'!$A$6:$A$505,0)),IF($I523="Công việc",INDEX('Kế hoạch'!$C$6:$C$305,$O523),""))</f>
      </c>
      <c r="K523" s="221">
        <f>IF($I523="Phản ánh",INDEX('Phản ánh'!$K$6:$K$505,MATCH($C523,'Phản ánh'!$A$6:$A$505,0))&amp;"",IF($I523="Công việc",INDEX('Kế hoạch'!$N$6:$N$305,$O523)&amp;"",""))</f>
      </c>
      <c r="L523" s="220">
        <f>IF(OR($C523="",N($B523)=0),"",IF(AND($I523="Phản ánh",$E523="Đã xử lý"),INDEX('Phản ánh'!$U$6:$U$505,MATCH($C523,'Phản ánh'!$A$6:$A$505,0)),IF(AND($I523="Công việc",OR($E523="Hoàn thành",$E523="Hoàn thành kỳ")),IF(INDEX('Kế hoạch'!$B$6:$B$305,$O523)="Đột xuất",INDEX('Kế hoạch'!$AY$6:$AY$305,$O523),IF(N($P523)=0,"",IF(INT($B523)&lt;$P523,$P523,IF($Q523&gt;0,$P523+ROUND((INT($B523)-$P523)/$Q523,0)*$Q523,IF($R523&gt;0,EDATE($P523,ROUND((DATEDIF($P523,INT($B523),"m")+(INT($B523)-EDATE($P523,DATEDIF($P523,INT($B523),"m")))/(EDATE($P523,DATEDIF($P523,INT($B523),"m")+1)-EDATE($P523,DATEDIF($P523,INT($B523),"m"))))/$R523,0)*$R523),$P523))))),"")))</f>
      </c>
      <c r="M523" s="223">
        <f>IF(OR($C523="",N($L523)=0,N($B523)=0),"",IF(IF(MOD($L523,1)=0,INT($B523),$B523)&lt;=$L523,"Đúng hạn","Trễ hạn"))</f>
      </c>
      <c r="N523" s="225">
        <f>IF($C523="","",ROW())</f>
      </c>
      <c r="O523" s="225">
        <f>IF($I523="Công việc",MATCH($C523,'Kế hoạch'!$A$6:$A$305,0),"")</f>
      </c>
      <c r="P523" s="234">
        <f>IF($O523="","",INDEX('Kế hoạch'!$I$6:$I$305,$O523))</f>
      </c>
      <c r="Q523" s="225">
        <f>IF($O523="","",INDEX('Kế hoạch'!$AJ$6:$AJ$305,$O523))</f>
      </c>
      <c r="R523" s="225">
        <f>IF($O523="","",INDEX('Kế hoạch'!$AK$6:$AK$305,$O523))</f>
      </c>
    </row>
    <row r="524">
      <c r="A524" s="223">
        <f>IF($C524="","",COUNTIF($C$6:$C524,"?*"))</f>
      </c>
      <c r="B524" s="217"/>
      <c r="C524" s="216"/>
      <c r="D524" s="240"/>
      <c r="E524" s="218"/>
      <c r="F524" s="218"/>
      <c r="G524" s="218"/>
      <c r="H524" s="219"/>
      <c r="I524" s="223">
        <f>IF($C524="","",IF(ISNUMBER(MATCH($C524,'Phản ánh'!$A$6:$A$505,0)),"Phản ánh",IF(ISNUMBER(MATCH($C524,'Kế hoạch'!$A$6:$A$305,0)),"Công việc","Mã chưa có")))</f>
      </c>
      <c r="J524" s="221">
        <f>IF($I524="Phản ánh",INDEX('Phản ánh'!$C$6:$C$505,MATCH($C524,'Phản ánh'!$A$6:$A$505,0)),IF($I524="Công việc",INDEX('Kế hoạch'!$C$6:$C$305,$O524),""))</f>
      </c>
      <c r="K524" s="221">
        <f>IF($I524="Phản ánh",INDEX('Phản ánh'!$K$6:$K$505,MATCH($C524,'Phản ánh'!$A$6:$A$505,0))&amp;"",IF($I524="Công việc",INDEX('Kế hoạch'!$N$6:$N$305,$O524)&amp;"",""))</f>
      </c>
      <c r="L524" s="220">
        <f>IF(OR($C524="",N($B524)=0),"",IF(AND($I524="Phản ánh",$E524="Đã xử lý"),INDEX('Phản ánh'!$U$6:$U$505,MATCH($C524,'Phản ánh'!$A$6:$A$505,0)),IF(AND($I524="Công việc",OR($E524="Hoàn thành",$E524="Hoàn thành kỳ")),IF(INDEX('Kế hoạch'!$B$6:$B$305,$O524)="Đột xuất",INDEX('Kế hoạch'!$AY$6:$AY$305,$O524),IF(N($P524)=0,"",IF(INT($B524)&lt;$P524,$P524,IF($Q524&gt;0,$P524+ROUND((INT($B524)-$P524)/$Q524,0)*$Q524,IF($R524&gt;0,EDATE($P524,ROUND((DATEDIF($P524,INT($B524),"m")+(INT($B524)-EDATE($P524,DATEDIF($P524,INT($B524),"m")))/(EDATE($P524,DATEDIF($P524,INT($B524),"m")+1)-EDATE($P524,DATEDIF($P524,INT($B524),"m"))))/$R524,0)*$R524),$P524))))),"")))</f>
      </c>
      <c r="M524" s="223">
        <f>IF(OR($C524="",N($L524)=0,N($B524)=0),"",IF(IF(MOD($L524,1)=0,INT($B524),$B524)&lt;=$L524,"Đúng hạn","Trễ hạn"))</f>
      </c>
      <c r="N524" s="225">
        <f>IF($C524="","",ROW())</f>
      </c>
      <c r="O524" s="225">
        <f>IF($I524="Công việc",MATCH($C524,'Kế hoạch'!$A$6:$A$305,0),"")</f>
      </c>
      <c r="P524" s="234">
        <f>IF($O524="","",INDEX('Kế hoạch'!$I$6:$I$305,$O524))</f>
      </c>
      <c r="Q524" s="225">
        <f>IF($O524="","",INDEX('Kế hoạch'!$AJ$6:$AJ$305,$O524))</f>
      </c>
      <c r="R524" s="225">
        <f>IF($O524="","",INDEX('Kế hoạch'!$AK$6:$AK$305,$O524))</f>
      </c>
    </row>
    <row r="525">
      <c r="A525" s="223">
        <f>IF($C525="","",COUNTIF($C$6:$C525,"?*"))</f>
      </c>
      <c r="B525" s="217"/>
      <c r="C525" s="216"/>
      <c r="D525" s="240"/>
      <c r="E525" s="218"/>
      <c r="F525" s="218"/>
      <c r="G525" s="218"/>
      <c r="H525" s="219"/>
      <c r="I525" s="223">
        <f>IF($C525="","",IF(ISNUMBER(MATCH($C525,'Phản ánh'!$A$6:$A$505,0)),"Phản ánh",IF(ISNUMBER(MATCH($C525,'Kế hoạch'!$A$6:$A$305,0)),"Công việc","Mã chưa có")))</f>
      </c>
      <c r="J525" s="221">
        <f>IF($I525="Phản ánh",INDEX('Phản ánh'!$C$6:$C$505,MATCH($C525,'Phản ánh'!$A$6:$A$505,0)),IF($I525="Công việc",INDEX('Kế hoạch'!$C$6:$C$305,$O525),""))</f>
      </c>
      <c r="K525" s="221">
        <f>IF($I525="Phản ánh",INDEX('Phản ánh'!$K$6:$K$505,MATCH($C525,'Phản ánh'!$A$6:$A$505,0))&amp;"",IF($I525="Công việc",INDEX('Kế hoạch'!$N$6:$N$305,$O525)&amp;"",""))</f>
      </c>
      <c r="L525" s="220">
        <f>IF(OR($C525="",N($B525)=0),"",IF(AND($I525="Phản ánh",$E525="Đã xử lý"),INDEX('Phản ánh'!$U$6:$U$505,MATCH($C525,'Phản ánh'!$A$6:$A$505,0)),IF(AND($I525="Công việc",OR($E525="Hoàn thành",$E525="Hoàn thành kỳ")),IF(INDEX('Kế hoạch'!$B$6:$B$305,$O525)="Đột xuất",INDEX('Kế hoạch'!$AY$6:$AY$305,$O525),IF(N($P525)=0,"",IF(INT($B525)&lt;$P525,$P525,IF($Q525&gt;0,$P525+ROUND((INT($B525)-$P525)/$Q525,0)*$Q525,IF($R525&gt;0,EDATE($P525,ROUND((DATEDIF($P525,INT($B525),"m")+(INT($B525)-EDATE($P525,DATEDIF($P525,INT($B525),"m")))/(EDATE($P525,DATEDIF($P525,INT($B525),"m")+1)-EDATE($P525,DATEDIF($P525,INT($B525),"m"))))/$R525,0)*$R525),$P525))))),"")))</f>
      </c>
      <c r="M525" s="223">
        <f>IF(OR($C525="",N($L525)=0,N($B525)=0),"",IF(IF(MOD($L525,1)=0,INT($B525),$B525)&lt;=$L525,"Đúng hạn","Trễ hạn"))</f>
      </c>
      <c r="N525" s="225">
        <f>IF($C525="","",ROW())</f>
      </c>
      <c r="O525" s="225">
        <f>IF($I525="Công việc",MATCH($C525,'Kế hoạch'!$A$6:$A$305,0),"")</f>
      </c>
      <c r="P525" s="234">
        <f>IF($O525="","",INDEX('Kế hoạch'!$I$6:$I$305,$O525))</f>
      </c>
      <c r="Q525" s="225">
        <f>IF($O525="","",INDEX('Kế hoạch'!$AJ$6:$AJ$305,$O525))</f>
      </c>
      <c r="R525" s="225">
        <f>IF($O525="","",INDEX('Kế hoạch'!$AK$6:$AK$305,$O525))</f>
      </c>
    </row>
    <row r="526">
      <c r="A526" s="223">
        <f>IF($C526="","",COUNTIF($C$6:$C526,"?*"))</f>
      </c>
      <c r="B526" s="217"/>
      <c r="C526" s="216"/>
      <c r="D526" s="240"/>
      <c r="E526" s="218"/>
      <c r="F526" s="218"/>
      <c r="G526" s="218"/>
      <c r="H526" s="219"/>
      <c r="I526" s="223">
        <f>IF($C526="","",IF(ISNUMBER(MATCH($C526,'Phản ánh'!$A$6:$A$505,0)),"Phản ánh",IF(ISNUMBER(MATCH($C526,'Kế hoạch'!$A$6:$A$305,0)),"Công việc","Mã chưa có")))</f>
      </c>
      <c r="J526" s="221">
        <f>IF($I526="Phản ánh",INDEX('Phản ánh'!$C$6:$C$505,MATCH($C526,'Phản ánh'!$A$6:$A$505,0)),IF($I526="Công việc",INDEX('Kế hoạch'!$C$6:$C$305,$O526),""))</f>
      </c>
      <c r="K526" s="221">
        <f>IF($I526="Phản ánh",INDEX('Phản ánh'!$K$6:$K$505,MATCH($C526,'Phản ánh'!$A$6:$A$505,0))&amp;"",IF($I526="Công việc",INDEX('Kế hoạch'!$N$6:$N$305,$O526)&amp;"",""))</f>
      </c>
      <c r="L526" s="220">
        <f>IF(OR($C526="",N($B526)=0),"",IF(AND($I526="Phản ánh",$E526="Đã xử lý"),INDEX('Phản ánh'!$U$6:$U$505,MATCH($C526,'Phản ánh'!$A$6:$A$505,0)),IF(AND($I526="Công việc",OR($E526="Hoàn thành",$E526="Hoàn thành kỳ")),IF(INDEX('Kế hoạch'!$B$6:$B$305,$O526)="Đột xuất",INDEX('Kế hoạch'!$AY$6:$AY$305,$O526),IF(N($P526)=0,"",IF(INT($B526)&lt;$P526,$P526,IF($Q526&gt;0,$P526+ROUND((INT($B526)-$P526)/$Q526,0)*$Q526,IF($R526&gt;0,EDATE($P526,ROUND((DATEDIF($P526,INT($B526),"m")+(INT($B526)-EDATE($P526,DATEDIF($P526,INT($B526),"m")))/(EDATE($P526,DATEDIF($P526,INT($B526),"m")+1)-EDATE($P526,DATEDIF($P526,INT($B526),"m"))))/$R526,0)*$R526),$P526))))),"")))</f>
      </c>
      <c r="M526" s="223">
        <f>IF(OR($C526="",N($L526)=0,N($B526)=0),"",IF(IF(MOD($L526,1)=0,INT($B526),$B526)&lt;=$L526,"Đúng hạn","Trễ hạn"))</f>
      </c>
      <c r="N526" s="225">
        <f>IF($C526="","",ROW())</f>
      </c>
      <c r="O526" s="225">
        <f>IF($I526="Công việc",MATCH($C526,'Kế hoạch'!$A$6:$A$305,0),"")</f>
      </c>
      <c r="P526" s="234">
        <f>IF($O526="","",INDEX('Kế hoạch'!$I$6:$I$305,$O526))</f>
      </c>
      <c r="Q526" s="225">
        <f>IF($O526="","",INDEX('Kế hoạch'!$AJ$6:$AJ$305,$O526))</f>
      </c>
      <c r="R526" s="225">
        <f>IF($O526="","",INDEX('Kế hoạch'!$AK$6:$AK$305,$O526))</f>
      </c>
    </row>
    <row r="527">
      <c r="A527" s="223">
        <f>IF($C527="","",COUNTIF($C$6:$C527,"?*"))</f>
      </c>
      <c r="B527" s="217"/>
      <c r="C527" s="216"/>
      <c r="D527" s="240"/>
      <c r="E527" s="218"/>
      <c r="F527" s="218"/>
      <c r="G527" s="218"/>
      <c r="H527" s="219"/>
      <c r="I527" s="223">
        <f>IF($C527="","",IF(ISNUMBER(MATCH($C527,'Phản ánh'!$A$6:$A$505,0)),"Phản ánh",IF(ISNUMBER(MATCH($C527,'Kế hoạch'!$A$6:$A$305,0)),"Công việc","Mã chưa có")))</f>
      </c>
      <c r="J527" s="221">
        <f>IF($I527="Phản ánh",INDEX('Phản ánh'!$C$6:$C$505,MATCH($C527,'Phản ánh'!$A$6:$A$505,0)),IF($I527="Công việc",INDEX('Kế hoạch'!$C$6:$C$305,$O527),""))</f>
      </c>
      <c r="K527" s="221">
        <f>IF($I527="Phản ánh",INDEX('Phản ánh'!$K$6:$K$505,MATCH($C527,'Phản ánh'!$A$6:$A$505,0))&amp;"",IF($I527="Công việc",INDEX('Kế hoạch'!$N$6:$N$305,$O527)&amp;"",""))</f>
      </c>
      <c r="L527" s="220">
        <f>IF(OR($C527="",N($B527)=0),"",IF(AND($I527="Phản ánh",$E527="Đã xử lý"),INDEX('Phản ánh'!$U$6:$U$505,MATCH($C527,'Phản ánh'!$A$6:$A$505,0)),IF(AND($I527="Công việc",OR($E527="Hoàn thành",$E527="Hoàn thành kỳ")),IF(INDEX('Kế hoạch'!$B$6:$B$305,$O527)="Đột xuất",INDEX('Kế hoạch'!$AY$6:$AY$305,$O527),IF(N($P527)=0,"",IF(INT($B527)&lt;$P527,$P527,IF($Q527&gt;0,$P527+ROUND((INT($B527)-$P527)/$Q527,0)*$Q527,IF($R527&gt;0,EDATE($P527,ROUND((DATEDIF($P527,INT($B527),"m")+(INT($B527)-EDATE($P527,DATEDIF($P527,INT($B527),"m")))/(EDATE($P527,DATEDIF($P527,INT($B527),"m")+1)-EDATE($P527,DATEDIF($P527,INT($B527),"m"))))/$R527,0)*$R527),$P527))))),"")))</f>
      </c>
      <c r="M527" s="223">
        <f>IF(OR($C527="",N($L527)=0,N($B527)=0),"",IF(IF(MOD($L527,1)=0,INT($B527),$B527)&lt;=$L527,"Đúng hạn","Trễ hạn"))</f>
      </c>
      <c r="N527" s="225">
        <f>IF($C527="","",ROW())</f>
      </c>
      <c r="O527" s="225">
        <f>IF($I527="Công việc",MATCH($C527,'Kế hoạch'!$A$6:$A$305,0),"")</f>
      </c>
      <c r="P527" s="234">
        <f>IF($O527="","",INDEX('Kế hoạch'!$I$6:$I$305,$O527))</f>
      </c>
      <c r="Q527" s="225">
        <f>IF($O527="","",INDEX('Kế hoạch'!$AJ$6:$AJ$305,$O527))</f>
      </c>
      <c r="R527" s="225">
        <f>IF($O527="","",INDEX('Kế hoạch'!$AK$6:$AK$305,$O527))</f>
      </c>
    </row>
    <row r="528">
      <c r="A528" s="223">
        <f>IF($C528="","",COUNTIF($C$6:$C528,"?*"))</f>
      </c>
      <c r="B528" s="217"/>
      <c r="C528" s="216"/>
      <c r="D528" s="240"/>
      <c r="E528" s="218"/>
      <c r="F528" s="218"/>
      <c r="G528" s="218"/>
      <c r="H528" s="219"/>
      <c r="I528" s="223">
        <f>IF($C528="","",IF(ISNUMBER(MATCH($C528,'Phản ánh'!$A$6:$A$505,0)),"Phản ánh",IF(ISNUMBER(MATCH($C528,'Kế hoạch'!$A$6:$A$305,0)),"Công việc","Mã chưa có")))</f>
      </c>
      <c r="J528" s="221">
        <f>IF($I528="Phản ánh",INDEX('Phản ánh'!$C$6:$C$505,MATCH($C528,'Phản ánh'!$A$6:$A$505,0)),IF($I528="Công việc",INDEX('Kế hoạch'!$C$6:$C$305,$O528),""))</f>
      </c>
      <c r="K528" s="221">
        <f>IF($I528="Phản ánh",INDEX('Phản ánh'!$K$6:$K$505,MATCH($C528,'Phản ánh'!$A$6:$A$505,0))&amp;"",IF($I528="Công việc",INDEX('Kế hoạch'!$N$6:$N$305,$O528)&amp;"",""))</f>
      </c>
      <c r="L528" s="220">
        <f>IF(OR($C528="",N($B528)=0),"",IF(AND($I528="Phản ánh",$E528="Đã xử lý"),INDEX('Phản ánh'!$U$6:$U$505,MATCH($C528,'Phản ánh'!$A$6:$A$505,0)),IF(AND($I528="Công việc",OR($E528="Hoàn thành",$E528="Hoàn thành kỳ")),IF(INDEX('Kế hoạch'!$B$6:$B$305,$O528)="Đột xuất",INDEX('Kế hoạch'!$AY$6:$AY$305,$O528),IF(N($P528)=0,"",IF(INT($B528)&lt;$P528,$P528,IF($Q528&gt;0,$P528+ROUND((INT($B528)-$P528)/$Q528,0)*$Q528,IF($R528&gt;0,EDATE($P528,ROUND((DATEDIF($P528,INT($B528),"m")+(INT($B528)-EDATE($P528,DATEDIF($P528,INT($B528),"m")))/(EDATE($P528,DATEDIF($P528,INT($B528),"m")+1)-EDATE($P528,DATEDIF($P528,INT($B528),"m"))))/$R528,0)*$R528),$P528))))),"")))</f>
      </c>
      <c r="M528" s="223">
        <f>IF(OR($C528="",N($L528)=0,N($B528)=0),"",IF(IF(MOD($L528,1)=0,INT($B528),$B528)&lt;=$L528,"Đúng hạn","Trễ hạn"))</f>
      </c>
      <c r="N528" s="225">
        <f>IF($C528="","",ROW())</f>
      </c>
      <c r="O528" s="225">
        <f>IF($I528="Công việc",MATCH($C528,'Kế hoạch'!$A$6:$A$305,0),"")</f>
      </c>
      <c r="P528" s="234">
        <f>IF($O528="","",INDEX('Kế hoạch'!$I$6:$I$305,$O528))</f>
      </c>
      <c r="Q528" s="225">
        <f>IF($O528="","",INDEX('Kế hoạch'!$AJ$6:$AJ$305,$O528))</f>
      </c>
      <c r="R528" s="225">
        <f>IF($O528="","",INDEX('Kế hoạch'!$AK$6:$AK$305,$O528))</f>
      </c>
    </row>
    <row r="529">
      <c r="A529" s="223">
        <f>IF($C529="","",COUNTIF($C$6:$C529,"?*"))</f>
      </c>
      <c r="B529" s="217"/>
      <c r="C529" s="216"/>
      <c r="D529" s="240"/>
      <c r="E529" s="218"/>
      <c r="F529" s="218"/>
      <c r="G529" s="218"/>
      <c r="H529" s="219"/>
      <c r="I529" s="223">
        <f>IF($C529="","",IF(ISNUMBER(MATCH($C529,'Phản ánh'!$A$6:$A$505,0)),"Phản ánh",IF(ISNUMBER(MATCH($C529,'Kế hoạch'!$A$6:$A$305,0)),"Công việc","Mã chưa có")))</f>
      </c>
      <c r="J529" s="221">
        <f>IF($I529="Phản ánh",INDEX('Phản ánh'!$C$6:$C$505,MATCH($C529,'Phản ánh'!$A$6:$A$505,0)),IF($I529="Công việc",INDEX('Kế hoạch'!$C$6:$C$305,$O529),""))</f>
      </c>
      <c r="K529" s="221">
        <f>IF($I529="Phản ánh",INDEX('Phản ánh'!$K$6:$K$505,MATCH($C529,'Phản ánh'!$A$6:$A$505,0))&amp;"",IF($I529="Công việc",INDEX('Kế hoạch'!$N$6:$N$305,$O529)&amp;"",""))</f>
      </c>
      <c r="L529" s="220">
        <f>IF(OR($C529="",N($B529)=0),"",IF(AND($I529="Phản ánh",$E529="Đã xử lý"),INDEX('Phản ánh'!$U$6:$U$505,MATCH($C529,'Phản ánh'!$A$6:$A$505,0)),IF(AND($I529="Công việc",OR($E529="Hoàn thành",$E529="Hoàn thành kỳ")),IF(INDEX('Kế hoạch'!$B$6:$B$305,$O529)="Đột xuất",INDEX('Kế hoạch'!$AY$6:$AY$305,$O529),IF(N($P529)=0,"",IF(INT($B529)&lt;$P529,$P529,IF($Q529&gt;0,$P529+ROUND((INT($B529)-$P529)/$Q529,0)*$Q529,IF($R529&gt;0,EDATE($P529,ROUND((DATEDIF($P529,INT($B529),"m")+(INT($B529)-EDATE($P529,DATEDIF($P529,INT($B529),"m")))/(EDATE($P529,DATEDIF($P529,INT($B529),"m")+1)-EDATE($P529,DATEDIF($P529,INT($B529),"m"))))/$R529,0)*$R529),$P529))))),"")))</f>
      </c>
      <c r="M529" s="223">
        <f>IF(OR($C529="",N($L529)=0,N($B529)=0),"",IF(IF(MOD($L529,1)=0,INT($B529),$B529)&lt;=$L529,"Đúng hạn","Trễ hạn"))</f>
      </c>
      <c r="N529" s="225">
        <f>IF($C529="","",ROW())</f>
      </c>
      <c r="O529" s="225">
        <f>IF($I529="Công việc",MATCH($C529,'Kế hoạch'!$A$6:$A$305,0),"")</f>
      </c>
      <c r="P529" s="234">
        <f>IF($O529="","",INDEX('Kế hoạch'!$I$6:$I$305,$O529))</f>
      </c>
      <c r="Q529" s="225">
        <f>IF($O529="","",INDEX('Kế hoạch'!$AJ$6:$AJ$305,$O529))</f>
      </c>
      <c r="R529" s="225">
        <f>IF($O529="","",INDEX('Kế hoạch'!$AK$6:$AK$305,$O529))</f>
      </c>
    </row>
    <row r="530">
      <c r="A530" s="223">
        <f>IF($C530="","",COUNTIF($C$6:$C530,"?*"))</f>
      </c>
      <c r="B530" s="217"/>
      <c r="C530" s="216"/>
      <c r="D530" s="240"/>
      <c r="E530" s="218"/>
      <c r="F530" s="218"/>
      <c r="G530" s="218"/>
      <c r="H530" s="219"/>
      <c r="I530" s="223">
        <f>IF($C530="","",IF(ISNUMBER(MATCH($C530,'Phản ánh'!$A$6:$A$505,0)),"Phản ánh",IF(ISNUMBER(MATCH($C530,'Kế hoạch'!$A$6:$A$305,0)),"Công việc","Mã chưa có")))</f>
      </c>
      <c r="J530" s="221">
        <f>IF($I530="Phản ánh",INDEX('Phản ánh'!$C$6:$C$505,MATCH($C530,'Phản ánh'!$A$6:$A$505,0)),IF($I530="Công việc",INDEX('Kế hoạch'!$C$6:$C$305,$O530),""))</f>
      </c>
      <c r="K530" s="221">
        <f>IF($I530="Phản ánh",INDEX('Phản ánh'!$K$6:$K$505,MATCH($C530,'Phản ánh'!$A$6:$A$505,0))&amp;"",IF($I530="Công việc",INDEX('Kế hoạch'!$N$6:$N$305,$O530)&amp;"",""))</f>
      </c>
      <c r="L530" s="220">
        <f>IF(OR($C530="",N($B530)=0),"",IF(AND($I530="Phản ánh",$E530="Đã xử lý"),INDEX('Phản ánh'!$U$6:$U$505,MATCH($C530,'Phản ánh'!$A$6:$A$505,0)),IF(AND($I530="Công việc",OR($E530="Hoàn thành",$E530="Hoàn thành kỳ")),IF(INDEX('Kế hoạch'!$B$6:$B$305,$O530)="Đột xuất",INDEX('Kế hoạch'!$AY$6:$AY$305,$O530),IF(N($P530)=0,"",IF(INT($B530)&lt;$P530,$P530,IF($Q530&gt;0,$P530+ROUND((INT($B530)-$P530)/$Q530,0)*$Q530,IF($R530&gt;0,EDATE($P530,ROUND((DATEDIF($P530,INT($B530),"m")+(INT($B530)-EDATE($P530,DATEDIF($P530,INT($B530),"m")))/(EDATE($P530,DATEDIF($P530,INT($B530),"m")+1)-EDATE($P530,DATEDIF($P530,INT($B530),"m"))))/$R530,0)*$R530),$P530))))),"")))</f>
      </c>
      <c r="M530" s="223">
        <f>IF(OR($C530="",N($L530)=0,N($B530)=0),"",IF(IF(MOD($L530,1)=0,INT($B530),$B530)&lt;=$L530,"Đúng hạn","Trễ hạn"))</f>
      </c>
      <c r="N530" s="225">
        <f>IF($C530="","",ROW())</f>
      </c>
      <c r="O530" s="225">
        <f>IF($I530="Công việc",MATCH($C530,'Kế hoạch'!$A$6:$A$305,0),"")</f>
      </c>
      <c r="P530" s="234">
        <f>IF($O530="","",INDEX('Kế hoạch'!$I$6:$I$305,$O530))</f>
      </c>
      <c r="Q530" s="225">
        <f>IF($O530="","",INDEX('Kế hoạch'!$AJ$6:$AJ$305,$O530))</f>
      </c>
      <c r="R530" s="225">
        <f>IF($O530="","",INDEX('Kế hoạch'!$AK$6:$AK$305,$O530))</f>
      </c>
    </row>
    <row r="531">
      <c r="A531" s="223">
        <f>IF($C531="","",COUNTIF($C$6:$C531,"?*"))</f>
      </c>
      <c r="B531" s="217"/>
      <c r="C531" s="216"/>
      <c r="D531" s="240"/>
      <c r="E531" s="218"/>
      <c r="F531" s="218"/>
      <c r="G531" s="218"/>
      <c r="H531" s="219"/>
      <c r="I531" s="223">
        <f>IF($C531="","",IF(ISNUMBER(MATCH($C531,'Phản ánh'!$A$6:$A$505,0)),"Phản ánh",IF(ISNUMBER(MATCH($C531,'Kế hoạch'!$A$6:$A$305,0)),"Công việc","Mã chưa có")))</f>
      </c>
      <c r="J531" s="221">
        <f>IF($I531="Phản ánh",INDEX('Phản ánh'!$C$6:$C$505,MATCH($C531,'Phản ánh'!$A$6:$A$505,0)),IF($I531="Công việc",INDEX('Kế hoạch'!$C$6:$C$305,$O531),""))</f>
      </c>
      <c r="K531" s="221">
        <f>IF($I531="Phản ánh",INDEX('Phản ánh'!$K$6:$K$505,MATCH($C531,'Phản ánh'!$A$6:$A$505,0))&amp;"",IF($I531="Công việc",INDEX('Kế hoạch'!$N$6:$N$305,$O531)&amp;"",""))</f>
      </c>
      <c r="L531" s="220">
        <f>IF(OR($C531="",N($B531)=0),"",IF(AND($I531="Phản ánh",$E531="Đã xử lý"),INDEX('Phản ánh'!$U$6:$U$505,MATCH($C531,'Phản ánh'!$A$6:$A$505,0)),IF(AND($I531="Công việc",OR($E531="Hoàn thành",$E531="Hoàn thành kỳ")),IF(INDEX('Kế hoạch'!$B$6:$B$305,$O531)="Đột xuất",INDEX('Kế hoạch'!$AY$6:$AY$305,$O531),IF(N($P531)=0,"",IF(INT($B531)&lt;$P531,$P531,IF($Q531&gt;0,$P531+ROUND((INT($B531)-$P531)/$Q531,0)*$Q531,IF($R531&gt;0,EDATE($P531,ROUND((DATEDIF($P531,INT($B531),"m")+(INT($B531)-EDATE($P531,DATEDIF($P531,INT($B531),"m")))/(EDATE($P531,DATEDIF($P531,INT($B531),"m")+1)-EDATE($P531,DATEDIF($P531,INT($B531),"m"))))/$R531,0)*$R531),$P531))))),"")))</f>
      </c>
      <c r="M531" s="223">
        <f>IF(OR($C531="",N($L531)=0,N($B531)=0),"",IF(IF(MOD($L531,1)=0,INT($B531),$B531)&lt;=$L531,"Đúng hạn","Trễ hạn"))</f>
      </c>
      <c r="N531" s="225">
        <f>IF($C531="","",ROW())</f>
      </c>
      <c r="O531" s="225">
        <f>IF($I531="Công việc",MATCH($C531,'Kế hoạch'!$A$6:$A$305,0),"")</f>
      </c>
      <c r="P531" s="234">
        <f>IF($O531="","",INDEX('Kế hoạch'!$I$6:$I$305,$O531))</f>
      </c>
      <c r="Q531" s="225">
        <f>IF($O531="","",INDEX('Kế hoạch'!$AJ$6:$AJ$305,$O531))</f>
      </c>
      <c r="R531" s="225">
        <f>IF($O531="","",INDEX('Kế hoạch'!$AK$6:$AK$305,$O531))</f>
      </c>
    </row>
    <row r="532">
      <c r="A532" s="223">
        <f>IF($C532="","",COUNTIF($C$6:$C532,"?*"))</f>
      </c>
      <c r="B532" s="217"/>
      <c r="C532" s="216"/>
      <c r="D532" s="240"/>
      <c r="E532" s="218"/>
      <c r="F532" s="218"/>
      <c r="G532" s="218"/>
      <c r="H532" s="219"/>
      <c r="I532" s="223">
        <f>IF($C532="","",IF(ISNUMBER(MATCH($C532,'Phản ánh'!$A$6:$A$505,0)),"Phản ánh",IF(ISNUMBER(MATCH($C532,'Kế hoạch'!$A$6:$A$305,0)),"Công việc","Mã chưa có")))</f>
      </c>
      <c r="J532" s="221">
        <f>IF($I532="Phản ánh",INDEX('Phản ánh'!$C$6:$C$505,MATCH($C532,'Phản ánh'!$A$6:$A$505,0)),IF($I532="Công việc",INDEX('Kế hoạch'!$C$6:$C$305,$O532),""))</f>
      </c>
      <c r="K532" s="221">
        <f>IF($I532="Phản ánh",INDEX('Phản ánh'!$K$6:$K$505,MATCH($C532,'Phản ánh'!$A$6:$A$505,0))&amp;"",IF($I532="Công việc",INDEX('Kế hoạch'!$N$6:$N$305,$O532)&amp;"",""))</f>
      </c>
      <c r="L532" s="220">
        <f>IF(OR($C532="",N($B532)=0),"",IF(AND($I532="Phản ánh",$E532="Đã xử lý"),INDEX('Phản ánh'!$U$6:$U$505,MATCH($C532,'Phản ánh'!$A$6:$A$505,0)),IF(AND($I532="Công việc",OR($E532="Hoàn thành",$E532="Hoàn thành kỳ")),IF(INDEX('Kế hoạch'!$B$6:$B$305,$O532)="Đột xuất",INDEX('Kế hoạch'!$AY$6:$AY$305,$O532),IF(N($P532)=0,"",IF(INT($B532)&lt;$P532,$P532,IF($Q532&gt;0,$P532+ROUND((INT($B532)-$P532)/$Q532,0)*$Q532,IF($R532&gt;0,EDATE($P532,ROUND((DATEDIF($P532,INT($B532),"m")+(INT($B532)-EDATE($P532,DATEDIF($P532,INT($B532),"m")))/(EDATE($P532,DATEDIF($P532,INT($B532),"m")+1)-EDATE($P532,DATEDIF($P532,INT($B532),"m"))))/$R532,0)*$R532),$P532))))),"")))</f>
      </c>
      <c r="M532" s="223">
        <f>IF(OR($C532="",N($L532)=0,N($B532)=0),"",IF(IF(MOD($L532,1)=0,INT($B532),$B532)&lt;=$L532,"Đúng hạn","Trễ hạn"))</f>
      </c>
      <c r="N532" s="225">
        <f>IF($C532="","",ROW())</f>
      </c>
      <c r="O532" s="225">
        <f>IF($I532="Công việc",MATCH($C532,'Kế hoạch'!$A$6:$A$305,0),"")</f>
      </c>
      <c r="P532" s="234">
        <f>IF($O532="","",INDEX('Kế hoạch'!$I$6:$I$305,$O532))</f>
      </c>
      <c r="Q532" s="225">
        <f>IF($O532="","",INDEX('Kế hoạch'!$AJ$6:$AJ$305,$O532))</f>
      </c>
      <c r="R532" s="225">
        <f>IF($O532="","",INDEX('Kế hoạch'!$AK$6:$AK$305,$O532))</f>
      </c>
    </row>
    <row r="533">
      <c r="A533" s="223">
        <f>IF($C533="","",COUNTIF($C$6:$C533,"?*"))</f>
      </c>
      <c r="B533" s="217"/>
      <c r="C533" s="216"/>
      <c r="D533" s="240"/>
      <c r="E533" s="218"/>
      <c r="F533" s="218"/>
      <c r="G533" s="218"/>
      <c r="H533" s="219"/>
      <c r="I533" s="223">
        <f>IF($C533="","",IF(ISNUMBER(MATCH($C533,'Phản ánh'!$A$6:$A$505,0)),"Phản ánh",IF(ISNUMBER(MATCH($C533,'Kế hoạch'!$A$6:$A$305,0)),"Công việc","Mã chưa có")))</f>
      </c>
      <c r="J533" s="221">
        <f>IF($I533="Phản ánh",INDEX('Phản ánh'!$C$6:$C$505,MATCH($C533,'Phản ánh'!$A$6:$A$505,0)),IF($I533="Công việc",INDEX('Kế hoạch'!$C$6:$C$305,$O533),""))</f>
      </c>
      <c r="K533" s="221">
        <f>IF($I533="Phản ánh",INDEX('Phản ánh'!$K$6:$K$505,MATCH($C533,'Phản ánh'!$A$6:$A$505,0))&amp;"",IF($I533="Công việc",INDEX('Kế hoạch'!$N$6:$N$305,$O533)&amp;"",""))</f>
      </c>
      <c r="L533" s="220">
        <f>IF(OR($C533="",N($B533)=0),"",IF(AND($I533="Phản ánh",$E533="Đã xử lý"),INDEX('Phản ánh'!$U$6:$U$505,MATCH($C533,'Phản ánh'!$A$6:$A$505,0)),IF(AND($I533="Công việc",OR($E533="Hoàn thành",$E533="Hoàn thành kỳ")),IF(INDEX('Kế hoạch'!$B$6:$B$305,$O533)="Đột xuất",INDEX('Kế hoạch'!$AY$6:$AY$305,$O533),IF(N($P533)=0,"",IF(INT($B533)&lt;$P533,$P533,IF($Q533&gt;0,$P533+ROUND((INT($B533)-$P533)/$Q533,0)*$Q533,IF($R533&gt;0,EDATE($P533,ROUND((DATEDIF($P533,INT($B533),"m")+(INT($B533)-EDATE($P533,DATEDIF($P533,INT($B533),"m")))/(EDATE($P533,DATEDIF($P533,INT($B533),"m")+1)-EDATE($P533,DATEDIF($P533,INT($B533),"m"))))/$R533,0)*$R533),$P533))))),"")))</f>
      </c>
      <c r="M533" s="223">
        <f>IF(OR($C533="",N($L533)=0,N($B533)=0),"",IF(IF(MOD($L533,1)=0,INT($B533),$B533)&lt;=$L533,"Đúng hạn","Trễ hạn"))</f>
      </c>
      <c r="N533" s="225">
        <f>IF($C533="","",ROW())</f>
      </c>
      <c r="O533" s="225">
        <f>IF($I533="Công việc",MATCH($C533,'Kế hoạch'!$A$6:$A$305,0),"")</f>
      </c>
      <c r="P533" s="234">
        <f>IF($O533="","",INDEX('Kế hoạch'!$I$6:$I$305,$O533))</f>
      </c>
      <c r="Q533" s="225">
        <f>IF($O533="","",INDEX('Kế hoạch'!$AJ$6:$AJ$305,$O533))</f>
      </c>
      <c r="R533" s="225">
        <f>IF($O533="","",INDEX('Kế hoạch'!$AK$6:$AK$305,$O533))</f>
      </c>
    </row>
    <row r="534">
      <c r="A534" s="223">
        <f>IF($C534="","",COUNTIF($C$6:$C534,"?*"))</f>
      </c>
      <c r="B534" s="217"/>
      <c r="C534" s="216"/>
      <c r="D534" s="240"/>
      <c r="E534" s="218"/>
      <c r="F534" s="218"/>
      <c r="G534" s="218"/>
      <c r="H534" s="219"/>
      <c r="I534" s="223">
        <f>IF($C534="","",IF(ISNUMBER(MATCH($C534,'Phản ánh'!$A$6:$A$505,0)),"Phản ánh",IF(ISNUMBER(MATCH($C534,'Kế hoạch'!$A$6:$A$305,0)),"Công việc","Mã chưa có")))</f>
      </c>
      <c r="J534" s="221">
        <f>IF($I534="Phản ánh",INDEX('Phản ánh'!$C$6:$C$505,MATCH($C534,'Phản ánh'!$A$6:$A$505,0)),IF($I534="Công việc",INDEX('Kế hoạch'!$C$6:$C$305,$O534),""))</f>
      </c>
      <c r="K534" s="221">
        <f>IF($I534="Phản ánh",INDEX('Phản ánh'!$K$6:$K$505,MATCH($C534,'Phản ánh'!$A$6:$A$505,0))&amp;"",IF($I534="Công việc",INDEX('Kế hoạch'!$N$6:$N$305,$O534)&amp;"",""))</f>
      </c>
      <c r="L534" s="220">
        <f>IF(OR($C534="",N($B534)=0),"",IF(AND($I534="Phản ánh",$E534="Đã xử lý"),INDEX('Phản ánh'!$U$6:$U$505,MATCH($C534,'Phản ánh'!$A$6:$A$505,0)),IF(AND($I534="Công việc",OR($E534="Hoàn thành",$E534="Hoàn thành kỳ")),IF(INDEX('Kế hoạch'!$B$6:$B$305,$O534)="Đột xuất",INDEX('Kế hoạch'!$AY$6:$AY$305,$O534),IF(N($P534)=0,"",IF(INT($B534)&lt;$P534,$P534,IF($Q534&gt;0,$P534+ROUND((INT($B534)-$P534)/$Q534,0)*$Q534,IF($R534&gt;0,EDATE($P534,ROUND((DATEDIF($P534,INT($B534),"m")+(INT($B534)-EDATE($P534,DATEDIF($P534,INT($B534),"m")))/(EDATE($P534,DATEDIF($P534,INT($B534),"m")+1)-EDATE($P534,DATEDIF($P534,INT($B534),"m"))))/$R534,0)*$R534),$P534))))),"")))</f>
      </c>
      <c r="M534" s="223">
        <f>IF(OR($C534="",N($L534)=0,N($B534)=0),"",IF(IF(MOD($L534,1)=0,INT($B534),$B534)&lt;=$L534,"Đúng hạn","Trễ hạn"))</f>
      </c>
      <c r="N534" s="225">
        <f>IF($C534="","",ROW())</f>
      </c>
      <c r="O534" s="225">
        <f>IF($I534="Công việc",MATCH($C534,'Kế hoạch'!$A$6:$A$305,0),"")</f>
      </c>
      <c r="P534" s="234">
        <f>IF($O534="","",INDEX('Kế hoạch'!$I$6:$I$305,$O534))</f>
      </c>
      <c r="Q534" s="225">
        <f>IF($O534="","",INDEX('Kế hoạch'!$AJ$6:$AJ$305,$O534))</f>
      </c>
      <c r="R534" s="225">
        <f>IF($O534="","",INDEX('Kế hoạch'!$AK$6:$AK$305,$O534))</f>
      </c>
    </row>
    <row r="535">
      <c r="A535" s="223">
        <f>IF($C535="","",COUNTIF($C$6:$C535,"?*"))</f>
      </c>
      <c r="B535" s="217"/>
      <c r="C535" s="216"/>
      <c r="D535" s="240"/>
      <c r="E535" s="218"/>
      <c r="F535" s="218"/>
      <c r="G535" s="218"/>
      <c r="H535" s="219"/>
      <c r="I535" s="223">
        <f>IF($C535="","",IF(ISNUMBER(MATCH($C535,'Phản ánh'!$A$6:$A$505,0)),"Phản ánh",IF(ISNUMBER(MATCH($C535,'Kế hoạch'!$A$6:$A$305,0)),"Công việc","Mã chưa có")))</f>
      </c>
      <c r="J535" s="221">
        <f>IF($I535="Phản ánh",INDEX('Phản ánh'!$C$6:$C$505,MATCH($C535,'Phản ánh'!$A$6:$A$505,0)),IF($I535="Công việc",INDEX('Kế hoạch'!$C$6:$C$305,$O535),""))</f>
      </c>
      <c r="K535" s="221">
        <f>IF($I535="Phản ánh",INDEX('Phản ánh'!$K$6:$K$505,MATCH($C535,'Phản ánh'!$A$6:$A$505,0))&amp;"",IF($I535="Công việc",INDEX('Kế hoạch'!$N$6:$N$305,$O535)&amp;"",""))</f>
      </c>
      <c r="L535" s="220">
        <f>IF(OR($C535="",N($B535)=0),"",IF(AND($I535="Phản ánh",$E535="Đã xử lý"),INDEX('Phản ánh'!$U$6:$U$505,MATCH($C535,'Phản ánh'!$A$6:$A$505,0)),IF(AND($I535="Công việc",OR($E535="Hoàn thành",$E535="Hoàn thành kỳ")),IF(INDEX('Kế hoạch'!$B$6:$B$305,$O535)="Đột xuất",INDEX('Kế hoạch'!$AY$6:$AY$305,$O535),IF(N($P535)=0,"",IF(INT($B535)&lt;$P535,$P535,IF($Q535&gt;0,$P535+ROUND((INT($B535)-$P535)/$Q535,0)*$Q535,IF($R535&gt;0,EDATE($P535,ROUND((DATEDIF($P535,INT($B535),"m")+(INT($B535)-EDATE($P535,DATEDIF($P535,INT($B535),"m")))/(EDATE($P535,DATEDIF($P535,INT($B535),"m")+1)-EDATE($P535,DATEDIF($P535,INT($B535),"m"))))/$R535,0)*$R535),$P535))))),"")))</f>
      </c>
      <c r="M535" s="223">
        <f>IF(OR($C535="",N($L535)=0,N($B535)=0),"",IF(IF(MOD($L535,1)=0,INT($B535),$B535)&lt;=$L535,"Đúng hạn","Trễ hạn"))</f>
      </c>
      <c r="N535" s="225">
        <f>IF($C535="","",ROW())</f>
      </c>
      <c r="O535" s="225">
        <f>IF($I535="Công việc",MATCH($C535,'Kế hoạch'!$A$6:$A$305,0),"")</f>
      </c>
      <c r="P535" s="234">
        <f>IF($O535="","",INDEX('Kế hoạch'!$I$6:$I$305,$O535))</f>
      </c>
      <c r="Q535" s="225">
        <f>IF($O535="","",INDEX('Kế hoạch'!$AJ$6:$AJ$305,$O535))</f>
      </c>
      <c r="R535" s="225">
        <f>IF($O535="","",INDEX('Kế hoạch'!$AK$6:$AK$305,$O535))</f>
      </c>
    </row>
    <row r="536">
      <c r="A536" s="223">
        <f>IF($C536="","",COUNTIF($C$6:$C536,"?*"))</f>
      </c>
      <c r="B536" s="217"/>
      <c r="C536" s="216"/>
      <c r="D536" s="240"/>
      <c r="E536" s="218"/>
      <c r="F536" s="218"/>
      <c r="G536" s="218"/>
      <c r="H536" s="219"/>
      <c r="I536" s="223">
        <f>IF($C536="","",IF(ISNUMBER(MATCH($C536,'Phản ánh'!$A$6:$A$505,0)),"Phản ánh",IF(ISNUMBER(MATCH($C536,'Kế hoạch'!$A$6:$A$305,0)),"Công việc","Mã chưa có")))</f>
      </c>
      <c r="J536" s="221">
        <f>IF($I536="Phản ánh",INDEX('Phản ánh'!$C$6:$C$505,MATCH($C536,'Phản ánh'!$A$6:$A$505,0)),IF($I536="Công việc",INDEX('Kế hoạch'!$C$6:$C$305,$O536),""))</f>
      </c>
      <c r="K536" s="221">
        <f>IF($I536="Phản ánh",INDEX('Phản ánh'!$K$6:$K$505,MATCH($C536,'Phản ánh'!$A$6:$A$505,0))&amp;"",IF($I536="Công việc",INDEX('Kế hoạch'!$N$6:$N$305,$O536)&amp;"",""))</f>
      </c>
      <c r="L536" s="220">
        <f>IF(OR($C536="",N($B536)=0),"",IF(AND($I536="Phản ánh",$E536="Đã xử lý"),INDEX('Phản ánh'!$U$6:$U$505,MATCH($C536,'Phản ánh'!$A$6:$A$505,0)),IF(AND($I536="Công việc",OR($E536="Hoàn thành",$E536="Hoàn thành kỳ")),IF(INDEX('Kế hoạch'!$B$6:$B$305,$O536)="Đột xuất",INDEX('Kế hoạch'!$AY$6:$AY$305,$O536),IF(N($P536)=0,"",IF(INT($B536)&lt;$P536,$P536,IF($Q536&gt;0,$P536+ROUND((INT($B536)-$P536)/$Q536,0)*$Q536,IF($R536&gt;0,EDATE($P536,ROUND((DATEDIF($P536,INT($B536),"m")+(INT($B536)-EDATE($P536,DATEDIF($P536,INT($B536),"m")))/(EDATE($P536,DATEDIF($P536,INT($B536),"m")+1)-EDATE($P536,DATEDIF($P536,INT($B536),"m"))))/$R536,0)*$R536),$P536))))),"")))</f>
      </c>
      <c r="M536" s="223">
        <f>IF(OR($C536="",N($L536)=0,N($B536)=0),"",IF(IF(MOD($L536,1)=0,INT($B536),$B536)&lt;=$L536,"Đúng hạn","Trễ hạn"))</f>
      </c>
      <c r="N536" s="225">
        <f>IF($C536="","",ROW())</f>
      </c>
      <c r="O536" s="225">
        <f>IF($I536="Công việc",MATCH($C536,'Kế hoạch'!$A$6:$A$305,0),"")</f>
      </c>
      <c r="P536" s="234">
        <f>IF($O536="","",INDEX('Kế hoạch'!$I$6:$I$305,$O536))</f>
      </c>
      <c r="Q536" s="225">
        <f>IF($O536="","",INDEX('Kế hoạch'!$AJ$6:$AJ$305,$O536))</f>
      </c>
      <c r="R536" s="225">
        <f>IF($O536="","",INDEX('Kế hoạch'!$AK$6:$AK$305,$O536))</f>
      </c>
    </row>
    <row r="537">
      <c r="A537" s="223">
        <f>IF($C537="","",COUNTIF($C$6:$C537,"?*"))</f>
      </c>
      <c r="B537" s="217"/>
      <c r="C537" s="216"/>
      <c r="D537" s="240"/>
      <c r="E537" s="218"/>
      <c r="F537" s="218"/>
      <c r="G537" s="218"/>
      <c r="H537" s="219"/>
      <c r="I537" s="223">
        <f>IF($C537="","",IF(ISNUMBER(MATCH($C537,'Phản ánh'!$A$6:$A$505,0)),"Phản ánh",IF(ISNUMBER(MATCH($C537,'Kế hoạch'!$A$6:$A$305,0)),"Công việc","Mã chưa có")))</f>
      </c>
      <c r="J537" s="221">
        <f>IF($I537="Phản ánh",INDEX('Phản ánh'!$C$6:$C$505,MATCH($C537,'Phản ánh'!$A$6:$A$505,0)),IF($I537="Công việc",INDEX('Kế hoạch'!$C$6:$C$305,$O537),""))</f>
      </c>
      <c r="K537" s="221">
        <f>IF($I537="Phản ánh",INDEX('Phản ánh'!$K$6:$K$505,MATCH($C537,'Phản ánh'!$A$6:$A$505,0))&amp;"",IF($I537="Công việc",INDEX('Kế hoạch'!$N$6:$N$305,$O537)&amp;"",""))</f>
      </c>
      <c r="L537" s="220">
        <f>IF(OR($C537="",N($B537)=0),"",IF(AND($I537="Phản ánh",$E537="Đã xử lý"),INDEX('Phản ánh'!$U$6:$U$505,MATCH($C537,'Phản ánh'!$A$6:$A$505,0)),IF(AND($I537="Công việc",OR($E537="Hoàn thành",$E537="Hoàn thành kỳ")),IF(INDEX('Kế hoạch'!$B$6:$B$305,$O537)="Đột xuất",INDEX('Kế hoạch'!$AY$6:$AY$305,$O537),IF(N($P537)=0,"",IF(INT($B537)&lt;$P537,$P537,IF($Q537&gt;0,$P537+ROUND((INT($B537)-$P537)/$Q537,0)*$Q537,IF($R537&gt;0,EDATE($P537,ROUND((DATEDIF($P537,INT($B537),"m")+(INT($B537)-EDATE($P537,DATEDIF($P537,INT($B537),"m")))/(EDATE($P537,DATEDIF($P537,INT($B537),"m")+1)-EDATE($P537,DATEDIF($P537,INT($B537),"m"))))/$R537,0)*$R537),$P537))))),"")))</f>
      </c>
      <c r="M537" s="223">
        <f>IF(OR($C537="",N($L537)=0,N($B537)=0),"",IF(IF(MOD($L537,1)=0,INT($B537),$B537)&lt;=$L537,"Đúng hạn","Trễ hạn"))</f>
      </c>
      <c r="N537" s="225">
        <f>IF($C537="","",ROW())</f>
      </c>
      <c r="O537" s="225">
        <f>IF($I537="Công việc",MATCH($C537,'Kế hoạch'!$A$6:$A$305,0),"")</f>
      </c>
      <c r="P537" s="234">
        <f>IF($O537="","",INDEX('Kế hoạch'!$I$6:$I$305,$O537))</f>
      </c>
      <c r="Q537" s="225">
        <f>IF($O537="","",INDEX('Kế hoạch'!$AJ$6:$AJ$305,$O537))</f>
      </c>
      <c r="R537" s="225">
        <f>IF($O537="","",INDEX('Kế hoạch'!$AK$6:$AK$305,$O537))</f>
      </c>
    </row>
    <row r="538">
      <c r="A538" s="223">
        <f>IF($C538="","",COUNTIF($C$6:$C538,"?*"))</f>
      </c>
      <c r="B538" s="217"/>
      <c r="C538" s="216"/>
      <c r="D538" s="240"/>
      <c r="E538" s="218"/>
      <c r="F538" s="218"/>
      <c r="G538" s="218"/>
      <c r="H538" s="219"/>
      <c r="I538" s="223">
        <f>IF($C538="","",IF(ISNUMBER(MATCH($C538,'Phản ánh'!$A$6:$A$505,0)),"Phản ánh",IF(ISNUMBER(MATCH($C538,'Kế hoạch'!$A$6:$A$305,0)),"Công việc","Mã chưa có")))</f>
      </c>
      <c r="J538" s="221">
        <f>IF($I538="Phản ánh",INDEX('Phản ánh'!$C$6:$C$505,MATCH($C538,'Phản ánh'!$A$6:$A$505,0)),IF($I538="Công việc",INDEX('Kế hoạch'!$C$6:$C$305,$O538),""))</f>
      </c>
      <c r="K538" s="221">
        <f>IF($I538="Phản ánh",INDEX('Phản ánh'!$K$6:$K$505,MATCH($C538,'Phản ánh'!$A$6:$A$505,0))&amp;"",IF($I538="Công việc",INDEX('Kế hoạch'!$N$6:$N$305,$O538)&amp;"",""))</f>
      </c>
      <c r="L538" s="220">
        <f>IF(OR($C538="",N($B538)=0),"",IF(AND($I538="Phản ánh",$E538="Đã xử lý"),INDEX('Phản ánh'!$U$6:$U$505,MATCH($C538,'Phản ánh'!$A$6:$A$505,0)),IF(AND($I538="Công việc",OR($E538="Hoàn thành",$E538="Hoàn thành kỳ")),IF(INDEX('Kế hoạch'!$B$6:$B$305,$O538)="Đột xuất",INDEX('Kế hoạch'!$AY$6:$AY$305,$O538),IF(N($P538)=0,"",IF(INT($B538)&lt;$P538,$P538,IF($Q538&gt;0,$P538+ROUND((INT($B538)-$P538)/$Q538,0)*$Q538,IF($R538&gt;0,EDATE($P538,ROUND((DATEDIF($P538,INT($B538),"m")+(INT($B538)-EDATE($P538,DATEDIF($P538,INT($B538),"m")))/(EDATE($P538,DATEDIF($P538,INT($B538),"m")+1)-EDATE($P538,DATEDIF($P538,INT($B538),"m"))))/$R538,0)*$R538),$P538))))),"")))</f>
      </c>
      <c r="M538" s="223">
        <f>IF(OR($C538="",N($L538)=0,N($B538)=0),"",IF(IF(MOD($L538,1)=0,INT($B538),$B538)&lt;=$L538,"Đúng hạn","Trễ hạn"))</f>
      </c>
      <c r="N538" s="225">
        <f>IF($C538="","",ROW())</f>
      </c>
      <c r="O538" s="225">
        <f>IF($I538="Công việc",MATCH($C538,'Kế hoạch'!$A$6:$A$305,0),"")</f>
      </c>
      <c r="P538" s="234">
        <f>IF($O538="","",INDEX('Kế hoạch'!$I$6:$I$305,$O538))</f>
      </c>
      <c r="Q538" s="225">
        <f>IF($O538="","",INDEX('Kế hoạch'!$AJ$6:$AJ$305,$O538))</f>
      </c>
      <c r="R538" s="225">
        <f>IF($O538="","",INDEX('Kế hoạch'!$AK$6:$AK$305,$O538))</f>
      </c>
    </row>
    <row r="539">
      <c r="A539" s="223">
        <f>IF($C539="","",COUNTIF($C$6:$C539,"?*"))</f>
      </c>
      <c r="B539" s="217"/>
      <c r="C539" s="216"/>
      <c r="D539" s="240"/>
      <c r="E539" s="218"/>
      <c r="F539" s="218"/>
      <c r="G539" s="218"/>
      <c r="H539" s="219"/>
      <c r="I539" s="223">
        <f>IF($C539="","",IF(ISNUMBER(MATCH($C539,'Phản ánh'!$A$6:$A$505,0)),"Phản ánh",IF(ISNUMBER(MATCH($C539,'Kế hoạch'!$A$6:$A$305,0)),"Công việc","Mã chưa có")))</f>
      </c>
      <c r="J539" s="221">
        <f>IF($I539="Phản ánh",INDEX('Phản ánh'!$C$6:$C$505,MATCH($C539,'Phản ánh'!$A$6:$A$505,0)),IF($I539="Công việc",INDEX('Kế hoạch'!$C$6:$C$305,$O539),""))</f>
      </c>
      <c r="K539" s="221">
        <f>IF($I539="Phản ánh",INDEX('Phản ánh'!$K$6:$K$505,MATCH($C539,'Phản ánh'!$A$6:$A$505,0))&amp;"",IF($I539="Công việc",INDEX('Kế hoạch'!$N$6:$N$305,$O539)&amp;"",""))</f>
      </c>
      <c r="L539" s="220">
        <f>IF(OR($C539="",N($B539)=0),"",IF(AND($I539="Phản ánh",$E539="Đã xử lý"),INDEX('Phản ánh'!$U$6:$U$505,MATCH($C539,'Phản ánh'!$A$6:$A$505,0)),IF(AND($I539="Công việc",OR($E539="Hoàn thành",$E539="Hoàn thành kỳ")),IF(INDEX('Kế hoạch'!$B$6:$B$305,$O539)="Đột xuất",INDEX('Kế hoạch'!$AY$6:$AY$305,$O539),IF(N($P539)=0,"",IF(INT($B539)&lt;$P539,$P539,IF($Q539&gt;0,$P539+ROUND((INT($B539)-$P539)/$Q539,0)*$Q539,IF($R539&gt;0,EDATE($P539,ROUND((DATEDIF($P539,INT($B539),"m")+(INT($B539)-EDATE($P539,DATEDIF($P539,INT($B539),"m")))/(EDATE($P539,DATEDIF($P539,INT($B539),"m")+1)-EDATE($P539,DATEDIF($P539,INT($B539),"m"))))/$R539,0)*$R539),$P539))))),"")))</f>
      </c>
      <c r="M539" s="223">
        <f>IF(OR($C539="",N($L539)=0,N($B539)=0),"",IF(IF(MOD($L539,1)=0,INT($B539),$B539)&lt;=$L539,"Đúng hạn","Trễ hạn"))</f>
      </c>
      <c r="N539" s="225">
        <f>IF($C539="","",ROW())</f>
      </c>
      <c r="O539" s="225">
        <f>IF($I539="Công việc",MATCH($C539,'Kế hoạch'!$A$6:$A$305,0),"")</f>
      </c>
      <c r="P539" s="234">
        <f>IF($O539="","",INDEX('Kế hoạch'!$I$6:$I$305,$O539))</f>
      </c>
      <c r="Q539" s="225">
        <f>IF($O539="","",INDEX('Kế hoạch'!$AJ$6:$AJ$305,$O539))</f>
      </c>
      <c r="R539" s="225">
        <f>IF($O539="","",INDEX('Kế hoạch'!$AK$6:$AK$305,$O539))</f>
      </c>
    </row>
    <row r="540">
      <c r="A540" s="223">
        <f>IF($C540="","",COUNTIF($C$6:$C540,"?*"))</f>
      </c>
      <c r="B540" s="217"/>
      <c r="C540" s="216"/>
      <c r="D540" s="240"/>
      <c r="E540" s="218"/>
      <c r="F540" s="218"/>
      <c r="G540" s="218"/>
      <c r="H540" s="219"/>
      <c r="I540" s="223">
        <f>IF($C540="","",IF(ISNUMBER(MATCH($C540,'Phản ánh'!$A$6:$A$505,0)),"Phản ánh",IF(ISNUMBER(MATCH($C540,'Kế hoạch'!$A$6:$A$305,0)),"Công việc","Mã chưa có")))</f>
      </c>
      <c r="J540" s="221">
        <f>IF($I540="Phản ánh",INDEX('Phản ánh'!$C$6:$C$505,MATCH($C540,'Phản ánh'!$A$6:$A$505,0)),IF($I540="Công việc",INDEX('Kế hoạch'!$C$6:$C$305,$O540),""))</f>
      </c>
      <c r="K540" s="221">
        <f>IF($I540="Phản ánh",INDEX('Phản ánh'!$K$6:$K$505,MATCH($C540,'Phản ánh'!$A$6:$A$505,0))&amp;"",IF($I540="Công việc",INDEX('Kế hoạch'!$N$6:$N$305,$O540)&amp;"",""))</f>
      </c>
      <c r="L540" s="220">
        <f>IF(OR($C540="",N($B540)=0),"",IF(AND($I540="Phản ánh",$E540="Đã xử lý"),INDEX('Phản ánh'!$U$6:$U$505,MATCH($C540,'Phản ánh'!$A$6:$A$505,0)),IF(AND($I540="Công việc",OR($E540="Hoàn thành",$E540="Hoàn thành kỳ")),IF(INDEX('Kế hoạch'!$B$6:$B$305,$O540)="Đột xuất",INDEX('Kế hoạch'!$AY$6:$AY$305,$O540),IF(N($P540)=0,"",IF(INT($B540)&lt;$P540,$P540,IF($Q540&gt;0,$P540+ROUND((INT($B540)-$P540)/$Q540,0)*$Q540,IF($R540&gt;0,EDATE($P540,ROUND((DATEDIF($P540,INT($B540),"m")+(INT($B540)-EDATE($P540,DATEDIF($P540,INT($B540),"m")))/(EDATE($P540,DATEDIF($P540,INT($B540),"m")+1)-EDATE($P540,DATEDIF($P540,INT($B540),"m"))))/$R540,0)*$R540),$P540))))),"")))</f>
      </c>
      <c r="M540" s="223">
        <f>IF(OR($C540="",N($L540)=0,N($B540)=0),"",IF(IF(MOD($L540,1)=0,INT($B540),$B540)&lt;=$L540,"Đúng hạn","Trễ hạn"))</f>
      </c>
      <c r="N540" s="225">
        <f>IF($C540="","",ROW())</f>
      </c>
      <c r="O540" s="225">
        <f>IF($I540="Công việc",MATCH($C540,'Kế hoạch'!$A$6:$A$305,0),"")</f>
      </c>
      <c r="P540" s="234">
        <f>IF($O540="","",INDEX('Kế hoạch'!$I$6:$I$305,$O540))</f>
      </c>
      <c r="Q540" s="225">
        <f>IF($O540="","",INDEX('Kế hoạch'!$AJ$6:$AJ$305,$O540))</f>
      </c>
      <c r="R540" s="225">
        <f>IF($O540="","",INDEX('Kế hoạch'!$AK$6:$AK$305,$O540))</f>
      </c>
    </row>
    <row r="541">
      <c r="A541" s="223">
        <f>IF($C541="","",COUNTIF($C$6:$C541,"?*"))</f>
      </c>
      <c r="B541" s="217"/>
      <c r="C541" s="216"/>
      <c r="D541" s="240"/>
      <c r="E541" s="218"/>
      <c r="F541" s="218"/>
      <c r="G541" s="218"/>
      <c r="H541" s="219"/>
      <c r="I541" s="223">
        <f>IF($C541="","",IF(ISNUMBER(MATCH($C541,'Phản ánh'!$A$6:$A$505,0)),"Phản ánh",IF(ISNUMBER(MATCH($C541,'Kế hoạch'!$A$6:$A$305,0)),"Công việc","Mã chưa có")))</f>
      </c>
      <c r="J541" s="221">
        <f>IF($I541="Phản ánh",INDEX('Phản ánh'!$C$6:$C$505,MATCH($C541,'Phản ánh'!$A$6:$A$505,0)),IF($I541="Công việc",INDEX('Kế hoạch'!$C$6:$C$305,$O541),""))</f>
      </c>
      <c r="K541" s="221">
        <f>IF($I541="Phản ánh",INDEX('Phản ánh'!$K$6:$K$505,MATCH($C541,'Phản ánh'!$A$6:$A$505,0))&amp;"",IF($I541="Công việc",INDEX('Kế hoạch'!$N$6:$N$305,$O541)&amp;"",""))</f>
      </c>
      <c r="L541" s="220">
        <f>IF(OR($C541="",N($B541)=0),"",IF(AND($I541="Phản ánh",$E541="Đã xử lý"),INDEX('Phản ánh'!$U$6:$U$505,MATCH($C541,'Phản ánh'!$A$6:$A$505,0)),IF(AND($I541="Công việc",OR($E541="Hoàn thành",$E541="Hoàn thành kỳ")),IF(INDEX('Kế hoạch'!$B$6:$B$305,$O541)="Đột xuất",INDEX('Kế hoạch'!$AY$6:$AY$305,$O541),IF(N($P541)=0,"",IF(INT($B541)&lt;$P541,$P541,IF($Q541&gt;0,$P541+ROUND((INT($B541)-$P541)/$Q541,0)*$Q541,IF($R541&gt;0,EDATE($P541,ROUND((DATEDIF($P541,INT($B541),"m")+(INT($B541)-EDATE($P541,DATEDIF($P541,INT($B541),"m")))/(EDATE($P541,DATEDIF($P541,INT($B541),"m")+1)-EDATE($P541,DATEDIF($P541,INT($B541),"m"))))/$R541,0)*$R541),$P541))))),"")))</f>
      </c>
      <c r="M541" s="223">
        <f>IF(OR($C541="",N($L541)=0,N($B541)=0),"",IF(IF(MOD($L541,1)=0,INT($B541),$B541)&lt;=$L541,"Đúng hạn","Trễ hạn"))</f>
      </c>
      <c r="N541" s="225">
        <f>IF($C541="","",ROW())</f>
      </c>
      <c r="O541" s="225">
        <f>IF($I541="Công việc",MATCH($C541,'Kế hoạch'!$A$6:$A$305,0),"")</f>
      </c>
      <c r="P541" s="234">
        <f>IF($O541="","",INDEX('Kế hoạch'!$I$6:$I$305,$O541))</f>
      </c>
      <c r="Q541" s="225">
        <f>IF($O541="","",INDEX('Kế hoạch'!$AJ$6:$AJ$305,$O541))</f>
      </c>
      <c r="R541" s="225">
        <f>IF($O541="","",INDEX('Kế hoạch'!$AK$6:$AK$305,$O541))</f>
      </c>
    </row>
    <row r="542">
      <c r="A542" s="223">
        <f>IF($C542="","",COUNTIF($C$6:$C542,"?*"))</f>
      </c>
      <c r="B542" s="217"/>
      <c r="C542" s="216"/>
      <c r="D542" s="240"/>
      <c r="E542" s="218"/>
      <c r="F542" s="218"/>
      <c r="G542" s="218"/>
      <c r="H542" s="219"/>
      <c r="I542" s="223">
        <f>IF($C542="","",IF(ISNUMBER(MATCH($C542,'Phản ánh'!$A$6:$A$505,0)),"Phản ánh",IF(ISNUMBER(MATCH($C542,'Kế hoạch'!$A$6:$A$305,0)),"Công việc","Mã chưa có")))</f>
      </c>
      <c r="J542" s="221">
        <f>IF($I542="Phản ánh",INDEX('Phản ánh'!$C$6:$C$505,MATCH($C542,'Phản ánh'!$A$6:$A$505,0)),IF($I542="Công việc",INDEX('Kế hoạch'!$C$6:$C$305,$O542),""))</f>
      </c>
      <c r="K542" s="221">
        <f>IF($I542="Phản ánh",INDEX('Phản ánh'!$K$6:$K$505,MATCH($C542,'Phản ánh'!$A$6:$A$505,0))&amp;"",IF($I542="Công việc",INDEX('Kế hoạch'!$N$6:$N$305,$O542)&amp;"",""))</f>
      </c>
      <c r="L542" s="220">
        <f>IF(OR($C542="",N($B542)=0),"",IF(AND($I542="Phản ánh",$E542="Đã xử lý"),INDEX('Phản ánh'!$U$6:$U$505,MATCH($C542,'Phản ánh'!$A$6:$A$505,0)),IF(AND($I542="Công việc",OR($E542="Hoàn thành",$E542="Hoàn thành kỳ")),IF(INDEX('Kế hoạch'!$B$6:$B$305,$O542)="Đột xuất",INDEX('Kế hoạch'!$AY$6:$AY$305,$O542),IF(N($P542)=0,"",IF(INT($B542)&lt;$P542,$P542,IF($Q542&gt;0,$P542+ROUND((INT($B542)-$P542)/$Q542,0)*$Q542,IF($R542&gt;0,EDATE($P542,ROUND((DATEDIF($P542,INT($B542),"m")+(INT($B542)-EDATE($P542,DATEDIF($P542,INT($B542),"m")))/(EDATE($P542,DATEDIF($P542,INT($B542),"m")+1)-EDATE($P542,DATEDIF($P542,INT($B542),"m"))))/$R542,0)*$R542),$P542))))),"")))</f>
      </c>
      <c r="M542" s="223">
        <f>IF(OR($C542="",N($L542)=0,N($B542)=0),"",IF(IF(MOD($L542,1)=0,INT($B542),$B542)&lt;=$L542,"Đúng hạn","Trễ hạn"))</f>
      </c>
      <c r="N542" s="225">
        <f>IF($C542="","",ROW())</f>
      </c>
      <c r="O542" s="225">
        <f>IF($I542="Công việc",MATCH($C542,'Kế hoạch'!$A$6:$A$305,0),"")</f>
      </c>
      <c r="P542" s="234">
        <f>IF($O542="","",INDEX('Kế hoạch'!$I$6:$I$305,$O542))</f>
      </c>
      <c r="Q542" s="225">
        <f>IF($O542="","",INDEX('Kế hoạch'!$AJ$6:$AJ$305,$O542))</f>
      </c>
      <c r="R542" s="225">
        <f>IF($O542="","",INDEX('Kế hoạch'!$AK$6:$AK$305,$O542))</f>
      </c>
    </row>
    <row r="543">
      <c r="A543" s="223">
        <f>IF($C543="","",COUNTIF($C$6:$C543,"?*"))</f>
      </c>
      <c r="B543" s="217"/>
      <c r="C543" s="216"/>
      <c r="D543" s="240"/>
      <c r="E543" s="218"/>
      <c r="F543" s="218"/>
      <c r="G543" s="218"/>
      <c r="H543" s="219"/>
      <c r="I543" s="223">
        <f>IF($C543="","",IF(ISNUMBER(MATCH($C543,'Phản ánh'!$A$6:$A$505,0)),"Phản ánh",IF(ISNUMBER(MATCH($C543,'Kế hoạch'!$A$6:$A$305,0)),"Công việc","Mã chưa có")))</f>
      </c>
      <c r="J543" s="221">
        <f>IF($I543="Phản ánh",INDEX('Phản ánh'!$C$6:$C$505,MATCH($C543,'Phản ánh'!$A$6:$A$505,0)),IF($I543="Công việc",INDEX('Kế hoạch'!$C$6:$C$305,$O543),""))</f>
      </c>
      <c r="K543" s="221">
        <f>IF($I543="Phản ánh",INDEX('Phản ánh'!$K$6:$K$505,MATCH($C543,'Phản ánh'!$A$6:$A$505,0))&amp;"",IF($I543="Công việc",INDEX('Kế hoạch'!$N$6:$N$305,$O543)&amp;"",""))</f>
      </c>
      <c r="L543" s="220">
        <f>IF(OR($C543="",N($B543)=0),"",IF(AND($I543="Phản ánh",$E543="Đã xử lý"),INDEX('Phản ánh'!$U$6:$U$505,MATCH($C543,'Phản ánh'!$A$6:$A$505,0)),IF(AND($I543="Công việc",OR($E543="Hoàn thành",$E543="Hoàn thành kỳ")),IF(INDEX('Kế hoạch'!$B$6:$B$305,$O543)="Đột xuất",INDEX('Kế hoạch'!$AY$6:$AY$305,$O543),IF(N($P543)=0,"",IF(INT($B543)&lt;$P543,$P543,IF($Q543&gt;0,$P543+ROUND((INT($B543)-$P543)/$Q543,0)*$Q543,IF($R543&gt;0,EDATE($P543,ROUND((DATEDIF($P543,INT($B543),"m")+(INT($B543)-EDATE($P543,DATEDIF($P543,INT($B543),"m")))/(EDATE($P543,DATEDIF($P543,INT($B543),"m")+1)-EDATE($P543,DATEDIF($P543,INT($B543),"m"))))/$R543,0)*$R543),$P543))))),"")))</f>
      </c>
      <c r="M543" s="223">
        <f>IF(OR($C543="",N($L543)=0,N($B543)=0),"",IF(IF(MOD($L543,1)=0,INT($B543),$B543)&lt;=$L543,"Đúng hạn","Trễ hạn"))</f>
      </c>
      <c r="N543" s="225">
        <f>IF($C543="","",ROW())</f>
      </c>
      <c r="O543" s="225">
        <f>IF($I543="Công việc",MATCH($C543,'Kế hoạch'!$A$6:$A$305,0),"")</f>
      </c>
      <c r="P543" s="234">
        <f>IF($O543="","",INDEX('Kế hoạch'!$I$6:$I$305,$O543))</f>
      </c>
      <c r="Q543" s="225">
        <f>IF($O543="","",INDEX('Kế hoạch'!$AJ$6:$AJ$305,$O543))</f>
      </c>
      <c r="R543" s="225">
        <f>IF($O543="","",INDEX('Kế hoạch'!$AK$6:$AK$305,$O543))</f>
      </c>
    </row>
    <row r="544">
      <c r="A544" s="223">
        <f>IF($C544="","",COUNTIF($C$6:$C544,"?*"))</f>
      </c>
      <c r="B544" s="217"/>
      <c r="C544" s="216"/>
      <c r="D544" s="240"/>
      <c r="E544" s="218"/>
      <c r="F544" s="218"/>
      <c r="G544" s="218"/>
      <c r="H544" s="219"/>
      <c r="I544" s="223">
        <f>IF($C544="","",IF(ISNUMBER(MATCH($C544,'Phản ánh'!$A$6:$A$505,0)),"Phản ánh",IF(ISNUMBER(MATCH($C544,'Kế hoạch'!$A$6:$A$305,0)),"Công việc","Mã chưa có")))</f>
      </c>
      <c r="J544" s="221">
        <f>IF($I544="Phản ánh",INDEX('Phản ánh'!$C$6:$C$505,MATCH($C544,'Phản ánh'!$A$6:$A$505,0)),IF($I544="Công việc",INDEX('Kế hoạch'!$C$6:$C$305,$O544),""))</f>
      </c>
      <c r="K544" s="221">
        <f>IF($I544="Phản ánh",INDEX('Phản ánh'!$K$6:$K$505,MATCH($C544,'Phản ánh'!$A$6:$A$505,0))&amp;"",IF($I544="Công việc",INDEX('Kế hoạch'!$N$6:$N$305,$O544)&amp;"",""))</f>
      </c>
      <c r="L544" s="220">
        <f>IF(OR($C544="",N($B544)=0),"",IF(AND($I544="Phản ánh",$E544="Đã xử lý"),INDEX('Phản ánh'!$U$6:$U$505,MATCH($C544,'Phản ánh'!$A$6:$A$505,0)),IF(AND($I544="Công việc",OR($E544="Hoàn thành",$E544="Hoàn thành kỳ")),IF(INDEX('Kế hoạch'!$B$6:$B$305,$O544)="Đột xuất",INDEX('Kế hoạch'!$AY$6:$AY$305,$O544),IF(N($P544)=0,"",IF(INT($B544)&lt;$P544,$P544,IF($Q544&gt;0,$P544+ROUND((INT($B544)-$P544)/$Q544,0)*$Q544,IF($R544&gt;0,EDATE($P544,ROUND((DATEDIF($P544,INT($B544),"m")+(INT($B544)-EDATE($P544,DATEDIF($P544,INT($B544),"m")))/(EDATE($P544,DATEDIF($P544,INT($B544),"m")+1)-EDATE($P544,DATEDIF($P544,INT($B544),"m"))))/$R544,0)*$R544),$P544))))),"")))</f>
      </c>
      <c r="M544" s="223">
        <f>IF(OR($C544="",N($L544)=0,N($B544)=0),"",IF(IF(MOD($L544,1)=0,INT($B544),$B544)&lt;=$L544,"Đúng hạn","Trễ hạn"))</f>
      </c>
      <c r="N544" s="225">
        <f>IF($C544="","",ROW())</f>
      </c>
      <c r="O544" s="225">
        <f>IF($I544="Công việc",MATCH($C544,'Kế hoạch'!$A$6:$A$305,0),"")</f>
      </c>
      <c r="P544" s="234">
        <f>IF($O544="","",INDEX('Kế hoạch'!$I$6:$I$305,$O544))</f>
      </c>
      <c r="Q544" s="225">
        <f>IF($O544="","",INDEX('Kế hoạch'!$AJ$6:$AJ$305,$O544))</f>
      </c>
      <c r="R544" s="225">
        <f>IF($O544="","",INDEX('Kế hoạch'!$AK$6:$AK$305,$O544))</f>
      </c>
    </row>
    <row r="545">
      <c r="A545" s="223">
        <f>IF($C545="","",COUNTIF($C$6:$C545,"?*"))</f>
      </c>
      <c r="B545" s="217"/>
      <c r="C545" s="216"/>
      <c r="D545" s="240"/>
      <c r="E545" s="218"/>
      <c r="F545" s="218"/>
      <c r="G545" s="218"/>
      <c r="H545" s="219"/>
      <c r="I545" s="223">
        <f>IF($C545="","",IF(ISNUMBER(MATCH($C545,'Phản ánh'!$A$6:$A$505,0)),"Phản ánh",IF(ISNUMBER(MATCH($C545,'Kế hoạch'!$A$6:$A$305,0)),"Công việc","Mã chưa có")))</f>
      </c>
      <c r="J545" s="221">
        <f>IF($I545="Phản ánh",INDEX('Phản ánh'!$C$6:$C$505,MATCH($C545,'Phản ánh'!$A$6:$A$505,0)),IF($I545="Công việc",INDEX('Kế hoạch'!$C$6:$C$305,$O545),""))</f>
      </c>
      <c r="K545" s="221">
        <f>IF($I545="Phản ánh",INDEX('Phản ánh'!$K$6:$K$505,MATCH($C545,'Phản ánh'!$A$6:$A$505,0))&amp;"",IF($I545="Công việc",INDEX('Kế hoạch'!$N$6:$N$305,$O545)&amp;"",""))</f>
      </c>
      <c r="L545" s="220">
        <f>IF(OR($C545="",N($B545)=0),"",IF(AND($I545="Phản ánh",$E545="Đã xử lý"),INDEX('Phản ánh'!$U$6:$U$505,MATCH($C545,'Phản ánh'!$A$6:$A$505,0)),IF(AND($I545="Công việc",OR($E545="Hoàn thành",$E545="Hoàn thành kỳ")),IF(INDEX('Kế hoạch'!$B$6:$B$305,$O545)="Đột xuất",INDEX('Kế hoạch'!$AY$6:$AY$305,$O545),IF(N($P545)=0,"",IF(INT($B545)&lt;$P545,$P545,IF($Q545&gt;0,$P545+ROUND((INT($B545)-$P545)/$Q545,0)*$Q545,IF($R545&gt;0,EDATE($P545,ROUND((DATEDIF($P545,INT($B545),"m")+(INT($B545)-EDATE($P545,DATEDIF($P545,INT($B545),"m")))/(EDATE($P545,DATEDIF($P545,INT($B545),"m")+1)-EDATE($P545,DATEDIF($P545,INT($B545),"m"))))/$R545,0)*$R545),$P545))))),"")))</f>
      </c>
      <c r="M545" s="223">
        <f>IF(OR($C545="",N($L545)=0,N($B545)=0),"",IF(IF(MOD($L545,1)=0,INT($B545),$B545)&lt;=$L545,"Đúng hạn","Trễ hạn"))</f>
      </c>
      <c r="N545" s="225">
        <f>IF($C545="","",ROW())</f>
      </c>
      <c r="O545" s="225">
        <f>IF($I545="Công việc",MATCH($C545,'Kế hoạch'!$A$6:$A$305,0),"")</f>
      </c>
      <c r="P545" s="234">
        <f>IF($O545="","",INDEX('Kế hoạch'!$I$6:$I$305,$O545))</f>
      </c>
      <c r="Q545" s="225">
        <f>IF($O545="","",INDEX('Kế hoạch'!$AJ$6:$AJ$305,$O545))</f>
      </c>
      <c r="R545" s="225">
        <f>IF($O545="","",INDEX('Kế hoạch'!$AK$6:$AK$305,$O545))</f>
      </c>
    </row>
    <row r="546">
      <c r="A546" s="223">
        <f>IF($C546="","",COUNTIF($C$6:$C546,"?*"))</f>
      </c>
      <c r="B546" s="217"/>
      <c r="C546" s="216"/>
      <c r="D546" s="240"/>
      <c r="E546" s="218"/>
      <c r="F546" s="218"/>
      <c r="G546" s="218"/>
      <c r="H546" s="219"/>
      <c r="I546" s="223">
        <f>IF($C546="","",IF(ISNUMBER(MATCH($C546,'Phản ánh'!$A$6:$A$505,0)),"Phản ánh",IF(ISNUMBER(MATCH($C546,'Kế hoạch'!$A$6:$A$305,0)),"Công việc","Mã chưa có")))</f>
      </c>
      <c r="J546" s="221">
        <f>IF($I546="Phản ánh",INDEX('Phản ánh'!$C$6:$C$505,MATCH($C546,'Phản ánh'!$A$6:$A$505,0)),IF($I546="Công việc",INDEX('Kế hoạch'!$C$6:$C$305,$O546),""))</f>
      </c>
      <c r="K546" s="221">
        <f>IF($I546="Phản ánh",INDEX('Phản ánh'!$K$6:$K$505,MATCH($C546,'Phản ánh'!$A$6:$A$505,0))&amp;"",IF($I546="Công việc",INDEX('Kế hoạch'!$N$6:$N$305,$O546)&amp;"",""))</f>
      </c>
      <c r="L546" s="220">
        <f>IF(OR($C546="",N($B546)=0),"",IF(AND($I546="Phản ánh",$E546="Đã xử lý"),INDEX('Phản ánh'!$U$6:$U$505,MATCH($C546,'Phản ánh'!$A$6:$A$505,0)),IF(AND($I546="Công việc",OR($E546="Hoàn thành",$E546="Hoàn thành kỳ")),IF(INDEX('Kế hoạch'!$B$6:$B$305,$O546)="Đột xuất",INDEX('Kế hoạch'!$AY$6:$AY$305,$O546),IF(N($P546)=0,"",IF(INT($B546)&lt;$P546,$P546,IF($Q546&gt;0,$P546+ROUND((INT($B546)-$P546)/$Q546,0)*$Q546,IF($R546&gt;0,EDATE($P546,ROUND((DATEDIF($P546,INT($B546),"m")+(INT($B546)-EDATE($P546,DATEDIF($P546,INT($B546),"m")))/(EDATE($P546,DATEDIF($P546,INT($B546),"m")+1)-EDATE($P546,DATEDIF($P546,INT($B546),"m"))))/$R546,0)*$R546),$P546))))),"")))</f>
      </c>
      <c r="M546" s="223">
        <f>IF(OR($C546="",N($L546)=0,N($B546)=0),"",IF(IF(MOD($L546,1)=0,INT($B546),$B546)&lt;=$L546,"Đúng hạn","Trễ hạn"))</f>
      </c>
      <c r="N546" s="225">
        <f>IF($C546="","",ROW())</f>
      </c>
      <c r="O546" s="225">
        <f>IF($I546="Công việc",MATCH($C546,'Kế hoạch'!$A$6:$A$305,0),"")</f>
      </c>
      <c r="P546" s="234">
        <f>IF($O546="","",INDEX('Kế hoạch'!$I$6:$I$305,$O546))</f>
      </c>
      <c r="Q546" s="225">
        <f>IF($O546="","",INDEX('Kế hoạch'!$AJ$6:$AJ$305,$O546))</f>
      </c>
      <c r="R546" s="225">
        <f>IF($O546="","",INDEX('Kế hoạch'!$AK$6:$AK$305,$O546))</f>
      </c>
    </row>
    <row r="547">
      <c r="A547" s="223">
        <f>IF($C547="","",COUNTIF($C$6:$C547,"?*"))</f>
      </c>
      <c r="B547" s="217"/>
      <c r="C547" s="216"/>
      <c r="D547" s="240"/>
      <c r="E547" s="218"/>
      <c r="F547" s="218"/>
      <c r="G547" s="218"/>
      <c r="H547" s="219"/>
      <c r="I547" s="223">
        <f>IF($C547="","",IF(ISNUMBER(MATCH($C547,'Phản ánh'!$A$6:$A$505,0)),"Phản ánh",IF(ISNUMBER(MATCH($C547,'Kế hoạch'!$A$6:$A$305,0)),"Công việc","Mã chưa có")))</f>
      </c>
      <c r="J547" s="221">
        <f>IF($I547="Phản ánh",INDEX('Phản ánh'!$C$6:$C$505,MATCH($C547,'Phản ánh'!$A$6:$A$505,0)),IF($I547="Công việc",INDEX('Kế hoạch'!$C$6:$C$305,$O547),""))</f>
      </c>
      <c r="K547" s="221">
        <f>IF($I547="Phản ánh",INDEX('Phản ánh'!$K$6:$K$505,MATCH($C547,'Phản ánh'!$A$6:$A$505,0))&amp;"",IF($I547="Công việc",INDEX('Kế hoạch'!$N$6:$N$305,$O547)&amp;"",""))</f>
      </c>
      <c r="L547" s="220">
        <f>IF(OR($C547="",N($B547)=0),"",IF(AND($I547="Phản ánh",$E547="Đã xử lý"),INDEX('Phản ánh'!$U$6:$U$505,MATCH($C547,'Phản ánh'!$A$6:$A$505,0)),IF(AND($I547="Công việc",OR($E547="Hoàn thành",$E547="Hoàn thành kỳ")),IF(INDEX('Kế hoạch'!$B$6:$B$305,$O547)="Đột xuất",INDEX('Kế hoạch'!$AY$6:$AY$305,$O547),IF(N($P547)=0,"",IF(INT($B547)&lt;$P547,$P547,IF($Q547&gt;0,$P547+ROUND((INT($B547)-$P547)/$Q547,0)*$Q547,IF($R547&gt;0,EDATE($P547,ROUND((DATEDIF($P547,INT($B547),"m")+(INT($B547)-EDATE($P547,DATEDIF($P547,INT($B547),"m")))/(EDATE($P547,DATEDIF($P547,INT($B547),"m")+1)-EDATE($P547,DATEDIF($P547,INT($B547),"m"))))/$R547,0)*$R547),$P547))))),"")))</f>
      </c>
      <c r="M547" s="223">
        <f>IF(OR($C547="",N($L547)=0,N($B547)=0),"",IF(IF(MOD($L547,1)=0,INT($B547),$B547)&lt;=$L547,"Đúng hạn","Trễ hạn"))</f>
      </c>
      <c r="N547" s="225">
        <f>IF($C547="","",ROW())</f>
      </c>
      <c r="O547" s="225">
        <f>IF($I547="Công việc",MATCH($C547,'Kế hoạch'!$A$6:$A$305,0),"")</f>
      </c>
      <c r="P547" s="234">
        <f>IF($O547="","",INDEX('Kế hoạch'!$I$6:$I$305,$O547))</f>
      </c>
      <c r="Q547" s="225">
        <f>IF($O547="","",INDEX('Kế hoạch'!$AJ$6:$AJ$305,$O547))</f>
      </c>
      <c r="R547" s="225">
        <f>IF($O547="","",INDEX('Kế hoạch'!$AK$6:$AK$305,$O547))</f>
      </c>
    </row>
    <row r="548">
      <c r="A548" s="223">
        <f>IF($C548="","",COUNTIF($C$6:$C548,"?*"))</f>
      </c>
      <c r="B548" s="217"/>
      <c r="C548" s="216"/>
      <c r="D548" s="240"/>
      <c r="E548" s="218"/>
      <c r="F548" s="218"/>
      <c r="G548" s="218"/>
      <c r="H548" s="219"/>
      <c r="I548" s="223">
        <f>IF($C548="","",IF(ISNUMBER(MATCH($C548,'Phản ánh'!$A$6:$A$505,0)),"Phản ánh",IF(ISNUMBER(MATCH($C548,'Kế hoạch'!$A$6:$A$305,0)),"Công việc","Mã chưa có")))</f>
      </c>
      <c r="J548" s="221">
        <f>IF($I548="Phản ánh",INDEX('Phản ánh'!$C$6:$C$505,MATCH($C548,'Phản ánh'!$A$6:$A$505,0)),IF($I548="Công việc",INDEX('Kế hoạch'!$C$6:$C$305,$O548),""))</f>
      </c>
      <c r="K548" s="221">
        <f>IF($I548="Phản ánh",INDEX('Phản ánh'!$K$6:$K$505,MATCH($C548,'Phản ánh'!$A$6:$A$505,0))&amp;"",IF($I548="Công việc",INDEX('Kế hoạch'!$N$6:$N$305,$O548)&amp;"",""))</f>
      </c>
      <c r="L548" s="220">
        <f>IF(OR($C548="",N($B548)=0),"",IF(AND($I548="Phản ánh",$E548="Đã xử lý"),INDEX('Phản ánh'!$U$6:$U$505,MATCH($C548,'Phản ánh'!$A$6:$A$505,0)),IF(AND($I548="Công việc",OR($E548="Hoàn thành",$E548="Hoàn thành kỳ")),IF(INDEX('Kế hoạch'!$B$6:$B$305,$O548)="Đột xuất",INDEX('Kế hoạch'!$AY$6:$AY$305,$O548),IF(N($P548)=0,"",IF(INT($B548)&lt;$P548,$P548,IF($Q548&gt;0,$P548+ROUND((INT($B548)-$P548)/$Q548,0)*$Q548,IF($R548&gt;0,EDATE($P548,ROUND((DATEDIF($P548,INT($B548),"m")+(INT($B548)-EDATE($P548,DATEDIF($P548,INT($B548),"m")))/(EDATE($P548,DATEDIF($P548,INT($B548),"m")+1)-EDATE($P548,DATEDIF($P548,INT($B548),"m"))))/$R548,0)*$R548),$P548))))),"")))</f>
      </c>
      <c r="M548" s="223">
        <f>IF(OR($C548="",N($L548)=0,N($B548)=0),"",IF(IF(MOD($L548,1)=0,INT($B548),$B548)&lt;=$L548,"Đúng hạn","Trễ hạn"))</f>
      </c>
      <c r="N548" s="225">
        <f>IF($C548="","",ROW())</f>
      </c>
      <c r="O548" s="225">
        <f>IF($I548="Công việc",MATCH($C548,'Kế hoạch'!$A$6:$A$305,0),"")</f>
      </c>
      <c r="P548" s="234">
        <f>IF($O548="","",INDEX('Kế hoạch'!$I$6:$I$305,$O548))</f>
      </c>
      <c r="Q548" s="225">
        <f>IF($O548="","",INDEX('Kế hoạch'!$AJ$6:$AJ$305,$O548))</f>
      </c>
      <c r="R548" s="225">
        <f>IF($O548="","",INDEX('Kế hoạch'!$AK$6:$AK$305,$O548))</f>
      </c>
    </row>
    <row r="549">
      <c r="A549" s="223">
        <f>IF($C549="","",COUNTIF($C$6:$C549,"?*"))</f>
      </c>
      <c r="B549" s="217"/>
      <c r="C549" s="216"/>
      <c r="D549" s="240"/>
      <c r="E549" s="218"/>
      <c r="F549" s="218"/>
      <c r="G549" s="218"/>
      <c r="H549" s="219"/>
      <c r="I549" s="223">
        <f>IF($C549="","",IF(ISNUMBER(MATCH($C549,'Phản ánh'!$A$6:$A$505,0)),"Phản ánh",IF(ISNUMBER(MATCH($C549,'Kế hoạch'!$A$6:$A$305,0)),"Công việc","Mã chưa có")))</f>
      </c>
      <c r="J549" s="221">
        <f>IF($I549="Phản ánh",INDEX('Phản ánh'!$C$6:$C$505,MATCH($C549,'Phản ánh'!$A$6:$A$505,0)),IF($I549="Công việc",INDEX('Kế hoạch'!$C$6:$C$305,$O549),""))</f>
      </c>
      <c r="K549" s="221">
        <f>IF($I549="Phản ánh",INDEX('Phản ánh'!$K$6:$K$505,MATCH($C549,'Phản ánh'!$A$6:$A$505,0))&amp;"",IF($I549="Công việc",INDEX('Kế hoạch'!$N$6:$N$305,$O549)&amp;"",""))</f>
      </c>
      <c r="L549" s="220">
        <f>IF(OR($C549="",N($B549)=0),"",IF(AND($I549="Phản ánh",$E549="Đã xử lý"),INDEX('Phản ánh'!$U$6:$U$505,MATCH($C549,'Phản ánh'!$A$6:$A$505,0)),IF(AND($I549="Công việc",OR($E549="Hoàn thành",$E549="Hoàn thành kỳ")),IF(INDEX('Kế hoạch'!$B$6:$B$305,$O549)="Đột xuất",INDEX('Kế hoạch'!$AY$6:$AY$305,$O549),IF(N($P549)=0,"",IF(INT($B549)&lt;$P549,$P549,IF($Q549&gt;0,$P549+ROUND((INT($B549)-$P549)/$Q549,0)*$Q549,IF($R549&gt;0,EDATE($P549,ROUND((DATEDIF($P549,INT($B549),"m")+(INT($B549)-EDATE($P549,DATEDIF($P549,INT($B549),"m")))/(EDATE($P549,DATEDIF($P549,INT($B549),"m")+1)-EDATE($P549,DATEDIF($P549,INT($B549),"m"))))/$R549,0)*$R549),$P549))))),"")))</f>
      </c>
      <c r="M549" s="223">
        <f>IF(OR($C549="",N($L549)=0,N($B549)=0),"",IF(IF(MOD($L549,1)=0,INT($B549),$B549)&lt;=$L549,"Đúng hạn","Trễ hạn"))</f>
      </c>
      <c r="N549" s="225">
        <f>IF($C549="","",ROW())</f>
      </c>
      <c r="O549" s="225">
        <f>IF($I549="Công việc",MATCH($C549,'Kế hoạch'!$A$6:$A$305,0),"")</f>
      </c>
      <c r="P549" s="234">
        <f>IF($O549="","",INDEX('Kế hoạch'!$I$6:$I$305,$O549))</f>
      </c>
      <c r="Q549" s="225">
        <f>IF($O549="","",INDEX('Kế hoạch'!$AJ$6:$AJ$305,$O549))</f>
      </c>
      <c r="R549" s="225">
        <f>IF($O549="","",INDEX('Kế hoạch'!$AK$6:$AK$305,$O549))</f>
      </c>
    </row>
    <row r="550">
      <c r="A550" s="223">
        <f>IF($C550="","",COUNTIF($C$6:$C550,"?*"))</f>
      </c>
      <c r="B550" s="217"/>
      <c r="C550" s="216"/>
      <c r="D550" s="240"/>
      <c r="E550" s="218"/>
      <c r="F550" s="218"/>
      <c r="G550" s="218"/>
      <c r="H550" s="219"/>
      <c r="I550" s="223">
        <f>IF($C550="","",IF(ISNUMBER(MATCH($C550,'Phản ánh'!$A$6:$A$505,0)),"Phản ánh",IF(ISNUMBER(MATCH($C550,'Kế hoạch'!$A$6:$A$305,0)),"Công việc","Mã chưa có")))</f>
      </c>
      <c r="J550" s="221">
        <f>IF($I550="Phản ánh",INDEX('Phản ánh'!$C$6:$C$505,MATCH($C550,'Phản ánh'!$A$6:$A$505,0)),IF($I550="Công việc",INDEX('Kế hoạch'!$C$6:$C$305,$O550),""))</f>
      </c>
      <c r="K550" s="221">
        <f>IF($I550="Phản ánh",INDEX('Phản ánh'!$K$6:$K$505,MATCH($C550,'Phản ánh'!$A$6:$A$505,0))&amp;"",IF($I550="Công việc",INDEX('Kế hoạch'!$N$6:$N$305,$O550)&amp;"",""))</f>
      </c>
      <c r="L550" s="220">
        <f>IF(OR($C550="",N($B550)=0),"",IF(AND($I550="Phản ánh",$E550="Đã xử lý"),INDEX('Phản ánh'!$U$6:$U$505,MATCH($C550,'Phản ánh'!$A$6:$A$505,0)),IF(AND($I550="Công việc",OR($E550="Hoàn thành",$E550="Hoàn thành kỳ")),IF(INDEX('Kế hoạch'!$B$6:$B$305,$O550)="Đột xuất",INDEX('Kế hoạch'!$AY$6:$AY$305,$O550),IF(N($P550)=0,"",IF(INT($B550)&lt;$P550,$P550,IF($Q550&gt;0,$P550+ROUND((INT($B550)-$P550)/$Q550,0)*$Q550,IF($R550&gt;0,EDATE($P550,ROUND((DATEDIF($P550,INT($B550),"m")+(INT($B550)-EDATE($P550,DATEDIF($P550,INT($B550),"m")))/(EDATE($P550,DATEDIF($P550,INT($B550),"m")+1)-EDATE($P550,DATEDIF($P550,INT($B550),"m"))))/$R550,0)*$R550),$P550))))),"")))</f>
      </c>
      <c r="M550" s="223">
        <f>IF(OR($C550="",N($L550)=0,N($B550)=0),"",IF(IF(MOD($L550,1)=0,INT($B550),$B550)&lt;=$L550,"Đúng hạn","Trễ hạn"))</f>
      </c>
      <c r="N550" s="225">
        <f>IF($C550="","",ROW())</f>
      </c>
      <c r="O550" s="225">
        <f>IF($I550="Công việc",MATCH($C550,'Kế hoạch'!$A$6:$A$305,0),"")</f>
      </c>
      <c r="P550" s="234">
        <f>IF($O550="","",INDEX('Kế hoạch'!$I$6:$I$305,$O550))</f>
      </c>
      <c r="Q550" s="225">
        <f>IF($O550="","",INDEX('Kế hoạch'!$AJ$6:$AJ$305,$O550))</f>
      </c>
      <c r="R550" s="225">
        <f>IF($O550="","",INDEX('Kế hoạch'!$AK$6:$AK$305,$O550))</f>
      </c>
    </row>
    <row r="551">
      <c r="A551" s="223">
        <f>IF($C551="","",COUNTIF($C$6:$C551,"?*"))</f>
      </c>
      <c r="B551" s="217"/>
      <c r="C551" s="216"/>
      <c r="D551" s="240"/>
      <c r="E551" s="218"/>
      <c r="F551" s="218"/>
      <c r="G551" s="218"/>
      <c r="H551" s="219"/>
      <c r="I551" s="223">
        <f>IF($C551="","",IF(ISNUMBER(MATCH($C551,'Phản ánh'!$A$6:$A$505,0)),"Phản ánh",IF(ISNUMBER(MATCH($C551,'Kế hoạch'!$A$6:$A$305,0)),"Công việc","Mã chưa có")))</f>
      </c>
      <c r="J551" s="221">
        <f>IF($I551="Phản ánh",INDEX('Phản ánh'!$C$6:$C$505,MATCH($C551,'Phản ánh'!$A$6:$A$505,0)),IF($I551="Công việc",INDEX('Kế hoạch'!$C$6:$C$305,$O551),""))</f>
      </c>
      <c r="K551" s="221">
        <f>IF($I551="Phản ánh",INDEX('Phản ánh'!$K$6:$K$505,MATCH($C551,'Phản ánh'!$A$6:$A$505,0))&amp;"",IF($I551="Công việc",INDEX('Kế hoạch'!$N$6:$N$305,$O551)&amp;"",""))</f>
      </c>
      <c r="L551" s="220">
        <f>IF(OR($C551="",N($B551)=0),"",IF(AND($I551="Phản ánh",$E551="Đã xử lý"),INDEX('Phản ánh'!$U$6:$U$505,MATCH($C551,'Phản ánh'!$A$6:$A$505,0)),IF(AND($I551="Công việc",OR($E551="Hoàn thành",$E551="Hoàn thành kỳ")),IF(INDEX('Kế hoạch'!$B$6:$B$305,$O551)="Đột xuất",INDEX('Kế hoạch'!$AY$6:$AY$305,$O551),IF(N($P551)=0,"",IF(INT($B551)&lt;$P551,$P551,IF($Q551&gt;0,$P551+ROUND((INT($B551)-$P551)/$Q551,0)*$Q551,IF($R551&gt;0,EDATE($P551,ROUND((DATEDIF($P551,INT($B551),"m")+(INT($B551)-EDATE($P551,DATEDIF($P551,INT($B551),"m")))/(EDATE($P551,DATEDIF($P551,INT($B551),"m")+1)-EDATE($P551,DATEDIF($P551,INT($B551),"m"))))/$R551,0)*$R551),$P551))))),"")))</f>
      </c>
      <c r="M551" s="223">
        <f>IF(OR($C551="",N($L551)=0,N($B551)=0),"",IF(IF(MOD($L551,1)=0,INT($B551),$B551)&lt;=$L551,"Đúng hạn","Trễ hạn"))</f>
      </c>
      <c r="N551" s="225">
        <f>IF($C551="","",ROW())</f>
      </c>
      <c r="O551" s="225">
        <f>IF($I551="Công việc",MATCH($C551,'Kế hoạch'!$A$6:$A$305,0),"")</f>
      </c>
      <c r="P551" s="234">
        <f>IF($O551="","",INDEX('Kế hoạch'!$I$6:$I$305,$O551))</f>
      </c>
      <c r="Q551" s="225">
        <f>IF($O551="","",INDEX('Kế hoạch'!$AJ$6:$AJ$305,$O551))</f>
      </c>
      <c r="R551" s="225">
        <f>IF($O551="","",INDEX('Kế hoạch'!$AK$6:$AK$305,$O551))</f>
      </c>
    </row>
    <row r="552">
      <c r="A552" s="223">
        <f>IF($C552="","",COUNTIF($C$6:$C552,"?*"))</f>
      </c>
      <c r="B552" s="217"/>
      <c r="C552" s="216"/>
      <c r="D552" s="240"/>
      <c r="E552" s="218"/>
      <c r="F552" s="218"/>
      <c r="G552" s="218"/>
      <c r="H552" s="219"/>
      <c r="I552" s="223">
        <f>IF($C552="","",IF(ISNUMBER(MATCH($C552,'Phản ánh'!$A$6:$A$505,0)),"Phản ánh",IF(ISNUMBER(MATCH($C552,'Kế hoạch'!$A$6:$A$305,0)),"Công việc","Mã chưa có")))</f>
      </c>
      <c r="J552" s="221">
        <f>IF($I552="Phản ánh",INDEX('Phản ánh'!$C$6:$C$505,MATCH($C552,'Phản ánh'!$A$6:$A$505,0)),IF($I552="Công việc",INDEX('Kế hoạch'!$C$6:$C$305,$O552),""))</f>
      </c>
      <c r="K552" s="221">
        <f>IF($I552="Phản ánh",INDEX('Phản ánh'!$K$6:$K$505,MATCH($C552,'Phản ánh'!$A$6:$A$505,0))&amp;"",IF($I552="Công việc",INDEX('Kế hoạch'!$N$6:$N$305,$O552)&amp;"",""))</f>
      </c>
      <c r="L552" s="220">
        <f>IF(OR($C552="",N($B552)=0),"",IF(AND($I552="Phản ánh",$E552="Đã xử lý"),INDEX('Phản ánh'!$U$6:$U$505,MATCH($C552,'Phản ánh'!$A$6:$A$505,0)),IF(AND($I552="Công việc",OR($E552="Hoàn thành",$E552="Hoàn thành kỳ")),IF(INDEX('Kế hoạch'!$B$6:$B$305,$O552)="Đột xuất",INDEX('Kế hoạch'!$AY$6:$AY$305,$O552),IF(N($P552)=0,"",IF(INT($B552)&lt;$P552,$P552,IF($Q552&gt;0,$P552+ROUND((INT($B552)-$P552)/$Q552,0)*$Q552,IF($R552&gt;0,EDATE($P552,ROUND((DATEDIF($P552,INT($B552),"m")+(INT($B552)-EDATE($P552,DATEDIF($P552,INT($B552),"m")))/(EDATE($P552,DATEDIF($P552,INT($B552),"m")+1)-EDATE($P552,DATEDIF($P552,INT($B552),"m"))))/$R552,0)*$R552),$P552))))),"")))</f>
      </c>
      <c r="M552" s="223">
        <f>IF(OR($C552="",N($L552)=0,N($B552)=0),"",IF(IF(MOD($L552,1)=0,INT($B552),$B552)&lt;=$L552,"Đúng hạn","Trễ hạn"))</f>
      </c>
      <c r="N552" s="225">
        <f>IF($C552="","",ROW())</f>
      </c>
      <c r="O552" s="225">
        <f>IF($I552="Công việc",MATCH($C552,'Kế hoạch'!$A$6:$A$305,0),"")</f>
      </c>
      <c r="P552" s="234">
        <f>IF($O552="","",INDEX('Kế hoạch'!$I$6:$I$305,$O552))</f>
      </c>
      <c r="Q552" s="225">
        <f>IF($O552="","",INDEX('Kế hoạch'!$AJ$6:$AJ$305,$O552))</f>
      </c>
      <c r="R552" s="225">
        <f>IF($O552="","",INDEX('Kế hoạch'!$AK$6:$AK$305,$O552))</f>
      </c>
    </row>
    <row r="553">
      <c r="A553" s="223">
        <f>IF($C553="","",COUNTIF($C$6:$C553,"?*"))</f>
      </c>
      <c r="B553" s="217"/>
      <c r="C553" s="216"/>
      <c r="D553" s="240"/>
      <c r="E553" s="218"/>
      <c r="F553" s="218"/>
      <c r="G553" s="218"/>
      <c r="H553" s="219"/>
      <c r="I553" s="223">
        <f>IF($C553="","",IF(ISNUMBER(MATCH($C553,'Phản ánh'!$A$6:$A$505,0)),"Phản ánh",IF(ISNUMBER(MATCH($C553,'Kế hoạch'!$A$6:$A$305,0)),"Công việc","Mã chưa có")))</f>
      </c>
      <c r="J553" s="221">
        <f>IF($I553="Phản ánh",INDEX('Phản ánh'!$C$6:$C$505,MATCH($C553,'Phản ánh'!$A$6:$A$505,0)),IF($I553="Công việc",INDEX('Kế hoạch'!$C$6:$C$305,$O553),""))</f>
      </c>
      <c r="K553" s="221">
        <f>IF($I553="Phản ánh",INDEX('Phản ánh'!$K$6:$K$505,MATCH($C553,'Phản ánh'!$A$6:$A$505,0))&amp;"",IF($I553="Công việc",INDEX('Kế hoạch'!$N$6:$N$305,$O553)&amp;"",""))</f>
      </c>
      <c r="L553" s="220">
        <f>IF(OR($C553="",N($B553)=0),"",IF(AND($I553="Phản ánh",$E553="Đã xử lý"),INDEX('Phản ánh'!$U$6:$U$505,MATCH($C553,'Phản ánh'!$A$6:$A$505,0)),IF(AND($I553="Công việc",OR($E553="Hoàn thành",$E553="Hoàn thành kỳ")),IF(INDEX('Kế hoạch'!$B$6:$B$305,$O553)="Đột xuất",INDEX('Kế hoạch'!$AY$6:$AY$305,$O553),IF(N($P553)=0,"",IF(INT($B553)&lt;$P553,$P553,IF($Q553&gt;0,$P553+ROUND((INT($B553)-$P553)/$Q553,0)*$Q553,IF($R553&gt;0,EDATE($P553,ROUND((DATEDIF($P553,INT($B553),"m")+(INT($B553)-EDATE($P553,DATEDIF($P553,INT($B553),"m")))/(EDATE($P553,DATEDIF($P553,INT($B553),"m")+1)-EDATE($P553,DATEDIF($P553,INT($B553),"m"))))/$R553,0)*$R553),$P553))))),"")))</f>
      </c>
      <c r="M553" s="223">
        <f>IF(OR($C553="",N($L553)=0,N($B553)=0),"",IF(IF(MOD($L553,1)=0,INT($B553),$B553)&lt;=$L553,"Đúng hạn","Trễ hạn"))</f>
      </c>
      <c r="N553" s="225">
        <f>IF($C553="","",ROW())</f>
      </c>
      <c r="O553" s="225">
        <f>IF($I553="Công việc",MATCH($C553,'Kế hoạch'!$A$6:$A$305,0),"")</f>
      </c>
      <c r="P553" s="234">
        <f>IF($O553="","",INDEX('Kế hoạch'!$I$6:$I$305,$O553))</f>
      </c>
      <c r="Q553" s="225">
        <f>IF($O553="","",INDEX('Kế hoạch'!$AJ$6:$AJ$305,$O553))</f>
      </c>
      <c r="R553" s="225">
        <f>IF($O553="","",INDEX('Kế hoạch'!$AK$6:$AK$305,$O553))</f>
      </c>
    </row>
    <row r="554">
      <c r="A554" s="223">
        <f>IF($C554="","",COUNTIF($C$6:$C554,"?*"))</f>
      </c>
      <c r="B554" s="217"/>
      <c r="C554" s="216"/>
      <c r="D554" s="240"/>
      <c r="E554" s="218"/>
      <c r="F554" s="218"/>
      <c r="G554" s="218"/>
      <c r="H554" s="219"/>
      <c r="I554" s="223">
        <f>IF($C554="","",IF(ISNUMBER(MATCH($C554,'Phản ánh'!$A$6:$A$505,0)),"Phản ánh",IF(ISNUMBER(MATCH($C554,'Kế hoạch'!$A$6:$A$305,0)),"Công việc","Mã chưa có")))</f>
      </c>
      <c r="J554" s="221">
        <f>IF($I554="Phản ánh",INDEX('Phản ánh'!$C$6:$C$505,MATCH($C554,'Phản ánh'!$A$6:$A$505,0)),IF($I554="Công việc",INDEX('Kế hoạch'!$C$6:$C$305,$O554),""))</f>
      </c>
      <c r="K554" s="221">
        <f>IF($I554="Phản ánh",INDEX('Phản ánh'!$K$6:$K$505,MATCH($C554,'Phản ánh'!$A$6:$A$505,0))&amp;"",IF($I554="Công việc",INDEX('Kế hoạch'!$N$6:$N$305,$O554)&amp;"",""))</f>
      </c>
      <c r="L554" s="220">
        <f>IF(OR($C554="",N($B554)=0),"",IF(AND($I554="Phản ánh",$E554="Đã xử lý"),INDEX('Phản ánh'!$U$6:$U$505,MATCH($C554,'Phản ánh'!$A$6:$A$505,0)),IF(AND($I554="Công việc",OR($E554="Hoàn thành",$E554="Hoàn thành kỳ")),IF(INDEX('Kế hoạch'!$B$6:$B$305,$O554)="Đột xuất",INDEX('Kế hoạch'!$AY$6:$AY$305,$O554),IF(N($P554)=0,"",IF(INT($B554)&lt;$P554,$P554,IF($Q554&gt;0,$P554+ROUND((INT($B554)-$P554)/$Q554,0)*$Q554,IF($R554&gt;0,EDATE($P554,ROUND((DATEDIF($P554,INT($B554),"m")+(INT($B554)-EDATE($P554,DATEDIF($P554,INT($B554),"m")))/(EDATE($P554,DATEDIF($P554,INT($B554),"m")+1)-EDATE($P554,DATEDIF($P554,INT($B554),"m"))))/$R554,0)*$R554),$P554))))),"")))</f>
      </c>
      <c r="M554" s="223">
        <f>IF(OR($C554="",N($L554)=0,N($B554)=0),"",IF(IF(MOD($L554,1)=0,INT($B554),$B554)&lt;=$L554,"Đúng hạn","Trễ hạn"))</f>
      </c>
      <c r="N554" s="225">
        <f>IF($C554="","",ROW())</f>
      </c>
      <c r="O554" s="225">
        <f>IF($I554="Công việc",MATCH($C554,'Kế hoạch'!$A$6:$A$305,0),"")</f>
      </c>
      <c r="P554" s="234">
        <f>IF($O554="","",INDEX('Kế hoạch'!$I$6:$I$305,$O554))</f>
      </c>
      <c r="Q554" s="225">
        <f>IF($O554="","",INDEX('Kế hoạch'!$AJ$6:$AJ$305,$O554))</f>
      </c>
      <c r="R554" s="225">
        <f>IF($O554="","",INDEX('Kế hoạch'!$AK$6:$AK$305,$O554))</f>
      </c>
    </row>
    <row r="555">
      <c r="A555" s="223">
        <f>IF($C555="","",COUNTIF($C$6:$C555,"?*"))</f>
      </c>
      <c r="B555" s="217"/>
      <c r="C555" s="216"/>
      <c r="D555" s="240"/>
      <c r="E555" s="218"/>
      <c r="F555" s="218"/>
      <c r="G555" s="218"/>
      <c r="H555" s="219"/>
      <c r="I555" s="223">
        <f>IF($C555="","",IF(ISNUMBER(MATCH($C555,'Phản ánh'!$A$6:$A$505,0)),"Phản ánh",IF(ISNUMBER(MATCH($C555,'Kế hoạch'!$A$6:$A$305,0)),"Công việc","Mã chưa có")))</f>
      </c>
      <c r="J555" s="221">
        <f>IF($I555="Phản ánh",INDEX('Phản ánh'!$C$6:$C$505,MATCH($C555,'Phản ánh'!$A$6:$A$505,0)),IF($I555="Công việc",INDEX('Kế hoạch'!$C$6:$C$305,$O555),""))</f>
      </c>
      <c r="K555" s="221">
        <f>IF($I555="Phản ánh",INDEX('Phản ánh'!$K$6:$K$505,MATCH($C555,'Phản ánh'!$A$6:$A$505,0))&amp;"",IF($I555="Công việc",INDEX('Kế hoạch'!$N$6:$N$305,$O555)&amp;"",""))</f>
      </c>
      <c r="L555" s="220">
        <f>IF(OR($C555="",N($B555)=0),"",IF(AND($I555="Phản ánh",$E555="Đã xử lý"),INDEX('Phản ánh'!$U$6:$U$505,MATCH($C555,'Phản ánh'!$A$6:$A$505,0)),IF(AND($I555="Công việc",OR($E555="Hoàn thành",$E555="Hoàn thành kỳ")),IF(INDEX('Kế hoạch'!$B$6:$B$305,$O555)="Đột xuất",INDEX('Kế hoạch'!$AY$6:$AY$305,$O555),IF(N($P555)=0,"",IF(INT($B555)&lt;$P555,$P555,IF($Q555&gt;0,$P555+ROUND((INT($B555)-$P555)/$Q555,0)*$Q555,IF($R555&gt;0,EDATE($P555,ROUND((DATEDIF($P555,INT($B555),"m")+(INT($B555)-EDATE($P555,DATEDIF($P555,INT($B555),"m")))/(EDATE($P555,DATEDIF($P555,INT($B555),"m")+1)-EDATE($P555,DATEDIF($P555,INT($B555),"m"))))/$R555,0)*$R555),$P555))))),"")))</f>
      </c>
      <c r="M555" s="223">
        <f>IF(OR($C555="",N($L555)=0,N($B555)=0),"",IF(IF(MOD($L555,1)=0,INT($B555),$B555)&lt;=$L555,"Đúng hạn","Trễ hạn"))</f>
      </c>
      <c r="N555" s="225">
        <f>IF($C555="","",ROW())</f>
      </c>
      <c r="O555" s="225">
        <f>IF($I555="Công việc",MATCH($C555,'Kế hoạch'!$A$6:$A$305,0),"")</f>
      </c>
      <c r="P555" s="234">
        <f>IF($O555="","",INDEX('Kế hoạch'!$I$6:$I$305,$O555))</f>
      </c>
      <c r="Q555" s="225">
        <f>IF($O555="","",INDEX('Kế hoạch'!$AJ$6:$AJ$305,$O555))</f>
      </c>
      <c r="R555" s="225">
        <f>IF($O555="","",INDEX('Kế hoạch'!$AK$6:$AK$305,$O555))</f>
      </c>
    </row>
    <row r="556">
      <c r="A556" s="223">
        <f>IF($C556="","",COUNTIF($C$6:$C556,"?*"))</f>
      </c>
      <c r="B556" s="217"/>
      <c r="C556" s="216"/>
      <c r="D556" s="240"/>
      <c r="E556" s="218"/>
      <c r="F556" s="218"/>
      <c r="G556" s="218"/>
      <c r="H556" s="219"/>
      <c r="I556" s="223">
        <f>IF($C556="","",IF(ISNUMBER(MATCH($C556,'Phản ánh'!$A$6:$A$505,0)),"Phản ánh",IF(ISNUMBER(MATCH($C556,'Kế hoạch'!$A$6:$A$305,0)),"Công việc","Mã chưa có")))</f>
      </c>
      <c r="J556" s="221">
        <f>IF($I556="Phản ánh",INDEX('Phản ánh'!$C$6:$C$505,MATCH($C556,'Phản ánh'!$A$6:$A$505,0)),IF($I556="Công việc",INDEX('Kế hoạch'!$C$6:$C$305,$O556),""))</f>
      </c>
      <c r="K556" s="221">
        <f>IF($I556="Phản ánh",INDEX('Phản ánh'!$K$6:$K$505,MATCH($C556,'Phản ánh'!$A$6:$A$505,0))&amp;"",IF($I556="Công việc",INDEX('Kế hoạch'!$N$6:$N$305,$O556)&amp;"",""))</f>
      </c>
      <c r="L556" s="220">
        <f>IF(OR($C556="",N($B556)=0),"",IF(AND($I556="Phản ánh",$E556="Đã xử lý"),INDEX('Phản ánh'!$U$6:$U$505,MATCH($C556,'Phản ánh'!$A$6:$A$505,0)),IF(AND($I556="Công việc",OR($E556="Hoàn thành",$E556="Hoàn thành kỳ")),IF(INDEX('Kế hoạch'!$B$6:$B$305,$O556)="Đột xuất",INDEX('Kế hoạch'!$AY$6:$AY$305,$O556),IF(N($P556)=0,"",IF(INT($B556)&lt;$P556,$P556,IF($Q556&gt;0,$P556+ROUND((INT($B556)-$P556)/$Q556,0)*$Q556,IF($R556&gt;0,EDATE($P556,ROUND((DATEDIF($P556,INT($B556),"m")+(INT($B556)-EDATE($P556,DATEDIF($P556,INT($B556),"m")))/(EDATE($P556,DATEDIF($P556,INT($B556),"m")+1)-EDATE($P556,DATEDIF($P556,INT($B556),"m"))))/$R556,0)*$R556),$P556))))),"")))</f>
      </c>
      <c r="M556" s="223">
        <f>IF(OR($C556="",N($L556)=0,N($B556)=0),"",IF(IF(MOD($L556,1)=0,INT($B556),$B556)&lt;=$L556,"Đúng hạn","Trễ hạn"))</f>
      </c>
      <c r="N556" s="225">
        <f>IF($C556="","",ROW())</f>
      </c>
      <c r="O556" s="225">
        <f>IF($I556="Công việc",MATCH($C556,'Kế hoạch'!$A$6:$A$305,0),"")</f>
      </c>
      <c r="P556" s="234">
        <f>IF($O556="","",INDEX('Kế hoạch'!$I$6:$I$305,$O556))</f>
      </c>
      <c r="Q556" s="225">
        <f>IF($O556="","",INDEX('Kế hoạch'!$AJ$6:$AJ$305,$O556))</f>
      </c>
      <c r="R556" s="225">
        <f>IF($O556="","",INDEX('Kế hoạch'!$AK$6:$AK$305,$O556))</f>
      </c>
    </row>
    <row r="557">
      <c r="A557" s="223">
        <f>IF($C557="","",COUNTIF($C$6:$C557,"?*"))</f>
      </c>
      <c r="B557" s="217"/>
      <c r="C557" s="216"/>
      <c r="D557" s="240"/>
      <c r="E557" s="218"/>
      <c r="F557" s="218"/>
      <c r="G557" s="218"/>
      <c r="H557" s="219"/>
      <c r="I557" s="223">
        <f>IF($C557="","",IF(ISNUMBER(MATCH($C557,'Phản ánh'!$A$6:$A$505,0)),"Phản ánh",IF(ISNUMBER(MATCH($C557,'Kế hoạch'!$A$6:$A$305,0)),"Công việc","Mã chưa có")))</f>
      </c>
      <c r="J557" s="221">
        <f>IF($I557="Phản ánh",INDEX('Phản ánh'!$C$6:$C$505,MATCH($C557,'Phản ánh'!$A$6:$A$505,0)),IF($I557="Công việc",INDEX('Kế hoạch'!$C$6:$C$305,$O557),""))</f>
      </c>
      <c r="K557" s="221">
        <f>IF($I557="Phản ánh",INDEX('Phản ánh'!$K$6:$K$505,MATCH($C557,'Phản ánh'!$A$6:$A$505,0))&amp;"",IF($I557="Công việc",INDEX('Kế hoạch'!$N$6:$N$305,$O557)&amp;"",""))</f>
      </c>
      <c r="L557" s="220">
        <f>IF(OR($C557="",N($B557)=0),"",IF(AND($I557="Phản ánh",$E557="Đã xử lý"),INDEX('Phản ánh'!$U$6:$U$505,MATCH($C557,'Phản ánh'!$A$6:$A$505,0)),IF(AND($I557="Công việc",OR($E557="Hoàn thành",$E557="Hoàn thành kỳ")),IF(INDEX('Kế hoạch'!$B$6:$B$305,$O557)="Đột xuất",INDEX('Kế hoạch'!$AY$6:$AY$305,$O557),IF(N($P557)=0,"",IF(INT($B557)&lt;$P557,$P557,IF($Q557&gt;0,$P557+ROUND((INT($B557)-$P557)/$Q557,0)*$Q557,IF($R557&gt;0,EDATE($P557,ROUND((DATEDIF($P557,INT($B557),"m")+(INT($B557)-EDATE($P557,DATEDIF($P557,INT($B557),"m")))/(EDATE($P557,DATEDIF($P557,INT($B557),"m")+1)-EDATE($P557,DATEDIF($P557,INT($B557),"m"))))/$R557,0)*$R557),$P557))))),"")))</f>
      </c>
      <c r="M557" s="223">
        <f>IF(OR($C557="",N($L557)=0,N($B557)=0),"",IF(IF(MOD($L557,1)=0,INT($B557),$B557)&lt;=$L557,"Đúng hạn","Trễ hạn"))</f>
      </c>
      <c r="N557" s="225">
        <f>IF($C557="","",ROW())</f>
      </c>
      <c r="O557" s="225">
        <f>IF($I557="Công việc",MATCH($C557,'Kế hoạch'!$A$6:$A$305,0),"")</f>
      </c>
      <c r="P557" s="234">
        <f>IF($O557="","",INDEX('Kế hoạch'!$I$6:$I$305,$O557))</f>
      </c>
      <c r="Q557" s="225">
        <f>IF($O557="","",INDEX('Kế hoạch'!$AJ$6:$AJ$305,$O557))</f>
      </c>
      <c r="R557" s="225">
        <f>IF($O557="","",INDEX('Kế hoạch'!$AK$6:$AK$305,$O557))</f>
      </c>
    </row>
    <row r="558">
      <c r="A558" s="223">
        <f>IF($C558="","",COUNTIF($C$6:$C558,"?*"))</f>
      </c>
      <c r="B558" s="217"/>
      <c r="C558" s="216"/>
      <c r="D558" s="240"/>
      <c r="E558" s="218"/>
      <c r="F558" s="218"/>
      <c r="G558" s="218"/>
      <c r="H558" s="219"/>
      <c r="I558" s="223">
        <f>IF($C558="","",IF(ISNUMBER(MATCH($C558,'Phản ánh'!$A$6:$A$505,0)),"Phản ánh",IF(ISNUMBER(MATCH($C558,'Kế hoạch'!$A$6:$A$305,0)),"Công việc","Mã chưa có")))</f>
      </c>
      <c r="J558" s="221">
        <f>IF($I558="Phản ánh",INDEX('Phản ánh'!$C$6:$C$505,MATCH($C558,'Phản ánh'!$A$6:$A$505,0)),IF($I558="Công việc",INDEX('Kế hoạch'!$C$6:$C$305,$O558),""))</f>
      </c>
      <c r="K558" s="221">
        <f>IF($I558="Phản ánh",INDEX('Phản ánh'!$K$6:$K$505,MATCH($C558,'Phản ánh'!$A$6:$A$505,0))&amp;"",IF($I558="Công việc",INDEX('Kế hoạch'!$N$6:$N$305,$O558)&amp;"",""))</f>
      </c>
      <c r="L558" s="220">
        <f>IF(OR($C558="",N($B558)=0),"",IF(AND($I558="Phản ánh",$E558="Đã xử lý"),INDEX('Phản ánh'!$U$6:$U$505,MATCH($C558,'Phản ánh'!$A$6:$A$505,0)),IF(AND($I558="Công việc",OR($E558="Hoàn thành",$E558="Hoàn thành kỳ")),IF(INDEX('Kế hoạch'!$B$6:$B$305,$O558)="Đột xuất",INDEX('Kế hoạch'!$AY$6:$AY$305,$O558),IF(N($P558)=0,"",IF(INT($B558)&lt;$P558,$P558,IF($Q558&gt;0,$P558+ROUND((INT($B558)-$P558)/$Q558,0)*$Q558,IF($R558&gt;0,EDATE($P558,ROUND((DATEDIF($P558,INT($B558),"m")+(INT($B558)-EDATE($P558,DATEDIF($P558,INT($B558),"m")))/(EDATE($P558,DATEDIF($P558,INT($B558),"m")+1)-EDATE($P558,DATEDIF($P558,INT($B558),"m"))))/$R558,0)*$R558),$P558))))),"")))</f>
      </c>
      <c r="M558" s="223">
        <f>IF(OR($C558="",N($L558)=0,N($B558)=0),"",IF(IF(MOD($L558,1)=0,INT($B558),$B558)&lt;=$L558,"Đúng hạn","Trễ hạn"))</f>
      </c>
      <c r="N558" s="225">
        <f>IF($C558="","",ROW())</f>
      </c>
      <c r="O558" s="225">
        <f>IF($I558="Công việc",MATCH($C558,'Kế hoạch'!$A$6:$A$305,0),"")</f>
      </c>
      <c r="P558" s="234">
        <f>IF($O558="","",INDEX('Kế hoạch'!$I$6:$I$305,$O558))</f>
      </c>
      <c r="Q558" s="225">
        <f>IF($O558="","",INDEX('Kế hoạch'!$AJ$6:$AJ$305,$O558))</f>
      </c>
      <c r="R558" s="225">
        <f>IF($O558="","",INDEX('Kế hoạch'!$AK$6:$AK$305,$O558))</f>
      </c>
    </row>
    <row r="559">
      <c r="A559" s="223">
        <f>IF($C559="","",COUNTIF($C$6:$C559,"?*"))</f>
      </c>
      <c r="B559" s="217"/>
      <c r="C559" s="216"/>
      <c r="D559" s="240"/>
      <c r="E559" s="218"/>
      <c r="F559" s="218"/>
      <c r="G559" s="218"/>
      <c r="H559" s="219"/>
      <c r="I559" s="223">
        <f>IF($C559="","",IF(ISNUMBER(MATCH($C559,'Phản ánh'!$A$6:$A$505,0)),"Phản ánh",IF(ISNUMBER(MATCH($C559,'Kế hoạch'!$A$6:$A$305,0)),"Công việc","Mã chưa có")))</f>
      </c>
      <c r="J559" s="221">
        <f>IF($I559="Phản ánh",INDEX('Phản ánh'!$C$6:$C$505,MATCH($C559,'Phản ánh'!$A$6:$A$505,0)),IF($I559="Công việc",INDEX('Kế hoạch'!$C$6:$C$305,$O559),""))</f>
      </c>
      <c r="K559" s="221">
        <f>IF($I559="Phản ánh",INDEX('Phản ánh'!$K$6:$K$505,MATCH($C559,'Phản ánh'!$A$6:$A$505,0))&amp;"",IF($I559="Công việc",INDEX('Kế hoạch'!$N$6:$N$305,$O559)&amp;"",""))</f>
      </c>
      <c r="L559" s="220">
        <f>IF(OR($C559="",N($B559)=0),"",IF(AND($I559="Phản ánh",$E559="Đã xử lý"),INDEX('Phản ánh'!$U$6:$U$505,MATCH($C559,'Phản ánh'!$A$6:$A$505,0)),IF(AND($I559="Công việc",OR($E559="Hoàn thành",$E559="Hoàn thành kỳ")),IF(INDEX('Kế hoạch'!$B$6:$B$305,$O559)="Đột xuất",INDEX('Kế hoạch'!$AY$6:$AY$305,$O559),IF(N($P559)=0,"",IF(INT($B559)&lt;$P559,$P559,IF($Q559&gt;0,$P559+ROUND((INT($B559)-$P559)/$Q559,0)*$Q559,IF($R559&gt;0,EDATE($P559,ROUND((DATEDIF($P559,INT($B559),"m")+(INT($B559)-EDATE($P559,DATEDIF($P559,INT($B559),"m")))/(EDATE($P559,DATEDIF($P559,INT($B559),"m")+1)-EDATE($P559,DATEDIF($P559,INT($B559),"m"))))/$R559,0)*$R559),$P559))))),"")))</f>
      </c>
      <c r="M559" s="223">
        <f>IF(OR($C559="",N($L559)=0,N($B559)=0),"",IF(IF(MOD($L559,1)=0,INT($B559),$B559)&lt;=$L559,"Đúng hạn","Trễ hạn"))</f>
      </c>
      <c r="N559" s="225">
        <f>IF($C559="","",ROW())</f>
      </c>
      <c r="O559" s="225">
        <f>IF($I559="Công việc",MATCH($C559,'Kế hoạch'!$A$6:$A$305,0),"")</f>
      </c>
      <c r="P559" s="234">
        <f>IF($O559="","",INDEX('Kế hoạch'!$I$6:$I$305,$O559))</f>
      </c>
      <c r="Q559" s="225">
        <f>IF($O559="","",INDEX('Kế hoạch'!$AJ$6:$AJ$305,$O559))</f>
      </c>
      <c r="R559" s="225">
        <f>IF($O559="","",INDEX('Kế hoạch'!$AK$6:$AK$305,$O559))</f>
      </c>
    </row>
    <row r="560">
      <c r="A560" s="223">
        <f>IF($C560="","",COUNTIF($C$6:$C560,"?*"))</f>
      </c>
      <c r="B560" s="217"/>
      <c r="C560" s="216"/>
      <c r="D560" s="240"/>
      <c r="E560" s="218"/>
      <c r="F560" s="218"/>
      <c r="G560" s="218"/>
      <c r="H560" s="219"/>
      <c r="I560" s="223">
        <f>IF($C560="","",IF(ISNUMBER(MATCH($C560,'Phản ánh'!$A$6:$A$505,0)),"Phản ánh",IF(ISNUMBER(MATCH($C560,'Kế hoạch'!$A$6:$A$305,0)),"Công việc","Mã chưa có")))</f>
      </c>
      <c r="J560" s="221">
        <f>IF($I560="Phản ánh",INDEX('Phản ánh'!$C$6:$C$505,MATCH($C560,'Phản ánh'!$A$6:$A$505,0)),IF($I560="Công việc",INDEX('Kế hoạch'!$C$6:$C$305,$O560),""))</f>
      </c>
      <c r="K560" s="221">
        <f>IF($I560="Phản ánh",INDEX('Phản ánh'!$K$6:$K$505,MATCH($C560,'Phản ánh'!$A$6:$A$505,0))&amp;"",IF($I560="Công việc",INDEX('Kế hoạch'!$N$6:$N$305,$O560)&amp;"",""))</f>
      </c>
      <c r="L560" s="220">
        <f>IF(OR($C560="",N($B560)=0),"",IF(AND($I560="Phản ánh",$E560="Đã xử lý"),INDEX('Phản ánh'!$U$6:$U$505,MATCH($C560,'Phản ánh'!$A$6:$A$505,0)),IF(AND($I560="Công việc",OR($E560="Hoàn thành",$E560="Hoàn thành kỳ")),IF(INDEX('Kế hoạch'!$B$6:$B$305,$O560)="Đột xuất",INDEX('Kế hoạch'!$AY$6:$AY$305,$O560),IF(N($P560)=0,"",IF(INT($B560)&lt;$P560,$P560,IF($Q560&gt;0,$P560+ROUND((INT($B560)-$P560)/$Q560,0)*$Q560,IF($R560&gt;0,EDATE($P560,ROUND((DATEDIF($P560,INT($B560),"m")+(INT($B560)-EDATE($P560,DATEDIF($P560,INT($B560),"m")))/(EDATE($P560,DATEDIF($P560,INT($B560),"m")+1)-EDATE($P560,DATEDIF($P560,INT($B560),"m"))))/$R560,0)*$R560),$P560))))),"")))</f>
      </c>
      <c r="M560" s="223">
        <f>IF(OR($C560="",N($L560)=0,N($B560)=0),"",IF(IF(MOD($L560,1)=0,INT($B560),$B560)&lt;=$L560,"Đúng hạn","Trễ hạn"))</f>
      </c>
      <c r="N560" s="225">
        <f>IF($C560="","",ROW())</f>
      </c>
      <c r="O560" s="225">
        <f>IF($I560="Công việc",MATCH($C560,'Kế hoạch'!$A$6:$A$305,0),"")</f>
      </c>
      <c r="P560" s="234">
        <f>IF($O560="","",INDEX('Kế hoạch'!$I$6:$I$305,$O560))</f>
      </c>
      <c r="Q560" s="225">
        <f>IF($O560="","",INDEX('Kế hoạch'!$AJ$6:$AJ$305,$O560))</f>
      </c>
      <c r="R560" s="225">
        <f>IF($O560="","",INDEX('Kế hoạch'!$AK$6:$AK$305,$O560))</f>
      </c>
    </row>
    <row r="561">
      <c r="A561" s="223">
        <f>IF($C561="","",COUNTIF($C$6:$C561,"?*"))</f>
      </c>
      <c r="B561" s="217"/>
      <c r="C561" s="216"/>
      <c r="D561" s="240"/>
      <c r="E561" s="218"/>
      <c r="F561" s="218"/>
      <c r="G561" s="218"/>
      <c r="H561" s="219"/>
      <c r="I561" s="223">
        <f>IF($C561="","",IF(ISNUMBER(MATCH($C561,'Phản ánh'!$A$6:$A$505,0)),"Phản ánh",IF(ISNUMBER(MATCH($C561,'Kế hoạch'!$A$6:$A$305,0)),"Công việc","Mã chưa có")))</f>
      </c>
      <c r="J561" s="221">
        <f>IF($I561="Phản ánh",INDEX('Phản ánh'!$C$6:$C$505,MATCH($C561,'Phản ánh'!$A$6:$A$505,0)),IF($I561="Công việc",INDEX('Kế hoạch'!$C$6:$C$305,$O561),""))</f>
      </c>
      <c r="K561" s="221">
        <f>IF($I561="Phản ánh",INDEX('Phản ánh'!$K$6:$K$505,MATCH($C561,'Phản ánh'!$A$6:$A$505,0))&amp;"",IF($I561="Công việc",INDEX('Kế hoạch'!$N$6:$N$305,$O561)&amp;"",""))</f>
      </c>
      <c r="L561" s="220">
        <f>IF(OR($C561="",N($B561)=0),"",IF(AND($I561="Phản ánh",$E561="Đã xử lý"),INDEX('Phản ánh'!$U$6:$U$505,MATCH($C561,'Phản ánh'!$A$6:$A$505,0)),IF(AND($I561="Công việc",OR($E561="Hoàn thành",$E561="Hoàn thành kỳ")),IF(INDEX('Kế hoạch'!$B$6:$B$305,$O561)="Đột xuất",INDEX('Kế hoạch'!$AY$6:$AY$305,$O561),IF(N($P561)=0,"",IF(INT($B561)&lt;$P561,$P561,IF($Q561&gt;0,$P561+ROUND((INT($B561)-$P561)/$Q561,0)*$Q561,IF($R561&gt;0,EDATE($P561,ROUND((DATEDIF($P561,INT($B561),"m")+(INT($B561)-EDATE($P561,DATEDIF($P561,INT($B561),"m")))/(EDATE($P561,DATEDIF($P561,INT($B561),"m")+1)-EDATE($P561,DATEDIF($P561,INT($B561),"m"))))/$R561,0)*$R561),$P561))))),"")))</f>
      </c>
      <c r="M561" s="223">
        <f>IF(OR($C561="",N($L561)=0,N($B561)=0),"",IF(IF(MOD($L561,1)=0,INT($B561),$B561)&lt;=$L561,"Đúng hạn","Trễ hạn"))</f>
      </c>
      <c r="N561" s="225">
        <f>IF($C561="","",ROW())</f>
      </c>
      <c r="O561" s="225">
        <f>IF($I561="Công việc",MATCH($C561,'Kế hoạch'!$A$6:$A$305,0),"")</f>
      </c>
      <c r="P561" s="234">
        <f>IF($O561="","",INDEX('Kế hoạch'!$I$6:$I$305,$O561))</f>
      </c>
      <c r="Q561" s="225">
        <f>IF($O561="","",INDEX('Kế hoạch'!$AJ$6:$AJ$305,$O561))</f>
      </c>
      <c r="R561" s="225">
        <f>IF($O561="","",INDEX('Kế hoạch'!$AK$6:$AK$305,$O561))</f>
      </c>
    </row>
    <row r="562">
      <c r="A562" s="223">
        <f>IF($C562="","",COUNTIF($C$6:$C562,"?*"))</f>
      </c>
      <c r="B562" s="217"/>
      <c r="C562" s="216"/>
      <c r="D562" s="240"/>
      <c r="E562" s="218"/>
      <c r="F562" s="218"/>
      <c r="G562" s="218"/>
      <c r="H562" s="219"/>
      <c r="I562" s="223">
        <f>IF($C562="","",IF(ISNUMBER(MATCH($C562,'Phản ánh'!$A$6:$A$505,0)),"Phản ánh",IF(ISNUMBER(MATCH($C562,'Kế hoạch'!$A$6:$A$305,0)),"Công việc","Mã chưa có")))</f>
      </c>
      <c r="J562" s="221">
        <f>IF($I562="Phản ánh",INDEX('Phản ánh'!$C$6:$C$505,MATCH($C562,'Phản ánh'!$A$6:$A$505,0)),IF($I562="Công việc",INDEX('Kế hoạch'!$C$6:$C$305,$O562),""))</f>
      </c>
      <c r="K562" s="221">
        <f>IF($I562="Phản ánh",INDEX('Phản ánh'!$K$6:$K$505,MATCH($C562,'Phản ánh'!$A$6:$A$505,0))&amp;"",IF($I562="Công việc",INDEX('Kế hoạch'!$N$6:$N$305,$O562)&amp;"",""))</f>
      </c>
      <c r="L562" s="220">
        <f>IF(OR($C562="",N($B562)=0),"",IF(AND($I562="Phản ánh",$E562="Đã xử lý"),INDEX('Phản ánh'!$U$6:$U$505,MATCH($C562,'Phản ánh'!$A$6:$A$505,0)),IF(AND($I562="Công việc",OR($E562="Hoàn thành",$E562="Hoàn thành kỳ")),IF(INDEX('Kế hoạch'!$B$6:$B$305,$O562)="Đột xuất",INDEX('Kế hoạch'!$AY$6:$AY$305,$O562),IF(N($P562)=0,"",IF(INT($B562)&lt;$P562,$P562,IF($Q562&gt;0,$P562+ROUND((INT($B562)-$P562)/$Q562,0)*$Q562,IF($R562&gt;0,EDATE($P562,ROUND((DATEDIF($P562,INT($B562),"m")+(INT($B562)-EDATE($P562,DATEDIF($P562,INT($B562),"m")))/(EDATE($P562,DATEDIF($P562,INT($B562),"m")+1)-EDATE($P562,DATEDIF($P562,INT($B562),"m"))))/$R562,0)*$R562),$P562))))),"")))</f>
      </c>
      <c r="M562" s="223">
        <f>IF(OR($C562="",N($L562)=0,N($B562)=0),"",IF(IF(MOD($L562,1)=0,INT($B562),$B562)&lt;=$L562,"Đúng hạn","Trễ hạn"))</f>
      </c>
      <c r="N562" s="225">
        <f>IF($C562="","",ROW())</f>
      </c>
      <c r="O562" s="225">
        <f>IF($I562="Công việc",MATCH($C562,'Kế hoạch'!$A$6:$A$305,0),"")</f>
      </c>
      <c r="P562" s="234">
        <f>IF($O562="","",INDEX('Kế hoạch'!$I$6:$I$305,$O562))</f>
      </c>
      <c r="Q562" s="225">
        <f>IF($O562="","",INDEX('Kế hoạch'!$AJ$6:$AJ$305,$O562))</f>
      </c>
      <c r="R562" s="225">
        <f>IF($O562="","",INDEX('Kế hoạch'!$AK$6:$AK$305,$O562))</f>
      </c>
    </row>
    <row r="563">
      <c r="A563" s="223">
        <f>IF($C563="","",COUNTIF($C$6:$C563,"?*"))</f>
      </c>
      <c r="B563" s="217"/>
      <c r="C563" s="216"/>
      <c r="D563" s="240"/>
      <c r="E563" s="218"/>
      <c r="F563" s="218"/>
      <c r="G563" s="218"/>
      <c r="H563" s="219"/>
      <c r="I563" s="223">
        <f>IF($C563="","",IF(ISNUMBER(MATCH($C563,'Phản ánh'!$A$6:$A$505,0)),"Phản ánh",IF(ISNUMBER(MATCH($C563,'Kế hoạch'!$A$6:$A$305,0)),"Công việc","Mã chưa có")))</f>
      </c>
      <c r="J563" s="221">
        <f>IF($I563="Phản ánh",INDEX('Phản ánh'!$C$6:$C$505,MATCH($C563,'Phản ánh'!$A$6:$A$505,0)),IF($I563="Công việc",INDEX('Kế hoạch'!$C$6:$C$305,$O563),""))</f>
      </c>
      <c r="K563" s="221">
        <f>IF($I563="Phản ánh",INDEX('Phản ánh'!$K$6:$K$505,MATCH($C563,'Phản ánh'!$A$6:$A$505,0))&amp;"",IF($I563="Công việc",INDEX('Kế hoạch'!$N$6:$N$305,$O563)&amp;"",""))</f>
      </c>
      <c r="L563" s="220">
        <f>IF(OR($C563="",N($B563)=0),"",IF(AND($I563="Phản ánh",$E563="Đã xử lý"),INDEX('Phản ánh'!$U$6:$U$505,MATCH($C563,'Phản ánh'!$A$6:$A$505,0)),IF(AND($I563="Công việc",OR($E563="Hoàn thành",$E563="Hoàn thành kỳ")),IF(INDEX('Kế hoạch'!$B$6:$B$305,$O563)="Đột xuất",INDEX('Kế hoạch'!$AY$6:$AY$305,$O563),IF(N($P563)=0,"",IF(INT($B563)&lt;$P563,$P563,IF($Q563&gt;0,$P563+ROUND((INT($B563)-$P563)/$Q563,0)*$Q563,IF($R563&gt;0,EDATE($P563,ROUND((DATEDIF($P563,INT($B563),"m")+(INT($B563)-EDATE($P563,DATEDIF($P563,INT($B563),"m")))/(EDATE($P563,DATEDIF($P563,INT($B563),"m")+1)-EDATE($P563,DATEDIF($P563,INT($B563),"m"))))/$R563,0)*$R563),$P563))))),"")))</f>
      </c>
      <c r="M563" s="223">
        <f>IF(OR($C563="",N($L563)=0,N($B563)=0),"",IF(IF(MOD($L563,1)=0,INT($B563),$B563)&lt;=$L563,"Đúng hạn","Trễ hạn"))</f>
      </c>
      <c r="N563" s="225">
        <f>IF($C563="","",ROW())</f>
      </c>
      <c r="O563" s="225">
        <f>IF($I563="Công việc",MATCH($C563,'Kế hoạch'!$A$6:$A$305,0),"")</f>
      </c>
      <c r="P563" s="234">
        <f>IF($O563="","",INDEX('Kế hoạch'!$I$6:$I$305,$O563))</f>
      </c>
      <c r="Q563" s="225">
        <f>IF($O563="","",INDEX('Kế hoạch'!$AJ$6:$AJ$305,$O563))</f>
      </c>
      <c r="R563" s="225">
        <f>IF($O563="","",INDEX('Kế hoạch'!$AK$6:$AK$305,$O563))</f>
      </c>
    </row>
    <row r="564">
      <c r="A564" s="223">
        <f>IF($C564="","",COUNTIF($C$6:$C564,"?*"))</f>
      </c>
      <c r="B564" s="217"/>
      <c r="C564" s="216"/>
      <c r="D564" s="240"/>
      <c r="E564" s="218"/>
      <c r="F564" s="218"/>
      <c r="G564" s="218"/>
      <c r="H564" s="219"/>
      <c r="I564" s="223">
        <f>IF($C564="","",IF(ISNUMBER(MATCH($C564,'Phản ánh'!$A$6:$A$505,0)),"Phản ánh",IF(ISNUMBER(MATCH($C564,'Kế hoạch'!$A$6:$A$305,0)),"Công việc","Mã chưa có")))</f>
      </c>
      <c r="J564" s="221">
        <f>IF($I564="Phản ánh",INDEX('Phản ánh'!$C$6:$C$505,MATCH($C564,'Phản ánh'!$A$6:$A$505,0)),IF($I564="Công việc",INDEX('Kế hoạch'!$C$6:$C$305,$O564),""))</f>
      </c>
      <c r="K564" s="221">
        <f>IF($I564="Phản ánh",INDEX('Phản ánh'!$K$6:$K$505,MATCH($C564,'Phản ánh'!$A$6:$A$505,0))&amp;"",IF($I564="Công việc",INDEX('Kế hoạch'!$N$6:$N$305,$O564)&amp;"",""))</f>
      </c>
      <c r="L564" s="220">
        <f>IF(OR($C564="",N($B564)=0),"",IF(AND($I564="Phản ánh",$E564="Đã xử lý"),INDEX('Phản ánh'!$U$6:$U$505,MATCH($C564,'Phản ánh'!$A$6:$A$505,0)),IF(AND($I564="Công việc",OR($E564="Hoàn thành",$E564="Hoàn thành kỳ")),IF(INDEX('Kế hoạch'!$B$6:$B$305,$O564)="Đột xuất",INDEX('Kế hoạch'!$AY$6:$AY$305,$O564),IF(N($P564)=0,"",IF(INT($B564)&lt;$P564,$P564,IF($Q564&gt;0,$P564+ROUND((INT($B564)-$P564)/$Q564,0)*$Q564,IF($R564&gt;0,EDATE($P564,ROUND((DATEDIF($P564,INT($B564),"m")+(INT($B564)-EDATE($P564,DATEDIF($P564,INT($B564),"m")))/(EDATE($P564,DATEDIF($P564,INT($B564),"m")+1)-EDATE($P564,DATEDIF($P564,INT($B564),"m"))))/$R564,0)*$R564),$P564))))),"")))</f>
      </c>
      <c r="M564" s="223">
        <f>IF(OR($C564="",N($L564)=0,N($B564)=0),"",IF(IF(MOD($L564,1)=0,INT($B564),$B564)&lt;=$L564,"Đúng hạn","Trễ hạn"))</f>
      </c>
      <c r="N564" s="225">
        <f>IF($C564="","",ROW())</f>
      </c>
      <c r="O564" s="225">
        <f>IF($I564="Công việc",MATCH($C564,'Kế hoạch'!$A$6:$A$305,0),"")</f>
      </c>
      <c r="P564" s="234">
        <f>IF($O564="","",INDEX('Kế hoạch'!$I$6:$I$305,$O564))</f>
      </c>
      <c r="Q564" s="225">
        <f>IF($O564="","",INDEX('Kế hoạch'!$AJ$6:$AJ$305,$O564))</f>
      </c>
      <c r="R564" s="225">
        <f>IF($O564="","",INDEX('Kế hoạch'!$AK$6:$AK$305,$O564))</f>
      </c>
    </row>
    <row r="565">
      <c r="A565" s="223">
        <f>IF($C565="","",COUNTIF($C$6:$C565,"?*"))</f>
      </c>
      <c r="B565" s="217"/>
      <c r="C565" s="216"/>
      <c r="D565" s="240"/>
      <c r="E565" s="218"/>
      <c r="F565" s="218"/>
      <c r="G565" s="218"/>
      <c r="H565" s="219"/>
      <c r="I565" s="223">
        <f>IF($C565="","",IF(ISNUMBER(MATCH($C565,'Phản ánh'!$A$6:$A$505,0)),"Phản ánh",IF(ISNUMBER(MATCH($C565,'Kế hoạch'!$A$6:$A$305,0)),"Công việc","Mã chưa có")))</f>
      </c>
      <c r="J565" s="221">
        <f>IF($I565="Phản ánh",INDEX('Phản ánh'!$C$6:$C$505,MATCH($C565,'Phản ánh'!$A$6:$A$505,0)),IF($I565="Công việc",INDEX('Kế hoạch'!$C$6:$C$305,$O565),""))</f>
      </c>
      <c r="K565" s="221">
        <f>IF($I565="Phản ánh",INDEX('Phản ánh'!$K$6:$K$505,MATCH($C565,'Phản ánh'!$A$6:$A$505,0))&amp;"",IF($I565="Công việc",INDEX('Kế hoạch'!$N$6:$N$305,$O565)&amp;"",""))</f>
      </c>
      <c r="L565" s="220">
        <f>IF(OR($C565="",N($B565)=0),"",IF(AND($I565="Phản ánh",$E565="Đã xử lý"),INDEX('Phản ánh'!$U$6:$U$505,MATCH($C565,'Phản ánh'!$A$6:$A$505,0)),IF(AND($I565="Công việc",OR($E565="Hoàn thành",$E565="Hoàn thành kỳ")),IF(INDEX('Kế hoạch'!$B$6:$B$305,$O565)="Đột xuất",INDEX('Kế hoạch'!$AY$6:$AY$305,$O565),IF(N($P565)=0,"",IF(INT($B565)&lt;$P565,$P565,IF($Q565&gt;0,$P565+ROUND((INT($B565)-$P565)/$Q565,0)*$Q565,IF($R565&gt;0,EDATE($P565,ROUND((DATEDIF($P565,INT($B565),"m")+(INT($B565)-EDATE($P565,DATEDIF($P565,INT($B565),"m")))/(EDATE($P565,DATEDIF($P565,INT($B565),"m")+1)-EDATE($P565,DATEDIF($P565,INT($B565),"m"))))/$R565,0)*$R565),$P565))))),"")))</f>
      </c>
      <c r="M565" s="223">
        <f>IF(OR($C565="",N($L565)=0,N($B565)=0),"",IF(IF(MOD($L565,1)=0,INT($B565),$B565)&lt;=$L565,"Đúng hạn","Trễ hạn"))</f>
      </c>
      <c r="N565" s="225">
        <f>IF($C565="","",ROW())</f>
      </c>
      <c r="O565" s="225">
        <f>IF($I565="Công việc",MATCH($C565,'Kế hoạch'!$A$6:$A$305,0),"")</f>
      </c>
      <c r="P565" s="234">
        <f>IF($O565="","",INDEX('Kế hoạch'!$I$6:$I$305,$O565))</f>
      </c>
      <c r="Q565" s="225">
        <f>IF($O565="","",INDEX('Kế hoạch'!$AJ$6:$AJ$305,$O565))</f>
      </c>
      <c r="R565" s="225">
        <f>IF($O565="","",INDEX('Kế hoạch'!$AK$6:$AK$305,$O565))</f>
      </c>
    </row>
    <row r="566">
      <c r="A566" s="223">
        <f>IF($C566="","",COUNTIF($C$6:$C566,"?*"))</f>
      </c>
      <c r="B566" s="217"/>
      <c r="C566" s="216"/>
      <c r="D566" s="240"/>
      <c r="E566" s="218"/>
      <c r="F566" s="218"/>
      <c r="G566" s="218"/>
      <c r="H566" s="219"/>
      <c r="I566" s="223">
        <f>IF($C566="","",IF(ISNUMBER(MATCH($C566,'Phản ánh'!$A$6:$A$505,0)),"Phản ánh",IF(ISNUMBER(MATCH($C566,'Kế hoạch'!$A$6:$A$305,0)),"Công việc","Mã chưa có")))</f>
      </c>
      <c r="J566" s="221">
        <f>IF($I566="Phản ánh",INDEX('Phản ánh'!$C$6:$C$505,MATCH($C566,'Phản ánh'!$A$6:$A$505,0)),IF($I566="Công việc",INDEX('Kế hoạch'!$C$6:$C$305,$O566),""))</f>
      </c>
      <c r="K566" s="221">
        <f>IF($I566="Phản ánh",INDEX('Phản ánh'!$K$6:$K$505,MATCH($C566,'Phản ánh'!$A$6:$A$505,0))&amp;"",IF($I566="Công việc",INDEX('Kế hoạch'!$N$6:$N$305,$O566)&amp;"",""))</f>
      </c>
      <c r="L566" s="220">
        <f>IF(OR($C566="",N($B566)=0),"",IF(AND($I566="Phản ánh",$E566="Đã xử lý"),INDEX('Phản ánh'!$U$6:$U$505,MATCH($C566,'Phản ánh'!$A$6:$A$505,0)),IF(AND($I566="Công việc",OR($E566="Hoàn thành",$E566="Hoàn thành kỳ")),IF(INDEX('Kế hoạch'!$B$6:$B$305,$O566)="Đột xuất",INDEX('Kế hoạch'!$AY$6:$AY$305,$O566),IF(N($P566)=0,"",IF(INT($B566)&lt;$P566,$P566,IF($Q566&gt;0,$P566+ROUND((INT($B566)-$P566)/$Q566,0)*$Q566,IF($R566&gt;0,EDATE($P566,ROUND((DATEDIF($P566,INT($B566),"m")+(INT($B566)-EDATE($P566,DATEDIF($P566,INT($B566),"m")))/(EDATE($P566,DATEDIF($P566,INT($B566),"m")+1)-EDATE($P566,DATEDIF($P566,INT($B566),"m"))))/$R566,0)*$R566),$P566))))),"")))</f>
      </c>
      <c r="M566" s="223">
        <f>IF(OR($C566="",N($L566)=0,N($B566)=0),"",IF(IF(MOD($L566,1)=0,INT($B566),$B566)&lt;=$L566,"Đúng hạn","Trễ hạn"))</f>
      </c>
      <c r="N566" s="225">
        <f>IF($C566="","",ROW())</f>
      </c>
      <c r="O566" s="225">
        <f>IF($I566="Công việc",MATCH($C566,'Kế hoạch'!$A$6:$A$305,0),"")</f>
      </c>
      <c r="P566" s="234">
        <f>IF($O566="","",INDEX('Kế hoạch'!$I$6:$I$305,$O566))</f>
      </c>
      <c r="Q566" s="225">
        <f>IF($O566="","",INDEX('Kế hoạch'!$AJ$6:$AJ$305,$O566))</f>
      </c>
      <c r="R566" s="225">
        <f>IF($O566="","",INDEX('Kế hoạch'!$AK$6:$AK$305,$O566))</f>
      </c>
    </row>
    <row r="567">
      <c r="A567" s="223">
        <f>IF($C567="","",COUNTIF($C$6:$C567,"?*"))</f>
      </c>
      <c r="B567" s="217"/>
      <c r="C567" s="216"/>
      <c r="D567" s="240"/>
      <c r="E567" s="218"/>
      <c r="F567" s="218"/>
      <c r="G567" s="218"/>
      <c r="H567" s="219"/>
      <c r="I567" s="223">
        <f>IF($C567="","",IF(ISNUMBER(MATCH($C567,'Phản ánh'!$A$6:$A$505,0)),"Phản ánh",IF(ISNUMBER(MATCH($C567,'Kế hoạch'!$A$6:$A$305,0)),"Công việc","Mã chưa có")))</f>
      </c>
      <c r="J567" s="221">
        <f>IF($I567="Phản ánh",INDEX('Phản ánh'!$C$6:$C$505,MATCH($C567,'Phản ánh'!$A$6:$A$505,0)),IF($I567="Công việc",INDEX('Kế hoạch'!$C$6:$C$305,$O567),""))</f>
      </c>
      <c r="K567" s="221">
        <f>IF($I567="Phản ánh",INDEX('Phản ánh'!$K$6:$K$505,MATCH($C567,'Phản ánh'!$A$6:$A$505,0))&amp;"",IF($I567="Công việc",INDEX('Kế hoạch'!$N$6:$N$305,$O567)&amp;"",""))</f>
      </c>
      <c r="L567" s="220">
        <f>IF(OR($C567="",N($B567)=0),"",IF(AND($I567="Phản ánh",$E567="Đã xử lý"),INDEX('Phản ánh'!$U$6:$U$505,MATCH($C567,'Phản ánh'!$A$6:$A$505,0)),IF(AND($I567="Công việc",OR($E567="Hoàn thành",$E567="Hoàn thành kỳ")),IF(INDEX('Kế hoạch'!$B$6:$B$305,$O567)="Đột xuất",INDEX('Kế hoạch'!$AY$6:$AY$305,$O567),IF(N($P567)=0,"",IF(INT($B567)&lt;$P567,$P567,IF($Q567&gt;0,$P567+ROUND((INT($B567)-$P567)/$Q567,0)*$Q567,IF($R567&gt;0,EDATE($P567,ROUND((DATEDIF($P567,INT($B567),"m")+(INT($B567)-EDATE($P567,DATEDIF($P567,INT($B567),"m")))/(EDATE($P567,DATEDIF($P567,INT($B567),"m")+1)-EDATE($P567,DATEDIF($P567,INT($B567),"m"))))/$R567,0)*$R567),$P567))))),"")))</f>
      </c>
      <c r="M567" s="223">
        <f>IF(OR($C567="",N($L567)=0,N($B567)=0),"",IF(IF(MOD($L567,1)=0,INT($B567),$B567)&lt;=$L567,"Đúng hạn","Trễ hạn"))</f>
      </c>
      <c r="N567" s="225">
        <f>IF($C567="","",ROW())</f>
      </c>
      <c r="O567" s="225">
        <f>IF($I567="Công việc",MATCH($C567,'Kế hoạch'!$A$6:$A$305,0),"")</f>
      </c>
      <c r="P567" s="234">
        <f>IF($O567="","",INDEX('Kế hoạch'!$I$6:$I$305,$O567))</f>
      </c>
      <c r="Q567" s="225">
        <f>IF($O567="","",INDEX('Kế hoạch'!$AJ$6:$AJ$305,$O567))</f>
      </c>
      <c r="R567" s="225">
        <f>IF($O567="","",INDEX('Kế hoạch'!$AK$6:$AK$305,$O567))</f>
      </c>
    </row>
    <row r="568">
      <c r="A568" s="223">
        <f>IF($C568="","",COUNTIF($C$6:$C568,"?*"))</f>
      </c>
      <c r="B568" s="217"/>
      <c r="C568" s="216"/>
      <c r="D568" s="240"/>
      <c r="E568" s="218"/>
      <c r="F568" s="218"/>
      <c r="G568" s="218"/>
      <c r="H568" s="219"/>
      <c r="I568" s="223">
        <f>IF($C568="","",IF(ISNUMBER(MATCH($C568,'Phản ánh'!$A$6:$A$505,0)),"Phản ánh",IF(ISNUMBER(MATCH($C568,'Kế hoạch'!$A$6:$A$305,0)),"Công việc","Mã chưa có")))</f>
      </c>
      <c r="J568" s="221">
        <f>IF($I568="Phản ánh",INDEX('Phản ánh'!$C$6:$C$505,MATCH($C568,'Phản ánh'!$A$6:$A$505,0)),IF($I568="Công việc",INDEX('Kế hoạch'!$C$6:$C$305,$O568),""))</f>
      </c>
      <c r="K568" s="221">
        <f>IF($I568="Phản ánh",INDEX('Phản ánh'!$K$6:$K$505,MATCH($C568,'Phản ánh'!$A$6:$A$505,0))&amp;"",IF($I568="Công việc",INDEX('Kế hoạch'!$N$6:$N$305,$O568)&amp;"",""))</f>
      </c>
      <c r="L568" s="220">
        <f>IF(OR($C568="",N($B568)=0),"",IF(AND($I568="Phản ánh",$E568="Đã xử lý"),INDEX('Phản ánh'!$U$6:$U$505,MATCH($C568,'Phản ánh'!$A$6:$A$505,0)),IF(AND($I568="Công việc",OR($E568="Hoàn thành",$E568="Hoàn thành kỳ")),IF(INDEX('Kế hoạch'!$B$6:$B$305,$O568)="Đột xuất",INDEX('Kế hoạch'!$AY$6:$AY$305,$O568),IF(N($P568)=0,"",IF(INT($B568)&lt;$P568,$P568,IF($Q568&gt;0,$P568+ROUND((INT($B568)-$P568)/$Q568,0)*$Q568,IF($R568&gt;0,EDATE($P568,ROUND((DATEDIF($P568,INT($B568),"m")+(INT($B568)-EDATE($P568,DATEDIF($P568,INT($B568),"m")))/(EDATE($P568,DATEDIF($P568,INT($B568),"m")+1)-EDATE($P568,DATEDIF($P568,INT($B568),"m"))))/$R568,0)*$R568),$P568))))),"")))</f>
      </c>
      <c r="M568" s="223">
        <f>IF(OR($C568="",N($L568)=0,N($B568)=0),"",IF(IF(MOD($L568,1)=0,INT($B568),$B568)&lt;=$L568,"Đúng hạn","Trễ hạn"))</f>
      </c>
      <c r="N568" s="225">
        <f>IF($C568="","",ROW())</f>
      </c>
      <c r="O568" s="225">
        <f>IF($I568="Công việc",MATCH($C568,'Kế hoạch'!$A$6:$A$305,0),"")</f>
      </c>
      <c r="P568" s="234">
        <f>IF($O568="","",INDEX('Kế hoạch'!$I$6:$I$305,$O568))</f>
      </c>
      <c r="Q568" s="225">
        <f>IF($O568="","",INDEX('Kế hoạch'!$AJ$6:$AJ$305,$O568))</f>
      </c>
      <c r="R568" s="225">
        <f>IF($O568="","",INDEX('Kế hoạch'!$AK$6:$AK$305,$O568))</f>
      </c>
    </row>
    <row r="569">
      <c r="A569" s="223">
        <f>IF($C569="","",COUNTIF($C$6:$C569,"?*"))</f>
      </c>
      <c r="B569" s="217"/>
      <c r="C569" s="216"/>
      <c r="D569" s="240"/>
      <c r="E569" s="218"/>
      <c r="F569" s="218"/>
      <c r="G569" s="218"/>
      <c r="H569" s="219"/>
      <c r="I569" s="223">
        <f>IF($C569="","",IF(ISNUMBER(MATCH($C569,'Phản ánh'!$A$6:$A$505,0)),"Phản ánh",IF(ISNUMBER(MATCH($C569,'Kế hoạch'!$A$6:$A$305,0)),"Công việc","Mã chưa có")))</f>
      </c>
      <c r="J569" s="221">
        <f>IF($I569="Phản ánh",INDEX('Phản ánh'!$C$6:$C$505,MATCH($C569,'Phản ánh'!$A$6:$A$505,0)),IF($I569="Công việc",INDEX('Kế hoạch'!$C$6:$C$305,$O569),""))</f>
      </c>
      <c r="K569" s="221">
        <f>IF($I569="Phản ánh",INDEX('Phản ánh'!$K$6:$K$505,MATCH($C569,'Phản ánh'!$A$6:$A$505,0))&amp;"",IF($I569="Công việc",INDEX('Kế hoạch'!$N$6:$N$305,$O569)&amp;"",""))</f>
      </c>
      <c r="L569" s="220">
        <f>IF(OR($C569="",N($B569)=0),"",IF(AND($I569="Phản ánh",$E569="Đã xử lý"),INDEX('Phản ánh'!$U$6:$U$505,MATCH($C569,'Phản ánh'!$A$6:$A$505,0)),IF(AND($I569="Công việc",OR($E569="Hoàn thành",$E569="Hoàn thành kỳ")),IF(INDEX('Kế hoạch'!$B$6:$B$305,$O569)="Đột xuất",INDEX('Kế hoạch'!$AY$6:$AY$305,$O569),IF(N($P569)=0,"",IF(INT($B569)&lt;$P569,$P569,IF($Q569&gt;0,$P569+ROUND((INT($B569)-$P569)/$Q569,0)*$Q569,IF($R569&gt;0,EDATE($P569,ROUND((DATEDIF($P569,INT($B569),"m")+(INT($B569)-EDATE($P569,DATEDIF($P569,INT($B569),"m")))/(EDATE($P569,DATEDIF($P569,INT($B569),"m")+1)-EDATE($P569,DATEDIF($P569,INT($B569),"m"))))/$R569,0)*$R569),$P569))))),"")))</f>
      </c>
      <c r="M569" s="223">
        <f>IF(OR($C569="",N($L569)=0,N($B569)=0),"",IF(IF(MOD($L569,1)=0,INT($B569),$B569)&lt;=$L569,"Đúng hạn","Trễ hạn"))</f>
      </c>
      <c r="N569" s="225">
        <f>IF($C569="","",ROW())</f>
      </c>
      <c r="O569" s="225">
        <f>IF($I569="Công việc",MATCH($C569,'Kế hoạch'!$A$6:$A$305,0),"")</f>
      </c>
      <c r="P569" s="234">
        <f>IF($O569="","",INDEX('Kế hoạch'!$I$6:$I$305,$O569))</f>
      </c>
      <c r="Q569" s="225">
        <f>IF($O569="","",INDEX('Kế hoạch'!$AJ$6:$AJ$305,$O569))</f>
      </c>
      <c r="R569" s="225">
        <f>IF($O569="","",INDEX('Kế hoạch'!$AK$6:$AK$305,$O569))</f>
      </c>
    </row>
    <row r="570">
      <c r="A570" s="223">
        <f>IF($C570="","",COUNTIF($C$6:$C570,"?*"))</f>
      </c>
      <c r="B570" s="217"/>
      <c r="C570" s="216"/>
      <c r="D570" s="240"/>
      <c r="E570" s="218"/>
      <c r="F570" s="218"/>
      <c r="G570" s="218"/>
      <c r="H570" s="219"/>
      <c r="I570" s="223">
        <f>IF($C570="","",IF(ISNUMBER(MATCH($C570,'Phản ánh'!$A$6:$A$505,0)),"Phản ánh",IF(ISNUMBER(MATCH($C570,'Kế hoạch'!$A$6:$A$305,0)),"Công việc","Mã chưa có")))</f>
      </c>
      <c r="J570" s="221">
        <f>IF($I570="Phản ánh",INDEX('Phản ánh'!$C$6:$C$505,MATCH($C570,'Phản ánh'!$A$6:$A$505,0)),IF($I570="Công việc",INDEX('Kế hoạch'!$C$6:$C$305,$O570),""))</f>
      </c>
      <c r="K570" s="221">
        <f>IF($I570="Phản ánh",INDEX('Phản ánh'!$K$6:$K$505,MATCH($C570,'Phản ánh'!$A$6:$A$505,0))&amp;"",IF($I570="Công việc",INDEX('Kế hoạch'!$N$6:$N$305,$O570)&amp;"",""))</f>
      </c>
      <c r="L570" s="220">
        <f>IF(OR($C570="",N($B570)=0),"",IF(AND($I570="Phản ánh",$E570="Đã xử lý"),INDEX('Phản ánh'!$U$6:$U$505,MATCH($C570,'Phản ánh'!$A$6:$A$505,0)),IF(AND($I570="Công việc",OR($E570="Hoàn thành",$E570="Hoàn thành kỳ")),IF(INDEX('Kế hoạch'!$B$6:$B$305,$O570)="Đột xuất",INDEX('Kế hoạch'!$AY$6:$AY$305,$O570),IF(N($P570)=0,"",IF(INT($B570)&lt;$P570,$P570,IF($Q570&gt;0,$P570+ROUND((INT($B570)-$P570)/$Q570,0)*$Q570,IF($R570&gt;0,EDATE($P570,ROUND((DATEDIF($P570,INT($B570),"m")+(INT($B570)-EDATE($P570,DATEDIF($P570,INT($B570),"m")))/(EDATE($P570,DATEDIF($P570,INT($B570),"m")+1)-EDATE($P570,DATEDIF($P570,INT($B570),"m"))))/$R570,0)*$R570),$P570))))),"")))</f>
      </c>
      <c r="M570" s="223">
        <f>IF(OR($C570="",N($L570)=0,N($B570)=0),"",IF(IF(MOD($L570,1)=0,INT($B570),$B570)&lt;=$L570,"Đúng hạn","Trễ hạn"))</f>
      </c>
      <c r="N570" s="225">
        <f>IF($C570="","",ROW())</f>
      </c>
      <c r="O570" s="225">
        <f>IF($I570="Công việc",MATCH($C570,'Kế hoạch'!$A$6:$A$305,0),"")</f>
      </c>
      <c r="P570" s="234">
        <f>IF($O570="","",INDEX('Kế hoạch'!$I$6:$I$305,$O570))</f>
      </c>
      <c r="Q570" s="225">
        <f>IF($O570="","",INDEX('Kế hoạch'!$AJ$6:$AJ$305,$O570))</f>
      </c>
      <c r="R570" s="225">
        <f>IF($O570="","",INDEX('Kế hoạch'!$AK$6:$AK$305,$O570))</f>
      </c>
    </row>
    <row r="571">
      <c r="A571" s="223">
        <f>IF($C571="","",COUNTIF($C$6:$C571,"?*"))</f>
      </c>
      <c r="B571" s="217"/>
      <c r="C571" s="216"/>
      <c r="D571" s="240"/>
      <c r="E571" s="218"/>
      <c r="F571" s="218"/>
      <c r="G571" s="218"/>
      <c r="H571" s="219"/>
      <c r="I571" s="223">
        <f>IF($C571="","",IF(ISNUMBER(MATCH($C571,'Phản ánh'!$A$6:$A$505,0)),"Phản ánh",IF(ISNUMBER(MATCH($C571,'Kế hoạch'!$A$6:$A$305,0)),"Công việc","Mã chưa có")))</f>
      </c>
      <c r="J571" s="221">
        <f>IF($I571="Phản ánh",INDEX('Phản ánh'!$C$6:$C$505,MATCH($C571,'Phản ánh'!$A$6:$A$505,0)),IF($I571="Công việc",INDEX('Kế hoạch'!$C$6:$C$305,$O571),""))</f>
      </c>
      <c r="K571" s="221">
        <f>IF($I571="Phản ánh",INDEX('Phản ánh'!$K$6:$K$505,MATCH($C571,'Phản ánh'!$A$6:$A$505,0))&amp;"",IF($I571="Công việc",INDEX('Kế hoạch'!$N$6:$N$305,$O571)&amp;"",""))</f>
      </c>
      <c r="L571" s="220">
        <f>IF(OR($C571="",N($B571)=0),"",IF(AND($I571="Phản ánh",$E571="Đã xử lý"),INDEX('Phản ánh'!$U$6:$U$505,MATCH($C571,'Phản ánh'!$A$6:$A$505,0)),IF(AND($I571="Công việc",OR($E571="Hoàn thành",$E571="Hoàn thành kỳ")),IF(INDEX('Kế hoạch'!$B$6:$B$305,$O571)="Đột xuất",INDEX('Kế hoạch'!$AY$6:$AY$305,$O571),IF(N($P571)=0,"",IF(INT($B571)&lt;$P571,$P571,IF($Q571&gt;0,$P571+ROUND((INT($B571)-$P571)/$Q571,0)*$Q571,IF($R571&gt;0,EDATE($P571,ROUND((DATEDIF($P571,INT($B571),"m")+(INT($B571)-EDATE($P571,DATEDIF($P571,INT($B571),"m")))/(EDATE($P571,DATEDIF($P571,INT($B571),"m")+1)-EDATE($P571,DATEDIF($P571,INT($B571),"m"))))/$R571,0)*$R571),$P571))))),"")))</f>
      </c>
      <c r="M571" s="223">
        <f>IF(OR($C571="",N($L571)=0,N($B571)=0),"",IF(IF(MOD($L571,1)=0,INT($B571),$B571)&lt;=$L571,"Đúng hạn","Trễ hạn"))</f>
      </c>
      <c r="N571" s="225">
        <f>IF($C571="","",ROW())</f>
      </c>
      <c r="O571" s="225">
        <f>IF($I571="Công việc",MATCH($C571,'Kế hoạch'!$A$6:$A$305,0),"")</f>
      </c>
      <c r="P571" s="234">
        <f>IF($O571="","",INDEX('Kế hoạch'!$I$6:$I$305,$O571))</f>
      </c>
      <c r="Q571" s="225">
        <f>IF($O571="","",INDEX('Kế hoạch'!$AJ$6:$AJ$305,$O571))</f>
      </c>
      <c r="R571" s="225">
        <f>IF($O571="","",INDEX('Kế hoạch'!$AK$6:$AK$305,$O571))</f>
      </c>
    </row>
    <row r="572">
      <c r="A572" s="223">
        <f>IF($C572="","",COUNTIF($C$6:$C572,"?*"))</f>
      </c>
      <c r="B572" s="217"/>
      <c r="C572" s="216"/>
      <c r="D572" s="240"/>
      <c r="E572" s="218"/>
      <c r="F572" s="218"/>
      <c r="G572" s="218"/>
      <c r="H572" s="219"/>
      <c r="I572" s="223">
        <f>IF($C572="","",IF(ISNUMBER(MATCH($C572,'Phản ánh'!$A$6:$A$505,0)),"Phản ánh",IF(ISNUMBER(MATCH($C572,'Kế hoạch'!$A$6:$A$305,0)),"Công việc","Mã chưa có")))</f>
      </c>
      <c r="J572" s="221">
        <f>IF($I572="Phản ánh",INDEX('Phản ánh'!$C$6:$C$505,MATCH($C572,'Phản ánh'!$A$6:$A$505,0)),IF($I572="Công việc",INDEX('Kế hoạch'!$C$6:$C$305,$O572),""))</f>
      </c>
      <c r="K572" s="221">
        <f>IF($I572="Phản ánh",INDEX('Phản ánh'!$K$6:$K$505,MATCH($C572,'Phản ánh'!$A$6:$A$505,0))&amp;"",IF($I572="Công việc",INDEX('Kế hoạch'!$N$6:$N$305,$O572)&amp;"",""))</f>
      </c>
      <c r="L572" s="220">
        <f>IF(OR($C572="",N($B572)=0),"",IF(AND($I572="Phản ánh",$E572="Đã xử lý"),INDEX('Phản ánh'!$U$6:$U$505,MATCH($C572,'Phản ánh'!$A$6:$A$505,0)),IF(AND($I572="Công việc",OR($E572="Hoàn thành",$E572="Hoàn thành kỳ")),IF(INDEX('Kế hoạch'!$B$6:$B$305,$O572)="Đột xuất",INDEX('Kế hoạch'!$AY$6:$AY$305,$O572),IF(N($P572)=0,"",IF(INT($B572)&lt;$P572,$P572,IF($Q572&gt;0,$P572+ROUND((INT($B572)-$P572)/$Q572,0)*$Q572,IF($R572&gt;0,EDATE($P572,ROUND((DATEDIF($P572,INT($B572),"m")+(INT($B572)-EDATE($P572,DATEDIF($P572,INT($B572),"m")))/(EDATE($P572,DATEDIF($P572,INT($B572),"m")+1)-EDATE($P572,DATEDIF($P572,INT($B572),"m"))))/$R572,0)*$R572),$P572))))),"")))</f>
      </c>
      <c r="M572" s="223">
        <f>IF(OR($C572="",N($L572)=0,N($B572)=0),"",IF(IF(MOD($L572,1)=0,INT($B572),$B572)&lt;=$L572,"Đúng hạn","Trễ hạn"))</f>
      </c>
      <c r="N572" s="225">
        <f>IF($C572="","",ROW())</f>
      </c>
      <c r="O572" s="225">
        <f>IF($I572="Công việc",MATCH($C572,'Kế hoạch'!$A$6:$A$305,0),"")</f>
      </c>
      <c r="P572" s="234">
        <f>IF($O572="","",INDEX('Kế hoạch'!$I$6:$I$305,$O572))</f>
      </c>
      <c r="Q572" s="225">
        <f>IF($O572="","",INDEX('Kế hoạch'!$AJ$6:$AJ$305,$O572))</f>
      </c>
      <c r="R572" s="225">
        <f>IF($O572="","",INDEX('Kế hoạch'!$AK$6:$AK$305,$O572))</f>
      </c>
    </row>
    <row r="573">
      <c r="A573" s="223">
        <f>IF($C573="","",COUNTIF($C$6:$C573,"?*"))</f>
      </c>
      <c r="B573" s="217"/>
      <c r="C573" s="216"/>
      <c r="D573" s="240"/>
      <c r="E573" s="218"/>
      <c r="F573" s="218"/>
      <c r="G573" s="218"/>
      <c r="H573" s="219"/>
      <c r="I573" s="223">
        <f>IF($C573="","",IF(ISNUMBER(MATCH($C573,'Phản ánh'!$A$6:$A$505,0)),"Phản ánh",IF(ISNUMBER(MATCH($C573,'Kế hoạch'!$A$6:$A$305,0)),"Công việc","Mã chưa có")))</f>
      </c>
      <c r="J573" s="221">
        <f>IF($I573="Phản ánh",INDEX('Phản ánh'!$C$6:$C$505,MATCH($C573,'Phản ánh'!$A$6:$A$505,0)),IF($I573="Công việc",INDEX('Kế hoạch'!$C$6:$C$305,$O573),""))</f>
      </c>
      <c r="K573" s="221">
        <f>IF($I573="Phản ánh",INDEX('Phản ánh'!$K$6:$K$505,MATCH($C573,'Phản ánh'!$A$6:$A$505,0))&amp;"",IF($I573="Công việc",INDEX('Kế hoạch'!$N$6:$N$305,$O573)&amp;"",""))</f>
      </c>
      <c r="L573" s="220">
        <f>IF(OR($C573="",N($B573)=0),"",IF(AND($I573="Phản ánh",$E573="Đã xử lý"),INDEX('Phản ánh'!$U$6:$U$505,MATCH($C573,'Phản ánh'!$A$6:$A$505,0)),IF(AND($I573="Công việc",OR($E573="Hoàn thành",$E573="Hoàn thành kỳ")),IF(INDEX('Kế hoạch'!$B$6:$B$305,$O573)="Đột xuất",INDEX('Kế hoạch'!$AY$6:$AY$305,$O573),IF(N($P573)=0,"",IF(INT($B573)&lt;$P573,$P573,IF($Q573&gt;0,$P573+ROUND((INT($B573)-$P573)/$Q573,0)*$Q573,IF($R573&gt;0,EDATE($P573,ROUND((DATEDIF($P573,INT($B573),"m")+(INT($B573)-EDATE($P573,DATEDIF($P573,INT($B573),"m")))/(EDATE($P573,DATEDIF($P573,INT($B573),"m")+1)-EDATE($P573,DATEDIF($P573,INT($B573),"m"))))/$R573,0)*$R573),$P573))))),"")))</f>
      </c>
      <c r="M573" s="223">
        <f>IF(OR($C573="",N($L573)=0,N($B573)=0),"",IF(IF(MOD($L573,1)=0,INT($B573),$B573)&lt;=$L573,"Đúng hạn","Trễ hạn"))</f>
      </c>
      <c r="N573" s="225">
        <f>IF($C573="","",ROW())</f>
      </c>
      <c r="O573" s="225">
        <f>IF($I573="Công việc",MATCH($C573,'Kế hoạch'!$A$6:$A$305,0),"")</f>
      </c>
      <c r="P573" s="234">
        <f>IF($O573="","",INDEX('Kế hoạch'!$I$6:$I$305,$O573))</f>
      </c>
      <c r="Q573" s="225">
        <f>IF($O573="","",INDEX('Kế hoạch'!$AJ$6:$AJ$305,$O573))</f>
      </c>
      <c r="R573" s="225">
        <f>IF($O573="","",INDEX('Kế hoạch'!$AK$6:$AK$305,$O573))</f>
      </c>
    </row>
    <row r="574">
      <c r="A574" s="223">
        <f>IF($C574="","",COUNTIF($C$6:$C574,"?*"))</f>
      </c>
      <c r="B574" s="217"/>
      <c r="C574" s="216"/>
      <c r="D574" s="240"/>
      <c r="E574" s="218"/>
      <c r="F574" s="218"/>
      <c r="G574" s="218"/>
      <c r="H574" s="219"/>
      <c r="I574" s="223">
        <f>IF($C574="","",IF(ISNUMBER(MATCH($C574,'Phản ánh'!$A$6:$A$505,0)),"Phản ánh",IF(ISNUMBER(MATCH($C574,'Kế hoạch'!$A$6:$A$305,0)),"Công việc","Mã chưa có")))</f>
      </c>
      <c r="J574" s="221">
        <f>IF($I574="Phản ánh",INDEX('Phản ánh'!$C$6:$C$505,MATCH($C574,'Phản ánh'!$A$6:$A$505,0)),IF($I574="Công việc",INDEX('Kế hoạch'!$C$6:$C$305,$O574),""))</f>
      </c>
      <c r="K574" s="221">
        <f>IF($I574="Phản ánh",INDEX('Phản ánh'!$K$6:$K$505,MATCH($C574,'Phản ánh'!$A$6:$A$505,0))&amp;"",IF($I574="Công việc",INDEX('Kế hoạch'!$N$6:$N$305,$O574)&amp;"",""))</f>
      </c>
      <c r="L574" s="220">
        <f>IF(OR($C574="",N($B574)=0),"",IF(AND($I574="Phản ánh",$E574="Đã xử lý"),INDEX('Phản ánh'!$U$6:$U$505,MATCH($C574,'Phản ánh'!$A$6:$A$505,0)),IF(AND($I574="Công việc",OR($E574="Hoàn thành",$E574="Hoàn thành kỳ")),IF(INDEX('Kế hoạch'!$B$6:$B$305,$O574)="Đột xuất",INDEX('Kế hoạch'!$AY$6:$AY$305,$O574),IF(N($P574)=0,"",IF(INT($B574)&lt;$P574,$P574,IF($Q574&gt;0,$P574+ROUND((INT($B574)-$P574)/$Q574,0)*$Q574,IF($R574&gt;0,EDATE($P574,ROUND((DATEDIF($P574,INT($B574),"m")+(INT($B574)-EDATE($P574,DATEDIF($P574,INT($B574),"m")))/(EDATE($P574,DATEDIF($P574,INT($B574),"m")+1)-EDATE($P574,DATEDIF($P574,INT($B574),"m"))))/$R574,0)*$R574),$P574))))),"")))</f>
      </c>
      <c r="M574" s="223">
        <f>IF(OR($C574="",N($L574)=0,N($B574)=0),"",IF(IF(MOD($L574,1)=0,INT($B574),$B574)&lt;=$L574,"Đúng hạn","Trễ hạn"))</f>
      </c>
      <c r="N574" s="225">
        <f>IF($C574="","",ROW())</f>
      </c>
      <c r="O574" s="225">
        <f>IF($I574="Công việc",MATCH($C574,'Kế hoạch'!$A$6:$A$305,0),"")</f>
      </c>
      <c r="P574" s="234">
        <f>IF($O574="","",INDEX('Kế hoạch'!$I$6:$I$305,$O574))</f>
      </c>
      <c r="Q574" s="225">
        <f>IF($O574="","",INDEX('Kế hoạch'!$AJ$6:$AJ$305,$O574))</f>
      </c>
      <c r="R574" s="225">
        <f>IF($O574="","",INDEX('Kế hoạch'!$AK$6:$AK$305,$O574))</f>
      </c>
    </row>
    <row r="575">
      <c r="A575" s="223">
        <f>IF($C575="","",COUNTIF($C$6:$C575,"?*"))</f>
      </c>
      <c r="B575" s="217"/>
      <c r="C575" s="216"/>
      <c r="D575" s="240"/>
      <c r="E575" s="218"/>
      <c r="F575" s="218"/>
      <c r="G575" s="218"/>
      <c r="H575" s="219"/>
      <c r="I575" s="223">
        <f>IF($C575="","",IF(ISNUMBER(MATCH($C575,'Phản ánh'!$A$6:$A$505,0)),"Phản ánh",IF(ISNUMBER(MATCH($C575,'Kế hoạch'!$A$6:$A$305,0)),"Công việc","Mã chưa có")))</f>
      </c>
      <c r="J575" s="221">
        <f>IF($I575="Phản ánh",INDEX('Phản ánh'!$C$6:$C$505,MATCH($C575,'Phản ánh'!$A$6:$A$505,0)),IF($I575="Công việc",INDEX('Kế hoạch'!$C$6:$C$305,$O575),""))</f>
      </c>
      <c r="K575" s="221">
        <f>IF($I575="Phản ánh",INDEX('Phản ánh'!$K$6:$K$505,MATCH($C575,'Phản ánh'!$A$6:$A$505,0))&amp;"",IF($I575="Công việc",INDEX('Kế hoạch'!$N$6:$N$305,$O575)&amp;"",""))</f>
      </c>
      <c r="L575" s="220">
        <f>IF(OR($C575="",N($B575)=0),"",IF(AND($I575="Phản ánh",$E575="Đã xử lý"),INDEX('Phản ánh'!$U$6:$U$505,MATCH($C575,'Phản ánh'!$A$6:$A$505,0)),IF(AND($I575="Công việc",OR($E575="Hoàn thành",$E575="Hoàn thành kỳ")),IF(INDEX('Kế hoạch'!$B$6:$B$305,$O575)="Đột xuất",INDEX('Kế hoạch'!$AY$6:$AY$305,$O575),IF(N($P575)=0,"",IF(INT($B575)&lt;$P575,$P575,IF($Q575&gt;0,$P575+ROUND((INT($B575)-$P575)/$Q575,0)*$Q575,IF($R575&gt;0,EDATE($P575,ROUND((DATEDIF($P575,INT($B575),"m")+(INT($B575)-EDATE($P575,DATEDIF($P575,INT($B575),"m")))/(EDATE($P575,DATEDIF($P575,INT($B575),"m")+1)-EDATE($P575,DATEDIF($P575,INT($B575),"m"))))/$R575,0)*$R575),$P575))))),"")))</f>
      </c>
      <c r="M575" s="223">
        <f>IF(OR($C575="",N($L575)=0,N($B575)=0),"",IF(IF(MOD($L575,1)=0,INT($B575),$B575)&lt;=$L575,"Đúng hạn","Trễ hạn"))</f>
      </c>
      <c r="N575" s="225">
        <f>IF($C575="","",ROW())</f>
      </c>
      <c r="O575" s="225">
        <f>IF($I575="Công việc",MATCH($C575,'Kế hoạch'!$A$6:$A$305,0),"")</f>
      </c>
      <c r="P575" s="234">
        <f>IF($O575="","",INDEX('Kế hoạch'!$I$6:$I$305,$O575))</f>
      </c>
      <c r="Q575" s="225">
        <f>IF($O575="","",INDEX('Kế hoạch'!$AJ$6:$AJ$305,$O575))</f>
      </c>
      <c r="R575" s="225">
        <f>IF($O575="","",INDEX('Kế hoạch'!$AK$6:$AK$305,$O575))</f>
      </c>
    </row>
    <row r="576">
      <c r="A576" s="223">
        <f>IF($C576="","",COUNTIF($C$6:$C576,"?*"))</f>
      </c>
      <c r="B576" s="217"/>
      <c r="C576" s="216"/>
      <c r="D576" s="240"/>
      <c r="E576" s="218"/>
      <c r="F576" s="218"/>
      <c r="G576" s="218"/>
      <c r="H576" s="219"/>
      <c r="I576" s="223">
        <f>IF($C576="","",IF(ISNUMBER(MATCH($C576,'Phản ánh'!$A$6:$A$505,0)),"Phản ánh",IF(ISNUMBER(MATCH($C576,'Kế hoạch'!$A$6:$A$305,0)),"Công việc","Mã chưa có")))</f>
      </c>
      <c r="J576" s="221">
        <f>IF($I576="Phản ánh",INDEX('Phản ánh'!$C$6:$C$505,MATCH($C576,'Phản ánh'!$A$6:$A$505,0)),IF($I576="Công việc",INDEX('Kế hoạch'!$C$6:$C$305,$O576),""))</f>
      </c>
      <c r="K576" s="221">
        <f>IF($I576="Phản ánh",INDEX('Phản ánh'!$K$6:$K$505,MATCH($C576,'Phản ánh'!$A$6:$A$505,0))&amp;"",IF($I576="Công việc",INDEX('Kế hoạch'!$N$6:$N$305,$O576)&amp;"",""))</f>
      </c>
      <c r="L576" s="220">
        <f>IF(OR($C576="",N($B576)=0),"",IF(AND($I576="Phản ánh",$E576="Đã xử lý"),INDEX('Phản ánh'!$U$6:$U$505,MATCH($C576,'Phản ánh'!$A$6:$A$505,0)),IF(AND($I576="Công việc",OR($E576="Hoàn thành",$E576="Hoàn thành kỳ")),IF(INDEX('Kế hoạch'!$B$6:$B$305,$O576)="Đột xuất",INDEX('Kế hoạch'!$AY$6:$AY$305,$O576),IF(N($P576)=0,"",IF(INT($B576)&lt;$P576,$P576,IF($Q576&gt;0,$P576+ROUND((INT($B576)-$P576)/$Q576,0)*$Q576,IF($R576&gt;0,EDATE($P576,ROUND((DATEDIF($P576,INT($B576),"m")+(INT($B576)-EDATE($P576,DATEDIF($P576,INT($B576),"m")))/(EDATE($P576,DATEDIF($P576,INT($B576),"m")+1)-EDATE($P576,DATEDIF($P576,INT($B576),"m"))))/$R576,0)*$R576),$P576))))),"")))</f>
      </c>
      <c r="M576" s="223">
        <f>IF(OR($C576="",N($L576)=0,N($B576)=0),"",IF(IF(MOD($L576,1)=0,INT($B576),$B576)&lt;=$L576,"Đúng hạn","Trễ hạn"))</f>
      </c>
      <c r="N576" s="225">
        <f>IF($C576="","",ROW())</f>
      </c>
      <c r="O576" s="225">
        <f>IF($I576="Công việc",MATCH($C576,'Kế hoạch'!$A$6:$A$305,0),"")</f>
      </c>
      <c r="P576" s="234">
        <f>IF($O576="","",INDEX('Kế hoạch'!$I$6:$I$305,$O576))</f>
      </c>
      <c r="Q576" s="225">
        <f>IF($O576="","",INDEX('Kế hoạch'!$AJ$6:$AJ$305,$O576))</f>
      </c>
      <c r="R576" s="225">
        <f>IF($O576="","",INDEX('Kế hoạch'!$AK$6:$AK$305,$O576))</f>
      </c>
    </row>
    <row r="577">
      <c r="A577" s="223">
        <f>IF($C577="","",COUNTIF($C$6:$C577,"?*"))</f>
      </c>
      <c r="B577" s="217"/>
      <c r="C577" s="216"/>
      <c r="D577" s="240"/>
      <c r="E577" s="218"/>
      <c r="F577" s="218"/>
      <c r="G577" s="218"/>
      <c r="H577" s="219"/>
      <c r="I577" s="223">
        <f>IF($C577="","",IF(ISNUMBER(MATCH($C577,'Phản ánh'!$A$6:$A$505,0)),"Phản ánh",IF(ISNUMBER(MATCH($C577,'Kế hoạch'!$A$6:$A$305,0)),"Công việc","Mã chưa có")))</f>
      </c>
      <c r="J577" s="221">
        <f>IF($I577="Phản ánh",INDEX('Phản ánh'!$C$6:$C$505,MATCH($C577,'Phản ánh'!$A$6:$A$505,0)),IF($I577="Công việc",INDEX('Kế hoạch'!$C$6:$C$305,$O577),""))</f>
      </c>
      <c r="K577" s="221">
        <f>IF($I577="Phản ánh",INDEX('Phản ánh'!$K$6:$K$505,MATCH($C577,'Phản ánh'!$A$6:$A$505,0))&amp;"",IF($I577="Công việc",INDEX('Kế hoạch'!$N$6:$N$305,$O577)&amp;"",""))</f>
      </c>
      <c r="L577" s="220">
        <f>IF(OR($C577="",N($B577)=0),"",IF(AND($I577="Phản ánh",$E577="Đã xử lý"),INDEX('Phản ánh'!$U$6:$U$505,MATCH($C577,'Phản ánh'!$A$6:$A$505,0)),IF(AND($I577="Công việc",OR($E577="Hoàn thành",$E577="Hoàn thành kỳ")),IF(INDEX('Kế hoạch'!$B$6:$B$305,$O577)="Đột xuất",INDEX('Kế hoạch'!$AY$6:$AY$305,$O577),IF(N($P577)=0,"",IF(INT($B577)&lt;$P577,$P577,IF($Q577&gt;0,$P577+ROUND((INT($B577)-$P577)/$Q577,0)*$Q577,IF($R577&gt;0,EDATE($P577,ROUND((DATEDIF($P577,INT($B577),"m")+(INT($B577)-EDATE($P577,DATEDIF($P577,INT($B577),"m")))/(EDATE($P577,DATEDIF($P577,INT($B577),"m")+1)-EDATE($P577,DATEDIF($P577,INT($B577),"m"))))/$R577,0)*$R577),$P577))))),"")))</f>
      </c>
      <c r="M577" s="223">
        <f>IF(OR($C577="",N($L577)=0,N($B577)=0),"",IF(IF(MOD($L577,1)=0,INT($B577),$B577)&lt;=$L577,"Đúng hạn","Trễ hạn"))</f>
      </c>
      <c r="N577" s="225">
        <f>IF($C577="","",ROW())</f>
      </c>
      <c r="O577" s="225">
        <f>IF($I577="Công việc",MATCH($C577,'Kế hoạch'!$A$6:$A$305,0),"")</f>
      </c>
      <c r="P577" s="234">
        <f>IF($O577="","",INDEX('Kế hoạch'!$I$6:$I$305,$O577))</f>
      </c>
      <c r="Q577" s="225">
        <f>IF($O577="","",INDEX('Kế hoạch'!$AJ$6:$AJ$305,$O577))</f>
      </c>
      <c r="R577" s="225">
        <f>IF($O577="","",INDEX('Kế hoạch'!$AK$6:$AK$305,$O577))</f>
      </c>
    </row>
    <row r="578">
      <c r="A578" s="223">
        <f>IF($C578="","",COUNTIF($C$6:$C578,"?*"))</f>
      </c>
      <c r="B578" s="217"/>
      <c r="C578" s="216"/>
      <c r="D578" s="240"/>
      <c r="E578" s="218"/>
      <c r="F578" s="218"/>
      <c r="G578" s="218"/>
      <c r="H578" s="219"/>
      <c r="I578" s="223">
        <f>IF($C578="","",IF(ISNUMBER(MATCH($C578,'Phản ánh'!$A$6:$A$505,0)),"Phản ánh",IF(ISNUMBER(MATCH($C578,'Kế hoạch'!$A$6:$A$305,0)),"Công việc","Mã chưa có")))</f>
      </c>
      <c r="J578" s="221">
        <f>IF($I578="Phản ánh",INDEX('Phản ánh'!$C$6:$C$505,MATCH($C578,'Phản ánh'!$A$6:$A$505,0)),IF($I578="Công việc",INDEX('Kế hoạch'!$C$6:$C$305,$O578),""))</f>
      </c>
      <c r="K578" s="221">
        <f>IF($I578="Phản ánh",INDEX('Phản ánh'!$K$6:$K$505,MATCH($C578,'Phản ánh'!$A$6:$A$505,0))&amp;"",IF($I578="Công việc",INDEX('Kế hoạch'!$N$6:$N$305,$O578)&amp;"",""))</f>
      </c>
      <c r="L578" s="220">
        <f>IF(OR($C578="",N($B578)=0),"",IF(AND($I578="Phản ánh",$E578="Đã xử lý"),INDEX('Phản ánh'!$U$6:$U$505,MATCH($C578,'Phản ánh'!$A$6:$A$505,0)),IF(AND($I578="Công việc",OR($E578="Hoàn thành",$E578="Hoàn thành kỳ")),IF(INDEX('Kế hoạch'!$B$6:$B$305,$O578)="Đột xuất",INDEX('Kế hoạch'!$AY$6:$AY$305,$O578),IF(N($P578)=0,"",IF(INT($B578)&lt;$P578,$P578,IF($Q578&gt;0,$P578+ROUND((INT($B578)-$P578)/$Q578,0)*$Q578,IF($R578&gt;0,EDATE($P578,ROUND((DATEDIF($P578,INT($B578),"m")+(INT($B578)-EDATE($P578,DATEDIF($P578,INT($B578),"m")))/(EDATE($P578,DATEDIF($P578,INT($B578),"m")+1)-EDATE($P578,DATEDIF($P578,INT($B578),"m"))))/$R578,0)*$R578),$P578))))),"")))</f>
      </c>
      <c r="M578" s="223">
        <f>IF(OR($C578="",N($L578)=0,N($B578)=0),"",IF(IF(MOD($L578,1)=0,INT($B578),$B578)&lt;=$L578,"Đúng hạn","Trễ hạn"))</f>
      </c>
      <c r="N578" s="225">
        <f>IF($C578="","",ROW())</f>
      </c>
      <c r="O578" s="225">
        <f>IF($I578="Công việc",MATCH($C578,'Kế hoạch'!$A$6:$A$305,0),"")</f>
      </c>
      <c r="P578" s="234">
        <f>IF($O578="","",INDEX('Kế hoạch'!$I$6:$I$305,$O578))</f>
      </c>
      <c r="Q578" s="225">
        <f>IF($O578="","",INDEX('Kế hoạch'!$AJ$6:$AJ$305,$O578))</f>
      </c>
      <c r="R578" s="225">
        <f>IF($O578="","",INDEX('Kế hoạch'!$AK$6:$AK$305,$O578))</f>
      </c>
    </row>
    <row r="579">
      <c r="A579" s="223">
        <f>IF($C579="","",COUNTIF($C$6:$C579,"?*"))</f>
      </c>
      <c r="B579" s="217"/>
      <c r="C579" s="216"/>
      <c r="D579" s="240"/>
      <c r="E579" s="218"/>
      <c r="F579" s="218"/>
      <c r="G579" s="218"/>
      <c r="H579" s="219"/>
      <c r="I579" s="223">
        <f>IF($C579="","",IF(ISNUMBER(MATCH($C579,'Phản ánh'!$A$6:$A$505,0)),"Phản ánh",IF(ISNUMBER(MATCH($C579,'Kế hoạch'!$A$6:$A$305,0)),"Công việc","Mã chưa có")))</f>
      </c>
      <c r="J579" s="221">
        <f>IF($I579="Phản ánh",INDEX('Phản ánh'!$C$6:$C$505,MATCH($C579,'Phản ánh'!$A$6:$A$505,0)),IF($I579="Công việc",INDEX('Kế hoạch'!$C$6:$C$305,$O579),""))</f>
      </c>
      <c r="K579" s="221">
        <f>IF($I579="Phản ánh",INDEX('Phản ánh'!$K$6:$K$505,MATCH($C579,'Phản ánh'!$A$6:$A$505,0))&amp;"",IF($I579="Công việc",INDEX('Kế hoạch'!$N$6:$N$305,$O579)&amp;"",""))</f>
      </c>
      <c r="L579" s="220">
        <f>IF(OR($C579="",N($B579)=0),"",IF(AND($I579="Phản ánh",$E579="Đã xử lý"),INDEX('Phản ánh'!$U$6:$U$505,MATCH($C579,'Phản ánh'!$A$6:$A$505,0)),IF(AND($I579="Công việc",OR($E579="Hoàn thành",$E579="Hoàn thành kỳ")),IF(INDEX('Kế hoạch'!$B$6:$B$305,$O579)="Đột xuất",INDEX('Kế hoạch'!$AY$6:$AY$305,$O579),IF(N($P579)=0,"",IF(INT($B579)&lt;$P579,$P579,IF($Q579&gt;0,$P579+ROUND((INT($B579)-$P579)/$Q579,0)*$Q579,IF($R579&gt;0,EDATE($P579,ROUND((DATEDIF($P579,INT($B579),"m")+(INT($B579)-EDATE($P579,DATEDIF($P579,INT($B579),"m")))/(EDATE($P579,DATEDIF($P579,INT($B579),"m")+1)-EDATE($P579,DATEDIF($P579,INT($B579),"m"))))/$R579,0)*$R579),$P579))))),"")))</f>
      </c>
      <c r="M579" s="223">
        <f>IF(OR($C579="",N($L579)=0,N($B579)=0),"",IF(IF(MOD($L579,1)=0,INT($B579),$B579)&lt;=$L579,"Đúng hạn","Trễ hạn"))</f>
      </c>
      <c r="N579" s="225">
        <f>IF($C579="","",ROW())</f>
      </c>
      <c r="O579" s="225">
        <f>IF($I579="Công việc",MATCH($C579,'Kế hoạch'!$A$6:$A$305,0),"")</f>
      </c>
      <c r="P579" s="234">
        <f>IF($O579="","",INDEX('Kế hoạch'!$I$6:$I$305,$O579))</f>
      </c>
      <c r="Q579" s="225">
        <f>IF($O579="","",INDEX('Kế hoạch'!$AJ$6:$AJ$305,$O579))</f>
      </c>
      <c r="R579" s="225">
        <f>IF($O579="","",INDEX('Kế hoạch'!$AK$6:$AK$305,$O579))</f>
      </c>
    </row>
    <row r="580">
      <c r="A580" s="223">
        <f>IF($C580="","",COUNTIF($C$6:$C580,"?*"))</f>
      </c>
      <c r="B580" s="217"/>
      <c r="C580" s="216"/>
      <c r="D580" s="240"/>
      <c r="E580" s="218"/>
      <c r="F580" s="218"/>
      <c r="G580" s="218"/>
      <c r="H580" s="219"/>
      <c r="I580" s="223">
        <f>IF($C580="","",IF(ISNUMBER(MATCH($C580,'Phản ánh'!$A$6:$A$505,0)),"Phản ánh",IF(ISNUMBER(MATCH($C580,'Kế hoạch'!$A$6:$A$305,0)),"Công việc","Mã chưa có")))</f>
      </c>
      <c r="J580" s="221">
        <f>IF($I580="Phản ánh",INDEX('Phản ánh'!$C$6:$C$505,MATCH($C580,'Phản ánh'!$A$6:$A$505,0)),IF($I580="Công việc",INDEX('Kế hoạch'!$C$6:$C$305,$O580),""))</f>
      </c>
      <c r="K580" s="221">
        <f>IF($I580="Phản ánh",INDEX('Phản ánh'!$K$6:$K$505,MATCH($C580,'Phản ánh'!$A$6:$A$505,0))&amp;"",IF($I580="Công việc",INDEX('Kế hoạch'!$N$6:$N$305,$O580)&amp;"",""))</f>
      </c>
      <c r="L580" s="220">
        <f>IF(OR($C580="",N($B580)=0),"",IF(AND($I580="Phản ánh",$E580="Đã xử lý"),INDEX('Phản ánh'!$U$6:$U$505,MATCH($C580,'Phản ánh'!$A$6:$A$505,0)),IF(AND($I580="Công việc",OR($E580="Hoàn thành",$E580="Hoàn thành kỳ")),IF(INDEX('Kế hoạch'!$B$6:$B$305,$O580)="Đột xuất",INDEX('Kế hoạch'!$AY$6:$AY$305,$O580),IF(N($P580)=0,"",IF(INT($B580)&lt;$P580,$P580,IF($Q580&gt;0,$P580+ROUND((INT($B580)-$P580)/$Q580,0)*$Q580,IF($R580&gt;0,EDATE($P580,ROUND((DATEDIF($P580,INT($B580),"m")+(INT($B580)-EDATE($P580,DATEDIF($P580,INT($B580),"m")))/(EDATE($P580,DATEDIF($P580,INT($B580),"m")+1)-EDATE($P580,DATEDIF($P580,INT($B580),"m"))))/$R580,0)*$R580),$P580))))),"")))</f>
      </c>
      <c r="M580" s="223">
        <f>IF(OR($C580="",N($L580)=0,N($B580)=0),"",IF(IF(MOD($L580,1)=0,INT($B580),$B580)&lt;=$L580,"Đúng hạn","Trễ hạn"))</f>
      </c>
      <c r="N580" s="225">
        <f>IF($C580="","",ROW())</f>
      </c>
      <c r="O580" s="225">
        <f>IF($I580="Công việc",MATCH($C580,'Kế hoạch'!$A$6:$A$305,0),"")</f>
      </c>
      <c r="P580" s="234">
        <f>IF($O580="","",INDEX('Kế hoạch'!$I$6:$I$305,$O580))</f>
      </c>
      <c r="Q580" s="225">
        <f>IF($O580="","",INDEX('Kế hoạch'!$AJ$6:$AJ$305,$O580))</f>
      </c>
      <c r="R580" s="225">
        <f>IF($O580="","",INDEX('Kế hoạch'!$AK$6:$AK$305,$O580))</f>
      </c>
    </row>
    <row r="581">
      <c r="A581" s="223">
        <f>IF($C581="","",COUNTIF($C$6:$C581,"?*"))</f>
      </c>
      <c r="B581" s="217"/>
      <c r="C581" s="216"/>
      <c r="D581" s="240"/>
      <c r="E581" s="218"/>
      <c r="F581" s="218"/>
      <c r="G581" s="218"/>
      <c r="H581" s="219"/>
      <c r="I581" s="223">
        <f>IF($C581="","",IF(ISNUMBER(MATCH($C581,'Phản ánh'!$A$6:$A$505,0)),"Phản ánh",IF(ISNUMBER(MATCH($C581,'Kế hoạch'!$A$6:$A$305,0)),"Công việc","Mã chưa có")))</f>
      </c>
      <c r="J581" s="221">
        <f>IF($I581="Phản ánh",INDEX('Phản ánh'!$C$6:$C$505,MATCH($C581,'Phản ánh'!$A$6:$A$505,0)),IF($I581="Công việc",INDEX('Kế hoạch'!$C$6:$C$305,$O581),""))</f>
      </c>
      <c r="K581" s="221">
        <f>IF($I581="Phản ánh",INDEX('Phản ánh'!$K$6:$K$505,MATCH($C581,'Phản ánh'!$A$6:$A$505,0))&amp;"",IF($I581="Công việc",INDEX('Kế hoạch'!$N$6:$N$305,$O581)&amp;"",""))</f>
      </c>
      <c r="L581" s="220">
        <f>IF(OR($C581="",N($B581)=0),"",IF(AND($I581="Phản ánh",$E581="Đã xử lý"),INDEX('Phản ánh'!$U$6:$U$505,MATCH($C581,'Phản ánh'!$A$6:$A$505,0)),IF(AND($I581="Công việc",OR($E581="Hoàn thành",$E581="Hoàn thành kỳ")),IF(INDEX('Kế hoạch'!$B$6:$B$305,$O581)="Đột xuất",INDEX('Kế hoạch'!$AY$6:$AY$305,$O581),IF(N($P581)=0,"",IF(INT($B581)&lt;$P581,$P581,IF($Q581&gt;0,$P581+ROUND((INT($B581)-$P581)/$Q581,0)*$Q581,IF($R581&gt;0,EDATE($P581,ROUND((DATEDIF($P581,INT($B581),"m")+(INT($B581)-EDATE($P581,DATEDIF($P581,INT($B581),"m")))/(EDATE($P581,DATEDIF($P581,INT($B581),"m")+1)-EDATE($P581,DATEDIF($P581,INT($B581),"m"))))/$R581,0)*$R581),$P581))))),"")))</f>
      </c>
      <c r="M581" s="223">
        <f>IF(OR($C581="",N($L581)=0,N($B581)=0),"",IF(IF(MOD($L581,1)=0,INT($B581),$B581)&lt;=$L581,"Đúng hạn","Trễ hạn"))</f>
      </c>
      <c r="N581" s="225">
        <f>IF($C581="","",ROW())</f>
      </c>
      <c r="O581" s="225">
        <f>IF($I581="Công việc",MATCH($C581,'Kế hoạch'!$A$6:$A$305,0),"")</f>
      </c>
      <c r="P581" s="234">
        <f>IF($O581="","",INDEX('Kế hoạch'!$I$6:$I$305,$O581))</f>
      </c>
      <c r="Q581" s="225">
        <f>IF($O581="","",INDEX('Kế hoạch'!$AJ$6:$AJ$305,$O581))</f>
      </c>
      <c r="R581" s="225">
        <f>IF($O581="","",INDEX('Kế hoạch'!$AK$6:$AK$305,$O581))</f>
      </c>
    </row>
    <row r="582">
      <c r="A582" s="223">
        <f>IF($C582="","",COUNTIF($C$6:$C582,"?*"))</f>
      </c>
      <c r="B582" s="217"/>
      <c r="C582" s="216"/>
      <c r="D582" s="240"/>
      <c r="E582" s="218"/>
      <c r="F582" s="218"/>
      <c r="G582" s="218"/>
      <c r="H582" s="219"/>
      <c r="I582" s="223">
        <f>IF($C582="","",IF(ISNUMBER(MATCH($C582,'Phản ánh'!$A$6:$A$505,0)),"Phản ánh",IF(ISNUMBER(MATCH($C582,'Kế hoạch'!$A$6:$A$305,0)),"Công việc","Mã chưa có")))</f>
      </c>
      <c r="J582" s="221">
        <f>IF($I582="Phản ánh",INDEX('Phản ánh'!$C$6:$C$505,MATCH($C582,'Phản ánh'!$A$6:$A$505,0)),IF($I582="Công việc",INDEX('Kế hoạch'!$C$6:$C$305,$O582),""))</f>
      </c>
      <c r="K582" s="221">
        <f>IF($I582="Phản ánh",INDEX('Phản ánh'!$K$6:$K$505,MATCH($C582,'Phản ánh'!$A$6:$A$505,0))&amp;"",IF($I582="Công việc",INDEX('Kế hoạch'!$N$6:$N$305,$O582)&amp;"",""))</f>
      </c>
      <c r="L582" s="220">
        <f>IF(OR($C582="",N($B582)=0),"",IF(AND($I582="Phản ánh",$E582="Đã xử lý"),INDEX('Phản ánh'!$U$6:$U$505,MATCH($C582,'Phản ánh'!$A$6:$A$505,0)),IF(AND($I582="Công việc",OR($E582="Hoàn thành",$E582="Hoàn thành kỳ")),IF(INDEX('Kế hoạch'!$B$6:$B$305,$O582)="Đột xuất",INDEX('Kế hoạch'!$AY$6:$AY$305,$O582),IF(N($P582)=0,"",IF(INT($B582)&lt;$P582,$P582,IF($Q582&gt;0,$P582+ROUND((INT($B582)-$P582)/$Q582,0)*$Q582,IF($R582&gt;0,EDATE($P582,ROUND((DATEDIF($P582,INT($B582),"m")+(INT($B582)-EDATE($P582,DATEDIF($P582,INT($B582),"m")))/(EDATE($P582,DATEDIF($P582,INT($B582),"m")+1)-EDATE($P582,DATEDIF($P582,INT($B582),"m"))))/$R582,0)*$R582),$P582))))),"")))</f>
      </c>
      <c r="M582" s="223">
        <f>IF(OR($C582="",N($L582)=0,N($B582)=0),"",IF(IF(MOD($L582,1)=0,INT($B582),$B582)&lt;=$L582,"Đúng hạn","Trễ hạn"))</f>
      </c>
      <c r="N582" s="225">
        <f>IF($C582="","",ROW())</f>
      </c>
      <c r="O582" s="225">
        <f>IF($I582="Công việc",MATCH($C582,'Kế hoạch'!$A$6:$A$305,0),"")</f>
      </c>
      <c r="P582" s="234">
        <f>IF($O582="","",INDEX('Kế hoạch'!$I$6:$I$305,$O582))</f>
      </c>
      <c r="Q582" s="225">
        <f>IF($O582="","",INDEX('Kế hoạch'!$AJ$6:$AJ$305,$O582))</f>
      </c>
      <c r="R582" s="225">
        <f>IF($O582="","",INDEX('Kế hoạch'!$AK$6:$AK$305,$O582))</f>
      </c>
    </row>
    <row r="583">
      <c r="A583" s="223">
        <f>IF($C583="","",COUNTIF($C$6:$C583,"?*"))</f>
      </c>
      <c r="B583" s="217"/>
      <c r="C583" s="216"/>
      <c r="D583" s="240"/>
      <c r="E583" s="218"/>
      <c r="F583" s="218"/>
      <c r="G583" s="218"/>
      <c r="H583" s="219"/>
      <c r="I583" s="223">
        <f>IF($C583="","",IF(ISNUMBER(MATCH($C583,'Phản ánh'!$A$6:$A$505,0)),"Phản ánh",IF(ISNUMBER(MATCH($C583,'Kế hoạch'!$A$6:$A$305,0)),"Công việc","Mã chưa có")))</f>
      </c>
      <c r="J583" s="221">
        <f>IF($I583="Phản ánh",INDEX('Phản ánh'!$C$6:$C$505,MATCH($C583,'Phản ánh'!$A$6:$A$505,0)),IF($I583="Công việc",INDEX('Kế hoạch'!$C$6:$C$305,$O583),""))</f>
      </c>
      <c r="K583" s="221">
        <f>IF($I583="Phản ánh",INDEX('Phản ánh'!$K$6:$K$505,MATCH($C583,'Phản ánh'!$A$6:$A$505,0))&amp;"",IF($I583="Công việc",INDEX('Kế hoạch'!$N$6:$N$305,$O583)&amp;"",""))</f>
      </c>
      <c r="L583" s="220">
        <f>IF(OR($C583="",N($B583)=0),"",IF(AND($I583="Phản ánh",$E583="Đã xử lý"),INDEX('Phản ánh'!$U$6:$U$505,MATCH($C583,'Phản ánh'!$A$6:$A$505,0)),IF(AND($I583="Công việc",OR($E583="Hoàn thành",$E583="Hoàn thành kỳ")),IF(INDEX('Kế hoạch'!$B$6:$B$305,$O583)="Đột xuất",INDEX('Kế hoạch'!$AY$6:$AY$305,$O583),IF(N($P583)=0,"",IF(INT($B583)&lt;$P583,$P583,IF($Q583&gt;0,$P583+ROUND((INT($B583)-$P583)/$Q583,0)*$Q583,IF($R583&gt;0,EDATE($P583,ROUND((DATEDIF($P583,INT($B583),"m")+(INT($B583)-EDATE($P583,DATEDIF($P583,INT($B583),"m")))/(EDATE($P583,DATEDIF($P583,INT($B583),"m")+1)-EDATE($P583,DATEDIF($P583,INT($B583),"m"))))/$R583,0)*$R583),$P583))))),"")))</f>
      </c>
      <c r="M583" s="223">
        <f>IF(OR($C583="",N($L583)=0,N($B583)=0),"",IF(IF(MOD($L583,1)=0,INT($B583),$B583)&lt;=$L583,"Đúng hạn","Trễ hạn"))</f>
      </c>
      <c r="N583" s="225">
        <f>IF($C583="","",ROW())</f>
      </c>
      <c r="O583" s="225">
        <f>IF($I583="Công việc",MATCH($C583,'Kế hoạch'!$A$6:$A$305,0),"")</f>
      </c>
      <c r="P583" s="234">
        <f>IF($O583="","",INDEX('Kế hoạch'!$I$6:$I$305,$O583))</f>
      </c>
      <c r="Q583" s="225">
        <f>IF($O583="","",INDEX('Kế hoạch'!$AJ$6:$AJ$305,$O583))</f>
      </c>
      <c r="R583" s="225">
        <f>IF($O583="","",INDEX('Kế hoạch'!$AK$6:$AK$305,$O583))</f>
      </c>
    </row>
    <row r="584">
      <c r="A584" s="223">
        <f>IF($C584="","",COUNTIF($C$6:$C584,"?*"))</f>
      </c>
      <c r="B584" s="217"/>
      <c r="C584" s="216"/>
      <c r="D584" s="240"/>
      <c r="E584" s="218"/>
      <c r="F584" s="218"/>
      <c r="G584" s="218"/>
      <c r="H584" s="219"/>
      <c r="I584" s="223">
        <f>IF($C584="","",IF(ISNUMBER(MATCH($C584,'Phản ánh'!$A$6:$A$505,0)),"Phản ánh",IF(ISNUMBER(MATCH($C584,'Kế hoạch'!$A$6:$A$305,0)),"Công việc","Mã chưa có")))</f>
      </c>
      <c r="J584" s="221">
        <f>IF($I584="Phản ánh",INDEX('Phản ánh'!$C$6:$C$505,MATCH($C584,'Phản ánh'!$A$6:$A$505,0)),IF($I584="Công việc",INDEX('Kế hoạch'!$C$6:$C$305,$O584),""))</f>
      </c>
      <c r="K584" s="221">
        <f>IF($I584="Phản ánh",INDEX('Phản ánh'!$K$6:$K$505,MATCH($C584,'Phản ánh'!$A$6:$A$505,0))&amp;"",IF($I584="Công việc",INDEX('Kế hoạch'!$N$6:$N$305,$O584)&amp;"",""))</f>
      </c>
      <c r="L584" s="220">
        <f>IF(OR($C584="",N($B584)=0),"",IF(AND($I584="Phản ánh",$E584="Đã xử lý"),INDEX('Phản ánh'!$U$6:$U$505,MATCH($C584,'Phản ánh'!$A$6:$A$505,0)),IF(AND($I584="Công việc",OR($E584="Hoàn thành",$E584="Hoàn thành kỳ")),IF(INDEX('Kế hoạch'!$B$6:$B$305,$O584)="Đột xuất",INDEX('Kế hoạch'!$AY$6:$AY$305,$O584),IF(N($P584)=0,"",IF(INT($B584)&lt;$P584,$P584,IF($Q584&gt;0,$P584+ROUND((INT($B584)-$P584)/$Q584,0)*$Q584,IF($R584&gt;0,EDATE($P584,ROUND((DATEDIF($P584,INT($B584),"m")+(INT($B584)-EDATE($P584,DATEDIF($P584,INT($B584),"m")))/(EDATE($P584,DATEDIF($P584,INT($B584),"m")+1)-EDATE($P584,DATEDIF($P584,INT($B584),"m"))))/$R584,0)*$R584),$P584))))),"")))</f>
      </c>
      <c r="M584" s="223">
        <f>IF(OR($C584="",N($L584)=0,N($B584)=0),"",IF(IF(MOD($L584,1)=0,INT($B584),$B584)&lt;=$L584,"Đúng hạn","Trễ hạn"))</f>
      </c>
      <c r="N584" s="225">
        <f>IF($C584="","",ROW())</f>
      </c>
      <c r="O584" s="225">
        <f>IF($I584="Công việc",MATCH($C584,'Kế hoạch'!$A$6:$A$305,0),"")</f>
      </c>
      <c r="P584" s="234">
        <f>IF($O584="","",INDEX('Kế hoạch'!$I$6:$I$305,$O584))</f>
      </c>
      <c r="Q584" s="225">
        <f>IF($O584="","",INDEX('Kế hoạch'!$AJ$6:$AJ$305,$O584))</f>
      </c>
      <c r="R584" s="225">
        <f>IF($O584="","",INDEX('Kế hoạch'!$AK$6:$AK$305,$O584))</f>
      </c>
    </row>
    <row r="585">
      <c r="A585" s="223">
        <f>IF($C585="","",COUNTIF($C$6:$C585,"?*"))</f>
      </c>
      <c r="B585" s="217"/>
      <c r="C585" s="216"/>
      <c r="D585" s="240"/>
      <c r="E585" s="218"/>
      <c r="F585" s="218"/>
      <c r="G585" s="218"/>
      <c r="H585" s="219"/>
      <c r="I585" s="223">
        <f>IF($C585="","",IF(ISNUMBER(MATCH($C585,'Phản ánh'!$A$6:$A$505,0)),"Phản ánh",IF(ISNUMBER(MATCH($C585,'Kế hoạch'!$A$6:$A$305,0)),"Công việc","Mã chưa có")))</f>
      </c>
      <c r="J585" s="221">
        <f>IF($I585="Phản ánh",INDEX('Phản ánh'!$C$6:$C$505,MATCH($C585,'Phản ánh'!$A$6:$A$505,0)),IF($I585="Công việc",INDEX('Kế hoạch'!$C$6:$C$305,$O585),""))</f>
      </c>
      <c r="K585" s="221">
        <f>IF($I585="Phản ánh",INDEX('Phản ánh'!$K$6:$K$505,MATCH($C585,'Phản ánh'!$A$6:$A$505,0))&amp;"",IF($I585="Công việc",INDEX('Kế hoạch'!$N$6:$N$305,$O585)&amp;"",""))</f>
      </c>
      <c r="L585" s="220">
        <f>IF(OR($C585="",N($B585)=0),"",IF(AND($I585="Phản ánh",$E585="Đã xử lý"),INDEX('Phản ánh'!$U$6:$U$505,MATCH($C585,'Phản ánh'!$A$6:$A$505,0)),IF(AND($I585="Công việc",OR($E585="Hoàn thành",$E585="Hoàn thành kỳ")),IF(INDEX('Kế hoạch'!$B$6:$B$305,$O585)="Đột xuất",INDEX('Kế hoạch'!$AY$6:$AY$305,$O585),IF(N($P585)=0,"",IF(INT($B585)&lt;$P585,$P585,IF($Q585&gt;0,$P585+ROUND((INT($B585)-$P585)/$Q585,0)*$Q585,IF($R585&gt;0,EDATE($P585,ROUND((DATEDIF($P585,INT($B585),"m")+(INT($B585)-EDATE($P585,DATEDIF($P585,INT($B585),"m")))/(EDATE($P585,DATEDIF($P585,INT($B585),"m")+1)-EDATE($P585,DATEDIF($P585,INT($B585),"m"))))/$R585,0)*$R585),$P585))))),"")))</f>
      </c>
      <c r="M585" s="223">
        <f>IF(OR($C585="",N($L585)=0,N($B585)=0),"",IF(IF(MOD($L585,1)=0,INT($B585),$B585)&lt;=$L585,"Đúng hạn","Trễ hạn"))</f>
      </c>
      <c r="N585" s="225">
        <f>IF($C585="","",ROW())</f>
      </c>
      <c r="O585" s="225">
        <f>IF($I585="Công việc",MATCH($C585,'Kế hoạch'!$A$6:$A$305,0),"")</f>
      </c>
      <c r="P585" s="234">
        <f>IF($O585="","",INDEX('Kế hoạch'!$I$6:$I$305,$O585))</f>
      </c>
      <c r="Q585" s="225">
        <f>IF($O585="","",INDEX('Kế hoạch'!$AJ$6:$AJ$305,$O585))</f>
      </c>
      <c r="R585" s="225">
        <f>IF($O585="","",INDEX('Kế hoạch'!$AK$6:$AK$305,$O585))</f>
      </c>
    </row>
    <row r="586">
      <c r="A586" s="223">
        <f>IF($C586="","",COUNTIF($C$6:$C586,"?*"))</f>
      </c>
      <c r="B586" s="217"/>
      <c r="C586" s="216"/>
      <c r="D586" s="240"/>
      <c r="E586" s="218"/>
      <c r="F586" s="218"/>
      <c r="G586" s="218"/>
      <c r="H586" s="219"/>
      <c r="I586" s="223">
        <f>IF($C586="","",IF(ISNUMBER(MATCH($C586,'Phản ánh'!$A$6:$A$505,0)),"Phản ánh",IF(ISNUMBER(MATCH($C586,'Kế hoạch'!$A$6:$A$305,0)),"Công việc","Mã chưa có")))</f>
      </c>
      <c r="J586" s="221">
        <f>IF($I586="Phản ánh",INDEX('Phản ánh'!$C$6:$C$505,MATCH($C586,'Phản ánh'!$A$6:$A$505,0)),IF($I586="Công việc",INDEX('Kế hoạch'!$C$6:$C$305,$O586),""))</f>
      </c>
      <c r="K586" s="221">
        <f>IF($I586="Phản ánh",INDEX('Phản ánh'!$K$6:$K$505,MATCH($C586,'Phản ánh'!$A$6:$A$505,0))&amp;"",IF($I586="Công việc",INDEX('Kế hoạch'!$N$6:$N$305,$O586)&amp;"",""))</f>
      </c>
      <c r="L586" s="220">
        <f>IF(OR($C586="",N($B586)=0),"",IF(AND($I586="Phản ánh",$E586="Đã xử lý"),INDEX('Phản ánh'!$U$6:$U$505,MATCH($C586,'Phản ánh'!$A$6:$A$505,0)),IF(AND($I586="Công việc",OR($E586="Hoàn thành",$E586="Hoàn thành kỳ")),IF(INDEX('Kế hoạch'!$B$6:$B$305,$O586)="Đột xuất",INDEX('Kế hoạch'!$AY$6:$AY$305,$O586),IF(N($P586)=0,"",IF(INT($B586)&lt;$P586,$P586,IF($Q586&gt;0,$P586+ROUND((INT($B586)-$P586)/$Q586,0)*$Q586,IF($R586&gt;0,EDATE($P586,ROUND((DATEDIF($P586,INT($B586),"m")+(INT($B586)-EDATE($P586,DATEDIF($P586,INT($B586),"m")))/(EDATE($P586,DATEDIF($P586,INT($B586),"m")+1)-EDATE($P586,DATEDIF($P586,INT($B586),"m"))))/$R586,0)*$R586),$P586))))),"")))</f>
      </c>
      <c r="M586" s="223">
        <f>IF(OR($C586="",N($L586)=0,N($B586)=0),"",IF(IF(MOD($L586,1)=0,INT($B586),$B586)&lt;=$L586,"Đúng hạn","Trễ hạn"))</f>
      </c>
      <c r="N586" s="225">
        <f>IF($C586="","",ROW())</f>
      </c>
      <c r="O586" s="225">
        <f>IF($I586="Công việc",MATCH($C586,'Kế hoạch'!$A$6:$A$305,0),"")</f>
      </c>
      <c r="P586" s="234">
        <f>IF($O586="","",INDEX('Kế hoạch'!$I$6:$I$305,$O586))</f>
      </c>
      <c r="Q586" s="225">
        <f>IF($O586="","",INDEX('Kế hoạch'!$AJ$6:$AJ$305,$O586))</f>
      </c>
      <c r="R586" s="225">
        <f>IF($O586="","",INDEX('Kế hoạch'!$AK$6:$AK$305,$O586))</f>
      </c>
    </row>
    <row r="587">
      <c r="A587" s="223">
        <f>IF($C587="","",COUNTIF($C$6:$C587,"?*"))</f>
      </c>
      <c r="B587" s="217"/>
      <c r="C587" s="216"/>
      <c r="D587" s="240"/>
      <c r="E587" s="218"/>
      <c r="F587" s="218"/>
      <c r="G587" s="218"/>
      <c r="H587" s="219"/>
      <c r="I587" s="223">
        <f>IF($C587="","",IF(ISNUMBER(MATCH($C587,'Phản ánh'!$A$6:$A$505,0)),"Phản ánh",IF(ISNUMBER(MATCH($C587,'Kế hoạch'!$A$6:$A$305,0)),"Công việc","Mã chưa có")))</f>
      </c>
      <c r="J587" s="221">
        <f>IF($I587="Phản ánh",INDEX('Phản ánh'!$C$6:$C$505,MATCH($C587,'Phản ánh'!$A$6:$A$505,0)),IF($I587="Công việc",INDEX('Kế hoạch'!$C$6:$C$305,$O587),""))</f>
      </c>
      <c r="K587" s="221">
        <f>IF($I587="Phản ánh",INDEX('Phản ánh'!$K$6:$K$505,MATCH($C587,'Phản ánh'!$A$6:$A$505,0))&amp;"",IF($I587="Công việc",INDEX('Kế hoạch'!$N$6:$N$305,$O587)&amp;"",""))</f>
      </c>
      <c r="L587" s="220">
        <f>IF(OR($C587="",N($B587)=0),"",IF(AND($I587="Phản ánh",$E587="Đã xử lý"),INDEX('Phản ánh'!$U$6:$U$505,MATCH($C587,'Phản ánh'!$A$6:$A$505,0)),IF(AND($I587="Công việc",OR($E587="Hoàn thành",$E587="Hoàn thành kỳ")),IF(INDEX('Kế hoạch'!$B$6:$B$305,$O587)="Đột xuất",INDEX('Kế hoạch'!$AY$6:$AY$305,$O587),IF(N($P587)=0,"",IF(INT($B587)&lt;$P587,$P587,IF($Q587&gt;0,$P587+ROUND((INT($B587)-$P587)/$Q587,0)*$Q587,IF($R587&gt;0,EDATE($P587,ROUND((DATEDIF($P587,INT($B587),"m")+(INT($B587)-EDATE($P587,DATEDIF($P587,INT($B587),"m")))/(EDATE($P587,DATEDIF($P587,INT($B587),"m")+1)-EDATE($P587,DATEDIF($P587,INT($B587),"m"))))/$R587,0)*$R587),$P587))))),"")))</f>
      </c>
      <c r="M587" s="223">
        <f>IF(OR($C587="",N($L587)=0,N($B587)=0),"",IF(IF(MOD($L587,1)=0,INT($B587),$B587)&lt;=$L587,"Đúng hạn","Trễ hạn"))</f>
      </c>
      <c r="N587" s="225">
        <f>IF($C587="","",ROW())</f>
      </c>
      <c r="O587" s="225">
        <f>IF($I587="Công việc",MATCH($C587,'Kế hoạch'!$A$6:$A$305,0),"")</f>
      </c>
      <c r="P587" s="234">
        <f>IF($O587="","",INDEX('Kế hoạch'!$I$6:$I$305,$O587))</f>
      </c>
      <c r="Q587" s="225">
        <f>IF($O587="","",INDEX('Kế hoạch'!$AJ$6:$AJ$305,$O587))</f>
      </c>
      <c r="R587" s="225">
        <f>IF($O587="","",INDEX('Kế hoạch'!$AK$6:$AK$305,$O587))</f>
      </c>
    </row>
    <row r="588">
      <c r="A588" s="223">
        <f>IF($C588="","",COUNTIF($C$6:$C588,"?*"))</f>
      </c>
      <c r="B588" s="217"/>
      <c r="C588" s="216"/>
      <c r="D588" s="240"/>
      <c r="E588" s="218"/>
      <c r="F588" s="218"/>
      <c r="G588" s="218"/>
      <c r="H588" s="219"/>
      <c r="I588" s="223">
        <f>IF($C588="","",IF(ISNUMBER(MATCH($C588,'Phản ánh'!$A$6:$A$505,0)),"Phản ánh",IF(ISNUMBER(MATCH($C588,'Kế hoạch'!$A$6:$A$305,0)),"Công việc","Mã chưa có")))</f>
      </c>
      <c r="J588" s="221">
        <f>IF($I588="Phản ánh",INDEX('Phản ánh'!$C$6:$C$505,MATCH($C588,'Phản ánh'!$A$6:$A$505,0)),IF($I588="Công việc",INDEX('Kế hoạch'!$C$6:$C$305,$O588),""))</f>
      </c>
      <c r="K588" s="221">
        <f>IF($I588="Phản ánh",INDEX('Phản ánh'!$K$6:$K$505,MATCH($C588,'Phản ánh'!$A$6:$A$505,0))&amp;"",IF($I588="Công việc",INDEX('Kế hoạch'!$N$6:$N$305,$O588)&amp;"",""))</f>
      </c>
      <c r="L588" s="220">
        <f>IF(OR($C588="",N($B588)=0),"",IF(AND($I588="Phản ánh",$E588="Đã xử lý"),INDEX('Phản ánh'!$U$6:$U$505,MATCH($C588,'Phản ánh'!$A$6:$A$505,0)),IF(AND($I588="Công việc",OR($E588="Hoàn thành",$E588="Hoàn thành kỳ")),IF(INDEX('Kế hoạch'!$B$6:$B$305,$O588)="Đột xuất",INDEX('Kế hoạch'!$AY$6:$AY$305,$O588),IF(N($P588)=0,"",IF(INT($B588)&lt;$P588,$P588,IF($Q588&gt;0,$P588+ROUND((INT($B588)-$P588)/$Q588,0)*$Q588,IF($R588&gt;0,EDATE($P588,ROUND((DATEDIF($P588,INT($B588),"m")+(INT($B588)-EDATE($P588,DATEDIF($P588,INT($B588),"m")))/(EDATE($P588,DATEDIF($P588,INT($B588),"m")+1)-EDATE($P588,DATEDIF($P588,INT($B588),"m"))))/$R588,0)*$R588),$P588))))),"")))</f>
      </c>
      <c r="M588" s="223">
        <f>IF(OR($C588="",N($L588)=0,N($B588)=0),"",IF(IF(MOD($L588,1)=0,INT($B588),$B588)&lt;=$L588,"Đúng hạn","Trễ hạn"))</f>
      </c>
      <c r="N588" s="225">
        <f>IF($C588="","",ROW())</f>
      </c>
      <c r="O588" s="225">
        <f>IF($I588="Công việc",MATCH($C588,'Kế hoạch'!$A$6:$A$305,0),"")</f>
      </c>
      <c r="P588" s="234">
        <f>IF($O588="","",INDEX('Kế hoạch'!$I$6:$I$305,$O588))</f>
      </c>
      <c r="Q588" s="225">
        <f>IF($O588="","",INDEX('Kế hoạch'!$AJ$6:$AJ$305,$O588))</f>
      </c>
      <c r="R588" s="225">
        <f>IF($O588="","",INDEX('Kế hoạch'!$AK$6:$AK$305,$O588))</f>
      </c>
    </row>
    <row r="589">
      <c r="A589" s="223">
        <f>IF($C589="","",COUNTIF($C$6:$C589,"?*"))</f>
      </c>
      <c r="B589" s="217"/>
      <c r="C589" s="216"/>
      <c r="D589" s="240"/>
      <c r="E589" s="218"/>
      <c r="F589" s="218"/>
      <c r="G589" s="218"/>
      <c r="H589" s="219"/>
      <c r="I589" s="223">
        <f>IF($C589="","",IF(ISNUMBER(MATCH($C589,'Phản ánh'!$A$6:$A$505,0)),"Phản ánh",IF(ISNUMBER(MATCH($C589,'Kế hoạch'!$A$6:$A$305,0)),"Công việc","Mã chưa có")))</f>
      </c>
      <c r="J589" s="221">
        <f>IF($I589="Phản ánh",INDEX('Phản ánh'!$C$6:$C$505,MATCH($C589,'Phản ánh'!$A$6:$A$505,0)),IF($I589="Công việc",INDEX('Kế hoạch'!$C$6:$C$305,$O589),""))</f>
      </c>
      <c r="K589" s="221">
        <f>IF($I589="Phản ánh",INDEX('Phản ánh'!$K$6:$K$505,MATCH($C589,'Phản ánh'!$A$6:$A$505,0))&amp;"",IF($I589="Công việc",INDEX('Kế hoạch'!$N$6:$N$305,$O589)&amp;"",""))</f>
      </c>
      <c r="L589" s="220">
        <f>IF(OR($C589="",N($B589)=0),"",IF(AND($I589="Phản ánh",$E589="Đã xử lý"),INDEX('Phản ánh'!$U$6:$U$505,MATCH($C589,'Phản ánh'!$A$6:$A$505,0)),IF(AND($I589="Công việc",OR($E589="Hoàn thành",$E589="Hoàn thành kỳ")),IF(INDEX('Kế hoạch'!$B$6:$B$305,$O589)="Đột xuất",INDEX('Kế hoạch'!$AY$6:$AY$305,$O589),IF(N($P589)=0,"",IF(INT($B589)&lt;$P589,$P589,IF($Q589&gt;0,$P589+ROUND((INT($B589)-$P589)/$Q589,0)*$Q589,IF($R589&gt;0,EDATE($P589,ROUND((DATEDIF($P589,INT($B589),"m")+(INT($B589)-EDATE($P589,DATEDIF($P589,INT($B589),"m")))/(EDATE($P589,DATEDIF($P589,INT($B589),"m")+1)-EDATE($P589,DATEDIF($P589,INT($B589),"m"))))/$R589,0)*$R589),$P589))))),"")))</f>
      </c>
      <c r="M589" s="223">
        <f>IF(OR($C589="",N($L589)=0,N($B589)=0),"",IF(IF(MOD($L589,1)=0,INT($B589),$B589)&lt;=$L589,"Đúng hạn","Trễ hạn"))</f>
      </c>
      <c r="N589" s="225">
        <f>IF($C589="","",ROW())</f>
      </c>
      <c r="O589" s="225">
        <f>IF($I589="Công việc",MATCH($C589,'Kế hoạch'!$A$6:$A$305,0),"")</f>
      </c>
      <c r="P589" s="234">
        <f>IF($O589="","",INDEX('Kế hoạch'!$I$6:$I$305,$O589))</f>
      </c>
      <c r="Q589" s="225">
        <f>IF($O589="","",INDEX('Kế hoạch'!$AJ$6:$AJ$305,$O589))</f>
      </c>
      <c r="R589" s="225">
        <f>IF($O589="","",INDEX('Kế hoạch'!$AK$6:$AK$305,$O589))</f>
      </c>
    </row>
    <row r="590">
      <c r="A590" s="223">
        <f>IF($C590="","",COUNTIF($C$6:$C590,"?*"))</f>
      </c>
      <c r="B590" s="217"/>
      <c r="C590" s="216"/>
      <c r="D590" s="240"/>
      <c r="E590" s="218"/>
      <c r="F590" s="218"/>
      <c r="G590" s="218"/>
      <c r="H590" s="219"/>
      <c r="I590" s="223">
        <f>IF($C590="","",IF(ISNUMBER(MATCH($C590,'Phản ánh'!$A$6:$A$505,0)),"Phản ánh",IF(ISNUMBER(MATCH($C590,'Kế hoạch'!$A$6:$A$305,0)),"Công việc","Mã chưa có")))</f>
      </c>
      <c r="J590" s="221">
        <f>IF($I590="Phản ánh",INDEX('Phản ánh'!$C$6:$C$505,MATCH($C590,'Phản ánh'!$A$6:$A$505,0)),IF($I590="Công việc",INDEX('Kế hoạch'!$C$6:$C$305,$O590),""))</f>
      </c>
      <c r="K590" s="221">
        <f>IF($I590="Phản ánh",INDEX('Phản ánh'!$K$6:$K$505,MATCH($C590,'Phản ánh'!$A$6:$A$505,0))&amp;"",IF($I590="Công việc",INDEX('Kế hoạch'!$N$6:$N$305,$O590)&amp;"",""))</f>
      </c>
      <c r="L590" s="220">
        <f>IF(OR($C590="",N($B590)=0),"",IF(AND($I590="Phản ánh",$E590="Đã xử lý"),INDEX('Phản ánh'!$U$6:$U$505,MATCH($C590,'Phản ánh'!$A$6:$A$505,0)),IF(AND($I590="Công việc",OR($E590="Hoàn thành",$E590="Hoàn thành kỳ")),IF(INDEX('Kế hoạch'!$B$6:$B$305,$O590)="Đột xuất",INDEX('Kế hoạch'!$AY$6:$AY$305,$O590),IF(N($P590)=0,"",IF(INT($B590)&lt;$P590,$P590,IF($Q590&gt;0,$P590+ROUND((INT($B590)-$P590)/$Q590,0)*$Q590,IF($R590&gt;0,EDATE($P590,ROUND((DATEDIF($P590,INT($B590),"m")+(INT($B590)-EDATE($P590,DATEDIF($P590,INT($B590),"m")))/(EDATE($P590,DATEDIF($P590,INT($B590),"m")+1)-EDATE($P590,DATEDIF($P590,INT($B590),"m"))))/$R590,0)*$R590),$P590))))),"")))</f>
      </c>
      <c r="M590" s="223">
        <f>IF(OR($C590="",N($L590)=0,N($B590)=0),"",IF(IF(MOD($L590,1)=0,INT($B590),$B590)&lt;=$L590,"Đúng hạn","Trễ hạn"))</f>
      </c>
      <c r="N590" s="225">
        <f>IF($C590="","",ROW())</f>
      </c>
      <c r="O590" s="225">
        <f>IF($I590="Công việc",MATCH($C590,'Kế hoạch'!$A$6:$A$305,0),"")</f>
      </c>
      <c r="P590" s="234">
        <f>IF($O590="","",INDEX('Kế hoạch'!$I$6:$I$305,$O590))</f>
      </c>
      <c r="Q590" s="225">
        <f>IF($O590="","",INDEX('Kế hoạch'!$AJ$6:$AJ$305,$O590))</f>
      </c>
      <c r="R590" s="225">
        <f>IF($O590="","",INDEX('Kế hoạch'!$AK$6:$AK$305,$O590))</f>
      </c>
    </row>
    <row r="591">
      <c r="A591" s="223">
        <f>IF($C591="","",COUNTIF($C$6:$C591,"?*"))</f>
      </c>
      <c r="B591" s="217"/>
      <c r="C591" s="216"/>
      <c r="D591" s="240"/>
      <c r="E591" s="218"/>
      <c r="F591" s="218"/>
      <c r="G591" s="218"/>
      <c r="H591" s="219"/>
      <c r="I591" s="223">
        <f>IF($C591="","",IF(ISNUMBER(MATCH($C591,'Phản ánh'!$A$6:$A$505,0)),"Phản ánh",IF(ISNUMBER(MATCH($C591,'Kế hoạch'!$A$6:$A$305,0)),"Công việc","Mã chưa có")))</f>
      </c>
      <c r="J591" s="221">
        <f>IF($I591="Phản ánh",INDEX('Phản ánh'!$C$6:$C$505,MATCH($C591,'Phản ánh'!$A$6:$A$505,0)),IF($I591="Công việc",INDEX('Kế hoạch'!$C$6:$C$305,$O591),""))</f>
      </c>
      <c r="K591" s="221">
        <f>IF($I591="Phản ánh",INDEX('Phản ánh'!$K$6:$K$505,MATCH($C591,'Phản ánh'!$A$6:$A$505,0))&amp;"",IF($I591="Công việc",INDEX('Kế hoạch'!$N$6:$N$305,$O591)&amp;"",""))</f>
      </c>
      <c r="L591" s="220">
        <f>IF(OR($C591="",N($B591)=0),"",IF(AND($I591="Phản ánh",$E591="Đã xử lý"),INDEX('Phản ánh'!$U$6:$U$505,MATCH($C591,'Phản ánh'!$A$6:$A$505,0)),IF(AND($I591="Công việc",OR($E591="Hoàn thành",$E591="Hoàn thành kỳ")),IF(INDEX('Kế hoạch'!$B$6:$B$305,$O591)="Đột xuất",INDEX('Kế hoạch'!$AY$6:$AY$305,$O591),IF(N($P591)=0,"",IF(INT($B591)&lt;$P591,$P591,IF($Q591&gt;0,$P591+ROUND((INT($B591)-$P591)/$Q591,0)*$Q591,IF($R591&gt;0,EDATE($P591,ROUND((DATEDIF($P591,INT($B591),"m")+(INT($B591)-EDATE($P591,DATEDIF($P591,INT($B591),"m")))/(EDATE($P591,DATEDIF($P591,INT($B591),"m")+1)-EDATE($P591,DATEDIF($P591,INT($B591),"m"))))/$R591,0)*$R591),$P591))))),"")))</f>
      </c>
      <c r="M591" s="223">
        <f>IF(OR($C591="",N($L591)=0,N($B591)=0),"",IF(IF(MOD($L591,1)=0,INT($B591),$B591)&lt;=$L591,"Đúng hạn","Trễ hạn"))</f>
      </c>
      <c r="N591" s="225">
        <f>IF($C591="","",ROW())</f>
      </c>
      <c r="O591" s="225">
        <f>IF($I591="Công việc",MATCH($C591,'Kế hoạch'!$A$6:$A$305,0),"")</f>
      </c>
      <c r="P591" s="234">
        <f>IF($O591="","",INDEX('Kế hoạch'!$I$6:$I$305,$O591))</f>
      </c>
      <c r="Q591" s="225">
        <f>IF($O591="","",INDEX('Kế hoạch'!$AJ$6:$AJ$305,$O591))</f>
      </c>
      <c r="R591" s="225">
        <f>IF($O591="","",INDEX('Kế hoạch'!$AK$6:$AK$305,$O591))</f>
      </c>
    </row>
    <row r="592">
      <c r="A592" s="223">
        <f>IF($C592="","",COUNTIF($C$6:$C592,"?*"))</f>
      </c>
      <c r="B592" s="217"/>
      <c r="C592" s="216"/>
      <c r="D592" s="240"/>
      <c r="E592" s="218"/>
      <c r="F592" s="218"/>
      <c r="G592" s="218"/>
      <c r="H592" s="219"/>
      <c r="I592" s="223">
        <f>IF($C592="","",IF(ISNUMBER(MATCH($C592,'Phản ánh'!$A$6:$A$505,0)),"Phản ánh",IF(ISNUMBER(MATCH($C592,'Kế hoạch'!$A$6:$A$305,0)),"Công việc","Mã chưa có")))</f>
      </c>
      <c r="J592" s="221">
        <f>IF($I592="Phản ánh",INDEX('Phản ánh'!$C$6:$C$505,MATCH($C592,'Phản ánh'!$A$6:$A$505,0)),IF($I592="Công việc",INDEX('Kế hoạch'!$C$6:$C$305,$O592),""))</f>
      </c>
      <c r="K592" s="221">
        <f>IF($I592="Phản ánh",INDEX('Phản ánh'!$K$6:$K$505,MATCH($C592,'Phản ánh'!$A$6:$A$505,0))&amp;"",IF($I592="Công việc",INDEX('Kế hoạch'!$N$6:$N$305,$O592)&amp;"",""))</f>
      </c>
      <c r="L592" s="220">
        <f>IF(OR($C592="",N($B592)=0),"",IF(AND($I592="Phản ánh",$E592="Đã xử lý"),INDEX('Phản ánh'!$U$6:$U$505,MATCH($C592,'Phản ánh'!$A$6:$A$505,0)),IF(AND($I592="Công việc",OR($E592="Hoàn thành",$E592="Hoàn thành kỳ")),IF(INDEX('Kế hoạch'!$B$6:$B$305,$O592)="Đột xuất",INDEX('Kế hoạch'!$AY$6:$AY$305,$O592),IF(N($P592)=0,"",IF(INT($B592)&lt;$P592,$P592,IF($Q592&gt;0,$P592+ROUND((INT($B592)-$P592)/$Q592,0)*$Q592,IF($R592&gt;0,EDATE($P592,ROUND((DATEDIF($P592,INT($B592),"m")+(INT($B592)-EDATE($P592,DATEDIF($P592,INT($B592),"m")))/(EDATE($P592,DATEDIF($P592,INT($B592),"m")+1)-EDATE($P592,DATEDIF($P592,INT($B592),"m"))))/$R592,0)*$R592),$P592))))),"")))</f>
      </c>
      <c r="M592" s="223">
        <f>IF(OR($C592="",N($L592)=0,N($B592)=0),"",IF(IF(MOD($L592,1)=0,INT($B592),$B592)&lt;=$L592,"Đúng hạn","Trễ hạn"))</f>
      </c>
      <c r="N592" s="225">
        <f>IF($C592="","",ROW())</f>
      </c>
      <c r="O592" s="225">
        <f>IF($I592="Công việc",MATCH($C592,'Kế hoạch'!$A$6:$A$305,0),"")</f>
      </c>
      <c r="P592" s="234">
        <f>IF($O592="","",INDEX('Kế hoạch'!$I$6:$I$305,$O592))</f>
      </c>
      <c r="Q592" s="225">
        <f>IF($O592="","",INDEX('Kế hoạch'!$AJ$6:$AJ$305,$O592))</f>
      </c>
      <c r="R592" s="225">
        <f>IF($O592="","",INDEX('Kế hoạch'!$AK$6:$AK$305,$O592))</f>
      </c>
    </row>
    <row r="593">
      <c r="A593" s="223">
        <f>IF($C593="","",COUNTIF($C$6:$C593,"?*"))</f>
      </c>
      <c r="B593" s="217"/>
      <c r="C593" s="216"/>
      <c r="D593" s="240"/>
      <c r="E593" s="218"/>
      <c r="F593" s="218"/>
      <c r="G593" s="218"/>
      <c r="H593" s="219"/>
      <c r="I593" s="223">
        <f>IF($C593="","",IF(ISNUMBER(MATCH($C593,'Phản ánh'!$A$6:$A$505,0)),"Phản ánh",IF(ISNUMBER(MATCH($C593,'Kế hoạch'!$A$6:$A$305,0)),"Công việc","Mã chưa có")))</f>
      </c>
      <c r="J593" s="221">
        <f>IF($I593="Phản ánh",INDEX('Phản ánh'!$C$6:$C$505,MATCH($C593,'Phản ánh'!$A$6:$A$505,0)),IF($I593="Công việc",INDEX('Kế hoạch'!$C$6:$C$305,$O593),""))</f>
      </c>
      <c r="K593" s="221">
        <f>IF($I593="Phản ánh",INDEX('Phản ánh'!$K$6:$K$505,MATCH($C593,'Phản ánh'!$A$6:$A$505,0))&amp;"",IF($I593="Công việc",INDEX('Kế hoạch'!$N$6:$N$305,$O593)&amp;"",""))</f>
      </c>
      <c r="L593" s="220">
        <f>IF(OR($C593="",N($B593)=0),"",IF(AND($I593="Phản ánh",$E593="Đã xử lý"),INDEX('Phản ánh'!$U$6:$U$505,MATCH($C593,'Phản ánh'!$A$6:$A$505,0)),IF(AND($I593="Công việc",OR($E593="Hoàn thành",$E593="Hoàn thành kỳ")),IF(INDEX('Kế hoạch'!$B$6:$B$305,$O593)="Đột xuất",INDEX('Kế hoạch'!$AY$6:$AY$305,$O593),IF(N($P593)=0,"",IF(INT($B593)&lt;$P593,$P593,IF($Q593&gt;0,$P593+ROUND((INT($B593)-$P593)/$Q593,0)*$Q593,IF($R593&gt;0,EDATE($P593,ROUND((DATEDIF($P593,INT($B593),"m")+(INT($B593)-EDATE($P593,DATEDIF($P593,INT($B593),"m")))/(EDATE($P593,DATEDIF($P593,INT($B593),"m")+1)-EDATE($P593,DATEDIF($P593,INT($B593),"m"))))/$R593,0)*$R593),$P593))))),"")))</f>
      </c>
      <c r="M593" s="223">
        <f>IF(OR($C593="",N($L593)=0,N($B593)=0),"",IF(IF(MOD($L593,1)=0,INT($B593),$B593)&lt;=$L593,"Đúng hạn","Trễ hạn"))</f>
      </c>
      <c r="N593" s="225">
        <f>IF($C593="","",ROW())</f>
      </c>
      <c r="O593" s="225">
        <f>IF($I593="Công việc",MATCH($C593,'Kế hoạch'!$A$6:$A$305,0),"")</f>
      </c>
      <c r="P593" s="234">
        <f>IF($O593="","",INDEX('Kế hoạch'!$I$6:$I$305,$O593))</f>
      </c>
      <c r="Q593" s="225">
        <f>IF($O593="","",INDEX('Kế hoạch'!$AJ$6:$AJ$305,$O593))</f>
      </c>
      <c r="R593" s="225">
        <f>IF($O593="","",INDEX('Kế hoạch'!$AK$6:$AK$305,$O593))</f>
      </c>
    </row>
    <row r="594">
      <c r="A594" s="223">
        <f>IF($C594="","",COUNTIF($C$6:$C594,"?*"))</f>
      </c>
      <c r="B594" s="217"/>
      <c r="C594" s="216"/>
      <c r="D594" s="240"/>
      <c r="E594" s="218"/>
      <c r="F594" s="218"/>
      <c r="G594" s="218"/>
      <c r="H594" s="219"/>
      <c r="I594" s="223">
        <f>IF($C594="","",IF(ISNUMBER(MATCH($C594,'Phản ánh'!$A$6:$A$505,0)),"Phản ánh",IF(ISNUMBER(MATCH($C594,'Kế hoạch'!$A$6:$A$305,0)),"Công việc","Mã chưa có")))</f>
      </c>
      <c r="J594" s="221">
        <f>IF($I594="Phản ánh",INDEX('Phản ánh'!$C$6:$C$505,MATCH($C594,'Phản ánh'!$A$6:$A$505,0)),IF($I594="Công việc",INDEX('Kế hoạch'!$C$6:$C$305,$O594),""))</f>
      </c>
      <c r="K594" s="221">
        <f>IF($I594="Phản ánh",INDEX('Phản ánh'!$K$6:$K$505,MATCH($C594,'Phản ánh'!$A$6:$A$505,0))&amp;"",IF($I594="Công việc",INDEX('Kế hoạch'!$N$6:$N$305,$O594)&amp;"",""))</f>
      </c>
      <c r="L594" s="220">
        <f>IF(OR($C594="",N($B594)=0),"",IF(AND($I594="Phản ánh",$E594="Đã xử lý"),INDEX('Phản ánh'!$U$6:$U$505,MATCH($C594,'Phản ánh'!$A$6:$A$505,0)),IF(AND($I594="Công việc",OR($E594="Hoàn thành",$E594="Hoàn thành kỳ")),IF(INDEX('Kế hoạch'!$B$6:$B$305,$O594)="Đột xuất",INDEX('Kế hoạch'!$AY$6:$AY$305,$O594),IF(N($P594)=0,"",IF(INT($B594)&lt;$P594,$P594,IF($Q594&gt;0,$P594+ROUND((INT($B594)-$P594)/$Q594,0)*$Q594,IF($R594&gt;0,EDATE($P594,ROUND((DATEDIF($P594,INT($B594),"m")+(INT($B594)-EDATE($P594,DATEDIF($P594,INT($B594),"m")))/(EDATE($P594,DATEDIF($P594,INT($B594),"m")+1)-EDATE($P594,DATEDIF($P594,INT($B594),"m"))))/$R594,0)*$R594),$P594))))),"")))</f>
      </c>
      <c r="M594" s="223">
        <f>IF(OR($C594="",N($L594)=0,N($B594)=0),"",IF(IF(MOD($L594,1)=0,INT($B594),$B594)&lt;=$L594,"Đúng hạn","Trễ hạn"))</f>
      </c>
      <c r="N594" s="225">
        <f>IF($C594="","",ROW())</f>
      </c>
      <c r="O594" s="225">
        <f>IF($I594="Công việc",MATCH($C594,'Kế hoạch'!$A$6:$A$305,0),"")</f>
      </c>
      <c r="P594" s="234">
        <f>IF($O594="","",INDEX('Kế hoạch'!$I$6:$I$305,$O594))</f>
      </c>
      <c r="Q594" s="225">
        <f>IF($O594="","",INDEX('Kế hoạch'!$AJ$6:$AJ$305,$O594))</f>
      </c>
      <c r="R594" s="225">
        <f>IF($O594="","",INDEX('Kế hoạch'!$AK$6:$AK$305,$O594))</f>
      </c>
    </row>
    <row r="595">
      <c r="A595" s="223">
        <f>IF($C595="","",COUNTIF($C$6:$C595,"?*"))</f>
      </c>
      <c r="B595" s="217"/>
      <c r="C595" s="216"/>
      <c r="D595" s="240"/>
      <c r="E595" s="218"/>
      <c r="F595" s="218"/>
      <c r="G595" s="218"/>
      <c r="H595" s="219"/>
      <c r="I595" s="223">
        <f>IF($C595="","",IF(ISNUMBER(MATCH($C595,'Phản ánh'!$A$6:$A$505,0)),"Phản ánh",IF(ISNUMBER(MATCH($C595,'Kế hoạch'!$A$6:$A$305,0)),"Công việc","Mã chưa có")))</f>
      </c>
      <c r="J595" s="221">
        <f>IF($I595="Phản ánh",INDEX('Phản ánh'!$C$6:$C$505,MATCH($C595,'Phản ánh'!$A$6:$A$505,0)),IF($I595="Công việc",INDEX('Kế hoạch'!$C$6:$C$305,$O595),""))</f>
      </c>
      <c r="K595" s="221">
        <f>IF($I595="Phản ánh",INDEX('Phản ánh'!$K$6:$K$505,MATCH($C595,'Phản ánh'!$A$6:$A$505,0))&amp;"",IF($I595="Công việc",INDEX('Kế hoạch'!$N$6:$N$305,$O595)&amp;"",""))</f>
      </c>
      <c r="L595" s="220">
        <f>IF(OR($C595="",N($B595)=0),"",IF(AND($I595="Phản ánh",$E595="Đã xử lý"),INDEX('Phản ánh'!$U$6:$U$505,MATCH($C595,'Phản ánh'!$A$6:$A$505,0)),IF(AND($I595="Công việc",OR($E595="Hoàn thành",$E595="Hoàn thành kỳ")),IF(INDEX('Kế hoạch'!$B$6:$B$305,$O595)="Đột xuất",INDEX('Kế hoạch'!$AY$6:$AY$305,$O595),IF(N($P595)=0,"",IF(INT($B595)&lt;$P595,$P595,IF($Q595&gt;0,$P595+ROUND((INT($B595)-$P595)/$Q595,0)*$Q595,IF($R595&gt;0,EDATE($P595,ROUND((DATEDIF($P595,INT($B595),"m")+(INT($B595)-EDATE($P595,DATEDIF($P595,INT($B595),"m")))/(EDATE($P595,DATEDIF($P595,INT($B595),"m")+1)-EDATE($P595,DATEDIF($P595,INT($B595),"m"))))/$R595,0)*$R595),$P595))))),"")))</f>
      </c>
      <c r="M595" s="223">
        <f>IF(OR($C595="",N($L595)=0,N($B595)=0),"",IF(IF(MOD($L595,1)=0,INT($B595),$B595)&lt;=$L595,"Đúng hạn","Trễ hạn"))</f>
      </c>
      <c r="N595" s="225">
        <f>IF($C595="","",ROW())</f>
      </c>
      <c r="O595" s="225">
        <f>IF($I595="Công việc",MATCH($C595,'Kế hoạch'!$A$6:$A$305,0),"")</f>
      </c>
      <c r="P595" s="234">
        <f>IF($O595="","",INDEX('Kế hoạch'!$I$6:$I$305,$O595))</f>
      </c>
      <c r="Q595" s="225">
        <f>IF($O595="","",INDEX('Kế hoạch'!$AJ$6:$AJ$305,$O595))</f>
      </c>
      <c r="R595" s="225">
        <f>IF($O595="","",INDEX('Kế hoạch'!$AK$6:$AK$305,$O595))</f>
      </c>
    </row>
    <row r="596">
      <c r="A596" s="223">
        <f>IF($C596="","",COUNTIF($C$6:$C596,"?*"))</f>
      </c>
      <c r="B596" s="217"/>
      <c r="C596" s="216"/>
      <c r="D596" s="240"/>
      <c r="E596" s="218"/>
      <c r="F596" s="218"/>
      <c r="G596" s="218"/>
      <c r="H596" s="219"/>
      <c r="I596" s="223">
        <f>IF($C596="","",IF(ISNUMBER(MATCH($C596,'Phản ánh'!$A$6:$A$505,0)),"Phản ánh",IF(ISNUMBER(MATCH($C596,'Kế hoạch'!$A$6:$A$305,0)),"Công việc","Mã chưa có")))</f>
      </c>
      <c r="J596" s="221">
        <f>IF($I596="Phản ánh",INDEX('Phản ánh'!$C$6:$C$505,MATCH($C596,'Phản ánh'!$A$6:$A$505,0)),IF($I596="Công việc",INDEX('Kế hoạch'!$C$6:$C$305,$O596),""))</f>
      </c>
      <c r="K596" s="221">
        <f>IF($I596="Phản ánh",INDEX('Phản ánh'!$K$6:$K$505,MATCH($C596,'Phản ánh'!$A$6:$A$505,0))&amp;"",IF($I596="Công việc",INDEX('Kế hoạch'!$N$6:$N$305,$O596)&amp;"",""))</f>
      </c>
      <c r="L596" s="220">
        <f>IF(OR($C596="",N($B596)=0),"",IF(AND($I596="Phản ánh",$E596="Đã xử lý"),INDEX('Phản ánh'!$U$6:$U$505,MATCH($C596,'Phản ánh'!$A$6:$A$505,0)),IF(AND($I596="Công việc",OR($E596="Hoàn thành",$E596="Hoàn thành kỳ")),IF(INDEX('Kế hoạch'!$B$6:$B$305,$O596)="Đột xuất",INDEX('Kế hoạch'!$AY$6:$AY$305,$O596),IF(N($P596)=0,"",IF(INT($B596)&lt;$P596,$P596,IF($Q596&gt;0,$P596+ROUND((INT($B596)-$P596)/$Q596,0)*$Q596,IF($R596&gt;0,EDATE($P596,ROUND((DATEDIF($P596,INT($B596),"m")+(INT($B596)-EDATE($P596,DATEDIF($P596,INT($B596),"m")))/(EDATE($P596,DATEDIF($P596,INT($B596),"m")+1)-EDATE($P596,DATEDIF($P596,INT($B596),"m"))))/$R596,0)*$R596),$P596))))),"")))</f>
      </c>
      <c r="M596" s="223">
        <f>IF(OR($C596="",N($L596)=0,N($B596)=0),"",IF(IF(MOD($L596,1)=0,INT($B596),$B596)&lt;=$L596,"Đúng hạn","Trễ hạn"))</f>
      </c>
      <c r="N596" s="225">
        <f>IF($C596="","",ROW())</f>
      </c>
      <c r="O596" s="225">
        <f>IF($I596="Công việc",MATCH($C596,'Kế hoạch'!$A$6:$A$305,0),"")</f>
      </c>
      <c r="P596" s="234">
        <f>IF($O596="","",INDEX('Kế hoạch'!$I$6:$I$305,$O596))</f>
      </c>
      <c r="Q596" s="225">
        <f>IF($O596="","",INDEX('Kế hoạch'!$AJ$6:$AJ$305,$O596))</f>
      </c>
      <c r="R596" s="225">
        <f>IF($O596="","",INDEX('Kế hoạch'!$AK$6:$AK$305,$O596))</f>
      </c>
    </row>
    <row r="597">
      <c r="A597" s="223">
        <f>IF($C597="","",COUNTIF($C$6:$C597,"?*"))</f>
      </c>
      <c r="B597" s="217"/>
      <c r="C597" s="216"/>
      <c r="D597" s="240"/>
      <c r="E597" s="218"/>
      <c r="F597" s="218"/>
      <c r="G597" s="218"/>
      <c r="H597" s="219"/>
      <c r="I597" s="223">
        <f>IF($C597="","",IF(ISNUMBER(MATCH($C597,'Phản ánh'!$A$6:$A$505,0)),"Phản ánh",IF(ISNUMBER(MATCH($C597,'Kế hoạch'!$A$6:$A$305,0)),"Công việc","Mã chưa có")))</f>
      </c>
      <c r="J597" s="221">
        <f>IF($I597="Phản ánh",INDEX('Phản ánh'!$C$6:$C$505,MATCH($C597,'Phản ánh'!$A$6:$A$505,0)),IF($I597="Công việc",INDEX('Kế hoạch'!$C$6:$C$305,$O597),""))</f>
      </c>
      <c r="K597" s="221">
        <f>IF($I597="Phản ánh",INDEX('Phản ánh'!$K$6:$K$505,MATCH($C597,'Phản ánh'!$A$6:$A$505,0))&amp;"",IF($I597="Công việc",INDEX('Kế hoạch'!$N$6:$N$305,$O597)&amp;"",""))</f>
      </c>
      <c r="L597" s="220">
        <f>IF(OR($C597="",N($B597)=0),"",IF(AND($I597="Phản ánh",$E597="Đã xử lý"),INDEX('Phản ánh'!$U$6:$U$505,MATCH($C597,'Phản ánh'!$A$6:$A$505,0)),IF(AND($I597="Công việc",OR($E597="Hoàn thành",$E597="Hoàn thành kỳ")),IF(INDEX('Kế hoạch'!$B$6:$B$305,$O597)="Đột xuất",INDEX('Kế hoạch'!$AY$6:$AY$305,$O597),IF(N($P597)=0,"",IF(INT($B597)&lt;$P597,$P597,IF($Q597&gt;0,$P597+ROUND((INT($B597)-$P597)/$Q597,0)*$Q597,IF($R597&gt;0,EDATE($P597,ROUND((DATEDIF($P597,INT($B597),"m")+(INT($B597)-EDATE($P597,DATEDIF($P597,INT($B597),"m")))/(EDATE($P597,DATEDIF($P597,INT($B597),"m")+1)-EDATE($P597,DATEDIF($P597,INT($B597),"m"))))/$R597,0)*$R597),$P597))))),"")))</f>
      </c>
      <c r="M597" s="223">
        <f>IF(OR($C597="",N($L597)=0,N($B597)=0),"",IF(IF(MOD($L597,1)=0,INT($B597),$B597)&lt;=$L597,"Đúng hạn","Trễ hạn"))</f>
      </c>
      <c r="N597" s="225">
        <f>IF($C597="","",ROW())</f>
      </c>
      <c r="O597" s="225">
        <f>IF($I597="Công việc",MATCH($C597,'Kế hoạch'!$A$6:$A$305,0),"")</f>
      </c>
      <c r="P597" s="234">
        <f>IF($O597="","",INDEX('Kế hoạch'!$I$6:$I$305,$O597))</f>
      </c>
      <c r="Q597" s="225">
        <f>IF($O597="","",INDEX('Kế hoạch'!$AJ$6:$AJ$305,$O597))</f>
      </c>
      <c r="R597" s="225">
        <f>IF($O597="","",INDEX('Kế hoạch'!$AK$6:$AK$305,$O597))</f>
      </c>
    </row>
    <row r="598">
      <c r="A598" s="223">
        <f>IF($C598="","",COUNTIF($C$6:$C598,"?*"))</f>
      </c>
      <c r="B598" s="217"/>
      <c r="C598" s="216"/>
      <c r="D598" s="240"/>
      <c r="E598" s="218"/>
      <c r="F598" s="218"/>
      <c r="G598" s="218"/>
      <c r="H598" s="219"/>
      <c r="I598" s="223">
        <f>IF($C598="","",IF(ISNUMBER(MATCH($C598,'Phản ánh'!$A$6:$A$505,0)),"Phản ánh",IF(ISNUMBER(MATCH($C598,'Kế hoạch'!$A$6:$A$305,0)),"Công việc","Mã chưa có")))</f>
      </c>
      <c r="J598" s="221">
        <f>IF($I598="Phản ánh",INDEX('Phản ánh'!$C$6:$C$505,MATCH($C598,'Phản ánh'!$A$6:$A$505,0)),IF($I598="Công việc",INDEX('Kế hoạch'!$C$6:$C$305,$O598),""))</f>
      </c>
      <c r="K598" s="221">
        <f>IF($I598="Phản ánh",INDEX('Phản ánh'!$K$6:$K$505,MATCH($C598,'Phản ánh'!$A$6:$A$505,0))&amp;"",IF($I598="Công việc",INDEX('Kế hoạch'!$N$6:$N$305,$O598)&amp;"",""))</f>
      </c>
      <c r="L598" s="220">
        <f>IF(OR($C598="",N($B598)=0),"",IF(AND($I598="Phản ánh",$E598="Đã xử lý"),INDEX('Phản ánh'!$U$6:$U$505,MATCH($C598,'Phản ánh'!$A$6:$A$505,0)),IF(AND($I598="Công việc",OR($E598="Hoàn thành",$E598="Hoàn thành kỳ")),IF(INDEX('Kế hoạch'!$B$6:$B$305,$O598)="Đột xuất",INDEX('Kế hoạch'!$AY$6:$AY$305,$O598),IF(N($P598)=0,"",IF(INT($B598)&lt;$P598,$P598,IF($Q598&gt;0,$P598+ROUND((INT($B598)-$P598)/$Q598,0)*$Q598,IF($R598&gt;0,EDATE($P598,ROUND((DATEDIF($P598,INT($B598),"m")+(INT($B598)-EDATE($P598,DATEDIF($P598,INT($B598),"m")))/(EDATE($P598,DATEDIF($P598,INT($B598),"m")+1)-EDATE($P598,DATEDIF($P598,INT($B598),"m"))))/$R598,0)*$R598),$P598))))),"")))</f>
      </c>
      <c r="M598" s="223">
        <f>IF(OR($C598="",N($L598)=0,N($B598)=0),"",IF(IF(MOD($L598,1)=0,INT($B598),$B598)&lt;=$L598,"Đúng hạn","Trễ hạn"))</f>
      </c>
      <c r="N598" s="225">
        <f>IF($C598="","",ROW())</f>
      </c>
      <c r="O598" s="225">
        <f>IF($I598="Công việc",MATCH($C598,'Kế hoạch'!$A$6:$A$305,0),"")</f>
      </c>
      <c r="P598" s="234">
        <f>IF($O598="","",INDEX('Kế hoạch'!$I$6:$I$305,$O598))</f>
      </c>
      <c r="Q598" s="225">
        <f>IF($O598="","",INDEX('Kế hoạch'!$AJ$6:$AJ$305,$O598))</f>
      </c>
      <c r="R598" s="225">
        <f>IF($O598="","",INDEX('Kế hoạch'!$AK$6:$AK$305,$O598))</f>
      </c>
    </row>
    <row r="599">
      <c r="A599" s="223">
        <f>IF($C599="","",COUNTIF($C$6:$C599,"?*"))</f>
      </c>
      <c r="B599" s="217"/>
      <c r="C599" s="216"/>
      <c r="D599" s="240"/>
      <c r="E599" s="218"/>
      <c r="F599" s="218"/>
      <c r="G599" s="218"/>
      <c r="H599" s="219"/>
      <c r="I599" s="223">
        <f>IF($C599="","",IF(ISNUMBER(MATCH($C599,'Phản ánh'!$A$6:$A$505,0)),"Phản ánh",IF(ISNUMBER(MATCH($C599,'Kế hoạch'!$A$6:$A$305,0)),"Công việc","Mã chưa có")))</f>
      </c>
      <c r="J599" s="221">
        <f>IF($I599="Phản ánh",INDEX('Phản ánh'!$C$6:$C$505,MATCH($C599,'Phản ánh'!$A$6:$A$505,0)),IF($I599="Công việc",INDEX('Kế hoạch'!$C$6:$C$305,$O599),""))</f>
      </c>
      <c r="K599" s="221">
        <f>IF($I599="Phản ánh",INDEX('Phản ánh'!$K$6:$K$505,MATCH($C599,'Phản ánh'!$A$6:$A$505,0))&amp;"",IF($I599="Công việc",INDEX('Kế hoạch'!$N$6:$N$305,$O599)&amp;"",""))</f>
      </c>
      <c r="L599" s="220">
        <f>IF(OR($C599="",N($B599)=0),"",IF(AND($I599="Phản ánh",$E599="Đã xử lý"),INDEX('Phản ánh'!$U$6:$U$505,MATCH($C599,'Phản ánh'!$A$6:$A$505,0)),IF(AND($I599="Công việc",OR($E599="Hoàn thành",$E599="Hoàn thành kỳ")),IF(INDEX('Kế hoạch'!$B$6:$B$305,$O599)="Đột xuất",INDEX('Kế hoạch'!$AY$6:$AY$305,$O599),IF(N($P599)=0,"",IF(INT($B599)&lt;$P599,$P599,IF($Q599&gt;0,$P599+ROUND((INT($B599)-$P599)/$Q599,0)*$Q599,IF($R599&gt;0,EDATE($P599,ROUND((DATEDIF($P599,INT($B599),"m")+(INT($B599)-EDATE($P599,DATEDIF($P599,INT($B599),"m")))/(EDATE($P599,DATEDIF($P599,INT($B599),"m")+1)-EDATE($P599,DATEDIF($P599,INT($B599),"m"))))/$R599,0)*$R599),$P599))))),"")))</f>
      </c>
      <c r="M599" s="223">
        <f>IF(OR($C599="",N($L599)=0,N($B599)=0),"",IF(IF(MOD($L599,1)=0,INT($B599),$B599)&lt;=$L599,"Đúng hạn","Trễ hạn"))</f>
      </c>
      <c r="N599" s="225">
        <f>IF($C599="","",ROW())</f>
      </c>
      <c r="O599" s="225">
        <f>IF($I599="Công việc",MATCH($C599,'Kế hoạch'!$A$6:$A$305,0),"")</f>
      </c>
      <c r="P599" s="234">
        <f>IF($O599="","",INDEX('Kế hoạch'!$I$6:$I$305,$O599))</f>
      </c>
      <c r="Q599" s="225">
        <f>IF($O599="","",INDEX('Kế hoạch'!$AJ$6:$AJ$305,$O599))</f>
      </c>
      <c r="R599" s="225">
        <f>IF($O599="","",INDEX('Kế hoạch'!$AK$6:$AK$305,$O599))</f>
      </c>
    </row>
    <row r="600">
      <c r="A600" s="223">
        <f>IF($C600="","",COUNTIF($C$6:$C600,"?*"))</f>
      </c>
      <c r="B600" s="217"/>
      <c r="C600" s="216"/>
      <c r="D600" s="240"/>
      <c r="E600" s="218"/>
      <c r="F600" s="218"/>
      <c r="G600" s="218"/>
      <c r="H600" s="219"/>
      <c r="I600" s="223">
        <f>IF($C600="","",IF(ISNUMBER(MATCH($C600,'Phản ánh'!$A$6:$A$505,0)),"Phản ánh",IF(ISNUMBER(MATCH($C600,'Kế hoạch'!$A$6:$A$305,0)),"Công việc","Mã chưa có")))</f>
      </c>
      <c r="J600" s="221">
        <f>IF($I600="Phản ánh",INDEX('Phản ánh'!$C$6:$C$505,MATCH($C600,'Phản ánh'!$A$6:$A$505,0)),IF($I600="Công việc",INDEX('Kế hoạch'!$C$6:$C$305,$O600),""))</f>
      </c>
      <c r="K600" s="221">
        <f>IF($I600="Phản ánh",INDEX('Phản ánh'!$K$6:$K$505,MATCH($C600,'Phản ánh'!$A$6:$A$505,0))&amp;"",IF($I600="Công việc",INDEX('Kế hoạch'!$N$6:$N$305,$O600)&amp;"",""))</f>
      </c>
      <c r="L600" s="220">
        <f>IF(OR($C600="",N($B600)=0),"",IF(AND($I600="Phản ánh",$E600="Đã xử lý"),INDEX('Phản ánh'!$U$6:$U$505,MATCH($C600,'Phản ánh'!$A$6:$A$505,0)),IF(AND($I600="Công việc",OR($E600="Hoàn thành",$E600="Hoàn thành kỳ")),IF(INDEX('Kế hoạch'!$B$6:$B$305,$O600)="Đột xuất",INDEX('Kế hoạch'!$AY$6:$AY$305,$O600),IF(N($P600)=0,"",IF(INT($B600)&lt;$P600,$P600,IF($Q600&gt;0,$P600+ROUND((INT($B600)-$P600)/$Q600,0)*$Q600,IF($R600&gt;0,EDATE($P600,ROUND((DATEDIF($P600,INT($B600),"m")+(INT($B600)-EDATE($P600,DATEDIF($P600,INT($B600),"m")))/(EDATE($P600,DATEDIF($P600,INT($B600),"m")+1)-EDATE($P600,DATEDIF($P600,INT($B600),"m"))))/$R600,0)*$R600),$P600))))),"")))</f>
      </c>
      <c r="M600" s="223">
        <f>IF(OR($C600="",N($L600)=0,N($B600)=0),"",IF(IF(MOD($L600,1)=0,INT($B600),$B600)&lt;=$L600,"Đúng hạn","Trễ hạn"))</f>
      </c>
      <c r="N600" s="225">
        <f>IF($C600="","",ROW())</f>
      </c>
      <c r="O600" s="225">
        <f>IF($I600="Công việc",MATCH($C600,'Kế hoạch'!$A$6:$A$305,0),"")</f>
      </c>
      <c r="P600" s="234">
        <f>IF($O600="","",INDEX('Kế hoạch'!$I$6:$I$305,$O600))</f>
      </c>
      <c r="Q600" s="225">
        <f>IF($O600="","",INDEX('Kế hoạch'!$AJ$6:$AJ$305,$O600))</f>
      </c>
      <c r="R600" s="225">
        <f>IF($O600="","",INDEX('Kế hoạch'!$AK$6:$AK$305,$O600))</f>
      </c>
    </row>
    <row r="601">
      <c r="A601" s="223">
        <f>IF($C601="","",COUNTIF($C$6:$C601,"?*"))</f>
      </c>
      <c r="B601" s="217"/>
      <c r="C601" s="216"/>
      <c r="D601" s="240"/>
      <c r="E601" s="218"/>
      <c r="F601" s="218"/>
      <c r="G601" s="218"/>
      <c r="H601" s="219"/>
      <c r="I601" s="223">
        <f>IF($C601="","",IF(ISNUMBER(MATCH($C601,'Phản ánh'!$A$6:$A$505,0)),"Phản ánh",IF(ISNUMBER(MATCH($C601,'Kế hoạch'!$A$6:$A$305,0)),"Công việc","Mã chưa có")))</f>
      </c>
      <c r="J601" s="221">
        <f>IF($I601="Phản ánh",INDEX('Phản ánh'!$C$6:$C$505,MATCH($C601,'Phản ánh'!$A$6:$A$505,0)),IF($I601="Công việc",INDEX('Kế hoạch'!$C$6:$C$305,$O601),""))</f>
      </c>
      <c r="K601" s="221">
        <f>IF($I601="Phản ánh",INDEX('Phản ánh'!$K$6:$K$505,MATCH($C601,'Phản ánh'!$A$6:$A$505,0))&amp;"",IF($I601="Công việc",INDEX('Kế hoạch'!$N$6:$N$305,$O601)&amp;"",""))</f>
      </c>
      <c r="L601" s="220">
        <f>IF(OR($C601="",N($B601)=0),"",IF(AND($I601="Phản ánh",$E601="Đã xử lý"),INDEX('Phản ánh'!$U$6:$U$505,MATCH($C601,'Phản ánh'!$A$6:$A$505,0)),IF(AND($I601="Công việc",OR($E601="Hoàn thành",$E601="Hoàn thành kỳ")),IF(INDEX('Kế hoạch'!$B$6:$B$305,$O601)="Đột xuất",INDEX('Kế hoạch'!$AY$6:$AY$305,$O601),IF(N($P601)=0,"",IF(INT($B601)&lt;$P601,$P601,IF($Q601&gt;0,$P601+ROUND((INT($B601)-$P601)/$Q601,0)*$Q601,IF($R601&gt;0,EDATE($P601,ROUND((DATEDIF($P601,INT($B601),"m")+(INT($B601)-EDATE($P601,DATEDIF($P601,INT($B601),"m")))/(EDATE($P601,DATEDIF($P601,INT($B601),"m")+1)-EDATE($P601,DATEDIF($P601,INT($B601),"m"))))/$R601,0)*$R601),$P601))))),"")))</f>
      </c>
      <c r="M601" s="223">
        <f>IF(OR($C601="",N($L601)=0,N($B601)=0),"",IF(IF(MOD($L601,1)=0,INT($B601),$B601)&lt;=$L601,"Đúng hạn","Trễ hạn"))</f>
      </c>
      <c r="N601" s="225">
        <f>IF($C601="","",ROW())</f>
      </c>
      <c r="O601" s="225">
        <f>IF($I601="Công việc",MATCH($C601,'Kế hoạch'!$A$6:$A$305,0),"")</f>
      </c>
      <c r="P601" s="234">
        <f>IF($O601="","",INDEX('Kế hoạch'!$I$6:$I$305,$O601))</f>
      </c>
      <c r="Q601" s="225">
        <f>IF($O601="","",INDEX('Kế hoạch'!$AJ$6:$AJ$305,$O601))</f>
      </c>
      <c r="R601" s="225">
        <f>IF($O601="","",INDEX('Kế hoạch'!$AK$6:$AK$305,$O601))</f>
      </c>
    </row>
    <row r="602">
      <c r="A602" s="223">
        <f>IF($C602="","",COUNTIF($C$6:$C602,"?*"))</f>
      </c>
      <c r="B602" s="217"/>
      <c r="C602" s="216"/>
      <c r="D602" s="240"/>
      <c r="E602" s="218"/>
      <c r="F602" s="218"/>
      <c r="G602" s="218"/>
      <c r="H602" s="219"/>
      <c r="I602" s="223">
        <f>IF($C602="","",IF(ISNUMBER(MATCH($C602,'Phản ánh'!$A$6:$A$505,0)),"Phản ánh",IF(ISNUMBER(MATCH($C602,'Kế hoạch'!$A$6:$A$305,0)),"Công việc","Mã chưa có")))</f>
      </c>
      <c r="J602" s="221">
        <f>IF($I602="Phản ánh",INDEX('Phản ánh'!$C$6:$C$505,MATCH($C602,'Phản ánh'!$A$6:$A$505,0)),IF($I602="Công việc",INDEX('Kế hoạch'!$C$6:$C$305,$O602),""))</f>
      </c>
      <c r="K602" s="221">
        <f>IF($I602="Phản ánh",INDEX('Phản ánh'!$K$6:$K$505,MATCH($C602,'Phản ánh'!$A$6:$A$505,0))&amp;"",IF($I602="Công việc",INDEX('Kế hoạch'!$N$6:$N$305,$O602)&amp;"",""))</f>
      </c>
      <c r="L602" s="220">
        <f>IF(OR($C602="",N($B602)=0),"",IF(AND($I602="Phản ánh",$E602="Đã xử lý"),INDEX('Phản ánh'!$U$6:$U$505,MATCH($C602,'Phản ánh'!$A$6:$A$505,0)),IF(AND($I602="Công việc",OR($E602="Hoàn thành",$E602="Hoàn thành kỳ")),IF(INDEX('Kế hoạch'!$B$6:$B$305,$O602)="Đột xuất",INDEX('Kế hoạch'!$AY$6:$AY$305,$O602),IF(N($P602)=0,"",IF(INT($B602)&lt;$P602,$P602,IF($Q602&gt;0,$P602+ROUND((INT($B602)-$P602)/$Q602,0)*$Q602,IF($R602&gt;0,EDATE($P602,ROUND((DATEDIF($P602,INT($B602),"m")+(INT($B602)-EDATE($P602,DATEDIF($P602,INT($B602),"m")))/(EDATE($P602,DATEDIF($P602,INT($B602),"m")+1)-EDATE($P602,DATEDIF($P602,INT($B602),"m"))))/$R602,0)*$R602),$P602))))),"")))</f>
      </c>
      <c r="M602" s="223">
        <f>IF(OR($C602="",N($L602)=0,N($B602)=0),"",IF(IF(MOD($L602,1)=0,INT($B602),$B602)&lt;=$L602,"Đúng hạn","Trễ hạn"))</f>
      </c>
      <c r="N602" s="225">
        <f>IF($C602="","",ROW())</f>
      </c>
      <c r="O602" s="225">
        <f>IF($I602="Công việc",MATCH($C602,'Kế hoạch'!$A$6:$A$305,0),"")</f>
      </c>
      <c r="P602" s="234">
        <f>IF($O602="","",INDEX('Kế hoạch'!$I$6:$I$305,$O602))</f>
      </c>
      <c r="Q602" s="225">
        <f>IF($O602="","",INDEX('Kế hoạch'!$AJ$6:$AJ$305,$O602))</f>
      </c>
      <c r="R602" s="225">
        <f>IF($O602="","",INDEX('Kế hoạch'!$AK$6:$AK$305,$O602))</f>
      </c>
    </row>
    <row r="603">
      <c r="A603" s="223">
        <f>IF($C603="","",COUNTIF($C$6:$C603,"?*"))</f>
      </c>
      <c r="B603" s="217"/>
      <c r="C603" s="216"/>
      <c r="D603" s="240"/>
      <c r="E603" s="218"/>
      <c r="F603" s="218"/>
      <c r="G603" s="218"/>
      <c r="H603" s="219"/>
      <c r="I603" s="223">
        <f>IF($C603="","",IF(ISNUMBER(MATCH($C603,'Phản ánh'!$A$6:$A$505,0)),"Phản ánh",IF(ISNUMBER(MATCH($C603,'Kế hoạch'!$A$6:$A$305,0)),"Công việc","Mã chưa có")))</f>
      </c>
      <c r="J603" s="221">
        <f>IF($I603="Phản ánh",INDEX('Phản ánh'!$C$6:$C$505,MATCH($C603,'Phản ánh'!$A$6:$A$505,0)),IF($I603="Công việc",INDEX('Kế hoạch'!$C$6:$C$305,$O603),""))</f>
      </c>
      <c r="K603" s="221">
        <f>IF($I603="Phản ánh",INDEX('Phản ánh'!$K$6:$K$505,MATCH($C603,'Phản ánh'!$A$6:$A$505,0))&amp;"",IF($I603="Công việc",INDEX('Kế hoạch'!$N$6:$N$305,$O603)&amp;"",""))</f>
      </c>
      <c r="L603" s="220">
        <f>IF(OR($C603="",N($B603)=0),"",IF(AND($I603="Phản ánh",$E603="Đã xử lý"),INDEX('Phản ánh'!$U$6:$U$505,MATCH($C603,'Phản ánh'!$A$6:$A$505,0)),IF(AND($I603="Công việc",OR($E603="Hoàn thành",$E603="Hoàn thành kỳ")),IF(INDEX('Kế hoạch'!$B$6:$B$305,$O603)="Đột xuất",INDEX('Kế hoạch'!$AY$6:$AY$305,$O603),IF(N($P603)=0,"",IF(INT($B603)&lt;$P603,$P603,IF($Q603&gt;0,$P603+ROUND((INT($B603)-$P603)/$Q603,0)*$Q603,IF($R603&gt;0,EDATE($P603,ROUND((DATEDIF($P603,INT($B603),"m")+(INT($B603)-EDATE($P603,DATEDIF($P603,INT($B603),"m")))/(EDATE($P603,DATEDIF($P603,INT($B603),"m")+1)-EDATE($P603,DATEDIF($P603,INT($B603),"m"))))/$R603,0)*$R603),$P603))))),"")))</f>
      </c>
      <c r="M603" s="223">
        <f>IF(OR($C603="",N($L603)=0,N($B603)=0),"",IF(IF(MOD($L603,1)=0,INT($B603),$B603)&lt;=$L603,"Đúng hạn","Trễ hạn"))</f>
      </c>
      <c r="N603" s="225">
        <f>IF($C603="","",ROW())</f>
      </c>
      <c r="O603" s="225">
        <f>IF($I603="Công việc",MATCH($C603,'Kế hoạch'!$A$6:$A$305,0),"")</f>
      </c>
      <c r="P603" s="234">
        <f>IF($O603="","",INDEX('Kế hoạch'!$I$6:$I$305,$O603))</f>
      </c>
      <c r="Q603" s="225">
        <f>IF($O603="","",INDEX('Kế hoạch'!$AJ$6:$AJ$305,$O603))</f>
      </c>
      <c r="R603" s="225">
        <f>IF($O603="","",INDEX('Kế hoạch'!$AK$6:$AK$305,$O603))</f>
      </c>
    </row>
    <row r="604">
      <c r="A604" s="223">
        <f>IF($C604="","",COUNTIF($C$6:$C604,"?*"))</f>
      </c>
      <c r="B604" s="217"/>
      <c r="C604" s="216"/>
      <c r="D604" s="240"/>
      <c r="E604" s="218"/>
      <c r="F604" s="218"/>
      <c r="G604" s="218"/>
      <c r="H604" s="219"/>
      <c r="I604" s="223">
        <f>IF($C604="","",IF(ISNUMBER(MATCH($C604,'Phản ánh'!$A$6:$A$505,0)),"Phản ánh",IF(ISNUMBER(MATCH($C604,'Kế hoạch'!$A$6:$A$305,0)),"Công việc","Mã chưa có")))</f>
      </c>
      <c r="J604" s="221">
        <f>IF($I604="Phản ánh",INDEX('Phản ánh'!$C$6:$C$505,MATCH($C604,'Phản ánh'!$A$6:$A$505,0)),IF($I604="Công việc",INDEX('Kế hoạch'!$C$6:$C$305,$O604),""))</f>
      </c>
      <c r="K604" s="221">
        <f>IF($I604="Phản ánh",INDEX('Phản ánh'!$K$6:$K$505,MATCH($C604,'Phản ánh'!$A$6:$A$505,0))&amp;"",IF($I604="Công việc",INDEX('Kế hoạch'!$N$6:$N$305,$O604)&amp;"",""))</f>
      </c>
      <c r="L604" s="220">
        <f>IF(OR($C604="",N($B604)=0),"",IF(AND($I604="Phản ánh",$E604="Đã xử lý"),INDEX('Phản ánh'!$U$6:$U$505,MATCH($C604,'Phản ánh'!$A$6:$A$505,0)),IF(AND($I604="Công việc",OR($E604="Hoàn thành",$E604="Hoàn thành kỳ")),IF(INDEX('Kế hoạch'!$B$6:$B$305,$O604)="Đột xuất",INDEX('Kế hoạch'!$AY$6:$AY$305,$O604),IF(N($P604)=0,"",IF(INT($B604)&lt;$P604,$P604,IF($Q604&gt;0,$P604+ROUND((INT($B604)-$P604)/$Q604,0)*$Q604,IF($R604&gt;0,EDATE($P604,ROUND((DATEDIF($P604,INT($B604),"m")+(INT($B604)-EDATE($P604,DATEDIF($P604,INT($B604),"m")))/(EDATE($P604,DATEDIF($P604,INT($B604),"m")+1)-EDATE($P604,DATEDIF($P604,INT($B604),"m"))))/$R604,0)*$R604),$P604))))),"")))</f>
      </c>
      <c r="M604" s="223">
        <f>IF(OR($C604="",N($L604)=0,N($B604)=0),"",IF(IF(MOD($L604,1)=0,INT($B604),$B604)&lt;=$L604,"Đúng hạn","Trễ hạn"))</f>
      </c>
      <c r="N604" s="225">
        <f>IF($C604="","",ROW())</f>
      </c>
      <c r="O604" s="225">
        <f>IF($I604="Công việc",MATCH($C604,'Kế hoạch'!$A$6:$A$305,0),"")</f>
      </c>
      <c r="P604" s="234">
        <f>IF($O604="","",INDEX('Kế hoạch'!$I$6:$I$305,$O604))</f>
      </c>
      <c r="Q604" s="225">
        <f>IF($O604="","",INDEX('Kế hoạch'!$AJ$6:$AJ$305,$O604))</f>
      </c>
      <c r="R604" s="225">
        <f>IF($O604="","",INDEX('Kế hoạch'!$AK$6:$AK$305,$O604))</f>
      </c>
    </row>
    <row r="605">
      <c r="A605" s="223">
        <f>IF($C605="","",COUNTIF($C$6:$C605,"?*"))</f>
      </c>
      <c r="B605" s="217"/>
      <c r="C605" s="216"/>
      <c r="D605" s="240"/>
      <c r="E605" s="218"/>
      <c r="F605" s="218"/>
      <c r="G605" s="218"/>
      <c r="H605" s="219"/>
      <c r="I605" s="223">
        <f>IF($C605="","",IF(ISNUMBER(MATCH($C605,'Phản ánh'!$A$6:$A$505,0)),"Phản ánh",IF(ISNUMBER(MATCH($C605,'Kế hoạch'!$A$6:$A$305,0)),"Công việc","Mã chưa có")))</f>
      </c>
      <c r="J605" s="221">
        <f>IF($I605="Phản ánh",INDEX('Phản ánh'!$C$6:$C$505,MATCH($C605,'Phản ánh'!$A$6:$A$505,0)),IF($I605="Công việc",INDEX('Kế hoạch'!$C$6:$C$305,$O605),""))</f>
      </c>
      <c r="K605" s="221">
        <f>IF($I605="Phản ánh",INDEX('Phản ánh'!$K$6:$K$505,MATCH($C605,'Phản ánh'!$A$6:$A$505,0))&amp;"",IF($I605="Công việc",INDEX('Kế hoạch'!$N$6:$N$305,$O605)&amp;"",""))</f>
      </c>
      <c r="L605" s="220">
        <f>IF(OR($C605="",N($B605)=0),"",IF(AND($I605="Phản ánh",$E605="Đã xử lý"),INDEX('Phản ánh'!$U$6:$U$505,MATCH($C605,'Phản ánh'!$A$6:$A$505,0)),IF(AND($I605="Công việc",OR($E605="Hoàn thành",$E605="Hoàn thành kỳ")),IF(INDEX('Kế hoạch'!$B$6:$B$305,$O605)="Đột xuất",INDEX('Kế hoạch'!$AY$6:$AY$305,$O605),IF(N($P605)=0,"",IF(INT($B605)&lt;$P605,$P605,IF($Q605&gt;0,$P605+ROUND((INT($B605)-$P605)/$Q605,0)*$Q605,IF($R605&gt;0,EDATE($P605,ROUND((DATEDIF($P605,INT($B605),"m")+(INT($B605)-EDATE($P605,DATEDIF($P605,INT($B605),"m")))/(EDATE($P605,DATEDIF($P605,INT($B605),"m")+1)-EDATE($P605,DATEDIF($P605,INT($B605),"m"))))/$R605,0)*$R605),$P605))))),"")))</f>
      </c>
      <c r="M605" s="223">
        <f>IF(OR($C605="",N($L605)=0,N($B605)=0),"",IF(IF(MOD($L605,1)=0,INT($B605),$B605)&lt;=$L605,"Đúng hạn","Trễ hạn"))</f>
      </c>
      <c r="N605" s="225">
        <f>IF($C605="","",ROW())</f>
      </c>
      <c r="O605" s="225">
        <f>IF($I605="Công việc",MATCH($C605,'Kế hoạch'!$A$6:$A$305,0),"")</f>
      </c>
      <c r="P605" s="234">
        <f>IF($O605="","",INDEX('Kế hoạch'!$I$6:$I$305,$O605))</f>
      </c>
      <c r="Q605" s="225">
        <f>IF($O605="","",INDEX('Kế hoạch'!$AJ$6:$AJ$305,$O605))</f>
      </c>
      <c r="R605" s="225">
        <f>IF($O605="","",INDEX('Kế hoạch'!$AK$6:$AK$305,$O605))</f>
      </c>
    </row>
    <row r="606">
      <c r="A606" s="223">
        <f>IF($C606="","",COUNTIF($C$6:$C606,"?*"))</f>
      </c>
      <c r="B606" s="217"/>
      <c r="C606" s="216"/>
      <c r="D606" s="240"/>
      <c r="E606" s="218"/>
      <c r="F606" s="218"/>
      <c r="G606" s="218"/>
      <c r="H606" s="219"/>
      <c r="I606" s="223">
        <f>IF($C606="","",IF(ISNUMBER(MATCH($C606,'Phản ánh'!$A$6:$A$505,0)),"Phản ánh",IF(ISNUMBER(MATCH($C606,'Kế hoạch'!$A$6:$A$305,0)),"Công việc","Mã chưa có")))</f>
      </c>
      <c r="J606" s="221">
        <f>IF($I606="Phản ánh",INDEX('Phản ánh'!$C$6:$C$505,MATCH($C606,'Phản ánh'!$A$6:$A$505,0)),IF($I606="Công việc",INDEX('Kế hoạch'!$C$6:$C$305,$O606),""))</f>
      </c>
      <c r="K606" s="221">
        <f>IF($I606="Phản ánh",INDEX('Phản ánh'!$K$6:$K$505,MATCH($C606,'Phản ánh'!$A$6:$A$505,0))&amp;"",IF($I606="Công việc",INDEX('Kế hoạch'!$N$6:$N$305,$O606)&amp;"",""))</f>
      </c>
      <c r="L606" s="220">
        <f>IF(OR($C606="",N($B606)=0),"",IF(AND($I606="Phản ánh",$E606="Đã xử lý"),INDEX('Phản ánh'!$U$6:$U$505,MATCH($C606,'Phản ánh'!$A$6:$A$505,0)),IF(AND($I606="Công việc",OR($E606="Hoàn thành",$E606="Hoàn thành kỳ")),IF(INDEX('Kế hoạch'!$B$6:$B$305,$O606)="Đột xuất",INDEX('Kế hoạch'!$AY$6:$AY$305,$O606),IF(N($P606)=0,"",IF(INT($B606)&lt;$P606,$P606,IF($Q606&gt;0,$P606+ROUND((INT($B606)-$P606)/$Q606,0)*$Q606,IF($R606&gt;0,EDATE($P606,ROUND((DATEDIF($P606,INT($B606),"m")+(INT($B606)-EDATE($P606,DATEDIF($P606,INT($B606),"m")))/(EDATE($P606,DATEDIF($P606,INT($B606),"m")+1)-EDATE($P606,DATEDIF($P606,INT($B606),"m"))))/$R606,0)*$R606),$P606))))),"")))</f>
      </c>
      <c r="M606" s="223">
        <f>IF(OR($C606="",N($L606)=0,N($B606)=0),"",IF(IF(MOD($L606,1)=0,INT($B606),$B606)&lt;=$L606,"Đúng hạn","Trễ hạn"))</f>
      </c>
      <c r="N606" s="225">
        <f>IF($C606="","",ROW())</f>
      </c>
      <c r="O606" s="225">
        <f>IF($I606="Công việc",MATCH($C606,'Kế hoạch'!$A$6:$A$305,0),"")</f>
      </c>
      <c r="P606" s="234">
        <f>IF($O606="","",INDEX('Kế hoạch'!$I$6:$I$305,$O606))</f>
      </c>
      <c r="Q606" s="225">
        <f>IF($O606="","",INDEX('Kế hoạch'!$AJ$6:$AJ$305,$O606))</f>
      </c>
      <c r="R606" s="225">
        <f>IF($O606="","",INDEX('Kế hoạch'!$AK$6:$AK$305,$O606))</f>
      </c>
    </row>
    <row r="607">
      <c r="A607" s="223">
        <f>IF($C607="","",COUNTIF($C$6:$C607,"?*"))</f>
      </c>
      <c r="B607" s="217"/>
      <c r="C607" s="216"/>
      <c r="D607" s="240"/>
      <c r="E607" s="218"/>
      <c r="F607" s="218"/>
      <c r="G607" s="218"/>
      <c r="H607" s="219"/>
      <c r="I607" s="223">
        <f>IF($C607="","",IF(ISNUMBER(MATCH($C607,'Phản ánh'!$A$6:$A$505,0)),"Phản ánh",IF(ISNUMBER(MATCH($C607,'Kế hoạch'!$A$6:$A$305,0)),"Công việc","Mã chưa có")))</f>
      </c>
      <c r="J607" s="221">
        <f>IF($I607="Phản ánh",INDEX('Phản ánh'!$C$6:$C$505,MATCH($C607,'Phản ánh'!$A$6:$A$505,0)),IF($I607="Công việc",INDEX('Kế hoạch'!$C$6:$C$305,$O607),""))</f>
      </c>
      <c r="K607" s="221">
        <f>IF($I607="Phản ánh",INDEX('Phản ánh'!$K$6:$K$505,MATCH($C607,'Phản ánh'!$A$6:$A$505,0))&amp;"",IF($I607="Công việc",INDEX('Kế hoạch'!$N$6:$N$305,$O607)&amp;"",""))</f>
      </c>
      <c r="L607" s="220">
        <f>IF(OR($C607="",N($B607)=0),"",IF(AND($I607="Phản ánh",$E607="Đã xử lý"),INDEX('Phản ánh'!$U$6:$U$505,MATCH($C607,'Phản ánh'!$A$6:$A$505,0)),IF(AND($I607="Công việc",OR($E607="Hoàn thành",$E607="Hoàn thành kỳ")),IF(INDEX('Kế hoạch'!$B$6:$B$305,$O607)="Đột xuất",INDEX('Kế hoạch'!$AY$6:$AY$305,$O607),IF(N($P607)=0,"",IF(INT($B607)&lt;$P607,$P607,IF($Q607&gt;0,$P607+ROUND((INT($B607)-$P607)/$Q607,0)*$Q607,IF($R607&gt;0,EDATE($P607,ROUND((DATEDIF($P607,INT($B607),"m")+(INT($B607)-EDATE($P607,DATEDIF($P607,INT($B607),"m")))/(EDATE($P607,DATEDIF($P607,INT($B607),"m")+1)-EDATE($P607,DATEDIF($P607,INT($B607),"m"))))/$R607,0)*$R607),$P607))))),"")))</f>
      </c>
      <c r="M607" s="223">
        <f>IF(OR($C607="",N($L607)=0,N($B607)=0),"",IF(IF(MOD($L607,1)=0,INT($B607),$B607)&lt;=$L607,"Đúng hạn","Trễ hạn"))</f>
      </c>
      <c r="N607" s="225">
        <f>IF($C607="","",ROW())</f>
      </c>
      <c r="O607" s="225">
        <f>IF($I607="Công việc",MATCH($C607,'Kế hoạch'!$A$6:$A$305,0),"")</f>
      </c>
      <c r="P607" s="234">
        <f>IF($O607="","",INDEX('Kế hoạch'!$I$6:$I$305,$O607))</f>
      </c>
      <c r="Q607" s="225">
        <f>IF($O607="","",INDEX('Kế hoạch'!$AJ$6:$AJ$305,$O607))</f>
      </c>
      <c r="R607" s="225">
        <f>IF($O607="","",INDEX('Kế hoạch'!$AK$6:$AK$305,$O607))</f>
      </c>
    </row>
    <row r="608">
      <c r="A608" s="223">
        <f>IF($C608="","",COUNTIF($C$6:$C608,"?*"))</f>
      </c>
      <c r="B608" s="217"/>
      <c r="C608" s="216"/>
      <c r="D608" s="240"/>
      <c r="E608" s="218"/>
      <c r="F608" s="218"/>
      <c r="G608" s="218"/>
      <c r="H608" s="219"/>
      <c r="I608" s="223">
        <f>IF($C608="","",IF(ISNUMBER(MATCH($C608,'Phản ánh'!$A$6:$A$505,0)),"Phản ánh",IF(ISNUMBER(MATCH($C608,'Kế hoạch'!$A$6:$A$305,0)),"Công việc","Mã chưa có")))</f>
      </c>
      <c r="J608" s="221">
        <f>IF($I608="Phản ánh",INDEX('Phản ánh'!$C$6:$C$505,MATCH($C608,'Phản ánh'!$A$6:$A$505,0)),IF($I608="Công việc",INDEX('Kế hoạch'!$C$6:$C$305,$O608),""))</f>
      </c>
      <c r="K608" s="221">
        <f>IF($I608="Phản ánh",INDEX('Phản ánh'!$K$6:$K$505,MATCH($C608,'Phản ánh'!$A$6:$A$505,0))&amp;"",IF($I608="Công việc",INDEX('Kế hoạch'!$N$6:$N$305,$O608)&amp;"",""))</f>
      </c>
      <c r="L608" s="220">
        <f>IF(OR($C608="",N($B608)=0),"",IF(AND($I608="Phản ánh",$E608="Đã xử lý"),INDEX('Phản ánh'!$U$6:$U$505,MATCH($C608,'Phản ánh'!$A$6:$A$505,0)),IF(AND($I608="Công việc",OR($E608="Hoàn thành",$E608="Hoàn thành kỳ")),IF(INDEX('Kế hoạch'!$B$6:$B$305,$O608)="Đột xuất",INDEX('Kế hoạch'!$AY$6:$AY$305,$O608),IF(N($P608)=0,"",IF(INT($B608)&lt;$P608,$P608,IF($Q608&gt;0,$P608+ROUND((INT($B608)-$P608)/$Q608,0)*$Q608,IF($R608&gt;0,EDATE($P608,ROUND((DATEDIF($P608,INT($B608),"m")+(INT($B608)-EDATE($P608,DATEDIF($P608,INT($B608),"m")))/(EDATE($P608,DATEDIF($P608,INT($B608),"m")+1)-EDATE($P608,DATEDIF($P608,INT($B608),"m"))))/$R608,0)*$R608),$P608))))),"")))</f>
      </c>
      <c r="M608" s="223">
        <f>IF(OR($C608="",N($L608)=0,N($B608)=0),"",IF(IF(MOD($L608,1)=0,INT($B608),$B608)&lt;=$L608,"Đúng hạn","Trễ hạn"))</f>
      </c>
      <c r="N608" s="225">
        <f>IF($C608="","",ROW())</f>
      </c>
      <c r="O608" s="225">
        <f>IF($I608="Công việc",MATCH($C608,'Kế hoạch'!$A$6:$A$305,0),"")</f>
      </c>
      <c r="P608" s="234">
        <f>IF($O608="","",INDEX('Kế hoạch'!$I$6:$I$305,$O608))</f>
      </c>
      <c r="Q608" s="225">
        <f>IF($O608="","",INDEX('Kế hoạch'!$AJ$6:$AJ$305,$O608))</f>
      </c>
      <c r="R608" s="225">
        <f>IF($O608="","",INDEX('Kế hoạch'!$AK$6:$AK$305,$O608))</f>
      </c>
    </row>
    <row r="609">
      <c r="A609" s="223">
        <f>IF($C609="","",COUNTIF($C$6:$C609,"?*"))</f>
      </c>
      <c r="B609" s="217"/>
      <c r="C609" s="216"/>
      <c r="D609" s="240"/>
      <c r="E609" s="218"/>
      <c r="F609" s="218"/>
      <c r="G609" s="218"/>
      <c r="H609" s="219"/>
      <c r="I609" s="223">
        <f>IF($C609="","",IF(ISNUMBER(MATCH($C609,'Phản ánh'!$A$6:$A$505,0)),"Phản ánh",IF(ISNUMBER(MATCH($C609,'Kế hoạch'!$A$6:$A$305,0)),"Công việc","Mã chưa có")))</f>
      </c>
      <c r="J609" s="221">
        <f>IF($I609="Phản ánh",INDEX('Phản ánh'!$C$6:$C$505,MATCH($C609,'Phản ánh'!$A$6:$A$505,0)),IF($I609="Công việc",INDEX('Kế hoạch'!$C$6:$C$305,$O609),""))</f>
      </c>
      <c r="K609" s="221">
        <f>IF($I609="Phản ánh",INDEX('Phản ánh'!$K$6:$K$505,MATCH($C609,'Phản ánh'!$A$6:$A$505,0))&amp;"",IF($I609="Công việc",INDEX('Kế hoạch'!$N$6:$N$305,$O609)&amp;"",""))</f>
      </c>
      <c r="L609" s="220">
        <f>IF(OR($C609="",N($B609)=0),"",IF(AND($I609="Phản ánh",$E609="Đã xử lý"),INDEX('Phản ánh'!$U$6:$U$505,MATCH($C609,'Phản ánh'!$A$6:$A$505,0)),IF(AND($I609="Công việc",OR($E609="Hoàn thành",$E609="Hoàn thành kỳ")),IF(INDEX('Kế hoạch'!$B$6:$B$305,$O609)="Đột xuất",INDEX('Kế hoạch'!$AY$6:$AY$305,$O609),IF(N($P609)=0,"",IF(INT($B609)&lt;$P609,$P609,IF($Q609&gt;0,$P609+ROUND((INT($B609)-$P609)/$Q609,0)*$Q609,IF($R609&gt;0,EDATE($P609,ROUND((DATEDIF($P609,INT($B609),"m")+(INT($B609)-EDATE($P609,DATEDIF($P609,INT($B609),"m")))/(EDATE($P609,DATEDIF($P609,INT($B609),"m")+1)-EDATE($P609,DATEDIF($P609,INT($B609),"m"))))/$R609,0)*$R609),$P609))))),"")))</f>
      </c>
      <c r="M609" s="223">
        <f>IF(OR($C609="",N($L609)=0,N($B609)=0),"",IF(IF(MOD($L609,1)=0,INT($B609),$B609)&lt;=$L609,"Đúng hạn","Trễ hạn"))</f>
      </c>
      <c r="N609" s="225">
        <f>IF($C609="","",ROW())</f>
      </c>
      <c r="O609" s="225">
        <f>IF($I609="Công việc",MATCH($C609,'Kế hoạch'!$A$6:$A$305,0),"")</f>
      </c>
      <c r="P609" s="234">
        <f>IF($O609="","",INDEX('Kế hoạch'!$I$6:$I$305,$O609))</f>
      </c>
      <c r="Q609" s="225">
        <f>IF($O609="","",INDEX('Kế hoạch'!$AJ$6:$AJ$305,$O609))</f>
      </c>
      <c r="R609" s="225">
        <f>IF($O609="","",INDEX('Kế hoạch'!$AK$6:$AK$305,$O609))</f>
      </c>
    </row>
    <row r="610">
      <c r="A610" s="223">
        <f>IF($C610="","",COUNTIF($C$6:$C610,"?*"))</f>
      </c>
      <c r="B610" s="217"/>
      <c r="C610" s="216"/>
      <c r="D610" s="240"/>
      <c r="E610" s="218"/>
      <c r="F610" s="218"/>
      <c r="G610" s="218"/>
      <c r="H610" s="219"/>
      <c r="I610" s="223">
        <f>IF($C610="","",IF(ISNUMBER(MATCH($C610,'Phản ánh'!$A$6:$A$505,0)),"Phản ánh",IF(ISNUMBER(MATCH($C610,'Kế hoạch'!$A$6:$A$305,0)),"Công việc","Mã chưa có")))</f>
      </c>
      <c r="J610" s="221">
        <f>IF($I610="Phản ánh",INDEX('Phản ánh'!$C$6:$C$505,MATCH($C610,'Phản ánh'!$A$6:$A$505,0)),IF($I610="Công việc",INDEX('Kế hoạch'!$C$6:$C$305,$O610),""))</f>
      </c>
      <c r="K610" s="221">
        <f>IF($I610="Phản ánh",INDEX('Phản ánh'!$K$6:$K$505,MATCH($C610,'Phản ánh'!$A$6:$A$505,0))&amp;"",IF($I610="Công việc",INDEX('Kế hoạch'!$N$6:$N$305,$O610)&amp;"",""))</f>
      </c>
      <c r="L610" s="220">
        <f>IF(OR($C610="",N($B610)=0),"",IF(AND($I610="Phản ánh",$E610="Đã xử lý"),INDEX('Phản ánh'!$U$6:$U$505,MATCH($C610,'Phản ánh'!$A$6:$A$505,0)),IF(AND($I610="Công việc",OR($E610="Hoàn thành",$E610="Hoàn thành kỳ")),IF(INDEX('Kế hoạch'!$B$6:$B$305,$O610)="Đột xuất",INDEX('Kế hoạch'!$AY$6:$AY$305,$O610),IF(N($P610)=0,"",IF(INT($B610)&lt;$P610,$P610,IF($Q610&gt;0,$P610+ROUND((INT($B610)-$P610)/$Q610,0)*$Q610,IF($R610&gt;0,EDATE($P610,ROUND((DATEDIF($P610,INT($B610),"m")+(INT($B610)-EDATE($P610,DATEDIF($P610,INT($B610),"m")))/(EDATE($P610,DATEDIF($P610,INT($B610),"m")+1)-EDATE($P610,DATEDIF($P610,INT($B610),"m"))))/$R610,0)*$R610),$P610))))),"")))</f>
      </c>
      <c r="M610" s="223">
        <f>IF(OR($C610="",N($L610)=0,N($B610)=0),"",IF(IF(MOD($L610,1)=0,INT($B610),$B610)&lt;=$L610,"Đúng hạn","Trễ hạn"))</f>
      </c>
      <c r="N610" s="225">
        <f>IF($C610="","",ROW())</f>
      </c>
      <c r="O610" s="225">
        <f>IF($I610="Công việc",MATCH($C610,'Kế hoạch'!$A$6:$A$305,0),"")</f>
      </c>
      <c r="P610" s="234">
        <f>IF($O610="","",INDEX('Kế hoạch'!$I$6:$I$305,$O610))</f>
      </c>
      <c r="Q610" s="225">
        <f>IF($O610="","",INDEX('Kế hoạch'!$AJ$6:$AJ$305,$O610))</f>
      </c>
      <c r="R610" s="225">
        <f>IF($O610="","",INDEX('Kế hoạch'!$AK$6:$AK$305,$O610))</f>
      </c>
    </row>
    <row r="611">
      <c r="A611" s="223">
        <f>IF($C611="","",COUNTIF($C$6:$C611,"?*"))</f>
      </c>
      <c r="B611" s="217"/>
      <c r="C611" s="216"/>
      <c r="D611" s="240"/>
      <c r="E611" s="218"/>
      <c r="F611" s="218"/>
      <c r="G611" s="218"/>
      <c r="H611" s="219"/>
      <c r="I611" s="223">
        <f>IF($C611="","",IF(ISNUMBER(MATCH($C611,'Phản ánh'!$A$6:$A$505,0)),"Phản ánh",IF(ISNUMBER(MATCH($C611,'Kế hoạch'!$A$6:$A$305,0)),"Công việc","Mã chưa có")))</f>
      </c>
      <c r="J611" s="221">
        <f>IF($I611="Phản ánh",INDEX('Phản ánh'!$C$6:$C$505,MATCH($C611,'Phản ánh'!$A$6:$A$505,0)),IF($I611="Công việc",INDEX('Kế hoạch'!$C$6:$C$305,$O611),""))</f>
      </c>
      <c r="K611" s="221">
        <f>IF($I611="Phản ánh",INDEX('Phản ánh'!$K$6:$K$505,MATCH($C611,'Phản ánh'!$A$6:$A$505,0))&amp;"",IF($I611="Công việc",INDEX('Kế hoạch'!$N$6:$N$305,$O611)&amp;"",""))</f>
      </c>
      <c r="L611" s="220">
        <f>IF(OR($C611="",N($B611)=0),"",IF(AND($I611="Phản ánh",$E611="Đã xử lý"),INDEX('Phản ánh'!$U$6:$U$505,MATCH($C611,'Phản ánh'!$A$6:$A$505,0)),IF(AND($I611="Công việc",OR($E611="Hoàn thành",$E611="Hoàn thành kỳ")),IF(INDEX('Kế hoạch'!$B$6:$B$305,$O611)="Đột xuất",INDEX('Kế hoạch'!$AY$6:$AY$305,$O611),IF(N($P611)=0,"",IF(INT($B611)&lt;$P611,$P611,IF($Q611&gt;0,$P611+ROUND((INT($B611)-$P611)/$Q611,0)*$Q611,IF($R611&gt;0,EDATE($P611,ROUND((DATEDIF($P611,INT($B611),"m")+(INT($B611)-EDATE($P611,DATEDIF($P611,INT($B611),"m")))/(EDATE($P611,DATEDIF($P611,INT($B611),"m")+1)-EDATE($P611,DATEDIF($P611,INT($B611),"m"))))/$R611,0)*$R611),$P611))))),"")))</f>
      </c>
      <c r="M611" s="223">
        <f>IF(OR($C611="",N($L611)=0,N($B611)=0),"",IF(IF(MOD($L611,1)=0,INT($B611),$B611)&lt;=$L611,"Đúng hạn","Trễ hạn"))</f>
      </c>
      <c r="N611" s="225">
        <f>IF($C611="","",ROW())</f>
      </c>
      <c r="O611" s="225">
        <f>IF($I611="Công việc",MATCH($C611,'Kế hoạch'!$A$6:$A$305,0),"")</f>
      </c>
      <c r="P611" s="234">
        <f>IF($O611="","",INDEX('Kế hoạch'!$I$6:$I$305,$O611))</f>
      </c>
      <c r="Q611" s="225">
        <f>IF($O611="","",INDEX('Kế hoạch'!$AJ$6:$AJ$305,$O611))</f>
      </c>
      <c r="R611" s="225">
        <f>IF($O611="","",INDEX('Kế hoạch'!$AK$6:$AK$305,$O611))</f>
      </c>
    </row>
    <row r="612">
      <c r="A612" s="223">
        <f>IF($C612="","",COUNTIF($C$6:$C612,"?*"))</f>
      </c>
      <c r="B612" s="217"/>
      <c r="C612" s="216"/>
      <c r="D612" s="240"/>
      <c r="E612" s="218"/>
      <c r="F612" s="218"/>
      <c r="G612" s="218"/>
      <c r="H612" s="219"/>
      <c r="I612" s="223">
        <f>IF($C612="","",IF(ISNUMBER(MATCH($C612,'Phản ánh'!$A$6:$A$505,0)),"Phản ánh",IF(ISNUMBER(MATCH($C612,'Kế hoạch'!$A$6:$A$305,0)),"Công việc","Mã chưa có")))</f>
      </c>
      <c r="J612" s="221">
        <f>IF($I612="Phản ánh",INDEX('Phản ánh'!$C$6:$C$505,MATCH($C612,'Phản ánh'!$A$6:$A$505,0)),IF($I612="Công việc",INDEX('Kế hoạch'!$C$6:$C$305,$O612),""))</f>
      </c>
      <c r="K612" s="221">
        <f>IF($I612="Phản ánh",INDEX('Phản ánh'!$K$6:$K$505,MATCH($C612,'Phản ánh'!$A$6:$A$505,0))&amp;"",IF($I612="Công việc",INDEX('Kế hoạch'!$N$6:$N$305,$O612)&amp;"",""))</f>
      </c>
      <c r="L612" s="220">
        <f>IF(OR($C612="",N($B612)=0),"",IF(AND($I612="Phản ánh",$E612="Đã xử lý"),INDEX('Phản ánh'!$U$6:$U$505,MATCH($C612,'Phản ánh'!$A$6:$A$505,0)),IF(AND($I612="Công việc",OR($E612="Hoàn thành",$E612="Hoàn thành kỳ")),IF(INDEX('Kế hoạch'!$B$6:$B$305,$O612)="Đột xuất",INDEX('Kế hoạch'!$AY$6:$AY$305,$O612),IF(N($P612)=0,"",IF(INT($B612)&lt;$P612,$P612,IF($Q612&gt;0,$P612+ROUND((INT($B612)-$P612)/$Q612,0)*$Q612,IF($R612&gt;0,EDATE($P612,ROUND((DATEDIF($P612,INT($B612),"m")+(INT($B612)-EDATE($P612,DATEDIF($P612,INT($B612),"m")))/(EDATE($P612,DATEDIF($P612,INT($B612),"m")+1)-EDATE($P612,DATEDIF($P612,INT($B612),"m"))))/$R612,0)*$R612),$P612))))),"")))</f>
      </c>
      <c r="M612" s="223">
        <f>IF(OR($C612="",N($L612)=0,N($B612)=0),"",IF(IF(MOD($L612,1)=0,INT($B612),$B612)&lt;=$L612,"Đúng hạn","Trễ hạn"))</f>
      </c>
      <c r="N612" s="225">
        <f>IF($C612="","",ROW())</f>
      </c>
      <c r="O612" s="225">
        <f>IF($I612="Công việc",MATCH($C612,'Kế hoạch'!$A$6:$A$305,0),"")</f>
      </c>
      <c r="P612" s="234">
        <f>IF($O612="","",INDEX('Kế hoạch'!$I$6:$I$305,$O612))</f>
      </c>
      <c r="Q612" s="225">
        <f>IF($O612="","",INDEX('Kế hoạch'!$AJ$6:$AJ$305,$O612))</f>
      </c>
      <c r="R612" s="225">
        <f>IF($O612="","",INDEX('Kế hoạch'!$AK$6:$AK$305,$O612))</f>
      </c>
    </row>
    <row r="613">
      <c r="A613" s="223">
        <f>IF($C613="","",COUNTIF($C$6:$C613,"?*"))</f>
      </c>
      <c r="B613" s="217"/>
      <c r="C613" s="216"/>
      <c r="D613" s="240"/>
      <c r="E613" s="218"/>
      <c r="F613" s="218"/>
      <c r="G613" s="218"/>
      <c r="H613" s="219"/>
      <c r="I613" s="223">
        <f>IF($C613="","",IF(ISNUMBER(MATCH($C613,'Phản ánh'!$A$6:$A$505,0)),"Phản ánh",IF(ISNUMBER(MATCH($C613,'Kế hoạch'!$A$6:$A$305,0)),"Công việc","Mã chưa có")))</f>
      </c>
      <c r="J613" s="221">
        <f>IF($I613="Phản ánh",INDEX('Phản ánh'!$C$6:$C$505,MATCH($C613,'Phản ánh'!$A$6:$A$505,0)),IF($I613="Công việc",INDEX('Kế hoạch'!$C$6:$C$305,$O613),""))</f>
      </c>
      <c r="K613" s="221">
        <f>IF($I613="Phản ánh",INDEX('Phản ánh'!$K$6:$K$505,MATCH($C613,'Phản ánh'!$A$6:$A$505,0))&amp;"",IF($I613="Công việc",INDEX('Kế hoạch'!$N$6:$N$305,$O613)&amp;"",""))</f>
      </c>
      <c r="L613" s="220">
        <f>IF(OR($C613="",N($B613)=0),"",IF(AND($I613="Phản ánh",$E613="Đã xử lý"),INDEX('Phản ánh'!$U$6:$U$505,MATCH($C613,'Phản ánh'!$A$6:$A$505,0)),IF(AND($I613="Công việc",OR($E613="Hoàn thành",$E613="Hoàn thành kỳ")),IF(INDEX('Kế hoạch'!$B$6:$B$305,$O613)="Đột xuất",INDEX('Kế hoạch'!$AY$6:$AY$305,$O613),IF(N($P613)=0,"",IF(INT($B613)&lt;$P613,$P613,IF($Q613&gt;0,$P613+ROUND((INT($B613)-$P613)/$Q613,0)*$Q613,IF($R613&gt;0,EDATE($P613,ROUND((DATEDIF($P613,INT($B613),"m")+(INT($B613)-EDATE($P613,DATEDIF($P613,INT($B613),"m")))/(EDATE($P613,DATEDIF($P613,INT($B613),"m")+1)-EDATE($P613,DATEDIF($P613,INT($B613),"m"))))/$R613,0)*$R613),$P613))))),"")))</f>
      </c>
      <c r="M613" s="223">
        <f>IF(OR($C613="",N($L613)=0,N($B613)=0),"",IF(IF(MOD($L613,1)=0,INT($B613),$B613)&lt;=$L613,"Đúng hạn","Trễ hạn"))</f>
      </c>
      <c r="N613" s="225">
        <f>IF($C613="","",ROW())</f>
      </c>
      <c r="O613" s="225">
        <f>IF($I613="Công việc",MATCH($C613,'Kế hoạch'!$A$6:$A$305,0),"")</f>
      </c>
      <c r="P613" s="234">
        <f>IF($O613="","",INDEX('Kế hoạch'!$I$6:$I$305,$O613))</f>
      </c>
      <c r="Q613" s="225">
        <f>IF($O613="","",INDEX('Kế hoạch'!$AJ$6:$AJ$305,$O613))</f>
      </c>
      <c r="R613" s="225">
        <f>IF($O613="","",INDEX('Kế hoạch'!$AK$6:$AK$305,$O613))</f>
      </c>
    </row>
    <row r="614">
      <c r="A614" s="223">
        <f>IF($C614="","",COUNTIF($C$6:$C614,"?*"))</f>
      </c>
      <c r="B614" s="217"/>
      <c r="C614" s="216"/>
      <c r="D614" s="240"/>
      <c r="E614" s="218"/>
      <c r="F614" s="218"/>
      <c r="G614" s="218"/>
      <c r="H614" s="219"/>
      <c r="I614" s="223">
        <f>IF($C614="","",IF(ISNUMBER(MATCH($C614,'Phản ánh'!$A$6:$A$505,0)),"Phản ánh",IF(ISNUMBER(MATCH($C614,'Kế hoạch'!$A$6:$A$305,0)),"Công việc","Mã chưa có")))</f>
      </c>
      <c r="J614" s="221">
        <f>IF($I614="Phản ánh",INDEX('Phản ánh'!$C$6:$C$505,MATCH($C614,'Phản ánh'!$A$6:$A$505,0)),IF($I614="Công việc",INDEX('Kế hoạch'!$C$6:$C$305,$O614),""))</f>
      </c>
      <c r="K614" s="221">
        <f>IF($I614="Phản ánh",INDEX('Phản ánh'!$K$6:$K$505,MATCH($C614,'Phản ánh'!$A$6:$A$505,0))&amp;"",IF($I614="Công việc",INDEX('Kế hoạch'!$N$6:$N$305,$O614)&amp;"",""))</f>
      </c>
      <c r="L614" s="220">
        <f>IF(OR($C614="",N($B614)=0),"",IF(AND($I614="Phản ánh",$E614="Đã xử lý"),INDEX('Phản ánh'!$U$6:$U$505,MATCH($C614,'Phản ánh'!$A$6:$A$505,0)),IF(AND($I614="Công việc",OR($E614="Hoàn thành",$E614="Hoàn thành kỳ")),IF(INDEX('Kế hoạch'!$B$6:$B$305,$O614)="Đột xuất",INDEX('Kế hoạch'!$AY$6:$AY$305,$O614),IF(N($P614)=0,"",IF(INT($B614)&lt;$P614,$P614,IF($Q614&gt;0,$P614+ROUND((INT($B614)-$P614)/$Q614,0)*$Q614,IF($R614&gt;0,EDATE($P614,ROUND((DATEDIF($P614,INT($B614),"m")+(INT($B614)-EDATE($P614,DATEDIF($P614,INT($B614),"m")))/(EDATE($P614,DATEDIF($P614,INT($B614),"m")+1)-EDATE($P614,DATEDIF($P614,INT($B614),"m"))))/$R614,0)*$R614),$P614))))),"")))</f>
      </c>
      <c r="M614" s="223">
        <f>IF(OR($C614="",N($L614)=0,N($B614)=0),"",IF(IF(MOD($L614,1)=0,INT($B614),$B614)&lt;=$L614,"Đúng hạn","Trễ hạn"))</f>
      </c>
      <c r="N614" s="225">
        <f>IF($C614="","",ROW())</f>
      </c>
      <c r="O614" s="225">
        <f>IF($I614="Công việc",MATCH($C614,'Kế hoạch'!$A$6:$A$305,0),"")</f>
      </c>
      <c r="P614" s="234">
        <f>IF($O614="","",INDEX('Kế hoạch'!$I$6:$I$305,$O614))</f>
      </c>
      <c r="Q614" s="225">
        <f>IF($O614="","",INDEX('Kế hoạch'!$AJ$6:$AJ$305,$O614))</f>
      </c>
      <c r="R614" s="225">
        <f>IF($O614="","",INDEX('Kế hoạch'!$AK$6:$AK$305,$O614))</f>
      </c>
    </row>
    <row r="615">
      <c r="A615" s="223">
        <f>IF($C615="","",COUNTIF($C$6:$C615,"?*"))</f>
      </c>
      <c r="B615" s="217"/>
      <c r="C615" s="216"/>
      <c r="D615" s="240"/>
      <c r="E615" s="218"/>
      <c r="F615" s="218"/>
      <c r="G615" s="218"/>
      <c r="H615" s="219"/>
      <c r="I615" s="223">
        <f>IF($C615="","",IF(ISNUMBER(MATCH($C615,'Phản ánh'!$A$6:$A$505,0)),"Phản ánh",IF(ISNUMBER(MATCH($C615,'Kế hoạch'!$A$6:$A$305,0)),"Công việc","Mã chưa có")))</f>
      </c>
      <c r="J615" s="221">
        <f>IF($I615="Phản ánh",INDEX('Phản ánh'!$C$6:$C$505,MATCH($C615,'Phản ánh'!$A$6:$A$505,0)),IF($I615="Công việc",INDEX('Kế hoạch'!$C$6:$C$305,$O615),""))</f>
      </c>
      <c r="K615" s="221">
        <f>IF($I615="Phản ánh",INDEX('Phản ánh'!$K$6:$K$505,MATCH($C615,'Phản ánh'!$A$6:$A$505,0))&amp;"",IF($I615="Công việc",INDEX('Kế hoạch'!$N$6:$N$305,$O615)&amp;"",""))</f>
      </c>
      <c r="L615" s="220">
        <f>IF(OR($C615="",N($B615)=0),"",IF(AND($I615="Phản ánh",$E615="Đã xử lý"),INDEX('Phản ánh'!$U$6:$U$505,MATCH($C615,'Phản ánh'!$A$6:$A$505,0)),IF(AND($I615="Công việc",OR($E615="Hoàn thành",$E615="Hoàn thành kỳ")),IF(INDEX('Kế hoạch'!$B$6:$B$305,$O615)="Đột xuất",INDEX('Kế hoạch'!$AY$6:$AY$305,$O615),IF(N($P615)=0,"",IF(INT($B615)&lt;$P615,$P615,IF($Q615&gt;0,$P615+ROUND((INT($B615)-$P615)/$Q615,0)*$Q615,IF($R615&gt;0,EDATE($P615,ROUND((DATEDIF($P615,INT($B615),"m")+(INT($B615)-EDATE($P615,DATEDIF($P615,INT($B615),"m")))/(EDATE($P615,DATEDIF($P615,INT($B615),"m")+1)-EDATE($P615,DATEDIF($P615,INT($B615),"m"))))/$R615,0)*$R615),$P615))))),"")))</f>
      </c>
      <c r="M615" s="223">
        <f>IF(OR($C615="",N($L615)=0,N($B615)=0),"",IF(IF(MOD($L615,1)=0,INT($B615),$B615)&lt;=$L615,"Đúng hạn","Trễ hạn"))</f>
      </c>
      <c r="N615" s="225">
        <f>IF($C615="","",ROW())</f>
      </c>
      <c r="O615" s="225">
        <f>IF($I615="Công việc",MATCH($C615,'Kế hoạch'!$A$6:$A$305,0),"")</f>
      </c>
      <c r="P615" s="234">
        <f>IF($O615="","",INDEX('Kế hoạch'!$I$6:$I$305,$O615))</f>
      </c>
      <c r="Q615" s="225">
        <f>IF($O615="","",INDEX('Kế hoạch'!$AJ$6:$AJ$305,$O615))</f>
      </c>
      <c r="R615" s="225">
        <f>IF($O615="","",INDEX('Kế hoạch'!$AK$6:$AK$305,$O615))</f>
      </c>
    </row>
    <row r="616">
      <c r="A616" s="223">
        <f>IF($C616="","",COUNTIF($C$6:$C616,"?*"))</f>
      </c>
      <c r="B616" s="217"/>
      <c r="C616" s="216"/>
      <c r="D616" s="240"/>
      <c r="E616" s="218"/>
      <c r="F616" s="218"/>
      <c r="G616" s="218"/>
      <c r="H616" s="219"/>
      <c r="I616" s="223">
        <f>IF($C616="","",IF(ISNUMBER(MATCH($C616,'Phản ánh'!$A$6:$A$505,0)),"Phản ánh",IF(ISNUMBER(MATCH($C616,'Kế hoạch'!$A$6:$A$305,0)),"Công việc","Mã chưa có")))</f>
      </c>
      <c r="J616" s="221">
        <f>IF($I616="Phản ánh",INDEX('Phản ánh'!$C$6:$C$505,MATCH($C616,'Phản ánh'!$A$6:$A$505,0)),IF($I616="Công việc",INDEX('Kế hoạch'!$C$6:$C$305,$O616),""))</f>
      </c>
      <c r="K616" s="221">
        <f>IF($I616="Phản ánh",INDEX('Phản ánh'!$K$6:$K$505,MATCH($C616,'Phản ánh'!$A$6:$A$505,0))&amp;"",IF($I616="Công việc",INDEX('Kế hoạch'!$N$6:$N$305,$O616)&amp;"",""))</f>
      </c>
      <c r="L616" s="220">
        <f>IF(OR($C616="",N($B616)=0),"",IF(AND($I616="Phản ánh",$E616="Đã xử lý"),INDEX('Phản ánh'!$U$6:$U$505,MATCH($C616,'Phản ánh'!$A$6:$A$505,0)),IF(AND($I616="Công việc",OR($E616="Hoàn thành",$E616="Hoàn thành kỳ")),IF(INDEX('Kế hoạch'!$B$6:$B$305,$O616)="Đột xuất",INDEX('Kế hoạch'!$AY$6:$AY$305,$O616),IF(N($P616)=0,"",IF(INT($B616)&lt;$P616,$P616,IF($Q616&gt;0,$P616+ROUND((INT($B616)-$P616)/$Q616,0)*$Q616,IF($R616&gt;0,EDATE($P616,ROUND((DATEDIF($P616,INT($B616),"m")+(INT($B616)-EDATE($P616,DATEDIF($P616,INT($B616),"m")))/(EDATE($P616,DATEDIF($P616,INT($B616),"m")+1)-EDATE($P616,DATEDIF($P616,INT($B616),"m"))))/$R616,0)*$R616),$P616))))),"")))</f>
      </c>
      <c r="M616" s="223">
        <f>IF(OR($C616="",N($L616)=0,N($B616)=0),"",IF(IF(MOD($L616,1)=0,INT($B616),$B616)&lt;=$L616,"Đúng hạn","Trễ hạn"))</f>
      </c>
      <c r="N616" s="225">
        <f>IF($C616="","",ROW())</f>
      </c>
      <c r="O616" s="225">
        <f>IF($I616="Công việc",MATCH($C616,'Kế hoạch'!$A$6:$A$305,0),"")</f>
      </c>
      <c r="P616" s="234">
        <f>IF($O616="","",INDEX('Kế hoạch'!$I$6:$I$305,$O616))</f>
      </c>
      <c r="Q616" s="225">
        <f>IF($O616="","",INDEX('Kế hoạch'!$AJ$6:$AJ$305,$O616))</f>
      </c>
      <c r="R616" s="225">
        <f>IF($O616="","",INDEX('Kế hoạch'!$AK$6:$AK$305,$O616))</f>
      </c>
    </row>
    <row r="617">
      <c r="A617" s="223">
        <f>IF($C617="","",COUNTIF($C$6:$C617,"?*"))</f>
      </c>
      <c r="B617" s="217"/>
      <c r="C617" s="216"/>
      <c r="D617" s="240"/>
      <c r="E617" s="218"/>
      <c r="F617" s="218"/>
      <c r="G617" s="218"/>
      <c r="H617" s="219"/>
      <c r="I617" s="223">
        <f>IF($C617="","",IF(ISNUMBER(MATCH($C617,'Phản ánh'!$A$6:$A$505,0)),"Phản ánh",IF(ISNUMBER(MATCH($C617,'Kế hoạch'!$A$6:$A$305,0)),"Công việc","Mã chưa có")))</f>
      </c>
      <c r="J617" s="221">
        <f>IF($I617="Phản ánh",INDEX('Phản ánh'!$C$6:$C$505,MATCH($C617,'Phản ánh'!$A$6:$A$505,0)),IF($I617="Công việc",INDEX('Kế hoạch'!$C$6:$C$305,$O617),""))</f>
      </c>
      <c r="K617" s="221">
        <f>IF($I617="Phản ánh",INDEX('Phản ánh'!$K$6:$K$505,MATCH($C617,'Phản ánh'!$A$6:$A$505,0))&amp;"",IF($I617="Công việc",INDEX('Kế hoạch'!$N$6:$N$305,$O617)&amp;"",""))</f>
      </c>
      <c r="L617" s="220">
        <f>IF(OR($C617="",N($B617)=0),"",IF(AND($I617="Phản ánh",$E617="Đã xử lý"),INDEX('Phản ánh'!$U$6:$U$505,MATCH($C617,'Phản ánh'!$A$6:$A$505,0)),IF(AND($I617="Công việc",OR($E617="Hoàn thành",$E617="Hoàn thành kỳ")),IF(INDEX('Kế hoạch'!$B$6:$B$305,$O617)="Đột xuất",INDEX('Kế hoạch'!$AY$6:$AY$305,$O617),IF(N($P617)=0,"",IF(INT($B617)&lt;$P617,$P617,IF($Q617&gt;0,$P617+ROUND((INT($B617)-$P617)/$Q617,0)*$Q617,IF($R617&gt;0,EDATE($P617,ROUND((DATEDIF($P617,INT($B617),"m")+(INT($B617)-EDATE($P617,DATEDIF($P617,INT($B617),"m")))/(EDATE($P617,DATEDIF($P617,INT($B617),"m")+1)-EDATE($P617,DATEDIF($P617,INT($B617),"m"))))/$R617,0)*$R617),$P617))))),"")))</f>
      </c>
      <c r="M617" s="223">
        <f>IF(OR($C617="",N($L617)=0,N($B617)=0),"",IF(IF(MOD($L617,1)=0,INT($B617),$B617)&lt;=$L617,"Đúng hạn","Trễ hạn"))</f>
      </c>
      <c r="N617" s="225">
        <f>IF($C617="","",ROW())</f>
      </c>
      <c r="O617" s="225">
        <f>IF($I617="Công việc",MATCH($C617,'Kế hoạch'!$A$6:$A$305,0),"")</f>
      </c>
      <c r="P617" s="234">
        <f>IF($O617="","",INDEX('Kế hoạch'!$I$6:$I$305,$O617))</f>
      </c>
      <c r="Q617" s="225">
        <f>IF($O617="","",INDEX('Kế hoạch'!$AJ$6:$AJ$305,$O617))</f>
      </c>
      <c r="R617" s="225">
        <f>IF($O617="","",INDEX('Kế hoạch'!$AK$6:$AK$305,$O617))</f>
      </c>
    </row>
    <row r="618">
      <c r="A618" s="223">
        <f>IF($C618="","",COUNTIF($C$6:$C618,"?*"))</f>
      </c>
      <c r="B618" s="217"/>
      <c r="C618" s="216"/>
      <c r="D618" s="240"/>
      <c r="E618" s="218"/>
      <c r="F618" s="218"/>
      <c r="G618" s="218"/>
      <c r="H618" s="219"/>
      <c r="I618" s="223">
        <f>IF($C618="","",IF(ISNUMBER(MATCH($C618,'Phản ánh'!$A$6:$A$505,0)),"Phản ánh",IF(ISNUMBER(MATCH($C618,'Kế hoạch'!$A$6:$A$305,0)),"Công việc","Mã chưa có")))</f>
      </c>
      <c r="J618" s="221">
        <f>IF($I618="Phản ánh",INDEX('Phản ánh'!$C$6:$C$505,MATCH($C618,'Phản ánh'!$A$6:$A$505,0)),IF($I618="Công việc",INDEX('Kế hoạch'!$C$6:$C$305,$O618),""))</f>
      </c>
      <c r="K618" s="221">
        <f>IF($I618="Phản ánh",INDEX('Phản ánh'!$K$6:$K$505,MATCH($C618,'Phản ánh'!$A$6:$A$505,0))&amp;"",IF($I618="Công việc",INDEX('Kế hoạch'!$N$6:$N$305,$O618)&amp;"",""))</f>
      </c>
      <c r="L618" s="220">
        <f>IF(OR($C618="",N($B618)=0),"",IF(AND($I618="Phản ánh",$E618="Đã xử lý"),INDEX('Phản ánh'!$U$6:$U$505,MATCH($C618,'Phản ánh'!$A$6:$A$505,0)),IF(AND($I618="Công việc",OR($E618="Hoàn thành",$E618="Hoàn thành kỳ")),IF(INDEX('Kế hoạch'!$B$6:$B$305,$O618)="Đột xuất",INDEX('Kế hoạch'!$AY$6:$AY$305,$O618),IF(N($P618)=0,"",IF(INT($B618)&lt;$P618,$P618,IF($Q618&gt;0,$P618+ROUND((INT($B618)-$P618)/$Q618,0)*$Q618,IF($R618&gt;0,EDATE($P618,ROUND((DATEDIF($P618,INT($B618),"m")+(INT($B618)-EDATE($P618,DATEDIF($P618,INT($B618),"m")))/(EDATE($P618,DATEDIF($P618,INT($B618),"m")+1)-EDATE($P618,DATEDIF($P618,INT($B618),"m"))))/$R618,0)*$R618),$P618))))),"")))</f>
      </c>
      <c r="M618" s="223">
        <f>IF(OR($C618="",N($L618)=0,N($B618)=0),"",IF(IF(MOD($L618,1)=0,INT($B618),$B618)&lt;=$L618,"Đúng hạn","Trễ hạn"))</f>
      </c>
      <c r="N618" s="225">
        <f>IF($C618="","",ROW())</f>
      </c>
      <c r="O618" s="225">
        <f>IF($I618="Công việc",MATCH($C618,'Kế hoạch'!$A$6:$A$305,0),"")</f>
      </c>
      <c r="P618" s="234">
        <f>IF($O618="","",INDEX('Kế hoạch'!$I$6:$I$305,$O618))</f>
      </c>
      <c r="Q618" s="225">
        <f>IF($O618="","",INDEX('Kế hoạch'!$AJ$6:$AJ$305,$O618))</f>
      </c>
      <c r="R618" s="225">
        <f>IF($O618="","",INDEX('Kế hoạch'!$AK$6:$AK$305,$O618))</f>
      </c>
    </row>
    <row r="619">
      <c r="A619" s="223">
        <f>IF($C619="","",COUNTIF($C$6:$C619,"?*"))</f>
      </c>
      <c r="B619" s="217"/>
      <c r="C619" s="216"/>
      <c r="D619" s="240"/>
      <c r="E619" s="218"/>
      <c r="F619" s="218"/>
      <c r="G619" s="218"/>
      <c r="H619" s="219"/>
      <c r="I619" s="223">
        <f>IF($C619="","",IF(ISNUMBER(MATCH($C619,'Phản ánh'!$A$6:$A$505,0)),"Phản ánh",IF(ISNUMBER(MATCH($C619,'Kế hoạch'!$A$6:$A$305,0)),"Công việc","Mã chưa có")))</f>
      </c>
      <c r="J619" s="221">
        <f>IF($I619="Phản ánh",INDEX('Phản ánh'!$C$6:$C$505,MATCH($C619,'Phản ánh'!$A$6:$A$505,0)),IF($I619="Công việc",INDEX('Kế hoạch'!$C$6:$C$305,$O619),""))</f>
      </c>
      <c r="K619" s="221">
        <f>IF($I619="Phản ánh",INDEX('Phản ánh'!$K$6:$K$505,MATCH($C619,'Phản ánh'!$A$6:$A$505,0))&amp;"",IF($I619="Công việc",INDEX('Kế hoạch'!$N$6:$N$305,$O619)&amp;"",""))</f>
      </c>
      <c r="L619" s="220">
        <f>IF(OR($C619="",N($B619)=0),"",IF(AND($I619="Phản ánh",$E619="Đã xử lý"),INDEX('Phản ánh'!$U$6:$U$505,MATCH($C619,'Phản ánh'!$A$6:$A$505,0)),IF(AND($I619="Công việc",OR($E619="Hoàn thành",$E619="Hoàn thành kỳ")),IF(INDEX('Kế hoạch'!$B$6:$B$305,$O619)="Đột xuất",INDEX('Kế hoạch'!$AY$6:$AY$305,$O619),IF(N($P619)=0,"",IF(INT($B619)&lt;$P619,$P619,IF($Q619&gt;0,$P619+ROUND((INT($B619)-$P619)/$Q619,0)*$Q619,IF($R619&gt;0,EDATE($P619,ROUND((DATEDIF($P619,INT($B619),"m")+(INT($B619)-EDATE($P619,DATEDIF($P619,INT($B619),"m")))/(EDATE($P619,DATEDIF($P619,INT($B619),"m")+1)-EDATE($P619,DATEDIF($P619,INT($B619),"m"))))/$R619,0)*$R619),$P619))))),"")))</f>
      </c>
      <c r="M619" s="223">
        <f>IF(OR($C619="",N($L619)=0,N($B619)=0),"",IF(IF(MOD($L619,1)=0,INT($B619),$B619)&lt;=$L619,"Đúng hạn","Trễ hạn"))</f>
      </c>
      <c r="N619" s="225">
        <f>IF($C619="","",ROW())</f>
      </c>
      <c r="O619" s="225">
        <f>IF($I619="Công việc",MATCH($C619,'Kế hoạch'!$A$6:$A$305,0),"")</f>
      </c>
      <c r="P619" s="234">
        <f>IF($O619="","",INDEX('Kế hoạch'!$I$6:$I$305,$O619))</f>
      </c>
      <c r="Q619" s="225">
        <f>IF($O619="","",INDEX('Kế hoạch'!$AJ$6:$AJ$305,$O619))</f>
      </c>
      <c r="R619" s="225">
        <f>IF($O619="","",INDEX('Kế hoạch'!$AK$6:$AK$305,$O619))</f>
      </c>
    </row>
    <row r="620">
      <c r="A620" s="223">
        <f>IF($C620="","",COUNTIF($C$6:$C620,"?*"))</f>
      </c>
      <c r="B620" s="217"/>
      <c r="C620" s="216"/>
      <c r="D620" s="240"/>
      <c r="E620" s="218"/>
      <c r="F620" s="218"/>
      <c r="G620" s="218"/>
      <c r="H620" s="219"/>
      <c r="I620" s="223">
        <f>IF($C620="","",IF(ISNUMBER(MATCH($C620,'Phản ánh'!$A$6:$A$505,0)),"Phản ánh",IF(ISNUMBER(MATCH($C620,'Kế hoạch'!$A$6:$A$305,0)),"Công việc","Mã chưa có")))</f>
      </c>
      <c r="J620" s="221">
        <f>IF($I620="Phản ánh",INDEX('Phản ánh'!$C$6:$C$505,MATCH($C620,'Phản ánh'!$A$6:$A$505,0)),IF($I620="Công việc",INDEX('Kế hoạch'!$C$6:$C$305,$O620),""))</f>
      </c>
      <c r="K620" s="221">
        <f>IF($I620="Phản ánh",INDEX('Phản ánh'!$K$6:$K$505,MATCH($C620,'Phản ánh'!$A$6:$A$505,0))&amp;"",IF($I620="Công việc",INDEX('Kế hoạch'!$N$6:$N$305,$O620)&amp;"",""))</f>
      </c>
      <c r="L620" s="220">
        <f>IF(OR($C620="",N($B620)=0),"",IF(AND($I620="Phản ánh",$E620="Đã xử lý"),INDEX('Phản ánh'!$U$6:$U$505,MATCH($C620,'Phản ánh'!$A$6:$A$505,0)),IF(AND($I620="Công việc",OR($E620="Hoàn thành",$E620="Hoàn thành kỳ")),IF(INDEX('Kế hoạch'!$B$6:$B$305,$O620)="Đột xuất",INDEX('Kế hoạch'!$AY$6:$AY$305,$O620),IF(N($P620)=0,"",IF(INT($B620)&lt;$P620,$P620,IF($Q620&gt;0,$P620+ROUND((INT($B620)-$P620)/$Q620,0)*$Q620,IF($R620&gt;0,EDATE($P620,ROUND((DATEDIF($P620,INT($B620),"m")+(INT($B620)-EDATE($P620,DATEDIF($P620,INT($B620),"m")))/(EDATE($P620,DATEDIF($P620,INT($B620),"m")+1)-EDATE($P620,DATEDIF($P620,INT($B620),"m"))))/$R620,0)*$R620),$P620))))),"")))</f>
      </c>
      <c r="M620" s="223">
        <f>IF(OR($C620="",N($L620)=0,N($B620)=0),"",IF(IF(MOD($L620,1)=0,INT($B620),$B620)&lt;=$L620,"Đúng hạn","Trễ hạn"))</f>
      </c>
      <c r="N620" s="225">
        <f>IF($C620="","",ROW())</f>
      </c>
      <c r="O620" s="225">
        <f>IF($I620="Công việc",MATCH($C620,'Kế hoạch'!$A$6:$A$305,0),"")</f>
      </c>
      <c r="P620" s="234">
        <f>IF($O620="","",INDEX('Kế hoạch'!$I$6:$I$305,$O620))</f>
      </c>
      <c r="Q620" s="225">
        <f>IF($O620="","",INDEX('Kế hoạch'!$AJ$6:$AJ$305,$O620))</f>
      </c>
      <c r="R620" s="225">
        <f>IF($O620="","",INDEX('Kế hoạch'!$AK$6:$AK$305,$O620))</f>
      </c>
    </row>
    <row r="621">
      <c r="A621" s="223">
        <f>IF($C621="","",COUNTIF($C$6:$C621,"?*"))</f>
      </c>
      <c r="B621" s="217"/>
      <c r="C621" s="216"/>
      <c r="D621" s="240"/>
      <c r="E621" s="218"/>
      <c r="F621" s="218"/>
      <c r="G621" s="218"/>
      <c r="H621" s="219"/>
      <c r="I621" s="223">
        <f>IF($C621="","",IF(ISNUMBER(MATCH($C621,'Phản ánh'!$A$6:$A$505,0)),"Phản ánh",IF(ISNUMBER(MATCH($C621,'Kế hoạch'!$A$6:$A$305,0)),"Công việc","Mã chưa có")))</f>
      </c>
      <c r="J621" s="221">
        <f>IF($I621="Phản ánh",INDEX('Phản ánh'!$C$6:$C$505,MATCH($C621,'Phản ánh'!$A$6:$A$505,0)),IF($I621="Công việc",INDEX('Kế hoạch'!$C$6:$C$305,$O621),""))</f>
      </c>
      <c r="K621" s="221">
        <f>IF($I621="Phản ánh",INDEX('Phản ánh'!$K$6:$K$505,MATCH($C621,'Phản ánh'!$A$6:$A$505,0))&amp;"",IF($I621="Công việc",INDEX('Kế hoạch'!$N$6:$N$305,$O621)&amp;"",""))</f>
      </c>
      <c r="L621" s="220">
        <f>IF(OR($C621="",N($B621)=0),"",IF(AND($I621="Phản ánh",$E621="Đã xử lý"),INDEX('Phản ánh'!$U$6:$U$505,MATCH($C621,'Phản ánh'!$A$6:$A$505,0)),IF(AND($I621="Công việc",OR($E621="Hoàn thành",$E621="Hoàn thành kỳ")),IF(INDEX('Kế hoạch'!$B$6:$B$305,$O621)="Đột xuất",INDEX('Kế hoạch'!$AY$6:$AY$305,$O621),IF(N($P621)=0,"",IF(INT($B621)&lt;$P621,$P621,IF($Q621&gt;0,$P621+ROUND((INT($B621)-$P621)/$Q621,0)*$Q621,IF($R621&gt;0,EDATE($P621,ROUND((DATEDIF($P621,INT($B621),"m")+(INT($B621)-EDATE($P621,DATEDIF($P621,INT($B621),"m")))/(EDATE($P621,DATEDIF($P621,INT($B621),"m")+1)-EDATE($P621,DATEDIF($P621,INT($B621),"m"))))/$R621,0)*$R621),$P621))))),"")))</f>
      </c>
      <c r="M621" s="223">
        <f>IF(OR($C621="",N($L621)=0,N($B621)=0),"",IF(IF(MOD($L621,1)=0,INT($B621),$B621)&lt;=$L621,"Đúng hạn","Trễ hạn"))</f>
      </c>
      <c r="N621" s="225">
        <f>IF($C621="","",ROW())</f>
      </c>
      <c r="O621" s="225">
        <f>IF($I621="Công việc",MATCH($C621,'Kế hoạch'!$A$6:$A$305,0),"")</f>
      </c>
      <c r="P621" s="234">
        <f>IF($O621="","",INDEX('Kế hoạch'!$I$6:$I$305,$O621))</f>
      </c>
      <c r="Q621" s="225">
        <f>IF($O621="","",INDEX('Kế hoạch'!$AJ$6:$AJ$305,$O621))</f>
      </c>
      <c r="R621" s="225">
        <f>IF($O621="","",INDEX('Kế hoạch'!$AK$6:$AK$305,$O621))</f>
      </c>
    </row>
    <row r="622">
      <c r="A622" s="223">
        <f>IF($C622="","",COUNTIF($C$6:$C622,"?*"))</f>
      </c>
      <c r="B622" s="217"/>
      <c r="C622" s="216"/>
      <c r="D622" s="240"/>
      <c r="E622" s="218"/>
      <c r="F622" s="218"/>
      <c r="G622" s="218"/>
      <c r="H622" s="219"/>
      <c r="I622" s="223">
        <f>IF($C622="","",IF(ISNUMBER(MATCH($C622,'Phản ánh'!$A$6:$A$505,0)),"Phản ánh",IF(ISNUMBER(MATCH($C622,'Kế hoạch'!$A$6:$A$305,0)),"Công việc","Mã chưa có")))</f>
      </c>
      <c r="J622" s="221">
        <f>IF($I622="Phản ánh",INDEX('Phản ánh'!$C$6:$C$505,MATCH($C622,'Phản ánh'!$A$6:$A$505,0)),IF($I622="Công việc",INDEX('Kế hoạch'!$C$6:$C$305,$O622),""))</f>
      </c>
      <c r="K622" s="221">
        <f>IF($I622="Phản ánh",INDEX('Phản ánh'!$K$6:$K$505,MATCH($C622,'Phản ánh'!$A$6:$A$505,0))&amp;"",IF($I622="Công việc",INDEX('Kế hoạch'!$N$6:$N$305,$O622)&amp;"",""))</f>
      </c>
      <c r="L622" s="220">
        <f>IF(OR($C622="",N($B622)=0),"",IF(AND($I622="Phản ánh",$E622="Đã xử lý"),INDEX('Phản ánh'!$U$6:$U$505,MATCH($C622,'Phản ánh'!$A$6:$A$505,0)),IF(AND($I622="Công việc",OR($E622="Hoàn thành",$E622="Hoàn thành kỳ")),IF(INDEX('Kế hoạch'!$B$6:$B$305,$O622)="Đột xuất",INDEX('Kế hoạch'!$AY$6:$AY$305,$O622),IF(N($P622)=0,"",IF(INT($B622)&lt;$P622,$P622,IF($Q622&gt;0,$P622+ROUND((INT($B622)-$P622)/$Q622,0)*$Q622,IF($R622&gt;0,EDATE($P622,ROUND((DATEDIF($P622,INT($B622),"m")+(INT($B622)-EDATE($P622,DATEDIF($P622,INT($B622),"m")))/(EDATE($P622,DATEDIF($P622,INT($B622),"m")+1)-EDATE($P622,DATEDIF($P622,INT($B622),"m"))))/$R622,0)*$R622),$P622))))),"")))</f>
      </c>
      <c r="M622" s="223">
        <f>IF(OR($C622="",N($L622)=0,N($B622)=0),"",IF(IF(MOD($L622,1)=0,INT($B622),$B622)&lt;=$L622,"Đúng hạn","Trễ hạn"))</f>
      </c>
      <c r="N622" s="225">
        <f>IF($C622="","",ROW())</f>
      </c>
      <c r="O622" s="225">
        <f>IF($I622="Công việc",MATCH($C622,'Kế hoạch'!$A$6:$A$305,0),"")</f>
      </c>
      <c r="P622" s="234">
        <f>IF($O622="","",INDEX('Kế hoạch'!$I$6:$I$305,$O622))</f>
      </c>
      <c r="Q622" s="225">
        <f>IF($O622="","",INDEX('Kế hoạch'!$AJ$6:$AJ$305,$O622))</f>
      </c>
      <c r="R622" s="225">
        <f>IF($O622="","",INDEX('Kế hoạch'!$AK$6:$AK$305,$O622))</f>
      </c>
    </row>
    <row r="623">
      <c r="A623" s="223">
        <f>IF($C623="","",COUNTIF($C$6:$C623,"?*"))</f>
      </c>
      <c r="B623" s="217"/>
      <c r="C623" s="216"/>
      <c r="D623" s="240"/>
      <c r="E623" s="218"/>
      <c r="F623" s="218"/>
      <c r="G623" s="218"/>
      <c r="H623" s="219"/>
      <c r="I623" s="223">
        <f>IF($C623="","",IF(ISNUMBER(MATCH($C623,'Phản ánh'!$A$6:$A$505,0)),"Phản ánh",IF(ISNUMBER(MATCH($C623,'Kế hoạch'!$A$6:$A$305,0)),"Công việc","Mã chưa có")))</f>
      </c>
      <c r="J623" s="221">
        <f>IF($I623="Phản ánh",INDEX('Phản ánh'!$C$6:$C$505,MATCH($C623,'Phản ánh'!$A$6:$A$505,0)),IF($I623="Công việc",INDEX('Kế hoạch'!$C$6:$C$305,$O623),""))</f>
      </c>
      <c r="K623" s="221">
        <f>IF($I623="Phản ánh",INDEX('Phản ánh'!$K$6:$K$505,MATCH($C623,'Phản ánh'!$A$6:$A$505,0))&amp;"",IF($I623="Công việc",INDEX('Kế hoạch'!$N$6:$N$305,$O623)&amp;"",""))</f>
      </c>
      <c r="L623" s="220">
        <f>IF(OR($C623="",N($B623)=0),"",IF(AND($I623="Phản ánh",$E623="Đã xử lý"),INDEX('Phản ánh'!$U$6:$U$505,MATCH($C623,'Phản ánh'!$A$6:$A$505,0)),IF(AND($I623="Công việc",OR($E623="Hoàn thành",$E623="Hoàn thành kỳ")),IF(INDEX('Kế hoạch'!$B$6:$B$305,$O623)="Đột xuất",INDEX('Kế hoạch'!$AY$6:$AY$305,$O623),IF(N($P623)=0,"",IF(INT($B623)&lt;$P623,$P623,IF($Q623&gt;0,$P623+ROUND((INT($B623)-$P623)/$Q623,0)*$Q623,IF($R623&gt;0,EDATE($P623,ROUND((DATEDIF($P623,INT($B623),"m")+(INT($B623)-EDATE($P623,DATEDIF($P623,INT($B623),"m")))/(EDATE($P623,DATEDIF($P623,INT($B623),"m")+1)-EDATE($P623,DATEDIF($P623,INT($B623),"m"))))/$R623,0)*$R623),$P623))))),"")))</f>
      </c>
      <c r="M623" s="223">
        <f>IF(OR($C623="",N($L623)=0,N($B623)=0),"",IF(IF(MOD($L623,1)=0,INT($B623),$B623)&lt;=$L623,"Đúng hạn","Trễ hạn"))</f>
      </c>
      <c r="N623" s="225">
        <f>IF($C623="","",ROW())</f>
      </c>
      <c r="O623" s="225">
        <f>IF($I623="Công việc",MATCH($C623,'Kế hoạch'!$A$6:$A$305,0),"")</f>
      </c>
      <c r="P623" s="234">
        <f>IF($O623="","",INDEX('Kế hoạch'!$I$6:$I$305,$O623))</f>
      </c>
      <c r="Q623" s="225">
        <f>IF($O623="","",INDEX('Kế hoạch'!$AJ$6:$AJ$305,$O623))</f>
      </c>
      <c r="R623" s="225">
        <f>IF($O623="","",INDEX('Kế hoạch'!$AK$6:$AK$305,$O623))</f>
      </c>
    </row>
    <row r="624">
      <c r="A624" s="223">
        <f>IF($C624="","",COUNTIF($C$6:$C624,"?*"))</f>
      </c>
      <c r="B624" s="217"/>
      <c r="C624" s="216"/>
      <c r="D624" s="240"/>
      <c r="E624" s="218"/>
      <c r="F624" s="218"/>
      <c r="G624" s="218"/>
      <c r="H624" s="219"/>
      <c r="I624" s="223">
        <f>IF($C624="","",IF(ISNUMBER(MATCH($C624,'Phản ánh'!$A$6:$A$505,0)),"Phản ánh",IF(ISNUMBER(MATCH($C624,'Kế hoạch'!$A$6:$A$305,0)),"Công việc","Mã chưa có")))</f>
      </c>
      <c r="J624" s="221">
        <f>IF($I624="Phản ánh",INDEX('Phản ánh'!$C$6:$C$505,MATCH($C624,'Phản ánh'!$A$6:$A$505,0)),IF($I624="Công việc",INDEX('Kế hoạch'!$C$6:$C$305,$O624),""))</f>
      </c>
      <c r="K624" s="221">
        <f>IF($I624="Phản ánh",INDEX('Phản ánh'!$K$6:$K$505,MATCH($C624,'Phản ánh'!$A$6:$A$505,0))&amp;"",IF($I624="Công việc",INDEX('Kế hoạch'!$N$6:$N$305,$O624)&amp;"",""))</f>
      </c>
      <c r="L624" s="220">
        <f>IF(OR($C624="",N($B624)=0),"",IF(AND($I624="Phản ánh",$E624="Đã xử lý"),INDEX('Phản ánh'!$U$6:$U$505,MATCH($C624,'Phản ánh'!$A$6:$A$505,0)),IF(AND($I624="Công việc",OR($E624="Hoàn thành",$E624="Hoàn thành kỳ")),IF(INDEX('Kế hoạch'!$B$6:$B$305,$O624)="Đột xuất",INDEX('Kế hoạch'!$AY$6:$AY$305,$O624),IF(N($P624)=0,"",IF(INT($B624)&lt;$P624,$P624,IF($Q624&gt;0,$P624+ROUND((INT($B624)-$P624)/$Q624,0)*$Q624,IF($R624&gt;0,EDATE($P624,ROUND((DATEDIF($P624,INT($B624),"m")+(INT($B624)-EDATE($P624,DATEDIF($P624,INT($B624),"m")))/(EDATE($P624,DATEDIF($P624,INT($B624),"m")+1)-EDATE($P624,DATEDIF($P624,INT($B624),"m"))))/$R624,0)*$R624),$P624))))),"")))</f>
      </c>
      <c r="M624" s="223">
        <f>IF(OR($C624="",N($L624)=0,N($B624)=0),"",IF(IF(MOD($L624,1)=0,INT($B624),$B624)&lt;=$L624,"Đúng hạn","Trễ hạn"))</f>
      </c>
      <c r="N624" s="225">
        <f>IF($C624="","",ROW())</f>
      </c>
      <c r="O624" s="225">
        <f>IF($I624="Công việc",MATCH($C624,'Kế hoạch'!$A$6:$A$305,0),"")</f>
      </c>
      <c r="P624" s="234">
        <f>IF($O624="","",INDEX('Kế hoạch'!$I$6:$I$305,$O624))</f>
      </c>
      <c r="Q624" s="225">
        <f>IF($O624="","",INDEX('Kế hoạch'!$AJ$6:$AJ$305,$O624))</f>
      </c>
      <c r="R624" s="225">
        <f>IF($O624="","",INDEX('Kế hoạch'!$AK$6:$AK$305,$O624))</f>
      </c>
    </row>
    <row r="625">
      <c r="A625" s="223">
        <f>IF($C625="","",COUNTIF($C$6:$C625,"?*"))</f>
      </c>
      <c r="B625" s="217"/>
      <c r="C625" s="216"/>
      <c r="D625" s="240"/>
      <c r="E625" s="218"/>
      <c r="F625" s="218"/>
      <c r="G625" s="218"/>
      <c r="H625" s="219"/>
      <c r="I625" s="223">
        <f>IF($C625="","",IF(ISNUMBER(MATCH($C625,'Phản ánh'!$A$6:$A$505,0)),"Phản ánh",IF(ISNUMBER(MATCH($C625,'Kế hoạch'!$A$6:$A$305,0)),"Công việc","Mã chưa có")))</f>
      </c>
      <c r="J625" s="221">
        <f>IF($I625="Phản ánh",INDEX('Phản ánh'!$C$6:$C$505,MATCH($C625,'Phản ánh'!$A$6:$A$505,0)),IF($I625="Công việc",INDEX('Kế hoạch'!$C$6:$C$305,$O625),""))</f>
      </c>
      <c r="K625" s="221">
        <f>IF($I625="Phản ánh",INDEX('Phản ánh'!$K$6:$K$505,MATCH($C625,'Phản ánh'!$A$6:$A$505,0))&amp;"",IF($I625="Công việc",INDEX('Kế hoạch'!$N$6:$N$305,$O625)&amp;"",""))</f>
      </c>
      <c r="L625" s="220">
        <f>IF(OR($C625="",N($B625)=0),"",IF(AND($I625="Phản ánh",$E625="Đã xử lý"),INDEX('Phản ánh'!$U$6:$U$505,MATCH($C625,'Phản ánh'!$A$6:$A$505,0)),IF(AND($I625="Công việc",OR($E625="Hoàn thành",$E625="Hoàn thành kỳ")),IF(INDEX('Kế hoạch'!$B$6:$B$305,$O625)="Đột xuất",INDEX('Kế hoạch'!$AY$6:$AY$305,$O625),IF(N($P625)=0,"",IF(INT($B625)&lt;$P625,$P625,IF($Q625&gt;0,$P625+ROUND((INT($B625)-$P625)/$Q625,0)*$Q625,IF($R625&gt;0,EDATE($P625,ROUND((DATEDIF($P625,INT($B625),"m")+(INT($B625)-EDATE($P625,DATEDIF($P625,INT($B625),"m")))/(EDATE($P625,DATEDIF($P625,INT($B625),"m")+1)-EDATE($P625,DATEDIF($P625,INT($B625),"m"))))/$R625,0)*$R625),$P625))))),"")))</f>
      </c>
      <c r="M625" s="223">
        <f>IF(OR($C625="",N($L625)=0,N($B625)=0),"",IF(IF(MOD($L625,1)=0,INT($B625),$B625)&lt;=$L625,"Đúng hạn","Trễ hạn"))</f>
      </c>
      <c r="N625" s="225">
        <f>IF($C625="","",ROW())</f>
      </c>
      <c r="O625" s="225">
        <f>IF($I625="Công việc",MATCH($C625,'Kế hoạch'!$A$6:$A$305,0),"")</f>
      </c>
      <c r="P625" s="234">
        <f>IF($O625="","",INDEX('Kế hoạch'!$I$6:$I$305,$O625))</f>
      </c>
      <c r="Q625" s="225">
        <f>IF($O625="","",INDEX('Kế hoạch'!$AJ$6:$AJ$305,$O625))</f>
      </c>
      <c r="R625" s="225">
        <f>IF($O625="","",INDEX('Kế hoạch'!$AK$6:$AK$305,$O625))</f>
      </c>
    </row>
    <row r="626">
      <c r="A626" s="223">
        <f>IF($C626="","",COUNTIF($C$6:$C626,"?*"))</f>
      </c>
      <c r="B626" s="217"/>
      <c r="C626" s="216"/>
      <c r="D626" s="240"/>
      <c r="E626" s="218"/>
      <c r="F626" s="218"/>
      <c r="G626" s="218"/>
      <c r="H626" s="219"/>
      <c r="I626" s="223">
        <f>IF($C626="","",IF(ISNUMBER(MATCH($C626,'Phản ánh'!$A$6:$A$505,0)),"Phản ánh",IF(ISNUMBER(MATCH($C626,'Kế hoạch'!$A$6:$A$305,0)),"Công việc","Mã chưa có")))</f>
      </c>
      <c r="J626" s="221">
        <f>IF($I626="Phản ánh",INDEX('Phản ánh'!$C$6:$C$505,MATCH($C626,'Phản ánh'!$A$6:$A$505,0)),IF($I626="Công việc",INDEX('Kế hoạch'!$C$6:$C$305,$O626),""))</f>
      </c>
      <c r="K626" s="221">
        <f>IF($I626="Phản ánh",INDEX('Phản ánh'!$K$6:$K$505,MATCH($C626,'Phản ánh'!$A$6:$A$505,0))&amp;"",IF($I626="Công việc",INDEX('Kế hoạch'!$N$6:$N$305,$O626)&amp;"",""))</f>
      </c>
      <c r="L626" s="220">
        <f>IF(OR($C626="",N($B626)=0),"",IF(AND($I626="Phản ánh",$E626="Đã xử lý"),INDEX('Phản ánh'!$U$6:$U$505,MATCH($C626,'Phản ánh'!$A$6:$A$505,0)),IF(AND($I626="Công việc",OR($E626="Hoàn thành",$E626="Hoàn thành kỳ")),IF(INDEX('Kế hoạch'!$B$6:$B$305,$O626)="Đột xuất",INDEX('Kế hoạch'!$AY$6:$AY$305,$O626),IF(N($P626)=0,"",IF(INT($B626)&lt;$P626,$P626,IF($Q626&gt;0,$P626+ROUND((INT($B626)-$P626)/$Q626,0)*$Q626,IF($R626&gt;0,EDATE($P626,ROUND((DATEDIF($P626,INT($B626),"m")+(INT($B626)-EDATE($P626,DATEDIF($P626,INT($B626),"m")))/(EDATE($P626,DATEDIF($P626,INT($B626),"m")+1)-EDATE($P626,DATEDIF($P626,INT($B626),"m"))))/$R626,0)*$R626),$P626))))),"")))</f>
      </c>
      <c r="M626" s="223">
        <f>IF(OR($C626="",N($L626)=0,N($B626)=0),"",IF(IF(MOD($L626,1)=0,INT($B626),$B626)&lt;=$L626,"Đúng hạn","Trễ hạn"))</f>
      </c>
      <c r="N626" s="225">
        <f>IF($C626="","",ROW())</f>
      </c>
      <c r="O626" s="225">
        <f>IF($I626="Công việc",MATCH($C626,'Kế hoạch'!$A$6:$A$305,0),"")</f>
      </c>
      <c r="P626" s="234">
        <f>IF($O626="","",INDEX('Kế hoạch'!$I$6:$I$305,$O626))</f>
      </c>
      <c r="Q626" s="225">
        <f>IF($O626="","",INDEX('Kế hoạch'!$AJ$6:$AJ$305,$O626))</f>
      </c>
      <c r="R626" s="225">
        <f>IF($O626="","",INDEX('Kế hoạch'!$AK$6:$AK$305,$O626))</f>
      </c>
    </row>
    <row r="627">
      <c r="A627" s="223">
        <f>IF($C627="","",COUNTIF($C$6:$C627,"?*"))</f>
      </c>
      <c r="B627" s="217"/>
      <c r="C627" s="216"/>
      <c r="D627" s="240"/>
      <c r="E627" s="218"/>
      <c r="F627" s="218"/>
      <c r="G627" s="218"/>
      <c r="H627" s="219"/>
      <c r="I627" s="223">
        <f>IF($C627="","",IF(ISNUMBER(MATCH($C627,'Phản ánh'!$A$6:$A$505,0)),"Phản ánh",IF(ISNUMBER(MATCH($C627,'Kế hoạch'!$A$6:$A$305,0)),"Công việc","Mã chưa có")))</f>
      </c>
      <c r="J627" s="221">
        <f>IF($I627="Phản ánh",INDEX('Phản ánh'!$C$6:$C$505,MATCH($C627,'Phản ánh'!$A$6:$A$505,0)),IF($I627="Công việc",INDEX('Kế hoạch'!$C$6:$C$305,$O627),""))</f>
      </c>
      <c r="K627" s="221">
        <f>IF($I627="Phản ánh",INDEX('Phản ánh'!$K$6:$K$505,MATCH($C627,'Phản ánh'!$A$6:$A$505,0))&amp;"",IF($I627="Công việc",INDEX('Kế hoạch'!$N$6:$N$305,$O627)&amp;"",""))</f>
      </c>
      <c r="L627" s="220">
        <f>IF(OR($C627="",N($B627)=0),"",IF(AND($I627="Phản ánh",$E627="Đã xử lý"),INDEX('Phản ánh'!$U$6:$U$505,MATCH($C627,'Phản ánh'!$A$6:$A$505,0)),IF(AND($I627="Công việc",OR($E627="Hoàn thành",$E627="Hoàn thành kỳ")),IF(INDEX('Kế hoạch'!$B$6:$B$305,$O627)="Đột xuất",INDEX('Kế hoạch'!$AY$6:$AY$305,$O627),IF(N($P627)=0,"",IF(INT($B627)&lt;$P627,$P627,IF($Q627&gt;0,$P627+ROUND((INT($B627)-$P627)/$Q627,0)*$Q627,IF($R627&gt;0,EDATE($P627,ROUND((DATEDIF($P627,INT($B627),"m")+(INT($B627)-EDATE($P627,DATEDIF($P627,INT($B627),"m")))/(EDATE($P627,DATEDIF($P627,INT($B627),"m")+1)-EDATE($P627,DATEDIF($P627,INT($B627),"m"))))/$R627,0)*$R627),$P627))))),"")))</f>
      </c>
      <c r="M627" s="223">
        <f>IF(OR($C627="",N($L627)=0,N($B627)=0),"",IF(IF(MOD($L627,1)=0,INT($B627),$B627)&lt;=$L627,"Đúng hạn","Trễ hạn"))</f>
      </c>
      <c r="N627" s="225">
        <f>IF($C627="","",ROW())</f>
      </c>
      <c r="O627" s="225">
        <f>IF($I627="Công việc",MATCH($C627,'Kế hoạch'!$A$6:$A$305,0),"")</f>
      </c>
      <c r="P627" s="234">
        <f>IF($O627="","",INDEX('Kế hoạch'!$I$6:$I$305,$O627))</f>
      </c>
      <c r="Q627" s="225">
        <f>IF($O627="","",INDEX('Kế hoạch'!$AJ$6:$AJ$305,$O627))</f>
      </c>
      <c r="R627" s="225">
        <f>IF($O627="","",INDEX('Kế hoạch'!$AK$6:$AK$305,$O627))</f>
      </c>
    </row>
    <row r="628">
      <c r="A628" s="223">
        <f>IF($C628="","",COUNTIF($C$6:$C628,"?*"))</f>
      </c>
      <c r="B628" s="217"/>
      <c r="C628" s="216"/>
      <c r="D628" s="240"/>
      <c r="E628" s="218"/>
      <c r="F628" s="218"/>
      <c r="G628" s="218"/>
      <c r="H628" s="219"/>
      <c r="I628" s="223">
        <f>IF($C628="","",IF(ISNUMBER(MATCH($C628,'Phản ánh'!$A$6:$A$505,0)),"Phản ánh",IF(ISNUMBER(MATCH($C628,'Kế hoạch'!$A$6:$A$305,0)),"Công việc","Mã chưa có")))</f>
      </c>
      <c r="J628" s="221">
        <f>IF($I628="Phản ánh",INDEX('Phản ánh'!$C$6:$C$505,MATCH($C628,'Phản ánh'!$A$6:$A$505,0)),IF($I628="Công việc",INDEX('Kế hoạch'!$C$6:$C$305,$O628),""))</f>
      </c>
      <c r="K628" s="221">
        <f>IF($I628="Phản ánh",INDEX('Phản ánh'!$K$6:$K$505,MATCH($C628,'Phản ánh'!$A$6:$A$505,0))&amp;"",IF($I628="Công việc",INDEX('Kế hoạch'!$N$6:$N$305,$O628)&amp;"",""))</f>
      </c>
      <c r="L628" s="220">
        <f>IF(OR($C628="",N($B628)=0),"",IF(AND($I628="Phản ánh",$E628="Đã xử lý"),INDEX('Phản ánh'!$U$6:$U$505,MATCH($C628,'Phản ánh'!$A$6:$A$505,0)),IF(AND($I628="Công việc",OR($E628="Hoàn thành",$E628="Hoàn thành kỳ")),IF(INDEX('Kế hoạch'!$B$6:$B$305,$O628)="Đột xuất",INDEX('Kế hoạch'!$AY$6:$AY$305,$O628),IF(N($P628)=0,"",IF(INT($B628)&lt;$P628,$P628,IF($Q628&gt;0,$P628+ROUND((INT($B628)-$P628)/$Q628,0)*$Q628,IF($R628&gt;0,EDATE($P628,ROUND((DATEDIF($P628,INT($B628),"m")+(INT($B628)-EDATE($P628,DATEDIF($P628,INT($B628),"m")))/(EDATE($P628,DATEDIF($P628,INT($B628),"m")+1)-EDATE($P628,DATEDIF($P628,INT($B628),"m"))))/$R628,0)*$R628),$P628))))),"")))</f>
      </c>
      <c r="M628" s="223">
        <f>IF(OR($C628="",N($L628)=0,N($B628)=0),"",IF(IF(MOD($L628,1)=0,INT($B628),$B628)&lt;=$L628,"Đúng hạn","Trễ hạn"))</f>
      </c>
      <c r="N628" s="225">
        <f>IF($C628="","",ROW())</f>
      </c>
      <c r="O628" s="225">
        <f>IF($I628="Công việc",MATCH($C628,'Kế hoạch'!$A$6:$A$305,0),"")</f>
      </c>
      <c r="P628" s="234">
        <f>IF($O628="","",INDEX('Kế hoạch'!$I$6:$I$305,$O628))</f>
      </c>
      <c r="Q628" s="225">
        <f>IF($O628="","",INDEX('Kế hoạch'!$AJ$6:$AJ$305,$O628))</f>
      </c>
      <c r="R628" s="225">
        <f>IF($O628="","",INDEX('Kế hoạch'!$AK$6:$AK$305,$O628))</f>
      </c>
    </row>
    <row r="629">
      <c r="A629" s="223">
        <f>IF($C629="","",COUNTIF($C$6:$C629,"?*"))</f>
      </c>
      <c r="B629" s="217"/>
      <c r="C629" s="216"/>
      <c r="D629" s="240"/>
      <c r="E629" s="218"/>
      <c r="F629" s="218"/>
      <c r="G629" s="218"/>
      <c r="H629" s="219"/>
      <c r="I629" s="223">
        <f>IF($C629="","",IF(ISNUMBER(MATCH($C629,'Phản ánh'!$A$6:$A$505,0)),"Phản ánh",IF(ISNUMBER(MATCH($C629,'Kế hoạch'!$A$6:$A$305,0)),"Công việc","Mã chưa có")))</f>
      </c>
      <c r="J629" s="221">
        <f>IF($I629="Phản ánh",INDEX('Phản ánh'!$C$6:$C$505,MATCH($C629,'Phản ánh'!$A$6:$A$505,0)),IF($I629="Công việc",INDEX('Kế hoạch'!$C$6:$C$305,$O629),""))</f>
      </c>
      <c r="K629" s="221">
        <f>IF($I629="Phản ánh",INDEX('Phản ánh'!$K$6:$K$505,MATCH($C629,'Phản ánh'!$A$6:$A$505,0))&amp;"",IF($I629="Công việc",INDEX('Kế hoạch'!$N$6:$N$305,$O629)&amp;"",""))</f>
      </c>
      <c r="L629" s="220">
        <f>IF(OR($C629="",N($B629)=0),"",IF(AND($I629="Phản ánh",$E629="Đã xử lý"),INDEX('Phản ánh'!$U$6:$U$505,MATCH($C629,'Phản ánh'!$A$6:$A$505,0)),IF(AND($I629="Công việc",OR($E629="Hoàn thành",$E629="Hoàn thành kỳ")),IF(INDEX('Kế hoạch'!$B$6:$B$305,$O629)="Đột xuất",INDEX('Kế hoạch'!$AY$6:$AY$305,$O629),IF(N($P629)=0,"",IF(INT($B629)&lt;$P629,$P629,IF($Q629&gt;0,$P629+ROUND((INT($B629)-$P629)/$Q629,0)*$Q629,IF($R629&gt;0,EDATE($P629,ROUND((DATEDIF($P629,INT($B629),"m")+(INT($B629)-EDATE($P629,DATEDIF($P629,INT($B629),"m")))/(EDATE($P629,DATEDIF($P629,INT($B629),"m")+1)-EDATE($P629,DATEDIF($P629,INT($B629),"m"))))/$R629,0)*$R629),$P629))))),"")))</f>
      </c>
      <c r="M629" s="223">
        <f>IF(OR($C629="",N($L629)=0,N($B629)=0),"",IF(IF(MOD($L629,1)=0,INT($B629),$B629)&lt;=$L629,"Đúng hạn","Trễ hạn"))</f>
      </c>
      <c r="N629" s="225">
        <f>IF($C629="","",ROW())</f>
      </c>
      <c r="O629" s="225">
        <f>IF($I629="Công việc",MATCH($C629,'Kế hoạch'!$A$6:$A$305,0),"")</f>
      </c>
      <c r="P629" s="234">
        <f>IF($O629="","",INDEX('Kế hoạch'!$I$6:$I$305,$O629))</f>
      </c>
      <c r="Q629" s="225">
        <f>IF($O629="","",INDEX('Kế hoạch'!$AJ$6:$AJ$305,$O629))</f>
      </c>
      <c r="R629" s="225">
        <f>IF($O629="","",INDEX('Kế hoạch'!$AK$6:$AK$305,$O629))</f>
      </c>
    </row>
    <row r="630">
      <c r="A630" s="223">
        <f>IF($C630="","",COUNTIF($C$6:$C630,"?*"))</f>
      </c>
      <c r="B630" s="217"/>
      <c r="C630" s="216"/>
      <c r="D630" s="240"/>
      <c r="E630" s="218"/>
      <c r="F630" s="218"/>
      <c r="G630" s="218"/>
      <c r="H630" s="219"/>
      <c r="I630" s="223">
        <f>IF($C630="","",IF(ISNUMBER(MATCH($C630,'Phản ánh'!$A$6:$A$505,0)),"Phản ánh",IF(ISNUMBER(MATCH($C630,'Kế hoạch'!$A$6:$A$305,0)),"Công việc","Mã chưa có")))</f>
      </c>
      <c r="J630" s="221">
        <f>IF($I630="Phản ánh",INDEX('Phản ánh'!$C$6:$C$505,MATCH($C630,'Phản ánh'!$A$6:$A$505,0)),IF($I630="Công việc",INDEX('Kế hoạch'!$C$6:$C$305,$O630),""))</f>
      </c>
      <c r="K630" s="221">
        <f>IF($I630="Phản ánh",INDEX('Phản ánh'!$K$6:$K$505,MATCH($C630,'Phản ánh'!$A$6:$A$505,0))&amp;"",IF($I630="Công việc",INDEX('Kế hoạch'!$N$6:$N$305,$O630)&amp;"",""))</f>
      </c>
      <c r="L630" s="220">
        <f>IF(OR($C630="",N($B630)=0),"",IF(AND($I630="Phản ánh",$E630="Đã xử lý"),INDEX('Phản ánh'!$U$6:$U$505,MATCH($C630,'Phản ánh'!$A$6:$A$505,0)),IF(AND($I630="Công việc",OR($E630="Hoàn thành",$E630="Hoàn thành kỳ")),IF(INDEX('Kế hoạch'!$B$6:$B$305,$O630)="Đột xuất",INDEX('Kế hoạch'!$AY$6:$AY$305,$O630),IF(N($P630)=0,"",IF(INT($B630)&lt;$P630,$P630,IF($Q630&gt;0,$P630+ROUND((INT($B630)-$P630)/$Q630,0)*$Q630,IF($R630&gt;0,EDATE($P630,ROUND((DATEDIF($P630,INT($B630),"m")+(INT($B630)-EDATE($P630,DATEDIF($P630,INT($B630),"m")))/(EDATE($P630,DATEDIF($P630,INT($B630),"m")+1)-EDATE($P630,DATEDIF($P630,INT($B630),"m"))))/$R630,0)*$R630),$P630))))),"")))</f>
      </c>
      <c r="M630" s="223">
        <f>IF(OR($C630="",N($L630)=0,N($B630)=0),"",IF(IF(MOD($L630,1)=0,INT($B630),$B630)&lt;=$L630,"Đúng hạn","Trễ hạn"))</f>
      </c>
      <c r="N630" s="225">
        <f>IF($C630="","",ROW())</f>
      </c>
      <c r="O630" s="225">
        <f>IF($I630="Công việc",MATCH($C630,'Kế hoạch'!$A$6:$A$305,0),"")</f>
      </c>
      <c r="P630" s="234">
        <f>IF($O630="","",INDEX('Kế hoạch'!$I$6:$I$305,$O630))</f>
      </c>
      <c r="Q630" s="225">
        <f>IF($O630="","",INDEX('Kế hoạch'!$AJ$6:$AJ$305,$O630))</f>
      </c>
      <c r="R630" s="225">
        <f>IF($O630="","",INDEX('Kế hoạch'!$AK$6:$AK$305,$O630))</f>
      </c>
    </row>
    <row r="631">
      <c r="A631" s="223">
        <f>IF($C631="","",COUNTIF($C$6:$C631,"?*"))</f>
      </c>
      <c r="B631" s="217"/>
      <c r="C631" s="216"/>
      <c r="D631" s="240"/>
      <c r="E631" s="218"/>
      <c r="F631" s="218"/>
      <c r="G631" s="218"/>
      <c r="H631" s="219"/>
      <c r="I631" s="223">
        <f>IF($C631="","",IF(ISNUMBER(MATCH($C631,'Phản ánh'!$A$6:$A$505,0)),"Phản ánh",IF(ISNUMBER(MATCH($C631,'Kế hoạch'!$A$6:$A$305,0)),"Công việc","Mã chưa có")))</f>
      </c>
      <c r="J631" s="221">
        <f>IF($I631="Phản ánh",INDEX('Phản ánh'!$C$6:$C$505,MATCH($C631,'Phản ánh'!$A$6:$A$505,0)),IF($I631="Công việc",INDEX('Kế hoạch'!$C$6:$C$305,$O631),""))</f>
      </c>
      <c r="K631" s="221">
        <f>IF($I631="Phản ánh",INDEX('Phản ánh'!$K$6:$K$505,MATCH($C631,'Phản ánh'!$A$6:$A$505,0))&amp;"",IF($I631="Công việc",INDEX('Kế hoạch'!$N$6:$N$305,$O631)&amp;"",""))</f>
      </c>
      <c r="L631" s="220">
        <f>IF(OR($C631="",N($B631)=0),"",IF(AND($I631="Phản ánh",$E631="Đã xử lý"),INDEX('Phản ánh'!$U$6:$U$505,MATCH($C631,'Phản ánh'!$A$6:$A$505,0)),IF(AND($I631="Công việc",OR($E631="Hoàn thành",$E631="Hoàn thành kỳ")),IF(INDEX('Kế hoạch'!$B$6:$B$305,$O631)="Đột xuất",INDEX('Kế hoạch'!$AY$6:$AY$305,$O631),IF(N($P631)=0,"",IF(INT($B631)&lt;$P631,$P631,IF($Q631&gt;0,$P631+ROUND((INT($B631)-$P631)/$Q631,0)*$Q631,IF($R631&gt;0,EDATE($P631,ROUND((DATEDIF($P631,INT($B631),"m")+(INT($B631)-EDATE($P631,DATEDIF($P631,INT($B631),"m")))/(EDATE($P631,DATEDIF($P631,INT($B631),"m")+1)-EDATE($P631,DATEDIF($P631,INT($B631),"m"))))/$R631,0)*$R631),$P631))))),"")))</f>
      </c>
      <c r="M631" s="223">
        <f>IF(OR($C631="",N($L631)=0,N($B631)=0),"",IF(IF(MOD($L631,1)=0,INT($B631),$B631)&lt;=$L631,"Đúng hạn","Trễ hạn"))</f>
      </c>
      <c r="N631" s="225">
        <f>IF($C631="","",ROW())</f>
      </c>
      <c r="O631" s="225">
        <f>IF($I631="Công việc",MATCH($C631,'Kế hoạch'!$A$6:$A$305,0),"")</f>
      </c>
      <c r="P631" s="234">
        <f>IF($O631="","",INDEX('Kế hoạch'!$I$6:$I$305,$O631))</f>
      </c>
      <c r="Q631" s="225">
        <f>IF($O631="","",INDEX('Kế hoạch'!$AJ$6:$AJ$305,$O631))</f>
      </c>
      <c r="R631" s="225">
        <f>IF($O631="","",INDEX('Kế hoạch'!$AK$6:$AK$305,$O631))</f>
      </c>
    </row>
    <row r="632">
      <c r="A632" s="223">
        <f>IF($C632="","",COUNTIF($C$6:$C632,"?*"))</f>
      </c>
      <c r="B632" s="217"/>
      <c r="C632" s="216"/>
      <c r="D632" s="240"/>
      <c r="E632" s="218"/>
      <c r="F632" s="218"/>
      <c r="G632" s="218"/>
      <c r="H632" s="219"/>
      <c r="I632" s="223">
        <f>IF($C632="","",IF(ISNUMBER(MATCH($C632,'Phản ánh'!$A$6:$A$505,0)),"Phản ánh",IF(ISNUMBER(MATCH($C632,'Kế hoạch'!$A$6:$A$305,0)),"Công việc","Mã chưa có")))</f>
      </c>
      <c r="J632" s="221">
        <f>IF($I632="Phản ánh",INDEX('Phản ánh'!$C$6:$C$505,MATCH($C632,'Phản ánh'!$A$6:$A$505,0)),IF($I632="Công việc",INDEX('Kế hoạch'!$C$6:$C$305,$O632),""))</f>
      </c>
      <c r="K632" s="221">
        <f>IF($I632="Phản ánh",INDEX('Phản ánh'!$K$6:$K$505,MATCH($C632,'Phản ánh'!$A$6:$A$505,0))&amp;"",IF($I632="Công việc",INDEX('Kế hoạch'!$N$6:$N$305,$O632)&amp;"",""))</f>
      </c>
      <c r="L632" s="220">
        <f>IF(OR($C632="",N($B632)=0),"",IF(AND($I632="Phản ánh",$E632="Đã xử lý"),INDEX('Phản ánh'!$U$6:$U$505,MATCH($C632,'Phản ánh'!$A$6:$A$505,0)),IF(AND($I632="Công việc",OR($E632="Hoàn thành",$E632="Hoàn thành kỳ")),IF(INDEX('Kế hoạch'!$B$6:$B$305,$O632)="Đột xuất",INDEX('Kế hoạch'!$AY$6:$AY$305,$O632),IF(N($P632)=0,"",IF(INT($B632)&lt;$P632,$P632,IF($Q632&gt;0,$P632+ROUND((INT($B632)-$P632)/$Q632,0)*$Q632,IF($R632&gt;0,EDATE($P632,ROUND((DATEDIF($P632,INT($B632),"m")+(INT($B632)-EDATE($P632,DATEDIF($P632,INT($B632),"m")))/(EDATE($P632,DATEDIF($P632,INT($B632),"m")+1)-EDATE($P632,DATEDIF($P632,INT($B632),"m"))))/$R632,0)*$R632),$P632))))),"")))</f>
      </c>
      <c r="M632" s="223">
        <f>IF(OR($C632="",N($L632)=0,N($B632)=0),"",IF(IF(MOD($L632,1)=0,INT($B632),$B632)&lt;=$L632,"Đúng hạn","Trễ hạn"))</f>
      </c>
      <c r="N632" s="225">
        <f>IF($C632="","",ROW())</f>
      </c>
      <c r="O632" s="225">
        <f>IF($I632="Công việc",MATCH($C632,'Kế hoạch'!$A$6:$A$305,0),"")</f>
      </c>
      <c r="P632" s="234">
        <f>IF($O632="","",INDEX('Kế hoạch'!$I$6:$I$305,$O632))</f>
      </c>
      <c r="Q632" s="225">
        <f>IF($O632="","",INDEX('Kế hoạch'!$AJ$6:$AJ$305,$O632))</f>
      </c>
      <c r="R632" s="225">
        <f>IF($O632="","",INDEX('Kế hoạch'!$AK$6:$AK$305,$O632))</f>
      </c>
    </row>
    <row r="633">
      <c r="A633" s="223">
        <f>IF($C633="","",COUNTIF($C$6:$C633,"?*"))</f>
      </c>
      <c r="B633" s="217"/>
      <c r="C633" s="216"/>
      <c r="D633" s="240"/>
      <c r="E633" s="218"/>
      <c r="F633" s="218"/>
      <c r="G633" s="218"/>
      <c r="H633" s="219"/>
      <c r="I633" s="223">
        <f>IF($C633="","",IF(ISNUMBER(MATCH($C633,'Phản ánh'!$A$6:$A$505,0)),"Phản ánh",IF(ISNUMBER(MATCH($C633,'Kế hoạch'!$A$6:$A$305,0)),"Công việc","Mã chưa có")))</f>
      </c>
      <c r="J633" s="221">
        <f>IF($I633="Phản ánh",INDEX('Phản ánh'!$C$6:$C$505,MATCH($C633,'Phản ánh'!$A$6:$A$505,0)),IF($I633="Công việc",INDEX('Kế hoạch'!$C$6:$C$305,$O633),""))</f>
      </c>
      <c r="K633" s="221">
        <f>IF($I633="Phản ánh",INDEX('Phản ánh'!$K$6:$K$505,MATCH($C633,'Phản ánh'!$A$6:$A$505,0))&amp;"",IF($I633="Công việc",INDEX('Kế hoạch'!$N$6:$N$305,$O633)&amp;"",""))</f>
      </c>
      <c r="L633" s="220">
        <f>IF(OR($C633="",N($B633)=0),"",IF(AND($I633="Phản ánh",$E633="Đã xử lý"),INDEX('Phản ánh'!$U$6:$U$505,MATCH($C633,'Phản ánh'!$A$6:$A$505,0)),IF(AND($I633="Công việc",OR($E633="Hoàn thành",$E633="Hoàn thành kỳ")),IF(INDEX('Kế hoạch'!$B$6:$B$305,$O633)="Đột xuất",INDEX('Kế hoạch'!$AY$6:$AY$305,$O633),IF(N($P633)=0,"",IF(INT($B633)&lt;$P633,$P633,IF($Q633&gt;0,$P633+ROUND((INT($B633)-$P633)/$Q633,0)*$Q633,IF($R633&gt;0,EDATE($P633,ROUND((DATEDIF($P633,INT($B633),"m")+(INT($B633)-EDATE($P633,DATEDIF($P633,INT($B633),"m")))/(EDATE($P633,DATEDIF($P633,INT($B633),"m")+1)-EDATE($P633,DATEDIF($P633,INT($B633),"m"))))/$R633,0)*$R633),$P633))))),"")))</f>
      </c>
      <c r="M633" s="223">
        <f>IF(OR($C633="",N($L633)=0,N($B633)=0),"",IF(IF(MOD($L633,1)=0,INT($B633),$B633)&lt;=$L633,"Đúng hạn","Trễ hạn"))</f>
      </c>
      <c r="N633" s="225">
        <f>IF($C633="","",ROW())</f>
      </c>
      <c r="O633" s="225">
        <f>IF($I633="Công việc",MATCH($C633,'Kế hoạch'!$A$6:$A$305,0),"")</f>
      </c>
      <c r="P633" s="234">
        <f>IF($O633="","",INDEX('Kế hoạch'!$I$6:$I$305,$O633))</f>
      </c>
      <c r="Q633" s="225">
        <f>IF($O633="","",INDEX('Kế hoạch'!$AJ$6:$AJ$305,$O633))</f>
      </c>
      <c r="R633" s="225">
        <f>IF($O633="","",INDEX('Kế hoạch'!$AK$6:$AK$305,$O633))</f>
      </c>
    </row>
    <row r="634">
      <c r="A634" s="223">
        <f>IF($C634="","",COUNTIF($C$6:$C634,"?*"))</f>
      </c>
      <c r="B634" s="217"/>
      <c r="C634" s="216"/>
      <c r="D634" s="240"/>
      <c r="E634" s="218"/>
      <c r="F634" s="218"/>
      <c r="G634" s="218"/>
      <c r="H634" s="219"/>
      <c r="I634" s="223">
        <f>IF($C634="","",IF(ISNUMBER(MATCH($C634,'Phản ánh'!$A$6:$A$505,0)),"Phản ánh",IF(ISNUMBER(MATCH($C634,'Kế hoạch'!$A$6:$A$305,0)),"Công việc","Mã chưa có")))</f>
      </c>
      <c r="J634" s="221">
        <f>IF($I634="Phản ánh",INDEX('Phản ánh'!$C$6:$C$505,MATCH($C634,'Phản ánh'!$A$6:$A$505,0)),IF($I634="Công việc",INDEX('Kế hoạch'!$C$6:$C$305,$O634),""))</f>
      </c>
      <c r="K634" s="221">
        <f>IF($I634="Phản ánh",INDEX('Phản ánh'!$K$6:$K$505,MATCH($C634,'Phản ánh'!$A$6:$A$505,0))&amp;"",IF($I634="Công việc",INDEX('Kế hoạch'!$N$6:$N$305,$O634)&amp;"",""))</f>
      </c>
      <c r="L634" s="220">
        <f>IF(OR($C634="",N($B634)=0),"",IF(AND($I634="Phản ánh",$E634="Đã xử lý"),INDEX('Phản ánh'!$U$6:$U$505,MATCH($C634,'Phản ánh'!$A$6:$A$505,0)),IF(AND($I634="Công việc",OR($E634="Hoàn thành",$E634="Hoàn thành kỳ")),IF(INDEX('Kế hoạch'!$B$6:$B$305,$O634)="Đột xuất",INDEX('Kế hoạch'!$AY$6:$AY$305,$O634),IF(N($P634)=0,"",IF(INT($B634)&lt;$P634,$P634,IF($Q634&gt;0,$P634+ROUND((INT($B634)-$P634)/$Q634,0)*$Q634,IF($R634&gt;0,EDATE($P634,ROUND((DATEDIF($P634,INT($B634),"m")+(INT($B634)-EDATE($P634,DATEDIF($P634,INT($B634),"m")))/(EDATE($P634,DATEDIF($P634,INT($B634),"m")+1)-EDATE($P634,DATEDIF($P634,INT($B634),"m"))))/$R634,0)*$R634),$P634))))),"")))</f>
      </c>
      <c r="M634" s="223">
        <f>IF(OR($C634="",N($L634)=0,N($B634)=0),"",IF(IF(MOD($L634,1)=0,INT($B634),$B634)&lt;=$L634,"Đúng hạn","Trễ hạn"))</f>
      </c>
      <c r="N634" s="225">
        <f>IF($C634="","",ROW())</f>
      </c>
      <c r="O634" s="225">
        <f>IF($I634="Công việc",MATCH($C634,'Kế hoạch'!$A$6:$A$305,0),"")</f>
      </c>
      <c r="P634" s="234">
        <f>IF($O634="","",INDEX('Kế hoạch'!$I$6:$I$305,$O634))</f>
      </c>
      <c r="Q634" s="225">
        <f>IF($O634="","",INDEX('Kế hoạch'!$AJ$6:$AJ$305,$O634))</f>
      </c>
      <c r="R634" s="225">
        <f>IF($O634="","",INDEX('Kế hoạch'!$AK$6:$AK$305,$O634))</f>
      </c>
    </row>
    <row r="635">
      <c r="A635" s="223">
        <f>IF($C635="","",COUNTIF($C$6:$C635,"?*"))</f>
      </c>
      <c r="B635" s="217"/>
      <c r="C635" s="216"/>
      <c r="D635" s="240"/>
      <c r="E635" s="218"/>
      <c r="F635" s="218"/>
      <c r="G635" s="218"/>
      <c r="H635" s="219"/>
      <c r="I635" s="223">
        <f>IF($C635="","",IF(ISNUMBER(MATCH($C635,'Phản ánh'!$A$6:$A$505,0)),"Phản ánh",IF(ISNUMBER(MATCH($C635,'Kế hoạch'!$A$6:$A$305,0)),"Công việc","Mã chưa có")))</f>
      </c>
      <c r="J635" s="221">
        <f>IF($I635="Phản ánh",INDEX('Phản ánh'!$C$6:$C$505,MATCH($C635,'Phản ánh'!$A$6:$A$505,0)),IF($I635="Công việc",INDEX('Kế hoạch'!$C$6:$C$305,$O635),""))</f>
      </c>
      <c r="K635" s="221">
        <f>IF($I635="Phản ánh",INDEX('Phản ánh'!$K$6:$K$505,MATCH($C635,'Phản ánh'!$A$6:$A$505,0))&amp;"",IF($I635="Công việc",INDEX('Kế hoạch'!$N$6:$N$305,$O635)&amp;"",""))</f>
      </c>
      <c r="L635" s="220">
        <f>IF(OR($C635="",N($B635)=0),"",IF(AND($I635="Phản ánh",$E635="Đã xử lý"),INDEX('Phản ánh'!$U$6:$U$505,MATCH($C635,'Phản ánh'!$A$6:$A$505,0)),IF(AND($I635="Công việc",OR($E635="Hoàn thành",$E635="Hoàn thành kỳ")),IF(INDEX('Kế hoạch'!$B$6:$B$305,$O635)="Đột xuất",INDEX('Kế hoạch'!$AY$6:$AY$305,$O635),IF(N($P635)=0,"",IF(INT($B635)&lt;$P635,$P635,IF($Q635&gt;0,$P635+ROUND((INT($B635)-$P635)/$Q635,0)*$Q635,IF($R635&gt;0,EDATE($P635,ROUND((DATEDIF($P635,INT($B635),"m")+(INT($B635)-EDATE($P635,DATEDIF($P635,INT($B635),"m")))/(EDATE($P635,DATEDIF($P635,INT($B635),"m")+1)-EDATE($P635,DATEDIF($P635,INT($B635),"m"))))/$R635,0)*$R635),$P635))))),"")))</f>
      </c>
      <c r="M635" s="223">
        <f>IF(OR($C635="",N($L635)=0,N($B635)=0),"",IF(IF(MOD($L635,1)=0,INT($B635),$B635)&lt;=$L635,"Đúng hạn","Trễ hạn"))</f>
      </c>
      <c r="N635" s="225">
        <f>IF($C635="","",ROW())</f>
      </c>
      <c r="O635" s="225">
        <f>IF($I635="Công việc",MATCH($C635,'Kế hoạch'!$A$6:$A$305,0),"")</f>
      </c>
      <c r="P635" s="234">
        <f>IF($O635="","",INDEX('Kế hoạch'!$I$6:$I$305,$O635))</f>
      </c>
      <c r="Q635" s="225">
        <f>IF($O635="","",INDEX('Kế hoạch'!$AJ$6:$AJ$305,$O635))</f>
      </c>
      <c r="R635" s="225">
        <f>IF($O635="","",INDEX('Kế hoạch'!$AK$6:$AK$305,$O635))</f>
      </c>
    </row>
    <row r="636">
      <c r="A636" s="223">
        <f>IF($C636="","",COUNTIF($C$6:$C636,"?*"))</f>
      </c>
      <c r="B636" s="217"/>
      <c r="C636" s="216"/>
      <c r="D636" s="240"/>
      <c r="E636" s="218"/>
      <c r="F636" s="218"/>
      <c r="G636" s="218"/>
      <c r="H636" s="219"/>
      <c r="I636" s="223">
        <f>IF($C636="","",IF(ISNUMBER(MATCH($C636,'Phản ánh'!$A$6:$A$505,0)),"Phản ánh",IF(ISNUMBER(MATCH($C636,'Kế hoạch'!$A$6:$A$305,0)),"Công việc","Mã chưa có")))</f>
      </c>
      <c r="J636" s="221">
        <f>IF($I636="Phản ánh",INDEX('Phản ánh'!$C$6:$C$505,MATCH($C636,'Phản ánh'!$A$6:$A$505,0)),IF($I636="Công việc",INDEX('Kế hoạch'!$C$6:$C$305,$O636),""))</f>
      </c>
      <c r="K636" s="221">
        <f>IF($I636="Phản ánh",INDEX('Phản ánh'!$K$6:$K$505,MATCH($C636,'Phản ánh'!$A$6:$A$505,0))&amp;"",IF($I636="Công việc",INDEX('Kế hoạch'!$N$6:$N$305,$O636)&amp;"",""))</f>
      </c>
      <c r="L636" s="220">
        <f>IF(OR($C636="",N($B636)=0),"",IF(AND($I636="Phản ánh",$E636="Đã xử lý"),INDEX('Phản ánh'!$U$6:$U$505,MATCH($C636,'Phản ánh'!$A$6:$A$505,0)),IF(AND($I636="Công việc",OR($E636="Hoàn thành",$E636="Hoàn thành kỳ")),IF(INDEX('Kế hoạch'!$B$6:$B$305,$O636)="Đột xuất",INDEX('Kế hoạch'!$AY$6:$AY$305,$O636),IF(N($P636)=0,"",IF(INT($B636)&lt;$P636,$P636,IF($Q636&gt;0,$P636+ROUND((INT($B636)-$P636)/$Q636,0)*$Q636,IF($R636&gt;0,EDATE($P636,ROUND((DATEDIF($P636,INT($B636),"m")+(INT($B636)-EDATE($P636,DATEDIF($P636,INT($B636),"m")))/(EDATE($P636,DATEDIF($P636,INT($B636),"m")+1)-EDATE($P636,DATEDIF($P636,INT($B636),"m"))))/$R636,0)*$R636),$P636))))),"")))</f>
      </c>
      <c r="M636" s="223">
        <f>IF(OR($C636="",N($L636)=0,N($B636)=0),"",IF(IF(MOD($L636,1)=0,INT($B636),$B636)&lt;=$L636,"Đúng hạn","Trễ hạn"))</f>
      </c>
      <c r="N636" s="225">
        <f>IF($C636="","",ROW())</f>
      </c>
      <c r="O636" s="225">
        <f>IF($I636="Công việc",MATCH($C636,'Kế hoạch'!$A$6:$A$305,0),"")</f>
      </c>
      <c r="P636" s="234">
        <f>IF($O636="","",INDEX('Kế hoạch'!$I$6:$I$305,$O636))</f>
      </c>
      <c r="Q636" s="225">
        <f>IF($O636="","",INDEX('Kế hoạch'!$AJ$6:$AJ$305,$O636))</f>
      </c>
      <c r="R636" s="225">
        <f>IF($O636="","",INDEX('Kế hoạch'!$AK$6:$AK$305,$O636))</f>
      </c>
    </row>
    <row r="637">
      <c r="A637" s="223">
        <f>IF($C637="","",COUNTIF($C$6:$C637,"?*"))</f>
      </c>
      <c r="B637" s="217"/>
      <c r="C637" s="216"/>
      <c r="D637" s="240"/>
      <c r="E637" s="218"/>
      <c r="F637" s="218"/>
      <c r="G637" s="218"/>
      <c r="H637" s="219"/>
      <c r="I637" s="223">
        <f>IF($C637="","",IF(ISNUMBER(MATCH($C637,'Phản ánh'!$A$6:$A$505,0)),"Phản ánh",IF(ISNUMBER(MATCH($C637,'Kế hoạch'!$A$6:$A$305,0)),"Công việc","Mã chưa có")))</f>
      </c>
      <c r="J637" s="221">
        <f>IF($I637="Phản ánh",INDEX('Phản ánh'!$C$6:$C$505,MATCH($C637,'Phản ánh'!$A$6:$A$505,0)),IF($I637="Công việc",INDEX('Kế hoạch'!$C$6:$C$305,$O637),""))</f>
      </c>
      <c r="K637" s="221">
        <f>IF($I637="Phản ánh",INDEX('Phản ánh'!$K$6:$K$505,MATCH($C637,'Phản ánh'!$A$6:$A$505,0))&amp;"",IF($I637="Công việc",INDEX('Kế hoạch'!$N$6:$N$305,$O637)&amp;"",""))</f>
      </c>
      <c r="L637" s="220">
        <f>IF(OR($C637="",N($B637)=0),"",IF(AND($I637="Phản ánh",$E637="Đã xử lý"),INDEX('Phản ánh'!$U$6:$U$505,MATCH($C637,'Phản ánh'!$A$6:$A$505,0)),IF(AND($I637="Công việc",OR($E637="Hoàn thành",$E637="Hoàn thành kỳ")),IF(INDEX('Kế hoạch'!$B$6:$B$305,$O637)="Đột xuất",INDEX('Kế hoạch'!$AY$6:$AY$305,$O637),IF(N($P637)=0,"",IF(INT($B637)&lt;$P637,$P637,IF($Q637&gt;0,$P637+ROUND((INT($B637)-$P637)/$Q637,0)*$Q637,IF($R637&gt;0,EDATE($P637,ROUND((DATEDIF($P637,INT($B637),"m")+(INT($B637)-EDATE($P637,DATEDIF($P637,INT($B637),"m")))/(EDATE($P637,DATEDIF($P637,INT($B637),"m")+1)-EDATE($P637,DATEDIF($P637,INT($B637),"m"))))/$R637,0)*$R637),$P637))))),"")))</f>
      </c>
      <c r="M637" s="223">
        <f>IF(OR($C637="",N($L637)=0,N($B637)=0),"",IF(IF(MOD($L637,1)=0,INT($B637),$B637)&lt;=$L637,"Đúng hạn","Trễ hạn"))</f>
      </c>
      <c r="N637" s="225">
        <f>IF($C637="","",ROW())</f>
      </c>
      <c r="O637" s="225">
        <f>IF($I637="Công việc",MATCH($C637,'Kế hoạch'!$A$6:$A$305,0),"")</f>
      </c>
      <c r="P637" s="234">
        <f>IF($O637="","",INDEX('Kế hoạch'!$I$6:$I$305,$O637))</f>
      </c>
      <c r="Q637" s="225">
        <f>IF($O637="","",INDEX('Kế hoạch'!$AJ$6:$AJ$305,$O637))</f>
      </c>
      <c r="R637" s="225">
        <f>IF($O637="","",INDEX('Kế hoạch'!$AK$6:$AK$305,$O637))</f>
      </c>
    </row>
    <row r="638">
      <c r="A638" s="223">
        <f>IF($C638="","",COUNTIF($C$6:$C638,"?*"))</f>
      </c>
      <c r="B638" s="217"/>
      <c r="C638" s="216"/>
      <c r="D638" s="240"/>
      <c r="E638" s="218"/>
      <c r="F638" s="218"/>
      <c r="G638" s="218"/>
      <c r="H638" s="219"/>
      <c r="I638" s="223">
        <f>IF($C638="","",IF(ISNUMBER(MATCH($C638,'Phản ánh'!$A$6:$A$505,0)),"Phản ánh",IF(ISNUMBER(MATCH($C638,'Kế hoạch'!$A$6:$A$305,0)),"Công việc","Mã chưa có")))</f>
      </c>
      <c r="J638" s="221">
        <f>IF($I638="Phản ánh",INDEX('Phản ánh'!$C$6:$C$505,MATCH($C638,'Phản ánh'!$A$6:$A$505,0)),IF($I638="Công việc",INDEX('Kế hoạch'!$C$6:$C$305,$O638),""))</f>
      </c>
      <c r="K638" s="221">
        <f>IF($I638="Phản ánh",INDEX('Phản ánh'!$K$6:$K$505,MATCH($C638,'Phản ánh'!$A$6:$A$505,0))&amp;"",IF($I638="Công việc",INDEX('Kế hoạch'!$N$6:$N$305,$O638)&amp;"",""))</f>
      </c>
      <c r="L638" s="220">
        <f>IF(OR($C638="",N($B638)=0),"",IF(AND($I638="Phản ánh",$E638="Đã xử lý"),INDEX('Phản ánh'!$U$6:$U$505,MATCH($C638,'Phản ánh'!$A$6:$A$505,0)),IF(AND($I638="Công việc",OR($E638="Hoàn thành",$E638="Hoàn thành kỳ")),IF(INDEX('Kế hoạch'!$B$6:$B$305,$O638)="Đột xuất",INDEX('Kế hoạch'!$AY$6:$AY$305,$O638),IF(N($P638)=0,"",IF(INT($B638)&lt;$P638,$P638,IF($Q638&gt;0,$P638+ROUND((INT($B638)-$P638)/$Q638,0)*$Q638,IF($R638&gt;0,EDATE($P638,ROUND((DATEDIF($P638,INT($B638),"m")+(INT($B638)-EDATE($P638,DATEDIF($P638,INT($B638),"m")))/(EDATE($P638,DATEDIF($P638,INT($B638),"m")+1)-EDATE($P638,DATEDIF($P638,INT($B638),"m"))))/$R638,0)*$R638),$P638))))),"")))</f>
      </c>
      <c r="M638" s="223">
        <f>IF(OR($C638="",N($L638)=0,N($B638)=0),"",IF(IF(MOD($L638,1)=0,INT($B638),$B638)&lt;=$L638,"Đúng hạn","Trễ hạn"))</f>
      </c>
      <c r="N638" s="225">
        <f>IF($C638="","",ROW())</f>
      </c>
      <c r="O638" s="225">
        <f>IF($I638="Công việc",MATCH($C638,'Kế hoạch'!$A$6:$A$305,0),"")</f>
      </c>
      <c r="P638" s="234">
        <f>IF($O638="","",INDEX('Kế hoạch'!$I$6:$I$305,$O638))</f>
      </c>
      <c r="Q638" s="225">
        <f>IF($O638="","",INDEX('Kế hoạch'!$AJ$6:$AJ$305,$O638))</f>
      </c>
      <c r="R638" s="225">
        <f>IF($O638="","",INDEX('Kế hoạch'!$AK$6:$AK$305,$O638))</f>
      </c>
    </row>
    <row r="639">
      <c r="A639" s="223">
        <f>IF($C639="","",COUNTIF($C$6:$C639,"?*"))</f>
      </c>
      <c r="B639" s="217"/>
      <c r="C639" s="216"/>
      <c r="D639" s="240"/>
      <c r="E639" s="218"/>
      <c r="F639" s="218"/>
      <c r="G639" s="218"/>
      <c r="H639" s="219"/>
      <c r="I639" s="223">
        <f>IF($C639="","",IF(ISNUMBER(MATCH($C639,'Phản ánh'!$A$6:$A$505,0)),"Phản ánh",IF(ISNUMBER(MATCH($C639,'Kế hoạch'!$A$6:$A$305,0)),"Công việc","Mã chưa có")))</f>
      </c>
      <c r="J639" s="221">
        <f>IF($I639="Phản ánh",INDEX('Phản ánh'!$C$6:$C$505,MATCH($C639,'Phản ánh'!$A$6:$A$505,0)),IF($I639="Công việc",INDEX('Kế hoạch'!$C$6:$C$305,$O639),""))</f>
      </c>
      <c r="K639" s="221">
        <f>IF($I639="Phản ánh",INDEX('Phản ánh'!$K$6:$K$505,MATCH($C639,'Phản ánh'!$A$6:$A$505,0))&amp;"",IF($I639="Công việc",INDEX('Kế hoạch'!$N$6:$N$305,$O639)&amp;"",""))</f>
      </c>
      <c r="L639" s="220">
        <f>IF(OR($C639="",N($B639)=0),"",IF(AND($I639="Phản ánh",$E639="Đã xử lý"),INDEX('Phản ánh'!$U$6:$U$505,MATCH($C639,'Phản ánh'!$A$6:$A$505,0)),IF(AND($I639="Công việc",OR($E639="Hoàn thành",$E639="Hoàn thành kỳ")),IF(INDEX('Kế hoạch'!$B$6:$B$305,$O639)="Đột xuất",INDEX('Kế hoạch'!$AY$6:$AY$305,$O639),IF(N($P639)=0,"",IF(INT($B639)&lt;$P639,$P639,IF($Q639&gt;0,$P639+ROUND((INT($B639)-$P639)/$Q639,0)*$Q639,IF($R639&gt;0,EDATE($P639,ROUND((DATEDIF($P639,INT($B639),"m")+(INT($B639)-EDATE($P639,DATEDIF($P639,INT($B639),"m")))/(EDATE($P639,DATEDIF($P639,INT($B639),"m")+1)-EDATE($P639,DATEDIF($P639,INT($B639),"m"))))/$R639,0)*$R639),$P639))))),"")))</f>
      </c>
      <c r="M639" s="223">
        <f>IF(OR($C639="",N($L639)=0,N($B639)=0),"",IF(IF(MOD($L639,1)=0,INT($B639),$B639)&lt;=$L639,"Đúng hạn","Trễ hạn"))</f>
      </c>
      <c r="N639" s="225">
        <f>IF($C639="","",ROW())</f>
      </c>
      <c r="O639" s="225">
        <f>IF($I639="Công việc",MATCH($C639,'Kế hoạch'!$A$6:$A$305,0),"")</f>
      </c>
      <c r="P639" s="234">
        <f>IF($O639="","",INDEX('Kế hoạch'!$I$6:$I$305,$O639))</f>
      </c>
      <c r="Q639" s="225">
        <f>IF($O639="","",INDEX('Kế hoạch'!$AJ$6:$AJ$305,$O639))</f>
      </c>
      <c r="R639" s="225">
        <f>IF($O639="","",INDEX('Kế hoạch'!$AK$6:$AK$305,$O639))</f>
      </c>
    </row>
    <row r="640">
      <c r="A640" s="223">
        <f>IF($C640="","",COUNTIF($C$6:$C640,"?*"))</f>
      </c>
      <c r="B640" s="217"/>
      <c r="C640" s="216"/>
      <c r="D640" s="240"/>
      <c r="E640" s="218"/>
      <c r="F640" s="218"/>
      <c r="G640" s="218"/>
      <c r="H640" s="219"/>
      <c r="I640" s="223">
        <f>IF($C640="","",IF(ISNUMBER(MATCH($C640,'Phản ánh'!$A$6:$A$505,0)),"Phản ánh",IF(ISNUMBER(MATCH($C640,'Kế hoạch'!$A$6:$A$305,0)),"Công việc","Mã chưa có")))</f>
      </c>
      <c r="J640" s="221">
        <f>IF($I640="Phản ánh",INDEX('Phản ánh'!$C$6:$C$505,MATCH($C640,'Phản ánh'!$A$6:$A$505,0)),IF($I640="Công việc",INDEX('Kế hoạch'!$C$6:$C$305,$O640),""))</f>
      </c>
      <c r="K640" s="221">
        <f>IF($I640="Phản ánh",INDEX('Phản ánh'!$K$6:$K$505,MATCH($C640,'Phản ánh'!$A$6:$A$505,0))&amp;"",IF($I640="Công việc",INDEX('Kế hoạch'!$N$6:$N$305,$O640)&amp;"",""))</f>
      </c>
      <c r="L640" s="220">
        <f>IF(OR($C640="",N($B640)=0),"",IF(AND($I640="Phản ánh",$E640="Đã xử lý"),INDEX('Phản ánh'!$U$6:$U$505,MATCH($C640,'Phản ánh'!$A$6:$A$505,0)),IF(AND($I640="Công việc",OR($E640="Hoàn thành",$E640="Hoàn thành kỳ")),IF(INDEX('Kế hoạch'!$B$6:$B$305,$O640)="Đột xuất",INDEX('Kế hoạch'!$AY$6:$AY$305,$O640),IF(N($P640)=0,"",IF(INT($B640)&lt;$P640,$P640,IF($Q640&gt;0,$P640+ROUND((INT($B640)-$P640)/$Q640,0)*$Q640,IF($R640&gt;0,EDATE($P640,ROUND((DATEDIF($P640,INT($B640),"m")+(INT($B640)-EDATE($P640,DATEDIF($P640,INT($B640),"m")))/(EDATE($P640,DATEDIF($P640,INT($B640),"m")+1)-EDATE($P640,DATEDIF($P640,INT($B640),"m"))))/$R640,0)*$R640),$P640))))),"")))</f>
      </c>
      <c r="M640" s="223">
        <f>IF(OR($C640="",N($L640)=0,N($B640)=0),"",IF(IF(MOD($L640,1)=0,INT($B640),$B640)&lt;=$L640,"Đúng hạn","Trễ hạn"))</f>
      </c>
      <c r="N640" s="225">
        <f>IF($C640="","",ROW())</f>
      </c>
      <c r="O640" s="225">
        <f>IF($I640="Công việc",MATCH($C640,'Kế hoạch'!$A$6:$A$305,0),"")</f>
      </c>
      <c r="P640" s="234">
        <f>IF($O640="","",INDEX('Kế hoạch'!$I$6:$I$305,$O640))</f>
      </c>
      <c r="Q640" s="225">
        <f>IF($O640="","",INDEX('Kế hoạch'!$AJ$6:$AJ$305,$O640))</f>
      </c>
      <c r="R640" s="225">
        <f>IF($O640="","",INDEX('Kế hoạch'!$AK$6:$AK$305,$O640))</f>
      </c>
    </row>
    <row r="641">
      <c r="A641" s="223">
        <f>IF($C641="","",COUNTIF($C$6:$C641,"?*"))</f>
      </c>
      <c r="B641" s="217"/>
      <c r="C641" s="216"/>
      <c r="D641" s="240"/>
      <c r="E641" s="218"/>
      <c r="F641" s="218"/>
      <c r="G641" s="218"/>
      <c r="H641" s="219"/>
      <c r="I641" s="223">
        <f>IF($C641="","",IF(ISNUMBER(MATCH($C641,'Phản ánh'!$A$6:$A$505,0)),"Phản ánh",IF(ISNUMBER(MATCH($C641,'Kế hoạch'!$A$6:$A$305,0)),"Công việc","Mã chưa có")))</f>
      </c>
      <c r="J641" s="221">
        <f>IF($I641="Phản ánh",INDEX('Phản ánh'!$C$6:$C$505,MATCH($C641,'Phản ánh'!$A$6:$A$505,0)),IF($I641="Công việc",INDEX('Kế hoạch'!$C$6:$C$305,$O641),""))</f>
      </c>
      <c r="K641" s="221">
        <f>IF($I641="Phản ánh",INDEX('Phản ánh'!$K$6:$K$505,MATCH($C641,'Phản ánh'!$A$6:$A$505,0))&amp;"",IF($I641="Công việc",INDEX('Kế hoạch'!$N$6:$N$305,$O641)&amp;"",""))</f>
      </c>
      <c r="L641" s="220">
        <f>IF(OR($C641="",N($B641)=0),"",IF(AND($I641="Phản ánh",$E641="Đã xử lý"),INDEX('Phản ánh'!$U$6:$U$505,MATCH($C641,'Phản ánh'!$A$6:$A$505,0)),IF(AND($I641="Công việc",OR($E641="Hoàn thành",$E641="Hoàn thành kỳ")),IF(INDEX('Kế hoạch'!$B$6:$B$305,$O641)="Đột xuất",INDEX('Kế hoạch'!$AY$6:$AY$305,$O641),IF(N($P641)=0,"",IF(INT($B641)&lt;$P641,$P641,IF($Q641&gt;0,$P641+ROUND((INT($B641)-$P641)/$Q641,0)*$Q641,IF($R641&gt;0,EDATE($P641,ROUND((DATEDIF($P641,INT($B641),"m")+(INT($B641)-EDATE($P641,DATEDIF($P641,INT($B641),"m")))/(EDATE($P641,DATEDIF($P641,INT($B641),"m")+1)-EDATE($P641,DATEDIF($P641,INT($B641),"m"))))/$R641,0)*$R641),$P641))))),"")))</f>
      </c>
      <c r="M641" s="223">
        <f>IF(OR($C641="",N($L641)=0,N($B641)=0),"",IF(IF(MOD($L641,1)=0,INT($B641),$B641)&lt;=$L641,"Đúng hạn","Trễ hạn"))</f>
      </c>
      <c r="N641" s="225">
        <f>IF($C641="","",ROW())</f>
      </c>
      <c r="O641" s="225">
        <f>IF($I641="Công việc",MATCH($C641,'Kế hoạch'!$A$6:$A$305,0),"")</f>
      </c>
      <c r="P641" s="234">
        <f>IF($O641="","",INDEX('Kế hoạch'!$I$6:$I$305,$O641))</f>
      </c>
      <c r="Q641" s="225">
        <f>IF($O641="","",INDEX('Kế hoạch'!$AJ$6:$AJ$305,$O641))</f>
      </c>
      <c r="R641" s="225">
        <f>IF($O641="","",INDEX('Kế hoạch'!$AK$6:$AK$305,$O641))</f>
      </c>
    </row>
    <row r="642">
      <c r="A642" s="223">
        <f>IF($C642="","",COUNTIF($C$6:$C642,"?*"))</f>
      </c>
      <c r="B642" s="217"/>
      <c r="C642" s="216"/>
      <c r="D642" s="240"/>
      <c r="E642" s="218"/>
      <c r="F642" s="218"/>
      <c r="G642" s="218"/>
      <c r="H642" s="219"/>
      <c r="I642" s="223">
        <f>IF($C642="","",IF(ISNUMBER(MATCH($C642,'Phản ánh'!$A$6:$A$505,0)),"Phản ánh",IF(ISNUMBER(MATCH($C642,'Kế hoạch'!$A$6:$A$305,0)),"Công việc","Mã chưa có")))</f>
      </c>
      <c r="J642" s="221">
        <f>IF($I642="Phản ánh",INDEX('Phản ánh'!$C$6:$C$505,MATCH($C642,'Phản ánh'!$A$6:$A$505,0)),IF($I642="Công việc",INDEX('Kế hoạch'!$C$6:$C$305,$O642),""))</f>
      </c>
      <c r="K642" s="221">
        <f>IF($I642="Phản ánh",INDEX('Phản ánh'!$K$6:$K$505,MATCH($C642,'Phản ánh'!$A$6:$A$505,0))&amp;"",IF($I642="Công việc",INDEX('Kế hoạch'!$N$6:$N$305,$O642)&amp;"",""))</f>
      </c>
      <c r="L642" s="220">
        <f>IF(OR($C642="",N($B642)=0),"",IF(AND($I642="Phản ánh",$E642="Đã xử lý"),INDEX('Phản ánh'!$U$6:$U$505,MATCH($C642,'Phản ánh'!$A$6:$A$505,0)),IF(AND($I642="Công việc",OR($E642="Hoàn thành",$E642="Hoàn thành kỳ")),IF(INDEX('Kế hoạch'!$B$6:$B$305,$O642)="Đột xuất",INDEX('Kế hoạch'!$AY$6:$AY$305,$O642),IF(N($P642)=0,"",IF(INT($B642)&lt;$P642,$P642,IF($Q642&gt;0,$P642+ROUND((INT($B642)-$P642)/$Q642,0)*$Q642,IF($R642&gt;0,EDATE($P642,ROUND((DATEDIF($P642,INT($B642),"m")+(INT($B642)-EDATE($P642,DATEDIF($P642,INT($B642),"m")))/(EDATE($P642,DATEDIF($P642,INT($B642),"m")+1)-EDATE($P642,DATEDIF($P642,INT($B642),"m"))))/$R642,0)*$R642),$P642))))),"")))</f>
      </c>
      <c r="M642" s="223">
        <f>IF(OR($C642="",N($L642)=0,N($B642)=0),"",IF(IF(MOD($L642,1)=0,INT($B642),$B642)&lt;=$L642,"Đúng hạn","Trễ hạn"))</f>
      </c>
      <c r="N642" s="225">
        <f>IF($C642="","",ROW())</f>
      </c>
      <c r="O642" s="225">
        <f>IF($I642="Công việc",MATCH($C642,'Kế hoạch'!$A$6:$A$305,0),"")</f>
      </c>
      <c r="P642" s="234">
        <f>IF($O642="","",INDEX('Kế hoạch'!$I$6:$I$305,$O642))</f>
      </c>
      <c r="Q642" s="225">
        <f>IF($O642="","",INDEX('Kế hoạch'!$AJ$6:$AJ$305,$O642))</f>
      </c>
      <c r="R642" s="225">
        <f>IF($O642="","",INDEX('Kế hoạch'!$AK$6:$AK$305,$O642))</f>
      </c>
    </row>
    <row r="643">
      <c r="A643" s="223">
        <f>IF($C643="","",COUNTIF($C$6:$C643,"?*"))</f>
      </c>
      <c r="B643" s="217"/>
      <c r="C643" s="216"/>
      <c r="D643" s="240"/>
      <c r="E643" s="218"/>
      <c r="F643" s="218"/>
      <c r="G643" s="218"/>
      <c r="H643" s="219"/>
      <c r="I643" s="223">
        <f>IF($C643="","",IF(ISNUMBER(MATCH($C643,'Phản ánh'!$A$6:$A$505,0)),"Phản ánh",IF(ISNUMBER(MATCH($C643,'Kế hoạch'!$A$6:$A$305,0)),"Công việc","Mã chưa có")))</f>
      </c>
      <c r="J643" s="221">
        <f>IF($I643="Phản ánh",INDEX('Phản ánh'!$C$6:$C$505,MATCH($C643,'Phản ánh'!$A$6:$A$505,0)),IF($I643="Công việc",INDEX('Kế hoạch'!$C$6:$C$305,$O643),""))</f>
      </c>
      <c r="K643" s="221">
        <f>IF($I643="Phản ánh",INDEX('Phản ánh'!$K$6:$K$505,MATCH($C643,'Phản ánh'!$A$6:$A$505,0))&amp;"",IF($I643="Công việc",INDEX('Kế hoạch'!$N$6:$N$305,$O643)&amp;"",""))</f>
      </c>
      <c r="L643" s="220">
        <f>IF(OR($C643="",N($B643)=0),"",IF(AND($I643="Phản ánh",$E643="Đã xử lý"),INDEX('Phản ánh'!$U$6:$U$505,MATCH($C643,'Phản ánh'!$A$6:$A$505,0)),IF(AND($I643="Công việc",OR($E643="Hoàn thành",$E643="Hoàn thành kỳ")),IF(INDEX('Kế hoạch'!$B$6:$B$305,$O643)="Đột xuất",INDEX('Kế hoạch'!$AY$6:$AY$305,$O643),IF(N($P643)=0,"",IF(INT($B643)&lt;$P643,$P643,IF($Q643&gt;0,$P643+ROUND((INT($B643)-$P643)/$Q643,0)*$Q643,IF($R643&gt;0,EDATE($P643,ROUND((DATEDIF($P643,INT($B643),"m")+(INT($B643)-EDATE($P643,DATEDIF($P643,INT($B643),"m")))/(EDATE($P643,DATEDIF($P643,INT($B643),"m")+1)-EDATE($P643,DATEDIF($P643,INT($B643),"m"))))/$R643,0)*$R643),$P643))))),"")))</f>
      </c>
      <c r="M643" s="223">
        <f>IF(OR($C643="",N($L643)=0,N($B643)=0),"",IF(IF(MOD($L643,1)=0,INT($B643),$B643)&lt;=$L643,"Đúng hạn","Trễ hạn"))</f>
      </c>
      <c r="N643" s="225">
        <f>IF($C643="","",ROW())</f>
      </c>
      <c r="O643" s="225">
        <f>IF($I643="Công việc",MATCH($C643,'Kế hoạch'!$A$6:$A$305,0),"")</f>
      </c>
      <c r="P643" s="234">
        <f>IF($O643="","",INDEX('Kế hoạch'!$I$6:$I$305,$O643))</f>
      </c>
      <c r="Q643" s="225">
        <f>IF($O643="","",INDEX('Kế hoạch'!$AJ$6:$AJ$305,$O643))</f>
      </c>
      <c r="R643" s="225">
        <f>IF($O643="","",INDEX('Kế hoạch'!$AK$6:$AK$305,$O643))</f>
      </c>
    </row>
    <row r="644">
      <c r="A644" s="223">
        <f>IF($C644="","",COUNTIF($C$6:$C644,"?*"))</f>
      </c>
      <c r="B644" s="217"/>
      <c r="C644" s="216"/>
      <c r="D644" s="240"/>
      <c r="E644" s="218"/>
      <c r="F644" s="218"/>
      <c r="G644" s="218"/>
      <c r="H644" s="219"/>
      <c r="I644" s="223">
        <f>IF($C644="","",IF(ISNUMBER(MATCH($C644,'Phản ánh'!$A$6:$A$505,0)),"Phản ánh",IF(ISNUMBER(MATCH($C644,'Kế hoạch'!$A$6:$A$305,0)),"Công việc","Mã chưa có")))</f>
      </c>
      <c r="J644" s="221">
        <f>IF($I644="Phản ánh",INDEX('Phản ánh'!$C$6:$C$505,MATCH($C644,'Phản ánh'!$A$6:$A$505,0)),IF($I644="Công việc",INDEX('Kế hoạch'!$C$6:$C$305,$O644),""))</f>
      </c>
      <c r="K644" s="221">
        <f>IF($I644="Phản ánh",INDEX('Phản ánh'!$K$6:$K$505,MATCH($C644,'Phản ánh'!$A$6:$A$505,0))&amp;"",IF($I644="Công việc",INDEX('Kế hoạch'!$N$6:$N$305,$O644)&amp;"",""))</f>
      </c>
      <c r="L644" s="220">
        <f>IF(OR($C644="",N($B644)=0),"",IF(AND($I644="Phản ánh",$E644="Đã xử lý"),INDEX('Phản ánh'!$U$6:$U$505,MATCH($C644,'Phản ánh'!$A$6:$A$505,0)),IF(AND($I644="Công việc",OR($E644="Hoàn thành",$E644="Hoàn thành kỳ")),IF(INDEX('Kế hoạch'!$B$6:$B$305,$O644)="Đột xuất",INDEX('Kế hoạch'!$AY$6:$AY$305,$O644),IF(N($P644)=0,"",IF(INT($B644)&lt;$P644,$P644,IF($Q644&gt;0,$P644+ROUND((INT($B644)-$P644)/$Q644,0)*$Q644,IF($R644&gt;0,EDATE($P644,ROUND((DATEDIF($P644,INT($B644),"m")+(INT($B644)-EDATE($P644,DATEDIF($P644,INT($B644),"m")))/(EDATE($P644,DATEDIF($P644,INT($B644),"m")+1)-EDATE($P644,DATEDIF($P644,INT($B644),"m"))))/$R644,0)*$R644),$P644))))),"")))</f>
      </c>
      <c r="M644" s="223">
        <f>IF(OR($C644="",N($L644)=0,N($B644)=0),"",IF(IF(MOD($L644,1)=0,INT($B644),$B644)&lt;=$L644,"Đúng hạn","Trễ hạn"))</f>
      </c>
      <c r="N644" s="225">
        <f>IF($C644="","",ROW())</f>
      </c>
      <c r="O644" s="225">
        <f>IF($I644="Công việc",MATCH($C644,'Kế hoạch'!$A$6:$A$305,0),"")</f>
      </c>
      <c r="P644" s="234">
        <f>IF($O644="","",INDEX('Kế hoạch'!$I$6:$I$305,$O644))</f>
      </c>
      <c r="Q644" s="225">
        <f>IF($O644="","",INDEX('Kế hoạch'!$AJ$6:$AJ$305,$O644))</f>
      </c>
      <c r="R644" s="225">
        <f>IF($O644="","",INDEX('Kế hoạch'!$AK$6:$AK$305,$O644))</f>
      </c>
    </row>
    <row r="645">
      <c r="A645" s="223">
        <f>IF($C645="","",COUNTIF($C$6:$C645,"?*"))</f>
      </c>
      <c r="B645" s="217"/>
      <c r="C645" s="216"/>
      <c r="D645" s="240"/>
      <c r="E645" s="218"/>
      <c r="F645" s="218"/>
      <c r="G645" s="218"/>
      <c r="H645" s="219"/>
      <c r="I645" s="223">
        <f>IF($C645="","",IF(ISNUMBER(MATCH($C645,'Phản ánh'!$A$6:$A$505,0)),"Phản ánh",IF(ISNUMBER(MATCH($C645,'Kế hoạch'!$A$6:$A$305,0)),"Công việc","Mã chưa có")))</f>
      </c>
      <c r="J645" s="221">
        <f>IF($I645="Phản ánh",INDEX('Phản ánh'!$C$6:$C$505,MATCH($C645,'Phản ánh'!$A$6:$A$505,0)),IF($I645="Công việc",INDEX('Kế hoạch'!$C$6:$C$305,$O645),""))</f>
      </c>
      <c r="K645" s="221">
        <f>IF($I645="Phản ánh",INDEX('Phản ánh'!$K$6:$K$505,MATCH($C645,'Phản ánh'!$A$6:$A$505,0))&amp;"",IF($I645="Công việc",INDEX('Kế hoạch'!$N$6:$N$305,$O645)&amp;"",""))</f>
      </c>
      <c r="L645" s="220">
        <f>IF(OR($C645="",N($B645)=0),"",IF(AND($I645="Phản ánh",$E645="Đã xử lý"),INDEX('Phản ánh'!$U$6:$U$505,MATCH($C645,'Phản ánh'!$A$6:$A$505,0)),IF(AND($I645="Công việc",OR($E645="Hoàn thành",$E645="Hoàn thành kỳ")),IF(INDEX('Kế hoạch'!$B$6:$B$305,$O645)="Đột xuất",INDEX('Kế hoạch'!$AY$6:$AY$305,$O645),IF(N($P645)=0,"",IF(INT($B645)&lt;$P645,$P645,IF($Q645&gt;0,$P645+ROUND((INT($B645)-$P645)/$Q645,0)*$Q645,IF($R645&gt;0,EDATE($P645,ROUND((DATEDIF($P645,INT($B645),"m")+(INT($B645)-EDATE($P645,DATEDIF($P645,INT($B645),"m")))/(EDATE($P645,DATEDIF($P645,INT($B645),"m")+1)-EDATE($P645,DATEDIF($P645,INT($B645),"m"))))/$R645,0)*$R645),$P645))))),"")))</f>
      </c>
      <c r="M645" s="223">
        <f>IF(OR($C645="",N($L645)=0,N($B645)=0),"",IF(IF(MOD($L645,1)=0,INT($B645),$B645)&lt;=$L645,"Đúng hạn","Trễ hạn"))</f>
      </c>
      <c r="N645" s="225">
        <f>IF($C645="","",ROW())</f>
      </c>
      <c r="O645" s="225">
        <f>IF($I645="Công việc",MATCH($C645,'Kế hoạch'!$A$6:$A$305,0),"")</f>
      </c>
      <c r="P645" s="234">
        <f>IF($O645="","",INDEX('Kế hoạch'!$I$6:$I$305,$O645))</f>
      </c>
      <c r="Q645" s="225">
        <f>IF($O645="","",INDEX('Kế hoạch'!$AJ$6:$AJ$305,$O645))</f>
      </c>
      <c r="R645" s="225">
        <f>IF($O645="","",INDEX('Kế hoạch'!$AK$6:$AK$305,$O645))</f>
      </c>
    </row>
    <row r="646">
      <c r="A646" s="223">
        <f>IF($C646="","",COUNTIF($C$6:$C646,"?*"))</f>
      </c>
      <c r="B646" s="217"/>
      <c r="C646" s="216"/>
      <c r="D646" s="240"/>
      <c r="E646" s="218"/>
      <c r="F646" s="218"/>
      <c r="G646" s="218"/>
      <c r="H646" s="219"/>
      <c r="I646" s="223">
        <f>IF($C646="","",IF(ISNUMBER(MATCH($C646,'Phản ánh'!$A$6:$A$505,0)),"Phản ánh",IF(ISNUMBER(MATCH($C646,'Kế hoạch'!$A$6:$A$305,0)),"Công việc","Mã chưa có")))</f>
      </c>
      <c r="J646" s="221">
        <f>IF($I646="Phản ánh",INDEX('Phản ánh'!$C$6:$C$505,MATCH($C646,'Phản ánh'!$A$6:$A$505,0)),IF($I646="Công việc",INDEX('Kế hoạch'!$C$6:$C$305,$O646),""))</f>
      </c>
      <c r="K646" s="221">
        <f>IF($I646="Phản ánh",INDEX('Phản ánh'!$K$6:$K$505,MATCH($C646,'Phản ánh'!$A$6:$A$505,0))&amp;"",IF($I646="Công việc",INDEX('Kế hoạch'!$N$6:$N$305,$O646)&amp;"",""))</f>
      </c>
      <c r="L646" s="220">
        <f>IF(OR($C646="",N($B646)=0),"",IF(AND($I646="Phản ánh",$E646="Đã xử lý"),INDEX('Phản ánh'!$U$6:$U$505,MATCH($C646,'Phản ánh'!$A$6:$A$505,0)),IF(AND($I646="Công việc",OR($E646="Hoàn thành",$E646="Hoàn thành kỳ")),IF(INDEX('Kế hoạch'!$B$6:$B$305,$O646)="Đột xuất",INDEX('Kế hoạch'!$AY$6:$AY$305,$O646),IF(N($P646)=0,"",IF(INT($B646)&lt;$P646,$P646,IF($Q646&gt;0,$P646+ROUND((INT($B646)-$P646)/$Q646,0)*$Q646,IF($R646&gt;0,EDATE($P646,ROUND((DATEDIF($P646,INT($B646),"m")+(INT($B646)-EDATE($P646,DATEDIF($P646,INT($B646),"m")))/(EDATE($P646,DATEDIF($P646,INT($B646),"m")+1)-EDATE($P646,DATEDIF($P646,INT($B646),"m"))))/$R646,0)*$R646),$P646))))),"")))</f>
      </c>
      <c r="M646" s="223">
        <f>IF(OR($C646="",N($L646)=0,N($B646)=0),"",IF(IF(MOD($L646,1)=0,INT($B646),$B646)&lt;=$L646,"Đúng hạn","Trễ hạn"))</f>
      </c>
      <c r="N646" s="225">
        <f>IF($C646="","",ROW())</f>
      </c>
      <c r="O646" s="225">
        <f>IF($I646="Công việc",MATCH($C646,'Kế hoạch'!$A$6:$A$305,0),"")</f>
      </c>
      <c r="P646" s="234">
        <f>IF($O646="","",INDEX('Kế hoạch'!$I$6:$I$305,$O646))</f>
      </c>
      <c r="Q646" s="225">
        <f>IF($O646="","",INDEX('Kế hoạch'!$AJ$6:$AJ$305,$O646))</f>
      </c>
      <c r="R646" s="225">
        <f>IF($O646="","",INDEX('Kế hoạch'!$AK$6:$AK$305,$O646))</f>
      </c>
    </row>
    <row r="647">
      <c r="A647" s="223">
        <f>IF($C647="","",COUNTIF($C$6:$C647,"?*"))</f>
      </c>
      <c r="B647" s="217"/>
      <c r="C647" s="216"/>
      <c r="D647" s="240"/>
      <c r="E647" s="218"/>
      <c r="F647" s="218"/>
      <c r="G647" s="218"/>
      <c r="H647" s="219"/>
      <c r="I647" s="223">
        <f>IF($C647="","",IF(ISNUMBER(MATCH($C647,'Phản ánh'!$A$6:$A$505,0)),"Phản ánh",IF(ISNUMBER(MATCH($C647,'Kế hoạch'!$A$6:$A$305,0)),"Công việc","Mã chưa có")))</f>
      </c>
      <c r="J647" s="221">
        <f>IF($I647="Phản ánh",INDEX('Phản ánh'!$C$6:$C$505,MATCH($C647,'Phản ánh'!$A$6:$A$505,0)),IF($I647="Công việc",INDEX('Kế hoạch'!$C$6:$C$305,$O647),""))</f>
      </c>
      <c r="K647" s="221">
        <f>IF($I647="Phản ánh",INDEX('Phản ánh'!$K$6:$K$505,MATCH($C647,'Phản ánh'!$A$6:$A$505,0))&amp;"",IF($I647="Công việc",INDEX('Kế hoạch'!$N$6:$N$305,$O647)&amp;"",""))</f>
      </c>
      <c r="L647" s="220">
        <f>IF(OR($C647="",N($B647)=0),"",IF(AND($I647="Phản ánh",$E647="Đã xử lý"),INDEX('Phản ánh'!$U$6:$U$505,MATCH($C647,'Phản ánh'!$A$6:$A$505,0)),IF(AND($I647="Công việc",OR($E647="Hoàn thành",$E647="Hoàn thành kỳ")),IF(INDEX('Kế hoạch'!$B$6:$B$305,$O647)="Đột xuất",INDEX('Kế hoạch'!$AY$6:$AY$305,$O647),IF(N($P647)=0,"",IF(INT($B647)&lt;$P647,$P647,IF($Q647&gt;0,$P647+ROUND((INT($B647)-$P647)/$Q647,0)*$Q647,IF($R647&gt;0,EDATE($P647,ROUND((DATEDIF($P647,INT($B647),"m")+(INT($B647)-EDATE($P647,DATEDIF($P647,INT($B647),"m")))/(EDATE($P647,DATEDIF($P647,INT($B647),"m")+1)-EDATE($P647,DATEDIF($P647,INT($B647),"m"))))/$R647,0)*$R647),$P647))))),"")))</f>
      </c>
      <c r="M647" s="223">
        <f>IF(OR($C647="",N($L647)=0,N($B647)=0),"",IF(IF(MOD($L647,1)=0,INT($B647),$B647)&lt;=$L647,"Đúng hạn","Trễ hạn"))</f>
      </c>
      <c r="N647" s="225">
        <f>IF($C647="","",ROW())</f>
      </c>
      <c r="O647" s="225">
        <f>IF($I647="Công việc",MATCH($C647,'Kế hoạch'!$A$6:$A$305,0),"")</f>
      </c>
      <c r="P647" s="234">
        <f>IF($O647="","",INDEX('Kế hoạch'!$I$6:$I$305,$O647))</f>
      </c>
      <c r="Q647" s="225">
        <f>IF($O647="","",INDEX('Kế hoạch'!$AJ$6:$AJ$305,$O647))</f>
      </c>
      <c r="R647" s="225">
        <f>IF($O647="","",INDEX('Kế hoạch'!$AK$6:$AK$305,$O647))</f>
      </c>
    </row>
    <row r="648">
      <c r="A648" s="223">
        <f>IF($C648="","",COUNTIF($C$6:$C648,"?*"))</f>
      </c>
      <c r="B648" s="217"/>
      <c r="C648" s="216"/>
      <c r="D648" s="240"/>
      <c r="E648" s="218"/>
      <c r="F648" s="218"/>
      <c r="G648" s="218"/>
      <c r="H648" s="219"/>
      <c r="I648" s="223">
        <f>IF($C648="","",IF(ISNUMBER(MATCH($C648,'Phản ánh'!$A$6:$A$505,0)),"Phản ánh",IF(ISNUMBER(MATCH($C648,'Kế hoạch'!$A$6:$A$305,0)),"Công việc","Mã chưa có")))</f>
      </c>
      <c r="J648" s="221">
        <f>IF($I648="Phản ánh",INDEX('Phản ánh'!$C$6:$C$505,MATCH($C648,'Phản ánh'!$A$6:$A$505,0)),IF($I648="Công việc",INDEX('Kế hoạch'!$C$6:$C$305,$O648),""))</f>
      </c>
      <c r="K648" s="221">
        <f>IF($I648="Phản ánh",INDEX('Phản ánh'!$K$6:$K$505,MATCH($C648,'Phản ánh'!$A$6:$A$505,0))&amp;"",IF($I648="Công việc",INDEX('Kế hoạch'!$N$6:$N$305,$O648)&amp;"",""))</f>
      </c>
      <c r="L648" s="220">
        <f>IF(OR($C648="",N($B648)=0),"",IF(AND($I648="Phản ánh",$E648="Đã xử lý"),INDEX('Phản ánh'!$U$6:$U$505,MATCH($C648,'Phản ánh'!$A$6:$A$505,0)),IF(AND($I648="Công việc",OR($E648="Hoàn thành",$E648="Hoàn thành kỳ")),IF(INDEX('Kế hoạch'!$B$6:$B$305,$O648)="Đột xuất",INDEX('Kế hoạch'!$AY$6:$AY$305,$O648),IF(N($P648)=0,"",IF(INT($B648)&lt;$P648,$P648,IF($Q648&gt;0,$P648+ROUND((INT($B648)-$P648)/$Q648,0)*$Q648,IF($R648&gt;0,EDATE($P648,ROUND((DATEDIF($P648,INT($B648),"m")+(INT($B648)-EDATE($P648,DATEDIF($P648,INT($B648),"m")))/(EDATE($P648,DATEDIF($P648,INT($B648),"m")+1)-EDATE($P648,DATEDIF($P648,INT($B648),"m"))))/$R648,0)*$R648),$P648))))),"")))</f>
      </c>
      <c r="M648" s="223">
        <f>IF(OR($C648="",N($L648)=0,N($B648)=0),"",IF(IF(MOD($L648,1)=0,INT($B648),$B648)&lt;=$L648,"Đúng hạn","Trễ hạn"))</f>
      </c>
      <c r="N648" s="225">
        <f>IF($C648="","",ROW())</f>
      </c>
      <c r="O648" s="225">
        <f>IF($I648="Công việc",MATCH($C648,'Kế hoạch'!$A$6:$A$305,0),"")</f>
      </c>
      <c r="P648" s="234">
        <f>IF($O648="","",INDEX('Kế hoạch'!$I$6:$I$305,$O648))</f>
      </c>
      <c r="Q648" s="225">
        <f>IF($O648="","",INDEX('Kế hoạch'!$AJ$6:$AJ$305,$O648))</f>
      </c>
      <c r="R648" s="225">
        <f>IF($O648="","",INDEX('Kế hoạch'!$AK$6:$AK$305,$O648))</f>
      </c>
    </row>
    <row r="649">
      <c r="A649" s="223">
        <f>IF($C649="","",COUNTIF($C$6:$C649,"?*"))</f>
      </c>
      <c r="B649" s="217"/>
      <c r="C649" s="216"/>
      <c r="D649" s="240"/>
      <c r="E649" s="218"/>
      <c r="F649" s="218"/>
      <c r="G649" s="218"/>
      <c r="H649" s="219"/>
      <c r="I649" s="223">
        <f>IF($C649="","",IF(ISNUMBER(MATCH($C649,'Phản ánh'!$A$6:$A$505,0)),"Phản ánh",IF(ISNUMBER(MATCH($C649,'Kế hoạch'!$A$6:$A$305,0)),"Công việc","Mã chưa có")))</f>
      </c>
      <c r="J649" s="221">
        <f>IF($I649="Phản ánh",INDEX('Phản ánh'!$C$6:$C$505,MATCH($C649,'Phản ánh'!$A$6:$A$505,0)),IF($I649="Công việc",INDEX('Kế hoạch'!$C$6:$C$305,$O649),""))</f>
      </c>
      <c r="K649" s="221">
        <f>IF($I649="Phản ánh",INDEX('Phản ánh'!$K$6:$K$505,MATCH($C649,'Phản ánh'!$A$6:$A$505,0))&amp;"",IF($I649="Công việc",INDEX('Kế hoạch'!$N$6:$N$305,$O649)&amp;"",""))</f>
      </c>
      <c r="L649" s="220">
        <f>IF(OR($C649="",N($B649)=0),"",IF(AND($I649="Phản ánh",$E649="Đã xử lý"),INDEX('Phản ánh'!$U$6:$U$505,MATCH($C649,'Phản ánh'!$A$6:$A$505,0)),IF(AND($I649="Công việc",OR($E649="Hoàn thành",$E649="Hoàn thành kỳ")),IF(INDEX('Kế hoạch'!$B$6:$B$305,$O649)="Đột xuất",INDEX('Kế hoạch'!$AY$6:$AY$305,$O649),IF(N($P649)=0,"",IF(INT($B649)&lt;$P649,$P649,IF($Q649&gt;0,$P649+ROUND((INT($B649)-$P649)/$Q649,0)*$Q649,IF($R649&gt;0,EDATE($P649,ROUND((DATEDIF($P649,INT($B649),"m")+(INT($B649)-EDATE($P649,DATEDIF($P649,INT($B649),"m")))/(EDATE($P649,DATEDIF($P649,INT($B649),"m")+1)-EDATE($P649,DATEDIF($P649,INT($B649),"m"))))/$R649,0)*$R649),$P649))))),"")))</f>
      </c>
      <c r="M649" s="223">
        <f>IF(OR($C649="",N($L649)=0,N($B649)=0),"",IF(IF(MOD($L649,1)=0,INT($B649),$B649)&lt;=$L649,"Đúng hạn","Trễ hạn"))</f>
      </c>
      <c r="N649" s="225">
        <f>IF($C649="","",ROW())</f>
      </c>
      <c r="O649" s="225">
        <f>IF($I649="Công việc",MATCH($C649,'Kế hoạch'!$A$6:$A$305,0),"")</f>
      </c>
      <c r="P649" s="234">
        <f>IF($O649="","",INDEX('Kế hoạch'!$I$6:$I$305,$O649))</f>
      </c>
      <c r="Q649" s="225">
        <f>IF($O649="","",INDEX('Kế hoạch'!$AJ$6:$AJ$305,$O649))</f>
      </c>
      <c r="R649" s="225">
        <f>IF($O649="","",INDEX('Kế hoạch'!$AK$6:$AK$305,$O649))</f>
      </c>
    </row>
    <row r="650">
      <c r="A650" s="223">
        <f>IF($C650="","",COUNTIF($C$6:$C650,"?*"))</f>
      </c>
      <c r="B650" s="217"/>
      <c r="C650" s="216"/>
      <c r="D650" s="240"/>
      <c r="E650" s="218"/>
      <c r="F650" s="218"/>
      <c r="G650" s="218"/>
      <c r="H650" s="219"/>
      <c r="I650" s="223">
        <f>IF($C650="","",IF(ISNUMBER(MATCH($C650,'Phản ánh'!$A$6:$A$505,0)),"Phản ánh",IF(ISNUMBER(MATCH($C650,'Kế hoạch'!$A$6:$A$305,0)),"Công việc","Mã chưa có")))</f>
      </c>
      <c r="J650" s="221">
        <f>IF($I650="Phản ánh",INDEX('Phản ánh'!$C$6:$C$505,MATCH($C650,'Phản ánh'!$A$6:$A$505,0)),IF($I650="Công việc",INDEX('Kế hoạch'!$C$6:$C$305,$O650),""))</f>
      </c>
      <c r="K650" s="221">
        <f>IF($I650="Phản ánh",INDEX('Phản ánh'!$K$6:$K$505,MATCH($C650,'Phản ánh'!$A$6:$A$505,0))&amp;"",IF($I650="Công việc",INDEX('Kế hoạch'!$N$6:$N$305,$O650)&amp;"",""))</f>
      </c>
      <c r="L650" s="220">
        <f>IF(OR($C650="",N($B650)=0),"",IF(AND($I650="Phản ánh",$E650="Đã xử lý"),INDEX('Phản ánh'!$U$6:$U$505,MATCH($C650,'Phản ánh'!$A$6:$A$505,0)),IF(AND($I650="Công việc",OR($E650="Hoàn thành",$E650="Hoàn thành kỳ")),IF(INDEX('Kế hoạch'!$B$6:$B$305,$O650)="Đột xuất",INDEX('Kế hoạch'!$AY$6:$AY$305,$O650),IF(N($P650)=0,"",IF(INT($B650)&lt;$P650,$P650,IF($Q650&gt;0,$P650+ROUND((INT($B650)-$P650)/$Q650,0)*$Q650,IF($R650&gt;0,EDATE($P650,ROUND((DATEDIF($P650,INT($B650),"m")+(INT($B650)-EDATE($P650,DATEDIF($P650,INT($B650),"m")))/(EDATE($P650,DATEDIF($P650,INT($B650),"m")+1)-EDATE($P650,DATEDIF($P650,INT($B650),"m"))))/$R650,0)*$R650),$P650))))),"")))</f>
      </c>
      <c r="M650" s="223">
        <f>IF(OR($C650="",N($L650)=0,N($B650)=0),"",IF(IF(MOD($L650,1)=0,INT($B650),$B650)&lt;=$L650,"Đúng hạn","Trễ hạn"))</f>
      </c>
      <c r="N650" s="225">
        <f>IF($C650="","",ROW())</f>
      </c>
      <c r="O650" s="225">
        <f>IF($I650="Công việc",MATCH($C650,'Kế hoạch'!$A$6:$A$305,0),"")</f>
      </c>
      <c r="P650" s="234">
        <f>IF($O650="","",INDEX('Kế hoạch'!$I$6:$I$305,$O650))</f>
      </c>
      <c r="Q650" s="225">
        <f>IF($O650="","",INDEX('Kế hoạch'!$AJ$6:$AJ$305,$O650))</f>
      </c>
      <c r="R650" s="225">
        <f>IF($O650="","",INDEX('Kế hoạch'!$AK$6:$AK$305,$O650))</f>
      </c>
    </row>
    <row r="651">
      <c r="A651" s="223">
        <f>IF($C651="","",COUNTIF($C$6:$C651,"?*"))</f>
      </c>
      <c r="B651" s="217"/>
      <c r="C651" s="216"/>
      <c r="D651" s="240"/>
      <c r="E651" s="218"/>
      <c r="F651" s="218"/>
      <c r="G651" s="218"/>
      <c r="H651" s="219"/>
      <c r="I651" s="223">
        <f>IF($C651="","",IF(ISNUMBER(MATCH($C651,'Phản ánh'!$A$6:$A$505,0)),"Phản ánh",IF(ISNUMBER(MATCH($C651,'Kế hoạch'!$A$6:$A$305,0)),"Công việc","Mã chưa có")))</f>
      </c>
      <c r="J651" s="221">
        <f>IF($I651="Phản ánh",INDEX('Phản ánh'!$C$6:$C$505,MATCH($C651,'Phản ánh'!$A$6:$A$505,0)),IF($I651="Công việc",INDEX('Kế hoạch'!$C$6:$C$305,$O651),""))</f>
      </c>
      <c r="K651" s="221">
        <f>IF($I651="Phản ánh",INDEX('Phản ánh'!$K$6:$K$505,MATCH($C651,'Phản ánh'!$A$6:$A$505,0))&amp;"",IF($I651="Công việc",INDEX('Kế hoạch'!$N$6:$N$305,$O651)&amp;"",""))</f>
      </c>
      <c r="L651" s="220">
        <f>IF(OR($C651="",N($B651)=0),"",IF(AND($I651="Phản ánh",$E651="Đã xử lý"),INDEX('Phản ánh'!$U$6:$U$505,MATCH($C651,'Phản ánh'!$A$6:$A$505,0)),IF(AND($I651="Công việc",OR($E651="Hoàn thành",$E651="Hoàn thành kỳ")),IF(INDEX('Kế hoạch'!$B$6:$B$305,$O651)="Đột xuất",INDEX('Kế hoạch'!$AY$6:$AY$305,$O651),IF(N($P651)=0,"",IF(INT($B651)&lt;$P651,$P651,IF($Q651&gt;0,$P651+ROUND((INT($B651)-$P651)/$Q651,0)*$Q651,IF($R651&gt;0,EDATE($P651,ROUND((DATEDIF($P651,INT($B651),"m")+(INT($B651)-EDATE($P651,DATEDIF($P651,INT($B651),"m")))/(EDATE($P651,DATEDIF($P651,INT($B651),"m")+1)-EDATE($P651,DATEDIF($P651,INT($B651),"m"))))/$R651,0)*$R651),$P651))))),"")))</f>
      </c>
      <c r="M651" s="223">
        <f>IF(OR($C651="",N($L651)=0,N($B651)=0),"",IF(IF(MOD($L651,1)=0,INT($B651),$B651)&lt;=$L651,"Đúng hạn","Trễ hạn"))</f>
      </c>
      <c r="N651" s="225">
        <f>IF($C651="","",ROW())</f>
      </c>
      <c r="O651" s="225">
        <f>IF($I651="Công việc",MATCH($C651,'Kế hoạch'!$A$6:$A$305,0),"")</f>
      </c>
      <c r="P651" s="234">
        <f>IF($O651="","",INDEX('Kế hoạch'!$I$6:$I$305,$O651))</f>
      </c>
      <c r="Q651" s="225">
        <f>IF($O651="","",INDEX('Kế hoạch'!$AJ$6:$AJ$305,$O651))</f>
      </c>
      <c r="R651" s="225">
        <f>IF($O651="","",INDEX('Kế hoạch'!$AK$6:$AK$305,$O651))</f>
      </c>
    </row>
    <row r="652">
      <c r="A652" s="223">
        <f>IF($C652="","",COUNTIF($C$6:$C652,"?*"))</f>
      </c>
      <c r="B652" s="217"/>
      <c r="C652" s="216"/>
      <c r="D652" s="240"/>
      <c r="E652" s="218"/>
      <c r="F652" s="218"/>
      <c r="G652" s="218"/>
      <c r="H652" s="219"/>
      <c r="I652" s="223">
        <f>IF($C652="","",IF(ISNUMBER(MATCH($C652,'Phản ánh'!$A$6:$A$505,0)),"Phản ánh",IF(ISNUMBER(MATCH($C652,'Kế hoạch'!$A$6:$A$305,0)),"Công việc","Mã chưa có")))</f>
      </c>
      <c r="J652" s="221">
        <f>IF($I652="Phản ánh",INDEX('Phản ánh'!$C$6:$C$505,MATCH($C652,'Phản ánh'!$A$6:$A$505,0)),IF($I652="Công việc",INDEX('Kế hoạch'!$C$6:$C$305,$O652),""))</f>
      </c>
      <c r="K652" s="221">
        <f>IF($I652="Phản ánh",INDEX('Phản ánh'!$K$6:$K$505,MATCH($C652,'Phản ánh'!$A$6:$A$505,0))&amp;"",IF($I652="Công việc",INDEX('Kế hoạch'!$N$6:$N$305,$O652)&amp;"",""))</f>
      </c>
      <c r="L652" s="220">
        <f>IF(OR($C652="",N($B652)=0),"",IF(AND($I652="Phản ánh",$E652="Đã xử lý"),INDEX('Phản ánh'!$U$6:$U$505,MATCH($C652,'Phản ánh'!$A$6:$A$505,0)),IF(AND($I652="Công việc",OR($E652="Hoàn thành",$E652="Hoàn thành kỳ")),IF(INDEX('Kế hoạch'!$B$6:$B$305,$O652)="Đột xuất",INDEX('Kế hoạch'!$AY$6:$AY$305,$O652),IF(N($P652)=0,"",IF(INT($B652)&lt;$P652,$P652,IF($Q652&gt;0,$P652+ROUND((INT($B652)-$P652)/$Q652,0)*$Q652,IF($R652&gt;0,EDATE($P652,ROUND((DATEDIF($P652,INT($B652),"m")+(INT($B652)-EDATE($P652,DATEDIF($P652,INT($B652),"m")))/(EDATE($P652,DATEDIF($P652,INT($B652),"m")+1)-EDATE($P652,DATEDIF($P652,INT($B652),"m"))))/$R652,0)*$R652),$P652))))),"")))</f>
      </c>
      <c r="M652" s="223">
        <f>IF(OR($C652="",N($L652)=0,N($B652)=0),"",IF(IF(MOD($L652,1)=0,INT($B652),$B652)&lt;=$L652,"Đúng hạn","Trễ hạn"))</f>
      </c>
      <c r="N652" s="225">
        <f>IF($C652="","",ROW())</f>
      </c>
      <c r="O652" s="225">
        <f>IF($I652="Công việc",MATCH($C652,'Kế hoạch'!$A$6:$A$305,0),"")</f>
      </c>
      <c r="P652" s="234">
        <f>IF($O652="","",INDEX('Kế hoạch'!$I$6:$I$305,$O652))</f>
      </c>
      <c r="Q652" s="225">
        <f>IF($O652="","",INDEX('Kế hoạch'!$AJ$6:$AJ$305,$O652))</f>
      </c>
      <c r="R652" s="225">
        <f>IF($O652="","",INDEX('Kế hoạch'!$AK$6:$AK$305,$O652))</f>
      </c>
    </row>
    <row r="653">
      <c r="A653" s="223">
        <f>IF($C653="","",COUNTIF($C$6:$C653,"?*"))</f>
      </c>
      <c r="B653" s="217"/>
      <c r="C653" s="216"/>
      <c r="D653" s="240"/>
      <c r="E653" s="218"/>
      <c r="F653" s="218"/>
      <c r="G653" s="218"/>
      <c r="H653" s="219"/>
      <c r="I653" s="223">
        <f>IF($C653="","",IF(ISNUMBER(MATCH($C653,'Phản ánh'!$A$6:$A$505,0)),"Phản ánh",IF(ISNUMBER(MATCH($C653,'Kế hoạch'!$A$6:$A$305,0)),"Công việc","Mã chưa có")))</f>
      </c>
      <c r="J653" s="221">
        <f>IF($I653="Phản ánh",INDEX('Phản ánh'!$C$6:$C$505,MATCH($C653,'Phản ánh'!$A$6:$A$505,0)),IF($I653="Công việc",INDEX('Kế hoạch'!$C$6:$C$305,$O653),""))</f>
      </c>
      <c r="K653" s="221">
        <f>IF($I653="Phản ánh",INDEX('Phản ánh'!$K$6:$K$505,MATCH($C653,'Phản ánh'!$A$6:$A$505,0))&amp;"",IF($I653="Công việc",INDEX('Kế hoạch'!$N$6:$N$305,$O653)&amp;"",""))</f>
      </c>
      <c r="L653" s="220">
        <f>IF(OR($C653="",N($B653)=0),"",IF(AND($I653="Phản ánh",$E653="Đã xử lý"),INDEX('Phản ánh'!$U$6:$U$505,MATCH($C653,'Phản ánh'!$A$6:$A$505,0)),IF(AND($I653="Công việc",OR($E653="Hoàn thành",$E653="Hoàn thành kỳ")),IF(INDEX('Kế hoạch'!$B$6:$B$305,$O653)="Đột xuất",INDEX('Kế hoạch'!$AY$6:$AY$305,$O653),IF(N($P653)=0,"",IF(INT($B653)&lt;$P653,$P653,IF($Q653&gt;0,$P653+ROUND((INT($B653)-$P653)/$Q653,0)*$Q653,IF($R653&gt;0,EDATE($P653,ROUND((DATEDIF($P653,INT($B653),"m")+(INT($B653)-EDATE($P653,DATEDIF($P653,INT($B653),"m")))/(EDATE($P653,DATEDIF($P653,INT($B653),"m")+1)-EDATE($P653,DATEDIF($P653,INT($B653),"m"))))/$R653,0)*$R653),$P653))))),"")))</f>
      </c>
      <c r="M653" s="223">
        <f>IF(OR($C653="",N($L653)=0,N($B653)=0),"",IF(IF(MOD($L653,1)=0,INT($B653),$B653)&lt;=$L653,"Đúng hạn","Trễ hạn"))</f>
      </c>
      <c r="N653" s="225">
        <f>IF($C653="","",ROW())</f>
      </c>
      <c r="O653" s="225">
        <f>IF($I653="Công việc",MATCH($C653,'Kế hoạch'!$A$6:$A$305,0),"")</f>
      </c>
      <c r="P653" s="234">
        <f>IF($O653="","",INDEX('Kế hoạch'!$I$6:$I$305,$O653))</f>
      </c>
      <c r="Q653" s="225">
        <f>IF($O653="","",INDEX('Kế hoạch'!$AJ$6:$AJ$305,$O653))</f>
      </c>
      <c r="R653" s="225">
        <f>IF($O653="","",INDEX('Kế hoạch'!$AK$6:$AK$305,$O653))</f>
      </c>
    </row>
    <row r="654">
      <c r="A654" s="223">
        <f>IF($C654="","",COUNTIF($C$6:$C654,"?*"))</f>
      </c>
      <c r="B654" s="217"/>
      <c r="C654" s="216"/>
      <c r="D654" s="240"/>
      <c r="E654" s="218"/>
      <c r="F654" s="218"/>
      <c r="G654" s="218"/>
      <c r="H654" s="219"/>
      <c r="I654" s="223">
        <f>IF($C654="","",IF(ISNUMBER(MATCH($C654,'Phản ánh'!$A$6:$A$505,0)),"Phản ánh",IF(ISNUMBER(MATCH($C654,'Kế hoạch'!$A$6:$A$305,0)),"Công việc","Mã chưa có")))</f>
      </c>
      <c r="J654" s="221">
        <f>IF($I654="Phản ánh",INDEX('Phản ánh'!$C$6:$C$505,MATCH($C654,'Phản ánh'!$A$6:$A$505,0)),IF($I654="Công việc",INDEX('Kế hoạch'!$C$6:$C$305,$O654),""))</f>
      </c>
      <c r="K654" s="221">
        <f>IF($I654="Phản ánh",INDEX('Phản ánh'!$K$6:$K$505,MATCH($C654,'Phản ánh'!$A$6:$A$505,0))&amp;"",IF($I654="Công việc",INDEX('Kế hoạch'!$N$6:$N$305,$O654)&amp;"",""))</f>
      </c>
      <c r="L654" s="220">
        <f>IF(OR($C654="",N($B654)=0),"",IF(AND($I654="Phản ánh",$E654="Đã xử lý"),INDEX('Phản ánh'!$U$6:$U$505,MATCH($C654,'Phản ánh'!$A$6:$A$505,0)),IF(AND($I654="Công việc",OR($E654="Hoàn thành",$E654="Hoàn thành kỳ")),IF(INDEX('Kế hoạch'!$B$6:$B$305,$O654)="Đột xuất",INDEX('Kế hoạch'!$AY$6:$AY$305,$O654),IF(N($P654)=0,"",IF(INT($B654)&lt;$P654,$P654,IF($Q654&gt;0,$P654+ROUND((INT($B654)-$P654)/$Q654,0)*$Q654,IF($R654&gt;0,EDATE($P654,ROUND((DATEDIF($P654,INT($B654),"m")+(INT($B654)-EDATE($P654,DATEDIF($P654,INT($B654),"m")))/(EDATE($P654,DATEDIF($P654,INT($B654),"m")+1)-EDATE($P654,DATEDIF($P654,INT($B654),"m"))))/$R654,0)*$R654),$P654))))),"")))</f>
      </c>
      <c r="M654" s="223">
        <f>IF(OR($C654="",N($L654)=0,N($B654)=0),"",IF(IF(MOD($L654,1)=0,INT($B654),$B654)&lt;=$L654,"Đúng hạn","Trễ hạn"))</f>
      </c>
      <c r="N654" s="225">
        <f>IF($C654="","",ROW())</f>
      </c>
      <c r="O654" s="225">
        <f>IF($I654="Công việc",MATCH($C654,'Kế hoạch'!$A$6:$A$305,0),"")</f>
      </c>
      <c r="P654" s="234">
        <f>IF($O654="","",INDEX('Kế hoạch'!$I$6:$I$305,$O654))</f>
      </c>
      <c r="Q654" s="225">
        <f>IF($O654="","",INDEX('Kế hoạch'!$AJ$6:$AJ$305,$O654))</f>
      </c>
      <c r="R654" s="225">
        <f>IF($O654="","",INDEX('Kế hoạch'!$AK$6:$AK$305,$O654))</f>
      </c>
    </row>
    <row r="655">
      <c r="A655" s="223">
        <f>IF($C655="","",COUNTIF($C$6:$C655,"?*"))</f>
      </c>
      <c r="B655" s="217"/>
      <c r="C655" s="216"/>
      <c r="D655" s="240"/>
      <c r="E655" s="218"/>
      <c r="F655" s="218"/>
      <c r="G655" s="218"/>
      <c r="H655" s="219"/>
      <c r="I655" s="223">
        <f>IF($C655="","",IF(ISNUMBER(MATCH($C655,'Phản ánh'!$A$6:$A$505,0)),"Phản ánh",IF(ISNUMBER(MATCH($C655,'Kế hoạch'!$A$6:$A$305,0)),"Công việc","Mã chưa có")))</f>
      </c>
      <c r="J655" s="221">
        <f>IF($I655="Phản ánh",INDEX('Phản ánh'!$C$6:$C$505,MATCH($C655,'Phản ánh'!$A$6:$A$505,0)),IF($I655="Công việc",INDEX('Kế hoạch'!$C$6:$C$305,$O655),""))</f>
      </c>
      <c r="K655" s="221">
        <f>IF($I655="Phản ánh",INDEX('Phản ánh'!$K$6:$K$505,MATCH($C655,'Phản ánh'!$A$6:$A$505,0))&amp;"",IF($I655="Công việc",INDEX('Kế hoạch'!$N$6:$N$305,$O655)&amp;"",""))</f>
      </c>
      <c r="L655" s="220">
        <f>IF(OR($C655="",N($B655)=0),"",IF(AND($I655="Phản ánh",$E655="Đã xử lý"),INDEX('Phản ánh'!$U$6:$U$505,MATCH($C655,'Phản ánh'!$A$6:$A$505,0)),IF(AND($I655="Công việc",OR($E655="Hoàn thành",$E655="Hoàn thành kỳ")),IF(INDEX('Kế hoạch'!$B$6:$B$305,$O655)="Đột xuất",INDEX('Kế hoạch'!$AY$6:$AY$305,$O655),IF(N($P655)=0,"",IF(INT($B655)&lt;$P655,$P655,IF($Q655&gt;0,$P655+ROUND((INT($B655)-$P655)/$Q655,0)*$Q655,IF($R655&gt;0,EDATE($P655,ROUND((DATEDIF($P655,INT($B655),"m")+(INT($B655)-EDATE($P655,DATEDIF($P655,INT($B655),"m")))/(EDATE($P655,DATEDIF($P655,INT($B655),"m")+1)-EDATE($P655,DATEDIF($P655,INT($B655),"m"))))/$R655,0)*$R655),$P655))))),"")))</f>
      </c>
      <c r="M655" s="223">
        <f>IF(OR($C655="",N($L655)=0,N($B655)=0),"",IF(IF(MOD($L655,1)=0,INT($B655),$B655)&lt;=$L655,"Đúng hạn","Trễ hạn"))</f>
      </c>
      <c r="N655" s="225">
        <f>IF($C655="","",ROW())</f>
      </c>
      <c r="O655" s="225">
        <f>IF($I655="Công việc",MATCH($C655,'Kế hoạch'!$A$6:$A$305,0),"")</f>
      </c>
      <c r="P655" s="234">
        <f>IF($O655="","",INDEX('Kế hoạch'!$I$6:$I$305,$O655))</f>
      </c>
      <c r="Q655" s="225">
        <f>IF($O655="","",INDEX('Kế hoạch'!$AJ$6:$AJ$305,$O655))</f>
      </c>
      <c r="R655" s="225">
        <f>IF($O655="","",INDEX('Kế hoạch'!$AK$6:$AK$305,$O655))</f>
      </c>
    </row>
    <row r="656">
      <c r="A656" s="223">
        <f>IF($C656="","",COUNTIF($C$6:$C656,"?*"))</f>
      </c>
      <c r="B656" s="217"/>
      <c r="C656" s="216"/>
      <c r="D656" s="240"/>
      <c r="E656" s="218"/>
      <c r="F656" s="218"/>
      <c r="G656" s="218"/>
      <c r="H656" s="219"/>
      <c r="I656" s="223">
        <f>IF($C656="","",IF(ISNUMBER(MATCH($C656,'Phản ánh'!$A$6:$A$505,0)),"Phản ánh",IF(ISNUMBER(MATCH($C656,'Kế hoạch'!$A$6:$A$305,0)),"Công việc","Mã chưa có")))</f>
      </c>
      <c r="J656" s="221">
        <f>IF($I656="Phản ánh",INDEX('Phản ánh'!$C$6:$C$505,MATCH($C656,'Phản ánh'!$A$6:$A$505,0)),IF($I656="Công việc",INDEX('Kế hoạch'!$C$6:$C$305,$O656),""))</f>
      </c>
      <c r="K656" s="221">
        <f>IF($I656="Phản ánh",INDEX('Phản ánh'!$K$6:$K$505,MATCH($C656,'Phản ánh'!$A$6:$A$505,0))&amp;"",IF($I656="Công việc",INDEX('Kế hoạch'!$N$6:$N$305,$O656)&amp;"",""))</f>
      </c>
      <c r="L656" s="220">
        <f>IF(OR($C656="",N($B656)=0),"",IF(AND($I656="Phản ánh",$E656="Đã xử lý"),INDEX('Phản ánh'!$U$6:$U$505,MATCH($C656,'Phản ánh'!$A$6:$A$505,0)),IF(AND($I656="Công việc",OR($E656="Hoàn thành",$E656="Hoàn thành kỳ")),IF(INDEX('Kế hoạch'!$B$6:$B$305,$O656)="Đột xuất",INDEX('Kế hoạch'!$AY$6:$AY$305,$O656),IF(N($P656)=0,"",IF(INT($B656)&lt;$P656,$P656,IF($Q656&gt;0,$P656+ROUND((INT($B656)-$P656)/$Q656,0)*$Q656,IF($R656&gt;0,EDATE($P656,ROUND((DATEDIF($P656,INT($B656),"m")+(INT($B656)-EDATE($P656,DATEDIF($P656,INT($B656),"m")))/(EDATE($P656,DATEDIF($P656,INT($B656),"m")+1)-EDATE($P656,DATEDIF($P656,INT($B656),"m"))))/$R656,0)*$R656),$P656))))),"")))</f>
      </c>
      <c r="M656" s="223">
        <f>IF(OR($C656="",N($L656)=0,N($B656)=0),"",IF(IF(MOD($L656,1)=0,INT($B656),$B656)&lt;=$L656,"Đúng hạn","Trễ hạn"))</f>
      </c>
      <c r="N656" s="225">
        <f>IF($C656="","",ROW())</f>
      </c>
      <c r="O656" s="225">
        <f>IF($I656="Công việc",MATCH($C656,'Kế hoạch'!$A$6:$A$305,0),"")</f>
      </c>
      <c r="P656" s="234">
        <f>IF($O656="","",INDEX('Kế hoạch'!$I$6:$I$305,$O656))</f>
      </c>
      <c r="Q656" s="225">
        <f>IF($O656="","",INDEX('Kế hoạch'!$AJ$6:$AJ$305,$O656))</f>
      </c>
      <c r="R656" s="225">
        <f>IF($O656="","",INDEX('Kế hoạch'!$AK$6:$AK$305,$O656))</f>
      </c>
    </row>
    <row r="657">
      <c r="A657" s="223">
        <f>IF($C657="","",COUNTIF($C$6:$C657,"?*"))</f>
      </c>
      <c r="B657" s="217"/>
      <c r="C657" s="216"/>
      <c r="D657" s="240"/>
      <c r="E657" s="218"/>
      <c r="F657" s="218"/>
      <c r="G657" s="218"/>
      <c r="H657" s="219"/>
      <c r="I657" s="223">
        <f>IF($C657="","",IF(ISNUMBER(MATCH($C657,'Phản ánh'!$A$6:$A$505,0)),"Phản ánh",IF(ISNUMBER(MATCH($C657,'Kế hoạch'!$A$6:$A$305,0)),"Công việc","Mã chưa có")))</f>
      </c>
      <c r="J657" s="221">
        <f>IF($I657="Phản ánh",INDEX('Phản ánh'!$C$6:$C$505,MATCH($C657,'Phản ánh'!$A$6:$A$505,0)),IF($I657="Công việc",INDEX('Kế hoạch'!$C$6:$C$305,$O657),""))</f>
      </c>
      <c r="K657" s="221">
        <f>IF($I657="Phản ánh",INDEX('Phản ánh'!$K$6:$K$505,MATCH($C657,'Phản ánh'!$A$6:$A$505,0))&amp;"",IF($I657="Công việc",INDEX('Kế hoạch'!$N$6:$N$305,$O657)&amp;"",""))</f>
      </c>
      <c r="L657" s="220">
        <f>IF(OR($C657="",N($B657)=0),"",IF(AND($I657="Phản ánh",$E657="Đã xử lý"),INDEX('Phản ánh'!$U$6:$U$505,MATCH($C657,'Phản ánh'!$A$6:$A$505,0)),IF(AND($I657="Công việc",OR($E657="Hoàn thành",$E657="Hoàn thành kỳ")),IF(INDEX('Kế hoạch'!$B$6:$B$305,$O657)="Đột xuất",INDEX('Kế hoạch'!$AY$6:$AY$305,$O657),IF(N($P657)=0,"",IF(INT($B657)&lt;$P657,$P657,IF($Q657&gt;0,$P657+ROUND((INT($B657)-$P657)/$Q657,0)*$Q657,IF($R657&gt;0,EDATE($P657,ROUND((DATEDIF($P657,INT($B657),"m")+(INT($B657)-EDATE($P657,DATEDIF($P657,INT($B657),"m")))/(EDATE($P657,DATEDIF($P657,INT($B657),"m")+1)-EDATE($P657,DATEDIF($P657,INT($B657),"m"))))/$R657,0)*$R657),$P657))))),"")))</f>
      </c>
      <c r="M657" s="223">
        <f>IF(OR($C657="",N($L657)=0,N($B657)=0),"",IF(IF(MOD($L657,1)=0,INT($B657),$B657)&lt;=$L657,"Đúng hạn","Trễ hạn"))</f>
      </c>
      <c r="N657" s="225">
        <f>IF($C657="","",ROW())</f>
      </c>
      <c r="O657" s="225">
        <f>IF($I657="Công việc",MATCH($C657,'Kế hoạch'!$A$6:$A$305,0),"")</f>
      </c>
      <c r="P657" s="234">
        <f>IF($O657="","",INDEX('Kế hoạch'!$I$6:$I$305,$O657))</f>
      </c>
      <c r="Q657" s="225">
        <f>IF($O657="","",INDEX('Kế hoạch'!$AJ$6:$AJ$305,$O657))</f>
      </c>
      <c r="R657" s="225">
        <f>IF($O657="","",INDEX('Kế hoạch'!$AK$6:$AK$305,$O657))</f>
      </c>
    </row>
    <row r="658">
      <c r="A658" s="223">
        <f>IF($C658="","",COUNTIF($C$6:$C658,"?*"))</f>
      </c>
      <c r="B658" s="217"/>
      <c r="C658" s="216"/>
      <c r="D658" s="240"/>
      <c r="E658" s="218"/>
      <c r="F658" s="218"/>
      <c r="G658" s="218"/>
      <c r="H658" s="219"/>
      <c r="I658" s="223">
        <f>IF($C658="","",IF(ISNUMBER(MATCH($C658,'Phản ánh'!$A$6:$A$505,0)),"Phản ánh",IF(ISNUMBER(MATCH($C658,'Kế hoạch'!$A$6:$A$305,0)),"Công việc","Mã chưa có")))</f>
      </c>
      <c r="J658" s="221">
        <f>IF($I658="Phản ánh",INDEX('Phản ánh'!$C$6:$C$505,MATCH($C658,'Phản ánh'!$A$6:$A$505,0)),IF($I658="Công việc",INDEX('Kế hoạch'!$C$6:$C$305,$O658),""))</f>
      </c>
      <c r="K658" s="221">
        <f>IF($I658="Phản ánh",INDEX('Phản ánh'!$K$6:$K$505,MATCH($C658,'Phản ánh'!$A$6:$A$505,0))&amp;"",IF($I658="Công việc",INDEX('Kế hoạch'!$N$6:$N$305,$O658)&amp;"",""))</f>
      </c>
      <c r="L658" s="220">
        <f>IF(OR($C658="",N($B658)=0),"",IF(AND($I658="Phản ánh",$E658="Đã xử lý"),INDEX('Phản ánh'!$U$6:$U$505,MATCH($C658,'Phản ánh'!$A$6:$A$505,0)),IF(AND($I658="Công việc",OR($E658="Hoàn thành",$E658="Hoàn thành kỳ")),IF(INDEX('Kế hoạch'!$B$6:$B$305,$O658)="Đột xuất",INDEX('Kế hoạch'!$AY$6:$AY$305,$O658),IF(N($P658)=0,"",IF(INT($B658)&lt;$P658,$P658,IF($Q658&gt;0,$P658+ROUND((INT($B658)-$P658)/$Q658,0)*$Q658,IF($R658&gt;0,EDATE($P658,ROUND((DATEDIF($P658,INT($B658),"m")+(INT($B658)-EDATE($P658,DATEDIF($P658,INT($B658),"m")))/(EDATE($P658,DATEDIF($P658,INT($B658),"m")+1)-EDATE($P658,DATEDIF($P658,INT($B658),"m"))))/$R658,0)*$R658),$P658))))),"")))</f>
      </c>
      <c r="M658" s="223">
        <f>IF(OR($C658="",N($L658)=0,N($B658)=0),"",IF(IF(MOD($L658,1)=0,INT($B658),$B658)&lt;=$L658,"Đúng hạn","Trễ hạn"))</f>
      </c>
      <c r="N658" s="225">
        <f>IF($C658="","",ROW())</f>
      </c>
      <c r="O658" s="225">
        <f>IF($I658="Công việc",MATCH($C658,'Kế hoạch'!$A$6:$A$305,0),"")</f>
      </c>
      <c r="P658" s="234">
        <f>IF($O658="","",INDEX('Kế hoạch'!$I$6:$I$305,$O658))</f>
      </c>
      <c r="Q658" s="225">
        <f>IF($O658="","",INDEX('Kế hoạch'!$AJ$6:$AJ$305,$O658))</f>
      </c>
      <c r="R658" s="225">
        <f>IF($O658="","",INDEX('Kế hoạch'!$AK$6:$AK$305,$O658))</f>
      </c>
    </row>
    <row r="659">
      <c r="A659" s="223">
        <f>IF($C659="","",COUNTIF($C$6:$C659,"?*"))</f>
      </c>
      <c r="B659" s="217"/>
      <c r="C659" s="216"/>
      <c r="D659" s="240"/>
      <c r="E659" s="218"/>
      <c r="F659" s="218"/>
      <c r="G659" s="218"/>
      <c r="H659" s="219"/>
      <c r="I659" s="223">
        <f>IF($C659="","",IF(ISNUMBER(MATCH($C659,'Phản ánh'!$A$6:$A$505,0)),"Phản ánh",IF(ISNUMBER(MATCH($C659,'Kế hoạch'!$A$6:$A$305,0)),"Công việc","Mã chưa có")))</f>
      </c>
      <c r="J659" s="221">
        <f>IF($I659="Phản ánh",INDEX('Phản ánh'!$C$6:$C$505,MATCH($C659,'Phản ánh'!$A$6:$A$505,0)),IF($I659="Công việc",INDEX('Kế hoạch'!$C$6:$C$305,$O659),""))</f>
      </c>
      <c r="K659" s="221">
        <f>IF($I659="Phản ánh",INDEX('Phản ánh'!$K$6:$K$505,MATCH($C659,'Phản ánh'!$A$6:$A$505,0))&amp;"",IF($I659="Công việc",INDEX('Kế hoạch'!$N$6:$N$305,$O659)&amp;"",""))</f>
      </c>
      <c r="L659" s="220">
        <f>IF(OR($C659="",N($B659)=0),"",IF(AND($I659="Phản ánh",$E659="Đã xử lý"),INDEX('Phản ánh'!$U$6:$U$505,MATCH($C659,'Phản ánh'!$A$6:$A$505,0)),IF(AND($I659="Công việc",OR($E659="Hoàn thành",$E659="Hoàn thành kỳ")),IF(INDEX('Kế hoạch'!$B$6:$B$305,$O659)="Đột xuất",INDEX('Kế hoạch'!$AY$6:$AY$305,$O659),IF(N($P659)=0,"",IF(INT($B659)&lt;$P659,$P659,IF($Q659&gt;0,$P659+ROUND((INT($B659)-$P659)/$Q659,0)*$Q659,IF($R659&gt;0,EDATE($P659,ROUND((DATEDIF($P659,INT($B659),"m")+(INT($B659)-EDATE($P659,DATEDIF($P659,INT($B659),"m")))/(EDATE($P659,DATEDIF($P659,INT($B659),"m")+1)-EDATE($P659,DATEDIF($P659,INT($B659),"m"))))/$R659,0)*$R659),$P659))))),"")))</f>
      </c>
      <c r="M659" s="223">
        <f>IF(OR($C659="",N($L659)=0,N($B659)=0),"",IF(IF(MOD($L659,1)=0,INT($B659),$B659)&lt;=$L659,"Đúng hạn","Trễ hạn"))</f>
      </c>
      <c r="N659" s="225">
        <f>IF($C659="","",ROW())</f>
      </c>
      <c r="O659" s="225">
        <f>IF($I659="Công việc",MATCH($C659,'Kế hoạch'!$A$6:$A$305,0),"")</f>
      </c>
      <c r="P659" s="234">
        <f>IF($O659="","",INDEX('Kế hoạch'!$I$6:$I$305,$O659))</f>
      </c>
      <c r="Q659" s="225">
        <f>IF($O659="","",INDEX('Kế hoạch'!$AJ$6:$AJ$305,$O659))</f>
      </c>
      <c r="R659" s="225">
        <f>IF($O659="","",INDEX('Kế hoạch'!$AK$6:$AK$305,$O659))</f>
      </c>
    </row>
    <row r="660">
      <c r="A660" s="223">
        <f>IF($C660="","",COUNTIF($C$6:$C660,"?*"))</f>
      </c>
      <c r="B660" s="217"/>
      <c r="C660" s="216"/>
      <c r="D660" s="240"/>
      <c r="E660" s="218"/>
      <c r="F660" s="218"/>
      <c r="G660" s="218"/>
      <c r="H660" s="219"/>
      <c r="I660" s="223">
        <f>IF($C660="","",IF(ISNUMBER(MATCH($C660,'Phản ánh'!$A$6:$A$505,0)),"Phản ánh",IF(ISNUMBER(MATCH($C660,'Kế hoạch'!$A$6:$A$305,0)),"Công việc","Mã chưa có")))</f>
      </c>
      <c r="J660" s="221">
        <f>IF($I660="Phản ánh",INDEX('Phản ánh'!$C$6:$C$505,MATCH($C660,'Phản ánh'!$A$6:$A$505,0)),IF($I660="Công việc",INDEX('Kế hoạch'!$C$6:$C$305,$O660),""))</f>
      </c>
      <c r="K660" s="221">
        <f>IF($I660="Phản ánh",INDEX('Phản ánh'!$K$6:$K$505,MATCH($C660,'Phản ánh'!$A$6:$A$505,0))&amp;"",IF($I660="Công việc",INDEX('Kế hoạch'!$N$6:$N$305,$O660)&amp;"",""))</f>
      </c>
      <c r="L660" s="220">
        <f>IF(OR($C660="",N($B660)=0),"",IF(AND($I660="Phản ánh",$E660="Đã xử lý"),INDEX('Phản ánh'!$U$6:$U$505,MATCH($C660,'Phản ánh'!$A$6:$A$505,0)),IF(AND($I660="Công việc",OR($E660="Hoàn thành",$E660="Hoàn thành kỳ")),IF(INDEX('Kế hoạch'!$B$6:$B$305,$O660)="Đột xuất",INDEX('Kế hoạch'!$AY$6:$AY$305,$O660),IF(N($P660)=0,"",IF(INT($B660)&lt;$P660,$P660,IF($Q660&gt;0,$P660+ROUND((INT($B660)-$P660)/$Q660,0)*$Q660,IF($R660&gt;0,EDATE($P660,ROUND((DATEDIF($P660,INT($B660),"m")+(INT($B660)-EDATE($P660,DATEDIF($P660,INT($B660),"m")))/(EDATE($P660,DATEDIF($P660,INT($B660),"m")+1)-EDATE($P660,DATEDIF($P660,INT($B660),"m"))))/$R660,0)*$R660),$P660))))),"")))</f>
      </c>
      <c r="M660" s="223">
        <f>IF(OR($C660="",N($L660)=0,N($B660)=0),"",IF(IF(MOD($L660,1)=0,INT($B660),$B660)&lt;=$L660,"Đúng hạn","Trễ hạn"))</f>
      </c>
      <c r="N660" s="225">
        <f>IF($C660="","",ROW())</f>
      </c>
      <c r="O660" s="225">
        <f>IF($I660="Công việc",MATCH($C660,'Kế hoạch'!$A$6:$A$305,0),"")</f>
      </c>
      <c r="P660" s="234">
        <f>IF($O660="","",INDEX('Kế hoạch'!$I$6:$I$305,$O660))</f>
      </c>
      <c r="Q660" s="225">
        <f>IF($O660="","",INDEX('Kế hoạch'!$AJ$6:$AJ$305,$O660))</f>
      </c>
      <c r="R660" s="225">
        <f>IF($O660="","",INDEX('Kế hoạch'!$AK$6:$AK$305,$O660))</f>
      </c>
    </row>
    <row r="661">
      <c r="A661" s="223">
        <f>IF($C661="","",COUNTIF($C$6:$C661,"?*"))</f>
      </c>
      <c r="B661" s="217"/>
      <c r="C661" s="216"/>
      <c r="D661" s="240"/>
      <c r="E661" s="218"/>
      <c r="F661" s="218"/>
      <c r="G661" s="218"/>
      <c r="H661" s="219"/>
      <c r="I661" s="223">
        <f>IF($C661="","",IF(ISNUMBER(MATCH($C661,'Phản ánh'!$A$6:$A$505,0)),"Phản ánh",IF(ISNUMBER(MATCH($C661,'Kế hoạch'!$A$6:$A$305,0)),"Công việc","Mã chưa có")))</f>
      </c>
      <c r="J661" s="221">
        <f>IF($I661="Phản ánh",INDEX('Phản ánh'!$C$6:$C$505,MATCH($C661,'Phản ánh'!$A$6:$A$505,0)),IF($I661="Công việc",INDEX('Kế hoạch'!$C$6:$C$305,$O661),""))</f>
      </c>
      <c r="K661" s="221">
        <f>IF($I661="Phản ánh",INDEX('Phản ánh'!$K$6:$K$505,MATCH($C661,'Phản ánh'!$A$6:$A$505,0))&amp;"",IF($I661="Công việc",INDEX('Kế hoạch'!$N$6:$N$305,$O661)&amp;"",""))</f>
      </c>
      <c r="L661" s="220">
        <f>IF(OR($C661="",N($B661)=0),"",IF(AND($I661="Phản ánh",$E661="Đã xử lý"),INDEX('Phản ánh'!$U$6:$U$505,MATCH($C661,'Phản ánh'!$A$6:$A$505,0)),IF(AND($I661="Công việc",OR($E661="Hoàn thành",$E661="Hoàn thành kỳ")),IF(INDEX('Kế hoạch'!$B$6:$B$305,$O661)="Đột xuất",INDEX('Kế hoạch'!$AY$6:$AY$305,$O661),IF(N($P661)=0,"",IF(INT($B661)&lt;$P661,$P661,IF($Q661&gt;0,$P661+ROUND((INT($B661)-$P661)/$Q661,0)*$Q661,IF($R661&gt;0,EDATE($P661,ROUND((DATEDIF($P661,INT($B661),"m")+(INT($B661)-EDATE($P661,DATEDIF($P661,INT($B661),"m")))/(EDATE($P661,DATEDIF($P661,INT($B661),"m")+1)-EDATE($P661,DATEDIF($P661,INT($B661),"m"))))/$R661,0)*$R661),$P661))))),"")))</f>
      </c>
      <c r="M661" s="223">
        <f>IF(OR($C661="",N($L661)=0,N($B661)=0),"",IF(IF(MOD($L661,1)=0,INT($B661),$B661)&lt;=$L661,"Đúng hạn","Trễ hạn"))</f>
      </c>
      <c r="N661" s="225">
        <f>IF($C661="","",ROW())</f>
      </c>
      <c r="O661" s="225">
        <f>IF($I661="Công việc",MATCH($C661,'Kế hoạch'!$A$6:$A$305,0),"")</f>
      </c>
      <c r="P661" s="234">
        <f>IF($O661="","",INDEX('Kế hoạch'!$I$6:$I$305,$O661))</f>
      </c>
      <c r="Q661" s="225">
        <f>IF($O661="","",INDEX('Kế hoạch'!$AJ$6:$AJ$305,$O661))</f>
      </c>
      <c r="R661" s="225">
        <f>IF($O661="","",INDEX('Kế hoạch'!$AK$6:$AK$305,$O661))</f>
      </c>
    </row>
    <row r="662">
      <c r="A662" s="223">
        <f>IF($C662="","",COUNTIF($C$6:$C662,"?*"))</f>
      </c>
      <c r="B662" s="217"/>
      <c r="C662" s="216"/>
      <c r="D662" s="240"/>
      <c r="E662" s="218"/>
      <c r="F662" s="218"/>
      <c r="G662" s="218"/>
      <c r="H662" s="219"/>
      <c r="I662" s="223">
        <f>IF($C662="","",IF(ISNUMBER(MATCH($C662,'Phản ánh'!$A$6:$A$505,0)),"Phản ánh",IF(ISNUMBER(MATCH($C662,'Kế hoạch'!$A$6:$A$305,0)),"Công việc","Mã chưa có")))</f>
      </c>
      <c r="J662" s="221">
        <f>IF($I662="Phản ánh",INDEX('Phản ánh'!$C$6:$C$505,MATCH($C662,'Phản ánh'!$A$6:$A$505,0)),IF($I662="Công việc",INDEX('Kế hoạch'!$C$6:$C$305,$O662),""))</f>
      </c>
      <c r="K662" s="221">
        <f>IF($I662="Phản ánh",INDEX('Phản ánh'!$K$6:$K$505,MATCH($C662,'Phản ánh'!$A$6:$A$505,0))&amp;"",IF($I662="Công việc",INDEX('Kế hoạch'!$N$6:$N$305,$O662)&amp;"",""))</f>
      </c>
      <c r="L662" s="220">
        <f>IF(OR($C662="",N($B662)=0),"",IF(AND($I662="Phản ánh",$E662="Đã xử lý"),INDEX('Phản ánh'!$U$6:$U$505,MATCH($C662,'Phản ánh'!$A$6:$A$505,0)),IF(AND($I662="Công việc",OR($E662="Hoàn thành",$E662="Hoàn thành kỳ")),IF(INDEX('Kế hoạch'!$B$6:$B$305,$O662)="Đột xuất",INDEX('Kế hoạch'!$AY$6:$AY$305,$O662),IF(N($P662)=0,"",IF(INT($B662)&lt;$P662,$P662,IF($Q662&gt;0,$P662+ROUND((INT($B662)-$P662)/$Q662,0)*$Q662,IF($R662&gt;0,EDATE($P662,ROUND((DATEDIF($P662,INT($B662),"m")+(INT($B662)-EDATE($P662,DATEDIF($P662,INT($B662),"m")))/(EDATE($P662,DATEDIF($P662,INT($B662),"m")+1)-EDATE($P662,DATEDIF($P662,INT($B662),"m"))))/$R662,0)*$R662),$P662))))),"")))</f>
      </c>
      <c r="M662" s="223">
        <f>IF(OR($C662="",N($L662)=0,N($B662)=0),"",IF(IF(MOD($L662,1)=0,INT($B662),$B662)&lt;=$L662,"Đúng hạn","Trễ hạn"))</f>
      </c>
      <c r="N662" s="225">
        <f>IF($C662="","",ROW())</f>
      </c>
      <c r="O662" s="225">
        <f>IF($I662="Công việc",MATCH($C662,'Kế hoạch'!$A$6:$A$305,0),"")</f>
      </c>
      <c r="P662" s="234">
        <f>IF($O662="","",INDEX('Kế hoạch'!$I$6:$I$305,$O662))</f>
      </c>
      <c r="Q662" s="225">
        <f>IF($O662="","",INDEX('Kế hoạch'!$AJ$6:$AJ$305,$O662))</f>
      </c>
      <c r="R662" s="225">
        <f>IF($O662="","",INDEX('Kế hoạch'!$AK$6:$AK$305,$O662))</f>
      </c>
    </row>
    <row r="663">
      <c r="A663" s="223">
        <f>IF($C663="","",COUNTIF($C$6:$C663,"?*"))</f>
      </c>
      <c r="B663" s="217"/>
      <c r="C663" s="216"/>
      <c r="D663" s="240"/>
      <c r="E663" s="218"/>
      <c r="F663" s="218"/>
      <c r="G663" s="218"/>
      <c r="H663" s="219"/>
      <c r="I663" s="223">
        <f>IF($C663="","",IF(ISNUMBER(MATCH($C663,'Phản ánh'!$A$6:$A$505,0)),"Phản ánh",IF(ISNUMBER(MATCH($C663,'Kế hoạch'!$A$6:$A$305,0)),"Công việc","Mã chưa có")))</f>
      </c>
      <c r="J663" s="221">
        <f>IF($I663="Phản ánh",INDEX('Phản ánh'!$C$6:$C$505,MATCH($C663,'Phản ánh'!$A$6:$A$505,0)),IF($I663="Công việc",INDEX('Kế hoạch'!$C$6:$C$305,$O663),""))</f>
      </c>
      <c r="K663" s="221">
        <f>IF($I663="Phản ánh",INDEX('Phản ánh'!$K$6:$K$505,MATCH($C663,'Phản ánh'!$A$6:$A$505,0))&amp;"",IF($I663="Công việc",INDEX('Kế hoạch'!$N$6:$N$305,$O663)&amp;"",""))</f>
      </c>
      <c r="L663" s="220">
        <f>IF(OR($C663="",N($B663)=0),"",IF(AND($I663="Phản ánh",$E663="Đã xử lý"),INDEX('Phản ánh'!$U$6:$U$505,MATCH($C663,'Phản ánh'!$A$6:$A$505,0)),IF(AND($I663="Công việc",OR($E663="Hoàn thành",$E663="Hoàn thành kỳ")),IF(INDEX('Kế hoạch'!$B$6:$B$305,$O663)="Đột xuất",INDEX('Kế hoạch'!$AY$6:$AY$305,$O663),IF(N($P663)=0,"",IF(INT($B663)&lt;$P663,$P663,IF($Q663&gt;0,$P663+ROUND((INT($B663)-$P663)/$Q663,0)*$Q663,IF($R663&gt;0,EDATE($P663,ROUND((DATEDIF($P663,INT($B663),"m")+(INT($B663)-EDATE($P663,DATEDIF($P663,INT($B663),"m")))/(EDATE($P663,DATEDIF($P663,INT($B663),"m")+1)-EDATE($P663,DATEDIF($P663,INT($B663),"m"))))/$R663,0)*$R663),$P663))))),"")))</f>
      </c>
      <c r="M663" s="223">
        <f>IF(OR($C663="",N($L663)=0,N($B663)=0),"",IF(IF(MOD($L663,1)=0,INT($B663),$B663)&lt;=$L663,"Đúng hạn","Trễ hạn"))</f>
      </c>
      <c r="N663" s="225">
        <f>IF($C663="","",ROW())</f>
      </c>
      <c r="O663" s="225">
        <f>IF($I663="Công việc",MATCH($C663,'Kế hoạch'!$A$6:$A$305,0),"")</f>
      </c>
      <c r="P663" s="234">
        <f>IF($O663="","",INDEX('Kế hoạch'!$I$6:$I$305,$O663))</f>
      </c>
      <c r="Q663" s="225">
        <f>IF($O663="","",INDEX('Kế hoạch'!$AJ$6:$AJ$305,$O663))</f>
      </c>
      <c r="R663" s="225">
        <f>IF($O663="","",INDEX('Kế hoạch'!$AK$6:$AK$305,$O663))</f>
      </c>
    </row>
    <row r="664">
      <c r="A664" s="223">
        <f>IF($C664="","",COUNTIF($C$6:$C664,"?*"))</f>
      </c>
      <c r="B664" s="217"/>
      <c r="C664" s="216"/>
      <c r="D664" s="240"/>
      <c r="E664" s="218"/>
      <c r="F664" s="218"/>
      <c r="G664" s="218"/>
      <c r="H664" s="219"/>
      <c r="I664" s="223">
        <f>IF($C664="","",IF(ISNUMBER(MATCH($C664,'Phản ánh'!$A$6:$A$505,0)),"Phản ánh",IF(ISNUMBER(MATCH($C664,'Kế hoạch'!$A$6:$A$305,0)),"Công việc","Mã chưa có")))</f>
      </c>
      <c r="J664" s="221">
        <f>IF($I664="Phản ánh",INDEX('Phản ánh'!$C$6:$C$505,MATCH($C664,'Phản ánh'!$A$6:$A$505,0)),IF($I664="Công việc",INDEX('Kế hoạch'!$C$6:$C$305,$O664),""))</f>
      </c>
      <c r="K664" s="221">
        <f>IF($I664="Phản ánh",INDEX('Phản ánh'!$K$6:$K$505,MATCH($C664,'Phản ánh'!$A$6:$A$505,0))&amp;"",IF($I664="Công việc",INDEX('Kế hoạch'!$N$6:$N$305,$O664)&amp;"",""))</f>
      </c>
      <c r="L664" s="220">
        <f>IF(OR($C664="",N($B664)=0),"",IF(AND($I664="Phản ánh",$E664="Đã xử lý"),INDEX('Phản ánh'!$U$6:$U$505,MATCH($C664,'Phản ánh'!$A$6:$A$505,0)),IF(AND($I664="Công việc",OR($E664="Hoàn thành",$E664="Hoàn thành kỳ")),IF(INDEX('Kế hoạch'!$B$6:$B$305,$O664)="Đột xuất",INDEX('Kế hoạch'!$AY$6:$AY$305,$O664),IF(N($P664)=0,"",IF(INT($B664)&lt;$P664,$P664,IF($Q664&gt;0,$P664+ROUND((INT($B664)-$P664)/$Q664,0)*$Q664,IF($R664&gt;0,EDATE($P664,ROUND((DATEDIF($P664,INT($B664),"m")+(INT($B664)-EDATE($P664,DATEDIF($P664,INT($B664),"m")))/(EDATE($P664,DATEDIF($P664,INT($B664),"m")+1)-EDATE($P664,DATEDIF($P664,INT($B664),"m"))))/$R664,0)*$R664),$P664))))),"")))</f>
      </c>
      <c r="M664" s="223">
        <f>IF(OR($C664="",N($L664)=0,N($B664)=0),"",IF(IF(MOD($L664,1)=0,INT($B664),$B664)&lt;=$L664,"Đúng hạn","Trễ hạn"))</f>
      </c>
      <c r="N664" s="225">
        <f>IF($C664="","",ROW())</f>
      </c>
      <c r="O664" s="225">
        <f>IF($I664="Công việc",MATCH($C664,'Kế hoạch'!$A$6:$A$305,0),"")</f>
      </c>
      <c r="P664" s="234">
        <f>IF($O664="","",INDEX('Kế hoạch'!$I$6:$I$305,$O664))</f>
      </c>
      <c r="Q664" s="225">
        <f>IF($O664="","",INDEX('Kế hoạch'!$AJ$6:$AJ$305,$O664))</f>
      </c>
      <c r="R664" s="225">
        <f>IF($O664="","",INDEX('Kế hoạch'!$AK$6:$AK$305,$O664))</f>
      </c>
    </row>
    <row r="665">
      <c r="A665" s="223">
        <f>IF($C665="","",COUNTIF($C$6:$C665,"?*"))</f>
      </c>
      <c r="B665" s="217"/>
      <c r="C665" s="216"/>
      <c r="D665" s="240"/>
      <c r="E665" s="218"/>
      <c r="F665" s="218"/>
      <c r="G665" s="218"/>
      <c r="H665" s="219"/>
      <c r="I665" s="223">
        <f>IF($C665="","",IF(ISNUMBER(MATCH($C665,'Phản ánh'!$A$6:$A$505,0)),"Phản ánh",IF(ISNUMBER(MATCH($C665,'Kế hoạch'!$A$6:$A$305,0)),"Công việc","Mã chưa có")))</f>
      </c>
      <c r="J665" s="221">
        <f>IF($I665="Phản ánh",INDEX('Phản ánh'!$C$6:$C$505,MATCH($C665,'Phản ánh'!$A$6:$A$505,0)),IF($I665="Công việc",INDEX('Kế hoạch'!$C$6:$C$305,$O665),""))</f>
      </c>
      <c r="K665" s="221">
        <f>IF($I665="Phản ánh",INDEX('Phản ánh'!$K$6:$K$505,MATCH($C665,'Phản ánh'!$A$6:$A$505,0))&amp;"",IF($I665="Công việc",INDEX('Kế hoạch'!$N$6:$N$305,$O665)&amp;"",""))</f>
      </c>
      <c r="L665" s="220">
        <f>IF(OR($C665="",N($B665)=0),"",IF(AND($I665="Phản ánh",$E665="Đã xử lý"),INDEX('Phản ánh'!$U$6:$U$505,MATCH($C665,'Phản ánh'!$A$6:$A$505,0)),IF(AND($I665="Công việc",OR($E665="Hoàn thành",$E665="Hoàn thành kỳ")),IF(INDEX('Kế hoạch'!$B$6:$B$305,$O665)="Đột xuất",INDEX('Kế hoạch'!$AY$6:$AY$305,$O665),IF(N($P665)=0,"",IF(INT($B665)&lt;$P665,$P665,IF($Q665&gt;0,$P665+ROUND((INT($B665)-$P665)/$Q665,0)*$Q665,IF($R665&gt;0,EDATE($P665,ROUND((DATEDIF($P665,INT($B665),"m")+(INT($B665)-EDATE($P665,DATEDIF($P665,INT($B665),"m")))/(EDATE($P665,DATEDIF($P665,INT($B665),"m")+1)-EDATE($P665,DATEDIF($P665,INT($B665),"m"))))/$R665,0)*$R665),$P665))))),"")))</f>
      </c>
      <c r="M665" s="223">
        <f>IF(OR($C665="",N($L665)=0,N($B665)=0),"",IF(IF(MOD($L665,1)=0,INT($B665),$B665)&lt;=$L665,"Đúng hạn","Trễ hạn"))</f>
      </c>
      <c r="N665" s="225">
        <f>IF($C665="","",ROW())</f>
      </c>
      <c r="O665" s="225">
        <f>IF($I665="Công việc",MATCH($C665,'Kế hoạch'!$A$6:$A$305,0),"")</f>
      </c>
      <c r="P665" s="234">
        <f>IF($O665="","",INDEX('Kế hoạch'!$I$6:$I$305,$O665))</f>
      </c>
      <c r="Q665" s="225">
        <f>IF($O665="","",INDEX('Kế hoạch'!$AJ$6:$AJ$305,$O665))</f>
      </c>
      <c r="R665" s="225">
        <f>IF($O665="","",INDEX('Kế hoạch'!$AK$6:$AK$305,$O665))</f>
      </c>
    </row>
    <row r="666">
      <c r="A666" s="223">
        <f>IF($C666="","",COUNTIF($C$6:$C666,"?*"))</f>
      </c>
      <c r="B666" s="217"/>
      <c r="C666" s="216"/>
      <c r="D666" s="240"/>
      <c r="E666" s="218"/>
      <c r="F666" s="218"/>
      <c r="G666" s="218"/>
      <c r="H666" s="219"/>
      <c r="I666" s="223">
        <f>IF($C666="","",IF(ISNUMBER(MATCH($C666,'Phản ánh'!$A$6:$A$505,0)),"Phản ánh",IF(ISNUMBER(MATCH($C666,'Kế hoạch'!$A$6:$A$305,0)),"Công việc","Mã chưa có")))</f>
      </c>
      <c r="J666" s="221">
        <f>IF($I666="Phản ánh",INDEX('Phản ánh'!$C$6:$C$505,MATCH($C666,'Phản ánh'!$A$6:$A$505,0)),IF($I666="Công việc",INDEX('Kế hoạch'!$C$6:$C$305,$O666),""))</f>
      </c>
      <c r="K666" s="221">
        <f>IF($I666="Phản ánh",INDEX('Phản ánh'!$K$6:$K$505,MATCH($C666,'Phản ánh'!$A$6:$A$505,0))&amp;"",IF($I666="Công việc",INDEX('Kế hoạch'!$N$6:$N$305,$O666)&amp;"",""))</f>
      </c>
      <c r="L666" s="220">
        <f>IF(OR($C666="",N($B666)=0),"",IF(AND($I666="Phản ánh",$E666="Đã xử lý"),INDEX('Phản ánh'!$U$6:$U$505,MATCH($C666,'Phản ánh'!$A$6:$A$505,0)),IF(AND($I666="Công việc",OR($E666="Hoàn thành",$E666="Hoàn thành kỳ")),IF(INDEX('Kế hoạch'!$B$6:$B$305,$O666)="Đột xuất",INDEX('Kế hoạch'!$AY$6:$AY$305,$O666),IF(N($P666)=0,"",IF(INT($B666)&lt;$P666,$P666,IF($Q666&gt;0,$P666+ROUND((INT($B666)-$P666)/$Q666,0)*$Q666,IF($R666&gt;0,EDATE($P666,ROUND((DATEDIF($P666,INT($B666),"m")+(INT($B666)-EDATE($P666,DATEDIF($P666,INT($B666),"m")))/(EDATE($P666,DATEDIF($P666,INT($B666),"m")+1)-EDATE($P666,DATEDIF($P666,INT($B666),"m"))))/$R666,0)*$R666),$P666))))),"")))</f>
      </c>
      <c r="M666" s="223">
        <f>IF(OR($C666="",N($L666)=0,N($B666)=0),"",IF(IF(MOD($L666,1)=0,INT($B666),$B666)&lt;=$L666,"Đúng hạn","Trễ hạn"))</f>
      </c>
      <c r="N666" s="225">
        <f>IF($C666="","",ROW())</f>
      </c>
      <c r="O666" s="225">
        <f>IF($I666="Công việc",MATCH($C666,'Kế hoạch'!$A$6:$A$305,0),"")</f>
      </c>
      <c r="P666" s="234">
        <f>IF($O666="","",INDEX('Kế hoạch'!$I$6:$I$305,$O666))</f>
      </c>
      <c r="Q666" s="225">
        <f>IF($O666="","",INDEX('Kế hoạch'!$AJ$6:$AJ$305,$O666))</f>
      </c>
      <c r="R666" s="225">
        <f>IF($O666="","",INDEX('Kế hoạch'!$AK$6:$AK$305,$O666))</f>
      </c>
    </row>
    <row r="667">
      <c r="A667" s="223">
        <f>IF($C667="","",COUNTIF($C$6:$C667,"?*"))</f>
      </c>
      <c r="B667" s="217"/>
      <c r="C667" s="216"/>
      <c r="D667" s="240"/>
      <c r="E667" s="218"/>
      <c r="F667" s="218"/>
      <c r="G667" s="218"/>
      <c r="H667" s="219"/>
      <c r="I667" s="223">
        <f>IF($C667="","",IF(ISNUMBER(MATCH($C667,'Phản ánh'!$A$6:$A$505,0)),"Phản ánh",IF(ISNUMBER(MATCH($C667,'Kế hoạch'!$A$6:$A$305,0)),"Công việc","Mã chưa có")))</f>
      </c>
      <c r="J667" s="221">
        <f>IF($I667="Phản ánh",INDEX('Phản ánh'!$C$6:$C$505,MATCH($C667,'Phản ánh'!$A$6:$A$505,0)),IF($I667="Công việc",INDEX('Kế hoạch'!$C$6:$C$305,$O667),""))</f>
      </c>
      <c r="K667" s="221">
        <f>IF($I667="Phản ánh",INDEX('Phản ánh'!$K$6:$K$505,MATCH($C667,'Phản ánh'!$A$6:$A$505,0))&amp;"",IF($I667="Công việc",INDEX('Kế hoạch'!$N$6:$N$305,$O667)&amp;"",""))</f>
      </c>
      <c r="L667" s="220">
        <f>IF(OR($C667="",N($B667)=0),"",IF(AND($I667="Phản ánh",$E667="Đã xử lý"),INDEX('Phản ánh'!$U$6:$U$505,MATCH($C667,'Phản ánh'!$A$6:$A$505,0)),IF(AND($I667="Công việc",OR($E667="Hoàn thành",$E667="Hoàn thành kỳ")),IF(INDEX('Kế hoạch'!$B$6:$B$305,$O667)="Đột xuất",INDEX('Kế hoạch'!$AY$6:$AY$305,$O667),IF(N($P667)=0,"",IF(INT($B667)&lt;$P667,$P667,IF($Q667&gt;0,$P667+ROUND((INT($B667)-$P667)/$Q667,0)*$Q667,IF($R667&gt;0,EDATE($P667,ROUND((DATEDIF($P667,INT($B667),"m")+(INT($B667)-EDATE($P667,DATEDIF($P667,INT($B667),"m")))/(EDATE($P667,DATEDIF($P667,INT($B667),"m")+1)-EDATE($P667,DATEDIF($P667,INT($B667),"m"))))/$R667,0)*$R667),$P667))))),"")))</f>
      </c>
      <c r="M667" s="223">
        <f>IF(OR($C667="",N($L667)=0,N($B667)=0),"",IF(IF(MOD($L667,1)=0,INT($B667),$B667)&lt;=$L667,"Đúng hạn","Trễ hạn"))</f>
      </c>
      <c r="N667" s="225">
        <f>IF($C667="","",ROW())</f>
      </c>
      <c r="O667" s="225">
        <f>IF($I667="Công việc",MATCH($C667,'Kế hoạch'!$A$6:$A$305,0),"")</f>
      </c>
      <c r="P667" s="234">
        <f>IF($O667="","",INDEX('Kế hoạch'!$I$6:$I$305,$O667))</f>
      </c>
      <c r="Q667" s="225">
        <f>IF($O667="","",INDEX('Kế hoạch'!$AJ$6:$AJ$305,$O667))</f>
      </c>
      <c r="R667" s="225">
        <f>IF($O667="","",INDEX('Kế hoạch'!$AK$6:$AK$305,$O667))</f>
      </c>
    </row>
    <row r="668">
      <c r="A668" s="223">
        <f>IF($C668="","",COUNTIF($C$6:$C668,"?*"))</f>
      </c>
      <c r="B668" s="217"/>
      <c r="C668" s="216"/>
      <c r="D668" s="240"/>
      <c r="E668" s="218"/>
      <c r="F668" s="218"/>
      <c r="G668" s="218"/>
      <c r="H668" s="219"/>
      <c r="I668" s="223">
        <f>IF($C668="","",IF(ISNUMBER(MATCH($C668,'Phản ánh'!$A$6:$A$505,0)),"Phản ánh",IF(ISNUMBER(MATCH($C668,'Kế hoạch'!$A$6:$A$305,0)),"Công việc","Mã chưa có")))</f>
      </c>
      <c r="J668" s="221">
        <f>IF($I668="Phản ánh",INDEX('Phản ánh'!$C$6:$C$505,MATCH($C668,'Phản ánh'!$A$6:$A$505,0)),IF($I668="Công việc",INDEX('Kế hoạch'!$C$6:$C$305,$O668),""))</f>
      </c>
      <c r="K668" s="221">
        <f>IF($I668="Phản ánh",INDEX('Phản ánh'!$K$6:$K$505,MATCH($C668,'Phản ánh'!$A$6:$A$505,0))&amp;"",IF($I668="Công việc",INDEX('Kế hoạch'!$N$6:$N$305,$O668)&amp;"",""))</f>
      </c>
      <c r="L668" s="220">
        <f>IF(OR($C668="",N($B668)=0),"",IF(AND($I668="Phản ánh",$E668="Đã xử lý"),INDEX('Phản ánh'!$U$6:$U$505,MATCH($C668,'Phản ánh'!$A$6:$A$505,0)),IF(AND($I668="Công việc",OR($E668="Hoàn thành",$E668="Hoàn thành kỳ")),IF(INDEX('Kế hoạch'!$B$6:$B$305,$O668)="Đột xuất",INDEX('Kế hoạch'!$AY$6:$AY$305,$O668),IF(N($P668)=0,"",IF(INT($B668)&lt;$P668,$P668,IF($Q668&gt;0,$P668+ROUND((INT($B668)-$P668)/$Q668,0)*$Q668,IF($R668&gt;0,EDATE($P668,ROUND((DATEDIF($P668,INT($B668),"m")+(INT($B668)-EDATE($P668,DATEDIF($P668,INT($B668),"m")))/(EDATE($P668,DATEDIF($P668,INT($B668),"m")+1)-EDATE($P668,DATEDIF($P668,INT($B668),"m"))))/$R668,0)*$R668),$P668))))),"")))</f>
      </c>
      <c r="M668" s="223">
        <f>IF(OR($C668="",N($L668)=0,N($B668)=0),"",IF(IF(MOD($L668,1)=0,INT($B668),$B668)&lt;=$L668,"Đúng hạn","Trễ hạn"))</f>
      </c>
      <c r="N668" s="225">
        <f>IF($C668="","",ROW())</f>
      </c>
      <c r="O668" s="225">
        <f>IF($I668="Công việc",MATCH($C668,'Kế hoạch'!$A$6:$A$305,0),"")</f>
      </c>
      <c r="P668" s="234">
        <f>IF($O668="","",INDEX('Kế hoạch'!$I$6:$I$305,$O668))</f>
      </c>
      <c r="Q668" s="225">
        <f>IF($O668="","",INDEX('Kế hoạch'!$AJ$6:$AJ$305,$O668))</f>
      </c>
      <c r="R668" s="225">
        <f>IF($O668="","",INDEX('Kế hoạch'!$AK$6:$AK$305,$O668))</f>
      </c>
    </row>
    <row r="669">
      <c r="A669" s="223">
        <f>IF($C669="","",COUNTIF($C$6:$C669,"?*"))</f>
      </c>
      <c r="B669" s="217"/>
      <c r="C669" s="216"/>
      <c r="D669" s="240"/>
      <c r="E669" s="218"/>
      <c r="F669" s="218"/>
      <c r="G669" s="218"/>
      <c r="H669" s="219"/>
      <c r="I669" s="223">
        <f>IF($C669="","",IF(ISNUMBER(MATCH($C669,'Phản ánh'!$A$6:$A$505,0)),"Phản ánh",IF(ISNUMBER(MATCH($C669,'Kế hoạch'!$A$6:$A$305,0)),"Công việc","Mã chưa có")))</f>
      </c>
      <c r="J669" s="221">
        <f>IF($I669="Phản ánh",INDEX('Phản ánh'!$C$6:$C$505,MATCH($C669,'Phản ánh'!$A$6:$A$505,0)),IF($I669="Công việc",INDEX('Kế hoạch'!$C$6:$C$305,$O669),""))</f>
      </c>
      <c r="K669" s="221">
        <f>IF($I669="Phản ánh",INDEX('Phản ánh'!$K$6:$K$505,MATCH($C669,'Phản ánh'!$A$6:$A$505,0))&amp;"",IF($I669="Công việc",INDEX('Kế hoạch'!$N$6:$N$305,$O669)&amp;"",""))</f>
      </c>
      <c r="L669" s="220">
        <f>IF(OR($C669="",N($B669)=0),"",IF(AND($I669="Phản ánh",$E669="Đã xử lý"),INDEX('Phản ánh'!$U$6:$U$505,MATCH($C669,'Phản ánh'!$A$6:$A$505,0)),IF(AND($I669="Công việc",OR($E669="Hoàn thành",$E669="Hoàn thành kỳ")),IF(INDEX('Kế hoạch'!$B$6:$B$305,$O669)="Đột xuất",INDEX('Kế hoạch'!$AY$6:$AY$305,$O669),IF(N($P669)=0,"",IF(INT($B669)&lt;$P669,$P669,IF($Q669&gt;0,$P669+ROUND((INT($B669)-$P669)/$Q669,0)*$Q669,IF($R669&gt;0,EDATE($P669,ROUND((DATEDIF($P669,INT($B669),"m")+(INT($B669)-EDATE($P669,DATEDIF($P669,INT($B669),"m")))/(EDATE($P669,DATEDIF($P669,INT($B669),"m")+1)-EDATE($P669,DATEDIF($P669,INT($B669),"m"))))/$R669,0)*$R669),$P669))))),"")))</f>
      </c>
      <c r="M669" s="223">
        <f>IF(OR($C669="",N($L669)=0,N($B669)=0),"",IF(IF(MOD($L669,1)=0,INT($B669),$B669)&lt;=$L669,"Đúng hạn","Trễ hạn"))</f>
      </c>
      <c r="N669" s="225">
        <f>IF($C669="","",ROW())</f>
      </c>
      <c r="O669" s="225">
        <f>IF($I669="Công việc",MATCH($C669,'Kế hoạch'!$A$6:$A$305,0),"")</f>
      </c>
      <c r="P669" s="234">
        <f>IF($O669="","",INDEX('Kế hoạch'!$I$6:$I$305,$O669))</f>
      </c>
      <c r="Q669" s="225">
        <f>IF($O669="","",INDEX('Kế hoạch'!$AJ$6:$AJ$305,$O669))</f>
      </c>
      <c r="R669" s="225">
        <f>IF($O669="","",INDEX('Kế hoạch'!$AK$6:$AK$305,$O669))</f>
      </c>
    </row>
    <row r="670">
      <c r="A670" s="223">
        <f>IF($C670="","",COUNTIF($C$6:$C670,"?*"))</f>
      </c>
      <c r="B670" s="217"/>
      <c r="C670" s="216"/>
      <c r="D670" s="240"/>
      <c r="E670" s="218"/>
      <c r="F670" s="218"/>
      <c r="G670" s="218"/>
      <c r="H670" s="219"/>
      <c r="I670" s="223">
        <f>IF($C670="","",IF(ISNUMBER(MATCH($C670,'Phản ánh'!$A$6:$A$505,0)),"Phản ánh",IF(ISNUMBER(MATCH($C670,'Kế hoạch'!$A$6:$A$305,0)),"Công việc","Mã chưa có")))</f>
      </c>
      <c r="J670" s="221">
        <f>IF($I670="Phản ánh",INDEX('Phản ánh'!$C$6:$C$505,MATCH($C670,'Phản ánh'!$A$6:$A$505,0)),IF($I670="Công việc",INDEX('Kế hoạch'!$C$6:$C$305,$O670),""))</f>
      </c>
      <c r="K670" s="221">
        <f>IF($I670="Phản ánh",INDEX('Phản ánh'!$K$6:$K$505,MATCH($C670,'Phản ánh'!$A$6:$A$505,0))&amp;"",IF($I670="Công việc",INDEX('Kế hoạch'!$N$6:$N$305,$O670)&amp;"",""))</f>
      </c>
      <c r="L670" s="220">
        <f>IF(OR($C670="",N($B670)=0),"",IF(AND($I670="Phản ánh",$E670="Đã xử lý"),INDEX('Phản ánh'!$U$6:$U$505,MATCH($C670,'Phản ánh'!$A$6:$A$505,0)),IF(AND($I670="Công việc",OR($E670="Hoàn thành",$E670="Hoàn thành kỳ")),IF(INDEX('Kế hoạch'!$B$6:$B$305,$O670)="Đột xuất",INDEX('Kế hoạch'!$AY$6:$AY$305,$O670),IF(N($P670)=0,"",IF(INT($B670)&lt;$P670,$P670,IF($Q670&gt;0,$P670+ROUND((INT($B670)-$P670)/$Q670,0)*$Q670,IF($R670&gt;0,EDATE($P670,ROUND((DATEDIF($P670,INT($B670),"m")+(INT($B670)-EDATE($P670,DATEDIF($P670,INT($B670),"m")))/(EDATE($P670,DATEDIF($P670,INT($B670),"m")+1)-EDATE($P670,DATEDIF($P670,INT($B670),"m"))))/$R670,0)*$R670),$P670))))),"")))</f>
      </c>
      <c r="M670" s="223">
        <f>IF(OR($C670="",N($L670)=0,N($B670)=0),"",IF(IF(MOD($L670,1)=0,INT($B670),$B670)&lt;=$L670,"Đúng hạn","Trễ hạn"))</f>
      </c>
      <c r="N670" s="225">
        <f>IF($C670="","",ROW())</f>
      </c>
      <c r="O670" s="225">
        <f>IF($I670="Công việc",MATCH($C670,'Kế hoạch'!$A$6:$A$305,0),"")</f>
      </c>
      <c r="P670" s="234">
        <f>IF($O670="","",INDEX('Kế hoạch'!$I$6:$I$305,$O670))</f>
      </c>
      <c r="Q670" s="225">
        <f>IF($O670="","",INDEX('Kế hoạch'!$AJ$6:$AJ$305,$O670))</f>
      </c>
      <c r="R670" s="225">
        <f>IF($O670="","",INDEX('Kế hoạch'!$AK$6:$AK$305,$O670))</f>
      </c>
    </row>
    <row r="671">
      <c r="A671" s="223">
        <f>IF($C671="","",COUNTIF($C$6:$C671,"?*"))</f>
      </c>
      <c r="B671" s="217"/>
      <c r="C671" s="216"/>
      <c r="D671" s="240"/>
      <c r="E671" s="218"/>
      <c r="F671" s="218"/>
      <c r="G671" s="218"/>
      <c r="H671" s="219"/>
      <c r="I671" s="223">
        <f>IF($C671="","",IF(ISNUMBER(MATCH($C671,'Phản ánh'!$A$6:$A$505,0)),"Phản ánh",IF(ISNUMBER(MATCH($C671,'Kế hoạch'!$A$6:$A$305,0)),"Công việc","Mã chưa có")))</f>
      </c>
      <c r="J671" s="221">
        <f>IF($I671="Phản ánh",INDEX('Phản ánh'!$C$6:$C$505,MATCH($C671,'Phản ánh'!$A$6:$A$505,0)),IF($I671="Công việc",INDEX('Kế hoạch'!$C$6:$C$305,$O671),""))</f>
      </c>
      <c r="K671" s="221">
        <f>IF($I671="Phản ánh",INDEX('Phản ánh'!$K$6:$K$505,MATCH($C671,'Phản ánh'!$A$6:$A$505,0))&amp;"",IF($I671="Công việc",INDEX('Kế hoạch'!$N$6:$N$305,$O671)&amp;"",""))</f>
      </c>
      <c r="L671" s="220">
        <f>IF(OR($C671="",N($B671)=0),"",IF(AND($I671="Phản ánh",$E671="Đã xử lý"),INDEX('Phản ánh'!$U$6:$U$505,MATCH($C671,'Phản ánh'!$A$6:$A$505,0)),IF(AND($I671="Công việc",OR($E671="Hoàn thành",$E671="Hoàn thành kỳ")),IF(INDEX('Kế hoạch'!$B$6:$B$305,$O671)="Đột xuất",INDEX('Kế hoạch'!$AY$6:$AY$305,$O671),IF(N($P671)=0,"",IF(INT($B671)&lt;$P671,$P671,IF($Q671&gt;0,$P671+ROUND((INT($B671)-$P671)/$Q671,0)*$Q671,IF($R671&gt;0,EDATE($P671,ROUND((DATEDIF($P671,INT($B671),"m")+(INT($B671)-EDATE($P671,DATEDIF($P671,INT($B671),"m")))/(EDATE($P671,DATEDIF($P671,INT($B671),"m")+1)-EDATE($P671,DATEDIF($P671,INT($B671),"m"))))/$R671,0)*$R671),$P671))))),"")))</f>
      </c>
      <c r="M671" s="223">
        <f>IF(OR($C671="",N($L671)=0,N($B671)=0),"",IF(IF(MOD($L671,1)=0,INT($B671),$B671)&lt;=$L671,"Đúng hạn","Trễ hạn"))</f>
      </c>
      <c r="N671" s="225">
        <f>IF($C671="","",ROW())</f>
      </c>
      <c r="O671" s="225">
        <f>IF($I671="Công việc",MATCH($C671,'Kế hoạch'!$A$6:$A$305,0),"")</f>
      </c>
      <c r="P671" s="234">
        <f>IF($O671="","",INDEX('Kế hoạch'!$I$6:$I$305,$O671))</f>
      </c>
      <c r="Q671" s="225">
        <f>IF($O671="","",INDEX('Kế hoạch'!$AJ$6:$AJ$305,$O671))</f>
      </c>
      <c r="R671" s="225">
        <f>IF($O671="","",INDEX('Kế hoạch'!$AK$6:$AK$305,$O671))</f>
      </c>
    </row>
    <row r="672">
      <c r="A672" s="223">
        <f>IF($C672="","",COUNTIF($C$6:$C672,"?*"))</f>
      </c>
      <c r="B672" s="217"/>
      <c r="C672" s="216"/>
      <c r="D672" s="240"/>
      <c r="E672" s="218"/>
      <c r="F672" s="218"/>
      <c r="G672" s="218"/>
      <c r="H672" s="219"/>
      <c r="I672" s="223">
        <f>IF($C672="","",IF(ISNUMBER(MATCH($C672,'Phản ánh'!$A$6:$A$505,0)),"Phản ánh",IF(ISNUMBER(MATCH($C672,'Kế hoạch'!$A$6:$A$305,0)),"Công việc","Mã chưa có")))</f>
      </c>
      <c r="J672" s="221">
        <f>IF($I672="Phản ánh",INDEX('Phản ánh'!$C$6:$C$505,MATCH($C672,'Phản ánh'!$A$6:$A$505,0)),IF($I672="Công việc",INDEX('Kế hoạch'!$C$6:$C$305,$O672),""))</f>
      </c>
      <c r="K672" s="221">
        <f>IF($I672="Phản ánh",INDEX('Phản ánh'!$K$6:$K$505,MATCH($C672,'Phản ánh'!$A$6:$A$505,0))&amp;"",IF($I672="Công việc",INDEX('Kế hoạch'!$N$6:$N$305,$O672)&amp;"",""))</f>
      </c>
      <c r="L672" s="220">
        <f>IF(OR($C672="",N($B672)=0),"",IF(AND($I672="Phản ánh",$E672="Đã xử lý"),INDEX('Phản ánh'!$U$6:$U$505,MATCH($C672,'Phản ánh'!$A$6:$A$505,0)),IF(AND($I672="Công việc",OR($E672="Hoàn thành",$E672="Hoàn thành kỳ")),IF(INDEX('Kế hoạch'!$B$6:$B$305,$O672)="Đột xuất",INDEX('Kế hoạch'!$AY$6:$AY$305,$O672),IF(N($P672)=0,"",IF(INT($B672)&lt;$P672,$P672,IF($Q672&gt;0,$P672+ROUND((INT($B672)-$P672)/$Q672,0)*$Q672,IF($R672&gt;0,EDATE($P672,ROUND((DATEDIF($P672,INT($B672),"m")+(INT($B672)-EDATE($P672,DATEDIF($P672,INT($B672),"m")))/(EDATE($P672,DATEDIF($P672,INT($B672),"m")+1)-EDATE($P672,DATEDIF($P672,INT($B672),"m"))))/$R672,0)*$R672),$P672))))),"")))</f>
      </c>
      <c r="M672" s="223">
        <f>IF(OR($C672="",N($L672)=0,N($B672)=0),"",IF(IF(MOD($L672,1)=0,INT($B672),$B672)&lt;=$L672,"Đúng hạn","Trễ hạn"))</f>
      </c>
      <c r="N672" s="225">
        <f>IF($C672="","",ROW())</f>
      </c>
      <c r="O672" s="225">
        <f>IF($I672="Công việc",MATCH($C672,'Kế hoạch'!$A$6:$A$305,0),"")</f>
      </c>
      <c r="P672" s="234">
        <f>IF($O672="","",INDEX('Kế hoạch'!$I$6:$I$305,$O672))</f>
      </c>
      <c r="Q672" s="225">
        <f>IF($O672="","",INDEX('Kế hoạch'!$AJ$6:$AJ$305,$O672))</f>
      </c>
      <c r="R672" s="225">
        <f>IF($O672="","",INDEX('Kế hoạch'!$AK$6:$AK$305,$O672))</f>
      </c>
    </row>
    <row r="673">
      <c r="A673" s="223">
        <f>IF($C673="","",COUNTIF($C$6:$C673,"?*"))</f>
      </c>
      <c r="B673" s="217"/>
      <c r="C673" s="216"/>
      <c r="D673" s="240"/>
      <c r="E673" s="218"/>
      <c r="F673" s="218"/>
      <c r="G673" s="218"/>
      <c r="H673" s="219"/>
      <c r="I673" s="223">
        <f>IF($C673="","",IF(ISNUMBER(MATCH($C673,'Phản ánh'!$A$6:$A$505,0)),"Phản ánh",IF(ISNUMBER(MATCH($C673,'Kế hoạch'!$A$6:$A$305,0)),"Công việc","Mã chưa có")))</f>
      </c>
      <c r="J673" s="221">
        <f>IF($I673="Phản ánh",INDEX('Phản ánh'!$C$6:$C$505,MATCH($C673,'Phản ánh'!$A$6:$A$505,0)),IF($I673="Công việc",INDEX('Kế hoạch'!$C$6:$C$305,$O673),""))</f>
      </c>
      <c r="K673" s="221">
        <f>IF($I673="Phản ánh",INDEX('Phản ánh'!$K$6:$K$505,MATCH($C673,'Phản ánh'!$A$6:$A$505,0))&amp;"",IF($I673="Công việc",INDEX('Kế hoạch'!$N$6:$N$305,$O673)&amp;"",""))</f>
      </c>
      <c r="L673" s="220">
        <f>IF(OR($C673="",N($B673)=0),"",IF(AND($I673="Phản ánh",$E673="Đã xử lý"),INDEX('Phản ánh'!$U$6:$U$505,MATCH($C673,'Phản ánh'!$A$6:$A$505,0)),IF(AND($I673="Công việc",OR($E673="Hoàn thành",$E673="Hoàn thành kỳ")),IF(INDEX('Kế hoạch'!$B$6:$B$305,$O673)="Đột xuất",INDEX('Kế hoạch'!$AY$6:$AY$305,$O673),IF(N($P673)=0,"",IF(INT($B673)&lt;$P673,$P673,IF($Q673&gt;0,$P673+ROUND((INT($B673)-$P673)/$Q673,0)*$Q673,IF($R673&gt;0,EDATE($P673,ROUND((DATEDIF($P673,INT($B673),"m")+(INT($B673)-EDATE($P673,DATEDIF($P673,INT($B673),"m")))/(EDATE($P673,DATEDIF($P673,INT($B673),"m")+1)-EDATE($P673,DATEDIF($P673,INT($B673),"m"))))/$R673,0)*$R673),$P673))))),"")))</f>
      </c>
      <c r="M673" s="223">
        <f>IF(OR($C673="",N($L673)=0,N($B673)=0),"",IF(IF(MOD($L673,1)=0,INT($B673),$B673)&lt;=$L673,"Đúng hạn","Trễ hạn"))</f>
      </c>
      <c r="N673" s="225">
        <f>IF($C673="","",ROW())</f>
      </c>
      <c r="O673" s="225">
        <f>IF($I673="Công việc",MATCH($C673,'Kế hoạch'!$A$6:$A$305,0),"")</f>
      </c>
      <c r="P673" s="234">
        <f>IF($O673="","",INDEX('Kế hoạch'!$I$6:$I$305,$O673))</f>
      </c>
      <c r="Q673" s="225">
        <f>IF($O673="","",INDEX('Kế hoạch'!$AJ$6:$AJ$305,$O673))</f>
      </c>
      <c r="R673" s="225">
        <f>IF($O673="","",INDEX('Kế hoạch'!$AK$6:$AK$305,$O673))</f>
      </c>
    </row>
    <row r="674">
      <c r="A674" s="223">
        <f>IF($C674="","",COUNTIF($C$6:$C674,"?*"))</f>
      </c>
      <c r="B674" s="217"/>
      <c r="C674" s="216"/>
      <c r="D674" s="240"/>
      <c r="E674" s="218"/>
      <c r="F674" s="218"/>
      <c r="G674" s="218"/>
      <c r="H674" s="219"/>
      <c r="I674" s="223">
        <f>IF($C674="","",IF(ISNUMBER(MATCH($C674,'Phản ánh'!$A$6:$A$505,0)),"Phản ánh",IF(ISNUMBER(MATCH($C674,'Kế hoạch'!$A$6:$A$305,0)),"Công việc","Mã chưa có")))</f>
      </c>
      <c r="J674" s="221">
        <f>IF($I674="Phản ánh",INDEX('Phản ánh'!$C$6:$C$505,MATCH($C674,'Phản ánh'!$A$6:$A$505,0)),IF($I674="Công việc",INDEX('Kế hoạch'!$C$6:$C$305,$O674),""))</f>
      </c>
      <c r="K674" s="221">
        <f>IF($I674="Phản ánh",INDEX('Phản ánh'!$K$6:$K$505,MATCH($C674,'Phản ánh'!$A$6:$A$505,0))&amp;"",IF($I674="Công việc",INDEX('Kế hoạch'!$N$6:$N$305,$O674)&amp;"",""))</f>
      </c>
      <c r="L674" s="220">
        <f>IF(OR($C674="",N($B674)=0),"",IF(AND($I674="Phản ánh",$E674="Đã xử lý"),INDEX('Phản ánh'!$U$6:$U$505,MATCH($C674,'Phản ánh'!$A$6:$A$505,0)),IF(AND($I674="Công việc",OR($E674="Hoàn thành",$E674="Hoàn thành kỳ")),IF(INDEX('Kế hoạch'!$B$6:$B$305,$O674)="Đột xuất",INDEX('Kế hoạch'!$AY$6:$AY$305,$O674),IF(N($P674)=0,"",IF(INT($B674)&lt;$P674,$P674,IF($Q674&gt;0,$P674+ROUND((INT($B674)-$P674)/$Q674,0)*$Q674,IF($R674&gt;0,EDATE($P674,ROUND((DATEDIF($P674,INT($B674),"m")+(INT($B674)-EDATE($P674,DATEDIF($P674,INT($B674),"m")))/(EDATE($P674,DATEDIF($P674,INT($B674),"m")+1)-EDATE($P674,DATEDIF($P674,INT($B674),"m"))))/$R674,0)*$R674),$P674))))),"")))</f>
      </c>
      <c r="M674" s="223">
        <f>IF(OR($C674="",N($L674)=0,N($B674)=0),"",IF(IF(MOD($L674,1)=0,INT($B674),$B674)&lt;=$L674,"Đúng hạn","Trễ hạn"))</f>
      </c>
      <c r="N674" s="225">
        <f>IF($C674="","",ROW())</f>
      </c>
      <c r="O674" s="225">
        <f>IF($I674="Công việc",MATCH($C674,'Kế hoạch'!$A$6:$A$305,0),"")</f>
      </c>
      <c r="P674" s="234">
        <f>IF($O674="","",INDEX('Kế hoạch'!$I$6:$I$305,$O674))</f>
      </c>
      <c r="Q674" s="225">
        <f>IF($O674="","",INDEX('Kế hoạch'!$AJ$6:$AJ$305,$O674))</f>
      </c>
      <c r="R674" s="225">
        <f>IF($O674="","",INDEX('Kế hoạch'!$AK$6:$AK$305,$O674))</f>
      </c>
    </row>
    <row r="675">
      <c r="A675" s="223">
        <f>IF($C675="","",COUNTIF($C$6:$C675,"?*"))</f>
      </c>
      <c r="B675" s="217"/>
      <c r="C675" s="216"/>
      <c r="D675" s="240"/>
      <c r="E675" s="218"/>
      <c r="F675" s="218"/>
      <c r="G675" s="218"/>
      <c r="H675" s="219"/>
      <c r="I675" s="223">
        <f>IF($C675="","",IF(ISNUMBER(MATCH($C675,'Phản ánh'!$A$6:$A$505,0)),"Phản ánh",IF(ISNUMBER(MATCH($C675,'Kế hoạch'!$A$6:$A$305,0)),"Công việc","Mã chưa có")))</f>
      </c>
      <c r="J675" s="221">
        <f>IF($I675="Phản ánh",INDEX('Phản ánh'!$C$6:$C$505,MATCH($C675,'Phản ánh'!$A$6:$A$505,0)),IF($I675="Công việc",INDEX('Kế hoạch'!$C$6:$C$305,$O675),""))</f>
      </c>
      <c r="K675" s="221">
        <f>IF($I675="Phản ánh",INDEX('Phản ánh'!$K$6:$K$505,MATCH($C675,'Phản ánh'!$A$6:$A$505,0))&amp;"",IF($I675="Công việc",INDEX('Kế hoạch'!$N$6:$N$305,$O675)&amp;"",""))</f>
      </c>
      <c r="L675" s="220">
        <f>IF(OR($C675="",N($B675)=0),"",IF(AND($I675="Phản ánh",$E675="Đã xử lý"),INDEX('Phản ánh'!$U$6:$U$505,MATCH($C675,'Phản ánh'!$A$6:$A$505,0)),IF(AND($I675="Công việc",OR($E675="Hoàn thành",$E675="Hoàn thành kỳ")),IF(INDEX('Kế hoạch'!$B$6:$B$305,$O675)="Đột xuất",INDEX('Kế hoạch'!$AY$6:$AY$305,$O675),IF(N($P675)=0,"",IF(INT($B675)&lt;$P675,$P675,IF($Q675&gt;0,$P675+ROUND((INT($B675)-$P675)/$Q675,0)*$Q675,IF($R675&gt;0,EDATE($P675,ROUND((DATEDIF($P675,INT($B675),"m")+(INT($B675)-EDATE($P675,DATEDIF($P675,INT($B675),"m")))/(EDATE($P675,DATEDIF($P675,INT($B675),"m")+1)-EDATE($P675,DATEDIF($P675,INT($B675),"m"))))/$R675,0)*$R675),$P675))))),"")))</f>
      </c>
      <c r="M675" s="223">
        <f>IF(OR($C675="",N($L675)=0,N($B675)=0),"",IF(IF(MOD($L675,1)=0,INT($B675),$B675)&lt;=$L675,"Đúng hạn","Trễ hạn"))</f>
      </c>
      <c r="N675" s="225">
        <f>IF($C675="","",ROW())</f>
      </c>
      <c r="O675" s="225">
        <f>IF($I675="Công việc",MATCH($C675,'Kế hoạch'!$A$6:$A$305,0),"")</f>
      </c>
      <c r="P675" s="234">
        <f>IF($O675="","",INDEX('Kế hoạch'!$I$6:$I$305,$O675))</f>
      </c>
      <c r="Q675" s="225">
        <f>IF($O675="","",INDEX('Kế hoạch'!$AJ$6:$AJ$305,$O675))</f>
      </c>
      <c r="R675" s="225">
        <f>IF($O675="","",INDEX('Kế hoạch'!$AK$6:$AK$305,$O675))</f>
      </c>
    </row>
    <row r="676">
      <c r="A676" s="223">
        <f>IF($C676="","",COUNTIF($C$6:$C676,"?*"))</f>
      </c>
      <c r="B676" s="217"/>
      <c r="C676" s="216"/>
      <c r="D676" s="240"/>
      <c r="E676" s="218"/>
      <c r="F676" s="218"/>
      <c r="G676" s="218"/>
      <c r="H676" s="219"/>
      <c r="I676" s="223">
        <f>IF($C676="","",IF(ISNUMBER(MATCH($C676,'Phản ánh'!$A$6:$A$505,0)),"Phản ánh",IF(ISNUMBER(MATCH($C676,'Kế hoạch'!$A$6:$A$305,0)),"Công việc","Mã chưa có")))</f>
      </c>
      <c r="J676" s="221">
        <f>IF($I676="Phản ánh",INDEX('Phản ánh'!$C$6:$C$505,MATCH($C676,'Phản ánh'!$A$6:$A$505,0)),IF($I676="Công việc",INDEX('Kế hoạch'!$C$6:$C$305,$O676),""))</f>
      </c>
      <c r="K676" s="221">
        <f>IF($I676="Phản ánh",INDEX('Phản ánh'!$K$6:$K$505,MATCH($C676,'Phản ánh'!$A$6:$A$505,0))&amp;"",IF($I676="Công việc",INDEX('Kế hoạch'!$N$6:$N$305,$O676)&amp;"",""))</f>
      </c>
      <c r="L676" s="220">
        <f>IF(OR($C676="",N($B676)=0),"",IF(AND($I676="Phản ánh",$E676="Đã xử lý"),INDEX('Phản ánh'!$U$6:$U$505,MATCH($C676,'Phản ánh'!$A$6:$A$505,0)),IF(AND($I676="Công việc",OR($E676="Hoàn thành",$E676="Hoàn thành kỳ")),IF(INDEX('Kế hoạch'!$B$6:$B$305,$O676)="Đột xuất",INDEX('Kế hoạch'!$AY$6:$AY$305,$O676),IF(N($P676)=0,"",IF(INT($B676)&lt;$P676,$P676,IF($Q676&gt;0,$P676+ROUND((INT($B676)-$P676)/$Q676,0)*$Q676,IF($R676&gt;0,EDATE($P676,ROUND((DATEDIF($P676,INT($B676),"m")+(INT($B676)-EDATE($P676,DATEDIF($P676,INT($B676),"m")))/(EDATE($P676,DATEDIF($P676,INT($B676),"m")+1)-EDATE($P676,DATEDIF($P676,INT($B676),"m"))))/$R676,0)*$R676),$P676))))),"")))</f>
      </c>
      <c r="M676" s="223">
        <f>IF(OR($C676="",N($L676)=0,N($B676)=0),"",IF(IF(MOD($L676,1)=0,INT($B676),$B676)&lt;=$L676,"Đúng hạn","Trễ hạn"))</f>
      </c>
      <c r="N676" s="225">
        <f>IF($C676="","",ROW())</f>
      </c>
      <c r="O676" s="225">
        <f>IF($I676="Công việc",MATCH($C676,'Kế hoạch'!$A$6:$A$305,0),"")</f>
      </c>
      <c r="P676" s="234">
        <f>IF($O676="","",INDEX('Kế hoạch'!$I$6:$I$305,$O676))</f>
      </c>
      <c r="Q676" s="225">
        <f>IF($O676="","",INDEX('Kế hoạch'!$AJ$6:$AJ$305,$O676))</f>
      </c>
      <c r="R676" s="225">
        <f>IF($O676="","",INDEX('Kế hoạch'!$AK$6:$AK$305,$O676))</f>
      </c>
    </row>
    <row r="677">
      <c r="A677" s="223">
        <f>IF($C677="","",COUNTIF($C$6:$C677,"?*"))</f>
      </c>
      <c r="B677" s="217"/>
      <c r="C677" s="216"/>
      <c r="D677" s="240"/>
      <c r="E677" s="218"/>
      <c r="F677" s="218"/>
      <c r="G677" s="218"/>
      <c r="H677" s="219"/>
      <c r="I677" s="223">
        <f>IF($C677="","",IF(ISNUMBER(MATCH($C677,'Phản ánh'!$A$6:$A$505,0)),"Phản ánh",IF(ISNUMBER(MATCH($C677,'Kế hoạch'!$A$6:$A$305,0)),"Công việc","Mã chưa có")))</f>
      </c>
      <c r="J677" s="221">
        <f>IF($I677="Phản ánh",INDEX('Phản ánh'!$C$6:$C$505,MATCH($C677,'Phản ánh'!$A$6:$A$505,0)),IF($I677="Công việc",INDEX('Kế hoạch'!$C$6:$C$305,$O677),""))</f>
      </c>
      <c r="K677" s="221">
        <f>IF($I677="Phản ánh",INDEX('Phản ánh'!$K$6:$K$505,MATCH($C677,'Phản ánh'!$A$6:$A$505,0))&amp;"",IF($I677="Công việc",INDEX('Kế hoạch'!$N$6:$N$305,$O677)&amp;"",""))</f>
      </c>
      <c r="L677" s="220">
        <f>IF(OR($C677="",N($B677)=0),"",IF(AND($I677="Phản ánh",$E677="Đã xử lý"),INDEX('Phản ánh'!$U$6:$U$505,MATCH($C677,'Phản ánh'!$A$6:$A$505,0)),IF(AND($I677="Công việc",OR($E677="Hoàn thành",$E677="Hoàn thành kỳ")),IF(INDEX('Kế hoạch'!$B$6:$B$305,$O677)="Đột xuất",INDEX('Kế hoạch'!$AY$6:$AY$305,$O677),IF(N($P677)=0,"",IF(INT($B677)&lt;$P677,$P677,IF($Q677&gt;0,$P677+ROUND((INT($B677)-$P677)/$Q677,0)*$Q677,IF($R677&gt;0,EDATE($P677,ROUND((DATEDIF($P677,INT($B677),"m")+(INT($B677)-EDATE($P677,DATEDIF($P677,INT($B677),"m")))/(EDATE($P677,DATEDIF($P677,INT($B677),"m")+1)-EDATE($P677,DATEDIF($P677,INT($B677),"m"))))/$R677,0)*$R677),$P677))))),"")))</f>
      </c>
      <c r="M677" s="223">
        <f>IF(OR($C677="",N($L677)=0,N($B677)=0),"",IF(IF(MOD($L677,1)=0,INT($B677),$B677)&lt;=$L677,"Đúng hạn","Trễ hạn"))</f>
      </c>
      <c r="N677" s="225">
        <f>IF($C677="","",ROW())</f>
      </c>
      <c r="O677" s="225">
        <f>IF($I677="Công việc",MATCH($C677,'Kế hoạch'!$A$6:$A$305,0),"")</f>
      </c>
      <c r="P677" s="234">
        <f>IF($O677="","",INDEX('Kế hoạch'!$I$6:$I$305,$O677))</f>
      </c>
      <c r="Q677" s="225">
        <f>IF($O677="","",INDEX('Kế hoạch'!$AJ$6:$AJ$305,$O677))</f>
      </c>
      <c r="R677" s="225">
        <f>IF($O677="","",INDEX('Kế hoạch'!$AK$6:$AK$305,$O677))</f>
      </c>
    </row>
    <row r="678">
      <c r="A678" s="223">
        <f>IF($C678="","",COUNTIF($C$6:$C678,"?*"))</f>
      </c>
      <c r="B678" s="217"/>
      <c r="C678" s="216"/>
      <c r="D678" s="240"/>
      <c r="E678" s="218"/>
      <c r="F678" s="218"/>
      <c r="G678" s="218"/>
      <c r="H678" s="219"/>
      <c r="I678" s="223">
        <f>IF($C678="","",IF(ISNUMBER(MATCH($C678,'Phản ánh'!$A$6:$A$505,0)),"Phản ánh",IF(ISNUMBER(MATCH($C678,'Kế hoạch'!$A$6:$A$305,0)),"Công việc","Mã chưa có")))</f>
      </c>
      <c r="J678" s="221">
        <f>IF($I678="Phản ánh",INDEX('Phản ánh'!$C$6:$C$505,MATCH($C678,'Phản ánh'!$A$6:$A$505,0)),IF($I678="Công việc",INDEX('Kế hoạch'!$C$6:$C$305,$O678),""))</f>
      </c>
      <c r="K678" s="221">
        <f>IF($I678="Phản ánh",INDEX('Phản ánh'!$K$6:$K$505,MATCH($C678,'Phản ánh'!$A$6:$A$505,0))&amp;"",IF($I678="Công việc",INDEX('Kế hoạch'!$N$6:$N$305,$O678)&amp;"",""))</f>
      </c>
      <c r="L678" s="220">
        <f>IF(OR($C678="",N($B678)=0),"",IF(AND($I678="Phản ánh",$E678="Đã xử lý"),INDEX('Phản ánh'!$U$6:$U$505,MATCH($C678,'Phản ánh'!$A$6:$A$505,0)),IF(AND($I678="Công việc",OR($E678="Hoàn thành",$E678="Hoàn thành kỳ")),IF(INDEX('Kế hoạch'!$B$6:$B$305,$O678)="Đột xuất",INDEX('Kế hoạch'!$AY$6:$AY$305,$O678),IF(N($P678)=0,"",IF(INT($B678)&lt;$P678,$P678,IF($Q678&gt;0,$P678+ROUND((INT($B678)-$P678)/$Q678,0)*$Q678,IF($R678&gt;0,EDATE($P678,ROUND((DATEDIF($P678,INT($B678),"m")+(INT($B678)-EDATE($P678,DATEDIF($P678,INT($B678),"m")))/(EDATE($P678,DATEDIF($P678,INT($B678),"m")+1)-EDATE($P678,DATEDIF($P678,INT($B678),"m"))))/$R678,0)*$R678),$P678))))),"")))</f>
      </c>
      <c r="M678" s="223">
        <f>IF(OR($C678="",N($L678)=0,N($B678)=0),"",IF(IF(MOD($L678,1)=0,INT($B678),$B678)&lt;=$L678,"Đúng hạn","Trễ hạn"))</f>
      </c>
      <c r="N678" s="225">
        <f>IF($C678="","",ROW())</f>
      </c>
      <c r="O678" s="225">
        <f>IF($I678="Công việc",MATCH($C678,'Kế hoạch'!$A$6:$A$305,0),"")</f>
      </c>
      <c r="P678" s="234">
        <f>IF($O678="","",INDEX('Kế hoạch'!$I$6:$I$305,$O678))</f>
      </c>
      <c r="Q678" s="225">
        <f>IF($O678="","",INDEX('Kế hoạch'!$AJ$6:$AJ$305,$O678))</f>
      </c>
      <c r="R678" s="225">
        <f>IF($O678="","",INDEX('Kế hoạch'!$AK$6:$AK$305,$O678))</f>
      </c>
    </row>
    <row r="679">
      <c r="A679" s="223">
        <f>IF($C679="","",COUNTIF($C$6:$C679,"?*"))</f>
      </c>
      <c r="B679" s="217"/>
      <c r="C679" s="216"/>
      <c r="D679" s="240"/>
      <c r="E679" s="218"/>
      <c r="F679" s="218"/>
      <c r="G679" s="218"/>
      <c r="H679" s="219"/>
      <c r="I679" s="223">
        <f>IF($C679="","",IF(ISNUMBER(MATCH($C679,'Phản ánh'!$A$6:$A$505,0)),"Phản ánh",IF(ISNUMBER(MATCH($C679,'Kế hoạch'!$A$6:$A$305,0)),"Công việc","Mã chưa có")))</f>
      </c>
      <c r="J679" s="221">
        <f>IF($I679="Phản ánh",INDEX('Phản ánh'!$C$6:$C$505,MATCH($C679,'Phản ánh'!$A$6:$A$505,0)),IF($I679="Công việc",INDEX('Kế hoạch'!$C$6:$C$305,$O679),""))</f>
      </c>
      <c r="K679" s="221">
        <f>IF($I679="Phản ánh",INDEX('Phản ánh'!$K$6:$K$505,MATCH($C679,'Phản ánh'!$A$6:$A$505,0))&amp;"",IF($I679="Công việc",INDEX('Kế hoạch'!$N$6:$N$305,$O679)&amp;"",""))</f>
      </c>
      <c r="L679" s="220">
        <f>IF(OR($C679="",N($B679)=0),"",IF(AND($I679="Phản ánh",$E679="Đã xử lý"),INDEX('Phản ánh'!$U$6:$U$505,MATCH($C679,'Phản ánh'!$A$6:$A$505,0)),IF(AND($I679="Công việc",OR($E679="Hoàn thành",$E679="Hoàn thành kỳ")),IF(INDEX('Kế hoạch'!$B$6:$B$305,$O679)="Đột xuất",INDEX('Kế hoạch'!$AY$6:$AY$305,$O679),IF(N($P679)=0,"",IF(INT($B679)&lt;$P679,$P679,IF($Q679&gt;0,$P679+ROUND((INT($B679)-$P679)/$Q679,0)*$Q679,IF($R679&gt;0,EDATE($P679,ROUND((DATEDIF($P679,INT($B679),"m")+(INT($B679)-EDATE($P679,DATEDIF($P679,INT($B679),"m")))/(EDATE($P679,DATEDIF($P679,INT($B679),"m")+1)-EDATE($P679,DATEDIF($P679,INT($B679),"m"))))/$R679,0)*$R679),$P679))))),"")))</f>
      </c>
      <c r="M679" s="223">
        <f>IF(OR($C679="",N($L679)=0,N($B679)=0),"",IF(IF(MOD($L679,1)=0,INT($B679),$B679)&lt;=$L679,"Đúng hạn","Trễ hạn"))</f>
      </c>
      <c r="N679" s="225">
        <f>IF($C679="","",ROW())</f>
      </c>
      <c r="O679" s="225">
        <f>IF($I679="Công việc",MATCH($C679,'Kế hoạch'!$A$6:$A$305,0),"")</f>
      </c>
      <c r="P679" s="234">
        <f>IF($O679="","",INDEX('Kế hoạch'!$I$6:$I$305,$O679))</f>
      </c>
      <c r="Q679" s="225">
        <f>IF($O679="","",INDEX('Kế hoạch'!$AJ$6:$AJ$305,$O679))</f>
      </c>
      <c r="R679" s="225">
        <f>IF($O679="","",INDEX('Kế hoạch'!$AK$6:$AK$305,$O679))</f>
      </c>
    </row>
    <row r="680">
      <c r="A680" s="223">
        <f>IF($C680="","",COUNTIF($C$6:$C680,"?*"))</f>
      </c>
      <c r="B680" s="217"/>
      <c r="C680" s="216"/>
      <c r="D680" s="240"/>
      <c r="E680" s="218"/>
      <c r="F680" s="218"/>
      <c r="G680" s="218"/>
      <c r="H680" s="219"/>
      <c r="I680" s="223">
        <f>IF($C680="","",IF(ISNUMBER(MATCH($C680,'Phản ánh'!$A$6:$A$505,0)),"Phản ánh",IF(ISNUMBER(MATCH($C680,'Kế hoạch'!$A$6:$A$305,0)),"Công việc","Mã chưa có")))</f>
      </c>
      <c r="J680" s="221">
        <f>IF($I680="Phản ánh",INDEX('Phản ánh'!$C$6:$C$505,MATCH($C680,'Phản ánh'!$A$6:$A$505,0)),IF($I680="Công việc",INDEX('Kế hoạch'!$C$6:$C$305,$O680),""))</f>
      </c>
      <c r="K680" s="221">
        <f>IF($I680="Phản ánh",INDEX('Phản ánh'!$K$6:$K$505,MATCH($C680,'Phản ánh'!$A$6:$A$505,0))&amp;"",IF($I680="Công việc",INDEX('Kế hoạch'!$N$6:$N$305,$O680)&amp;"",""))</f>
      </c>
      <c r="L680" s="220">
        <f>IF(OR($C680="",N($B680)=0),"",IF(AND($I680="Phản ánh",$E680="Đã xử lý"),INDEX('Phản ánh'!$U$6:$U$505,MATCH($C680,'Phản ánh'!$A$6:$A$505,0)),IF(AND($I680="Công việc",OR($E680="Hoàn thành",$E680="Hoàn thành kỳ")),IF(INDEX('Kế hoạch'!$B$6:$B$305,$O680)="Đột xuất",INDEX('Kế hoạch'!$AY$6:$AY$305,$O680),IF(N($P680)=0,"",IF(INT($B680)&lt;$P680,$P680,IF($Q680&gt;0,$P680+ROUND((INT($B680)-$P680)/$Q680,0)*$Q680,IF($R680&gt;0,EDATE($P680,ROUND((DATEDIF($P680,INT($B680),"m")+(INT($B680)-EDATE($P680,DATEDIF($P680,INT($B680),"m")))/(EDATE($P680,DATEDIF($P680,INT($B680),"m")+1)-EDATE($P680,DATEDIF($P680,INT($B680),"m"))))/$R680,0)*$R680),$P680))))),"")))</f>
      </c>
      <c r="M680" s="223">
        <f>IF(OR($C680="",N($L680)=0,N($B680)=0),"",IF(IF(MOD($L680,1)=0,INT($B680),$B680)&lt;=$L680,"Đúng hạn","Trễ hạn"))</f>
      </c>
      <c r="N680" s="225">
        <f>IF($C680="","",ROW())</f>
      </c>
      <c r="O680" s="225">
        <f>IF($I680="Công việc",MATCH($C680,'Kế hoạch'!$A$6:$A$305,0),"")</f>
      </c>
      <c r="P680" s="234">
        <f>IF($O680="","",INDEX('Kế hoạch'!$I$6:$I$305,$O680))</f>
      </c>
      <c r="Q680" s="225">
        <f>IF($O680="","",INDEX('Kế hoạch'!$AJ$6:$AJ$305,$O680))</f>
      </c>
      <c r="R680" s="225">
        <f>IF($O680="","",INDEX('Kế hoạch'!$AK$6:$AK$305,$O680))</f>
      </c>
    </row>
    <row r="681">
      <c r="A681" s="223">
        <f>IF($C681="","",COUNTIF($C$6:$C681,"?*"))</f>
      </c>
      <c r="B681" s="217"/>
      <c r="C681" s="216"/>
      <c r="D681" s="240"/>
      <c r="E681" s="218"/>
      <c r="F681" s="218"/>
      <c r="G681" s="218"/>
      <c r="H681" s="219"/>
      <c r="I681" s="223">
        <f>IF($C681="","",IF(ISNUMBER(MATCH($C681,'Phản ánh'!$A$6:$A$505,0)),"Phản ánh",IF(ISNUMBER(MATCH($C681,'Kế hoạch'!$A$6:$A$305,0)),"Công việc","Mã chưa có")))</f>
      </c>
      <c r="J681" s="221">
        <f>IF($I681="Phản ánh",INDEX('Phản ánh'!$C$6:$C$505,MATCH($C681,'Phản ánh'!$A$6:$A$505,0)),IF($I681="Công việc",INDEX('Kế hoạch'!$C$6:$C$305,$O681),""))</f>
      </c>
      <c r="K681" s="221">
        <f>IF($I681="Phản ánh",INDEX('Phản ánh'!$K$6:$K$505,MATCH($C681,'Phản ánh'!$A$6:$A$505,0))&amp;"",IF($I681="Công việc",INDEX('Kế hoạch'!$N$6:$N$305,$O681)&amp;"",""))</f>
      </c>
      <c r="L681" s="220">
        <f>IF(OR($C681="",N($B681)=0),"",IF(AND($I681="Phản ánh",$E681="Đã xử lý"),INDEX('Phản ánh'!$U$6:$U$505,MATCH($C681,'Phản ánh'!$A$6:$A$505,0)),IF(AND($I681="Công việc",OR($E681="Hoàn thành",$E681="Hoàn thành kỳ")),IF(INDEX('Kế hoạch'!$B$6:$B$305,$O681)="Đột xuất",INDEX('Kế hoạch'!$AY$6:$AY$305,$O681),IF(N($P681)=0,"",IF(INT($B681)&lt;$P681,$P681,IF($Q681&gt;0,$P681+ROUND((INT($B681)-$P681)/$Q681,0)*$Q681,IF($R681&gt;0,EDATE($P681,ROUND((DATEDIF($P681,INT($B681),"m")+(INT($B681)-EDATE($P681,DATEDIF($P681,INT($B681),"m")))/(EDATE($P681,DATEDIF($P681,INT($B681),"m")+1)-EDATE($P681,DATEDIF($P681,INT($B681),"m"))))/$R681,0)*$R681),$P681))))),"")))</f>
      </c>
      <c r="M681" s="223">
        <f>IF(OR($C681="",N($L681)=0,N($B681)=0),"",IF(IF(MOD($L681,1)=0,INT($B681),$B681)&lt;=$L681,"Đúng hạn","Trễ hạn"))</f>
      </c>
      <c r="N681" s="225">
        <f>IF($C681="","",ROW())</f>
      </c>
      <c r="O681" s="225">
        <f>IF($I681="Công việc",MATCH($C681,'Kế hoạch'!$A$6:$A$305,0),"")</f>
      </c>
      <c r="P681" s="234">
        <f>IF($O681="","",INDEX('Kế hoạch'!$I$6:$I$305,$O681))</f>
      </c>
      <c r="Q681" s="225">
        <f>IF($O681="","",INDEX('Kế hoạch'!$AJ$6:$AJ$305,$O681))</f>
      </c>
      <c r="R681" s="225">
        <f>IF($O681="","",INDEX('Kế hoạch'!$AK$6:$AK$305,$O681))</f>
      </c>
    </row>
    <row r="682">
      <c r="A682" s="223">
        <f>IF($C682="","",COUNTIF($C$6:$C682,"?*"))</f>
      </c>
      <c r="B682" s="217"/>
      <c r="C682" s="216"/>
      <c r="D682" s="240"/>
      <c r="E682" s="218"/>
      <c r="F682" s="218"/>
      <c r="G682" s="218"/>
      <c r="H682" s="219"/>
      <c r="I682" s="223">
        <f>IF($C682="","",IF(ISNUMBER(MATCH($C682,'Phản ánh'!$A$6:$A$505,0)),"Phản ánh",IF(ISNUMBER(MATCH($C682,'Kế hoạch'!$A$6:$A$305,0)),"Công việc","Mã chưa có")))</f>
      </c>
      <c r="J682" s="221">
        <f>IF($I682="Phản ánh",INDEX('Phản ánh'!$C$6:$C$505,MATCH($C682,'Phản ánh'!$A$6:$A$505,0)),IF($I682="Công việc",INDEX('Kế hoạch'!$C$6:$C$305,$O682),""))</f>
      </c>
      <c r="K682" s="221">
        <f>IF($I682="Phản ánh",INDEX('Phản ánh'!$K$6:$K$505,MATCH($C682,'Phản ánh'!$A$6:$A$505,0))&amp;"",IF($I682="Công việc",INDEX('Kế hoạch'!$N$6:$N$305,$O682)&amp;"",""))</f>
      </c>
      <c r="L682" s="220">
        <f>IF(OR($C682="",N($B682)=0),"",IF(AND($I682="Phản ánh",$E682="Đã xử lý"),INDEX('Phản ánh'!$U$6:$U$505,MATCH($C682,'Phản ánh'!$A$6:$A$505,0)),IF(AND($I682="Công việc",OR($E682="Hoàn thành",$E682="Hoàn thành kỳ")),IF(INDEX('Kế hoạch'!$B$6:$B$305,$O682)="Đột xuất",INDEX('Kế hoạch'!$AY$6:$AY$305,$O682),IF(N($P682)=0,"",IF(INT($B682)&lt;$P682,$P682,IF($Q682&gt;0,$P682+ROUND((INT($B682)-$P682)/$Q682,0)*$Q682,IF($R682&gt;0,EDATE($P682,ROUND((DATEDIF($P682,INT($B682),"m")+(INT($B682)-EDATE($P682,DATEDIF($P682,INT($B682),"m")))/(EDATE($P682,DATEDIF($P682,INT($B682),"m")+1)-EDATE($P682,DATEDIF($P682,INT($B682),"m"))))/$R682,0)*$R682),$P682))))),"")))</f>
      </c>
      <c r="M682" s="223">
        <f>IF(OR($C682="",N($L682)=0,N($B682)=0),"",IF(IF(MOD($L682,1)=0,INT($B682),$B682)&lt;=$L682,"Đúng hạn","Trễ hạn"))</f>
      </c>
      <c r="N682" s="225">
        <f>IF($C682="","",ROW())</f>
      </c>
      <c r="O682" s="225">
        <f>IF($I682="Công việc",MATCH($C682,'Kế hoạch'!$A$6:$A$305,0),"")</f>
      </c>
      <c r="P682" s="234">
        <f>IF($O682="","",INDEX('Kế hoạch'!$I$6:$I$305,$O682))</f>
      </c>
      <c r="Q682" s="225">
        <f>IF($O682="","",INDEX('Kế hoạch'!$AJ$6:$AJ$305,$O682))</f>
      </c>
      <c r="R682" s="225">
        <f>IF($O682="","",INDEX('Kế hoạch'!$AK$6:$AK$305,$O682))</f>
      </c>
    </row>
    <row r="683">
      <c r="A683" s="223">
        <f>IF($C683="","",COUNTIF($C$6:$C683,"?*"))</f>
      </c>
      <c r="B683" s="217"/>
      <c r="C683" s="216"/>
      <c r="D683" s="240"/>
      <c r="E683" s="218"/>
      <c r="F683" s="218"/>
      <c r="G683" s="218"/>
      <c r="H683" s="219"/>
      <c r="I683" s="223">
        <f>IF($C683="","",IF(ISNUMBER(MATCH($C683,'Phản ánh'!$A$6:$A$505,0)),"Phản ánh",IF(ISNUMBER(MATCH($C683,'Kế hoạch'!$A$6:$A$305,0)),"Công việc","Mã chưa có")))</f>
      </c>
      <c r="J683" s="221">
        <f>IF($I683="Phản ánh",INDEX('Phản ánh'!$C$6:$C$505,MATCH($C683,'Phản ánh'!$A$6:$A$505,0)),IF($I683="Công việc",INDEX('Kế hoạch'!$C$6:$C$305,$O683),""))</f>
      </c>
      <c r="K683" s="221">
        <f>IF($I683="Phản ánh",INDEX('Phản ánh'!$K$6:$K$505,MATCH($C683,'Phản ánh'!$A$6:$A$505,0))&amp;"",IF($I683="Công việc",INDEX('Kế hoạch'!$N$6:$N$305,$O683)&amp;"",""))</f>
      </c>
      <c r="L683" s="220">
        <f>IF(OR($C683="",N($B683)=0),"",IF(AND($I683="Phản ánh",$E683="Đã xử lý"),INDEX('Phản ánh'!$U$6:$U$505,MATCH($C683,'Phản ánh'!$A$6:$A$505,0)),IF(AND($I683="Công việc",OR($E683="Hoàn thành",$E683="Hoàn thành kỳ")),IF(INDEX('Kế hoạch'!$B$6:$B$305,$O683)="Đột xuất",INDEX('Kế hoạch'!$AY$6:$AY$305,$O683),IF(N($P683)=0,"",IF(INT($B683)&lt;$P683,$P683,IF($Q683&gt;0,$P683+ROUND((INT($B683)-$P683)/$Q683,0)*$Q683,IF($R683&gt;0,EDATE($P683,ROUND((DATEDIF($P683,INT($B683),"m")+(INT($B683)-EDATE($P683,DATEDIF($P683,INT($B683),"m")))/(EDATE($P683,DATEDIF($P683,INT($B683),"m")+1)-EDATE($P683,DATEDIF($P683,INT($B683),"m"))))/$R683,0)*$R683),$P683))))),"")))</f>
      </c>
      <c r="M683" s="223">
        <f>IF(OR($C683="",N($L683)=0,N($B683)=0),"",IF(IF(MOD($L683,1)=0,INT($B683),$B683)&lt;=$L683,"Đúng hạn","Trễ hạn"))</f>
      </c>
      <c r="N683" s="225">
        <f>IF($C683="","",ROW())</f>
      </c>
      <c r="O683" s="225">
        <f>IF($I683="Công việc",MATCH($C683,'Kế hoạch'!$A$6:$A$305,0),"")</f>
      </c>
      <c r="P683" s="234">
        <f>IF($O683="","",INDEX('Kế hoạch'!$I$6:$I$305,$O683))</f>
      </c>
      <c r="Q683" s="225">
        <f>IF($O683="","",INDEX('Kế hoạch'!$AJ$6:$AJ$305,$O683))</f>
      </c>
      <c r="R683" s="225">
        <f>IF($O683="","",INDEX('Kế hoạch'!$AK$6:$AK$305,$O683))</f>
      </c>
    </row>
    <row r="684">
      <c r="A684" s="223">
        <f>IF($C684="","",COUNTIF($C$6:$C684,"?*"))</f>
      </c>
      <c r="B684" s="217"/>
      <c r="C684" s="216"/>
      <c r="D684" s="240"/>
      <c r="E684" s="218"/>
      <c r="F684" s="218"/>
      <c r="G684" s="218"/>
      <c r="H684" s="219"/>
      <c r="I684" s="223">
        <f>IF($C684="","",IF(ISNUMBER(MATCH($C684,'Phản ánh'!$A$6:$A$505,0)),"Phản ánh",IF(ISNUMBER(MATCH($C684,'Kế hoạch'!$A$6:$A$305,0)),"Công việc","Mã chưa có")))</f>
      </c>
      <c r="J684" s="221">
        <f>IF($I684="Phản ánh",INDEX('Phản ánh'!$C$6:$C$505,MATCH($C684,'Phản ánh'!$A$6:$A$505,0)),IF($I684="Công việc",INDEX('Kế hoạch'!$C$6:$C$305,$O684),""))</f>
      </c>
      <c r="K684" s="221">
        <f>IF($I684="Phản ánh",INDEX('Phản ánh'!$K$6:$K$505,MATCH($C684,'Phản ánh'!$A$6:$A$505,0))&amp;"",IF($I684="Công việc",INDEX('Kế hoạch'!$N$6:$N$305,$O684)&amp;"",""))</f>
      </c>
      <c r="L684" s="220">
        <f>IF(OR($C684="",N($B684)=0),"",IF(AND($I684="Phản ánh",$E684="Đã xử lý"),INDEX('Phản ánh'!$U$6:$U$505,MATCH($C684,'Phản ánh'!$A$6:$A$505,0)),IF(AND($I684="Công việc",OR($E684="Hoàn thành",$E684="Hoàn thành kỳ")),IF(INDEX('Kế hoạch'!$B$6:$B$305,$O684)="Đột xuất",INDEX('Kế hoạch'!$AY$6:$AY$305,$O684),IF(N($P684)=0,"",IF(INT($B684)&lt;$P684,$P684,IF($Q684&gt;0,$P684+ROUND((INT($B684)-$P684)/$Q684,0)*$Q684,IF($R684&gt;0,EDATE($P684,ROUND((DATEDIF($P684,INT($B684),"m")+(INT($B684)-EDATE($P684,DATEDIF($P684,INT($B684),"m")))/(EDATE($P684,DATEDIF($P684,INT($B684),"m")+1)-EDATE($P684,DATEDIF($P684,INT($B684),"m"))))/$R684,0)*$R684),$P684))))),"")))</f>
      </c>
      <c r="M684" s="223">
        <f>IF(OR($C684="",N($L684)=0,N($B684)=0),"",IF(IF(MOD($L684,1)=0,INT($B684),$B684)&lt;=$L684,"Đúng hạn","Trễ hạn"))</f>
      </c>
      <c r="N684" s="225">
        <f>IF($C684="","",ROW())</f>
      </c>
      <c r="O684" s="225">
        <f>IF($I684="Công việc",MATCH($C684,'Kế hoạch'!$A$6:$A$305,0),"")</f>
      </c>
      <c r="P684" s="234">
        <f>IF($O684="","",INDEX('Kế hoạch'!$I$6:$I$305,$O684))</f>
      </c>
      <c r="Q684" s="225">
        <f>IF($O684="","",INDEX('Kế hoạch'!$AJ$6:$AJ$305,$O684))</f>
      </c>
      <c r="R684" s="225">
        <f>IF($O684="","",INDEX('Kế hoạch'!$AK$6:$AK$305,$O684))</f>
      </c>
    </row>
    <row r="685">
      <c r="A685" s="223">
        <f>IF($C685="","",COUNTIF($C$6:$C685,"?*"))</f>
      </c>
      <c r="B685" s="217"/>
      <c r="C685" s="216"/>
      <c r="D685" s="240"/>
      <c r="E685" s="218"/>
      <c r="F685" s="218"/>
      <c r="G685" s="218"/>
      <c r="H685" s="219"/>
      <c r="I685" s="223">
        <f>IF($C685="","",IF(ISNUMBER(MATCH($C685,'Phản ánh'!$A$6:$A$505,0)),"Phản ánh",IF(ISNUMBER(MATCH($C685,'Kế hoạch'!$A$6:$A$305,0)),"Công việc","Mã chưa có")))</f>
      </c>
      <c r="J685" s="221">
        <f>IF($I685="Phản ánh",INDEX('Phản ánh'!$C$6:$C$505,MATCH($C685,'Phản ánh'!$A$6:$A$505,0)),IF($I685="Công việc",INDEX('Kế hoạch'!$C$6:$C$305,$O685),""))</f>
      </c>
      <c r="K685" s="221">
        <f>IF($I685="Phản ánh",INDEX('Phản ánh'!$K$6:$K$505,MATCH($C685,'Phản ánh'!$A$6:$A$505,0))&amp;"",IF($I685="Công việc",INDEX('Kế hoạch'!$N$6:$N$305,$O685)&amp;"",""))</f>
      </c>
      <c r="L685" s="220">
        <f>IF(OR($C685="",N($B685)=0),"",IF(AND($I685="Phản ánh",$E685="Đã xử lý"),INDEX('Phản ánh'!$U$6:$U$505,MATCH($C685,'Phản ánh'!$A$6:$A$505,0)),IF(AND($I685="Công việc",OR($E685="Hoàn thành",$E685="Hoàn thành kỳ")),IF(INDEX('Kế hoạch'!$B$6:$B$305,$O685)="Đột xuất",INDEX('Kế hoạch'!$AY$6:$AY$305,$O685),IF(N($P685)=0,"",IF(INT($B685)&lt;$P685,$P685,IF($Q685&gt;0,$P685+ROUND((INT($B685)-$P685)/$Q685,0)*$Q685,IF($R685&gt;0,EDATE($P685,ROUND((DATEDIF($P685,INT($B685),"m")+(INT($B685)-EDATE($P685,DATEDIF($P685,INT($B685),"m")))/(EDATE($P685,DATEDIF($P685,INT($B685),"m")+1)-EDATE($P685,DATEDIF($P685,INT($B685),"m"))))/$R685,0)*$R685),$P685))))),"")))</f>
      </c>
      <c r="M685" s="223">
        <f>IF(OR($C685="",N($L685)=0,N($B685)=0),"",IF(IF(MOD($L685,1)=0,INT($B685),$B685)&lt;=$L685,"Đúng hạn","Trễ hạn"))</f>
      </c>
      <c r="N685" s="225">
        <f>IF($C685="","",ROW())</f>
      </c>
      <c r="O685" s="225">
        <f>IF($I685="Công việc",MATCH($C685,'Kế hoạch'!$A$6:$A$305,0),"")</f>
      </c>
      <c r="P685" s="234">
        <f>IF($O685="","",INDEX('Kế hoạch'!$I$6:$I$305,$O685))</f>
      </c>
      <c r="Q685" s="225">
        <f>IF($O685="","",INDEX('Kế hoạch'!$AJ$6:$AJ$305,$O685))</f>
      </c>
      <c r="R685" s="225">
        <f>IF($O685="","",INDEX('Kế hoạch'!$AK$6:$AK$305,$O685))</f>
      </c>
    </row>
    <row r="686">
      <c r="A686" s="223">
        <f>IF($C686="","",COUNTIF($C$6:$C686,"?*"))</f>
      </c>
      <c r="B686" s="217"/>
      <c r="C686" s="216"/>
      <c r="D686" s="240"/>
      <c r="E686" s="218"/>
      <c r="F686" s="218"/>
      <c r="G686" s="218"/>
      <c r="H686" s="219"/>
      <c r="I686" s="223">
        <f>IF($C686="","",IF(ISNUMBER(MATCH($C686,'Phản ánh'!$A$6:$A$505,0)),"Phản ánh",IF(ISNUMBER(MATCH($C686,'Kế hoạch'!$A$6:$A$305,0)),"Công việc","Mã chưa có")))</f>
      </c>
      <c r="J686" s="221">
        <f>IF($I686="Phản ánh",INDEX('Phản ánh'!$C$6:$C$505,MATCH($C686,'Phản ánh'!$A$6:$A$505,0)),IF($I686="Công việc",INDEX('Kế hoạch'!$C$6:$C$305,$O686),""))</f>
      </c>
      <c r="K686" s="221">
        <f>IF($I686="Phản ánh",INDEX('Phản ánh'!$K$6:$K$505,MATCH($C686,'Phản ánh'!$A$6:$A$505,0))&amp;"",IF($I686="Công việc",INDEX('Kế hoạch'!$N$6:$N$305,$O686)&amp;"",""))</f>
      </c>
      <c r="L686" s="220">
        <f>IF(OR($C686="",N($B686)=0),"",IF(AND($I686="Phản ánh",$E686="Đã xử lý"),INDEX('Phản ánh'!$U$6:$U$505,MATCH($C686,'Phản ánh'!$A$6:$A$505,0)),IF(AND($I686="Công việc",OR($E686="Hoàn thành",$E686="Hoàn thành kỳ")),IF(INDEX('Kế hoạch'!$B$6:$B$305,$O686)="Đột xuất",INDEX('Kế hoạch'!$AY$6:$AY$305,$O686),IF(N($P686)=0,"",IF(INT($B686)&lt;$P686,$P686,IF($Q686&gt;0,$P686+ROUND((INT($B686)-$P686)/$Q686,0)*$Q686,IF($R686&gt;0,EDATE($P686,ROUND((DATEDIF($P686,INT($B686),"m")+(INT($B686)-EDATE($P686,DATEDIF($P686,INT($B686),"m")))/(EDATE($P686,DATEDIF($P686,INT($B686),"m")+1)-EDATE($P686,DATEDIF($P686,INT($B686),"m"))))/$R686,0)*$R686),$P686))))),"")))</f>
      </c>
      <c r="M686" s="223">
        <f>IF(OR($C686="",N($L686)=0,N($B686)=0),"",IF(IF(MOD($L686,1)=0,INT($B686),$B686)&lt;=$L686,"Đúng hạn","Trễ hạn"))</f>
      </c>
      <c r="N686" s="225">
        <f>IF($C686="","",ROW())</f>
      </c>
      <c r="O686" s="225">
        <f>IF($I686="Công việc",MATCH($C686,'Kế hoạch'!$A$6:$A$305,0),"")</f>
      </c>
      <c r="P686" s="234">
        <f>IF($O686="","",INDEX('Kế hoạch'!$I$6:$I$305,$O686))</f>
      </c>
      <c r="Q686" s="225">
        <f>IF($O686="","",INDEX('Kế hoạch'!$AJ$6:$AJ$305,$O686))</f>
      </c>
      <c r="R686" s="225">
        <f>IF($O686="","",INDEX('Kế hoạch'!$AK$6:$AK$305,$O686))</f>
      </c>
    </row>
    <row r="687">
      <c r="A687" s="223">
        <f>IF($C687="","",COUNTIF($C$6:$C687,"?*"))</f>
      </c>
      <c r="B687" s="217"/>
      <c r="C687" s="216"/>
      <c r="D687" s="240"/>
      <c r="E687" s="218"/>
      <c r="F687" s="218"/>
      <c r="G687" s="218"/>
      <c r="H687" s="219"/>
      <c r="I687" s="223">
        <f>IF($C687="","",IF(ISNUMBER(MATCH($C687,'Phản ánh'!$A$6:$A$505,0)),"Phản ánh",IF(ISNUMBER(MATCH($C687,'Kế hoạch'!$A$6:$A$305,0)),"Công việc","Mã chưa có")))</f>
      </c>
      <c r="J687" s="221">
        <f>IF($I687="Phản ánh",INDEX('Phản ánh'!$C$6:$C$505,MATCH($C687,'Phản ánh'!$A$6:$A$505,0)),IF($I687="Công việc",INDEX('Kế hoạch'!$C$6:$C$305,$O687),""))</f>
      </c>
      <c r="K687" s="221">
        <f>IF($I687="Phản ánh",INDEX('Phản ánh'!$K$6:$K$505,MATCH($C687,'Phản ánh'!$A$6:$A$505,0))&amp;"",IF($I687="Công việc",INDEX('Kế hoạch'!$N$6:$N$305,$O687)&amp;"",""))</f>
      </c>
      <c r="L687" s="220">
        <f>IF(OR($C687="",N($B687)=0),"",IF(AND($I687="Phản ánh",$E687="Đã xử lý"),INDEX('Phản ánh'!$U$6:$U$505,MATCH($C687,'Phản ánh'!$A$6:$A$505,0)),IF(AND($I687="Công việc",OR($E687="Hoàn thành",$E687="Hoàn thành kỳ")),IF(INDEX('Kế hoạch'!$B$6:$B$305,$O687)="Đột xuất",INDEX('Kế hoạch'!$AY$6:$AY$305,$O687),IF(N($P687)=0,"",IF(INT($B687)&lt;$P687,$P687,IF($Q687&gt;0,$P687+ROUND((INT($B687)-$P687)/$Q687,0)*$Q687,IF($R687&gt;0,EDATE($P687,ROUND((DATEDIF($P687,INT($B687),"m")+(INT($B687)-EDATE($P687,DATEDIF($P687,INT($B687),"m")))/(EDATE($P687,DATEDIF($P687,INT($B687),"m")+1)-EDATE($P687,DATEDIF($P687,INT($B687),"m"))))/$R687,0)*$R687),$P687))))),"")))</f>
      </c>
      <c r="M687" s="223">
        <f>IF(OR($C687="",N($L687)=0,N($B687)=0),"",IF(IF(MOD($L687,1)=0,INT($B687),$B687)&lt;=$L687,"Đúng hạn","Trễ hạn"))</f>
      </c>
      <c r="N687" s="225">
        <f>IF($C687="","",ROW())</f>
      </c>
      <c r="O687" s="225">
        <f>IF($I687="Công việc",MATCH($C687,'Kế hoạch'!$A$6:$A$305,0),"")</f>
      </c>
      <c r="P687" s="234">
        <f>IF($O687="","",INDEX('Kế hoạch'!$I$6:$I$305,$O687))</f>
      </c>
      <c r="Q687" s="225">
        <f>IF($O687="","",INDEX('Kế hoạch'!$AJ$6:$AJ$305,$O687))</f>
      </c>
      <c r="R687" s="225">
        <f>IF($O687="","",INDEX('Kế hoạch'!$AK$6:$AK$305,$O687))</f>
      </c>
    </row>
    <row r="688">
      <c r="A688" s="223">
        <f>IF($C688="","",COUNTIF($C$6:$C688,"?*"))</f>
      </c>
      <c r="B688" s="217"/>
      <c r="C688" s="216"/>
      <c r="D688" s="240"/>
      <c r="E688" s="218"/>
      <c r="F688" s="218"/>
      <c r="G688" s="218"/>
      <c r="H688" s="219"/>
      <c r="I688" s="223">
        <f>IF($C688="","",IF(ISNUMBER(MATCH($C688,'Phản ánh'!$A$6:$A$505,0)),"Phản ánh",IF(ISNUMBER(MATCH($C688,'Kế hoạch'!$A$6:$A$305,0)),"Công việc","Mã chưa có")))</f>
      </c>
      <c r="J688" s="221">
        <f>IF($I688="Phản ánh",INDEX('Phản ánh'!$C$6:$C$505,MATCH($C688,'Phản ánh'!$A$6:$A$505,0)),IF($I688="Công việc",INDEX('Kế hoạch'!$C$6:$C$305,$O688),""))</f>
      </c>
      <c r="K688" s="221">
        <f>IF($I688="Phản ánh",INDEX('Phản ánh'!$K$6:$K$505,MATCH($C688,'Phản ánh'!$A$6:$A$505,0))&amp;"",IF($I688="Công việc",INDEX('Kế hoạch'!$N$6:$N$305,$O688)&amp;"",""))</f>
      </c>
      <c r="L688" s="220">
        <f>IF(OR($C688="",N($B688)=0),"",IF(AND($I688="Phản ánh",$E688="Đã xử lý"),INDEX('Phản ánh'!$U$6:$U$505,MATCH($C688,'Phản ánh'!$A$6:$A$505,0)),IF(AND($I688="Công việc",OR($E688="Hoàn thành",$E688="Hoàn thành kỳ")),IF(INDEX('Kế hoạch'!$B$6:$B$305,$O688)="Đột xuất",INDEX('Kế hoạch'!$AY$6:$AY$305,$O688),IF(N($P688)=0,"",IF(INT($B688)&lt;$P688,$P688,IF($Q688&gt;0,$P688+ROUND((INT($B688)-$P688)/$Q688,0)*$Q688,IF($R688&gt;0,EDATE($P688,ROUND((DATEDIF($P688,INT($B688),"m")+(INT($B688)-EDATE($P688,DATEDIF($P688,INT($B688),"m")))/(EDATE($P688,DATEDIF($P688,INT($B688),"m")+1)-EDATE($P688,DATEDIF($P688,INT($B688),"m"))))/$R688,0)*$R688),$P688))))),"")))</f>
      </c>
      <c r="M688" s="223">
        <f>IF(OR($C688="",N($L688)=0,N($B688)=0),"",IF(IF(MOD($L688,1)=0,INT($B688),$B688)&lt;=$L688,"Đúng hạn","Trễ hạn"))</f>
      </c>
      <c r="N688" s="225">
        <f>IF($C688="","",ROW())</f>
      </c>
      <c r="O688" s="225">
        <f>IF($I688="Công việc",MATCH($C688,'Kế hoạch'!$A$6:$A$305,0),"")</f>
      </c>
      <c r="P688" s="234">
        <f>IF($O688="","",INDEX('Kế hoạch'!$I$6:$I$305,$O688))</f>
      </c>
      <c r="Q688" s="225">
        <f>IF($O688="","",INDEX('Kế hoạch'!$AJ$6:$AJ$305,$O688))</f>
      </c>
      <c r="R688" s="225">
        <f>IF($O688="","",INDEX('Kế hoạch'!$AK$6:$AK$305,$O688))</f>
      </c>
    </row>
    <row r="689">
      <c r="A689" s="223">
        <f>IF($C689="","",COUNTIF($C$6:$C689,"?*"))</f>
      </c>
      <c r="B689" s="217"/>
      <c r="C689" s="216"/>
      <c r="D689" s="240"/>
      <c r="E689" s="218"/>
      <c r="F689" s="218"/>
      <c r="G689" s="218"/>
      <c r="H689" s="219"/>
      <c r="I689" s="223">
        <f>IF($C689="","",IF(ISNUMBER(MATCH($C689,'Phản ánh'!$A$6:$A$505,0)),"Phản ánh",IF(ISNUMBER(MATCH($C689,'Kế hoạch'!$A$6:$A$305,0)),"Công việc","Mã chưa có")))</f>
      </c>
      <c r="J689" s="221">
        <f>IF($I689="Phản ánh",INDEX('Phản ánh'!$C$6:$C$505,MATCH($C689,'Phản ánh'!$A$6:$A$505,0)),IF($I689="Công việc",INDEX('Kế hoạch'!$C$6:$C$305,$O689),""))</f>
      </c>
      <c r="K689" s="221">
        <f>IF($I689="Phản ánh",INDEX('Phản ánh'!$K$6:$K$505,MATCH($C689,'Phản ánh'!$A$6:$A$505,0))&amp;"",IF($I689="Công việc",INDEX('Kế hoạch'!$N$6:$N$305,$O689)&amp;"",""))</f>
      </c>
      <c r="L689" s="220">
        <f>IF(OR($C689="",N($B689)=0),"",IF(AND($I689="Phản ánh",$E689="Đã xử lý"),INDEX('Phản ánh'!$U$6:$U$505,MATCH($C689,'Phản ánh'!$A$6:$A$505,0)),IF(AND($I689="Công việc",OR($E689="Hoàn thành",$E689="Hoàn thành kỳ")),IF(INDEX('Kế hoạch'!$B$6:$B$305,$O689)="Đột xuất",INDEX('Kế hoạch'!$AY$6:$AY$305,$O689),IF(N($P689)=0,"",IF(INT($B689)&lt;$P689,$P689,IF($Q689&gt;0,$P689+ROUND((INT($B689)-$P689)/$Q689,0)*$Q689,IF($R689&gt;0,EDATE($P689,ROUND((DATEDIF($P689,INT($B689),"m")+(INT($B689)-EDATE($P689,DATEDIF($P689,INT($B689),"m")))/(EDATE($P689,DATEDIF($P689,INT($B689),"m")+1)-EDATE($P689,DATEDIF($P689,INT($B689),"m"))))/$R689,0)*$R689),$P689))))),"")))</f>
      </c>
      <c r="M689" s="223">
        <f>IF(OR($C689="",N($L689)=0,N($B689)=0),"",IF(IF(MOD($L689,1)=0,INT($B689),$B689)&lt;=$L689,"Đúng hạn","Trễ hạn"))</f>
      </c>
      <c r="N689" s="225">
        <f>IF($C689="","",ROW())</f>
      </c>
      <c r="O689" s="225">
        <f>IF($I689="Công việc",MATCH($C689,'Kế hoạch'!$A$6:$A$305,0),"")</f>
      </c>
      <c r="P689" s="234">
        <f>IF($O689="","",INDEX('Kế hoạch'!$I$6:$I$305,$O689))</f>
      </c>
      <c r="Q689" s="225">
        <f>IF($O689="","",INDEX('Kế hoạch'!$AJ$6:$AJ$305,$O689))</f>
      </c>
      <c r="R689" s="225">
        <f>IF($O689="","",INDEX('Kế hoạch'!$AK$6:$AK$305,$O689))</f>
      </c>
    </row>
    <row r="690">
      <c r="A690" s="223">
        <f>IF($C690="","",COUNTIF($C$6:$C690,"?*"))</f>
      </c>
      <c r="B690" s="217"/>
      <c r="C690" s="216"/>
      <c r="D690" s="240"/>
      <c r="E690" s="218"/>
      <c r="F690" s="218"/>
      <c r="G690" s="218"/>
      <c r="H690" s="219"/>
      <c r="I690" s="223">
        <f>IF($C690="","",IF(ISNUMBER(MATCH($C690,'Phản ánh'!$A$6:$A$505,0)),"Phản ánh",IF(ISNUMBER(MATCH($C690,'Kế hoạch'!$A$6:$A$305,0)),"Công việc","Mã chưa có")))</f>
      </c>
      <c r="J690" s="221">
        <f>IF($I690="Phản ánh",INDEX('Phản ánh'!$C$6:$C$505,MATCH($C690,'Phản ánh'!$A$6:$A$505,0)),IF($I690="Công việc",INDEX('Kế hoạch'!$C$6:$C$305,$O690),""))</f>
      </c>
      <c r="K690" s="221">
        <f>IF($I690="Phản ánh",INDEX('Phản ánh'!$K$6:$K$505,MATCH($C690,'Phản ánh'!$A$6:$A$505,0))&amp;"",IF($I690="Công việc",INDEX('Kế hoạch'!$N$6:$N$305,$O690)&amp;"",""))</f>
      </c>
      <c r="L690" s="220">
        <f>IF(OR($C690="",N($B690)=0),"",IF(AND($I690="Phản ánh",$E690="Đã xử lý"),INDEX('Phản ánh'!$U$6:$U$505,MATCH($C690,'Phản ánh'!$A$6:$A$505,0)),IF(AND($I690="Công việc",OR($E690="Hoàn thành",$E690="Hoàn thành kỳ")),IF(INDEX('Kế hoạch'!$B$6:$B$305,$O690)="Đột xuất",INDEX('Kế hoạch'!$AY$6:$AY$305,$O690),IF(N($P690)=0,"",IF(INT($B690)&lt;$P690,$P690,IF($Q690&gt;0,$P690+ROUND((INT($B690)-$P690)/$Q690,0)*$Q690,IF($R690&gt;0,EDATE($P690,ROUND((DATEDIF($P690,INT($B690),"m")+(INT($B690)-EDATE($P690,DATEDIF($P690,INT($B690),"m")))/(EDATE($P690,DATEDIF($P690,INT($B690),"m")+1)-EDATE($P690,DATEDIF($P690,INT($B690),"m"))))/$R690,0)*$R690),$P690))))),"")))</f>
      </c>
      <c r="M690" s="223">
        <f>IF(OR($C690="",N($L690)=0,N($B690)=0),"",IF(IF(MOD($L690,1)=0,INT($B690),$B690)&lt;=$L690,"Đúng hạn","Trễ hạn"))</f>
      </c>
      <c r="N690" s="225">
        <f>IF($C690="","",ROW())</f>
      </c>
      <c r="O690" s="225">
        <f>IF($I690="Công việc",MATCH($C690,'Kế hoạch'!$A$6:$A$305,0),"")</f>
      </c>
      <c r="P690" s="234">
        <f>IF($O690="","",INDEX('Kế hoạch'!$I$6:$I$305,$O690))</f>
      </c>
      <c r="Q690" s="225">
        <f>IF($O690="","",INDEX('Kế hoạch'!$AJ$6:$AJ$305,$O690))</f>
      </c>
      <c r="R690" s="225">
        <f>IF($O690="","",INDEX('Kế hoạch'!$AK$6:$AK$305,$O690))</f>
      </c>
    </row>
    <row r="691">
      <c r="A691" s="223">
        <f>IF($C691="","",COUNTIF($C$6:$C691,"?*"))</f>
      </c>
      <c r="B691" s="217"/>
      <c r="C691" s="216"/>
      <c r="D691" s="240"/>
      <c r="E691" s="218"/>
      <c r="F691" s="218"/>
      <c r="G691" s="218"/>
      <c r="H691" s="219"/>
      <c r="I691" s="223">
        <f>IF($C691="","",IF(ISNUMBER(MATCH($C691,'Phản ánh'!$A$6:$A$505,0)),"Phản ánh",IF(ISNUMBER(MATCH($C691,'Kế hoạch'!$A$6:$A$305,0)),"Công việc","Mã chưa có")))</f>
      </c>
      <c r="J691" s="221">
        <f>IF($I691="Phản ánh",INDEX('Phản ánh'!$C$6:$C$505,MATCH($C691,'Phản ánh'!$A$6:$A$505,0)),IF($I691="Công việc",INDEX('Kế hoạch'!$C$6:$C$305,$O691),""))</f>
      </c>
      <c r="K691" s="221">
        <f>IF($I691="Phản ánh",INDEX('Phản ánh'!$K$6:$K$505,MATCH($C691,'Phản ánh'!$A$6:$A$505,0))&amp;"",IF($I691="Công việc",INDEX('Kế hoạch'!$N$6:$N$305,$O691)&amp;"",""))</f>
      </c>
      <c r="L691" s="220">
        <f>IF(OR($C691="",N($B691)=0),"",IF(AND($I691="Phản ánh",$E691="Đã xử lý"),INDEX('Phản ánh'!$U$6:$U$505,MATCH($C691,'Phản ánh'!$A$6:$A$505,0)),IF(AND($I691="Công việc",OR($E691="Hoàn thành",$E691="Hoàn thành kỳ")),IF(INDEX('Kế hoạch'!$B$6:$B$305,$O691)="Đột xuất",INDEX('Kế hoạch'!$AY$6:$AY$305,$O691),IF(N($P691)=0,"",IF(INT($B691)&lt;$P691,$P691,IF($Q691&gt;0,$P691+ROUND((INT($B691)-$P691)/$Q691,0)*$Q691,IF($R691&gt;0,EDATE($P691,ROUND((DATEDIF($P691,INT($B691),"m")+(INT($B691)-EDATE($P691,DATEDIF($P691,INT($B691),"m")))/(EDATE($P691,DATEDIF($P691,INT($B691),"m")+1)-EDATE($P691,DATEDIF($P691,INT($B691),"m"))))/$R691,0)*$R691),$P691))))),"")))</f>
      </c>
      <c r="M691" s="223">
        <f>IF(OR($C691="",N($L691)=0,N($B691)=0),"",IF(IF(MOD($L691,1)=0,INT($B691),$B691)&lt;=$L691,"Đúng hạn","Trễ hạn"))</f>
      </c>
      <c r="N691" s="225">
        <f>IF($C691="","",ROW())</f>
      </c>
      <c r="O691" s="225">
        <f>IF($I691="Công việc",MATCH($C691,'Kế hoạch'!$A$6:$A$305,0),"")</f>
      </c>
      <c r="P691" s="234">
        <f>IF($O691="","",INDEX('Kế hoạch'!$I$6:$I$305,$O691))</f>
      </c>
      <c r="Q691" s="225">
        <f>IF($O691="","",INDEX('Kế hoạch'!$AJ$6:$AJ$305,$O691))</f>
      </c>
      <c r="R691" s="225">
        <f>IF($O691="","",INDEX('Kế hoạch'!$AK$6:$AK$305,$O691))</f>
      </c>
    </row>
    <row r="692">
      <c r="A692" s="223">
        <f>IF($C692="","",COUNTIF($C$6:$C692,"?*"))</f>
      </c>
      <c r="B692" s="217"/>
      <c r="C692" s="216"/>
      <c r="D692" s="240"/>
      <c r="E692" s="218"/>
      <c r="F692" s="218"/>
      <c r="G692" s="218"/>
      <c r="H692" s="219"/>
      <c r="I692" s="223">
        <f>IF($C692="","",IF(ISNUMBER(MATCH($C692,'Phản ánh'!$A$6:$A$505,0)),"Phản ánh",IF(ISNUMBER(MATCH($C692,'Kế hoạch'!$A$6:$A$305,0)),"Công việc","Mã chưa có")))</f>
      </c>
      <c r="J692" s="221">
        <f>IF($I692="Phản ánh",INDEX('Phản ánh'!$C$6:$C$505,MATCH($C692,'Phản ánh'!$A$6:$A$505,0)),IF($I692="Công việc",INDEX('Kế hoạch'!$C$6:$C$305,$O692),""))</f>
      </c>
      <c r="K692" s="221">
        <f>IF($I692="Phản ánh",INDEX('Phản ánh'!$K$6:$K$505,MATCH($C692,'Phản ánh'!$A$6:$A$505,0))&amp;"",IF($I692="Công việc",INDEX('Kế hoạch'!$N$6:$N$305,$O692)&amp;"",""))</f>
      </c>
      <c r="L692" s="220">
        <f>IF(OR($C692="",N($B692)=0),"",IF(AND($I692="Phản ánh",$E692="Đã xử lý"),INDEX('Phản ánh'!$U$6:$U$505,MATCH($C692,'Phản ánh'!$A$6:$A$505,0)),IF(AND($I692="Công việc",OR($E692="Hoàn thành",$E692="Hoàn thành kỳ")),IF(INDEX('Kế hoạch'!$B$6:$B$305,$O692)="Đột xuất",INDEX('Kế hoạch'!$AY$6:$AY$305,$O692),IF(N($P692)=0,"",IF(INT($B692)&lt;$P692,$P692,IF($Q692&gt;0,$P692+ROUND((INT($B692)-$P692)/$Q692,0)*$Q692,IF($R692&gt;0,EDATE($P692,ROUND((DATEDIF($P692,INT($B692),"m")+(INT($B692)-EDATE($P692,DATEDIF($P692,INT($B692),"m")))/(EDATE($P692,DATEDIF($P692,INT($B692),"m")+1)-EDATE($P692,DATEDIF($P692,INT($B692),"m"))))/$R692,0)*$R692),$P692))))),"")))</f>
      </c>
      <c r="M692" s="223">
        <f>IF(OR($C692="",N($L692)=0,N($B692)=0),"",IF(IF(MOD($L692,1)=0,INT($B692),$B692)&lt;=$L692,"Đúng hạn","Trễ hạn"))</f>
      </c>
      <c r="N692" s="225">
        <f>IF($C692="","",ROW())</f>
      </c>
      <c r="O692" s="225">
        <f>IF($I692="Công việc",MATCH($C692,'Kế hoạch'!$A$6:$A$305,0),"")</f>
      </c>
      <c r="P692" s="234">
        <f>IF($O692="","",INDEX('Kế hoạch'!$I$6:$I$305,$O692))</f>
      </c>
      <c r="Q692" s="225">
        <f>IF($O692="","",INDEX('Kế hoạch'!$AJ$6:$AJ$305,$O692))</f>
      </c>
      <c r="R692" s="225">
        <f>IF($O692="","",INDEX('Kế hoạch'!$AK$6:$AK$305,$O692))</f>
      </c>
    </row>
    <row r="693">
      <c r="A693" s="223">
        <f>IF($C693="","",COUNTIF($C$6:$C693,"?*"))</f>
      </c>
      <c r="B693" s="217"/>
      <c r="C693" s="216"/>
      <c r="D693" s="240"/>
      <c r="E693" s="218"/>
      <c r="F693" s="218"/>
      <c r="G693" s="218"/>
      <c r="H693" s="219"/>
      <c r="I693" s="223">
        <f>IF($C693="","",IF(ISNUMBER(MATCH($C693,'Phản ánh'!$A$6:$A$505,0)),"Phản ánh",IF(ISNUMBER(MATCH($C693,'Kế hoạch'!$A$6:$A$305,0)),"Công việc","Mã chưa có")))</f>
      </c>
      <c r="J693" s="221">
        <f>IF($I693="Phản ánh",INDEX('Phản ánh'!$C$6:$C$505,MATCH($C693,'Phản ánh'!$A$6:$A$505,0)),IF($I693="Công việc",INDEX('Kế hoạch'!$C$6:$C$305,$O693),""))</f>
      </c>
      <c r="K693" s="221">
        <f>IF($I693="Phản ánh",INDEX('Phản ánh'!$K$6:$K$505,MATCH($C693,'Phản ánh'!$A$6:$A$505,0))&amp;"",IF($I693="Công việc",INDEX('Kế hoạch'!$N$6:$N$305,$O693)&amp;"",""))</f>
      </c>
      <c r="L693" s="220">
        <f>IF(OR($C693="",N($B693)=0),"",IF(AND($I693="Phản ánh",$E693="Đã xử lý"),INDEX('Phản ánh'!$U$6:$U$505,MATCH($C693,'Phản ánh'!$A$6:$A$505,0)),IF(AND($I693="Công việc",OR($E693="Hoàn thành",$E693="Hoàn thành kỳ")),IF(INDEX('Kế hoạch'!$B$6:$B$305,$O693)="Đột xuất",INDEX('Kế hoạch'!$AY$6:$AY$305,$O693),IF(N($P693)=0,"",IF(INT($B693)&lt;$P693,$P693,IF($Q693&gt;0,$P693+ROUND((INT($B693)-$P693)/$Q693,0)*$Q693,IF($R693&gt;0,EDATE($P693,ROUND((DATEDIF($P693,INT($B693),"m")+(INT($B693)-EDATE($P693,DATEDIF($P693,INT($B693),"m")))/(EDATE($P693,DATEDIF($P693,INT($B693),"m")+1)-EDATE($P693,DATEDIF($P693,INT($B693),"m"))))/$R693,0)*$R693),$P693))))),"")))</f>
      </c>
      <c r="M693" s="223">
        <f>IF(OR($C693="",N($L693)=0,N($B693)=0),"",IF(IF(MOD($L693,1)=0,INT($B693),$B693)&lt;=$L693,"Đúng hạn","Trễ hạn"))</f>
      </c>
      <c r="N693" s="225">
        <f>IF($C693="","",ROW())</f>
      </c>
      <c r="O693" s="225">
        <f>IF($I693="Công việc",MATCH($C693,'Kế hoạch'!$A$6:$A$305,0),"")</f>
      </c>
      <c r="P693" s="234">
        <f>IF($O693="","",INDEX('Kế hoạch'!$I$6:$I$305,$O693))</f>
      </c>
      <c r="Q693" s="225">
        <f>IF($O693="","",INDEX('Kế hoạch'!$AJ$6:$AJ$305,$O693))</f>
      </c>
      <c r="R693" s="225">
        <f>IF($O693="","",INDEX('Kế hoạch'!$AK$6:$AK$305,$O693))</f>
      </c>
    </row>
    <row r="694">
      <c r="A694" s="223">
        <f>IF($C694="","",COUNTIF($C$6:$C694,"?*"))</f>
      </c>
      <c r="B694" s="217"/>
      <c r="C694" s="216"/>
      <c r="D694" s="240"/>
      <c r="E694" s="218"/>
      <c r="F694" s="218"/>
      <c r="G694" s="218"/>
      <c r="H694" s="219"/>
      <c r="I694" s="223">
        <f>IF($C694="","",IF(ISNUMBER(MATCH($C694,'Phản ánh'!$A$6:$A$505,0)),"Phản ánh",IF(ISNUMBER(MATCH($C694,'Kế hoạch'!$A$6:$A$305,0)),"Công việc","Mã chưa có")))</f>
      </c>
      <c r="J694" s="221">
        <f>IF($I694="Phản ánh",INDEX('Phản ánh'!$C$6:$C$505,MATCH($C694,'Phản ánh'!$A$6:$A$505,0)),IF($I694="Công việc",INDEX('Kế hoạch'!$C$6:$C$305,$O694),""))</f>
      </c>
      <c r="K694" s="221">
        <f>IF($I694="Phản ánh",INDEX('Phản ánh'!$K$6:$K$505,MATCH($C694,'Phản ánh'!$A$6:$A$505,0))&amp;"",IF($I694="Công việc",INDEX('Kế hoạch'!$N$6:$N$305,$O694)&amp;"",""))</f>
      </c>
      <c r="L694" s="220">
        <f>IF(OR($C694="",N($B694)=0),"",IF(AND($I694="Phản ánh",$E694="Đã xử lý"),INDEX('Phản ánh'!$U$6:$U$505,MATCH($C694,'Phản ánh'!$A$6:$A$505,0)),IF(AND($I694="Công việc",OR($E694="Hoàn thành",$E694="Hoàn thành kỳ")),IF(INDEX('Kế hoạch'!$B$6:$B$305,$O694)="Đột xuất",INDEX('Kế hoạch'!$AY$6:$AY$305,$O694),IF(N($P694)=0,"",IF(INT($B694)&lt;$P694,$P694,IF($Q694&gt;0,$P694+ROUND((INT($B694)-$P694)/$Q694,0)*$Q694,IF($R694&gt;0,EDATE($P694,ROUND((DATEDIF($P694,INT($B694),"m")+(INT($B694)-EDATE($P694,DATEDIF($P694,INT($B694),"m")))/(EDATE($P694,DATEDIF($P694,INT($B694),"m")+1)-EDATE($P694,DATEDIF($P694,INT($B694),"m"))))/$R694,0)*$R694),$P694))))),"")))</f>
      </c>
      <c r="M694" s="223">
        <f>IF(OR($C694="",N($L694)=0,N($B694)=0),"",IF(IF(MOD($L694,1)=0,INT($B694),$B694)&lt;=$L694,"Đúng hạn","Trễ hạn"))</f>
      </c>
      <c r="N694" s="225">
        <f>IF($C694="","",ROW())</f>
      </c>
      <c r="O694" s="225">
        <f>IF($I694="Công việc",MATCH($C694,'Kế hoạch'!$A$6:$A$305,0),"")</f>
      </c>
      <c r="P694" s="234">
        <f>IF($O694="","",INDEX('Kế hoạch'!$I$6:$I$305,$O694))</f>
      </c>
      <c r="Q694" s="225">
        <f>IF($O694="","",INDEX('Kế hoạch'!$AJ$6:$AJ$305,$O694))</f>
      </c>
      <c r="R694" s="225">
        <f>IF($O694="","",INDEX('Kế hoạch'!$AK$6:$AK$305,$O694))</f>
      </c>
    </row>
    <row r="695">
      <c r="A695" s="223">
        <f>IF($C695="","",COUNTIF($C$6:$C695,"?*"))</f>
      </c>
      <c r="B695" s="217"/>
      <c r="C695" s="216"/>
      <c r="D695" s="240"/>
      <c r="E695" s="218"/>
      <c r="F695" s="218"/>
      <c r="G695" s="218"/>
      <c r="H695" s="219"/>
      <c r="I695" s="223">
        <f>IF($C695="","",IF(ISNUMBER(MATCH($C695,'Phản ánh'!$A$6:$A$505,0)),"Phản ánh",IF(ISNUMBER(MATCH($C695,'Kế hoạch'!$A$6:$A$305,0)),"Công việc","Mã chưa có")))</f>
      </c>
      <c r="J695" s="221">
        <f>IF($I695="Phản ánh",INDEX('Phản ánh'!$C$6:$C$505,MATCH($C695,'Phản ánh'!$A$6:$A$505,0)),IF($I695="Công việc",INDEX('Kế hoạch'!$C$6:$C$305,$O695),""))</f>
      </c>
      <c r="K695" s="221">
        <f>IF($I695="Phản ánh",INDEX('Phản ánh'!$K$6:$K$505,MATCH($C695,'Phản ánh'!$A$6:$A$505,0))&amp;"",IF($I695="Công việc",INDEX('Kế hoạch'!$N$6:$N$305,$O695)&amp;"",""))</f>
      </c>
      <c r="L695" s="220">
        <f>IF(OR($C695="",N($B695)=0),"",IF(AND($I695="Phản ánh",$E695="Đã xử lý"),INDEX('Phản ánh'!$U$6:$U$505,MATCH($C695,'Phản ánh'!$A$6:$A$505,0)),IF(AND($I695="Công việc",OR($E695="Hoàn thành",$E695="Hoàn thành kỳ")),IF(INDEX('Kế hoạch'!$B$6:$B$305,$O695)="Đột xuất",INDEX('Kế hoạch'!$AY$6:$AY$305,$O695),IF(N($P695)=0,"",IF(INT($B695)&lt;$P695,$P695,IF($Q695&gt;0,$P695+ROUND((INT($B695)-$P695)/$Q695,0)*$Q695,IF($R695&gt;0,EDATE($P695,ROUND((DATEDIF($P695,INT($B695),"m")+(INT($B695)-EDATE($P695,DATEDIF($P695,INT($B695),"m")))/(EDATE($P695,DATEDIF($P695,INT($B695),"m")+1)-EDATE($P695,DATEDIF($P695,INT($B695),"m"))))/$R695,0)*$R695),$P695))))),"")))</f>
      </c>
      <c r="M695" s="223">
        <f>IF(OR($C695="",N($L695)=0,N($B695)=0),"",IF(IF(MOD($L695,1)=0,INT($B695),$B695)&lt;=$L695,"Đúng hạn","Trễ hạn"))</f>
      </c>
      <c r="N695" s="225">
        <f>IF($C695="","",ROW())</f>
      </c>
      <c r="O695" s="225">
        <f>IF($I695="Công việc",MATCH($C695,'Kế hoạch'!$A$6:$A$305,0),"")</f>
      </c>
      <c r="P695" s="234">
        <f>IF($O695="","",INDEX('Kế hoạch'!$I$6:$I$305,$O695))</f>
      </c>
      <c r="Q695" s="225">
        <f>IF($O695="","",INDEX('Kế hoạch'!$AJ$6:$AJ$305,$O695))</f>
      </c>
      <c r="R695" s="225">
        <f>IF($O695="","",INDEX('Kế hoạch'!$AK$6:$AK$305,$O695))</f>
      </c>
    </row>
    <row r="696">
      <c r="A696" s="223">
        <f>IF($C696="","",COUNTIF($C$6:$C696,"?*"))</f>
      </c>
      <c r="B696" s="217"/>
      <c r="C696" s="216"/>
      <c r="D696" s="240"/>
      <c r="E696" s="218"/>
      <c r="F696" s="218"/>
      <c r="G696" s="218"/>
      <c r="H696" s="219"/>
      <c r="I696" s="223">
        <f>IF($C696="","",IF(ISNUMBER(MATCH($C696,'Phản ánh'!$A$6:$A$505,0)),"Phản ánh",IF(ISNUMBER(MATCH($C696,'Kế hoạch'!$A$6:$A$305,0)),"Công việc","Mã chưa có")))</f>
      </c>
      <c r="J696" s="221">
        <f>IF($I696="Phản ánh",INDEX('Phản ánh'!$C$6:$C$505,MATCH($C696,'Phản ánh'!$A$6:$A$505,0)),IF($I696="Công việc",INDEX('Kế hoạch'!$C$6:$C$305,$O696),""))</f>
      </c>
      <c r="K696" s="221">
        <f>IF($I696="Phản ánh",INDEX('Phản ánh'!$K$6:$K$505,MATCH($C696,'Phản ánh'!$A$6:$A$505,0))&amp;"",IF($I696="Công việc",INDEX('Kế hoạch'!$N$6:$N$305,$O696)&amp;"",""))</f>
      </c>
      <c r="L696" s="220">
        <f>IF(OR($C696="",N($B696)=0),"",IF(AND($I696="Phản ánh",$E696="Đã xử lý"),INDEX('Phản ánh'!$U$6:$U$505,MATCH($C696,'Phản ánh'!$A$6:$A$505,0)),IF(AND($I696="Công việc",OR($E696="Hoàn thành",$E696="Hoàn thành kỳ")),IF(INDEX('Kế hoạch'!$B$6:$B$305,$O696)="Đột xuất",INDEX('Kế hoạch'!$AY$6:$AY$305,$O696),IF(N($P696)=0,"",IF(INT($B696)&lt;$P696,$P696,IF($Q696&gt;0,$P696+ROUND((INT($B696)-$P696)/$Q696,0)*$Q696,IF($R696&gt;0,EDATE($P696,ROUND((DATEDIF($P696,INT($B696),"m")+(INT($B696)-EDATE($P696,DATEDIF($P696,INT($B696),"m")))/(EDATE($P696,DATEDIF($P696,INT($B696),"m")+1)-EDATE($P696,DATEDIF($P696,INT($B696),"m"))))/$R696,0)*$R696),$P696))))),"")))</f>
      </c>
      <c r="M696" s="223">
        <f>IF(OR($C696="",N($L696)=0,N($B696)=0),"",IF(IF(MOD($L696,1)=0,INT($B696),$B696)&lt;=$L696,"Đúng hạn","Trễ hạn"))</f>
      </c>
      <c r="N696" s="225">
        <f>IF($C696="","",ROW())</f>
      </c>
      <c r="O696" s="225">
        <f>IF($I696="Công việc",MATCH($C696,'Kế hoạch'!$A$6:$A$305,0),"")</f>
      </c>
      <c r="P696" s="234">
        <f>IF($O696="","",INDEX('Kế hoạch'!$I$6:$I$305,$O696))</f>
      </c>
      <c r="Q696" s="225">
        <f>IF($O696="","",INDEX('Kế hoạch'!$AJ$6:$AJ$305,$O696))</f>
      </c>
      <c r="R696" s="225">
        <f>IF($O696="","",INDEX('Kế hoạch'!$AK$6:$AK$305,$O696))</f>
      </c>
    </row>
    <row r="697">
      <c r="A697" s="223">
        <f>IF($C697="","",COUNTIF($C$6:$C697,"?*"))</f>
      </c>
      <c r="B697" s="217"/>
      <c r="C697" s="216"/>
      <c r="D697" s="240"/>
      <c r="E697" s="218"/>
      <c r="F697" s="218"/>
      <c r="G697" s="218"/>
      <c r="H697" s="219"/>
      <c r="I697" s="223">
        <f>IF($C697="","",IF(ISNUMBER(MATCH($C697,'Phản ánh'!$A$6:$A$505,0)),"Phản ánh",IF(ISNUMBER(MATCH($C697,'Kế hoạch'!$A$6:$A$305,0)),"Công việc","Mã chưa có")))</f>
      </c>
      <c r="J697" s="221">
        <f>IF($I697="Phản ánh",INDEX('Phản ánh'!$C$6:$C$505,MATCH($C697,'Phản ánh'!$A$6:$A$505,0)),IF($I697="Công việc",INDEX('Kế hoạch'!$C$6:$C$305,$O697),""))</f>
      </c>
      <c r="K697" s="221">
        <f>IF($I697="Phản ánh",INDEX('Phản ánh'!$K$6:$K$505,MATCH($C697,'Phản ánh'!$A$6:$A$505,0))&amp;"",IF($I697="Công việc",INDEX('Kế hoạch'!$N$6:$N$305,$O697)&amp;"",""))</f>
      </c>
      <c r="L697" s="220">
        <f>IF(OR($C697="",N($B697)=0),"",IF(AND($I697="Phản ánh",$E697="Đã xử lý"),INDEX('Phản ánh'!$U$6:$U$505,MATCH($C697,'Phản ánh'!$A$6:$A$505,0)),IF(AND($I697="Công việc",OR($E697="Hoàn thành",$E697="Hoàn thành kỳ")),IF(INDEX('Kế hoạch'!$B$6:$B$305,$O697)="Đột xuất",INDEX('Kế hoạch'!$AY$6:$AY$305,$O697),IF(N($P697)=0,"",IF(INT($B697)&lt;$P697,$P697,IF($Q697&gt;0,$P697+ROUND((INT($B697)-$P697)/$Q697,0)*$Q697,IF($R697&gt;0,EDATE($P697,ROUND((DATEDIF($P697,INT($B697),"m")+(INT($B697)-EDATE($P697,DATEDIF($P697,INT($B697),"m")))/(EDATE($P697,DATEDIF($P697,INT($B697),"m")+1)-EDATE($P697,DATEDIF($P697,INT($B697),"m"))))/$R697,0)*$R697),$P697))))),"")))</f>
      </c>
      <c r="M697" s="223">
        <f>IF(OR($C697="",N($L697)=0,N($B697)=0),"",IF(IF(MOD($L697,1)=0,INT($B697),$B697)&lt;=$L697,"Đúng hạn","Trễ hạn"))</f>
      </c>
      <c r="N697" s="225">
        <f>IF($C697="","",ROW())</f>
      </c>
      <c r="O697" s="225">
        <f>IF($I697="Công việc",MATCH($C697,'Kế hoạch'!$A$6:$A$305,0),"")</f>
      </c>
      <c r="P697" s="234">
        <f>IF($O697="","",INDEX('Kế hoạch'!$I$6:$I$305,$O697))</f>
      </c>
      <c r="Q697" s="225">
        <f>IF($O697="","",INDEX('Kế hoạch'!$AJ$6:$AJ$305,$O697))</f>
      </c>
      <c r="R697" s="225">
        <f>IF($O697="","",INDEX('Kế hoạch'!$AK$6:$AK$305,$O697))</f>
      </c>
    </row>
    <row r="698">
      <c r="A698" s="223">
        <f>IF($C698="","",COUNTIF($C$6:$C698,"?*"))</f>
      </c>
      <c r="B698" s="217"/>
      <c r="C698" s="216"/>
      <c r="D698" s="240"/>
      <c r="E698" s="218"/>
      <c r="F698" s="218"/>
      <c r="G698" s="218"/>
      <c r="H698" s="219"/>
      <c r="I698" s="223">
        <f>IF($C698="","",IF(ISNUMBER(MATCH($C698,'Phản ánh'!$A$6:$A$505,0)),"Phản ánh",IF(ISNUMBER(MATCH($C698,'Kế hoạch'!$A$6:$A$305,0)),"Công việc","Mã chưa có")))</f>
      </c>
      <c r="J698" s="221">
        <f>IF($I698="Phản ánh",INDEX('Phản ánh'!$C$6:$C$505,MATCH($C698,'Phản ánh'!$A$6:$A$505,0)),IF($I698="Công việc",INDEX('Kế hoạch'!$C$6:$C$305,$O698),""))</f>
      </c>
      <c r="K698" s="221">
        <f>IF($I698="Phản ánh",INDEX('Phản ánh'!$K$6:$K$505,MATCH($C698,'Phản ánh'!$A$6:$A$505,0))&amp;"",IF($I698="Công việc",INDEX('Kế hoạch'!$N$6:$N$305,$O698)&amp;"",""))</f>
      </c>
      <c r="L698" s="220">
        <f>IF(OR($C698="",N($B698)=0),"",IF(AND($I698="Phản ánh",$E698="Đã xử lý"),INDEX('Phản ánh'!$U$6:$U$505,MATCH($C698,'Phản ánh'!$A$6:$A$505,0)),IF(AND($I698="Công việc",OR($E698="Hoàn thành",$E698="Hoàn thành kỳ")),IF(INDEX('Kế hoạch'!$B$6:$B$305,$O698)="Đột xuất",INDEX('Kế hoạch'!$AY$6:$AY$305,$O698),IF(N($P698)=0,"",IF(INT($B698)&lt;$P698,$P698,IF($Q698&gt;0,$P698+ROUND((INT($B698)-$P698)/$Q698,0)*$Q698,IF($R698&gt;0,EDATE($P698,ROUND((DATEDIF($P698,INT($B698),"m")+(INT($B698)-EDATE($P698,DATEDIF($P698,INT($B698),"m")))/(EDATE($P698,DATEDIF($P698,INT($B698),"m")+1)-EDATE($P698,DATEDIF($P698,INT($B698),"m"))))/$R698,0)*$R698),$P698))))),"")))</f>
      </c>
      <c r="M698" s="223">
        <f>IF(OR($C698="",N($L698)=0,N($B698)=0),"",IF(IF(MOD($L698,1)=0,INT($B698),$B698)&lt;=$L698,"Đúng hạn","Trễ hạn"))</f>
      </c>
      <c r="N698" s="225">
        <f>IF($C698="","",ROW())</f>
      </c>
      <c r="O698" s="225">
        <f>IF($I698="Công việc",MATCH($C698,'Kế hoạch'!$A$6:$A$305,0),"")</f>
      </c>
      <c r="P698" s="234">
        <f>IF($O698="","",INDEX('Kế hoạch'!$I$6:$I$305,$O698))</f>
      </c>
      <c r="Q698" s="225">
        <f>IF($O698="","",INDEX('Kế hoạch'!$AJ$6:$AJ$305,$O698))</f>
      </c>
      <c r="R698" s="225">
        <f>IF($O698="","",INDEX('Kế hoạch'!$AK$6:$AK$305,$O698))</f>
      </c>
    </row>
    <row r="699">
      <c r="A699" s="223">
        <f>IF($C699="","",COUNTIF($C$6:$C699,"?*"))</f>
      </c>
      <c r="B699" s="217"/>
      <c r="C699" s="216"/>
      <c r="D699" s="240"/>
      <c r="E699" s="218"/>
      <c r="F699" s="218"/>
      <c r="G699" s="218"/>
      <c r="H699" s="219"/>
      <c r="I699" s="223">
        <f>IF($C699="","",IF(ISNUMBER(MATCH($C699,'Phản ánh'!$A$6:$A$505,0)),"Phản ánh",IF(ISNUMBER(MATCH($C699,'Kế hoạch'!$A$6:$A$305,0)),"Công việc","Mã chưa có")))</f>
      </c>
      <c r="J699" s="221">
        <f>IF($I699="Phản ánh",INDEX('Phản ánh'!$C$6:$C$505,MATCH($C699,'Phản ánh'!$A$6:$A$505,0)),IF($I699="Công việc",INDEX('Kế hoạch'!$C$6:$C$305,$O699),""))</f>
      </c>
      <c r="K699" s="221">
        <f>IF($I699="Phản ánh",INDEX('Phản ánh'!$K$6:$K$505,MATCH($C699,'Phản ánh'!$A$6:$A$505,0))&amp;"",IF($I699="Công việc",INDEX('Kế hoạch'!$N$6:$N$305,$O699)&amp;"",""))</f>
      </c>
      <c r="L699" s="220">
        <f>IF(OR($C699="",N($B699)=0),"",IF(AND($I699="Phản ánh",$E699="Đã xử lý"),INDEX('Phản ánh'!$U$6:$U$505,MATCH($C699,'Phản ánh'!$A$6:$A$505,0)),IF(AND($I699="Công việc",OR($E699="Hoàn thành",$E699="Hoàn thành kỳ")),IF(INDEX('Kế hoạch'!$B$6:$B$305,$O699)="Đột xuất",INDEX('Kế hoạch'!$AY$6:$AY$305,$O699),IF(N($P699)=0,"",IF(INT($B699)&lt;$P699,$P699,IF($Q699&gt;0,$P699+ROUND((INT($B699)-$P699)/$Q699,0)*$Q699,IF($R699&gt;0,EDATE($P699,ROUND((DATEDIF($P699,INT($B699),"m")+(INT($B699)-EDATE($P699,DATEDIF($P699,INT($B699),"m")))/(EDATE($P699,DATEDIF($P699,INT($B699),"m")+1)-EDATE($P699,DATEDIF($P699,INT($B699),"m"))))/$R699,0)*$R699),$P699))))),"")))</f>
      </c>
      <c r="M699" s="223">
        <f>IF(OR($C699="",N($L699)=0,N($B699)=0),"",IF(IF(MOD($L699,1)=0,INT($B699),$B699)&lt;=$L699,"Đúng hạn","Trễ hạn"))</f>
      </c>
      <c r="N699" s="225">
        <f>IF($C699="","",ROW())</f>
      </c>
      <c r="O699" s="225">
        <f>IF($I699="Công việc",MATCH($C699,'Kế hoạch'!$A$6:$A$305,0),"")</f>
      </c>
      <c r="P699" s="234">
        <f>IF($O699="","",INDEX('Kế hoạch'!$I$6:$I$305,$O699))</f>
      </c>
      <c r="Q699" s="225">
        <f>IF($O699="","",INDEX('Kế hoạch'!$AJ$6:$AJ$305,$O699))</f>
      </c>
      <c r="R699" s="225">
        <f>IF($O699="","",INDEX('Kế hoạch'!$AK$6:$AK$305,$O699))</f>
      </c>
    </row>
    <row r="700">
      <c r="A700" s="223">
        <f>IF($C700="","",COUNTIF($C$6:$C700,"?*"))</f>
      </c>
      <c r="B700" s="217"/>
      <c r="C700" s="216"/>
      <c r="D700" s="240"/>
      <c r="E700" s="218"/>
      <c r="F700" s="218"/>
      <c r="G700" s="218"/>
      <c r="H700" s="219"/>
      <c r="I700" s="223">
        <f>IF($C700="","",IF(ISNUMBER(MATCH($C700,'Phản ánh'!$A$6:$A$505,0)),"Phản ánh",IF(ISNUMBER(MATCH($C700,'Kế hoạch'!$A$6:$A$305,0)),"Công việc","Mã chưa có")))</f>
      </c>
      <c r="J700" s="221">
        <f>IF($I700="Phản ánh",INDEX('Phản ánh'!$C$6:$C$505,MATCH($C700,'Phản ánh'!$A$6:$A$505,0)),IF($I700="Công việc",INDEX('Kế hoạch'!$C$6:$C$305,$O700),""))</f>
      </c>
      <c r="K700" s="221">
        <f>IF($I700="Phản ánh",INDEX('Phản ánh'!$K$6:$K$505,MATCH($C700,'Phản ánh'!$A$6:$A$505,0))&amp;"",IF($I700="Công việc",INDEX('Kế hoạch'!$N$6:$N$305,$O700)&amp;"",""))</f>
      </c>
      <c r="L700" s="220">
        <f>IF(OR($C700="",N($B700)=0),"",IF(AND($I700="Phản ánh",$E700="Đã xử lý"),INDEX('Phản ánh'!$U$6:$U$505,MATCH($C700,'Phản ánh'!$A$6:$A$505,0)),IF(AND($I700="Công việc",OR($E700="Hoàn thành",$E700="Hoàn thành kỳ")),IF(INDEX('Kế hoạch'!$B$6:$B$305,$O700)="Đột xuất",INDEX('Kế hoạch'!$AY$6:$AY$305,$O700),IF(N($P700)=0,"",IF(INT($B700)&lt;$P700,$P700,IF($Q700&gt;0,$P700+ROUND((INT($B700)-$P700)/$Q700,0)*$Q700,IF($R700&gt;0,EDATE($P700,ROUND((DATEDIF($P700,INT($B700),"m")+(INT($B700)-EDATE($P700,DATEDIF($P700,INT($B700),"m")))/(EDATE($P700,DATEDIF($P700,INT($B700),"m")+1)-EDATE($P700,DATEDIF($P700,INT($B700),"m"))))/$R700,0)*$R700),$P700))))),"")))</f>
      </c>
      <c r="M700" s="223">
        <f>IF(OR($C700="",N($L700)=0,N($B700)=0),"",IF(IF(MOD($L700,1)=0,INT($B700),$B700)&lt;=$L700,"Đúng hạn","Trễ hạn"))</f>
      </c>
      <c r="N700" s="225">
        <f>IF($C700="","",ROW())</f>
      </c>
      <c r="O700" s="225">
        <f>IF($I700="Công việc",MATCH($C700,'Kế hoạch'!$A$6:$A$305,0),"")</f>
      </c>
      <c r="P700" s="234">
        <f>IF($O700="","",INDEX('Kế hoạch'!$I$6:$I$305,$O700))</f>
      </c>
      <c r="Q700" s="225">
        <f>IF($O700="","",INDEX('Kế hoạch'!$AJ$6:$AJ$305,$O700))</f>
      </c>
      <c r="R700" s="225">
        <f>IF($O700="","",INDEX('Kế hoạch'!$AK$6:$AK$305,$O700))</f>
      </c>
    </row>
    <row r="701">
      <c r="A701" s="223">
        <f>IF($C701="","",COUNTIF($C$6:$C701,"?*"))</f>
      </c>
      <c r="B701" s="217"/>
      <c r="C701" s="216"/>
      <c r="D701" s="240"/>
      <c r="E701" s="218"/>
      <c r="F701" s="218"/>
      <c r="G701" s="218"/>
      <c r="H701" s="219"/>
      <c r="I701" s="223">
        <f>IF($C701="","",IF(ISNUMBER(MATCH($C701,'Phản ánh'!$A$6:$A$505,0)),"Phản ánh",IF(ISNUMBER(MATCH($C701,'Kế hoạch'!$A$6:$A$305,0)),"Công việc","Mã chưa có")))</f>
      </c>
      <c r="J701" s="221">
        <f>IF($I701="Phản ánh",INDEX('Phản ánh'!$C$6:$C$505,MATCH($C701,'Phản ánh'!$A$6:$A$505,0)),IF($I701="Công việc",INDEX('Kế hoạch'!$C$6:$C$305,$O701),""))</f>
      </c>
      <c r="K701" s="221">
        <f>IF($I701="Phản ánh",INDEX('Phản ánh'!$K$6:$K$505,MATCH($C701,'Phản ánh'!$A$6:$A$505,0))&amp;"",IF($I701="Công việc",INDEX('Kế hoạch'!$N$6:$N$305,$O701)&amp;"",""))</f>
      </c>
      <c r="L701" s="220">
        <f>IF(OR($C701="",N($B701)=0),"",IF(AND($I701="Phản ánh",$E701="Đã xử lý"),INDEX('Phản ánh'!$U$6:$U$505,MATCH($C701,'Phản ánh'!$A$6:$A$505,0)),IF(AND($I701="Công việc",OR($E701="Hoàn thành",$E701="Hoàn thành kỳ")),IF(INDEX('Kế hoạch'!$B$6:$B$305,$O701)="Đột xuất",INDEX('Kế hoạch'!$AY$6:$AY$305,$O701),IF(N($P701)=0,"",IF(INT($B701)&lt;$P701,$P701,IF($Q701&gt;0,$P701+ROUND((INT($B701)-$P701)/$Q701,0)*$Q701,IF($R701&gt;0,EDATE($P701,ROUND((DATEDIF($P701,INT($B701),"m")+(INT($B701)-EDATE($P701,DATEDIF($P701,INT($B701),"m")))/(EDATE($P701,DATEDIF($P701,INT($B701),"m")+1)-EDATE($P701,DATEDIF($P701,INT($B701),"m"))))/$R701,0)*$R701),$P701))))),"")))</f>
      </c>
      <c r="M701" s="223">
        <f>IF(OR($C701="",N($L701)=0,N($B701)=0),"",IF(IF(MOD($L701,1)=0,INT($B701),$B701)&lt;=$L701,"Đúng hạn","Trễ hạn"))</f>
      </c>
      <c r="N701" s="225">
        <f>IF($C701="","",ROW())</f>
      </c>
      <c r="O701" s="225">
        <f>IF($I701="Công việc",MATCH($C701,'Kế hoạch'!$A$6:$A$305,0),"")</f>
      </c>
      <c r="P701" s="234">
        <f>IF($O701="","",INDEX('Kế hoạch'!$I$6:$I$305,$O701))</f>
      </c>
      <c r="Q701" s="225">
        <f>IF($O701="","",INDEX('Kế hoạch'!$AJ$6:$AJ$305,$O701))</f>
      </c>
      <c r="R701" s="225">
        <f>IF($O701="","",INDEX('Kế hoạch'!$AK$6:$AK$305,$O701))</f>
      </c>
    </row>
    <row r="702">
      <c r="A702" s="223">
        <f>IF($C702="","",COUNTIF($C$6:$C702,"?*"))</f>
      </c>
      <c r="B702" s="217"/>
      <c r="C702" s="216"/>
      <c r="D702" s="240"/>
      <c r="E702" s="218"/>
      <c r="F702" s="218"/>
      <c r="G702" s="218"/>
      <c r="H702" s="219"/>
      <c r="I702" s="223">
        <f>IF($C702="","",IF(ISNUMBER(MATCH($C702,'Phản ánh'!$A$6:$A$505,0)),"Phản ánh",IF(ISNUMBER(MATCH($C702,'Kế hoạch'!$A$6:$A$305,0)),"Công việc","Mã chưa có")))</f>
      </c>
      <c r="J702" s="221">
        <f>IF($I702="Phản ánh",INDEX('Phản ánh'!$C$6:$C$505,MATCH($C702,'Phản ánh'!$A$6:$A$505,0)),IF($I702="Công việc",INDEX('Kế hoạch'!$C$6:$C$305,$O702),""))</f>
      </c>
      <c r="K702" s="221">
        <f>IF($I702="Phản ánh",INDEX('Phản ánh'!$K$6:$K$505,MATCH($C702,'Phản ánh'!$A$6:$A$505,0))&amp;"",IF($I702="Công việc",INDEX('Kế hoạch'!$N$6:$N$305,$O702)&amp;"",""))</f>
      </c>
      <c r="L702" s="220">
        <f>IF(OR($C702="",N($B702)=0),"",IF(AND($I702="Phản ánh",$E702="Đã xử lý"),INDEX('Phản ánh'!$U$6:$U$505,MATCH($C702,'Phản ánh'!$A$6:$A$505,0)),IF(AND($I702="Công việc",OR($E702="Hoàn thành",$E702="Hoàn thành kỳ")),IF(INDEX('Kế hoạch'!$B$6:$B$305,$O702)="Đột xuất",INDEX('Kế hoạch'!$AY$6:$AY$305,$O702),IF(N($P702)=0,"",IF(INT($B702)&lt;$P702,$P702,IF($Q702&gt;0,$P702+ROUND((INT($B702)-$P702)/$Q702,0)*$Q702,IF($R702&gt;0,EDATE($P702,ROUND((DATEDIF($P702,INT($B702),"m")+(INT($B702)-EDATE($P702,DATEDIF($P702,INT($B702),"m")))/(EDATE($P702,DATEDIF($P702,INT($B702),"m")+1)-EDATE($P702,DATEDIF($P702,INT($B702),"m"))))/$R702,0)*$R702),$P702))))),"")))</f>
      </c>
      <c r="M702" s="223">
        <f>IF(OR($C702="",N($L702)=0,N($B702)=0),"",IF(IF(MOD($L702,1)=0,INT($B702),$B702)&lt;=$L702,"Đúng hạn","Trễ hạn"))</f>
      </c>
      <c r="N702" s="225">
        <f>IF($C702="","",ROW())</f>
      </c>
      <c r="O702" s="225">
        <f>IF($I702="Công việc",MATCH($C702,'Kế hoạch'!$A$6:$A$305,0),"")</f>
      </c>
      <c r="P702" s="234">
        <f>IF($O702="","",INDEX('Kế hoạch'!$I$6:$I$305,$O702))</f>
      </c>
      <c r="Q702" s="225">
        <f>IF($O702="","",INDEX('Kế hoạch'!$AJ$6:$AJ$305,$O702))</f>
      </c>
      <c r="R702" s="225">
        <f>IF($O702="","",INDEX('Kế hoạch'!$AK$6:$AK$305,$O702))</f>
      </c>
    </row>
    <row r="703">
      <c r="A703" s="223">
        <f>IF($C703="","",COUNTIF($C$6:$C703,"?*"))</f>
      </c>
      <c r="B703" s="217"/>
      <c r="C703" s="216"/>
      <c r="D703" s="240"/>
      <c r="E703" s="218"/>
      <c r="F703" s="218"/>
      <c r="G703" s="218"/>
      <c r="H703" s="219"/>
      <c r="I703" s="223">
        <f>IF($C703="","",IF(ISNUMBER(MATCH($C703,'Phản ánh'!$A$6:$A$505,0)),"Phản ánh",IF(ISNUMBER(MATCH($C703,'Kế hoạch'!$A$6:$A$305,0)),"Công việc","Mã chưa có")))</f>
      </c>
      <c r="J703" s="221">
        <f>IF($I703="Phản ánh",INDEX('Phản ánh'!$C$6:$C$505,MATCH($C703,'Phản ánh'!$A$6:$A$505,0)),IF($I703="Công việc",INDEX('Kế hoạch'!$C$6:$C$305,$O703),""))</f>
      </c>
      <c r="K703" s="221">
        <f>IF($I703="Phản ánh",INDEX('Phản ánh'!$K$6:$K$505,MATCH($C703,'Phản ánh'!$A$6:$A$505,0))&amp;"",IF($I703="Công việc",INDEX('Kế hoạch'!$N$6:$N$305,$O703)&amp;"",""))</f>
      </c>
      <c r="L703" s="220">
        <f>IF(OR($C703="",N($B703)=0),"",IF(AND($I703="Phản ánh",$E703="Đã xử lý"),INDEX('Phản ánh'!$U$6:$U$505,MATCH($C703,'Phản ánh'!$A$6:$A$505,0)),IF(AND($I703="Công việc",OR($E703="Hoàn thành",$E703="Hoàn thành kỳ")),IF(INDEX('Kế hoạch'!$B$6:$B$305,$O703)="Đột xuất",INDEX('Kế hoạch'!$AY$6:$AY$305,$O703),IF(N($P703)=0,"",IF(INT($B703)&lt;$P703,$P703,IF($Q703&gt;0,$P703+ROUND((INT($B703)-$P703)/$Q703,0)*$Q703,IF($R703&gt;0,EDATE($P703,ROUND((DATEDIF($P703,INT($B703),"m")+(INT($B703)-EDATE($P703,DATEDIF($P703,INT($B703),"m")))/(EDATE($P703,DATEDIF($P703,INT($B703),"m")+1)-EDATE($P703,DATEDIF($P703,INT($B703),"m"))))/$R703,0)*$R703),$P703))))),"")))</f>
      </c>
      <c r="M703" s="223">
        <f>IF(OR($C703="",N($L703)=0,N($B703)=0),"",IF(IF(MOD($L703,1)=0,INT($B703),$B703)&lt;=$L703,"Đúng hạn","Trễ hạn"))</f>
      </c>
      <c r="N703" s="225">
        <f>IF($C703="","",ROW())</f>
      </c>
      <c r="O703" s="225">
        <f>IF($I703="Công việc",MATCH($C703,'Kế hoạch'!$A$6:$A$305,0),"")</f>
      </c>
      <c r="P703" s="234">
        <f>IF($O703="","",INDEX('Kế hoạch'!$I$6:$I$305,$O703))</f>
      </c>
      <c r="Q703" s="225">
        <f>IF($O703="","",INDEX('Kế hoạch'!$AJ$6:$AJ$305,$O703))</f>
      </c>
      <c r="R703" s="225">
        <f>IF($O703="","",INDEX('Kế hoạch'!$AK$6:$AK$305,$O703))</f>
      </c>
    </row>
    <row r="704">
      <c r="A704" s="223">
        <f>IF($C704="","",COUNTIF($C$6:$C704,"?*"))</f>
      </c>
      <c r="B704" s="217"/>
      <c r="C704" s="216"/>
      <c r="D704" s="240"/>
      <c r="E704" s="218"/>
      <c r="F704" s="218"/>
      <c r="G704" s="218"/>
      <c r="H704" s="219"/>
      <c r="I704" s="223">
        <f>IF($C704="","",IF(ISNUMBER(MATCH($C704,'Phản ánh'!$A$6:$A$505,0)),"Phản ánh",IF(ISNUMBER(MATCH($C704,'Kế hoạch'!$A$6:$A$305,0)),"Công việc","Mã chưa có")))</f>
      </c>
      <c r="J704" s="221">
        <f>IF($I704="Phản ánh",INDEX('Phản ánh'!$C$6:$C$505,MATCH($C704,'Phản ánh'!$A$6:$A$505,0)),IF($I704="Công việc",INDEX('Kế hoạch'!$C$6:$C$305,$O704),""))</f>
      </c>
      <c r="K704" s="221">
        <f>IF($I704="Phản ánh",INDEX('Phản ánh'!$K$6:$K$505,MATCH($C704,'Phản ánh'!$A$6:$A$505,0))&amp;"",IF($I704="Công việc",INDEX('Kế hoạch'!$N$6:$N$305,$O704)&amp;"",""))</f>
      </c>
      <c r="L704" s="220">
        <f>IF(OR($C704="",N($B704)=0),"",IF(AND($I704="Phản ánh",$E704="Đã xử lý"),INDEX('Phản ánh'!$U$6:$U$505,MATCH($C704,'Phản ánh'!$A$6:$A$505,0)),IF(AND($I704="Công việc",OR($E704="Hoàn thành",$E704="Hoàn thành kỳ")),IF(INDEX('Kế hoạch'!$B$6:$B$305,$O704)="Đột xuất",INDEX('Kế hoạch'!$AY$6:$AY$305,$O704),IF(N($P704)=0,"",IF(INT($B704)&lt;$P704,$P704,IF($Q704&gt;0,$P704+ROUND((INT($B704)-$P704)/$Q704,0)*$Q704,IF($R704&gt;0,EDATE($P704,ROUND((DATEDIF($P704,INT($B704),"m")+(INT($B704)-EDATE($P704,DATEDIF($P704,INT($B704),"m")))/(EDATE($P704,DATEDIF($P704,INT($B704),"m")+1)-EDATE($P704,DATEDIF($P704,INT($B704),"m"))))/$R704,0)*$R704),$P704))))),"")))</f>
      </c>
      <c r="M704" s="223">
        <f>IF(OR($C704="",N($L704)=0,N($B704)=0),"",IF(IF(MOD($L704,1)=0,INT($B704),$B704)&lt;=$L704,"Đúng hạn","Trễ hạn"))</f>
      </c>
      <c r="N704" s="225">
        <f>IF($C704="","",ROW())</f>
      </c>
      <c r="O704" s="225">
        <f>IF($I704="Công việc",MATCH($C704,'Kế hoạch'!$A$6:$A$305,0),"")</f>
      </c>
      <c r="P704" s="234">
        <f>IF($O704="","",INDEX('Kế hoạch'!$I$6:$I$305,$O704))</f>
      </c>
      <c r="Q704" s="225">
        <f>IF($O704="","",INDEX('Kế hoạch'!$AJ$6:$AJ$305,$O704))</f>
      </c>
      <c r="R704" s="225">
        <f>IF($O704="","",INDEX('Kế hoạch'!$AK$6:$AK$305,$O704))</f>
      </c>
    </row>
    <row r="705">
      <c r="A705" s="223">
        <f>IF($C705="","",COUNTIF($C$6:$C705,"?*"))</f>
      </c>
      <c r="B705" s="217"/>
      <c r="C705" s="216"/>
      <c r="D705" s="240"/>
      <c r="E705" s="218"/>
      <c r="F705" s="218"/>
      <c r="G705" s="218"/>
      <c r="H705" s="219"/>
      <c r="I705" s="223">
        <f>IF($C705="","",IF(ISNUMBER(MATCH($C705,'Phản ánh'!$A$6:$A$505,0)),"Phản ánh",IF(ISNUMBER(MATCH($C705,'Kế hoạch'!$A$6:$A$305,0)),"Công việc","Mã chưa có")))</f>
      </c>
      <c r="J705" s="221">
        <f>IF($I705="Phản ánh",INDEX('Phản ánh'!$C$6:$C$505,MATCH($C705,'Phản ánh'!$A$6:$A$505,0)),IF($I705="Công việc",INDEX('Kế hoạch'!$C$6:$C$305,$O705),""))</f>
      </c>
      <c r="K705" s="221">
        <f>IF($I705="Phản ánh",INDEX('Phản ánh'!$K$6:$K$505,MATCH($C705,'Phản ánh'!$A$6:$A$505,0))&amp;"",IF($I705="Công việc",INDEX('Kế hoạch'!$N$6:$N$305,$O705)&amp;"",""))</f>
      </c>
      <c r="L705" s="220">
        <f>IF(OR($C705="",N($B705)=0),"",IF(AND($I705="Phản ánh",$E705="Đã xử lý"),INDEX('Phản ánh'!$U$6:$U$505,MATCH($C705,'Phản ánh'!$A$6:$A$505,0)),IF(AND($I705="Công việc",OR($E705="Hoàn thành",$E705="Hoàn thành kỳ")),IF(INDEX('Kế hoạch'!$B$6:$B$305,$O705)="Đột xuất",INDEX('Kế hoạch'!$AY$6:$AY$305,$O705),IF(N($P705)=0,"",IF(INT($B705)&lt;$P705,$P705,IF($Q705&gt;0,$P705+ROUND((INT($B705)-$P705)/$Q705,0)*$Q705,IF($R705&gt;0,EDATE($P705,ROUND((DATEDIF($P705,INT($B705),"m")+(INT($B705)-EDATE($P705,DATEDIF($P705,INT($B705),"m")))/(EDATE($P705,DATEDIF($P705,INT($B705),"m")+1)-EDATE($P705,DATEDIF($P705,INT($B705),"m"))))/$R705,0)*$R705),$P705))))),"")))</f>
      </c>
      <c r="M705" s="223">
        <f>IF(OR($C705="",N($L705)=0,N($B705)=0),"",IF(IF(MOD($L705,1)=0,INT($B705),$B705)&lt;=$L705,"Đúng hạn","Trễ hạn"))</f>
      </c>
      <c r="N705" s="225">
        <f>IF($C705="","",ROW())</f>
      </c>
      <c r="O705" s="225">
        <f>IF($I705="Công việc",MATCH($C705,'Kế hoạch'!$A$6:$A$305,0),"")</f>
      </c>
      <c r="P705" s="234">
        <f>IF($O705="","",INDEX('Kế hoạch'!$I$6:$I$305,$O705))</f>
      </c>
      <c r="Q705" s="225">
        <f>IF($O705="","",INDEX('Kế hoạch'!$AJ$6:$AJ$305,$O705))</f>
      </c>
      <c r="R705" s="225">
        <f>IF($O705="","",INDEX('Kế hoạch'!$AK$6:$AK$305,$O705))</f>
      </c>
    </row>
    <row r="706">
      <c r="A706" s="223">
        <f>IF($C706="","",COUNTIF($C$6:$C706,"?*"))</f>
      </c>
      <c r="B706" s="217"/>
      <c r="C706" s="216"/>
      <c r="D706" s="240"/>
      <c r="E706" s="218"/>
      <c r="F706" s="218"/>
      <c r="G706" s="218"/>
      <c r="H706" s="219"/>
      <c r="I706" s="223">
        <f>IF($C706="","",IF(ISNUMBER(MATCH($C706,'Phản ánh'!$A$6:$A$505,0)),"Phản ánh",IF(ISNUMBER(MATCH($C706,'Kế hoạch'!$A$6:$A$305,0)),"Công việc","Mã chưa có")))</f>
      </c>
      <c r="J706" s="221">
        <f>IF($I706="Phản ánh",INDEX('Phản ánh'!$C$6:$C$505,MATCH($C706,'Phản ánh'!$A$6:$A$505,0)),IF($I706="Công việc",INDEX('Kế hoạch'!$C$6:$C$305,$O706),""))</f>
      </c>
      <c r="K706" s="221">
        <f>IF($I706="Phản ánh",INDEX('Phản ánh'!$K$6:$K$505,MATCH($C706,'Phản ánh'!$A$6:$A$505,0))&amp;"",IF($I706="Công việc",INDEX('Kế hoạch'!$N$6:$N$305,$O706)&amp;"",""))</f>
      </c>
      <c r="L706" s="220">
        <f>IF(OR($C706="",N($B706)=0),"",IF(AND($I706="Phản ánh",$E706="Đã xử lý"),INDEX('Phản ánh'!$U$6:$U$505,MATCH($C706,'Phản ánh'!$A$6:$A$505,0)),IF(AND($I706="Công việc",OR($E706="Hoàn thành",$E706="Hoàn thành kỳ")),IF(INDEX('Kế hoạch'!$B$6:$B$305,$O706)="Đột xuất",INDEX('Kế hoạch'!$AY$6:$AY$305,$O706),IF(N($P706)=0,"",IF(INT($B706)&lt;$P706,$P706,IF($Q706&gt;0,$P706+ROUND((INT($B706)-$P706)/$Q706,0)*$Q706,IF($R706&gt;0,EDATE($P706,ROUND((DATEDIF($P706,INT($B706),"m")+(INT($B706)-EDATE($P706,DATEDIF($P706,INT($B706),"m")))/(EDATE($P706,DATEDIF($P706,INT($B706),"m")+1)-EDATE($P706,DATEDIF($P706,INT($B706),"m"))))/$R706,0)*$R706),$P706))))),"")))</f>
      </c>
      <c r="M706" s="223">
        <f>IF(OR($C706="",N($L706)=0,N($B706)=0),"",IF(IF(MOD($L706,1)=0,INT($B706),$B706)&lt;=$L706,"Đúng hạn","Trễ hạn"))</f>
      </c>
      <c r="N706" s="225">
        <f>IF($C706="","",ROW())</f>
      </c>
      <c r="O706" s="225">
        <f>IF($I706="Công việc",MATCH($C706,'Kế hoạch'!$A$6:$A$305,0),"")</f>
      </c>
      <c r="P706" s="234">
        <f>IF($O706="","",INDEX('Kế hoạch'!$I$6:$I$305,$O706))</f>
      </c>
      <c r="Q706" s="225">
        <f>IF($O706="","",INDEX('Kế hoạch'!$AJ$6:$AJ$305,$O706))</f>
      </c>
      <c r="R706" s="225">
        <f>IF($O706="","",INDEX('Kế hoạch'!$AK$6:$AK$305,$O706))</f>
      </c>
    </row>
    <row r="707">
      <c r="A707" s="223">
        <f>IF($C707="","",COUNTIF($C$6:$C707,"?*"))</f>
      </c>
      <c r="B707" s="217"/>
      <c r="C707" s="216"/>
      <c r="D707" s="240"/>
      <c r="E707" s="218"/>
      <c r="F707" s="218"/>
      <c r="G707" s="218"/>
      <c r="H707" s="219"/>
      <c r="I707" s="223">
        <f>IF($C707="","",IF(ISNUMBER(MATCH($C707,'Phản ánh'!$A$6:$A$505,0)),"Phản ánh",IF(ISNUMBER(MATCH($C707,'Kế hoạch'!$A$6:$A$305,0)),"Công việc","Mã chưa có")))</f>
      </c>
      <c r="J707" s="221">
        <f>IF($I707="Phản ánh",INDEX('Phản ánh'!$C$6:$C$505,MATCH($C707,'Phản ánh'!$A$6:$A$505,0)),IF($I707="Công việc",INDEX('Kế hoạch'!$C$6:$C$305,$O707),""))</f>
      </c>
      <c r="K707" s="221">
        <f>IF($I707="Phản ánh",INDEX('Phản ánh'!$K$6:$K$505,MATCH($C707,'Phản ánh'!$A$6:$A$505,0))&amp;"",IF($I707="Công việc",INDEX('Kế hoạch'!$N$6:$N$305,$O707)&amp;"",""))</f>
      </c>
      <c r="L707" s="220">
        <f>IF(OR($C707="",N($B707)=0),"",IF(AND($I707="Phản ánh",$E707="Đã xử lý"),INDEX('Phản ánh'!$U$6:$U$505,MATCH($C707,'Phản ánh'!$A$6:$A$505,0)),IF(AND($I707="Công việc",OR($E707="Hoàn thành",$E707="Hoàn thành kỳ")),IF(INDEX('Kế hoạch'!$B$6:$B$305,$O707)="Đột xuất",INDEX('Kế hoạch'!$AY$6:$AY$305,$O707),IF(N($P707)=0,"",IF(INT($B707)&lt;$P707,$P707,IF($Q707&gt;0,$P707+ROUND((INT($B707)-$P707)/$Q707,0)*$Q707,IF($R707&gt;0,EDATE($P707,ROUND((DATEDIF($P707,INT($B707),"m")+(INT($B707)-EDATE($P707,DATEDIF($P707,INT($B707),"m")))/(EDATE($P707,DATEDIF($P707,INT($B707),"m")+1)-EDATE($P707,DATEDIF($P707,INT($B707),"m"))))/$R707,0)*$R707),$P707))))),"")))</f>
      </c>
      <c r="M707" s="223">
        <f>IF(OR($C707="",N($L707)=0,N($B707)=0),"",IF(IF(MOD($L707,1)=0,INT($B707),$B707)&lt;=$L707,"Đúng hạn","Trễ hạn"))</f>
      </c>
      <c r="N707" s="225">
        <f>IF($C707="","",ROW())</f>
      </c>
      <c r="O707" s="225">
        <f>IF($I707="Công việc",MATCH($C707,'Kế hoạch'!$A$6:$A$305,0),"")</f>
      </c>
      <c r="P707" s="234">
        <f>IF($O707="","",INDEX('Kế hoạch'!$I$6:$I$305,$O707))</f>
      </c>
      <c r="Q707" s="225">
        <f>IF($O707="","",INDEX('Kế hoạch'!$AJ$6:$AJ$305,$O707))</f>
      </c>
      <c r="R707" s="225">
        <f>IF($O707="","",INDEX('Kế hoạch'!$AK$6:$AK$305,$O707))</f>
      </c>
    </row>
    <row r="708">
      <c r="A708" s="223">
        <f>IF($C708="","",COUNTIF($C$6:$C708,"?*"))</f>
      </c>
      <c r="B708" s="217"/>
      <c r="C708" s="216"/>
      <c r="D708" s="240"/>
      <c r="E708" s="218"/>
      <c r="F708" s="218"/>
      <c r="G708" s="218"/>
      <c r="H708" s="219"/>
      <c r="I708" s="223">
        <f>IF($C708="","",IF(ISNUMBER(MATCH($C708,'Phản ánh'!$A$6:$A$505,0)),"Phản ánh",IF(ISNUMBER(MATCH($C708,'Kế hoạch'!$A$6:$A$305,0)),"Công việc","Mã chưa có")))</f>
      </c>
      <c r="J708" s="221">
        <f>IF($I708="Phản ánh",INDEX('Phản ánh'!$C$6:$C$505,MATCH($C708,'Phản ánh'!$A$6:$A$505,0)),IF($I708="Công việc",INDEX('Kế hoạch'!$C$6:$C$305,$O708),""))</f>
      </c>
      <c r="K708" s="221">
        <f>IF($I708="Phản ánh",INDEX('Phản ánh'!$K$6:$K$505,MATCH($C708,'Phản ánh'!$A$6:$A$505,0))&amp;"",IF($I708="Công việc",INDEX('Kế hoạch'!$N$6:$N$305,$O708)&amp;"",""))</f>
      </c>
      <c r="L708" s="220">
        <f>IF(OR($C708="",N($B708)=0),"",IF(AND($I708="Phản ánh",$E708="Đã xử lý"),INDEX('Phản ánh'!$U$6:$U$505,MATCH($C708,'Phản ánh'!$A$6:$A$505,0)),IF(AND($I708="Công việc",OR($E708="Hoàn thành",$E708="Hoàn thành kỳ")),IF(INDEX('Kế hoạch'!$B$6:$B$305,$O708)="Đột xuất",INDEX('Kế hoạch'!$AY$6:$AY$305,$O708),IF(N($P708)=0,"",IF(INT($B708)&lt;$P708,$P708,IF($Q708&gt;0,$P708+ROUND((INT($B708)-$P708)/$Q708,0)*$Q708,IF($R708&gt;0,EDATE($P708,ROUND((DATEDIF($P708,INT($B708),"m")+(INT($B708)-EDATE($P708,DATEDIF($P708,INT($B708),"m")))/(EDATE($P708,DATEDIF($P708,INT($B708),"m")+1)-EDATE($P708,DATEDIF($P708,INT($B708),"m"))))/$R708,0)*$R708),$P708))))),"")))</f>
      </c>
      <c r="M708" s="223">
        <f>IF(OR($C708="",N($L708)=0,N($B708)=0),"",IF(IF(MOD($L708,1)=0,INT($B708),$B708)&lt;=$L708,"Đúng hạn","Trễ hạn"))</f>
      </c>
      <c r="N708" s="225">
        <f>IF($C708="","",ROW())</f>
      </c>
      <c r="O708" s="225">
        <f>IF($I708="Công việc",MATCH($C708,'Kế hoạch'!$A$6:$A$305,0),"")</f>
      </c>
      <c r="P708" s="234">
        <f>IF($O708="","",INDEX('Kế hoạch'!$I$6:$I$305,$O708))</f>
      </c>
      <c r="Q708" s="225">
        <f>IF($O708="","",INDEX('Kế hoạch'!$AJ$6:$AJ$305,$O708))</f>
      </c>
      <c r="R708" s="225">
        <f>IF($O708="","",INDEX('Kế hoạch'!$AK$6:$AK$305,$O708))</f>
      </c>
    </row>
    <row r="709">
      <c r="A709" s="223">
        <f>IF($C709="","",COUNTIF($C$6:$C709,"?*"))</f>
      </c>
      <c r="B709" s="217"/>
      <c r="C709" s="216"/>
      <c r="D709" s="240"/>
      <c r="E709" s="218"/>
      <c r="F709" s="218"/>
      <c r="G709" s="218"/>
      <c r="H709" s="219"/>
      <c r="I709" s="223">
        <f>IF($C709="","",IF(ISNUMBER(MATCH($C709,'Phản ánh'!$A$6:$A$505,0)),"Phản ánh",IF(ISNUMBER(MATCH($C709,'Kế hoạch'!$A$6:$A$305,0)),"Công việc","Mã chưa có")))</f>
      </c>
      <c r="J709" s="221">
        <f>IF($I709="Phản ánh",INDEX('Phản ánh'!$C$6:$C$505,MATCH($C709,'Phản ánh'!$A$6:$A$505,0)),IF($I709="Công việc",INDEX('Kế hoạch'!$C$6:$C$305,$O709),""))</f>
      </c>
      <c r="K709" s="221">
        <f>IF($I709="Phản ánh",INDEX('Phản ánh'!$K$6:$K$505,MATCH($C709,'Phản ánh'!$A$6:$A$505,0))&amp;"",IF($I709="Công việc",INDEX('Kế hoạch'!$N$6:$N$305,$O709)&amp;"",""))</f>
      </c>
      <c r="L709" s="220">
        <f>IF(OR($C709="",N($B709)=0),"",IF(AND($I709="Phản ánh",$E709="Đã xử lý"),INDEX('Phản ánh'!$U$6:$U$505,MATCH($C709,'Phản ánh'!$A$6:$A$505,0)),IF(AND($I709="Công việc",OR($E709="Hoàn thành",$E709="Hoàn thành kỳ")),IF(INDEX('Kế hoạch'!$B$6:$B$305,$O709)="Đột xuất",INDEX('Kế hoạch'!$AY$6:$AY$305,$O709),IF(N($P709)=0,"",IF(INT($B709)&lt;$P709,$P709,IF($Q709&gt;0,$P709+ROUND((INT($B709)-$P709)/$Q709,0)*$Q709,IF($R709&gt;0,EDATE($P709,ROUND((DATEDIF($P709,INT($B709),"m")+(INT($B709)-EDATE($P709,DATEDIF($P709,INT($B709),"m")))/(EDATE($P709,DATEDIF($P709,INT($B709),"m")+1)-EDATE($P709,DATEDIF($P709,INT($B709),"m"))))/$R709,0)*$R709),$P709))))),"")))</f>
      </c>
      <c r="M709" s="223">
        <f>IF(OR($C709="",N($L709)=0,N($B709)=0),"",IF(IF(MOD($L709,1)=0,INT($B709),$B709)&lt;=$L709,"Đúng hạn","Trễ hạn"))</f>
      </c>
      <c r="N709" s="225">
        <f>IF($C709="","",ROW())</f>
      </c>
      <c r="O709" s="225">
        <f>IF($I709="Công việc",MATCH($C709,'Kế hoạch'!$A$6:$A$305,0),"")</f>
      </c>
      <c r="P709" s="234">
        <f>IF($O709="","",INDEX('Kế hoạch'!$I$6:$I$305,$O709))</f>
      </c>
      <c r="Q709" s="225">
        <f>IF($O709="","",INDEX('Kế hoạch'!$AJ$6:$AJ$305,$O709))</f>
      </c>
      <c r="R709" s="225">
        <f>IF($O709="","",INDEX('Kế hoạch'!$AK$6:$AK$305,$O709))</f>
      </c>
    </row>
    <row r="710">
      <c r="A710" s="223">
        <f>IF($C710="","",COUNTIF($C$6:$C710,"?*"))</f>
      </c>
      <c r="B710" s="217"/>
      <c r="C710" s="216"/>
      <c r="D710" s="240"/>
      <c r="E710" s="218"/>
      <c r="F710" s="218"/>
      <c r="G710" s="218"/>
      <c r="H710" s="219"/>
      <c r="I710" s="223">
        <f>IF($C710="","",IF(ISNUMBER(MATCH($C710,'Phản ánh'!$A$6:$A$505,0)),"Phản ánh",IF(ISNUMBER(MATCH($C710,'Kế hoạch'!$A$6:$A$305,0)),"Công việc","Mã chưa có")))</f>
      </c>
      <c r="J710" s="221">
        <f>IF($I710="Phản ánh",INDEX('Phản ánh'!$C$6:$C$505,MATCH($C710,'Phản ánh'!$A$6:$A$505,0)),IF($I710="Công việc",INDEX('Kế hoạch'!$C$6:$C$305,$O710),""))</f>
      </c>
      <c r="K710" s="221">
        <f>IF($I710="Phản ánh",INDEX('Phản ánh'!$K$6:$K$505,MATCH($C710,'Phản ánh'!$A$6:$A$505,0))&amp;"",IF($I710="Công việc",INDEX('Kế hoạch'!$N$6:$N$305,$O710)&amp;"",""))</f>
      </c>
      <c r="L710" s="220">
        <f>IF(OR($C710="",N($B710)=0),"",IF(AND($I710="Phản ánh",$E710="Đã xử lý"),INDEX('Phản ánh'!$U$6:$U$505,MATCH($C710,'Phản ánh'!$A$6:$A$505,0)),IF(AND($I710="Công việc",OR($E710="Hoàn thành",$E710="Hoàn thành kỳ")),IF(INDEX('Kế hoạch'!$B$6:$B$305,$O710)="Đột xuất",INDEX('Kế hoạch'!$AY$6:$AY$305,$O710),IF(N($P710)=0,"",IF(INT($B710)&lt;$P710,$P710,IF($Q710&gt;0,$P710+ROUND((INT($B710)-$P710)/$Q710,0)*$Q710,IF($R710&gt;0,EDATE($P710,ROUND((DATEDIF($P710,INT($B710),"m")+(INT($B710)-EDATE($P710,DATEDIF($P710,INT($B710),"m")))/(EDATE($P710,DATEDIF($P710,INT($B710),"m")+1)-EDATE($P710,DATEDIF($P710,INT($B710),"m"))))/$R710,0)*$R710),$P710))))),"")))</f>
      </c>
      <c r="M710" s="223">
        <f>IF(OR($C710="",N($L710)=0,N($B710)=0),"",IF(IF(MOD($L710,1)=0,INT($B710),$B710)&lt;=$L710,"Đúng hạn","Trễ hạn"))</f>
      </c>
      <c r="N710" s="225">
        <f>IF($C710="","",ROW())</f>
      </c>
      <c r="O710" s="225">
        <f>IF($I710="Công việc",MATCH($C710,'Kế hoạch'!$A$6:$A$305,0),"")</f>
      </c>
      <c r="P710" s="234">
        <f>IF($O710="","",INDEX('Kế hoạch'!$I$6:$I$305,$O710))</f>
      </c>
      <c r="Q710" s="225">
        <f>IF($O710="","",INDEX('Kế hoạch'!$AJ$6:$AJ$305,$O710))</f>
      </c>
      <c r="R710" s="225">
        <f>IF($O710="","",INDEX('Kế hoạch'!$AK$6:$AK$305,$O710))</f>
      </c>
    </row>
    <row r="711">
      <c r="A711" s="223">
        <f>IF($C711="","",COUNTIF($C$6:$C711,"?*"))</f>
      </c>
      <c r="B711" s="217"/>
      <c r="C711" s="216"/>
      <c r="D711" s="240"/>
      <c r="E711" s="218"/>
      <c r="F711" s="218"/>
      <c r="G711" s="218"/>
      <c r="H711" s="219"/>
      <c r="I711" s="223">
        <f>IF($C711="","",IF(ISNUMBER(MATCH($C711,'Phản ánh'!$A$6:$A$505,0)),"Phản ánh",IF(ISNUMBER(MATCH($C711,'Kế hoạch'!$A$6:$A$305,0)),"Công việc","Mã chưa có")))</f>
      </c>
      <c r="J711" s="221">
        <f>IF($I711="Phản ánh",INDEX('Phản ánh'!$C$6:$C$505,MATCH($C711,'Phản ánh'!$A$6:$A$505,0)),IF($I711="Công việc",INDEX('Kế hoạch'!$C$6:$C$305,$O711),""))</f>
      </c>
      <c r="K711" s="221">
        <f>IF($I711="Phản ánh",INDEX('Phản ánh'!$K$6:$K$505,MATCH($C711,'Phản ánh'!$A$6:$A$505,0))&amp;"",IF($I711="Công việc",INDEX('Kế hoạch'!$N$6:$N$305,$O711)&amp;"",""))</f>
      </c>
      <c r="L711" s="220">
        <f>IF(OR($C711="",N($B711)=0),"",IF(AND($I711="Phản ánh",$E711="Đã xử lý"),INDEX('Phản ánh'!$U$6:$U$505,MATCH($C711,'Phản ánh'!$A$6:$A$505,0)),IF(AND($I711="Công việc",OR($E711="Hoàn thành",$E711="Hoàn thành kỳ")),IF(INDEX('Kế hoạch'!$B$6:$B$305,$O711)="Đột xuất",INDEX('Kế hoạch'!$AY$6:$AY$305,$O711),IF(N($P711)=0,"",IF(INT($B711)&lt;$P711,$P711,IF($Q711&gt;0,$P711+ROUND((INT($B711)-$P711)/$Q711,0)*$Q711,IF($R711&gt;0,EDATE($P711,ROUND((DATEDIF($P711,INT($B711),"m")+(INT($B711)-EDATE($P711,DATEDIF($P711,INT($B711),"m")))/(EDATE($P711,DATEDIF($P711,INT($B711),"m")+1)-EDATE($P711,DATEDIF($P711,INT($B711),"m"))))/$R711,0)*$R711),$P711))))),"")))</f>
      </c>
      <c r="M711" s="223">
        <f>IF(OR($C711="",N($L711)=0,N($B711)=0),"",IF(IF(MOD($L711,1)=0,INT($B711),$B711)&lt;=$L711,"Đúng hạn","Trễ hạn"))</f>
      </c>
      <c r="N711" s="225">
        <f>IF($C711="","",ROW())</f>
      </c>
      <c r="O711" s="225">
        <f>IF($I711="Công việc",MATCH($C711,'Kế hoạch'!$A$6:$A$305,0),"")</f>
      </c>
      <c r="P711" s="234">
        <f>IF($O711="","",INDEX('Kế hoạch'!$I$6:$I$305,$O711))</f>
      </c>
      <c r="Q711" s="225">
        <f>IF($O711="","",INDEX('Kế hoạch'!$AJ$6:$AJ$305,$O711))</f>
      </c>
      <c r="R711" s="225">
        <f>IF($O711="","",INDEX('Kế hoạch'!$AK$6:$AK$305,$O711))</f>
      </c>
    </row>
    <row r="712">
      <c r="A712" s="223">
        <f>IF($C712="","",COUNTIF($C$6:$C712,"?*"))</f>
      </c>
      <c r="B712" s="217"/>
      <c r="C712" s="216"/>
      <c r="D712" s="240"/>
      <c r="E712" s="218"/>
      <c r="F712" s="218"/>
      <c r="G712" s="218"/>
      <c r="H712" s="219"/>
      <c r="I712" s="223">
        <f>IF($C712="","",IF(ISNUMBER(MATCH($C712,'Phản ánh'!$A$6:$A$505,0)),"Phản ánh",IF(ISNUMBER(MATCH($C712,'Kế hoạch'!$A$6:$A$305,0)),"Công việc","Mã chưa có")))</f>
      </c>
      <c r="J712" s="221">
        <f>IF($I712="Phản ánh",INDEX('Phản ánh'!$C$6:$C$505,MATCH($C712,'Phản ánh'!$A$6:$A$505,0)),IF($I712="Công việc",INDEX('Kế hoạch'!$C$6:$C$305,$O712),""))</f>
      </c>
      <c r="K712" s="221">
        <f>IF($I712="Phản ánh",INDEX('Phản ánh'!$K$6:$K$505,MATCH($C712,'Phản ánh'!$A$6:$A$505,0))&amp;"",IF($I712="Công việc",INDEX('Kế hoạch'!$N$6:$N$305,$O712)&amp;"",""))</f>
      </c>
      <c r="L712" s="220">
        <f>IF(OR($C712="",N($B712)=0),"",IF(AND($I712="Phản ánh",$E712="Đã xử lý"),INDEX('Phản ánh'!$U$6:$U$505,MATCH($C712,'Phản ánh'!$A$6:$A$505,0)),IF(AND($I712="Công việc",OR($E712="Hoàn thành",$E712="Hoàn thành kỳ")),IF(INDEX('Kế hoạch'!$B$6:$B$305,$O712)="Đột xuất",INDEX('Kế hoạch'!$AY$6:$AY$305,$O712),IF(N($P712)=0,"",IF(INT($B712)&lt;$P712,$P712,IF($Q712&gt;0,$P712+ROUND((INT($B712)-$P712)/$Q712,0)*$Q712,IF($R712&gt;0,EDATE($P712,ROUND((DATEDIF($P712,INT($B712),"m")+(INT($B712)-EDATE($P712,DATEDIF($P712,INT($B712),"m")))/(EDATE($P712,DATEDIF($P712,INT($B712),"m")+1)-EDATE($P712,DATEDIF($P712,INT($B712),"m"))))/$R712,0)*$R712),$P712))))),"")))</f>
      </c>
      <c r="M712" s="223">
        <f>IF(OR($C712="",N($L712)=0,N($B712)=0),"",IF(IF(MOD($L712,1)=0,INT($B712),$B712)&lt;=$L712,"Đúng hạn","Trễ hạn"))</f>
      </c>
      <c r="N712" s="225">
        <f>IF($C712="","",ROW())</f>
      </c>
      <c r="O712" s="225">
        <f>IF($I712="Công việc",MATCH($C712,'Kế hoạch'!$A$6:$A$305,0),"")</f>
      </c>
      <c r="P712" s="234">
        <f>IF($O712="","",INDEX('Kế hoạch'!$I$6:$I$305,$O712))</f>
      </c>
      <c r="Q712" s="225">
        <f>IF($O712="","",INDEX('Kế hoạch'!$AJ$6:$AJ$305,$O712))</f>
      </c>
      <c r="R712" s="225">
        <f>IF($O712="","",INDEX('Kế hoạch'!$AK$6:$AK$305,$O712))</f>
      </c>
    </row>
    <row r="713">
      <c r="A713" s="223">
        <f>IF($C713="","",COUNTIF($C$6:$C713,"?*"))</f>
      </c>
      <c r="B713" s="217"/>
      <c r="C713" s="216"/>
      <c r="D713" s="240"/>
      <c r="E713" s="218"/>
      <c r="F713" s="218"/>
      <c r="G713" s="218"/>
      <c r="H713" s="219"/>
      <c r="I713" s="223">
        <f>IF($C713="","",IF(ISNUMBER(MATCH($C713,'Phản ánh'!$A$6:$A$505,0)),"Phản ánh",IF(ISNUMBER(MATCH($C713,'Kế hoạch'!$A$6:$A$305,0)),"Công việc","Mã chưa có")))</f>
      </c>
      <c r="J713" s="221">
        <f>IF($I713="Phản ánh",INDEX('Phản ánh'!$C$6:$C$505,MATCH($C713,'Phản ánh'!$A$6:$A$505,0)),IF($I713="Công việc",INDEX('Kế hoạch'!$C$6:$C$305,$O713),""))</f>
      </c>
      <c r="K713" s="221">
        <f>IF($I713="Phản ánh",INDEX('Phản ánh'!$K$6:$K$505,MATCH($C713,'Phản ánh'!$A$6:$A$505,0))&amp;"",IF($I713="Công việc",INDEX('Kế hoạch'!$N$6:$N$305,$O713)&amp;"",""))</f>
      </c>
      <c r="L713" s="220">
        <f>IF(OR($C713="",N($B713)=0),"",IF(AND($I713="Phản ánh",$E713="Đã xử lý"),INDEX('Phản ánh'!$U$6:$U$505,MATCH($C713,'Phản ánh'!$A$6:$A$505,0)),IF(AND($I713="Công việc",OR($E713="Hoàn thành",$E713="Hoàn thành kỳ")),IF(INDEX('Kế hoạch'!$B$6:$B$305,$O713)="Đột xuất",INDEX('Kế hoạch'!$AY$6:$AY$305,$O713),IF(N($P713)=0,"",IF(INT($B713)&lt;$P713,$P713,IF($Q713&gt;0,$P713+ROUND((INT($B713)-$P713)/$Q713,0)*$Q713,IF($R713&gt;0,EDATE($P713,ROUND((DATEDIF($P713,INT($B713),"m")+(INT($B713)-EDATE($P713,DATEDIF($P713,INT($B713),"m")))/(EDATE($P713,DATEDIF($P713,INT($B713),"m")+1)-EDATE($P713,DATEDIF($P713,INT($B713),"m"))))/$R713,0)*$R713),$P713))))),"")))</f>
      </c>
      <c r="M713" s="223">
        <f>IF(OR($C713="",N($L713)=0,N($B713)=0),"",IF(IF(MOD($L713,1)=0,INT($B713),$B713)&lt;=$L713,"Đúng hạn","Trễ hạn"))</f>
      </c>
      <c r="N713" s="225">
        <f>IF($C713="","",ROW())</f>
      </c>
      <c r="O713" s="225">
        <f>IF($I713="Công việc",MATCH($C713,'Kế hoạch'!$A$6:$A$305,0),"")</f>
      </c>
      <c r="P713" s="234">
        <f>IF($O713="","",INDEX('Kế hoạch'!$I$6:$I$305,$O713))</f>
      </c>
      <c r="Q713" s="225">
        <f>IF($O713="","",INDEX('Kế hoạch'!$AJ$6:$AJ$305,$O713))</f>
      </c>
      <c r="R713" s="225">
        <f>IF($O713="","",INDEX('Kế hoạch'!$AK$6:$AK$305,$O713))</f>
      </c>
    </row>
    <row r="714">
      <c r="A714" s="223">
        <f>IF($C714="","",COUNTIF($C$6:$C714,"?*"))</f>
      </c>
      <c r="B714" s="217"/>
      <c r="C714" s="216"/>
      <c r="D714" s="240"/>
      <c r="E714" s="218"/>
      <c r="F714" s="218"/>
      <c r="G714" s="218"/>
      <c r="H714" s="219"/>
      <c r="I714" s="223">
        <f>IF($C714="","",IF(ISNUMBER(MATCH($C714,'Phản ánh'!$A$6:$A$505,0)),"Phản ánh",IF(ISNUMBER(MATCH($C714,'Kế hoạch'!$A$6:$A$305,0)),"Công việc","Mã chưa có")))</f>
      </c>
      <c r="J714" s="221">
        <f>IF($I714="Phản ánh",INDEX('Phản ánh'!$C$6:$C$505,MATCH($C714,'Phản ánh'!$A$6:$A$505,0)),IF($I714="Công việc",INDEX('Kế hoạch'!$C$6:$C$305,$O714),""))</f>
      </c>
      <c r="K714" s="221">
        <f>IF($I714="Phản ánh",INDEX('Phản ánh'!$K$6:$K$505,MATCH($C714,'Phản ánh'!$A$6:$A$505,0))&amp;"",IF($I714="Công việc",INDEX('Kế hoạch'!$N$6:$N$305,$O714)&amp;"",""))</f>
      </c>
      <c r="L714" s="220">
        <f>IF(OR($C714="",N($B714)=0),"",IF(AND($I714="Phản ánh",$E714="Đã xử lý"),INDEX('Phản ánh'!$U$6:$U$505,MATCH($C714,'Phản ánh'!$A$6:$A$505,0)),IF(AND($I714="Công việc",OR($E714="Hoàn thành",$E714="Hoàn thành kỳ")),IF(INDEX('Kế hoạch'!$B$6:$B$305,$O714)="Đột xuất",INDEX('Kế hoạch'!$AY$6:$AY$305,$O714),IF(N($P714)=0,"",IF(INT($B714)&lt;$P714,$P714,IF($Q714&gt;0,$P714+ROUND((INT($B714)-$P714)/$Q714,0)*$Q714,IF($R714&gt;0,EDATE($P714,ROUND((DATEDIF($P714,INT($B714),"m")+(INT($B714)-EDATE($P714,DATEDIF($P714,INT($B714),"m")))/(EDATE($P714,DATEDIF($P714,INT($B714),"m")+1)-EDATE($P714,DATEDIF($P714,INT($B714),"m"))))/$R714,0)*$R714),$P714))))),"")))</f>
      </c>
      <c r="M714" s="223">
        <f>IF(OR($C714="",N($L714)=0,N($B714)=0),"",IF(IF(MOD($L714,1)=0,INT($B714),$B714)&lt;=$L714,"Đúng hạn","Trễ hạn"))</f>
      </c>
      <c r="N714" s="225">
        <f>IF($C714="","",ROW())</f>
      </c>
      <c r="O714" s="225">
        <f>IF($I714="Công việc",MATCH($C714,'Kế hoạch'!$A$6:$A$305,0),"")</f>
      </c>
      <c r="P714" s="234">
        <f>IF($O714="","",INDEX('Kế hoạch'!$I$6:$I$305,$O714))</f>
      </c>
      <c r="Q714" s="225">
        <f>IF($O714="","",INDEX('Kế hoạch'!$AJ$6:$AJ$305,$O714))</f>
      </c>
      <c r="R714" s="225">
        <f>IF($O714="","",INDEX('Kế hoạch'!$AK$6:$AK$305,$O714))</f>
      </c>
    </row>
    <row r="715">
      <c r="A715" s="223">
        <f>IF($C715="","",COUNTIF($C$6:$C715,"?*"))</f>
      </c>
      <c r="B715" s="217"/>
      <c r="C715" s="216"/>
      <c r="D715" s="240"/>
      <c r="E715" s="218"/>
      <c r="F715" s="218"/>
      <c r="G715" s="218"/>
      <c r="H715" s="219"/>
      <c r="I715" s="223">
        <f>IF($C715="","",IF(ISNUMBER(MATCH($C715,'Phản ánh'!$A$6:$A$505,0)),"Phản ánh",IF(ISNUMBER(MATCH($C715,'Kế hoạch'!$A$6:$A$305,0)),"Công việc","Mã chưa có")))</f>
      </c>
      <c r="J715" s="221">
        <f>IF($I715="Phản ánh",INDEX('Phản ánh'!$C$6:$C$505,MATCH($C715,'Phản ánh'!$A$6:$A$505,0)),IF($I715="Công việc",INDEX('Kế hoạch'!$C$6:$C$305,$O715),""))</f>
      </c>
      <c r="K715" s="221">
        <f>IF($I715="Phản ánh",INDEX('Phản ánh'!$K$6:$K$505,MATCH($C715,'Phản ánh'!$A$6:$A$505,0))&amp;"",IF($I715="Công việc",INDEX('Kế hoạch'!$N$6:$N$305,$O715)&amp;"",""))</f>
      </c>
      <c r="L715" s="220">
        <f>IF(OR($C715="",N($B715)=0),"",IF(AND($I715="Phản ánh",$E715="Đã xử lý"),INDEX('Phản ánh'!$U$6:$U$505,MATCH($C715,'Phản ánh'!$A$6:$A$505,0)),IF(AND($I715="Công việc",OR($E715="Hoàn thành",$E715="Hoàn thành kỳ")),IF(INDEX('Kế hoạch'!$B$6:$B$305,$O715)="Đột xuất",INDEX('Kế hoạch'!$AY$6:$AY$305,$O715),IF(N($P715)=0,"",IF(INT($B715)&lt;$P715,$P715,IF($Q715&gt;0,$P715+ROUND((INT($B715)-$P715)/$Q715,0)*$Q715,IF($R715&gt;0,EDATE($P715,ROUND((DATEDIF($P715,INT($B715),"m")+(INT($B715)-EDATE($P715,DATEDIF($P715,INT($B715),"m")))/(EDATE($P715,DATEDIF($P715,INT($B715),"m")+1)-EDATE($P715,DATEDIF($P715,INT($B715),"m"))))/$R715,0)*$R715),$P715))))),"")))</f>
      </c>
      <c r="M715" s="223">
        <f>IF(OR($C715="",N($L715)=0,N($B715)=0),"",IF(IF(MOD($L715,1)=0,INT($B715),$B715)&lt;=$L715,"Đúng hạn","Trễ hạn"))</f>
      </c>
      <c r="N715" s="225">
        <f>IF($C715="","",ROW())</f>
      </c>
      <c r="O715" s="225">
        <f>IF($I715="Công việc",MATCH($C715,'Kế hoạch'!$A$6:$A$305,0),"")</f>
      </c>
      <c r="P715" s="234">
        <f>IF($O715="","",INDEX('Kế hoạch'!$I$6:$I$305,$O715))</f>
      </c>
      <c r="Q715" s="225">
        <f>IF($O715="","",INDEX('Kế hoạch'!$AJ$6:$AJ$305,$O715))</f>
      </c>
      <c r="R715" s="225">
        <f>IF($O715="","",INDEX('Kế hoạch'!$AK$6:$AK$305,$O715))</f>
      </c>
    </row>
    <row r="716">
      <c r="A716" s="223">
        <f>IF($C716="","",COUNTIF($C$6:$C716,"?*"))</f>
      </c>
      <c r="B716" s="217"/>
      <c r="C716" s="216"/>
      <c r="D716" s="240"/>
      <c r="E716" s="218"/>
      <c r="F716" s="218"/>
      <c r="G716" s="218"/>
      <c r="H716" s="219"/>
      <c r="I716" s="223">
        <f>IF($C716="","",IF(ISNUMBER(MATCH($C716,'Phản ánh'!$A$6:$A$505,0)),"Phản ánh",IF(ISNUMBER(MATCH($C716,'Kế hoạch'!$A$6:$A$305,0)),"Công việc","Mã chưa có")))</f>
      </c>
      <c r="J716" s="221">
        <f>IF($I716="Phản ánh",INDEX('Phản ánh'!$C$6:$C$505,MATCH($C716,'Phản ánh'!$A$6:$A$505,0)),IF($I716="Công việc",INDEX('Kế hoạch'!$C$6:$C$305,$O716),""))</f>
      </c>
      <c r="K716" s="221">
        <f>IF($I716="Phản ánh",INDEX('Phản ánh'!$K$6:$K$505,MATCH($C716,'Phản ánh'!$A$6:$A$505,0))&amp;"",IF($I716="Công việc",INDEX('Kế hoạch'!$N$6:$N$305,$O716)&amp;"",""))</f>
      </c>
      <c r="L716" s="220">
        <f>IF(OR($C716="",N($B716)=0),"",IF(AND($I716="Phản ánh",$E716="Đã xử lý"),INDEX('Phản ánh'!$U$6:$U$505,MATCH($C716,'Phản ánh'!$A$6:$A$505,0)),IF(AND($I716="Công việc",OR($E716="Hoàn thành",$E716="Hoàn thành kỳ")),IF(INDEX('Kế hoạch'!$B$6:$B$305,$O716)="Đột xuất",INDEX('Kế hoạch'!$AY$6:$AY$305,$O716),IF(N($P716)=0,"",IF(INT($B716)&lt;$P716,$P716,IF($Q716&gt;0,$P716+ROUND((INT($B716)-$P716)/$Q716,0)*$Q716,IF($R716&gt;0,EDATE($P716,ROUND((DATEDIF($P716,INT($B716),"m")+(INT($B716)-EDATE($P716,DATEDIF($P716,INT($B716),"m")))/(EDATE($P716,DATEDIF($P716,INT($B716),"m")+1)-EDATE($P716,DATEDIF($P716,INT($B716),"m"))))/$R716,0)*$R716),$P716))))),"")))</f>
      </c>
      <c r="M716" s="223">
        <f>IF(OR($C716="",N($L716)=0,N($B716)=0),"",IF(IF(MOD($L716,1)=0,INT($B716),$B716)&lt;=$L716,"Đúng hạn","Trễ hạn"))</f>
      </c>
      <c r="N716" s="225">
        <f>IF($C716="","",ROW())</f>
      </c>
      <c r="O716" s="225">
        <f>IF($I716="Công việc",MATCH($C716,'Kế hoạch'!$A$6:$A$305,0),"")</f>
      </c>
      <c r="P716" s="234">
        <f>IF($O716="","",INDEX('Kế hoạch'!$I$6:$I$305,$O716))</f>
      </c>
      <c r="Q716" s="225">
        <f>IF($O716="","",INDEX('Kế hoạch'!$AJ$6:$AJ$305,$O716))</f>
      </c>
      <c r="R716" s="225">
        <f>IF($O716="","",INDEX('Kế hoạch'!$AK$6:$AK$305,$O716))</f>
      </c>
    </row>
    <row r="717">
      <c r="A717" s="223">
        <f>IF($C717="","",COUNTIF($C$6:$C717,"?*"))</f>
      </c>
      <c r="B717" s="217"/>
      <c r="C717" s="216"/>
      <c r="D717" s="240"/>
      <c r="E717" s="218"/>
      <c r="F717" s="218"/>
      <c r="G717" s="218"/>
      <c r="H717" s="219"/>
      <c r="I717" s="223">
        <f>IF($C717="","",IF(ISNUMBER(MATCH($C717,'Phản ánh'!$A$6:$A$505,0)),"Phản ánh",IF(ISNUMBER(MATCH($C717,'Kế hoạch'!$A$6:$A$305,0)),"Công việc","Mã chưa có")))</f>
      </c>
      <c r="J717" s="221">
        <f>IF($I717="Phản ánh",INDEX('Phản ánh'!$C$6:$C$505,MATCH($C717,'Phản ánh'!$A$6:$A$505,0)),IF($I717="Công việc",INDEX('Kế hoạch'!$C$6:$C$305,$O717),""))</f>
      </c>
      <c r="K717" s="221">
        <f>IF($I717="Phản ánh",INDEX('Phản ánh'!$K$6:$K$505,MATCH($C717,'Phản ánh'!$A$6:$A$505,0))&amp;"",IF($I717="Công việc",INDEX('Kế hoạch'!$N$6:$N$305,$O717)&amp;"",""))</f>
      </c>
      <c r="L717" s="220">
        <f>IF(OR($C717="",N($B717)=0),"",IF(AND($I717="Phản ánh",$E717="Đã xử lý"),INDEX('Phản ánh'!$U$6:$U$505,MATCH($C717,'Phản ánh'!$A$6:$A$505,0)),IF(AND($I717="Công việc",OR($E717="Hoàn thành",$E717="Hoàn thành kỳ")),IF(INDEX('Kế hoạch'!$B$6:$B$305,$O717)="Đột xuất",INDEX('Kế hoạch'!$AY$6:$AY$305,$O717),IF(N($P717)=0,"",IF(INT($B717)&lt;$P717,$P717,IF($Q717&gt;0,$P717+ROUND((INT($B717)-$P717)/$Q717,0)*$Q717,IF($R717&gt;0,EDATE($P717,ROUND((DATEDIF($P717,INT($B717),"m")+(INT($B717)-EDATE($P717,DATEDIF($P717,INT($B717),"m")))/(EDATE($P717,DATEDIF($P717,INT($B717),"m")+1)-EDATE($P717,DATEDIF($P717,INT($B717),"m"))))/$R717,0)*$R717),$P717))))),"")))</f>
      </c>
      <c r="M717" s="223">
        <f>IF(OR($C717="",N($L717)=0,N($B717)=0),"",IF(IF(MOD($L717,1)=0,INT($B717),$B717)&lt;=$L717,"Đúng hạn","Trễ hạn"))</f>
      </c>
      <c r="N717" s="225">
        <f>IF($C717="","",ROW())</f>
      </c>
      <c r="O717" s="225">
        <f>IF($I717="Công việc",MATCH($C717,'Kế hoạch'!$A$6:$A$305,0),"")</f>
      </c>
      <c r="P717" s="234">
        <f>IF($O717="","",INDEX('Kế hoạch'!$I$6:$I$305,$O717))</f>
      </c>
      <c r="Q717" s="225">
        <f>IF($O717="","",INDEX('Kế hoạch'!$AJ$6:$AJ$305,$O717))</f>
      </c>
      <c r="R717" s="225">
        <f>IF($O717="","",INDEX('Kế hoạch'!$AK$6:$AK$305,$O717))</f>
      </c>
    </row>
    <row r="718">
      <c r="A718" s="223">
        <f>IF($C718="","",COUNTIF($C$6:$C718,"?*"))</f>
      </c>
      <c r="B718" s="217"/>
      <c r="C718" s="216"/>
      <c r="D718" s="240"/>
      <c r="E718" s="218"/>
      <c r="F718" s="218"/>
      <c r="G718" s="218"/>
      <c r="H718" s="219"/>
      <c r="I718" s="223">
        <f>IF($C718="","",IF(ISNUMBER(MATCH($C718,'Phản ánh'!$A$6:$A$505,0)),"Phản ánh",IF(ISNUMBER(MATCH($C718,'Kế hoạch'!$A$6:$A$305,0)),"Công việc","Mã chưa có")))</f>
      </c>
      <c r="J718" s="221">
        <f>IF($I718="Phản ánh",INDEX('Phản ánh'!$C$6:$C$505,MATCH($C718,'Phản ánh'!$A$6:$A$505,0)),IF($I718="Công việc",INDEX('Kế hoạch'!$C$6:$C$305,$O718),""))</f>
      </c>
      <c r="K718" s="221">
        <f>IF($I718="Phản ánh",INDEX('Phản ánh'!$K$6:$K$505,MATCH($C718,'Phản ánh'!$A$6:$A$505,0))&amp;"",IF($I718="Công việc",INDEX('Kế hoạch'!$N$6:$N$305,$O718)&amp;"",""))</f>
      </c>
      <c r="L718" s="220">
        <f>IF(OR($C718="",N($B718)=0),"",IF(AND($I718="Phản ánh",$E718="Đã xử lý"),INDEX('Phản ánh'!$U$6:$U$505,MATCH($C718,'Phản ánh'!$A$6:$A$505,0)),IF(AND($I718="Công việc",OR($E718="Hoàn thành",$E718="Hoàn thành kỳ")),IF(INDEX('Kế hoạch'!$B$6:$B$305,$O718)="Đột xuất",INDEX('Kế hoạch'!$AY$6:$AY$305,$O718),IF(N($P718)=0,"",IF(INT($B718)&lt;$P718,$P718,IF($Q718&gt;0,$P718+ROUND((INT($B718)-$P718)/$Q718,0)*$Q718,IF($R718&gt;0,EDATE($P718,ROUND((DATEDIF($P718,INT($B718),"m")+(INT($B718)-EDATE($P718,DATEDIF($P718,INT($B718),"m")))/(EDATE($P718,DATEDIF($P718,INT($B718),"m")+1)-EDATE($P718,DATEDIF($P718,INT($B718),"m"))))/$R718,0)*$R718),$P718))))),"")))</f>
      </c>
      <c r="M718" s="223">
        <f>IF(OR($C718="",N($L718)=0,N($B718)=0),"",IF(IF(MOD($L718,1)=0,INT($B718),$B718)&lt;=$L718,"Đúng hạn","Trễ hạn"))</f>
      </c>
      <c r="N718" s="225">
        <f>IF($C718="","",ROW())</f>
      </c>
      <c r="O718" s="225">
        <f>IF($I718="Công việc",MATCH($C718,'Kế hoạch'!$A$6:$A$305,0),"")</f>
      </c>
      <c r="P718" s="234">
        <f>IF($O718="","",INDEX('Kế hoạch'!$I$6:$I$305,$O718))</f>
      </c>
      <c r="Q718" s="225">
        <f>IF($O718="","",INDEX('Kế hoạch'!$AJ$6:$AJ$305,$O718))</f>
      </c>
      <c r="R718" s="225">
        <f>IF($O718="","",INDEX('Kế hoạch'!$AK$6:$AK$305,$O718))</f>
      </c>
    </row>
    <row r="719">
      <c r="A719" s="223">
        <f>IF($C719="","",COUNTIF($C$6:$C719,"?*"))</f>
      </c>
      <c r="B719" s="217"/>
      <c r="C719" s="216"/>
      <c r="D719" s="240"/>
      <c r="E719" s="218"/>
      <c r="F719" s="218"/>
      <c r="G719" s="218"/>
      <c r="H719" s="219"/>
      <c r="I719" s="223">
        <f>IF($C719="","",IF(ISNUMBER(MATCH($C719,'Phản ánh'!$A$6:$A$505,0)),"Phản ánh",IF(ISNUMBER(MATCH($C719,'Kế hoạch'!$A$6:$A$305,0)),"Công việc","Mã chưa có")))</f>
      </c>
      <c r="J719" s="221">
        <f>IF($I719="Phản ánh",INDEX('Phản ánh'!$C$6:$C$505,MATCH($C719,'Phản ánh'!$A$6:$A$505,0)),IF($I719="Công việc",INDEX('Kế hoạch'!$C$6:$C$305,$O719),""))</f>
      </c>
      <c r="K719" s="221">
        <f>IF($I719="Phản ánh",INDEX('Phản ánh'!$K$6:$K$505,MATCH($C719,'Phản ánh'!$A$6:$A$505,0))&amp;"",IF($I719="Công việc",INDEX('Kế hoạch'!$N$6:$N$305,$O719)&amp;"",""))</f>
      </c>
      <c r="L719" s="220">
        <f>IF(OR($C719="",N($B719)=0),"",IF(AND($I719="Phản ánh",$E719="Đã xử lý"),INDEX('Phản ánh'!$U$6:$U$505,MATCH($C719,'Phản ánh'!$A$6:$A$505,0)),IF(AND($I719="Công việc",OR($E719="Hoàn thành",$E719="Hoàn thành kỳ")),IF(INDEX('Kế hoạch'!$B$6:$B$305,$O719)="Đột xuất",INDEX('Kế hoạch'!$AY$6:$AY$305,$O719),IF(N($P719)=0,"",IF(INT($B719)&lt;$P719,$P719,IF($Q719&gt;0,$P719+ROUND((INT($B719)-$P719)/$Q719,0)*$Q719,IF($R719&gt;0,EDATE($P719,ROUND((DATEDIF($P719,INT($B719),"m")+(INT($B719)-EDATE($P719,DATEDIF($P719,INT($B719),"m")))/(EDATE($P719,DATEDIF($P719,INT($B719),"m")+1)-EDATE($P719,DATEDIF($P719,INT($B719),"m"))))/$R719,0)*$R719),$P719))))),"")))</f>
      </c>
      <c r="M719" s="223">
        <f>IF(OR($C719="",N($L719)=0,N($B719)=0),"",IF(IF(MOD($L719,1)=0,INT($B719),$B719)&lt;=$L719,"Đúng hạn","Trễ hạn"))</f>
      </c>
      <c r="N719" s="225">
        <f>IF($C719="","",ROW())</f>
      </c>
      <c r="O719" s="225">
        <f>IF($I719="Công việc",MATCH($C719,'Kế hoạch'!$A$6:$A$305,0),"")</f>
      </c>
      <c r="P719" s="234">
        <f>IF($O719="","",INDEX('Kế hoạch'!$I$6:$I$305,$O719))</f>
      </c>
      <c r="Q719" s="225">
        <f>IF($O719="","",INDEX('Kế hoạch'!$AJ$6:$AJ$305,$O719))</f>
      </c>
      <c r="R719" s="225">
        <f>IF($O719="","",INDEX('Kế hoạch'!$AK$6:$AK$305,$O719))</f>
      </c>
    </row>
    <row r="720">
      <c r="A720" s="223">
        <f>IF($C720="","",COUNTIF($C$6:$C720,"?*"))</f>
      </c>
      <c r="B720" s="217"/>
      <c r="C720" s="216"/>
      <c r="D720" s="240"/>
      <c r="E720" s="218"/>
      <c r="F720" s="218"/>
      <c r="G720" s="218"/>
      <c r="H720" s="219"/>
      <c r="I720" s="223">
        <f>IF($C720="","",IF(ISNUMBER(MATCH($C720,'Phản ánh'!$A$6:$A$505,0)),"Phản ánh",IF(ISNUMBER(MATCH($C720,'Kế hoạch'!$A$6:$A$305,0)),"Công việc","Mã chưa có")))</f>
      </c>
      <c r="J720" s="221">
        <f>IF($I720="Phản ánh",INDEX('Phản ánh'!$C$6:$C$505,MATCH($C720,'Phản ánh'!$A$6:$A$505,0)),IF($I720="Công việc",INDEX('Kế hoạch'!$C$6:$C$305,$O720),""))</f>
      </c>
      <c r="K720" s="221">
        <f>IF($I720="Phản ánh",INDEX('Phản ánh'!$K$6:$K$505,MATCH($C720,'Phản ánh'!$A$6:$A$505,0))&amp;"",IF($I720="Công việc",INDEX('Kế hoạch'!$N$6:$N$305,$O720)&amp;"",""))</f>
      </c>
      <c r="L720" s="220">
        <f>IF(OR($C720="",N($B720)=0),"",IF(AND($I720="Phản ánh",$E720="Đã xử lý"),INDEX('Phản ánh'!$U$6:$U$505,MATCH($C720,'Phản ánh'!$A$6:$A$505,0)),IF(AND($I720="Công việc",OR($E720="Hoàn thành",$E720="Hoàn thành kỳ")),IF(INDEX('Kế hoạch'!$B$6:$B$305,$O720)="Đột xuất",INDEX('Kế hoạch'!$AY$6:$AY$305,$O720),IF(N($P720)=0,"",IF(INT($B720)&lt;$P720,$P720,IF($Q720&gt;0,$P720+ROUND((INT($B720)-$P720)/$Q720,0)*$Q720,IF($R720&gt;0,EDATE($P720,ROUND((DATEDIF($P720,INT($B720),"m")+(INT($B720)-EDATE($P720,DATEDIF($P720,INT($B720),"m")))/(EDATE($P720,DATEDIF($P720,INT($B720),"m")+1)-EDATE($P720,DATEDIF($P720,INT($B720),"m"))))/$R720,0)*$R720),$P720))))),"")))</f>
      </c>
      <c r="M720" s="223">
        <f>IF(OR($C720="",N($L720)=0,N($B720)=0),"",IF(IF(MOD($L720,1)=0,INT($B720),$B720)&lt;=$L720,"Đúng hạn","Trễ hạn"))</f>
      </c>
      <c r="N720" s="225">
        <f>IF($C720="","",ROW())</f>
      </c>
      <c r="O720" s="225">
        <f>IF($I720="Công việc",MATCH($C720,'Kế hoạch'!$A$6:$A$305,0),"")</f>
      </c>
      <c r="P720" s="234">
        <f>IF($O720="","",INDEX('Kế hoạch'!$I$6:$I$305,$O720))</f>
      </c>
      <c r="Q720" s="225">
        <f>IF($O720="","",INDEX('Kế hoạch'!$AJ$6:$AJ$305,$O720))</f>
      </c>
      <c r="R720" s="225">
        <f>IF($O720="","",INDEX('Kế hoạch'!$AK$6:$AK$305,$O720))</f>
      </c>
    </row>
    <row r="721">
      <c r="A721" s="223">
        <f>IF($C721="","",COUNTIF($C$6:$C721,"?*"))</f>
      </c>
      <c r="B721" s="217"/>
      <c r="C721" s="216"/>
      <c r="D721" s="240"/>
      <c r="E721" s="218"/>
      <c r="F721" s="218"/>
      <c r="G721" s="218"/>
      <c r="H721" s="219"/>
      <c r="I721" s="223">
        <f>IF($C721="","",IF(ISNUMBER(MATCH($C721,'Phản ánh'!$A$6:$A$505,0)),"Phản ánh",IF(ISNUMBER(MATCH($C721,'Kế hoạch'!$A$6:$A$305,0)),"Công việc","Mã chưa có")))</f>
      </c>
      <c r="J721" s="221">
        <f>IF($I721="Phản ánh",INDEX('Phản ánh'!$C$6:$C$505,MATCH($C721,'Phản ánh'!$A$6:$A$505,0)),IF($I721="Công việc",INDEX('Kế hoạch'!$C$6:$C$305,$O721),""))</f>
      </c>
      <c r="K721" s="221">
        <f>IF($I721="Phản ánh",INDEX('Phản ánh'!$K$6:$K$505,MATCH($C721,'Phản ánh'!$A$6:$A$505,0))&amp;"",IF($I721="Công việc",INDEX('Kế hoạch'!$N$6:$N$305,$O721)&amp;"",""))</f>
      </c>
      <c r="L721" s="220">
        <f>IF(OR($C721="",N($B721)=0),"",IF(AND($I721="Phản ánh",$E721="Đã xử lý"),INDEX('Phản ánh'!$U$6:$U$505,MATCH($C721,'Phản ánh'!$A$6:$A$505,0)),IF(AND($I721="Công việc",OR($E721="Hoàn thành",$E721="Hoàn thành kỳ")),IF(INDEX('Kế hoạch'!$B$6:$B$305,$O721)="Đột xuất",INDEX('Kế hoạch'!$AY$6:$AY$305,$O721),IF(N($P721)=0,"",IF(INT($B721)&lt;$P721,$P721,IF($Q721&gt;0,$P721+ROUND((INT($B721)-$P721)/$Q721,0)*$Q721,IF($R721&gt;0,EDATE($P721,ROUND((DATEDIF($P721,INT($B721),"m")+(INT($B721)-EDATE($P721,DATEDIF($P721,INT($B721),"m")))/(EDATE($P721,DATEDIF($P721,INT($B721),"m")+1)-EDATE($P721,DATEDIF($P721,INT($B721),"m"))))/$R721,0)*$R721),$P721))))),"")))</f>
      </c>
      <c r="M721" s="223">
        <f>IF(OR($C721="",N($L721)=0,N($B721)=0),"",IF(IF(MOD($L721,1)=0,INT($B721),$B721)&lt;=$L721,"Đúng hạn","Trễ hạn"))</f>
      </c>
      <c r="N721" s="225">
        <f>IF($C721="","",ROW())</f>
      </c>
      <c r="O721" s="225">
        <f>IF($I721="Công việc",MATCH($C721,'Kế hoạch'!$A$6:$A$305,0),"")</f>
      </c>
      <c r="P721" s="234">
        <f>IF($O721="","",INDEX('Kế hoạch'!$I$6:$I$305,$O721))</f>
      </c>
      <c r="Q721" s="225">
        <f>IF($O721="","",INDEX('Kế hoạch'!$AJ$6:$AJ$305,$O721))</f>
      </c>
      <c r="R721" s="225">
        <f>IF($O721="","",INDEX('Kế hoạch'!$AK$6:$AK$305,$O721))</f>
      </c>
    </row>
    <row r="722">
      <c r="A722" s="223">
        <f>IF($C722="","",COUNTIF($C$6:$C722,"?*"))</f>
      </c>
      <c r="B722" s="217"/>
      <c r="C722" s="216"/>
      <c r="D722" s="240"/>
      <c r="E722" s="218"/>
      <c r="F722" s="218"/>
      <c r="G722" s="218"/>
      <c r="H722" s="219"/>
      <c r="I722" s="223">
        <f>IF($C722="","",IF(ISNUMBER(MATCH($C722,'Phản ánh'!$A$6:$A$505,0)),"Phản ánh",IF(ISNUMBER(MATCH($C722,'Kế hoạch'!$A$6:$A$305,0)),"Công việc","Mã chưa có")))</f>
      </c>
      <c r="J722" s="221">
        <f>IF($I722="Phản ánh",INDEX('Phản ánh'!$C$6:$C$505,MATCH($C722,'Phản ánh'!$A$6:$A$505,0)),IF($I722="Công việc",INDEX('Kế hoạch'!$C$6:$C$305,$O722),""))</f>
      </c>
      <c r="K722" s="221">
        <f>IF($I722="Phản ánh",INDEX('Phản ánh'!$K$6:$K$505,MATCH($C722,'Phản ánh'!$A$6:$A$505,0))&amp;"",IF($I722="Công việc",INDEX('Kế hoạch'!$N$6:$N$305,$O722)&amp;"",""))</f>
      </c>
      <c r="L722" s="220">
        <f>IF(OR($C722="",N($B722)=0),"",IF(AND($I722="Phản ánh",$E722="Đã xử lý"),INDEX('Phản ánh'!$U$6:$U$505,MATCH($C722,'Phản ánh'!$A$6:$A$505,0)),IF(AND($I722="Công việc",OR($E722="Hoàn thành",$E722="Hoàn thành kỳ")),IF(INDEX('Kế hoạch'!$B$6:$B$305,$O722)="Đột xuất",INDEX('Kế hoạch'!$AY$6:$AY$305,$O722),IF(N($P722)=0,"",IF(INT($B722)&lt;$P722,$P722,IF($Q722&gt;0,$P722+ROUND((INT($B722)-$P722)/$Q722,0)*$Q722,IF($R722&gt;0,EDATE($P722,ROUND((DATEDIF($P722,INT($B722),"m")+(INT($B722)-EDATE($P722,DATEDIF($P722,INT($B722),"m")))/(EDATE($P722,DATEDIF($P722,INT($B722),"m")+1)-EDATE($P722,DATEDIF($P722,INT($B722),"m"))))/$R722,0)*$R722),$P722))))),"")))</f>
      </c>
      <c r="M722" s="223">
        <f>IF(OR($C722="",N($L722)=0,N($B722)=0),"",IF(IF(MOD($L722,1)=0,INT($B722),$B722)&lt;=$L722,"Đúng hạn","Trễ hạn"))</f>
      </c>
      <c r="N722" s="225">
        <f>IF($C722="","",ROW())</f>
      </c>
      <c r="O722" s="225">
        <f>IF($I722="Công việc",MATCH($C722,'Kế hoạch'!$A$6:$A$305,0),"")</f>
      </c>
      <c r="P722" s="234">
        <f>IF($O722="","",INDEX('Kế hoạch'!$I$6:$I$305,$O722))</f>
      </c>
      <c r="Q722" s="225">
        <f>IF($O722="","",INDEX('Kế hoạch'!$AJ$6:$AJ$305,$O722))</f>
      </c>
      <c r="R722" s="225">
        <f>IF($O722="","",INDEX('Kế hoạch'!$AK$6:$AK$305,$O722))</f>
      </c>
    </row>
    <row r="723">
      <c r="A723" s="223">
        <f>IF($C723="","",COUNTIF($C$6:$C723,"?*"))</f>
      </c>
      <c r="B723" s="217"/>
      <c r="C723" s="216"/>
      <c r="D723" s="240"/>
      <c r="E723" s="218"/>
      <c r="F723" s="218"/>
      <c r="G723" s="218"/>
      <c r="H723" s="219"/>
      <c r="I723" s="223">
        <f>IF($C723="","",IF(ISNUMBER(MATCH($C723,'Phản ánh'!$A$6:$A$505,0)),"Phản ánh",IF(ISNUMBER(MATCH($C723,'Kế hoạch'!$A$6:$A$305,0)),"Công việc","Mã chưa có")))</f>
      </c>
      <c r="J723" s="221">
        <f>IF($I723="Phản ánh",INDEX('Phản ánh'!$C$6:$C$505,MATCH($C723,'Phản ánh'!$A$6:$A$505,0)),IF($I723="Công việc",INDEX('Kế hoạch'!$C$6:$C$305,$O723),""))</f>
      </c>
      <c r="K723" s="221">
        <f>IF($I723="Phản ánh",INDEX('Phản ánh'!$K$6:$K$505,MATCH($C723,'Phản ánh'!$A$6:$A$505,0))&amp;"",IF($I723="Công việc",INDEX('Kế hoạch'!$N$6:$N$305,$O723)&amp;"",""))</f>
      </c>
      <c r="L723" s="220">
        <f>IF(OR($C723="",N($B723)=0),"",IF(AND($I723="Phản ánh",$E723="Đã xử lý"),INDEX('Phản ánh'!$U$6:$U$505,MATCH($C723,'Phản ánh'!$A$6:$A$505,0)),IF(AND($I723="Công việc",OR($E723="Hoàn thành",$E723="Hoàn thành kỳ")),IF(INDEX('Kế hoạch'!$B$6:$B$305,$O723)="Đột xuất",INDEX('Kế hoạch'!$AY$6:$AY$305,$O723),IF(N($P723)=0,"",IF(INT($B723)&lt;$P723,$P723,IF($Q723&gt;0,$P723+ROUND((INT($B723)-$P723)/$Q723,0)*$Q723,IF($R723&gt;0,EDATE($P723,ROUND((DATEDIF($P723,INT($B723),"m")+(INT($B723)-EDATE($P723,DATEDIF($P723,INT($B723),"m")))/(EDATE($P723,DATEDIF($P723,INT($B723),"m")+1)-EDATE($P723,DATEDIF($P723,INT($B723),"m"))))/$R723,0)*$R723),$P723))))),"")))</f>
      </c>
      <c r="M723" s="223">
        <f>IF(OR($C723="",N($L723)=0,N($B723)=0),"",IF(IF(MOD($L723,1)=0,INT($B723),$B723)&lt;=$L723,"Đúng hạn","Trễ hạn"))</f>
      </c>
      <c r="N723" s="225">
        <f>IF($C723="","",ROW())</f>
      </c>
      <c r="O723" s="225">
        <f>IF($I723="Công việc",MATCH($C723,'Kế hoạch'!$A$6:$A$305,0),"")</f>
      </c>
      <c r="P723" s="234">
        <f>IF($O723="","",INDEX('Kế hoạch'!$I$6:$I$305,$O723))</f>
      </c>
      <c r="Q723" s="225">
        <f>IF($O723="","",INDEX('Kế hoạch'!$AJ$6:$AJ$305,$O723))</f>
      </c>
      <c r="R723" s="225">
        <f>IF($O723="","",INDEX('Kế hoạch'!$AK$6:$AK$305,$O723))</f>
      </c>
    </row>
    <row r="724">
      <c r="A724" s="223">
        <f>IF($C724="","",COUNTIF($C$6:$C724,"?*"))</f>
      </c>
      <c r="B724" s="217"/>
      <c r="C724" s="216"/>
      <c r="D724" s="240"/>
      <c r="E724" s="218"/>
      <c r="F724" s="218"/>
      <c r="G724" s="218"/>
      <c r="H724" s="219"/>
      <c r="I724" s="223">
        <f>IF($C724="","",IF(ISNUMBER(MATCH($C724,'Phản ánh'!$A$6:$A$505,0)),"Phản ánh",IF(ISNUMBER(MATCH($C724,'Kế hoạch'!$A$6:$A$305,0)),"Công việc","Mã chưa có")))</f>
      </c>
      <c r="J724" s="221">
        <f>IF($I724="Phản ánh",INDEX('Phản ánh'!$C$6:$C$505,MATCH($C724,'Phản ánh'!$A$6:$A$505,0)),IF($I724="Công việc",INDEX('Kế hoạch'!$C$6:$C$305,$O724),""))</f>
      </c>
      <c r="K724" s="221">
        <f>IF($I724="Phản ánh",INDEX('Phản ánh'!$K$6:$K$505,MATCH($C724,'Phản ánh'!$A$6:$A$505,0))&amp;"",IF($I724="Công việc",INDEX('Kế hoạch'!$N$6:$N$305,$O724)&amp;"",""))</f>
      </c>
      <c r="L724" s="220">
        <f>IF(OR($C724="",N($B724)=0),"",IF(AND($I724="Phản ánh",$E724="Đã xử lý"),INDEX('Phản ánh'!$U$6:$U$505,MATCH($C724,'Phản ánh'!$A$6:$A$505,0)),IF(AND($I724="Công việc",OR($E724="Hoàn thành",$E724="Hoàn thành kỳ")),IF(INDEX('Kế hoạch'!$B$6:$B$305,$O724)="Đột xuất",INDEX('Kế hoạch'!$AY$6:$AY$305,$O724),IF(N($P724)=0,"",IF(INT($B724)&lt;$P724,$P724,IF($Q724&gt;0,$P724+ROUND((INT($B724)-$P724)/$Q724,0)*$Q724,IF($R724&gt;0,EDATE($P724,ROUND((DATEDIF($P724,INT($B724),"m")+(INT($B724)-EDATE($P724,DATEDIF($P724,INT($B724),"m")))/(EDATE($P724,DATEDIF($P724,INT($B724),"m")+1)-EDATE($P724,DATEDIF($P724,INT($B724),"m"))))/$R724,0)*$R724),$P724))))),"")))</f>
      </c>
      <c r="M724" s="223">
        <f>IF(OR($C724="",N($L724)=0,N($B724)=0),"",IF(IF(MOD($L724,1)=0,INT($B724),$B724)&lt;=$L724,"Đúng hạn","Trễ hạn"))</f>
      </c>
      <c r="N724" s="225">
        <f>IF($C724="","",ROW())</f>
      </c>
      <c r="O724" s="225">
        <f>IF($I724="Công việc",MATCH($C724,'Kế hoạch'!$A$6:$A$305,0),"")</f>
      </c>
      <c r="P724" s="234">
        <f>IF($O724="","",INDEX('Kế hoạch'!$I$6:$I$305,$O724))</f>
      </c>
      <c r="Q724" s="225">
        <f>IF($O724="","",INDEX('Kế hoạch'!$AJ$6:$AJ$305,$O724))</f>
      </c>
      <c r="R724" s="225">
        <f>IF($O724="","",INDEX('Kế hoạch'!$AK$6:$AK$305,$O724))</f>
      </c>
    </row>
    <row r="725">
      <c r="A725" s="223">
        <f>IF($C725="","",COUNTIF($C$6:$C725,"?*"))</f>
      </c>
      <c r="B725" s="217"/>
      <c r="C725" s="216"/>
      <c r="D725" s="240"/>
      <c r="E725" s="218"/>
      <c r="F725" s="218"/>
      <c r="G725" s="218"/>
      <c r="H725" s="219"/>
      <c r="I725" s="223">
        <f>IF($C725="","",IF(ISNUMBER(MATCH($C725,'Phản ánh'!$A$6:$A$505,0)),"Phản ánh",IF(ISNUMBER(MATCH($C725,'Kế hoạch'!$A$6:$A$305,0)),"Công việc","Mã chưa có")))</f>
      </c>
      <c r="J725" s="221">
        <f>IF($I725="Phản ánh",INDEX('Phản ánh'!$C$6:$C$505,MATCH($C725,'Phản ánh'!$A$6:$A$505,0)),IF($I725="Công việc",INDEX('Kế hoạch'!$C$6:$C$305,$O725),""))</f>
      </c>
      <c r="K725" s="221">
        <f>IF($I725="Phản ánh",INDEX('Phản ánh'!$K$6:$K$505,MATCH($C725,'Phản ánh'!$A$6:$A$505,0))&amp;"",IF($I725="Công việc",INDEX('Kế hoạch'!$N$6:$N$305,$O725)&amp;"",""))</f>
      </c>
      <c r="L725" s="220">
        <f>IF(OR($C725="",N($B725)=0),"",IF(AND($I725="Phản ánh",$E725="Đã xử lý"),INDEX('Phản ánh'!$U$6:$U$505,MATCH($C725,'Phản ánh'!$A$6:$A$505,0)),IF(AND($I725="Công việc",OR($E725="Hoàn thành",$E725="Hoàn thành kỳ")),IF(INDEX('Kế hoạch'!$B$6:$B$305,$O725)="Đột xuất",INDEX('Kế hoạch'!$AY$6:$AY$305,$O725),IF(N($P725)=0,"",IF(INT($B725)&lt;$P725,$P725,IF($Q725&gt;0,$P725+ROUND((INT($B725)-$P725)/$Q725,0)*$Q725,IF($R725&gt;0,EDATE($P725,ROUND((DATEDIF($P725,INT($B725),"m")+(INT($B725)-EDATE($P725,DATEDIF($P725,INT($B725),"m")))/(EDATE($P725,DATEDIF($P725,INT($B725),"m")+1)-EDATE($P725,DATEDIF($P725,INT($B725),"m"))))/$R725,0)*$R725),$P725))))),"")))</f>
      </c>
      <c r="M725" s="223">
        <f>IF(OR($C725="",N($L725)=0,N($B725)=0),"",IF(IF(MOD($L725,1)=0,INT($B725),$B725)&lt;=$L725,"Đúng hạn","Trễ hạn"))</f>
      </c>
      <c r="N725" s="225">
        <f>IF($C725="","",ROW())</f>
      </c>
      <c r="O725" s="225">
        <f>IF($I725="Công việc",MATCH($C725,'Kế hoạch'!$A$6:$A$305,0),"")</f>
      </c>
      <c r="P725" s="234">
        <f>IF($O725="","",INDEX('Kế hoạch'!$I$6:$I$305,$O725))</f>
      </c>
      <c r="Q725" s="225">
        <f>IF($O725="","",INDEX('Kế hoạch'!$AJ$6:$AJ$305,$O725))</f>
      </c>
      <c r="R725" s="225">
        <f>IF($O725="","",INDEX('Kế hoạch'!$AK$6:$AK$305,$O725))</f>
      </c>
    </row>
    <row r="726">
      <c r="A726" s="223">
        <f>IF($C726="","",COUNTIF($C$6:$C726,"?*"))</f>
      </c>
      <c r="B726" s="217"/>
      <c r="C726" s="216"/>
      <c r="D726" s="240"/>
      <c r="E726" s="218"/>
      <c r="F726" s="218"/>
      <c r="G726" s="218"/>
      <c r="H726" s="219"/>
      <c r="I726" s="223">
        <f>IF($C726="","",IF(ISNUMBER(MATCH($C726,'Phản ánh'!$A$6:$A$505,0)),"Phản ánh",IF(ISNUMBER(MATCH($C726,'Kế hoạch'!$A$6:$A$305,0)),"Công việc","Mã chưa có")))</f>
      </c>
      <c r="J726" s="221">
        <f>IF($I726="Phản ánh",INDEX('Phản ánh'!$C$6:$C$505,MATCH($C726,'Phản ánh'!$A$6:$A$505,0)),IF($I726="Công việc",INDEX('Kế hoạch'!$C$6:$C$305,$O726),""))</f>
      </c>
      <c r="K726" s="221">
        <f>IF($I726="Phản ánh",INDEX('Phản ánh'!$K$6:$K$505,MATCH($C726,'Phản ánh'!$A$6:$A$505,0))&amp;"",IF($I726="Công việc",INDEX('Kế hoạch'!$N$6:$N$305,$O726)&amp;"",""))</f>
      </c>
      <c r="L726" s="220">
        <f>IF(OR($C726="",N($B726)=0),"",IF(AND($I726="Phản ánh",$E726="Đã xử lý"),INDEX('Phản ánh'!$U$6:$U$505,MATCH($C726,'Phản ánh'!$A$6:$A$505,0)),IF(AND($I726="Công việc",OR($E726="Hoàn thành",$E726="Hoàn thành kỳ")),IF(INDEX('Kế hoạch'!$B$6:$B$305,$O726)="Đột xuất",INDEX('Kế hoạch'!$AY$6:$AY$305,$O726),IF(N($P726)=0,"",IF(INT($B726)&lt;$P726,$P726,IF($Q726&gt;0,$P726+ROUND((INT($B726)-$P726)/$Q726,0)*$Q726,IF($R726&gt;0,EDATE($P726,ROUND((DATEDIF($P726,INT($B726),"m")+(INT($B726)-EDATE($P726,DATEDIF($P726,INT($B726),"m")))/(EDATE($P726,DATEDIF($P726,INT($B726),"m")+1)-EDATE($P726,DATEDIF($P726,INT($B726),"m"))))/$R726,0)*$R726),$P726))))),"")))</f>
      </c>
      <c r="M726" s="223">
        <f>IF(OR($C726="",N($L726)=0,N($B726)=0),"",IF(IF(MOD($L726,1)=0,INT($B726),$B726)&lt;=$L726,"Đúng hạn","Trễ hạn"))</f>
      </c>
      <c r="N726" s="225">
        <f>IF($C726="","",ROW())</f>
      </c>
      <c r="O726" s="225">
        <f>IF($I726="Công việc",MATCH($C726,'Kế hoạch'!$A$6:$A$305,0),"")</f>
      </c>
      <c r="P726" s="234">
        <f>IF($O726="","",INDEX('Kế hoạch'!$I$6:$I$305,$O726))</f>
      </c>
      <c r="Q726" s="225">
        <f>IF($O726="","",INDEX('Kế hoạch'!$AJ$6:$AJ$305,$O726))</f>
      </c>
      <c r="R726" s="225">
        <f>IF($O726="","",INDEX('Kế hoạch'!$AK$6:$AK$305,$O726))</f>
      </c>
    </row>
    <row r="727">
      <c r="A727" s="223">
        <f>IF($C727="","",COUNTIF($C$6:$C727,"?*"))</f>
      </c>
      <c r="B727" s="217"/>
      <c r="C727" s="216"/>
      <c r="D727" s="240"/>
      <c r="E727" s="218"/>
      <c r="F727" s="218"/>
      <c r="G727" s="218"/>
      <c r="H727" s="219"/>
      <c r="I727" s="223">
        <f>IF($C727="","",IF(ISNUMBER(MATCH($C727,'Phản ánh'!$A$6:$A$505,0)),"Phản ánh",IF(ISNUMBER(MATCH($C727,'Kế hoạch'!$A$6:$A$305,0)),"Công việc","Mã chưa có")))</f>
      </c>
      <c r="J727" s="221">
        <f>IF($I727="Phản ánh",INDEX('Phản ánh'!$C$6:$C$505,MATCH($C727,'Phản ánh'!$A$6:$A$505,0)),IF($I727="Công việc",INDEX('Kế hoạch'!$C$6:$C$305,$O727),""))</f>
      </c>
      <c r="K727" s="221">
        <f>IF($I727="Phản ánh",INDEX('Phản ánh'!$K$6:$K$505,MATCH($C727,'Phản ánh'!$A$6:$A$505,0))&amp;"",IF($I727="Công việc",INDEX('Kế hoạch'!$N$6:$N$305,$O727)&amp;"",""))</f>
      </c>
      <c r="L727" s="220">
        <f>IF(OR($C727="",N($B727)=0),"",IF(AND($I727="Phản ánh",$E727="Đã xử lý"),INDEX('Phản ánh'!$U$6:$U$505,MATCH($C727,'Phản ánh'!$A$6:$A$505,0)),IF(AND($I727="Công việc",OR($E727="Hoàn thành",$E727="Hoàn thành kỳ")),IF(INDEX('Kế hoạch'!$B$6:$B$305,$O727)="Đột xuất",INDEX('Kế hoạch'!$AY$6:$AY$305,$O727),IF(N($P727)=0,"",IF(INT($B727)&lt;$P727,$P727,IF($Q727&gt;0,$P727+ROUND((INT($B727)-$P727)/$Q727,0)*$Q727,IF($R727&gt;0,EDATE($P727,ROUND((DATEDIF($P727,INT($B727),"m")+(INT($B727)-EDATE($P727,DATEDIF($P727,INT($B727),"m")))/(EDATE($P727,DATEDIF($P727,INT($B727),"m")+1)-EDATE($P727,DATEDIF($P727,INT($B727),"m"))))/$R727,0)*$R727),$P727))))),"")))</f>
      </c>
      <c r="M727" s="223">
        <f>IF(OR($C727="",N($L727)=0,N($B727)=0),"",IF(IF(MOD($L727,1)=0,INT($B727),$B727)&lt;=$L727,"Đúng hạn","Trễ hạn"))</f>
      </c>
      <c r="N727" s="225">
        <f>IF($C727="","",ROW())</f>
      </c>
      <c r="O727" s="225">
        <f>IF($I727="Công việc",MATCH($C727,'Kế hoạch'!$A$6:$A$305,0),"")</f>
      </c>
      <c r="P727" s="234">
        <f>IF($O727="","",INDEX('Kế hoạch'!$I$6:$I$305,$O727))</f>
      </c>
      <c r="Q727" s="225">
        <f>IF($O727="","",INDEX('Kế hoạch'!$AJ$6:$AJ$305,$O727))</f>
      </c>
      <c r="R727" s="225">
        <f>IF($O727="","",INDEX('Kế hoạch'!$AK$6:$AK$305,$O727))</f>
      </c>
    </row>
    <row r="728">
      <c r="A728" s="223">
        <f>IF($C728="","",COUNTIF($C$6:$C728,"?*"))</f>
      </c>
      <c r="B728" s="217"/>
      <c r="C728" s="216"/>
      <c r="D728" s="240"/>
      <c r="E728" s="218"/>
      <c r="F728" s="218"/>
      <c r="G728" s="218"/>
      <c r="H728" s="219"/>
      <c r="I728" s="223">
        <f>IF($C728="","",IF(ISNUMBER(MATCH($C728,'Phản ánh'!$A$6:$A$505,0)),"Phản ánh",IF(ISNUMBER(MATCH($C728,'Kế hoạch'!$A$6:$A$305,0)),"Công việc","Mã chưa có")))</f>
      </c>
      <c r="J728" s="221">
        <f>IF($I728="Phản ánh",INDEX('Phản ánh'!$C$6:$C$505,MATCH($C728,'Phản ánh'!$A$6:$A$505,0)),IF($I728="Công việc",INDEX('Kế hoạch'!$C$6:$C$305,$O728),""))</f>
      </c>
      <c r="K728" s="221">
        <f>IF($I728="Phản ánh",INDEX('Phản ánh'!$K$6:$K$505,MATCH($C728,'Phản ánh'!$A$6:$A$505,0))&amp;"",IF($I728="Công việc",INDEX('Kế hoạch'!$N$6:$N$305,$O728)&amp;"",""))</f>
      </c>
      <c r="L728" s="220">
        <f>IF(OR($C728="",N($B728)=0),"",IF(AND($I728="Phản ánh",$E728="Đã xử lý"),INDEX('Phản ánh'!$U$6:$U$505,MATCH($C728,'Phản ánh'!$A$6:$A$505,0)),IF(AND($I728="Công việc",OR($E728="Hoàn thành",$E728="Hoàn thành kỳ")),IF(INDEX('Kế hoạch'!$B$6:$B$305,$O728)="Đột xuất",INDEX('Kế hoạch'!$AY$6:$AY$305,$O728),IF(N($P728)=0,"",IF(INT($B728)&lt;$P728,$P728,IF($Q728&gt;0,$P728+ROUND((INT($B728)-$P728)/$Q728,0)*$Q728,IF($R728&gt;0,EDATE($P728,ROUND((DATEDIF($P728,INT($B728),"m")+(INT($B728)-EDATE($P728,DATEDIF($P728,INT($B728),"m")))/(EDATE($P728,DATEDIF($P728,INT($B728),"m")+1)-EDATE($P728,DATEDIF($P728,INT($B728),"m"))))/$R728,0)*$R728),$P728))))),"")))</f>
      </c>
      <c r="M728" s="223">
        <f>IF(OR($C728="",N($L728)=0,N($B728)=0),"",IF(IF(MOD($L728,1)=0,INT($B728),$B728)&lt;=$L728,"Đúng hạn","Trễ hạn"))</f>
      </c>
      <c r="N728" s="225">
        <f>IF($C728="","",ROW())</f>
      </c>
      <c r="O728" s="225">
        <f>IF($I728="Công việc",MATCH($C728,'Kế hoạch'!$A$6:$A$305,0),"")</f>
      </c>
      <c r="P728" s="234">
        <f>IF($O728="","",INDEX('Kế hoạch'!$I$6:$I$305,$O728))</f>
      </c>
      <c r="Q728" s="225">
        <f>IF($O728="","",INDEX('Kế hoạch'!$AJ$6:$AJ$305,$O728))</f>
      </c>
      <c r="R728" s="225">
        <f>IF($O728="","",INDEX('Kế hoạch'!$AK$6:$AK$305,$O728))</f>
      </c>
    </row>
    <row r="729">
      <c r="A729" s="223">
        <f>IF($C729="","",COUNTIF($C$6:$C729,"?*"))</f>
      </c>
      <c r="B729" s="217"/>
      <c r="C729" s="216"/>
      <c r="D729" s="240"/>
      <c r="E729" s="218"/>
      <c r="F729" s="218"/>
      <c r="G729" s="218"/>
      <c r="H729" s="219"/>
      <c r="I729" s="223">
        <f>IF($C729="","",IF(ISNUMBER(MATCH($C729,'Phản ánh'!$A$6:$A$505,0)),"Phản ánh",IF(ISNUMBER(MATCH($C729,'Kế hoạch'!$A$6:$A$305,0)),"Công việc","Mã chưa có")))</f>
      </c>
      <c r="J729" s="221">
        <f>IF($I729="Phản ánh",INDEX('Phản ánh'!$C$6:$C$505,MATCH($C729,'Phản ánh'!$A$6:$A$505,0)),IF($I729="Công việc",INDEX('Kế hoạch'!$C$6:$C$305,$O729),""))</f>
      </c>
      <c r="K729" s="221">
        <f>IF($I729="Phản ánh",INDEX('Phản ánh'!$K$6:$K$505,MATCH($C729,'Phản ánh'!$A$6:$A$505,0))&amp;"",IF($I729="Công việc",INDEX('Kế hoạch'!$N$6:$N$305,$O729)&amp;"",""))</f>
      </c>
      <c r="L729" s="220">
        <f>IF(OR($C729="",N($B729)=0),"",IF(AND($I729="Phản ánh",$E729="Đã xử lý"),INDEX('Phản ánh'!$U$6:$U$505,MATCH($C729,'Phản ánh'!$A$6:$A$505,0)),IF(AND($I729="Công việc",OR($E729="Hoàn thành",$E729="Hoàn thành kỳ")),IF(INDEX('Kế hoạch'!$B$6:$B$305,$O729)="Đột xuất",INDEX('Kế hoạch'!$AY$6:$AY$305,$O729),IF(N($P729)=0,"",IF(INT($B729)&lt;$P729,$P729,IF($Q729&gt;0,$P729+ROUND((INT($B729)-$P729)/$Q729,0)*$Q729,IF($R729&gt;0,EDATE($P729,ROUND((DATEDIF($P729,INT($B729),"m")+(INT($B729)-EDATE($P729,DATEDIF($P729,INT($B729),"m")))/(EDATE($P729,DATEDIF($P729,INT($B729),"m")+1)-EDATE($P729,DATEDIF($P729,INT($B729),"m"))))/$R729,0)*$R729),$P729))))),"")))</f>
      </c>
      <c r="M729" s="223">
        <f>IF(OR($C729="",N($L729)=0,N($B729)=0),"",IF(IF(MOD($L729,1)=0,INT($B729),$B729)&lt;=$L729,"Đúng hạn","Trễ hạn"))</f>
      </c>
      <c r="N729" s="225">
        <f>IF($C729="","",ROW())</f>
      </c>
      <c r="O729" s="225">
        <f>IF($I729="Công việc",MATCH($C729,'Kế hoạch'!$A$6:$A$305,0),"")</f>
      </c>
      <c r="P729" s="234">
        <f>IF($O729="","",INDEX('Kế hoạch'!$I$6:$I$305,$O729))</f>
      </c>
      <c r="Q729" s="225">
        <f>IF($O729="","",INDEX('Kế hoạch'!$AJ$6:$AJ$305,$O729))</f>
      </c>
      <c r="R729" s="225">
        <f>IF($O729="","",INDEX('Kế hoạch'!$AK$6:$AK$305,$O729))</f>
      </c>
    </row>
    <row r="730">
      <c r="A730" s="223">
        <f>IF($C730="","",COUNTIF($C$6:$C730,"?*"))</f>
      </c>
      <c r="B730" s="217"/>
      <c r="C730" s="216"/>
      <c r="D730" s="240"/>
      <c r="E730" s="218"/>
      <c r="F730" s="218"/>
      <c r="G730" s="218"/>
      <c r="H730" s="219"/>
      <c r="I730" s="223">
        <f>IF($C730="","",IF(ISNUMBER(MATCH($C730,'Phản ánh'!$A$6:$A$505,0)),"Phản ánh",IF(ISNUMBER(MATCH($C730,'Kế hoạch'!$A$6:$A$305,0)),"Công việc","Mã chưa có")))</f>
      </c>
      <c r="J730" s="221">
        <f>IF($I730="Phản ánh",INDEX('Phản ánh'!$C$6:$C$505,MATCH($C730,'Phản ánh'!$A$6:$A$505,0)),IF($I730="Công việc",INDEX('Kế hoạch'!$C$6:$C$305,$O730),""))</f>
      </c>
      <c r="K730" s="221">
        <f>IF($I730="Phản ánh",INDEX('Phản ánh'!$K$6:$K$505,MATCH($C730,'Phản ánh'!$A$6:$A$505,0))&amp;"",IF($I730="Công việc",INDEX('Kế hoạch'!$N$6:$N$305,$O730)&amp;"",""))</f>
      </c>
      <c r="L730" s="220">
        <f>IF(OR($C730="",N($B730)=0),"",IF(AND($I730="Phản ánh",$E730="Đã xử lý"),INDEX('Phản ánh'!$U$6:$U$505,MATCH($C730,'Phản ánh'!$A$6:$A$505,0)),IF(AND($I730="Công việc",OR($E730="Hoàn thành",$E730="Hoàn thành kỳ")),IF(INDEX('Kế hoạch'!$B$6:$B$305,$O730)="Đột xuất",INDEX('Kế hoạch'!$AY$6:$AY$305,$O730),IF(N($P730)=0,"",IF(INT($B730)&lt;$P730,$P730,IF($Q730&gt;0,$P730+ROUND((INT($B730)-$P730)/$Q730,0)*$Q730,IF($R730&gt;0,EDATE($P730,ROUND((DATEDIF($P730,INT($B730),"m")+(INT($B730)-EDATE($P730,DATEDIF($P730,INT($B730),"m")))/(EDATE($P730,DATEDIF($P730,INT($B730),"m")+1)-EDATE($P730,DATEDIF($P730,INT($B730),"m"))))/$R730,0)*$R730),$P730))))),"")))</f>
      </c>
      <c r="M730" s="223">
        <f>IF(OR($C730="",N($L730)=0,N($B730)=0),"",IF(IF(MOD($L730,1)=0,INT($B730),$B730)&lt;=$L730,"Đúng hạn","Trễ hạn"))</f>
      </c>
      <c r="N730" s="225">
        <f>IF($C730="","",ROW())</f>
      </c>
      <c r="O730" s="225">
        <f>IF($I730="Công việc",MATCH($C730,'Kế hoạch'!$A$6:$A$305,0),"")</f>
      </c>
      <c r="P730" s="234">
        <f>IF($O730="","",INDEX('Kế hoạch'!$I$6:$I$305,$O730))</f>
      </c>
      <c r="Q730" s="225">
        <f>IF($O730="","",INDEX('Kế hoạch'!$AJ$6:$AJ$305,$O730))</f>
      </c>
      <c r="R730" s="225">
        <f>IF($O730="","",INDEX('Kế hoạch'!$AK$6:$AK$305,$O730))</f>
      </c>
    </row>
    <row r="731">
      <c r="A731" s="223">
        <f>IF($C731="","",COUNTIF($C$6:$C731,"?*"))</f>
      </c>
      <c r="B731" s="217"/>
      <c r="C731" s="216"/>
      <c r="D731" s="240"/>
      <c r="E731" s="218"/>
      <c r="F731" s="218"/>
      <c r="G731" s="218"/>
      <c r="H731" s="219"/>
      <c r="I731" s="223">
        <f>IF($C731="","",IF(ISNUMBER(MATCH($C731,'Phản ánh'!$A$6:$A$505,0)),"Phản ánh",IF(ISNUMBER(MATCH($C731,'Kế hoạch'!$A$6:$A$305,0)),"Công việc","Mã chưa có")))</f>
      </c>
      <c r="J731" s="221">
        <f>IF($I731="Phản ánh",INDEX('Phản ánh'!$C$6:$C$505,MATCH($C731,'Phản ánh'!$A$6:$A$505,0)),IF($I731="Công việc",INDEX('Kế hoạch'!$C$6:$C$305,$O731),""))</f>
      </c>
      <c r="K731" s="221">
        <f>IF($I731="Phản ánh",INDEX('Phản ánh'!$K$6:$K$505,MATCH($C731,'Phản ánh'!$A$6:$A$505,0))&amp;"",IF($I731="Công việc",INDEX('Kế hoạch'!$N$6:$N$305,$O731)&amp;"",""))</f>
      </c>
      <c r="L731" s="220">
        <f>IF(OR($C731="",N($B731)=0),"",IF(AND($I731="Phản ánh",$E731="Đã xử lý"),INDEX('Phản ánh'!$U$6:$U$505,MATCH($C731,'Phản ánh'!$A$6:$A$505,0)),IF(AND($I731="Công việc",OR($E731="Hoàn thành",$E731="Hoàn thành kỳ")),IF(INDEX('Kế hoạch'!$B$6:$B$305,$O731)="Đột xuất",INDEX('Kế hoạch'!$AY$6:$AY$305,$O731),IF(N($P731)=0,"",IF(INT($B731)&lt;$P731,$P731,IF($Q731&gt;0,$P731+ROUND((INT($B731)-$P731)/$Q731,0)*$Q731,IF($R731&gt;0,EDATE($P731,ROUND((DATEDIF($P731,INT($B731),"m")+(INT($B731)-EDATE($P731,DATEDIF($P731,INT($B731),"m")))/(EDATE($P731,DATEDIF($P731,INT($B731),"m")+1)-EDATE($P731,DATEDIF($P731,INT($B731),"m"))))/$R731,0)*$R731),$P731))))),"")))</f>
      </c>
      <c r="M731" s="223">
        <f>IF(OR($C731="",N($L731)=0,N($B731)=0),"",IF(IF(MOD($L731,1)=0,INT($B731),$B731)&lt;=$L731,"Đúng hạn","Trễ hạn"))</f>
      </c>
      <c r="N731" s="225">
        <f>IF($C731="","",ROW())</f>
      </c>
      <c r="O731" s="225">
        <f>IF($I731="Công việc",MATCH($C731,'Kế hoạch'!$A$6:$A$305,0),"")</f>
      </c>
      <c r="P731" s="234">
        <f>IF($O731="","",INDEX('Kế hoạch'!$I$6:$I$305,$O731))</f>
      </c>
      <c r="Q731" s="225">
        <f>IF($O731="","",INDEX('Kế hoạch'!$AJ$6:$AJ$305,$O731))</f>
      </c>
      <c r="R731" s="225">
        <f>IF($O731="","",INDEX('Kế hoạch'!$AK$6:$AK$305,$O731))</f>
      </c>
    </row>
    <row r="732">
      <c r="A732" s="223">
        <f>IF($C732="","",COUNTIF($C$6:$C732,"?*"))</f>
      </c>
      <c r="B732" s="217"/>
      <c r="C732" s="216"/>
      <c r="D732" s="240"/>
      <c r="E732" s="218"/>
      <c r="F732" s="218"/>
      <c r="G732" s="218"/>
      <c r="H732" s="219"/>
      <c r="I732" s="223">
        <f>IF($C732="","",IF(ISNUMBER(MATCH($C732,'Phản ánh'!$A$6:$A$505,0)),"Phản ánh",IF(ISNUMBER(MATCH($C732,'Kế hoạch'!$A$6:$A$305,0)),"Công việc","Mã chưa có")))</f>
      </c>
      <c r="J732" s="221">
        <f>IF($I732="Phản ánh",INDEX('Phản ánh'!$C$6:$C$505,MATCH($C732,'Phản ánh'!$A$6:$A$505,0)),IF($I732="Công việc",INDEX('Kế hoạch'!$C$6:$C$305,$O732),""))</f>
      </c>
      <c r="K732" s="221">
        <f>IF($I732="Phản ánh",INDEX('Phản ánh'!$K$6:$K$505,MATCH($C732,'Phản ánh'!$A$6:$A$505,0))&amp;"",IF($I732="Công việc",INDEX('Kế hoạch'!$N$6:$N$305,$O732)&amp;"",""))</f>
      </c>
      <c r="L732" s="220">
        <f>IF(OR($C732="",N($B732)=0),"",IF(AND($I732="Phản ánh",$E732="Đã xử lý"),INDEX('Phản ánh'!$U$6:$U$505,MATCH($C732,'Phản ánh'!$A$6:$A$505,0)),IF(AND($I732="Công việc",OR($E732="Hoàn thành",$E732="Hoàn thành kỳ")),IF(INDEX('Kế hoạch'!$B$6:$B$305,$O732)="Đột xuất",INDEX('Kế hoạch'!$AY$6:$AY$305,$O732),IF(N($P732)=0,"",IF(INT($B732)&lt;$P732,$P732,IF($Q732&gt;0,$P732+ROUND((INT($B732)-$P732)/$Q732,0)*$Q732,IF($R732&gt;0,EDATE($P732,ROUND((DATEDIF($P732,INT($B732),"m")+(INT($B732)-EDATE($P732,DATEDIF($P732,INT($B732),"m")))/(EDATE($P732,DATEDIF($P732,INT($B732),"m")+1)-EDATE($P732,DATEDIF($P732,INT($B732),"m"))))/$R732,0)*$R732),$P732))))),"")))</f>
      </c>
      <c r="M732" s="223">
        <f>IF(OR($C732="",N($L732)=0,N($B732)=0),"",IF(IF(MOD($L732,1)=0,INT($B732),$B732)&lt;=$L732,"Đúng hạn","Trễ hạn"))</f>
      </c>
      <c r="N732" s="225">
        <f>IF($C732="","",ROW())</f>
      </c>
      <c r="O732" s="225">
        <f>IF($I732="Công việc",MATCH($C732,'Kế hoạch'!$A$6:$A$305,0),"")</f>
      </c>
      <c r="P732" s="234">
        <f>IF($O732="","",INDEX('Kế hoạch'!$I$6:$I$305,$O732))</f>
      </c>
      <c r="Q732" s="225">
        <f>IF($O732="","",INDEX('Kế hoạch'!$AJ$6:$AJ$305,$O732))</f>
      </c>
      <c r="R732" s="225">
        <f>IF($O732="","",INDEX('Kế hoạch'!$AK$6:$AK$305,$O732))</f>
      </c>
    </row>
    <row r="733">
      <c r="A733" s="223">
        <f>IF($C733="","",COUNTIF($C$6:$C733,"?*"))</f>
      </c>
      <c r="B733" s="217"/>
      <c r="C733" s="216"/>
      <c r="D733" s="240"/>
      <c r="E733" s="218"/>
      <c r="F733" s="218"/>
      <c r="G733" s="218"/>
      <c r="H733" s="219"/>
      <c r="I733" s="223">
        <f>IF($C733="","",IF(ISNUMBER(MATCH($C733,'Phản ánh'!$A$6:$A$505,0)),"Phản ánh",IF(ISNUMBER(MATCH($C733,'Kế hoạch'!$A$6:$A$305,0)),"Công việc","Mã chưa có")))</f>
      </c>
      <c r="J733" s="221">
        <f>IF($I733="Phản ánh",INDEX('Phản ánh'!$C$6:$C$505,MATCH($C733,'Phản ánh'!$A$6:$A$505,0)),IF($I733="Công việc",INDEX('Kế hoạch'!$C$6:$C$305,$O733),""))</f>
      </c>
      <c r="K733" s="221">
        <f>IF($I733="Phản ánh",INDEX('Phản ánh'!$K$6:$K$505,MATCH($C733,'Phản ánh'!$A$6:$A$505,0))&amp;"",IF($I733="Công việc",INDEX('Kế hoạch'!$N$6:$N$305,$O733)&amp;"",""))</f>
      </c>
      <c r="L733" s="220">
        <f>IF(OR($C733="",N($B733)=0),"",IF(AND($I733="Phản ánh",$E733="Đã xử lý"),INDEX('Phản ánh'!$U$6:$U$505,MATCH($C733,'Phản ánh'!$A$6:$A$505,0)),IF(AND($I733="Công việc",OR($E733="Hoàn thành",$E733="Hoàn thành kỳ")),IF(INDEX('Kế hoạch'!$B$6:$B$305,$O733)="Đột xuất",INDEX('Kế hoạch'!$AY$6:$AY$305,$O733),IF(N($P733)=0,"",IF(INT($B733)&lt;$P733,$P733,IF($Q733&gt;0,$P733+ROUND((INT($B733)-$P733)/$Q733,0)*$Q733,IF($R733&gt;0,EDATE($P733,ROUND((DATEDIF($P733,INT($B733),"m")+(INT($B733)-EDATE($P733,DATEDIF($P733,INT($B733),"m")))/(EDATE($P733,DATEDIF($P733,INT($B733),"m")+1)-EDATE($P733,DATEDIF($P733,INT($B733),"m"))))/$R733,0)*$R733),$P733))))),"")))</f>
      </c>
      <c r="M733" s="223">
        <f>IF(OR($C733="",N($L733)=0,N($B733)=0),"",IF(IF(MOD($L733,1)=0,INT($B733),$B733)&lt;=$L733,"Đúng hạn","Trễ hạn"))</f>
      </c>
      <c r="N733" s="225">
        <f>IF($C733="","",ROW())</f>
      </c>
      <c r="O733" s="225">
        <f>IF($I733="Công việc",MATCH($C733,'Kế hoạch'!$A$6:$A$305,0),"")</f>
      </c>
      <c r="P733" s="234">
        <f>IF($O733="","",INDEX('Kế hoạch'!$I$6:$I$305,$O733))</f>
      </c>
      <c r="Q733" s="225">
        <f>IF($O733="","",INDEX('Kế hoạch'!$AJ$6:$AJ$305,$O733))</f>
      </c>
      <c r="R733" s="225">
        <f>IF($O733="","",INDEX('Kế hoạch'!$AK$6:$AK$305,$O733))</f>
      </c>
    </row>
    <row r="734">
      <c r="A734" s="223">
        <f>IF($C734="","",COUNTIF($C$6:$C734,"?*"))</f>
      </c>
      <c r="B734" s="217"/>
      <c r="C734" s="216"/>
      <c r="D734" s="240"/>
      <c r="E734" s="218"/>
      <c r="F734" s="218"/>
      <c r="G734" s="218"/>
      <c r="H734" s="219"/>
      <c r="I734" s="223">
        <f>IF($C734="","",IF(ISNUMBER(MATCH($C734,'Phản ánh'!$A$6:$A$505,0)),"Phản ánh",IF(ISNUMBER(MATCH($C734,'Kế hoạch'!$A$6:$A$305,0)),"Công việc","Mã chưa có")))</f>
      </c>
      <c r="J734" s="221">
        <f>IF($I734="Phản ánh",INDEX('Phản ánh'!$C$6:$C$505,MATCH($C734,'Phản ánh'!$A$6:$A$505,0)),IF($I734="Công việc",INDEX('Kế hoạch'!$C$6:$C$305,$O734),""))</f>
      </c>
      <c r="K734" s="221">
        <f>IF($I734="Phản ánh",INDEX('Phản ánh'!$K$6:$K$505,MATCH($C734,'Phản ánh'!$A$6:$A$505,0))&amp;"",IF($I734="Công việc",INDEX('Kế hoạch'!$N$6:$N$305,$O734)&amp;"",""))</f>
      </c>
      <c r="L734" s="220">
        <f>IF(OR($C734="",N($B734)=0),"",IF(AND($I734="Phản ánh",$E734="Đã xử lý"),INDEX('Phản ánh'!$U$6:$U$505,MATCH($C734,'Phản ánh'!$A$6:$A$505,0)),IF(AND($I734="Công việc",OR($E734="Hoàn thành",$E734="Hoàn thành kỳ")),IF(INDEX('Kế hoạch'!$B$6:$B$305,$O734)="Đột xuất",INDEX('Kế hoạch'!$AY$6:$AY$305,$O734),IF(N($P734)=0,"",IF(INT($B734)&lt;$P734,$P734,IF($Q734&gt;0,$P734+ROUND((INT($B734)-$P734)/$Q734,0)*$Q734,IF($R734&gt;0,EDATE($P734,ROUND((DATEDIF($P734,INT($B734),"m")+(INT($B734)-EDATE($P734,DATEDIF($P734,INT($B734),"m")))/(EDATE($P734,DATEDIF($P734,INT($B734),"m")+1)-EDATE($P734,DATEDIF($P734,INT($B734),"m"))))/$R734,0)*$R734),$P734))))),"")))</f>
      </c>
      <c r="M734" s="223">
        <f>IF(OR($C734="",N($L734)=0,N($B734)=0),"",IF(IF(MOD($L734,1)=0,INT($B734),$B734)&lt;=$L734,"Đúng hạn","Trễ hạn"))</f>
      </c>
      <c r="N734" s="225">
        <f>IF($C734="","",ROW())</f>
      </c>
      <c r="O734" s="225">
        <f>IF($I734="Công việc",MATCH($C734,'Kế hoạch'!$A$6:$A$305,0),"")</f>
      </c>
      <c r="P734" s="234">
        <f>IF($O734="","",INDEX('Kế hoạch'!$I$6:$I$305,$O734))</f>
      </c>
      <c r="Q734" s="225">
        <f>IF($O734="","",INDEX('Kế hoạch'!$AJ$6:$AJ$305,$O734))</f>
      </c>
      <c r="R734" s="225">
        <f>IF($O734="","",INDEX('Kế hoạch'!$AK$6:$AK$305,$O734))</f>
      </c>
    </row>
    <row r="735">
      <c r="A735" s="223">
        <f>IF($C735="","",COUNTIF($C$6:$C735,"?*"))</f>
      </c>
      <c r="B735" s="217"/>
      <c r="C735" s="216"/>
      <c r="D735" s="240"/>
      <c r="E735" s="218"/>
      <c r="F735" s="218"/>
      <c r="G735" s="218"/>
      <c r="H735" s="219"/>
      <c r="I735" s="223">
        <f>IF($C735="","",IF(ISNUMBER(MATCH($C735,'Phản ánh'!$A$6:$A$505,0)),"Phản ánh",IF(ISNUMBER(MATCH($C735,'Kế hoạch'!$A$6:$A$305,0)),"Công việc","Mã chưa có")))</f>
      </c>
      <c r="J735" s="221">
        <f>IF($I735="Phản ánh",INDEX('Phản ánh'!$C$6:$C$505,MATCH($C735,'Phản ánh'!$A$6:$A$505,0)),IF($I735="Công việc",INDEX('Kế hoạch'!$C$6:$C$305,$O735),""))</f>
      </c>
      <c r="K735" s="221">
        <f>IF($I735="Phản ánh",INDEX('Phản ánh'!$K$6:$K$505,MATCH($C735,'Phản ánh'!$A$6:$A$505,0))&amp;"",IF($I735="Công việc",INDEX('Kế hoạch'!$N$6:$N$305,$O735)&amp;"",""))</f>
      </c>
      <c r="L735" s="220">
        <f>IF(OR($C735="",N($B735)=0),"",IF(AND($I735="Phản ánh",$E735="Đã xử lý"),INDEX('Phản ánh'!$U$6:$U$505,MATCH($C735,'Phản ánh'!$A$6:$A$505,0)),IF(AND($I735="Công việc",OR($E735="Hoàn thành",$E735="Hoàn thành kỳ")),IF(INDEX('Kế hoạch'!$B$6:$B$305,$O735)="Đột xuất",INDEX('Kế hoạch'!$AY$6:$AY$305,$O735),IF(N($P735)=0,"",IF(INT($B735)&lt;$P735,$P735,IF($Q735&gt;0,$P735+ROUND((INT($B735)-$P735)/$Q735,0)*$Q735,IF($R735&gt;0,EDATE($P735,ROUND((DATEDIF($P735,INT($B735),"m")+(INT($B735)-EDATE($P735,DATEDIF($P735,INT($B735),"m")))/(EDATE($P735,DATEDIF($P735,INT($B735),"m")+1)-EDATE($P735,DATEDIF($P735,INT($B735),"m"))))/$R735,0)*$R735),$P735))))),"")))</f>
      </c>
      <c r="M735" s="223">
        <f>IF(OR($C735="",N($L735)=0,N($B735)=0),"",IF(IF(MOD($L735,1)=0,INT($B735),$B735)&lt;=$L735,"Đúng hạn","Trễ hạn"))</f>
      </c>
      <c r="N735" s="225">
        <f>IF($C735="","",ROW())</f>
      </c>
      <c r="O735" s="225">
        <f>IF($I735="Công việc",MATCH($C735,'Kế hoạch'!$A$6:$A$305,0),"")</f>
      </c>
      <c r="P735" s="234">
        <f>IF($O735="","",INDEX('Kế hoạch'!$I$6:$I$305,$O735))</f>
      </c>
      <c r="Q735" s="225">
        <f>IF($O735="","",INDEX('Kế hoạch'!$AJ$6:$AJ$305,$O735))</f>
      </c>
      <c r="R735" s="225">
        <f>IF($O735="","",INDEX('Kế hoạch'!$AK$6:$AK$305,$O735))</f>
      </c>
    </row>
    <row r="736">
      <c r="A736" s="223">
        <f>IF($C736="","",COUNTIF($C$6:$C736,"?*"))</f>
      </c>
      <c r="B736" s="217"/>
      <c r="C736" s="216"/>
      <c r="D736" s="240"/>
      <c r="E736" s="218"/>
      <c r="F736" s="218"/>
      <c r="G736" s="218"/>
      <c r="H736" s="219"/>
      <c r="I736" s="223">
        <f>IF($C736="","",IF(ISNUMBER(MATCH($C736,'Phản ánh'!$A$6:$A$505,0)),"Phản ánh",IF(ISNUMBER(MATCH($C736,'Kế hoạch'!$A$6:$A$305,0)),"Công việc","Mã chưa có")))</f>
      </c>
      <c r="J736" s="221">
        <f>IF($I736="Phản ánh",INDEX('Phản ánh'!$C$6:$C$505,MATCH($C736,'Phản ánh'!$A$6:$A$505,0)),IF($I736="Công việc",INDEX('Kế hoạch'!$C$6:$C$305,$O736),""))</f>
      </c>
      <c r="K736" s="221">
        <f>IF($I736="Phản ánh",INDEX('Phản ánh'!$K$6:$K$505,MATCH($C736,'Phản ánh'!$A$6:$A$505,0))&amp;"",IF($I736="Công việc",INDEX('Kế hoạch'!$N$6:$N$305,$O736)&amp;"",""))</f>
      </c>
      <c r="L736" s="220">
        <f>IF(OR($C736="",N($B736)=0),"",IF(AND($I736="Phản ánh",$E736="Đã xử lý"),INDEX('Phản ánh'!$U$6:$U$505,MATCH($C736,'Phản ánh'!$A$6:$A$505,0)),IF(AND($I736="Công việc",OR($E736="Hoàn thành",$E736="Hoàn thành kỳ")),IF(INDEX('Kế hoạch'!$B$6:$B$305,$O736)="Đột xuất",INDEX('Kế hoạch'!$AY$6:$AY$305,$O736),IF(N($P736)=0,"",IF(INT($B736)&lt;$P736,$P736,IF($Q736&gt;0,$P736+ROUND((INT($B736)-$P736)/$Q736,0)*$Q736,IF($R736&gt;0,EDATE($P736,ROUND((DATEDIF($P736,INT($B736),"m")+(INT($B736)-EDATE($P736,DATEDIF($P736,INT($B736),"m")))/(EDATE($P736,DATEDIF($P736,INT($B736),"m")+1)-EDATE($P736,DATEDIF($P736,INT($B736),"m"))))/$R736,0)*$R736),$P736))))),"")))</f>
      </c>
      <c r="M736" s="223">
        <f>IF(OR($C736="",N($L736)=0,N($B736)=0),"",IF(IF(MOD($L736,1)=0,INT($B736),$B736)&lt;=$L736,"Đúng hạn","Trễ hạn"))</f>
      </c>
      <c r="N736" s="225">
        <f>IF($C736="","",ROW())</f>
      </c>
      <c r="O736" s="225">
        <f>IF($I736="Công việc",MATCH($C736,'Kế hoạch'!$A$6:$A$305,0),"")</f>
      </c>
      <c r="P736" s="234">
        <f>IF($O736="","",INDEX('Kế hoạch'!$I$6:$I$305,$O736))</f>
      </c>
      <c r="Q736" s="225">
        <f>IF($O736="","",INDEX('Kế hoạch'!$AJ$6:$AJ$305,$O736))</f>
      </c>
      <c r="R736" s="225">
        <f>IF($O736="","",INDEX('Kế hoạch'!$AK$6:$AK$305,$O736))</f>
      </c>
    </row>
    <row r="737">
      <c r="A737" s="223">
        <f>IF($C737="","",COUNTIF($C$6:$C737,"?*"))</f>
      </c>
      <c r="B737" s="217"/>
      <c r="C737" s="216"/>
      <c r="D737" s="240"/>
      <c r="E737" s="218"/>
      <c r="F737" s="218"/>
      <c r="G737" s="218"/>
      <c r="H737" s="219"/>
      <c r="I737" s="223">
        <f>IF($C737="","",IF(ISNUMBER(MATCH($C737,'Phản ánh'!$A$6:$A$505,0)),"Phản ánh",IF(ISNUMBER(MATCH($C737,'Kế hoạch'!$A$6:$A$305,0)),"Công việc","Mã chưa có")))</f>
      </c>
      <c r="J737" s="221">
        <f>IF($I737="Phản ánh",INDEX('Phản ánh'!$C$6:$C$505,MATCH($C737,'Phản ánh'!$A$6:$A$505,0)),IF($I737="Công việc",INDEX('Kế hoạch'!$C$6:$C$305,$O737),""))</f>
      </c>
      <c r="K737" s="221">
        <f>IF($I737="Phản ánh",INDEX('Phản ánh'!$K$6:$K$505,MATCH($C737,'Phản ánh'!$A$6:$A$505,0))&amp;"",IF($I737="Công việc",INDEX('Kế hoạch'!$N$6:$N$305,$O737)&amp;"",""))</f>
      </c>
      <c r="L737" s="220">
        <f>IF(OR($C737="",N($B737)=0),"",IF(AND($I737="Phản ánh",$E737="Đã xử lý"),INDEX('Phản ánh'!$U$6:$U$505,MATCH($C737,'Phản ánh'!$A$6:$A$505,0)),IF(AND($I737="Công việc",OR($E737="Hoàn thành",$E737="Hoàn thành kỳ")),IF(INDEX('Kế hoạch'!$B$6:$B$305,$O737)="Đột xuất",INDEX('Kế hoạch'!$AY$6:$AY$305,$O737),IF(N($P737)=0,"",IF(INT($B737)&lt;$P737,$P737,IF($Q737&gt;0,$P737+ROUND((INT($B737)-$P737)/$Q737,0)*$Q737,IF($R737&gt;0,EDATE($P737,ROUND((DATEDIF($P737,INT($B737),"m")+(INT($B737)-EDATE($P737,DATEDIF($P737,INT($B737),"m")))/(EDATE($P737,DATEDIF($P737,INT($B737),"m")+1)-EDATE($P737,DATEDIF($P737,INT($B737),"m"))))/$R737,0)*$R737),$P737))))),"")))</f>
      </c>
      <c r="M737" s="223">
        <f>IF(OR($C737="",N($L737)=0,N($B737)=0),"",IF(IF(MOD($L737,1)=0,INT($B737),$B737)&lt;=$L737,"Đúng hạn","Trễ hạn"))</f>
      </c>
      <c r="N737" s="225">
        <f>IF($C737="","",ROW())</f>
      </c>
      <c r="O737" s="225">
        <f>IF($I737="Công việc",MATCH($C737,'Kế hoạch'!$A$6:$A$305,0),"")</f>
      </c>
      <c r="P737" s="234">
        <f>IF($O737="","",INDEX('Kế hoạch'!$I$6:$I$305,$O737))</f>
      </c>
      <c r="Q737" s="225">
        <f>IF($O737="","",INDEX('Kế hoạch'!$AJ$6:$AJ$305,$O737))</f>
      </c>
      <c r="R737" s="225">
        <f>IF($O737="","",INDEX('Kế hoạch'!$AK$6:$AK$305,$O737))</f>
      </c>
    </row>
    <row r="738">
      <c r="A738" s="223">
        <f>IF($C738="","",COUNTIF($C$6:$C738,"?*"))</f>
      </c>
      <c r="B738" s="217"/>
      <c r="C738" s="216"/>
      <c r="D738" s="240"/>
      <c r="E738" s="218"/>
      <c r="F738" s="218"/>
      <c r="G738" s="218"/>
      <c r="H738" s="219"/>
      <c r="I738" s="223">
        <f>IF($C738="","",IF(ISNUMBER(MATCH($C738,'Phản ánh'!$A$6:$A$505,0)),"Phản ánh",IF(ISNUMBER(MATCH($C738,'Kế hoạch'!$A$6:$A$305,0)),"Công việc","Mã chưa có")))</f>
      </c>
      <c r="J738" s="221">
        <f>IF($I738="Phản ánh",INDEX('Phản ánh'!$C$6:$C$505,MATCH($C738,'Phản ánh'!$A$6:$A$505,0)),IF($I738="Công việc",INDEX('Kế hoạch'!$C$6:$C$305,$O738),""))</f>
      </c>
      <c r="K738" s="221">
        <f>IF($I738="Phản ánh",INDEX('Phản ánh'!$K$6:$K$505,MATCH($C738,'Phản ánh'!$A$6:$A$505,0))&amp;"",IF($I738="Công việc",INDEX('Kế hoạch'!$N$6:$N$305,$O738)&amp;"",""))</f>
      </c>
      <c r="L738" s="220">
        <f>IF(OR($C738="",N($B738)=0),"",IF(AND($I738="Phản ánh",$E738="Đã xử lý"),INDEX('Phản ánh'!$U$6:$U$505,MATCH($C738,'Phản ánh'!$A$6:$A$505,0)),IF(AND($I738="Công việc",OR($E738="Hoàn thành",$E738="Hoàn thành kỳ")),IF(INDEX('Kế hoạch'!$B$6:$B$305,$O738)="Đột xuất",INDEX('Kế hoạch'!$AY$6:$AY$305,$O738),IF(N($P738)=0,"",IF(INT($B738)&lt;$P738,$P738,IF($Q738&gt;0,$P738+ROUND((INT($B738)-$P738)/$Q738,0)*$Q738,IF($R738&gt;0,EDATE($P738,ROUND((DATEDIF($P738,INT($B738),"m")+(INT($B738)-EDATE($P738,DATEDIF($P738,INT($B738),"m")))/(EDATE($P738,DATEDIF($P738,INT($B738),"m")+1)-EDATE($P738,DATEDIF($P738,INT($B738),"m"))))/$R738,0)*$R738),$P738))))),"")))</f>
      </c>
      <c r="M738" s="223">
        <f>IF(OR($C738="",N($L738)=0,N($B738)=0),"",IF(IF(MOD($L738,1)=0,INT($B738),$B738)&lt;=$L738,"Đúng hạn","Trễ hạn"))</f>
      </c>
      <c r="N738" s="225">
        <f>IF($C738="","",ROW())</f>
      </c>
      <c r="O738" s="225">
        <f>IF($I738="Công việc",MATCH($C738,'Kế hoạch'!$A$6:$A$305,0),"")</f>
      </c>
      <c r="P738" s="234">
        <f>IF($O738="","",INDEX('Kế hoạch'!$I$6:$I$305,$O738))</f>
      </c>
      <c r="Q738" s="225">
        <f>IF($O738="","",INDEX('Kế hoạch'!$AJ$6:$AJ$305,$O738))</f>
      </c>
      <c r="R738" s="225">
        <f>IF($O738="","",INDEX('Kế hoạch'!$AK$6:$AK$305,$O738))</f>
      </c>
    </row>
    <row r="739">
      <c r="A739" s="223">
        <f>IF($C739="","",COUNTIF($C$6:$C739,"?*"))</f>
      </c>
      <c r="B739" s="217"/>
      <c r="C739" s="216"/>
      <c r="D739" s="240"/>
      <c r="E739" s="218"/>
      <c r="F739" s="218"/>
      <c r="G739" s="218"/>
      <c r="H739" s="219"/>
      <c r="I739" s="223">
        <f>IF($C739="","",IF(ISNUMBER(MATCH($C739,'Phản ánh'!$A$6:$A$505,0)),"Phản ánh",IF(ISNUMBER(MATCH($C739,'Kế hoạch'!$A$6:$A$305,0)),"Công việc","Mã chưa có")))</f>
      </c>
      <c r="J739" s="221">
        <f>IF($I739="Phản ánh",INDEX('Phản ánh'!$C$6:$C$505,MATCH($C739,'Phản ánh'!$A$6:$A$505,0)),IF($I739="Công việc",INDEX('Kế hoạch'!$C$6:$C$305,$O739),""))</f>
      </c>
      <c r="K739" s="221">
        <f>IF($I739="Phản ánh",INDEX('Phản ánh'!$K$6:$K$505,MATCH($C739,'Phản ánh'!$A$6:$A$505,0))&amp;"",IF($I739="Công việc",INDEX('Kế hoạch'!$N$6:$N$305,$O739)&amp;"",""))</f>
      </c>
      <c r="L739" s="220">
        <f>IF(OR($C739="",N($B739)=0),"",IF(AND($I739="Phản ánh",$E739="Đã xử lý"),INDEX('Phản ánh'!$U$6:$U$505,MATCH($C739,'Phản ánh'!$A$6:$A$505,0)),IF(AND($I739="Công việc",OR($E739="Hoàn thành",$E739="Hoàn thành kỳ")),IF(INDEX('Kế hoạch'!$B$6:$B$305,$O739)="Đột xuất",INDEX('Kế hoạch'!$AY$6:$AY$305,$O739),IF(N($P739)=0,"",IF(INT($B739)&lt;$P739,$P739,IF($Q739&gt;0,$P739+ROUND((INT($B739)-$P739)/$Q739,0)*$Q739,IF($R739&gt;0,EDATE($P739,ROUND((DATEDIF($P739,INT($B739),"m")+(INT($B739)-EDATE($P739,DATEDIF($P739,INT($B739),"m")))/(EDATE($P739,DATEDIF($P739,INT($B739),"m")+1)-EDATE($P739,DATEDIF($P739,INT($B739),"m"))))/$R739,0)*$R739),$P739))))),"")))</f>
      </c>
      <c r="M739" s="223">
        <f>IF(OR($C739="",N($L739)=0,N($B739)=0),"",IF(IF(MOD($L739,1)=0,INT($B739),$B739)&lt;=$L739,"Đúng hạn","Trễ hạn"))</f>
      </c>
      <c r="N739" s="225">
        <f>IF($C739="","",ROW())</f>
      </c>
      <c r="O739" s="225">
        <f>IF($I739="Công việc",MATCH($C739,'Kế hoạch'!$A$6:$A$305,0),"")</f>
      </c>
      <c r="P739" s="234">
        <f>IF($O739="","",INDEX('Kế hoạch'!$I$6:$I$305,$O739))</f>
      </c>
      <c r="Q739" s="225">
        <f>IF($O739="","",INDEX('Kế hoạch'!$AJ$6:$AJ$305,$O739))</f>
      </c>
      <c r="R739" s="225">
        <f>IF($O739="","",INDEX('Kế hoạch'!$AK$6:$AK$305,$O739))</f>
      </c>
    </row>
    <row r="740">
      <c r="A740" s="223">
        <f>IF($C740="","",COUNTIF($C$6:$C740,"?*"))</f>
      </c>
      <c r="B740" s="217"/>
      <c r="C740" s="216"/>
      <c r="D740" s="240"/>
      <c r="E740" s="218"/>
      <c r="F740" s="218"/>
      <c r="G740" s="218"/>
      <c r="H740" s="219"/>
      <c r="I740" s="223">
        <f>IF($C740="","",IF(ISNUMBER(MATCH($C740,'Phản ánh'!$A$6:$A$505,0)),"Phản ánh",IF(ISNUMBER(MATCH($C740,'Kế hoạch'!$A$6:$A$305,0)),"Công việc","Mã chưa có")))</f>
      </c>
      <c r="J740" s="221">
        <f>IF($I740="Phản ánh",INDEX('Phản ánh'!$C$6:$C$505,MATCH($C740,'Phản ánh'!$A$6:$A$505,0)),IF($I740="Công việc",INDEX('Kế hoạch'!$C$6:$C$305,$O740),""))</f>
      </c>
      <c r="K740" s="221">
        <f>IF($I740="Phản ánh",INDEX('Phản ánh'!$K$6:$K$505,MATCH($C740,'Phản ánh'!$A$6:$A$505,0))&amp;"",IF($I740="Công việc",INDEX('Kế hoạch'!$N$6:$N$305,$O740)&amp;"",""))</f>
      </c>
      <c r="L740" s="220">
        <f>IF(OR($C740="",N($B740)=0),"",IF(AND($I740="Phản ánh",$E740="Đã xử lý"),INDEX('Phản ánh'!$U$6:$U$505,MATCH($C740,'Phản ánh'!$A$6:$A$505,0)),IF(AND($I740="Công việc",OR($E740="Hoàn thành",$E740="Hoàn thành kỳ")),IF(INDEX('Kế hoạch'!$B$6:$B$305,$O740)="Đột xuất",INDEX('Kế hoạch'!$AY$6:$AY$305,$O740),IF(N($P740)=0,"",IF(INT($B740)&lt;$P740,$P740,IF($Q740&gt;0,$P740+ROUND((INT($B740)-$P740)/$Q740,0)*$Q740,IF($R740&gt;0,EDATE($P740,ROUND((DATEDIF($P740,INT($B740),"m")+(INT($B740)-EDATE($P740,DATEDIF($P740,INT($B740),"m")))/(EDATE($P740,DATEDIF($P740,INT($B740),"m")+1)-EDATE($P740,DATEDIF($P740,INT($B740),"m"))))/$R740,0)*$R740),$P740))))),"")))</f>
      </c>
      <c r="M740" s="223">
        <f>IF(OR($C740="",N($L740)=0,N($B740)=0),"",IF(IF(MOD($L740,1)=0,INT($B740),$B740)&lt;=$L740,"Đúng hạn","Trễ hạn"))</f>
      </c>
      <c r="N740" s="225">
        <f>IF($C740="","",ROW())</f>
      </c>
      <c r="O740" s="225">
        <f>IF($I740="Công việc",MATCH($C740,'Kế hoạch'!$A$6:$A$305,0),"")</f>
      </c>
      <c r="P740" s="234">
        <f>IF($O740="","",INDEX('Kế hoạch'!$I$6:$I$305,$O740))</f>
      </c>
      <c r="Q740" s="225">
        <f>IF($O740="","",INDEX('Kế hoạch'!$AJ$6:$AJ$305,$O740))</f>
      </c>
      <c r="R740" s="225">
        <f>IF($O740="","",INDEX('Kế hoạch'!$AK$6:$AK$305,$O740))</f>
      </c>
    </row>
    <row r="741">
      <c r="A741" s="223">
        <f>IF($C741="","",COUNTIF($C$6:$C741,"?*"))</f>
      </c>
      <c r="B741" s="217"/>
      <c r="C741" s="216"/>
      <c r="D741" s="240"/>
      <c r="E741" s="218"/>
      <c r="F741" s="218"/>
      <c r="G741" s="218"/>
      <c r="H741" s="219"/>
      <c r="I741" s="223">
        <f>IF($C741="","",IF(ISNUMBER(MATCH($C741,'Phản ánh'!$A$6:$A$505,0)),"Phản ánh",IF(ISNUMBER(MATCH($C741,'Kế hoạch'!$A$6:$A$305,0)),"Công việc","Mã chưa có")))</f>
      </c>
      <c r="J741" s="221">
        <f>IF($I741="Phản ánh",INDEX('Phản ánh'!$C$6:$C$505,MATCH($C741,'Phản ánh'!$A$6:$A$505,0)),IF($I741="Công việc",INDEX('Kế hoạch'!$C$6:$C$305,$O741),""))</f>
      </c>
      <c r="K741" s="221">
        <f>IF($I741="Phản ánh",INDEX('Phản ánh'!$K$6:$K$505,MATCH($C741,'Phản ánh'!$A$6:$A$505,0))&amp;"",IF($I741="Công việc",INDEX('Kế hoạch'!$N$6:$N$305,$O741)&amp;"",""))</f>
      </c>
      <c r="L741" s="220">
        <f>IF(OR($C741="",N($B741)=0),"",IF(AND($I741="Phản ánh",$E741="Đã xử lý"),INDEX('Phản ánh'!$U$6:$U$505,MATCH($C741,'Phản ánh'!$A$6:$A$505,0)),IF(AND($I741="Công việc",OR($E741="Hoàn thành",$E741="Hoàn thành kỳ")),IF(INDEX('Kế hoạch'!$B$6:$B$305,$O741)="Đột xuất",INDEX('Kế hoạch'!$AY$6:$AY$305,$O741),IF(N($P741)=0,"",IF(INT($B741)&lt;$P741,$P741,IF($Q741&gt;0,$P741+ROUND((INT($B741)-$P741)/$Q741,0)*$Q741,IF($R741&gt;0,EDATE($P741,ROUND((DATEDIF($P741,INT($B741),"m")+(INT($B741)-EDATE($P741,DATEDIF($P741,INT($B741),"m")))/(EDATE($P741,DATEDIF($P741,INT($B741),"m")+1)-EDATE($P741,DATEDIF($P741,INT($B741),"m"))))/$R741,0)*$R741),$P741))))),"")))</f>
      </c>
      <c r="M741" s="223">
        <f>IF(OR($C741="",N($L741)=0,N($B741)=0),"",IF(IF(MOD($L741,1)=0,INT($B741),$B741)&lt;=$L741,"Đúng hạn","Trễ hạn"))</f>
      </c>
      <c r="N741" s="225">
        <f>IF($C741="","",ROW())</f>
      </c>
      <c r="O741" s="225">
        <f>IF($I741="Công việc",MATCH($C741,'Kế hoạch'!$A$6:$A$305,0),"")</f>
      </c>
      <c r="P741" s="234">
        <f>IF($O741="","",INDEX('Kế hoạch'!$I$6:$I$305,$O741))</f>
      </c>
      <c r="Q741" s="225">
        <f>IF($O741="","",INDEX('Kế hoạch'!$AJ$6:$AJ$305,$O741))</f>
      </c>
      <c r="R741" s="225">
        <f>IF($O741="","",INDEX('Kế hoạch'!$AK$6:$AK$305,$O741))</f>
      </c>
    </row>
    <row r="742">
      <c r="A742" s="223">
        <f>IF($C742="","",COUNTIF($C$6:$C742,"?*"))</f>
      </c>
      <c r="B742" s="217"/>
      <c r="C742" s="216"/>
      <c r="D742" s="240"/>
      <c r="E742" s="218"/>
      <c r="F742" s="218"/>
      <c r="G742" s="218"/>
      <c r="H742" s="219"/>
      <c r="I742" s="223">
        <f>IF($C742="","",IF(ISNUMBER(MATCH($C742,'Phản ánh'!$A$6:$A$505,0)),"Phản ánh",IF(ISNUMBER(MATCH($C742,'Kế hoạch'!$A$6:$A$305,0)),"Công việc","Mã chưa có")))</f>
      </c>
      <c r="J742" s="221">
        <f>IF($I742="Phản ánh",INDEX('Phản ánh'!$C$6:$C$505,MATCH($C742,'Phản ánh'!$A$6:$A$505,0)),IF($I742="Công việc",INDEX('Kế hoạch'!$C$6:$C$305,$O742),""))</f>
      </c>
      <c r="K742" s="221">
        <f>IF($I742="Phản ánh",INDEX('Phản ánh'!$K$6:$K$505,MATCH($C742,'Phản ánh'!$A$6:$A$505,0))&amp;"",IF($I742="Công việc",INDEX('Kế hoạch'!$N$6:$N$305,$O742)&amp;"",""))</f>
      </c>
      <c r="L742" s="220">
        <f>IF(OR($C742="",N($B742)=0),"",IF(AND($I742="Phản ánh",$E742="Đã xử lý"),INDEX('Phản ánh'!$U$6:$U$505,MATCH($C742,'Phản ánh'!$A$6:$A$505,0)),IF(AND($I742="Công việc",OR($E742="Hoàn thành",$E742="Hoàn thành kỳ")),IF(INDEX('Kế hoạch'!$B$6:$B$305,$O742)="Đột xuất",INDEX('Kế hoạch'!$AY$6:$AY$305,$O742),IF(N($P742)=0,"",IF(INT($B742)&lt;$P742,$P742,IF($Q742&gt;0,$P742+ROUND((INT($B742)-$P742)/$Q742,0)*$Q742,IF($R742&gt;0,EDATE($P742,ROUND((DATEDIF($P742,INT($B742),"m")+(INT($B742)-EDATE($P742,DATEDIF($P742,INT($B742),"m")))/(EDATE($P742,DATEDIF($P742,INT($B742),"m")+1)-EDATE($P742,DATEDIF($P742,INT($B742),"m"))))/$R742,0)*$R742),$P742))))),"")))</f>
      </c>
      <c r="M742" s="223">
        <f>IF(OR($C742="",N($L742)=0,N($B742)=0),"",IF(IF(MOD($L742,1)=0,INT($B742),$B742)&lt;=$L742,"Đúng hạn","Trễ hạn"))</f>
      </c>
      <c r="N742" s="225">
        <f>IF($C742="","",ROW())</f>
      </c>
      <c r="O742" s="225">
        <f>IF($I742="Công việc",MATCH($C742,'Kế hoạch'!$A$6:$A$305,0),"")</f>
      </c>
      <c r="P742" s="234">
        <f>IF($O742="","",INDEX('Kế hoạch'!$I$6:$I$305,$O742))</f>
      </c>
      <c r="Q742" s="225">
        <f>IF($O742="","",INDEX('Kế hoạch'!$AJ$6:$AJ$305,$O742))</f>
      </c>
      <c r="R742" s="225">
        <f>IF($O742="","",INDEX('Kế hoạch'!$AK$6:$AK$305,$O742))</f>
      </c>
    </row>
    <row r="743">
      <c r="A743" s="223">
        <f>IF($C743="","",COUNTIF($C$6:$C743,"?*"))</f>
      </c>
      <c r="B743" s="217"/>
      <c r="C743" s="216"/>
      <c r="D743" s="240"/>
      <c r="E743" s="218"/>
      <c r="F743" s="218"/>
      <c r="G743" s="218"/>
      <c r="H743" s="219"/>
      <c r="I743" s="223">
        <f>IF($C743="","",IF(ISNUMBER(MATCH($C743,'Phản ánh'!$A$6:$A$505,0)),"Phản ánh",IF(ISNUMBER(MATCH($C743,'Kế hoạch'!$A$6:$A$305,0)),"Công việc","Mã chưa có")))</f>
      </c>
      <c r="J743" s="221">
        <f>IF($I743="Phản ánh",INDEX('Phản ánh'!$C$6:$C$505,MATCH($C743,'Phản ánh'!$A$6:$A$505,0)),IF($I743="Công việc",INDEX('Kế hoạch'!$C$6:$C$305,$O743),""))</f>
      </c>
      <c r="K743" s="221">
        <f>IF($I743="Phản ánh",INDEX('Phản ánh'!$K$6:$K$505,MATCH($C743,'Phản ánh'!$A$6:$A$505,0))&amp;"",IF($I743="Công việc",INDEX('Kế hoạch'!$N$6:$N$305,$O743)&amp;"",""))</f>
      </c>
      <c r="L743" s="220">
        <f>IF(OR($C743="",N($B743)=0),"",IF(AND($I743="Phản ánh",$E743="Đã xử lý"),INDEX('Phản ánh'!$U$6:$U$505,MATCH($C743,'Phản ánh'!$A$6:$A$505,0)),IF(AND($I743="Công việc",OR($E743="Hoàn thành",$E743="Hoàn thành kỳ")),IF(INDEX('Kế hoạch'!$B$6:$B$305,$O743)="Đột xuất",INDEX('Kế hoạch'!$AY$6:$AY$305,$O743),IF(N($P743)=0,"",IF(INT($B743)&lt;$P743,$P743,IF($Q743&gt;0,$P743+ROUND((INT($B743)-$P743)/$Q743,0)*$Q743,IF($R743&gt;0,EDATE($P743,ROUND((DATEDIF($P743,INT($B743),"m")+(INT($B743)-EDATE($P743,DATEDIF($P743,INT($B743),"m")))/(EDATE($P743,DATEDIF($P743,INT($B743),"m")+1)-EDATE($P743,DATEDIF($P743,INT($B743),"m"))))/$R743,0)*$R743),$P743))))),"")))</f>
      </c>
      <c r="M743" s="223">
        <f>IF(OR($C743="",N($L743)=0,N($B743)=0),"",IF(IF(MOD($L743,1)=0,INT($B743),$B743)&lt;=$L743,"Đúng hạn","Trễ hạn"))</f>
      </c>
      <c r="N743" s="225">
        <f>IF($C743="","",ROW())</f>
      </c>
      <c r="O743" s="225">
        <f>IF($I743="Công việc",MATCH($C743,'Kế hoạch'!$A$6:$A$305,0),"")</f>
      </c>
      <c r="P743" s="234">
        <f>IF($O743="","",INDEX('Kế hoạch'!$I$6:$I$305,$O743))</f>
      </c>
      <c r="Q743" s="225">
        <f>IF($O743="","",INDEX('Kế hoạch'!$AJ$6:$AJ$305,$O743))</f>
      </c>
      <c r="R743" s="225">
        <f>IF($O743="","",INDEX('Kế hoạch'!$AK$6:$AK$305,$O743))</f>
      </c>
    </row>
    <row r="744">
      <c r="A744" s="223">
        <f>IF($C744="","",COUNTIF($C$6:$C744,"?*"))</f>
      </c>
      <c r="B744" s="217"/>
      <c r="C744" s="216"/>
      <c r="D744" s="240"/>
      <c r="E744" s="218"/>
      <c r="F744" s="218"/>
      <c r="G744" s="218"/>
      <c r="H744" s="219"/>
      <c r="I744" s="223">
        <f>IF($C744="","",IF(ISNUMBER(MATCH($C744,'Phản ánh'!$A$6:$A$505,0)),"Phản ánh",IF(ISNUMBER(MATCH($C744,'Kế hoạch'!$A$6:$A$305,0)),"Công việc","Mã chưa có")))</f>
      </c>
      <c r="J744" s="221">
        <f>IF($I744="Phản ánh",INDEX('Phản ánh'!$C$6:$C$505,MATCH($C744,'Phản ánh'!$A$6:$A$505,0)),IF($I744="Công việc",INDEX('Kế hoạch'!$C$6:$C$305,$O744),""))</f>
      </c>
      <c r="K744" s="221">
        <f>IF($I744="Phản ánh",INDEX('Phản ánh'!$K$6:$K$505,MATCH($C744,'Phản ánh'!$A$6:$A$505,0))&amp;"",IF($I744="Công việc",INDEX('Kế hoạch'!$N$6:$N$305,$O744)&amp;"",""))</f>
      </c>
      <c r="L744" s="220">
        <f>IF(OR($C744="",N($B744)=0),"",IF(AND($I744="Phản ánh",$E744="Đã xử lý"),INDEX('Phản ánh'!$U$6:$U$505,MATCH($C744,'Phản ánh'!$A$6:$A$505,0)),IF(AND($I744="Công việc",OR($E744="Hoàn thành",$E744="Hoàn thành kỳ")),IF(INDEX('Kế hoạch'!$B$6:$B$305,$O744)="Đột xuất",INDEX('Kế hoạch'!$AY$6:$AY$305,$O744),IF(N($P744)=0,"",IF(INT($B744)&lt;$P744,$P744,IF($Q744&gt;0,$P744+ROUND((INT($B744)-$P744)/$Q744,0)*$Q744,IF($R744&gt;0,EDATE($P744,ROUND((DATEDIF($P744,INT($B744),"m")+(INT($B744)-EDATE($P744,DATEDIF($P744,INT($B744),"m")))/(EDATE($P744,DATEDIF($P744,INT($B744),"m")+1)-EDATE($P744,DATEDIF($P744,INT($B744),"m"))))/$R744,0)*$R744),$P744))))),"")))</f>
      </c>
      <c r="M744" s="223">
        <f>IF(OR($C744="",N($L744)=0,N($B744)=0),"",IF(IF(MOD($L744,1)=0,INT($B744),$B744)&lt;=$L744,"Đúng hạn","Trễ hạn"))</f>
      </c>
      <c r="N744" s="225">
        <f>IF($C744="","",ROW())</f>
      </c>
      <c r="O744" s="225">
        <f>IF($I744="Công việc",MATCH($C744,'Kế hoạch'!$A$6:$A$305,0),"")</f>
      </c>
      <c r="P744" s="234">
        <f>IF($O744="","",INDEX('Kế hoạch'!$I$6:$I$305,$O744))</f>
      </c>
      <c r="Q744" s="225">
        <f>IF($O744="","",INDEX('Kế hoạch'!$AJ$6:$AJ$305,$O744))</f>
      </c>
      <c r="R744" s="225">
        <f>IF($O744="","",INDEX('Kế hoạch'!$AK$6:$AK$305,$O744))</f>
      </c>
    </row>
    <row r="745">
      <c r="A745" s="223">
        <f>IF($C745="","",COUNTIF($C$6:$C745,"?*"))</f>
      </c>
      <c r="B745" s="217"/>
      <c r="C745" s="216"/>
      <c r="D745" s="240"/>
      <c r="E745" s="218"/>
      <c r="F745" s="218"/>
      <c r="G745" s="218"/>
      <c r="H745" s="219"/>
      <c r="I745" s="223">
        <f>IF($C745="","",IF(ISNUMBER(MATCH($C745,'Phản ánh'!$A$6:$A$505,0)),"Phản ánh",IF(ISNUMBER(MATCH($C745,'Kế hoạch'!$A$6:$A$305,0)),"Công việc","Mã chưa có")))</f>
      </c>
      <c r="J745" s="221">
        <f>IF($I745="Phản ánh",INDEX('Phản ánh'!$C$6:$C$505,MATCH($C745,'Phản ánh'!$A$6:$A$505,0)),IF($I745="Công việc",INDEX('Kế hoạch'!$C$6:$C$305,$O745),""))</f>
      </c>
      <c r="K745" s="221">
        <f>IF($I745="Phản ánh",INDEX('Phản ánh'!$K$6:$K$505,MATCH($C745,'Phản ánh'!$A$6:$A$505,0))&amp;"",IF($I745="Công việc",INDEX('Kế hoạch'!$N$6:$N$305,$O745)&amp;"",""))</f>
      </c>
      <c r="L745" s="220">
        <f>IF(OR($C745="",N($B745)=0),"",IF(AND($I745="Phản ánh",$E745="Đã xử lý"),INDEX('Phản ánh'!$U$6:$U$505,MATCH($C745,'Phản ánh'!$A$6:$A$505,0)),IF(AND($I745="Công việc",OR($E745="Hoàn thành",$E745="Hoàn thành kỳ")),IF(INDEX('Kế hoạch'!$B$6:$B$305,$O745)="Đột xuất",INDEX('Kế hoạch'!$AY$6:$AY$305,$O745),IF(N($P745)=0,"",IF(INT($B745)&lt;$P745,$P745,IF($Q745&gt;0,$P745+ROUND((INT($B745)-$P745)/$Q745,0)*$Q745,IF($R745&gt;0,EDATE($P745,ROUND((DATEDIF($P745,INT($B745),"m")+(INT($B745)-EDATE($P745,DATEDIF($P745,INT($B745),"m")))/(EDATE($P745,DATEDIF($P745,INT($B745),"m")+1)-EDATE($P745,DATEDIF($P745,INT($B745),"m"))))/$R745,0)*$R745),$P745))))),"")))</f>
      </c>
      <c r="M745" s="223">
        <f>IF(OR($C745="",N($L745)=0,N($B745)=0),"",IF(IF(MOD($L745,1)=0,INT($B745),$B745)&lt;=$L745,"Đúng hạn","Trễ hạn"))</f>
      </c>
      <c r="N745" s="225">
        <f>IF($C745="","",ROW())</f>
      </c>
      <c r="O745" s="225">
        <f>IF($I745="Công việc",MATCH($C745,'Kế hoạch'!$A$6:$A$305,0),"")</f>
      </c>
      <c r="P745" s="234">
        <f>IF($O745="","",INDEX('Kế hoạch'!$I$6:$I$305,$O745))</f>
      </c>
      <c r="Q745" s="225">
        <f>IF($O745="","",INDEX('Kế hoạch'!$AJ$6:$AJ$305,$O745))</f>
      </c>
      <c r="R745" s="225">
        <f>IF($O745="","",INDEX('Kế hoạch'!$AK$6:$AK$305,$O745))</f>
      </c>
    </row>
    <row r="746">
      <c r="A746" s="223">
        <f>IF($C746="","",COUNTIF($C$6:$C746,"?*"))</f>
      </c>
      <c r="B746" s="217"/>
      <c r="C746" s="216"/>
      <c r="D746" s="240"/>
      <c r="E746" s="218"/>
      <c r="F746" s="218"/>
      <c r="G746" s="218"/>
      <c r="H746" s="219"/>
      <c r="I746" s="223">
        <f>IF($C746="","",IF(ISNUMBER(MATCH($C746,'Phản ánh'!$A$6:$A$505,0)),"Phản ánh",IF(ISNUMBER(MATCH($C746,'Kế hoạch'!$A$6:$A$305,0)),"Công việc","Mã chưa có")))</f>
      </c>
      <c r="J746" s="221">
        <f>IF($I746="Phản ánh",INDEX('Phản ánh'!$C$6:$C$505,MATCH($C746,'Phản ánh'!$A$6:$A$505,0)),IF($I746="Công việc",INDEX('Kế hoạch'!$C$6:$C$305,$O746),""))</f>
      </c>
      <c r="K746" s="221">
        <f>IF($I746="Phản ánh",INDEX('Phản ánh'!$K$6:$K$505,MATCH($C746,'Phản ánh'!$A$6:$A$505,0))&amp;"",IF($I746="Công việc",INDEX('Kế hoạch'!$N$6:$N$305,$O746)&amp;"",""))</f>
      </c>
      <c r="L746" s="220">
        <f>IF(OR($C746="",N($B746)=0),"",IF(AND($I746="Phản ánh",$E746="Đã xử lý"),INDEX('Phản ánh'!$U$6:$U$505,MATCH($C746,'Phản ánh'!$A$6:$A$505,0)),IF(AND($I746="Công việc",OR($E746="Hoàn thành",$E746="Hoàn thành kỳ")),IF(INDEX('Kế hoạch'!$B$6:$B$305,$O746)="Đột xuất",INDEX('Kế hoạch'!$AY$6:$AY$305,$O746),IF(N($P746)=0,"",IF(INT($B746)&lt;$P746,$P746,IF($Q746&gt;0,$P746+ROUND((INT($B746)-$P746)/$Q746,0)*$Q746,IF($R746&gt;0,EDATE($P746,ROUND((DATEDIF($P746,INT($B746),"m")+(INT($B746)-EDATE($P746,DATEDIF($P746,INT($B746),"m")))/(EDATE($P746,DATEDIF($P746,INT($B746),"m")+1)-EDATE($P746,DATEDIF($P746,INT($B746),"m"))))/$R746,0)*$R746),$P746))))),"")))</f>
      </c>
      <c r="M746" s="223">
        <f>IF(OR($C746="",N($L746)=0,N($B746)=0),"",IF(IF(MOD($L746,1)=0,INT($B746),$B746)&lt;=$L746,"Đúng hạn","Trễ hạn"))</f>
      </c>
      <c r="N746" s="225">
        <f>IF($C746="","",ROW())</f>
      </c>
      <c r="O746" s="225">
        <f>IF($I746="Công việc",MATCH($C746,'Kế hoạch'!$A$6:$A$305,0),"")</f>
      </c>
      <c r="P746" s="234">
        <f>IF($O746="","",INDEX('Kế hoạch'!$I$6:$I$305,$O746))</f>
      </c>
      <c r="Q746" s="225">
        <f>IF($O746="","",INDEX('Kế hoạch'!$AJ$6:$AJ$305,$O746))</f>
      </c>
      <c r="R746" s="225">
        <f>IF($O746="","",INDEX('Kế hoạch'!$AK$6:$AK$305,$O746))</f>
      </c>
    </row>
    <row r="747">
      <c r="A747" s="223">
        <f>IF($C747="","",COUNTIF($C$6:$C747,"?*"))</f>
      </c>
      <c r="B747" s="217"/>
      <c r="C747" s="216"/>
      <c r="D747" s="240"/>
      <c r="E747" s="218"/>
      <c r="F747" s="218"/>
      <c r="G747" s="218"/>
      <c r="H747" s="219"/>
      <c r="I747" s="223">
        <f>IF($C747="","",IF(ISNUMBER(MATCH($C747,'Phản ánh'!$A$6:$A$505,0)),"Phản ánh",IF(ISNUMBER(MATCH($C747,'Kế hoạch'!$A$6:$A$305,0)),"Công việc","Mã chưa có")))</f>
      </c>
      <c r="J747" s="221">
        <f>IF($I747="Phản ánh",INDEX('Phản ánh'!$C$6:$C$505,MATCH($C747,'Phản ánh'!$A$6:$A$505,0)),IF($I747="Công việc",INDEX('Kế hoạch'!$C$6:$C$305,$O747),""))</f>
      </c>
      <c r="K747" s="221">
        <f>IF($I747="Phản ánh",INDEX('Phản ánh'!$K$6:$K$505,MATCH($C747,'Phản ánh'!$A$6:$A$505,0))&amp;"",IF($I747="Công việc",INDEX('Kế hoạch'!$N$6:$N$305,$O747)&amp;"",""))</f>
      </c>
      <c r="L747" s="220">
        <f>IF(OR($C747="",N($B747)=0),"",IF(AND($I747="Phản ánh",$E747="Đã xử lý"),INDEX('Phản ánh'!$U$6:$U$505,MATCH($C747,'Phản ánh'!$A$6:$A$505,0)),IF(AND($I747="Công việc",OR($E747="Hoàn thành",$E747="Hoàn thành kỳ")),IF(INDEX('Kế hoạch'!$B$6:$B$305,$O747)="Đột xuất",INDEX('Kế hoạch'!$AY$6:$AY$305,$O747),IF(N($P747)=0,"",IF(INT($B747)&lt;$P747,$P747,IF($Q747&gt;0,$P747+ROUND((INT($B747)-$P747)/$Q747,0)*$Q747,IF($R747&gt;0,EDATE($P747,ROUND((DATEDIF($P747,INT($B747),"m")+(INT($B747)-EDATE($P747,DATEDIF($P747,INT($B747),"m")))/(EDATE($P747,DATEDIF($P747,INT($B747),"m")+1)-EDATE($P747,DATEDIF($P747,INT($B747),"m"))))/$R747,0)*$R747),$P747))))),"")))</f>
      </c>
      <c r="M747" s="223">
        <f>IF(OR($C747="",N($L747)=0,N($B747)=0),"",IF(IF(MOD($L747,1)=0,INT($B747),$B747)&lt;=$L747,"Đúng hạn","Trễ hạn"))</f>
      </c>
      <c r="N747" s="225">
        <f>IF($C747="","",ROW())</f>
      </c>
      <c r="O747" s="225">
        <f>IF($I747="Công việc",MATCH($C747,'Kế hoạch'!$A$6:$A$305,0),"")</f>
      </c>
      <c r="P747" s="234">
        <f>IF($O747="","",INDEX('Kế hoạch'!$I$6:$I$305,$O747))</f>
      </c>
      <c r="Q747" s="225">
        <f>IF($O747="","",INDEX('Kế hoạch'!$AJ$6:$AJ$305,$O747))</f>
      </c>
      <c r="R747" s="225">
        <f>IF($O747="","",INDEX('Kế hoạch'!$AK$6:$AK$305,$O747))</f>
      </c>
    </row>
    <row r="748">
      <c r="A748" s="223">
        <f>IF($C748="","",COUNTIF($C$6:$C748,"?*"))</f>
      </c>
      <c r="B748" s="217"/>
      <c r="C748" s="216"/>
      <c r="D748" s="240"/>
      <c r="E748" s="218"/>
      <c r="F748" s="218"/>
      <c r="G748" s="218"/>
      <c r="H748" s="219"/>
      <c r="I748" s="223">
        <f>IF($C748="","",IF(ISNUMBER(MATCH($C748,'Phản ánh'!$A$6:$A$505,0)),"Phản ánh",IF(ISNUMBER(MATCH($C748,'Kế hoạch'!$A$6:$A$305,0)),"Công việc","Mã chưa có")))</f>
      </c>
      <c r="J748" s="221">
        <f>IF($I748="Phản ánh",INDEX('Phản ánh'!$C$6:$C$505,MATCH($C748,'Phản ánh'!$A$6:$A$505,0)),IF($I748="Công việc",INDEX('Kế hoạch'!$C$6:$C$305,$O748),""))</f>
      </c>
      <c r="K748" s="221">
        <f>IF($I748="Phản ánh",INDEX('Phản ánh'!$K$6:$K$505,MATCH($C748,'Phản ánh'!$A$6:$A$505,0))&amp;"",IF($I748="Công việc",INDEX('Kế hoạch'!$N$6:$N$305,$O748)&amp;"",""))</f>
      </c>
      <c r="L748" s="220">
        <f>IF(OR($C748="",N($B748)=0),"",IF(AND($I748="Phản ánh",$E748="Đã xử lý"),INDEX('Phản ánh'!$U$6:$U$505,MATCH($C748,'Phản ánh'!$A$6:$A$505,0)),IF(AND($I748="Công việc",OR($E748="Hoàn thành",$E748="Hoàn thành kỳ")),IF(INDEX('Kế hoạch'!$B$6:$B$305,$O748)="Đột xuất",INDEX('Kế hoạch'!$AY$6:$AY$305,$O748),IF(N($P748)=0,"",IF(INT($B748)&lt;$P748,$P748,IF($Q748&gt;0,$P748+ROUND((INT($B748)-$P748)/$Q748,0)*$Q748,IF($R748&gt;0,EDATE($P748,ROUND((DATEDIF($P748,INT($B748),"m")+(INT($B748)-EDATE($P748,DATEDIF($P748,INT($B748),"m")))/(EDATE($P748,DATEDIF($P748,INT($B748),"m")+1)-EDATE($P748,DATEDIF($P748,INT($B748),"m"))))/$R748,0)*$R748),$P748))))),"")))</f>
      </c>
      <c r="M748" s="223">
        <f>IF(OR($C748="",N($L748)=0,N($B748)=0),"",IF(IF(MOD($L748,1)=0,INT($B748),$B748)&lt;=$L748,"Đúng hạn","Trễ hạn"))</f>
      </c>
      <c r="N748" s="225">
        <f>IF($C748="","",ROW())</f>
      </c>
      <c r="O748" s="225">
        <f>IF($I748="Công việc",MATCH($C748,'Kế hoạch'!$A$6:$A$305,0),"")</f>
      </c>
      <c r="P748" s="234">
        <f>IF($O748="","",INDEX('Kế hoạch'!$I$6:$I$305,$O748))</f>
      </c>
      <c r="Q748" s="225">
        <f>IF($O748="","",INDEX('Kế hoạch'!$AJ$6:$AJ$305,$O748))</f>
      </c>
      <c r="R748" s="225">
        <f>IF($O748="","",INDEX('Kế hoạch'!$AK$6:$AK$305,$O748))</f>
      </c>
    </row>
    <row r="749">
      <c r="A749" s="223">
        <f>IF($C749="","",COUNTIF($C$6:$C749,"?*"))</f>
      </c>
      <c r="B749" s="217"/>
      <c r="C749" s="216"/>
      <c r="D749" s="240"/>
      <c r="E749" s="218"/>
      <c r="F749" s="218"/>
      <c r="G749" s="218"/>
      <c r="H749" s="219"/>
      <c r="I749" s="223">
        <f>IF($C749="","",IF(ISNUMBER(MATCH($C749,'Phản ánh'!$A$6:$A$505,0)),"Phản ánh",IF(ISNUMBER(MATCH($C749,'Kế hoạch'!$A$6:$A$305,0)),"Công việc","Mã chưa có")))</f>
      </c>
      <c r="J749" s="221">
        <f>IF($I749="Phản ánh",INDEX('Phản ánh'!$C$6:$C$505,MATCH($C749,'Phản ánh'!$A$6:$A$505,0)),IF($I749="Công việc",INDEX('Kế hoạch'!$C$6:$C$305,$O749),""))</f>
      </c>
      <c r="K749" s="221">
        <f>IF($I749="Phản ánh",INDEX('Phản ánh'!$K$6:$K$505,MATCH($C749,'Phản ánh'!$A$6:$A$505,0))&amp;"",IF($I749="Công việc",INDEX('Kế hoạch'!$N$6:$N$305,$O749)&amp;"",""))</f>
      </c>
      <c r="L749" s="220">
        <f>IF(OR($C749="",N($B749)=0),"",IF(AND($I749="Phản ánh",$E749="Đã xử lý"),INDEX('Phản ánh'!$U$6:$U$505,MATCH($C749,'Phản ánh'!$A$6:$A$505,0)),IF(AND($I749="Công việc",OR($E749="Hoàn thành",$E749="Hoàn thành kỳ")),IF(INDEX('Kế hoạch'!$B$6:$B$305,$O749)="Đột xuất",INDEX('Kế hoạch'!$AY$6:$AY$305,$O749),IF(N($P749)=0,"",IF(INT($B749)&lt;$P749,$P749,IF($Q749&gt;0,$P749+ROUND((INT($B749)-$P749)/$Q749,0)*$Q749,IF($R749&gt;0,EDATE($P749,ROUND((DATEDIF($P749,INT($B749),"m")+(INT($B749)-EDATE($P749,DATEDIF($P749,INT($B749),"m")))/(EDATE($P749,DATEDIF($P749,INT($B749),"m")+1)-EDATE($P749,DATEDIF($P749,INT($B749),"m"))))/$R749,0)*$R749),$P749))))),"")))</f>
      </c>
      <c r="M749" s="223">
        <f>IF(OR($C749="",N($L749)=0,N($B749)=0),"",IF(IF(MOD($L749,1)=0,INT($B749),$B749)&lt;=$L749,"Đúng hạn","Trễ hạn"))</f>
      </c>
      <c r="N749" s="225">
        <f>IF($C749="","",ROW())</f>
      </c>
      <c r="O749" s="225">
        <f>IF($I749="Công việc",MATCH($C749,'Kế hoạch'!$A$6:$A$305,0),"")</f>
      </c>
      <c r="P749" s="234">
        <f>IF($O749="","",INDEX('Kế hoạch'!$I$6:$I$305,$O749))</f>
      </c>
      <c r="Q749" s="225">
        <f>IF($O749="","",INDEX('Kế hoạch'!$AJ$6:$AJ$305,$O749))</f>
      </c>
      <c r="R749" s="225">
        <f>IF($O749="","",INDEX('Kế hoạch'!$AK$6:$AK$305,$O749))</f>
      </c>
    </row>
    <row r="750">
      <c r="A750" s="223">
        <f>IF($C750="","",COUNTIF($C$6:$C750,"?*"))</f>
      </c>
      <c r="B750" s="217"/>
      <c r="C750" s="216"/>
      <c r="D750" s="240"/>
      <c r="E750" s="218"/>
      <c r="F750" s="218"/>
      <c r="G750" s="218"/>
      <c r="H750" s="219"/>
      <c r="I750" s="223">
        <f>IF($C750="","",IF(ISNUMBER(MATCH($C750,'Phản ánh'!$A$6:$A$505,0)),"Phản ánh",IF(ISNUMBER(MATCH($C750,'Kế hoạch'!$A$6:$A$305,0)),"Công việc","Mã chưa có")))</f>
      </c>
      <c r="J750" s="221">
        <f>IF($I750="Phản ánh",INDEX('Phản ánh'!$C$6:$C$505,MATCH($C750,'Phản ánh'!$A$6:$A$505,0)),IF($I750="Công việc",INDEX('Kế hoạch'!$C$6:$C$305,$O750),""))</f>
      </c>
      <c r="K750" s="221">
        <f>IF($I750="Phản ánh",INDEX('Phản ánh'!$K$6:$K$505,MATCH($C750,'Phản ánh'!$A$6:$A$505,0))&amp;"",IF($I750="Công việc",INDEX('Kế hoạch'!$N$6:$N$305,$O750)&amp;"",""))</f>
      </c>
      <c r="L750" s="220">
        <f>IF(OR($C750="",N($B750)=0),"",IF(AND($I750="Phản ánh",$E750="Đã xử lý"),INDEX('Phản ánh'!$U$6:$U$505,MATCH($C750,'Phản ánh'!$A$6:$A$505,0)),IF(AND($I750="Công việc",OR($E750="Hoàn thành",$E750="Hoàn thành kỳ")),IF(INDEX('Kế hoạch'!$B$6:$B$305,$O750)="Đột xuất",INDEX('Kế hoạch'!$AY$6:$AY$305,$O750),IF(N($P750)=0,"",IF(INT($B750)&lt;$P750,$P750,IF($Q750&gt;0,$P750+ROUND((INT($B750)-$P750)/$Q750,0)*$Q750,IF($R750&gt;0,EDATE($P750,ROUND((DATEDIF($P750,INT($B750),"m")+(INT($B750)-EDATE($P750,DATEDIF($P750,INT($B750),"m")))/(EDATE($P750,DATEDIF($P750,INT($B750),"m")+1)-EDATE($P750,DATEDIF($P750,INT($B750),"m"))))/$R750,0)*$R750),$P750))))),"")))</f>
      </c>
      <c r="M750" s="223">
        <f>IF(OR($C750="",N($L750)=0,N($B750)=0),"",IF(IF(MOD($L750,1)=0,INT($B750),$B750)&lt;=$L750,"Đúng hạn","Trễ hạn"))</f>
      </c>
      <c r="N750" s="225">
        <f>IF($C750="","",ROW())</f>
      </c>
      <c r="O750" s="225">
        <f>IF($I750="Công việc",MATCH($C750,'Kế hoạch'!$A$6:$A$305,0),"")</f>
      </c>
      <c r="P750" s="234">
        <f>IF($O750="","",INDEX('Kế hoạch'!$I$6:$I$305,$O750))</f>
      </c>
      <c r="Q750" s="225">
        <f>IF($O750="","",INDEX('Kế hoạch'!$AJ$6:$AJ$305,$O750))</f>
      </c>
      <c r="R750" s="225">
        <f>IF($O750="","",INDEX('Kế hoạch'!$AK$6:$AK$305,$O750))</f>
      </c>
    </row>
    <row r="751">
      <c r="A751" s="223">
        <f>IF($C751="","",COUNTIF($C$6:$C751,"?*"))</f>
      </c>
      <c r="B751" s="217"/>
      <c r="C751" s="216"/>
      <c r="D751" s="240"/>
      <c r="E751" s="218"/>
      <c r="F751" s="218"/>
      <c r="G751" s="218"/>
      <c r="H751" s="219"/>
      <c r="I751" s="223">
        <f>IF($C751="","",IF(ISNUMBER(MATCH($C751,'Phản ánh'!$A$6:$A$505,0)),"Phản ánh",IF(ISNUMBER(MATCH($C751,'Kế hoạch'!$A$6:$A$305,0)),"Công việc","Mã chưa có")))</f>
      </c>
      <c r="J751" s="221">
        <f>IF($I751="Phản ánh",INDEX('Phản ánh'!$C$6:$C$505,MATCH($C751,'Phản ánh'!$A$6:$A$505,0)),IF($I751="Công việc",INDEX('Kế hoạch'!$C$6:$C$305,$O751),""))</f>
      </c>
      <c r="K751" s="221">
        <f>IF($I751="Phản ánh",INDEX('Phản ánh'!$K$6:$K$505,MATCH($C751,'Phản ánh'!$A$6:$A$505,0))&amp;"",IF($I751="Công việc",INDEX('Kế hoạch'!$N$6:$N$305,$O751)&amp;"",""))</f>
      </c>
      <c r="L751" s="220">
        <f>IF(OR($C751="",N($B751)=0),"",IF(AND($I751="Phản ánh",$E751="Đã xử lý"),INDEX('Phản ánh'!$U$6:$U$505,MATCH($C751,'Phản ánh'!$A$6:$A$505,0)),IF(AND($I751="Công việc",OR($E751="Hoàn thành",$E751="Hoàn thành kỳ")),IF(INDEX('Kế hoạch'!$B$6:$B$305,$O751)="Đột xuất",INDEX('Kế hoạch'!$AY$6:$AY$305,$O751),IF(N($P751)=0,"",IF(INT($B751)&lt;$P751,$P751,IF($Q751&gt;0,$P751+ROUND((INT($B751)-$P751)/$Q751,0)*$Q751,IF($R751&gt;0,EDATE($P751,ROUND((DATEDIF($P751,INT($B751),"m")+(INT($B751)-EDATE($P751,DATEDIF($P751,INT($B751),"m")))/(EDATE($P751,DATEDIF($P751,INT($B751),"m")+1)-EDATE($P751,DATEDIF($P751,INT($B751),"m"))))/$R751,0)*$R751),$P751))))),"")))</f>
      </c>
      <c r="M751" s="223">
        <f>IF(OR($C751="",N($L751)=0,N($B751)=0),"",IF(IF(MOD($L751,1)=0,INT($B751),$B751)&lt;=$L751,"Đúng hạn","Trễ hạn"))</f>
      </c>
      <c r="N751" s="225">
        <f>IF($C751="","",ROW())</f>
      </c>
      <c r="O751" s="225">
        <f>IF($I751="Công việc",MATCH($C751,'Kế hoạch'!$A$6:$A$305,0),"")</f>
      </c>
      <c r="P751" s="234">
        <f>IF($O751="","",INDEX('Kế hoạch'!$I$6:$I$305,$O751))</f>
      </c>
      <c r="Q751" s="225">
        <f>IF($O751="","",INDEX('Kế hoạch'!$AJ$6:$AJ$305,$O751))</f>
      </c>
      <c r="R751" s="225">
        <f>IF($O751="","",INDEX('Kế hoạch'!$AK$6:$AK$305,$O751))</f>
      </c>
    </row>
    <row r="752">
      <c r="A752" s="223">
        <f>IF($C752="","",COUNTIF($C$6:$C752,"?*"))</f>
      </c>
      <c r="B752" s="217"/>
      <c r="C752" s="216"/>
      <c r="D752" s="240"/>
      <c r="E752" s="218"/>
      <c r="F752" s="218"/>
      <c r="G752" s="218"/>
      <c r="H752" s="219"/>
      <c r="I752" s="223">
        <f>IF($C752="","",IF(ISNUMBER(MATCH($C752,'Phản ánh'!$A$6:$A$505,0)),"Phản ánh",IF(ISNUMBER(MATCH($C752,'Kế hoạch'!$A$6:$A$305,0)),"Công việc","Mã chưa có")))</f>
      </c>
      <c r="J752" s="221">
        <f>IF($I752="Phản ánh",INDEX('Phản ánh'!$C$6:$C$505,MATCH($C752,'Phản ánh'!$A$6:$A$505,0)),IF($I752="Công việc",INDEX('Kế hoạch'!$C$6:$C$305,$O752),""))</f>
      </c>
      <c r="K752" s="221">
        <f>IF($I752="Phản ánh",INDEX('Phản ánh'!$K$6:$K$505,MATCH($C752,'Phản ánh'!$A$6:$A$505,0))&amp;"",IF($I752="Công việc",INDEX('Kế hoạch'!$N$6:$N$305,$O752)&amp;"",""))</f>
      </c>
      <c r="L752" s="220">
        <f>IF(OR($C752="",N($B752)=0),"",IF(AND($I752="Phản ánh",$E752="Đã xử lý"),INDEX('Phản ánh'!$U$6:$U$505,MATCH($C752,'Phản ánh'!$A$6:$A$505,0)),IF(AND($I752="Công việc",OR($E752="Hoàn thành",$E752="Hoàn thành kỳ")),IF(INDEX('Kế hoạch'!$B$6:$B$305,$O752)="Đột xuất",INDEX('Kế hoạch'!$AY$6:$AY$305,$O752),IF(N($P752)=0,"",IF(INT($B752)&lt;$P752,$P752,IF($Q752&gt;0,$P752+ROUND((INT($B752)-$P752)/$Q752,0)*$Q752,IF($R752&gt;0,EDATE($P752,ROUND((DATEDIF($P752,INT($B752),"m")+(INT($B752)-EDATE($P752,DATEDIF($P752,INT($B752),"m")))/(EDATE($P752,DATEDIF($P752,INT($B752),"m")+1)-EDATE($P752,DATEDIF($P752,INT($B752),"m"))))/$R752,0)*$R752),$P752))))),"")))</f>
      </c>
      <c r="M752" s="223">
        <f>IF(OR($C752="",N($L752)=0,N($B752)=0),"",IF(IF(MOD($L752,1)=0,INT($B752),$B752)&lt;=$L752,"Đúng hạn","Trễ hạn"))</f>
      </c>
      <c r="N752" s="225">
        <f>IF($C752="","",ROW())</f>
      </c>
      <c r="O752" s="225">
        <f>IF($I752="Công việc",MATCH($C752,'Kế hoạch'!$A$6:$A$305,0),"")</f>
      </c>
      <c r="P752" s="234">
        <f>IF($O752="","",INDEX('Kế hoạch'!$I$6:$I$305,$O752))</f>
      </c>
      <c r="Q752" s="225">
        <f>IF($O752="","",INDEX('Kế hoạch'!$AJ$6:$AJ$305,$O752))</f>
      </c>
      <c r="R752" s="225">
        <f>IF($O752="","",INDEX('Kế hoạch'!$AK$6:$AK$305,$O752))</f>
      </c>
    </row>
    <row r="753">
      <c r="A753" s="223">
        <f>IF($C753="","",COUNTIF($C$6:$C753,"?*"))</f>
      </c>
      <c r="B753" s="217"/>
      <c r="C753" s="216"/>
      <c r="D753" s="240"/>
      <c r="E753" s="218"/>
      <c r="F753" s="218"/>
      <c r="G753" s="218"/>
      <c r="H753" s="219"/>
      <c r="I753" s="223">
        <f>IF($C753="","",IF(ISNUMBER(MATCH($C753,'Phản ánh'!$A$6:$A$505,0)),"Phản ánh",IF(ISNUMBER(MATCH($C753,'Kế hoạch'!$A$6:$A$305,0)),"Công việc","Mã chưa có")))</f>
      </c>
      <c r="J753" s="221">
        <f>IF($I753="Phản ánh",INDEX('Phản ánh'!$C$6:$C$505,MATCH($C753,'Phản ánh'!$A$6:$A$505,0)),IF($I753="Công việc",INDEX('Kế hoạch'!$C$6:$C$305,$O753),""))</f>
      </c>
      <c r="K753" s="221">
        <f>IF($I753="Phản ánh",INDEX('Phản ánh'!$K$6:$K$505,MATCH($C753,'Phản ánh'!$A$6:$A$505,0))&amp;"",IF($I753="Công việc",INDEX('Kế hoạch'!$N$6:$N$305,$O753)&amp;"",""))</f>
      </c>
      <c r="L753" s="220">
        <f>IF(OR($C753="",N($B753)=0),"",IF(AND($I753="Phản ánh",$E753="Đã xử lý"),INDEX('Phản ánh'!$U$6:$U$505,MATCH($C753,'Phản ánh'!$A$6:$A$505,0)),IF(AND($I753="Công việc",OR($E753="Hoàn thành",$E753="Hoàn thành kỳ")),IF(INDEX('Kế hoạch'!$B$6:$B$305,$O753)="Đột xuất",INDEX('Kế hoạch'!$AY$6:$AY$305,$O753),IF(N($P753)=0,"",IF(INT($B753)&lt;$P753,$P753,IF($Q753&gt;0,$P753+ROUND((INT($B753)-$P753)/$Q753,0)*$Q753,IF($R753&gt;0,EDATE($P753,ROUND((DATEDIF($P753,INT($B753),"m")+(INT($B753)-EDATE($P753,DATEDIF($P753,INT($B753),"m")))/(EDATE($P753,DATEDIF($P753,INT($B753),"m")+1)-EDATE($P753,DATEDIF($P753,INT($B753),"m"))))/$R753,0)*$R753),$P753))))),"")))</f>
      </c>
      <c r="M753" s="223">
        <f>IF(OR($C753="",N($L753)=0,N($B753)=0),"",IF(IF(MOD($L753,1)=0,INT($B753),$B753)&lt;=$L753,"Đúng hạn","Trễ hạn"))</f>
      </c>
      <c r="N753" s="225">
        <f>IF($C753="","",ROW())</f>
      </c>
      <c r="O753" s="225">
        <f>IF($I753="Công việc",MATCH($C753,'Kế hoạch'!$A$6:$A$305,0),"")</f>
      </c>
      <c r="P753" s="234">
        <f>IF($O753="","",INDEX('Kế hoạch'!$I$6:$I$305,$O753))</f>
      </c>
      <c r="Q753" s="225">
        <f>IF($O753="","",INDEX('Kế hoạch'!$AJ$6:$AJ$305,$O753))</f>
      </c>
      <c r="R753" s="225">
        <f>IF($O753="","",INDEX('Kế hoạch'!$AK$6:$AK$305,$O753))</f>
      </c>
    </row>
    <row r="754">
      <c r="A754" s="223">
        <f>IF($C754="","",COUNTIF($C$6:$C754,"?*"))</f>
      </c>
      <c r="B754" s="217"/>
      <c r="C754" s="216"/>
      <c r="D754" s="240"/>
      <c r="E754" s="218"/>
      <c r="F754" s="218"/>
      <c r="G754" s="218"/>
      <c r="H754" s="219"/>
      <c r="I754" s="223">
        <f>IF($C754="","",IF(ISNUMBER(MATCH($C754,'Phản ánh'!$A$6:$A$505,0)),"Phản ánh",IF(ISNUMBER(MATCH($C754,'Kế hoạch'!$A$6:$A$305,0)),"Công việc","Mã chưa có")))</f>
      </c>
      <c r="J754" s="221">
        <f>IF($I754="Phản ánh",INDEX('Phản ánh'!$C$6:$C$505,MATCH($C754,'Phản ánh'!$A$6:$A$505,0)),IF($I754="Công việc",INDEX('Kế hoạch'!$C$6:$C$305,$O754),""))</f>
      </c>
      <c r="K754" s="221">
        <f>IF($I754="Phản ánh",INDEX('Phản ánh'!$K$6:$K$505,MATCH($C754,'Phản ánh'!$A$6:$A$505,0))&amp;"",IF($I754="Công việc",INDEX('Kế hoạch'!$N$6:$N$305,$O754)&amp;"",""))</f>
      </c>
      <c r="L754" s="220">
        <f>IF(OR($C754="",N($B754)=0),"",IF(AND($I754="Phản ánh",$E754="Đã xử lý"),INDEX('Phản ánh'!$U$6:$U$505,MATCH($C754,'Phản ánh'!$A$6:$A$505,0)),IF(AND($I754="Công việc",OR($E754="Hoàn thành",$E754="Hoàn thành kỳ")),IF(INDEX('Kế hoạch'!$B$6:$B$305,$O754)="Đột xuất",INDEX('Kế hoạch'!$AY$6:$AY$305,$O754),IF(N($P754)=0,"",IF(INT($B754)&lt;$P754,$P754,IF($Q754&gt;0,$P754+ROUND((INT($B754)-$P754)/$Q754,0)*$Q754,IF($R754&gt;0,EDATE($P754,ROUND((DATEDIF($P754,INT($B754),"m")+(INT($B754)-EDATE($P754,DATEDIF($P754,INT($B754),"m")))/(EDATE($P754,DATEDIF($P754,INT($B754),"m")+1)-EDATE($P754,DATEDIF($P754,INT($B754),"m"))))/$R754,0)*$R754),$P754))))),"")))</f>
      </c>
      <c r="M754" s="223">
        <f>IF(OR($C754="",N($L754)=0,N($B754)=0),"",IF(IF(MOD($L754,1)=0,INT($B754),$B754)&lt;=$L754,"Đúng hạn","Trễ hạn"))</f>
      </c>
      <c r="N754" s="225">
        <f>IF($C754="","",ROW())</f>
      </c>
      <c r="O754" s="225">
        <f>IF($I754="Công việc",MATCH($C754,'Kế hoạch'!$A$6:$A$305,0),"")</f>
      </c>
      <c r="P754" s="234">
        <f>IF($O754="","",INDEX('Kế hoạch'!$I$6:$I$305,$O754))</f>
      </c>
      <c r="Q754" s="225">
        <f>IF($O754="","",INDEX('Kế hoạch'!$AJ$6:$AJ$305,$O754))</f>
      </c>
      <c r="R754" s="225">
        <f>IF($O754="","",INDEX('Kế hoạch'!$AK$6:$AK$305,$O754))</f>
      </c>
    </row>
    <row r="755">
      <c r="A755" s="223">
        <f>IF($C755="","",COUNTIF($C$6:$C755,"?*"))</f>
      </c>
      <c r="B755" s="217"/>
      <c r="C755" s="216"/>
      <c r="D755" s="240"/>
      <c r="E755" s="218"/>
      <c r="F755" s="218"/>
      <c r="G755" s="218"/>
      <c r="H755" s="219"/>
      <c r="I755" s="223">
        <f>IF($C755="","",IF(ISNUMBER(MATCH($C755,'Phản ánh'!$A$6:$A$505,0)),"Phản ánh",IF(ISNUMBER(MATCH($C755,'Kế hoạch'!$A$6:$A$305,0)),"Công việc","Mã chưa có")))</f>
      </c>
      <c r="J755" s="221">
        <f>IF($I755="Phản ánh",INDEX('Phản ánh'!$C$6:$C$505,MATCH($C755,'Phản ánh'!$A$6:$A$505,0)),IF($I755="Công việc",INDEX('Kế hoạch'!$C$6:$C$305,$O755),""))</f>
      </c>
      <c r="K755" s="221">
        <f>IF($I755="Phản ánh",INDEX('Phản ánh'!$K$6:$K$505,MATCH($C755,'Phản ánh'!$A$6:$A$505,0))&amp;"",IF($I755="Công việc",INDEX('Kế hoạch'!$N$6:$N$305,$O755)&amp;"",""))</f>
      </c>
      <c r="L755" s="220">
        <f>IF(OR($C755="",N($B755)=0),"",IF(AND($I755="Phản ánh",$E755="Đã xử lý"),INDEX('Phản ánh'!$U$6:$U$505,MATCH($C755,'Phản ánh'!$A$6:$A$505,0)),IF(AND($I755="Công việc",OR($E755="Hoàn thành",$E755="Hoàn thành kỳ")),IF(INDEX('Kế hoạch'!$B$6:$B$305,$O755)="Đột xuất",INDEX('Kế hoạch'!$AY$6:$AY$305,$O755),IF(N($P755)=0,"",IF(INT($B755)&lt;$P755,$P755,IF($Q755&gt;0,$P755+ROUND((INT($B755)-$P755)/$Q755,0)*$Q755,IF($R755&gt;0,EDATE($P755,ROUND((DATEDIF($P755,INT($B755),"m")+(INT($B755)-EDATE($P755,DATEDIF($P755,INT($B755),"m")))/(EDATE($P755,DATEDIF($P755,INT($B755),"m")+1)-EDATE($P755,DATEDIF($P755,INT($B755),"m"))))/$R755,0)*$R755),$P755))))),"")))</f>
      </c>
      <c r="M755" s="223">
        <f>IF(OR($C755="",N($L755)=0,N($B755)=0),"",IF(IF(MOD($L755,1)=0,INT($B755),$B755)&lt;=$L755,"Đúng hạn","Trễ hạn"))</f>
      </c>
      <c r="N755" s="225">
        <f>IF($C755="","",ROW())</f>
      </c>
      <c r="O755" s="225">
        <f>IF($I755="Công việc",MATCH($C755,'Kế hoạch'!$A$6:$A$305,0),"")</f>
      </c>
      <c r="P755" s="234">
        <f>IF($O755="","",INDEX('Kế hoạch'!$I$6:$I$305,$O755))</f>
      </c>
      <c r="Q755" s="225">
        <f>IF($O755="","",INDEX('Kế hoạch'!$AJ$6:$AJ$305,$O755))</f>
      </c>
      <c r="R755" s="225">
        <f>IF($O755="","",INDEX('Kế hoạch'!$AK$6:$AK$305,$O755))</f>
      </c>
    </row>
    <row r="756">
      <c r="A756" s="223">
        <f>IF($C756="","",COUNTIF($C$6:$C756,"?*"))</f>
      </c>
      <c r="B756" s="217"/>
      <c r="C756" s="216"/>
      <c r="D756" s="240"/>
      <c r="E756" s="218"/>
      <c r="F756" s="218"/>
      <c r="G756" s="218"/>
      <c r="H756" s="219"/>
      <c r="I756" s="223">
        <f>IF($C756="","",IF(ISNUMBER(MATCH($C756,'Phản ánh'!$A$6:$A$505,0)),"Phản ánh",IF(ISNUMBER(MATCH($C756,'Kế hoạch'!$A$6:$A$305,0)),"Công việc","Mã chưa có")))</f>
      </c>
      <c r="J756" s="221">
        <f>IF($I756="Phản ánh",INDEX('Phản ánh'!$C$6:$C$505,MATCH($C756,'Phản ánh'!$A$6:$A$505,0)),IF($I756="Công việc",INDEX('Kế hoạch'!$C$6:$C$305,$O756),""))</f>
      </c>
      <c r="K756" s="221">
        <f>IF($I756="Phản ánh",INDEX('Phản ánh'!$K$6:$K$505,MATCH($C756,'Phản ánh'!$A$6:$A$505,0))&amp;"",IF($I756="Công việc",INDEX('Kế hoạch'!$N$6:$N$305,$O756)&amp;"",""))</f>
      </c>
      <c r="L756" s="220">
        <f>IF(OR($C756="",N($B756)=0),"",IF(AND($I756="Phản ánh",$E756="Đã xử lý"),INDEX('Phản ánh'!$U$6:$U$505,MATCH($C756,'Phản ánh'!$A$6:$A$505,0)),IF(AND($I756="Công việc",OR($E756="Hoàn thành",$E756="Hoàn thành kỳ")),IF(INDEX('Kế hoạch'!$B$6:$B$305,$O756)="Đột xuất",INDEX('Kế hoạch'!$AY$6:$AY$305,$O756),IF(N($P756)=0,"",IF(INT($B756)&lt;$P756,$P756,IF($Q756&gt;0,$P756+ROUND((INT($B756)-$P756)/$Q756,0)*$Q756,IF($R756&gt;0,EDATE($P756,ROUND((DATEDIF($P756,INT($B756),"m")+(INT($B756)-EDATE($P756,DATEDIF($P756,INT($B756),"m")))/(EDATE($P756,DATEDIF($P756,INT($B756),"m")+1)-EDATE($P756,DATEDIF($P756,INT($B756),"m"))))/$R756,0)*$R756),$P756))))),"")))</f>
      </c>
      <c r="M756" s="223">
        <f>IF(OR($C756="",N($L756)=0,N($B756)=0),"",IF(IF(MOD($L756,1)=0,INT($B756),$B756)&lt;=$L756,"Đúng hạn","Trễ hạn"))</f>
      </c>
      <c r="N756" s="225">
        <f>IF($C756="","",ROW())</f>
      </c>
      <c r="O756" s="225">
        <f>IF($I756="Công việc",MATCH($C756,'Kế hoạch'!$A$6:$A$305,0),"")</f>
      </c>
      <c r="P756" s="234">
        <f>IF($O756="","",INDEX('Kế hoạch'!$I$6:$I$305,$O756))</f>
      </c>
      <c r="Q756" s="225">
        <f>IF($O756="","",INDEX('Kế hoạch'!$AJ$6:$AJ$305,$O756))</f>
      </c>
      <c r="R756" s="225">
        <f>IF($O756="","",INDEX('Kế hoạch'!$AK$6:$AK$305,$O756))</f>
      </c>
    </row>
    <row r="757">
      <c r="A757" s="223">
        <f>IF($C757="","",COUNTIF($C$6:$C757,"?*"))</f>
      </c>
      <c r="B757" s="217"/>
      <c r="C757" s="216"/>
      <c r="D757" s="240"/>
      <c r="E757" s="218"/>
      <c r="F757" s="218"/>
      <c r="G757" s="218"/>
      <c r="H757" s="219"/>
      <c r="I757" s="223">
        <f>IF($C757="","",IF(ISNUMBER(MATCH($C757,'Phản ánh'!$A$6:$A$505,0)),"Phản ánh",IF(ISNUMBER(MATCH($C757,'Kế hoạch'!$A$6:$A$305,0)),"Công việc","Mã chưa có")))</f>
      </c>
      <c r="J757" s="221">
        <f>IF($I757="Phản ánh",INDEX('Phản ánh'!$C$6:$C$505,MATCH($C757,'Phản ánh'!$A$6:$A$505,0)),IF($I757="Công việc",INDEX('Kế hoạch'!$C$6:$C$305,$O757),""))</f>
      </c>
      <c r="K757" s="221">
        <f>IF($I757="Phản ánh",INDEX('Phản ánh'!$K$6:$K$505,MATCH($C757,'Phản ánh'!$A$6:$A$505,0))&amp;"",IF($I757="Công việc",INDEX('Kế hoạch'!$N$6:$N$305,$O757)&amp;"",""))</f>
      </c>
      <c r="L757" s="220">
        <f>IF(OR($C757="",N($B757)=0),"",IF(AND($I757="Phản ánh",$E757="Đã xử lý"),INDEX('Phản ánh'!$U$6:$U$505,MATCH($C757,'Phản ánh'!$A$6:$A$505,0)),IF(AND($I757="Công việc",OR($E757="Hoàn thành",$E757="Hoàn thành kỳ")),IF(INDEX('Kế hoạch'!$B$6:$B$305,$O757)="Đột xuất",INDEX('Kế hoạch'!$AY$6:$AY$305,$O757),IF(N($P757)=0,"",IF(INT($B757)&lt;$P757,$P757,IF($Q757&gt;0,$P757+ROUND((INT($B757)-$P757)/$Q757,0)*$Q757,IF($R757&gt;0,EDATE($P757,ROUND((DATEDIF($P757,INT($B757),"m")+(INT($B757)-EDATE($P757,DATEDIF($P757,INT($B757),"m")))/(EDATE($P757,DATEDIF($P757,INT($B757),"m")+1)-EDATE($P757,DATEDIF($P757,INT($B757),"m"))))/$R757,0)*$R757),$P757))))),"")))</f>
      </c>
      <c r="M757" s="223">
        <f>IF(OR($C757="",N($L757)=0,N($B757)=0),"",IF(IF(MOD($L757,1)=0,INT($B757),$B757)&lt;=$L757,"Đúng hạn","Trễ hạn"))</f>
      </c>
      <c r="N757" s="225">
        <f>IF($C757="","",ROW())</f>
      </c>
      <c r="O757" s="225">
        <f>IF($I757="Công việc",MATCH($C757,'Kế hoạch'!$A$6:$A$305,0),"")</f>
      </c>
      <c r="P757" s="234">
        <f>IF($O757="","",INDEX('Kế hoạch'!$I$6:$I$305,$O757))</f>
      </c>
      <c r="Q757" s="225">
        <f>IF($O757="","",INDEX('Kế hoạch'!$AJ$6:$AJ$305,$O757))</f>
      </c>
      <c r="R757" s="225">
        <f>IF($O757="","",INDEX('Kế hoạch'!$AK$6:$AK$305,$O757))</f>
      </c>
    </row>
    <row r="758">
      <c r="A758" s="223">
        <f>IF($C758="","",COUNTIF($C$6:$C758,"?*"))</f>
      </c>
      <c r="B758" s="217"/>
      <c r="C758" s="216"/>
      <c r="D758" s="240"/>
      <c r="E758" s="218"/>
      <c r="F758" s="218"/>
      <c r="G758" s="218"/>
      <c r="H758" s="219"/>
      <c r="I758" s="223">
        <f>IF($C758="","",IF(ISNUMBER(MATCH($C758,'Phản ánh'!$A$6:$A$505,0)),"Phản ánh",IF(ISNUMBER(MATCH($C758,'Kế hoạch'!$A$6:$A$305,0)),"Công việc","Mã chưa có")))</f>
      </c>
      <c r="J758" s="221">
        <f>IF($I758="Phản ánh",INDEX('Phản ánh'!$C$6:$C$505,MATCH($C758,'Phản ánh'!$A$6:$A$505,0)),IF($I758="Công việc",INDEX('Kế hoạch'!$C$6:$C$305,$O758),""))</f>
      </c>
      <c r="K758" s="221">
        <f>IF($I758="Phản ánh",INDEX('Phản ánh'!$K$6:$K$505,MATCH($C758,'Phản ánh'!$A$6:$A$505,0))&amp;"",IF($I758="Công việc",INDEX('Kế hoạch'!$N$6:$N$305,$O758)&amp;"",""))</f>
      </c>
      <c r="L758" s="220">
        <f>IF(OR($C758="",N($B758)=0),"",IF(AND($I758="Phản ánh",$E758="Đã xử lý"),INDEX('Phản ánh'!$U$6:$U$505,MATCH($C758,'Phản ánh'!$A$6:$A$505,0)),IF(AND($I758="Công việc",OR($E758="Hoàn thành",$E758="Hoàn thành kỳ")),IF(INDEX('Kế hoạch'!$B$6:$B$305,$O758)="Đột xuất",INDEX('Kế hoạch'!$AY$6:$AY$305,$O758),IF(N($P758)=0,"",IF(INT($B758)&lt;$P758,$P758,IF($Q758&gt;0,$P758+ROUND((INT($B758)-$P758)/$Q758,0)*$Q758,IF($R758&gt;0,EDATE($P758,ROUND((DATEDIF($P758,INT($B758),"m")+(INT($B758)-EDATE($P758,DATEDIF($P758,INT($B758),"m")))/(EDATE($P758,DATEDIF($P758,INT($B758),"m")+1)-EDATE($P758,DATEDIF($P758,INT($B758),"m"))))/$R758,0)*$R758),$P758))))),"")))</f>
      </c>
      <c r="M758" s="223">
        <f>IF(OR($C758="",N($L758)=0,N($B758)=0),"",IF(IF(MOD($L758,1)=0,INT($B758),$B758)&lt;=$L758,"Đúng hạn","Trễ hạn"))</f>
      </c>
      <c r="N758" s="225">
        <f>IF($C758="","",ROW())</f>
      </c>
      <c r="O758" s="225">
        <f>IF($I758="Công việc",MATCH($C758,'Kế hoạch'!$A$6:$A$305,0),"")</f>
      </c>
      <c r="P758" s="234">
        <f>IF($O758="","",INDEX('Kế hoạch'!$I$6:$I$305,$O758))</f>
      </c>
      <c r="Q758" s="225">
        <f>IF($O758="","",INDEX('Kế hoạch'!$AJ$6:$AJ$305,$O758))</f>
      </c>
      <c r="R758" s="225">
        <f>IF($O758="","",INDEX('Kế hoạch'!$AK$6:$AK$305,$O758))</f>
      </c>
    </row>
    <row r="759">
      <c r="A759" s="223">
        <f>IF($C759="","",COUNTIF($C$6:$C759,"?*"))</f>
      </c>
      <c r="B759" s="217"/>
      <c r="C759" s="216"/>
      <c r="D759" s="240"/>
      <c r="E759" s="218"/>
      <c r="F759" s="218"/>
      <c r="G759" s="218"/>
      <c r="H759" s="219"/>
      <c r="I759" s="223">
        <f>IF($C759="","",IF(ISNUMBER(MATCH($C759,'Phản ánh'!$A$6:$A$505,0)),"Phản ánh",IF(ISNUMBER(MATCH($C759,'Kế hoạch'!$A$6:$A$305,0)),"Công việc","Mã chưa có")))</f>
      </c>
      <c r="J759" s="221">
        <f>IF($I759="Phản ánh",INDEX('Phản ánh'!$C$6:$C$505,MATCH($C759,'Phản ánh'!$A$6:$A$505,0)),IF($I759="Công việc",INDEX('Kế hoạch'!$C$6:$C$305,$O759),""))</f>
      </c>
      <c r="K759" s="221">
        <f>IF($I759="Phản ánh",INDEX('Phản ánh'!$K$6:$K$505,MATCH($C759,'Phản ánh'!$A$6:$A$505,0))&amp;"",IF($I759="Công việc",INDEX('Kế hoạch'!$N$6:$N$305,$O759)&amp;"",""))</f>
      </c>
      <c r="L759" s="220">
        <f>IF(OR($C759="",N($B759)=0),"",IF(AND($I759="Phản ánh",$E759="Đã xử lý"),INDEX('Phản ánh'!$U$6:$U$505,MATCH($C759,'Phản ánh'!$A$6:$A$505,0)),IF(AND($I759="Công việc",OR($E759="Hoàn thành",$E759="Hoàn thành kỳ")),IF(INDEX('Kế hoạch'!$B$6:$B$305,$O759)="Đột xuất",INDEX('Kế hoạch'!$AY$6:$AY$305,$O759),IF(N($P759)=0,"",IF(INT($B759)&lt;$P759,$P759,IF($Q759&gt;0,$P759+ROUND((INT($B759)-$P759)/$Q759,0)*$Q759,IF($R759&gt;0,EDATE($P759,ROUND((DATEDIF($P759,INT($B759),"m")+(INT($B759)-EDATE($P759,DATEDIF($P759,INT($B759),"m")))/(EDATE($P759,DATEDIF($P759,INT($B759),"m")+1)-EDATE($P759,DATEDIF($P759,INT($B759),"m"))))/$R759,0)*$R759),$P759))))),"")))</f>
      </c>
      <c r="M759" s="223">
        <f>IF(OR($C759="",N($L759)=0,N($B759)=0),"",IF(IF(MOD($L759,1)=0,INT($B759),$B759)&lt;=$L759,"Đúng hạn","Trễ hạn"))</f>
      </c>
      <c r="N759" s="225">
        <f>IF($C759="","",ROW())</f>
      </c>
      <c r="O759" s="225">
        <f>IF($I759="Công việc",MATCH($C759,'Kế hoạch'!$A$6:$A$305,0),"")</f>
      </c>
      <c r="P759" s="234">
        <f>IF($O759="","",INDEX('Kế hoạch'!$I$6:$I$305,$O759))</f>
      </c>
      <c r="Q759" s="225">
        <f>IF($O759="","",INDEX('Kế hoạch'!$AJ$6:$AJ$305,$O759))</f>
      </c>
      <c r="R759" s="225">
        <f>IF($O759="","",INDEX('Kế hoạch'!$AK$6:$AK$305,$O759))</f>
      </c>
    </row>
    <row r="760">
      <c r="A760" s="223">
        <f>IF($C760="","",COUNTIF($C$6:$C760,"?*"))</f>
      </c>
      <c r="B760" s="217"/>
      <c r="C760" s="216"/>
      <c r="D760" s="240"/>
      <c r="E760" s="218"/>
      <c r="F760" s="218"/>
      <c r="G760" s="218"/>
      <c r="H760" s="219"/>
      <c r="I760" s="223">
        <f>IF($C760="","",IF(ISNUMBER(MATCH($C760,'Phản ánh'!$A$6:$A$505,0)),"Phản ánh",IF(ISNUMBER(MATCH($C760,'Kế hoạch'!$A$6:$A$305,0)),"Công việc","Mã chưa có")))</f>
      </c>
      <c r="J760" s="221">
        <f>IF($I760="Phản ánh",INDEX('Phản ánh'!$C$6:$C$505,MATCH($C760,'Phản ánh'!$A$6:$A$505,0)),IF($I760="Công việc",INDEX('Kế hoạch'!$C$6:$C$305,$O760),""))</f>
      </c>
      <c r="K760" s="221">
        <f>IF($I760="Phản ánh",INDEX('Phản ánh'!$K$6:$K$505,MATCH($C760,'Phản ánh'!$A$6:$A$505,0))&amp;"",IF($I760="Công việc",INDEX('Kế hoạch'!$N$6:$N$305,$O760)&amp;"",""))</f>
      </c>
      <c r="L760" s="220">
        <f>IF(OR($C760="",N($B760)=0),"",IF(AND($I760="Phản ánh",$E760="Đã xử lý"),INDEX('Phản ánh'!$U$6:$U$505,MATCH($C760,'Phản ánh'!$A$6:$A$505,0)),IF(AND($I760="Công việc",OR($E760="Hoàn thành",$E760="Hoàn thành kỳ")),IF(INDEX('Kế hoạch'!$B$6:$B$305,$O760)="Đột xuất",INDEX('Kế hoạch'!$AY$6:$AY$305,$O760),IF(N($P760)=0,"",IF(INT($B760)&lt;$P760,$P760,IF($Q760&gt;0,$P760+ROUND((INT($B760)-$P760)/$Q760,0)*$Q760,IF($R760&gt;0,EDATE($P760,ROUND((DATEDIF($P760,INT($B760),"m")+(INT($B760)-EDATE($P760,DATEDIF($P760,INT($B760),"m")))/(EDATE($P760,DATEDIF($P760,INT($B760),"m")+1)-EDATE($P760,DATEDIF($P760,INT($B760),"m"))))/$R760,0)*$R760),$P760))))),"")))</f>
      </c>
      <c r="M760" s="223">
        <f>IF(OR($C760="",N($L760)=0,N($B760)=0),"",IF(IF(MOD($L760,1)=0,INT($B760),$B760)&lt;=$L760,"Đúng hạn","Trễ hạn"))</f>
      </c>
      <c r="N760" s="225">
        <f>IF($C760="","",ROW())</f>
      </c>
      <c r="O760" s="225">
        <f>IF($I760="Công việc",MATCH($C760,'Kế hoạch'!$A$6:$A$305,0),"")</f>
      </c>
      <c r="P760" s="234">
        <f>IF($O760="","",INDEX('Kế hoạch'!$I$6:$I$305,$O760))</f>
      </c>
      <c r="Q760" s="225">
        <f>IF($O760="","",INDEX('Kế hoạch'!$AJ$6:$AJ$305,$O760))</f>
      </c>
      <c r="R760" s="225">
        <f>IF($O760="","",INDEX('Kế hoạch'!$AK$6:$AK$305,$O760))</f>
      </c>
    </row>
    <row r="761">
      <c r="A761" s="223">
        <f>IF($C761="","",COUNTIF($C$6:$C761,"?*"))</f>
      </c>
      <c r="B761" s="217"/>
      <c r="C761" s="216"/>
      <c r="D761" s="240"/>
      <c r="E761" s="218"/>
      <c r="F761" s="218"/>
      <c r="G761" s="218"/>
      <c r="H761" s="219"/>
      <c r="I761" s="223">
        <f>IF($C761="","",IF(ISNUMBER(MATCH($C761,'Phản ánh'!$A$6:$A$505,0)),"Phản ánh",IF(ISNUMBER(MATCH($C761,'Kế hoạch'!$A$6:$A$305,0)),"Công việc","Mã chưa có")))</f>
      </c>
      <c r="J761" s="221">
        <f>IF($I761="Phản ánh",INDEX('Phản ánh'!$C$6:$C$505,MATCH($C761,'Phản ánh'!$A$6:$A$505,0)),IF($I761="Công việc",INDEX('Kế hoạch'!$C$6:$C$305,$O761),""))</f>
      </c>
      <c r="K761" s="221">
        <f>IF($I761="Phản ánh",INDEX('Phản ánh'!$K$6:$K$505,MATCH($C761,'Phản ánh'!$A$6:$A$505,0))&amp;"",IF($I761="Công việc",INDEX('Kế hoạch'!$N$6:$N$305,$O761)&amp;"",""))</f>
      </c>
      <c r="L761" s="220">
        <f>IF(OR($C761="",N($B761)=0),"",IF(AND($I761="Phản ánh",$E761="Đã xử lý"),INDEX('Phản ánh'!$U$6:$U$505,MATCH($C761,'Phản ánh'!$A$6:$A$505,0)),IF(AND($I761="Công việc",OR($E761="Hoàn thành",$E761="Hoàn thành kỳ")),IF(INDEX('Kế hoạch'!$B$6:$B$305,$O761)="Đột xuất",INDEX('Kế hoạch'!$AY$6:$AY$305,$O761),IF(N($P761)=0,"",IF(INT($B761)&lt;$P761,$P761,IF($Q761&gt;0,$P761+ROUND((INT($B761)-$P761)/$Q761,0)*$Q761,IF($R761&gt;0,EDATE($P761,ROUND((DATEDIF($P761,INT($B761),"m")+(INT($B761)-EDATE($P761,DATEDIF($P761,INT($B761),"m")))/(EDATE($P761,DATEDIF($P761,INT($B761),"m")+1)-EDATE($P761,DATEDIF($P761,INT($B761),"m"))))/$R761,0)*$R761),$P761))))),"")))</f>
      </c>
      <c r="M761" s="223">
        <f>IF(OR($C761="",N($L761)=0,N($B761)=0),"",IF(IF(MOD($L761,1)=0,INT($B761),$B761)&lt;=$L761,"Đúng hạn","Trễ hạn"))</f>
      </c>
      <c r="N761" s="225">
        <f>IF($C761="","",ROW())</f>
      </c>
      <c r="O761" s="225">
        <f>IF($I761="Công việc",MATCH($C761,'Kế hoạch'!$A$6:$A$305,0),"")</f>
      </c>
      <c r="P761" s="234">
        <f>IF($O761="","",INDEX('Kế hoạch'!$I$6:$I$305,$O761))</f>
      </c>
      <c r="Q761" s="225">
        <f>IF($O761="","",INDEX('Kế hoạch'!$AJ$6:$AJ$305,$O761))</f>
      </c>
      <c r="R761" s="225">
        <f>IF($O761="","",INDEX('Kế hoạch'!$AK$6:$AK$305,$O761))</f>
      </c>
    </row>
    <row r="762">
      <c r="A762" s="223">
        <f>IF($C762="","",COUNTIF($C$6:$C762,"?*"))</f>
      </c>
      <c r="B762" s="217"/>
      <c r="C762" s="216"/>
      <c r="D762" s="240"/>
      <c r="E762" s="218"/>
      <c r="F762" s="218"/>
      <c r="G762" s="218"/>
      <c r="H762" s="219"/>
      <c r="I762" s="223">
        <f>IF($C762="","",IF(ISNUMBER(MATCH($C762,'Phản ánh'!$A$6:$A$505,0)),"Phản ánh",IF(ISNUMBER(MATCH($C762,'Kế hoạch'!$A$6:$A$305,0)),"Công việc","Mã chưa có")))</f>
      </c>
      <c r="J762" s="221">
        <f>IF($I762="Phản ánh",INDEX('Phản ánh'!$C$6:$C$505,MATCH($C762,'Phản ánh'!$A$6:$A$505,0)),IF($I762="Công việc",INDEX('Kế hoạch'!$C$6:$C$305,$O762),""))</f>
      </c>
      <c r="K762" s="221">
        <f>IF($I762="Phản ánh",INDEX('Phản ánh'!$K$6:$K$505,MATCH($C762,'Phản ánh'!$A$6:$A$505,0))&amp;"",IF($I762="Công việc",INDEX('Kế hoạch'!$N$6:$N$305,$O762)&amp;"",""))</f>
      </c>
      <c r="L762" s="220">
        <f>IF(OR($C762="",N($B762)=0),"",IF(AND($I762="Phản ánh",$E762="Đã xử lý"),INDEX('Phản ánh'!$U$6:$U$505,MATCH($C762,'Phản ánh'!$A$6:$A$505,0)),IF(AND($I762="Công việc",OR($E762="Hoàn thành",$E762="Hoàn thành kỳ")),IF(INDEX('Kế hoạch'!$B$6:$B$305,$O762)="Đột xuất",INDEX('Kế hoạch'!$AY$6:$AY$305,$O762),IF(N($P762)=0,"",IF(INT($B762)&lt;$P762,$P762,IF($Q762&gt;0,$P762+ROUND((INT($B762)-$P762)/$Q762,0)*$Q762,IF($R762&gt;0,EDATE($P762,ROUND((DATEDIF($P762,INT($B762),"m")+(INT($B762)-EDATE($P762,DATEDIF($P762,INT($B762),"m")))/(EDATE($P762,DATEDIF($P762,INT($B762),"m")+1)-EDATE($P762,DATEDIF($P762,INT($B762),"m"))))/$R762,0)*$R762),$P762))))),"")))</f>
      </c>
      <c r="M762" s="223">
        <f>IF(OR($C762="",N($L762)=0,N($B762)=0),"",IF(IF(MOD($L762,1)=0,INT($B762),$B762)&lt;=$L762,"Đúng hạn","Trễ hạn"))</f>
      </c>
      <c r="N762" s="225">
        <f>IF($C762="","",ROW())</f>
      </c>
      <c r="O762" s="225">
        <f>IF($I762="Công việc",MATCH($C762,'Kế hoạch'!$A$6:$A$305,0),"")</f>
      </c>
      <c r="P762" s="234">
        <f>IF($O762="","",INDEX('Kế hoạch'!$I$6:$I$305,$O762))</f>
      </c>
      <c r="Q762" s="225">
        <f>IF($O762="","",INDEX('Kế hoạch'!$AJ$6:$AJ$305,$O762))</f>
      </c>
      <c r="R762" s="225">
        <f>IF($O762="","",INDEX('Kế hoạch'!$AK$6:$AK$305,$O762))</f>
      </c>
    </row>
    <row r="763">
      <c r="A763" s="223">
        <f>IF($C763="","",COUNTIF($C$6:$C763,"?*"))</f>
      </c>
      <c r="B763" s="217"/>
      <c r="C763" s="216"/>
      <c r="D763" s="240"/>
      <c r="E763" s="218"/>
      <c r="F763" s="218"/>
      <c r="G763" s="218"/>
      <c r="H763" s="219"/>
      <c r="I763" s="223">
        <f>IF($C763="","",IF(ISNUMBER(MATCH($C763,'Phản ánh'!$A$6:$A$505,0)),"Phản ánh",IF(ISNUMBER(MATCH($C763,'Kế hoạch'!$A$6:$A$305,0)),"Công việc","Mã chưa có")))</f>
      </c>
      <c r="J763" s="221">
        <f>IF($I763="Phản ánh",INDEX('Phản ánh'!$C$6:$C$505,MATCH($C763,'Phản ánh'!$A$6:$A$505,0)),IF($I763="Công việc",INDEX('Kế hoạch'!$C$6:$C$305,$O763),""))</f>
      </c>
      <c r="K763" s="221">
        <f>IF($I763="Phản ánh",INDEX('Phản ánh'!$K$6:$K$505,MATCH($C763,'Phản ánh'!$A$6:$A$505,0))&amp;"",IF($I763="Công việc",INDEX('Kế hoạch'!$N$6:$N$305,$O763)&amp;"",""))</f>
      </c>
      <c r="L763" s="220">
        <f>IF(OR($C763="",N($B763)=0),"",IF(AND($I763="Phản ánh",$E763="Đã xử lý"),INDEX('Phản ánh'!$U$6:$U$505,MATCH($C763,'Phản ánh'!$A$6:$A$505,0)),IF(AND($I763="Công việc",OR($E763="Hoàn thành",$E763="Hoàn thành kỳ")),IF(INDEX('Kế hoạch'!$B$6:$B$305,$O763)="Đột xuất",INDEX('Kế hoạch'!$AY$6:$AY$305,$O763),IF(N($P763)=0,"",IF(INT($B763)&lt;$P763,$P763,IF($Q763&gt;0,$P763+ROUND((INT($B763)-$P763)/$Q763,0)*$Q763,IF($R763&gt;0,EDATE($P763,ROUND((DATEDIF($P763,INT($B763),"m")+(INT($B763)-EDATE($P763,DATEDIF($P763,INT($B763),"m")))/(EDATE($P763,DATEDIF($P763,INT($B763),"m")+1)-EDATE($P763,DATEDIF($P763,INT($B763),"m"))))/$R763,0)*$R763),$P763))))),"")))</f>
      </c>
      <c r="M763" s="223">
        <f>IF(OR($C763="",N($L763)=0,N($B763)=0),"",IF(IF(MOD($L763,1)=0,INT($B763),$B763)&lt;=$L763,"Đúng hạn","Trễ hạn"))</f>
      </c>
      <c r="N763" s="225">
        <f>IF($C763="","",ROW())</f>
      </c>
      <c r="O763" s="225">
        <f>IF($I763="Công việc",MATCH($C763,'Kế hoạch'!$A$6:$A$305,0),"")</f>
      </c>
      <c r="P763" s="234">
        <f>IF($O763="","",INDEX('Kế hoạch'!$I$6:$I$305,$O763))</f>
      </c>
      <c r="Q763" s="225">
        <f>IF($O763="","",INDEX('Kế hoạch'!$AJ$6:$AJ$305,$O763))</f>
      </c>
      <c r="R763" s="225">
        <f>IF($O763="","",INDEX('Kế hoạch'!$AK$6:$AK$305,$O763))</f>
      </c>
    </row>
    <row r="764">
      <c r="A764" s="223">
        <f>IF($C764="","",COUNTIF($C$6:$C764,"?*"))</f>
      </c>
      <c r="B764" s="217"/>
      <c r="C764" s="216"/>
      <c r="D764" s="240"/>
      <c r="E764" s="218"/>
      <c r="F764" s="218"/>
      <c r="G764" s="218"/>
      <c r="H764" s="219"/>
      <c r="I764" s="223">
        <f>IF($C764="","",IF(ISNUMBER(MATCH($C764,'Phản ánh'!$A$6:$A$505,0)),"Phản ánh",IF(ISNUMBER(MATCH($C764,'Kế hoạch'!$A$6:$A$305,0)),"Công việc","Mã chưa có")))</f>
      </c>
      <c r="J764" s="221">
        <f>IF($I764="Phản ánh",INDEX('Phản ánh'!$C$6:$C$505,MATCH($C764,'Phản ánh'!$A$6:$A$505,0)),IF($I764="Công việc",INDEX('Kế hoạch'!$C$6:$C$305,$O764),""))</f>
      </c>
      <c r="K764" s="221">
        <f>IF($I764="Phản ánh",INDEX('Phản ánh'!$K$6:$K$505,MATCH($C764,'Phản ánh'!$A$6:$A$505,0))&amp;"",IF($I764="Công việc",INDEX('Kế hoạch'!$N$6:$N$305,$O764)&amp;"",""))</f>
      </c>
      <c r="L764" s="220">
        <f>IF(OR($C764="",N($B764)=0),"",IF(AND($I764="Phản ánh",$E764="Đã xử lý"),INDEX('Phản ánh'!$U$6:$U$505,MATCH($C764,'Phản ánh'!$A$6:$A$505,0)),IF(AND($I764="Công việc",OR($E764="Hoàn thành",$E764="Hoàn thành kỳ")),IF(INDEX('Kế hoạch'!$B$6:$B$305,$O764)="Đột xuất",INDEX('Kế hoạch'!$AY$6:$AY$305,$O764),IF(N($P764)=0,"",IF(INT($B764)&lt;$P764,$P764,IF($Q764&gt;0,$P764+ROUND((INT($B764)-$P764)/$Q764,0)*$Q764,IF($R764&gt;0,EDATE($P764,ROUND((DATEDIF($P764,INT($B764),"m")+(INT($B764)-EDATE($P764,DATEDIF($P764,INT($B764),"m")))/(EDATE($P764,DATEDIF($P764,INT($B764),"m")+1)-EDATE($P764,DATEDIF($P764,INT($B764),"m"))))/$R764,0)*$R764),$P764))))),"")))</f>
      </c>
      <c r="M764" s="223">
        <f>IF(OR($C764="",N($L764)=0,N($B764)=0),"",IF(IF(MOD($L764,1)=0,INT($B764),$B764)&lt;=$L764,"Đúng hạn","Trễ hạn"))</f>
      </c>
      <c r="N764" s="225">
        <f>IF($C764="","",ROW())</f>
      </c>
      <c r="O764" s="225">
        <f>IF($I764="Công việc",MATCH($C764,'Kế hoạch'!$A$6:$A$305,0),"")</f>
      </c>
      <c r="P764" s="234">
        <f>IF($O764="","",INDEX('Kế hoạch'!$I$6:$I$305,$O764))</f>
      </c>
      <c r="Q764" s="225">
        <f>IF($O764="","",INDEX('Kế hoạch'!$AJ$6:$AJ$305,$O764))</f>
      </c>
      <c r="R764" s="225">
        <f>IF($O764="","",INDEX('Kế hoạch'!$AK$6:$AK$305,$O764))</f>
      </c>
    </row>
    <row r="765">
      <c r="A765" s="223">
        <f>IF($C765="","",COUNTIF($C$6:$C765,"?*"))</f>
      </c>
      <c r="B765" s="217"/>
      <c r="C765" s="216"/>
      <c r="D765" s="240"/>
      <c r="E765" s="218"/>
      <c r="F765" s="218"/>
      <c r="G765" s="218"/>
      <c r="H765" s="219"/>
      <c r="I765" s="223">
        <f>IF($C765="","",IF(ISNUMBER(MATCH($C765,'Phản ánh'!$A$6:$A$505,0)),"Phản ánh",IF(ISNUMBER(MATCH($C765,'Kế hoạch'!$A$6:$A$305,0)),"Công việc","Mã chưa có")))</f>
      </c>
      <c r="J765" s="221">
        <f>IF($I765="Phản ánh",INDEX('Phản ánh'!$C$6:$C$505,MATCH($C765,'Phản ánh'!$A$6:$A$505,0)),IF($I765="Công việc",INDEX('Kế hoạch'!$C$6:$C$305,$O765),""))</f>
      </c>
      <c r="K765" s="221">
        <f>IF($I765="Phản ánh",INDEX('Phản ánh'!$K$6:$K$505,MATCH($C765,'Phản ánh'!$A$6:$A$505,0))&amp;"",IF($I765="Công việc",INDEX('Kế hoạch'!$N$6:$N$305,$O765)&amp;"",""))</f>
      </c>
      <c r="L765" s="220">
        <f>IF(OR($C765="",N($B765)=0),"",IF(AND($I765="Phản ánh",$E765="Đã xử lý"),INDEX('Phản ánh'!$U$6:$U$505,MATCH($C765,'Phản ánh'!$A$6:$A$505,0)),IF(AND($I765="Công việc",OR($E765="Hoàn thành",$E765="Hoàn thành kỳ")),IF(INDEX('Kế hoạch'!$B$6:$B$305,$O765)="Đột xuất",INDEX('Kế hoạch'!$AY$6:$AY$305,$O765),IF(N($P765)=0,"",IF(INT($B765)&lt;$P765,$P765,IF($Q765&gt;0,$P765+ROUND((INT($B765)-$P765)/$Q765,0)*$Q765,IF($R765&gt;0,EDATE($P765,ROUND((DATEDIF($P765,INT($B765),"m")+(INT($B765)-EDATE($P765,DATEDIF($P765,INT($B765),"m")))/(EDATE($P765,DATEDIF($P765,INT($B765),"m")+1)-EDATE($P765,DATEDIF($P765,INT($B765),"m"))))/$R765,0)*$R765),$P765))))),"")))</f>
      </c>
      <c r="M765" s="223">
        <f>IF(OR($C765="",N($L765)=0,N($B765)=0),"",IF(IF(MOD($L765,1)=0,INT($B765),$B765)&lt;=$L765,"Đúng hạn","Trễ hạn"))</f>
      </c>
      <c r="N765" s="225">
        <f>IF($C765="","",ROW())</f>
      </c>
      <c r="O765" s="225">
        <f>IF($I765="Công việc",MATCH($C765,'Kế hoạch'!$A$6:$A$305,0),"")</f>
      </c>
      <c r="P765" s="234">
        <f>IF($O765="","",INDEX('Kế hoạch'!$I$6:$I$305,$O765))</f>
      </c>
      <c r="Q765" s="225">
        <f>IF($O765="","",INDEX('Kế hoạch'!$AJ$6:$AJ$305,$O765))</f>
      </c>
      <c r="R765" s="225">
        <f>IF($O765="","",INDEX('Kế hoạch'!$AK$6:$AK$305,$O765))</f>
      </c>
    </row>
    <row r="766">
      <c r="A766" s="223">
        <f>IF($C766="","",COUNTIF($C$6:$C766,"?*"))</f>
      </c>
      <c r="B766" s="217"/>
      <c r="C766" s="216"/>
      <c r="D766" s="240"/>
      <c r="E766" s="218"/>
      <c r="F766" s="218"/>
      <c r="G766" s="218"/>
      <c r="H766" s="219"/>
      <c r="I766" s="223">
        <f>IF($C766="","",IF(ISNUMBER(MATCH($C766,'Phản ánh'!$A$6:$A$505,0)),"Phản ánh",IF(ISNUMBER(MATCH($C766,'Kế hoạch'!$A$6:$A$305,0)),"Công việc","Mã chưa có")))</f>
      </c>
      <c r="J766" s="221">
        <f>IF($I766="Phản ánh",INDEX('Phản ánh'!$C$6:$C$505,MATCH($C766,'Phản ánh'!$A$6:$A$505,0)),IF($I766="Công việc",INDEX('Kế hoạch'!$C$6:$C$305,$O766),""))</f>
      </c>
      <c r="K766" s="221">
        <f>IF($I766="Phản ánh",INDEX('Phản ánh'!$K$6:$K$505,MATCH($C766,'Phản ánh'!$A$6:$A$505,0))&amp;"",IF($I766="Công việc",INDEX('Kế hoạch'!$N$6:$N$305,$O766)&amp;"",""))</f>
      </c>
      <c r="L766" s="220">
        <f>IF(OR($C766="",N($B766)=0),"",IF(AND($I766="Phản ánh",$E766="Đã xử lý"),INDEX('Phản ánh'!$U$6:$U$505,MATCH($C766,'Phản ánh'!$A$6:$A$505,0)),IF(AND($I766="Công việc",OR($E766="Hoàn thành",$E766="Hoàn thành kỳ")),IF(INDEX('Kế hoạch'!$B$6:$B$305,$O766)="Đột xuất",INDEX('Kế hoạch'!$AY$6:$AY$305,$O766),IF(N($P766)=0,"",IF(INT($B766)&lt;$P766,$P766,IF($Q766&gt;0,$P766+ROUND((INT($B766)-$P766)/$Q766,0)*$Q766,IF($R766&gt;0,EDATE($P766,ROUND((DATEDIF($P766,INT($B766),"m")+(INT($B766)-EDATE($P766,DATEDIF($P766,INT($B766),"m")))/(EDATE($P766,DATEDIF($P766,INT($B766),"m")+1)-EDATE($P766,DATEDIF($P766,INT($B766),"m"))))/$R766,0)*$R766),$P766))))),"")))</f>
      </c>
      <c r="M766" s="223">
        <f>IF(OR($C766="",N($L766)=0,N($B766)=0),"",IF(IF(MOD($L766,1)=0,INT($B766),$B766)&lt;=$L766,"Đúng hạn","Trễ hạn"))</f>
      </c>
      <c r="N766" s="225">
        <f>IF($C766="","",ROW())</f>
      </c>
      <c r="O766" s="225">
        <f>IF($I766="Công việc",MATCH($C766,'Kế hoạch'!$A$6:$A$305,0),"")</f>
      </c>
      <c r="P766" s="234">
        <f>IF($O766="","",INDEX('Kế hoạch'!$I$6:$I$305,$O766))</f>
      </c>
      <c r="Q766" s="225">
        <f>IF($O766="","",INDEX('Kế hoạch'!$AJ$6:$AJ$305,$O766))</f>
      </c>
      <c r="R766" s="225">
        <f>IF($O766="","",INDEX('Kế hoạch'!$AK$6:$AK$305,$O766))</f>
      </c>
    </row>
    <row r="767">
      <c r="A767" s="223">
        <f>IF($C767="","",COUNTIF($C$6:$C767,"?*"))</f>
      </c>
      <c r="B767" s="217"/>
      <c r="C767" s="216"/>
      <c r="D767" s="240"/>
      <c r="E767" s="218"/>
      <c r="F767" s="218"/>
      <c r="G767" s="218"/>
      <c r="H767" s="219"/>
      <c r="I767" s="223">
        <f>IF($C767="","",IF(ISNUMBER(MATCH($C767,'Phản ánh'!$A$6:$A$505,0)),"Phản ánh",IF(ISNUMBER(MATCH($C767,'Kế hoạch'!$A$6:$A$305,0)),"Công việc","Mã chưa có")))</f>
      </c>
      <c r="J767" s="221">
        <f>IF($I767="Phản ánh",INDEX('Phản ánh'!$C$6:$C$505,MATCH($C767,'Phản ánh'!$A$6:$A$505,0)),IF($I767="Công việc",INDEX('Kế hoạch'!$C$6:$C$305,$O767),""))</f>
      </c>
      <c r="K767" s="221">
        <f>IF($I767="Phản ánh",INDEX('Phản ánh'!$K$6:$K$505,MATCH($C767,'Phản ánh'!$A$6:$A$505,0))&amp;"",IF($I767="Công việc",INDEX('Kế hoạch'!$N$6:$N$305,$O767)&amp;"",""))</f>
      </c>
      <c r="L767" s="220">
        <f>IF(OR($C767="",N($B767)=0),"",IF(AND($I767="Phản ánh",$E767="Đã xử lý"),INDEX('Phản ánh'!$U$6:$U$505,MATCH($C767,'Phản ánh'!$A$6:$A$505,0)),IF(AND($I767="Công việc",OR($E767="Hoàn thành",$E767="Hoàn thành kỳ")),IF(INDEX('Kế hoạch'!$B$6:$B$305,$O767)="Đột xuất",INDEX('Kế hoạch'!$AY$6:$AY$305,$O767),IF(N($P767)=0,"",IF(INT($B767)&lt;$P767,$P767,IF($Q767&gt;0,$P767+ROUND((INT($B767)-$P767)/$Q767,0)*$Q767,IF($R767&gt;0,EDATE($P767,ROUND((DATEDIF($P767,INT($B767),"m")+(INT($B767)-EDATE($P767,DATEDIF($P767,INT($B767),"m")))/(EDATE($P767,DATEDIF($P767,INT($B767),"m")+1)-EDATE($P767,DATEDIF($P767,INT($B767),"m"))))/$R767,0)*$R767),$P767))))),"")))</f>
      </c>
      <c r="M767" s="223">
        <f>IF(OR($C767="",N($L767)=0,N($B767)=0),"",IF(IF(MOD($L767,1)=0,INT($B767),$B767)&lt;=$L767,"Đúng hạn","Trễ hạn"))</f>
      </c>
      <c r="N767" s="225">
        <f>IF($C767="","",ROW())</f>
      </c>
      <c r="O767" s="225">
        <f>IF($I767="Công việc",MATCH($C767,'Kế hoạch'!$A$6:$A$305,0),"")</f>
      </c>
      <c r="P767" s="234">
        <f>IF($O767="","",INDEX('Kế hoạch'!$I$6:$I$305,$O767))</f>
      </c>
      <c r="Q767" s="225">
        <f>IF($O767="","",INDEX('Kế hoạch'!$AJ$6:$AJ$305,$O767))</f>
      </c>
      <c r="R767" s="225">
        <f>IF($O767="","",INDEX('Kế hoạch'!$AK$6:$AK$305,$O767))</f>
      </c>
    </row>
    <row r="768">
      <c r="A768" s="223">
        <f>IF($C768="","",COUNTIF($C$6:$C768,"?*"))</f>
      </c>
      <c r="B768" s="217"/>
      <c r="C768" s="216"/>
      <c r="D768" s="240"/>
      <c r="E768" s="218"/>
      <c r="F768" s="218"/>
      <c r="G768" s="218"/>
      <c r="H768" s="219"/>
      <c r="I768" s="223">
        <f>IF($C768="","",IF(ISNUMBER(MATCH($C768,'Phản ánh'!$A$6:$A$505,0)),"Phản ánh",IF(ISNUMBER(MATCH($C768,'Kế hoạch'!$A$6:$A$305,0)),"Công việc","Mã chưa có")))</f>
      </c>
      <c r="J768" s="221">
        <f>IF($I768="Phản ánh",INDEX('Phản ánh'!$C$6:$C$505,MATCH($C768,'Phản ánh'!$A$6:$A$505,0)),IF($I768="Công việc",INDEX('Kế hoạch'!$C$6:$C$305,$O768),""))</f>
      </c>
      <c r="K768" s="221">
        <f>IF($I768="Phản ánh",INDEX('Phản ánh'!$K$6:$K$505,MATCH($C768,'Phản ánh'!$A$6:$A$505,0))&amp;"",IF($I768="Công việc",INDEX('Kế hoạch'!$N$6:$N$305,$O768)&amp;"",""))</f>
      </c>
      <c r="L768" s="220">
        <f>IF(OR($C768="",N($B768)=0),"",IF(AND($I768="Phản ánh",$E768="Đã xử lý"),INDEX('Phản ánh'!$U$6:$U$505,MATCH($C768,'Phản ánh'!$A$6:$A$505,0)),IF(AND($I768="Công việc",OR($E768="Hoàn thành",$E768="Hoàn thành kỳ")),IF(INDEX('Kế hoạch'!$B$6:$B$305,$O768)="Đột xuất",INDEX('Kế hoạch'!$AY$6:$AY$305,$O768),IF(N($P768)=0,"",IF(INT($B768)&lt;$P768,$P768,IF($Q768&gt;0,$P768+ROUND((INT($B768)-$P768)/$Q768,0)*$Q768,IF($R768&gt;0,EDATE($P768,ROUND((DATEDIF($P768,INT($B768),"m")+(INT($B768)-EDATE($P768,DATEDIF($P768,INT($B768),"m")))/(EDATE($P768,DATEDIF($P768,INT($B768),"m")+1)-EDATE($P768,DATEDIF($P768,INT($B768),"m"))))/$R768,0)*$R768),$P768))))),"")))</f>
      </c>
      <c r="M768" s="223">
        <f>IF(OR($C768="",N($L768)=0,N($B768)=0),"",IF(IF(MOD($L768,1)=0,INT($B768),$B768)&lt;=$L768,"Đúng hạn","Trễ hạn"))</f>
      </c>
      <c r="N768" s="225">
        <f>IF($C768="","",ROW())</f>
      </c>
      <c r="O768" s="225">
        <f>IF($I768="Công việc",MATCH($C768,'Kế hoạch'!$A$6:$A$305,0),"")</f>
      </c>
      <c r="P768" s="234">
        <f>IF($O768="","",INDEX('Kế hoạch'!$I$6:$I$305,$O768))</f>
      </c>
      <c r="Q768" s="225">
        <f>IF($O768="","",INDEX('Kế hoạch'!$AJ$6:$AJ$305,$O768))</f>
      </c>
      <c r="R768" s="225">
        <f>IF($O768="","",INDEX('Kế hoạch'!$AK$6:$AK$305,$O768))</f>
      </c>
    </row>
    <row r="769">
      <c r="A769" s="223">
        <f>IF($C769="","",COUNTIF($C$6:$C769,"?*"))</f>
      </c>
      <c r="B769" s="217"/>
      <c r="C769" s="216"/>
      <c r="D769" s="240"/>
      <c r="E769" s="218"/>
      <c r="F769" s="218"/>
      <c r="G769" s="218"/>
      <c r="H769" s="219"/>
      <c r="I769" s="223">
        <f>IF($C769="","",IF(ISNUMBER(MATCH($C769,'Phản ánh'!$A$6:$A$505,0)),"Phản ánh",IF(ISNUMBER(MATCH($C769,'Kế hoạch'!$A$6:$A$305,0)),"Công việc","Mã chưa có")))</f>
      </c>
      <c r="J769" s="221">
        <f>IF($I769="Phản ánh",INDEX('Phản ánh'!$C$6:$C$505,MATCH($C769,'Phản ánh'!$A$6:$A$505,0)),IF($I769="Công việc",INDEX('Kế hoạch'!$C$6:$C$305,$O769),""))</f>
      </c>
      <c r="K769" s="221">
        <f>IF($I769="Phản ánh",INDEX('Phản ánh'!$K$6:$K$505,MATCH($C769,'Phản ánh'!$A$6:$A$505,0))&amp;"",IF($I769="Công việc",INDEX('Kế hoạch'!$N$6:$N$305,$O769)&amp;"",""))</f>
      </c>
      <c r="L769" s="220">
        <f>IF(OR($C769="",N($B769)=0),"",IF(AND($I769="Phản ánh",$E769="Đã xử lý"),INDEX('Phản ánh'!$U$6:$U$505,MATCH($C769,'Phản ánh'!$A$6:$A$505,0)),IF(AND($I769="Công việc",OR($E769="Hoàn thành",$E769="Hoàn thành kỳ")),IF(INDEX('Kế hoạch'!$B$6:$B$305,$O769)="Đột xuất",INDEX('Kế hoạch'!$AY$6:$AY$305,$O769),IF(N($P769)=0,"",IF(INT($B769)&lt;$P769,$P769,IF($Q769&gt;0,$P769+ROUND((INT($B769)-$P769)/$Q769,0)*$Q769,IF($R769&gt;0,EDATE($P769,ROUND((DATEDIF($P769,INT($B769),"m")+(INT($B769)-EDATE($P769,DATEDIF($P769,INT($B769),"m")))/(EDATE($P769,DATEDIF($P769,INT($B769),"m")+1)-EDATE($P769,DATEDIF($P769,INT($B769),"m"))))/$R769,0)*$R769),$P769))))),"")))</f>
      </c>
      <c r="M769" s="223">
        <f>IF(OR($C769="",N($L769)=0,N($B769)=0),"",IF(IF(MOD($L769,1)=0,INT($B769),$B769)&lt;=$L769,"Đúng hạn","Trễ hạn"))</f>
      </c>
      <c r="N769" s="225">
        <f>IF($C769="","",ROW())</f>
      </c>
      <c r="O769" s="225">
        <f>IF($I769="Công việc",MATCH($C769,'Kế hoạch'!$A$6:$A$305,0),"")</f>
      </c>
      <c r="P769" s="234">
        <f>IF($O769="","",INDEX('Kế hoạch'!$I$6:$I$305,$O769))</f>
      </c>
      <c r="Q769" s="225">
        <f>IF($O769="","",INDEX('Kế hoạch'!$AJ$6:$AJ$305,$O769))</f>
      </c>
      <c r="R769" s="225">
        <f>IF($O769="","",INDEX('Kế hoạch'!$AK$6:$AK$305,$O769))</f>
      </c>
    </row>
    <row r="770">
      <c r="A770" s="223">
        <f>IF($C770="","",COUNTIF($C$6:$C770,"?*"))</f>
      </c>
      <c r="B770" s="217"/>
      <c r="C770" s="216"/>
      <c r="D770" s="240"/>
      <c r="E770" s="218"/>
      <c r="F770" s="218"/>
      <c r="G770" s="218"/>
      <c r="H770" s="219"/>
      <c r="I770" s="223">
        <f>IF($C770="","",IF(ISNUMBER(MATCH($C770,'Phản ánh'!$A$6:$A$505,0)),"Phản ánh",IF(ISNUMBER(MATCH($C770,'Kế hoạch'!$A$6:$A$305,0)),"Công việc","Mã chưa có")))</f>
      </c>
      <c r="J770" s="221">
        <f>IF($I770="Phản ánh",INDEX('Phản ánh'!$C$6:$C$505,MATCH($C770,'Phản ánh'!$A$6:$A$505,0)),IF($I770="Công việc",INDEX('Kế hoạch'!$C$6:$C$305,$O770),""))</f>
      </c>
      <c r="K770" s="221">
        <f>IF($I770="Phản ánh",INDEX('Phản ánh'!$K$6:$K$505,MATCH($C770,'Phản ánh'!$A$6:$A$505,0))&amp;"",IF($I770="Công việc",INDEX('Kế hoạch'!$N$6:$N$305,$O770)&amp;"",""))</f>
      </c>
      <c r="L770" s="220">
        <f>IF(OR($C770="",N($B770)=0),"",IF(AND($I770="Phản ánh",$E770="Đã xử lý"),INDEX('Phản ánh'!$U$6:$U$505,MATCH($C770,'Phản ánh'!$A$6:$A$505,0)),IF(AND($I770="Công việc",OR($E770="Hoàn thành",$E770="Hoàn thành kỳ")),IF(INDEX('Kế hoạch'!$B$6:$B$305,$O770)="Đột xuất",INDEX('Kế hoạch'!$AY$6:$AY$305,$O770),IF(N($P770)=0,"",IF(INT($B770)&lt;$P770,$P770,IF($Q770&gt;0,$P770+ROUND((INT($B770)-$P770)/$Q770,0)*$Q770,IF($R770&gt;0,EDATE($P770,ROUND((DATEDIF($P770,INT($B770),"m")+(INT($B770)-EDATE($P770,DATEDIF($P770,INT($B770),"m")))/(EDATE($P770,DATEDIF($P770,INT($B770),"m")+1)-EDATE($P770,DATEDIF($P770,INT($B770),"m"))))/$R770,0)*$R770),$P770))))),"")))</f>
      </c>
      <c r="M770" s="223">
        <f>IF(OR($C770="",N($L770)=0,N($B770)=0),"",IF(IF(MOD($L770,1)=0,INT($B770),$B770)&lt;=$L770,"Đúng hạn","Trễ hạn"))</f>
      </c>
      <c r="N770" s="225">
        <f>IF($C770="","",ROW())</f>
      </c>
      <c r="O770" s="225">
        <f>IF($I770="Công việc",MATCH($C770,'Kế hoạch'!$A$6:$A$305,0),"")</f>
      </c>
      <c r="P770" s="234">
        <f>IF($O770="","",INDEX('Kế hoạch'!$I$6:$I$305,$O770))</f>
      </c>
      <c r="Q770" s="225">
        <f>IF($O770="","",INDEX('Kế hoạch'!$AJ$6:$AJ$305,$O770))</f>
      </c>
      <c r="R770" s="225">
        <f>IF($O770="","",INDEX('Kế hoạch'!$AK$6:$AK$305,$O770))</f>
      </c>
    </row>
    <row r="771">
      <c r="A771" s="223">
        <f>IF($C771="","",COUNTIF($C$6:$C771,"?*"))</f>
      </c>
      <c r="B771" s="217"/>
      <c r="C771" s="216"/>
      <c r="D771" s="240"/>
      <c r="E771" s="218"/>
      <c r="F771" s="218"/>
      <c r="G771" s="218"/>
      <c r="H771" s="219"/>
      <c r="I771" s="223">
        <f>IF($C771="","",IF(ISNUMBER(MATCH($C771,'Phản ánh'!$A$6:$A$505,0)),"Phản ánh",IF(ISNUMBER(MATCH($C771,'Kế hoạch'!$A$6:$A$305,0)),"Công việc","Mã chưa có")))</f>
      </c>
      <c r="J771" s="221">
        <f>IF($I771="Phản ánh",INDEX('Phản ánh'!$C$6:$C$505,MATCH($C771,'Phản ánh'!$A$6:$A$505,0)),IF($I771="Công việc",INDEX('Kế hoạch'!$C$6:$C$305,$O771),""))</f>
      </c>
      <c r="K771" s="221">
        <f>IF($I771="Phản ánh",INDEX('Phản ánh'!$K$6:$K$505,MATCH($C771,'Phản ánh'!$A$6:$A$505,0))&amp;"",IF($I771="Công việc",INDEX('Kế hoạch'!$N$6:$N$305,$O771)&amp;"",""))</f>
      </c>
      <c r="L771" s="220">
        <f>IF(OR($C771="",N($B771)=0),"",IF(AND($I771="Phản ánh",$E771="Đã xử lý"),INDEX('Phản ánh'!$U$6:$U$505,MATCH($C771,'Phản ánh'!$A$6:$A$505,0)),IF(AND($I771="Công việc",OR($E771="Hoàn thành",$E771="Hoàn thành kỳ")),IF(INDEX('Kế hoạch'!$B$6:$B$305,$O771)="Đột xuất",INDEX('Kế hoạch'!$AY$6:$AY$305,$O771),IF(N($P771)=0,"",IF(INT($B771)&lt;$P771,$P771,IF($Q771&gt;0,$P771+ROUND((INT($B771)-$P771)/$Q771,0)*$Q771,IF($R771&gt;0,EDATE($P771,ROUND((DATEDIF($P771,INT($B771),"m")+(INT($B771)-EDATE($P771,DATEDIF($P771,INT($B771),"m")))/(EDATE($P771,DATEDIF($P771,INT($B771),"m")+1)-EDATE($P771,DATEDIF($P771,INT($B771),"m"))))/$R771,0)*$R771),$P771))))),"")))</f>
      </c>
      <c r="M771" s="223">
        <f>IF(OR($C771="",N($L771)=0,N($B771)=0),"",IF(IF(MOD($L771,1)=0,INT($B771),$B771)&lt;=$L771,"Đúng hạn","Trễ hạn"))</f>
      </c>
      <c r="N771" s="225">
        <f>IF($C771="","",ROW())</f>
      </c>
      <c r="O771" s="225">
        <f>IF($I771="Công việc",MATCH($C771,'Kế hoạch'!$A$6:$A$305,0),"")</f>
      </c>
      <c r="P771" s="234">
        <f>IF($O771="","",INDEX('Kế hoạch'!$I$6:$I$305,$O771))</f>
      </c>
      <c r="Q771" s="225">
        <f>IF($O771="","",INDEX('Kế hoạch'!$AJ$6:$AJ$305,$O771))</f>
      </c>
      <c r="R771" s="225">
        <f>IF($O771="","",INDEX('Kế hoạch'!$AK$6:$AK$305,$O771))</f>
      </c>
    </row>
    <row r="772">
      <c r="A772" s="223">
        <f>IF($C772="","",COUNTIF($C$6:$C772,"?*"))</f>
      </c>
      <c r="B772" s="217"/>
      <c r="C772" s="216"/>
      <c r="D772" s="240"/>
      <c r="E772" s="218"/>
      <c r="F772" s="218"/>
      <c r="G772" s="218"/>
      <c r="H772" s="219"/>
      <c r="I772" s="223">
        <f>IF($C772="","",IF(ISNUMBER(MATCH($C772,'Phản ánh'!$A$6:$A$505,0)),"Phản ánh",IF(ISNUMBER(MATCH($C772,'Kế hoạch'!$A$6:$A$305,0)),"Công việc","Mã chưa có")))</f>
      </c>
      <c r="J772" s="221">
        <f>IF($I772="Phản ánh",INDEX('Phản ánh'!$C$6:$C$505,MATCH($C772,'Phản ánh'!$A$6:$A$505,0)),IF($I772="Công việc",INDEX('Kế hoạch'!$C$6:$C$305,$O772),""))</f>
      </c>
      <c r="K772" s="221">
        <f>IF($I772="Phản ánh",INDEX('Phản ánh'!$K$6:$K$505,MATCH($C772,'Phản ánh'!$A$6:$A$505,0))&amp;"",IF($I772="Công việc",INDEX('Kế hoạch'!$N$6:$N$305,$O772)&amp;"",""))</f>
      </c>
      <c r="L772" s="220">
        <f>IF(OR($C772="",N($B772)=0),"",IF(AND($I772="Phản ánh",$E772="Đã xử lý"),INDEX('Phản ánh'!$U$6:$U$505,MATCH($C772,'Phản ánh'!$A$6:$A$505,0)),IF(AND($I772="Công việc",OR($E772="Hoàn thành",$E772="Hoàn thành kỳ")),IF(INDEX('Kế hoạch'!$B$6:$B$305,$O772)="Đột xuất",INDEX('Kế hoạch'!$AY$6:$AY$305,$O772),IF(N($P772)=0,"",IF(INT($B772)&lt;$P772,$P772,IF($Q772&gt;0,$P772+ROUND((INT($B772)-$P772)/$Q772,0)*$Q772,IF($R772&gt;0,EDATE($P772,ROUND((DATEDIF($P772,INT($B772),"m")+(INT($B772)-EDATE($P772,DATEDIF($P772,INT($B772),"m")))/(EDATE($P772,DATEDIF($P772,INT($B772),"m")+1)-EDATE($P772,DATEDIF($P772,INT($B772),"m"))))/$R772,0)*$R772),$P772))))),"")))</f>
      </c>
      <c r="M772" s="223">
        <f>IF(OR($C772="",N($L772)=0,N($B772)=0),"",IF(IF(MOD($L772,1)=0,INT($B772),$B772)&lt;=$L772,"Đúng hạn","Trễ hạn"))</f>
      </c>
      <c r="N772" s="225">
        <f>IF($C772="","",ROW())</f>
      </c>
      <c r="O772" s="225">
        <f>IF($I772="Công việc",MATCH($C772,'Kế hoạch'!$A$6:$A$305,0),"")</f>
      </c>
      <c r="P772" s="234">
        <f>IF($O772="","",INDEX('Kế hoạch'!$I$6:$I$305,$O772))</f>
      </c>
      <c r="Q772" s="225">
        <f>IF($O772="","",INDEX('Kế hoạch'!$AJ$6:$AJ$305,$O772))</f>
      </c>
      <c r="R772" s="225">
        <f>IF($O772="","",INDEX('Kế hoạch'!$AK$6:$AK$305,$O772))</f>
      </c>
    </row>
    <row r="773">
      <c r="A773" s="223">
        <f>IF($C773="","",COUNTIF($C$6:$C773,"?*"))</f>
      </c>
      <c r="B773" s="217"/>
      <c r="C773" s="216"/>
      <c r="D773" s="240"/>
      <c r="E773" s="218"/>
      <c r="F773" s="218"/>
      <c r="G773" s="218"/>
      <c r="H773" s="219"/>
      <c r="I773" s="223">
        <f>IF($C773="","",IF(ISNUMBER(MATCH($C773,'Phản ánh'!$A$6:$A$505,0)),"Phản ánh",IF(ISNUMBER(MATCH($C773,'Kế hoạch'!$A$6:$A$305,0)),"Công việc","Mã chưa có")))</f>
      </c>
      <c r="J773" s="221">
        <f>IF($I773="Phản ánh",INDEX('Phản ánh'!$C$6:$C$505,MATCH($C773,'Phản ánh'!$A$6:$A$505,0)),IF($I773="Công việc",INDEX('Kế hoạch'!$C$6:$C$305,$O773),""))</f>
      </c>
      <c r="K773" s="221">
        <f>IF($I773="Phản ánh",INDEX('Phản ánh'!$K$6:$K$505,MATCH($C773,'Phản ánh'!$A$6:$A$505,0))&amp;"",IF($I773="Công việc",INDEX('Kế hoạch'!$N$6:$N$305,$O773)&amp;"",""))</f>
      </c>
      <c r="L773" s="220">
        <f>IF(OR($C773="",N($B773)=0),"",IF(AND($I773="Phản ánh",$E773="Đã xử lý"),INDEX('Phản ánh'!$U$6:$U$505,MATCH($C773,'Phản ánh'!$A$6:$A$505,0)),IF(AND($I773="Công việc",OR($E773="Hoàn thành",$E773="Hoàn thành kỳ")),IF(INDEX('Kế hoạch'!$B$6:$B$305,$O773)="Đột xuất",INDEX('Kế hoạch'!$AY$6:$AY$305,$O773),IF(N($P773)=0,"",IF(INT($B773)&lt;$P773,$P773,IF($Q773&gt;0,$P773+ROUND((INT($B773)-$P773)/$Q773,0)*$Q773,IF($R773&gt;0,EDATE($P773,ROUND((DATEDIF($P773,INT($B773),"m")+(INT($B773)-EDATE($P773,DATEDIF($P773,INT($B773),"m")))/(EDATE($P773,DATEDIF($P773,INT($B773),"m")+1)-EDATE($P773,DATEDIF($P773,INT($B773),"m"))))/$R773,0)*$R773),$P773))))),"")))</f>
      </c>
      <c r="M773" s="223">
        <f>IF(OR($C773="",N($L773)=0,N($B773)=0),"",IF(IF(MOD($L773,1)=0,INT($B773),$B773)&lt;=$L773,"Đúng hạn","Trễ hạn"))</f>
      </c>
      <c r="N773" s="225">
        <f>IF($C773="","",ROW())</f>
      </c>
      <c r="O773" s="225">
        <f>IF($I773="Công việc",MATCH($C773,'Kế hoạch'!$A$6:$A$305,0),"")</f>
      </c>
      <c r="P773" s="234">
        <f>IF($O773="","",INDEX('Kế hoạch'!$I$6:$I$305,$O773))</f>
      </c>
      <c r="Q773" s="225">
        <f>IF($O773="","",INDEX('Kế hoạch'!$AJ$6:$AJ$305,$O773))</f>
      </c>
      <c r="R773" s="225">
        <f>IF($O773="","",INDEX('Kế hoạch'!$AK$6:$AK$305,$O773))</f>
      </c>
    </row>
    <row r="774">
      <c r="A774" s="223">
        <f>IF($C774="","",COUNTIF($C$6:$C774,"?*"))</f>
      </c>
      <c r="B774" s="217"/>
      <c r="C774" s="216"/>
      <c r="D774" s="240"/>
      <c r="E774" s="218"/>
      <c r="F774" s="218"/>
      <c r="G774" s="218"/>
      <c r="H774" s="219"/>
      <c r="I774" s="223">
        <f>IF($C774="","",IF(ISNUMBER(MATCH($C774,'Phản ánh'!$A$6:$A$505,0)),"Phản ánh",IF(ISNUMBER(MATCH($C774,'Kế hoạch'!$A$6:$A$305,0)),"Công việc","Mã chưa có")))</f>
      </c>
      <c r="J774" s="221">
        <f>IF($I774="Phản ánh",INDEX('Phản ánh'!$C$6:$C$505,MATCH($C774,'Phản ánh'!$A$6:$A$505,0)),IF($I774="Công việc",INDEX('Kế hoạch'!$C$6:$C$305,$O774),""))</f>
      </c>
      <c r="K774" s="221">
        <f>IF($I774="Phản ánh",INDEX('Phản ánh'!$K$6:$K$505,MATCH($C774,'Phản ánh'!$A$6:$A$505,0))&amp;"",IF($I774="Công việc",INDEX('Kế hoạch'!$N$6:$N$305,$O774)&amp;"",""))</f>
      </c>
      <c r="L774" s="220">
        <f>IF(OR($C774="",N($B774)=0),"",IF(AND($I774="Phản ánh",$E774="Đã xử lý"),INDEX('Phản ánh'!$U$6:$U$505,MATCH($C774,'Phản ánh'!$A$6:$A$505,0)),IF(AND($I774="Công việc",OR($E774="Hoàn thành",$E774="Hoàn thành kỳ")),IF(INDEX('Kế hoạch'!$B$6:$B$305,$O774)="Đột xuất",INDEX('Kế hoạch'!$AY$6:$AY$305,$O774),IF(N($P774)=0,"",IF(INT($B774)&lt;$P774,$P774,IF($Q774&gt;0,$P774+ROUND((INT($B774)-$P774)/$Q774,0)*$Q774,IF($R774&gt;0,EDATE($P774,ROUND((DATEDIF($P774,INT($B774),"m")+(INT($B774)-EDATE($P774,DATEDIF($P774,INT($B774),"m")))/(EDATE($P774,DATEDIF($P774,INT($B774),"m")+1)-EDATE($P774,DATEDIF($P774,INT($B774),"m"))))/$R774,0)*$R774),$P774))))),"")))</f>
      </c>
      <c r="M774" s="223">
        <f>IF(OR($C774="",N($L774)=0,N($B774)=0),"",IF(IF(MOD($L774,1)=0,INT($B774),$B774)&lt;=$L774,"Đúng hạn","Trễ hạn"))</f>
      </c>
      <c r="N774" s="225">
        <f>IF($C774="","",ROW())</f>
      </c>
      <c r="O774" s="225">
        <f>IF($I774="Công việc",MATCH($C774,'Kế hoạch'!$A$6:$A$305,0),"")</f>
      </c>
      <c r="P774" s="234">
        <f>IF($O774="","",INDEX('Kế hoạch'!$I$6:$I$305,$O774))</f>
      </c>
      <c r="Q774" s="225">
        <f>IF($O774="","",INDEX('Kế hoạch'!$AJ$6:$AJ$305,$O774))</f>
      </c>
      <c r="R774" s="225">
        <f>IF($O774="","",INDEX('Kế hoạch'!$AK$6:$AK$305,$O774))</f>
      </c>
    </row>
    <row r="775">
      <c r="A775" s="223">
        <f>IF($C775="","",COUNTIF($C$6:$C775,"?*"))</f>
      </c>
      <c r="B775" s="217"/>
      <c r="C775" s="216"/>
      <c r="D775" s="240"/>
      <c r="E775" s="218"/>
      <c r="F775" s="218"/>
      <c r="G775" s="218"/>
      <c r="H775" s="219"/>
      <c r="I775" s="223">
        <f>IF($C775="","",IF(ISNUMBER(MATCH($C775,'Phản ánh'!$A$6:$A$505,0)),"Phản ánh",IF(ISNUMBER(MATCH($C775,'Kế hoạch'!$A$6:$A$305,0)),"Công việc","Mã chưa có")))</f>
      </c>
      <c r="J775" s="221">
        <f>IF($I775="Phản ánh",INDEX('Phản ánh'!$C$6:$C$505,MATCH($C775,'Phản ánh'!$A$6:$A$505,0)),IF($I775="Công việc",INDEX('Kế hoạch'!$C$6:$C$305,$O775),""))</f>
      </c>
      <c r="K775" s="221">
        <f>IF($I775="Phản ánh",INDEX('Phản ánh'!$K$6:$K$505,MATCH($C775,'Phản ánh'!$A$6:$A$505,0))&amp;"",IF($I775="Công việc",INDEX('Kế hoạch'!$N$6:$N$305,$O775)&amp;"",""))</f>
      </c>
      <c r="L775" s="220">
        <f>IF(OR($C775="",N($B775)=0),"",IF(AND($I775="Phản ánh",$E775="Đã xử lý"),INDEX('Phản ánh'!$U$6:$U$505,MATCH($C775,'Phản ánh'!$A$6:$A$505,0)),IF(AND($I775="Công việc",OR($E775="Hoàn thành",$E775="Hoàn thành kỳ")),IF(INDEX('Kế hoạch'!$B$6:$B$305,$O775)="Đột xuất",INDEX('Kế hoạch'!$AY$6:$AY$305,$O775),IF(N($P775)=0,"",IF(INT($B775)&lt;$P775,$P775,IF($Q775&gt;0,$P775+ROUND((INT($B775)-$P775)/$Q775,0)*$Q775,IF($R775&gt;0,EDATE($P775,ROUND((DATEDIF($P775,INT($B775),"m")+(INT($B775)-EDATE($P775,DATEDIF($P775,INT($B775),"m")))/(EDATE($P775,DATEDIF($P775,INT($B775),"m")+1)-EDATE($P775,DATEDIF($P775,INT($B775),"m"))))/$R775,0)*$R775),$P775))))),"")))</f>
      </c>
      <c r="M775" s="223">
        <f>IF(OR($C775="",N($L775)=0,N($B775)=0),"",IF(IF(MOD($L775,1)=0,INT($B775),$B775)&lt;=$L775,"Đúng hạn","Trễ hạn"))</f>
      </c>
      <c r="N775" s="225">
        <f>IF($C775="","",ROW())</f>
      </c>
      <c r="O775" s="225">
        <f>IF($I775="Công việc",MATCH($C775,'Kế hoạch'!$A$6:$A$305,0),"")</f>
      </c>
      <c r="P775" s="234">
        <f>IF($O775="","",INDEX('Kế hoạch'!$I$6:$I$305,$O775))</f>
      </c>
      <c r="Q775" s="225">
        <f>IF($O775="","",INDEX('Kế hoạch'!$AJ$6:$AJ$305,$O775))</f>
      </c>
      <c r="R775" s="225">
        <f>IF($O775="","",INDEX('Kế hoạch'!$AK$6:$AK$305,$O775))</f>
      </c>
    </row>
    <row r="776">
      <c r="A776" s="223">
        <f>IF($C776="","",COUNTIF($C$6:$C776,"?*"))</f>
      </c>
      <c r="B776" s="217"/>
      <c r="C776" s="216"/>
      <c r="D776" s="240"/>
      <c r="E776" s="218"/>
      <c r="F776" s="218"/>
      <c r="G776" s="218"/>
      <c r="H776" s="219"/>
      <c r="I776" s="223">
        <f>IF($C776="","",IF(ISNUMBER(MATCH($C776,'Phản ánh'!$A$6:$A$505,0)),"Phản ánh",IF(ISNUMBER(MATCH($C776,'Kế hoạch'!$A$6:$A$305,0)),"Công việc","Mã chưa có")))</f>
      </c>
      <c r="J776" s="221">
        <f>IF($I776="Phản ánh",INDEX('Phản ánh'!$C$6:$C$505,MATCH($C776,'Phản ánh'!$A$6:$A$505,0)),IF($I776="Công việc",INDEX('Kế hoạch'!$C$6:$C$305,$O776),""))</f>
      </c>
      <c r="K776" s="221">
        <f>IF($I776="Phản ánh",INDEX('Phản ánh'!$K$6:$K$505,MATCH($C776,'Phản ánh'!$A$6:$A$505,0))&amp;"",IF($I776="Công việc",INDEX('Kế hoạch'!$N$6:$N$305,$O776)&amp;"",""))</f>
      </c>
      <c r="L776" s="220">
        <f>IF(OR($C776="",N($B776)=0),"",IF(AND($I776="Phản ánh",$E776="Đã xử lý"),INDEX('Phản ánh'!$U$6:$U$505,MATCH($C776,'Phản ánh'!$A$6:$A$505,0)),IF(AND($I776="Công việc",OR($E776="Hoàn thành",$E776="Hoàn thành kỳ")),IF(INDEX('Kế hoạch'!$B$6:$B$305,$O776)="Đột xuất",INDEX('Kế hoạch'!$AY$6:$AY$305,$O776),IF(N($P776)=0,"",IF(INT($B776)&lt;$P776,$P776,IF($Q776&gt;0,$P776+ROUND((INT($B776)-$P776)/$Q776,0)*$Q776,IF($R776&gt;0,EDATE($P776,ROUND((DATEDIF($P776,INT($B776),"m")+(INT($B776)-EDATE($P776,DATEDIF($P776,INT($B776),"m")))/(EDATE($P776,DATEDIF($P776,INT($B776),"m")+1)-EDATE($P776,DATEDIF($P776,INT($B776),"m"))))/$R776,0)*$R776),$P776))))),"")))</f>
      </c>
      <c r="M776" s="223">
        <f>IF(OR($C776="",N($L776)=0,N($B776)=0),"",IF(IF(MOD($L776,1)=0,INT($B776),$B776)&lt;=$L776,"Đúng hạn","Trễ hạn"))</f>
      </c>
      <c r="N776" s="225">
        <f>IF($C776="","",ROW())</f>
      </c>
      <c r="O776" s="225">
        <f>IF($I776="Công việc",MATCH($C776,'Kế hoạch'!$A$6:$A$305,0),"")</f>
      </c>
      <c r="P776" s="234">
        <f>IF($O776="","",INDEX('Kế hoạch'!$I$6:$I$305,$O776))</f>
      </c>
      <c r="Q776" s="225">
        <f>IF($O776="","",INDEX('Kế hoạch'!$AJ$6:$AJ$305,$O776))</f>
      </c>
      <c r="R776" s="225">
        <f>IF($O776="","",INDEX('Kế hoạch'!$AK$6:$AK$305,$O776))</f>
      </c>
    </row>
    <row r="777">
      <c r="A777" s="223">
        <f>IF($C777="","",COUNTIF($C$6:$C777,"?*"))</f>
      </c>
      <c r="B777" s="217"/>
      <c r="C777" s="216"/>
      <c r="D777" s="240"/>
      <c r="E777" s="218"/>
      <c r="F777" s="218"/>
      <c r="G777" s="218"/>
      <c r="H777" s="219"/>
      <c r="I777" s="223">
        <f>IF($C777="","",IF(ISNUMBER(MATCH($C777,'Phản ánh'!$A$6:$A$505,0)),"Phản ánh",IF(ISNUMBER(MATCH($C777,'Kế hoạch'!$A$6:$A$305,0)),"Công việc","Mã chưa có")))</f>
      </c>
      <c r="J777" s="221">
        <f>IF($I777="Phản ánh",INDEX('Phản ánh'!$C$6:$C$505,MATCH($C777,'Phản ánh'!$A$6:$A$505,0)),IF($I777="Công việc",INDEX('Kế hoạch'!$C$6:$C$305,$O777),""))</f>
      </c>
      <c r="K777" s="221">
        <f>IF($I777="Phản ánh",INDEX('Phản ánh'!$K$6:$K$505,MATCH($C777,'Phản ánh'!$A$6:$A$505,0))&amp;"",IF($I777="Công việc",INDEX('Kế hoạch'!$N$6:$N$305,$O777)&amp;"",""))</f>
      </c>
      <c r="L777" s="220">
        <f>IF(OR($C777="",N($B777)=0),"",IF(AND($I777="Phản ánh",$E777="Đã xử lý"),INDEX('Phản ánh'!$U$6:$U$505,MATCH($C777,'Phản ánh'!$A$6:$A$505,0)),IF(AND($I777="Công việc",OR($E777="Hoàn thành",$E777="Hoàn thành kỳ")),IF(INDEX('Kế hoạch'!$B$6:$B$305,$O777)="Đột xuất",INDEX('Kế hoạch'!$AY$6:$AY$305,$O777),IF(N($P777)=0,"",IF(INT($B777)&lt;$P777,$P777,IF($Q777&gt;0,$P777+ROUND((INT($B777)-$P777)/$Q777,0)*$Q777,IF($R777&gt;0,EDATE($P777,ROUND((DATEDIF($P777,INT($B777),"m")+(INT($B777)-EDATE($P777,DATEDIF($P777,INT($B777),"m")))/(EDATE($P777,DATEDIF($P777,INT($B777),"m")+1)-EDATE($P777,DATEDIF($P777,INT($B777),"m"))))/$R777,0)*$R777),$P777))))),"")))</f>
      </c>
      <c r="M777" s="223">
        <f>IF(OR($C777="",N($L777)=0,N($B777)=0),"",IF(IF(MOD($L777,1)=0,INT($B777),$B777)&lt;=$L777,"Đúng hạn","Trễ hạn"))</f>
      </c>
      <c r="N777" s="225">
        <f>IF($C777="","",ROW())</f>
      </c>
      <c r="O777" s="225">
        <f>IF($I777="Công việc",MATCH($C777,'Kế hoạch'!$A$6:$A$305,0),"")</f>
      </c>
      <c r="P777" s="234">
        <f>IF($O777="","",INDEX('Kế hoạch'!$I$6:$I$305,$O777))</f>
      </c>
      <c r="Q777" s="225">
        <f>IF($O777="","",INDEX('Kế hoạch'!$AJ$6:$AJ$305,$O777))</f>
      </c>
      <c r="R777" s="225">
        <f>IF($O777="","",INDEX('Kế hoạch'!$AK$6:$AK$305,$O777))</f>
      </c>
    </row>
    <row r="778">
      <c r="A778" s="223">
        <f>IF($C778="","",COUNTIF($C$6:$C778,"?*"))</f>
      </c>
      <c r="B778" s="217"/>
      <c r="C778" s="216"/>
      <c r="D778" s="240"/>
      <c r="E778" s="218"/>
      <c r="F778" s="218"/>
      <c r="G778" s="218"/>
      <c r="H778" s="219"/>
      <c r="I778" s="223">
        <f>IF($C778="","",IF(ISNUMBER(MATCH($C778,'Phản ánh'!$A$6:$A$505,0)),"Phản ánh",IF(ISNUMBER(MATCH($C778,'Kế hoạch'!$A$6:$A$305,0)),"Công việc","Mã chưa có")))</f>
      </c>
      <c r="J778" s="221">
        <f>IF($I778="Phản ánh",INDEX('Phản ánh'!$C$6:$C$505,MATCH($C778,'Phản ánh'!$A$6:$A$505,0)),IF($I778="Công việc",INDEX('Kế hoạch'!$C$6:$C$305,$O778),""))</f>
      </c>
      <c r="K778" s="221">
        <f>IF($I778="Phản ánh",INDEX('Phản ánh'!$K$6:$K$505,MATCH($C778,'Phản ánh'!$A$6:$A$505,0))&amp;"",IF($I778="Công việc",INDEX('Kế hoạch'!$N$6:$N$305,$O778)&amp;"",""))</f>
      </c>
      <c r="L778" s="220">
        <f>IF(OR($C778="",N($B778)=0),"",IF(AND($I778="Phản ánh",$E778="Đã xử lý"),INDEX('Phản ánh'!$U$6:$U$505,MATCH($C778,'Phản ánh'!$A$6:$A$505,0)),IF(AND($I778="Công việc",OR($E778="Hoàn thành",$E778="Hoàn thành kỳ")),IF(INDEX('Kế hoạch'!$B$6:$B$305,$O778)="Đột xuất",INDEX('Kế hoạch'!$AY$6:$AY$305,$O778),IF(N($P778)=0,"",IF(INT($B778)&lt;$P778,$P778,IF($Q778&gt;0,$P778+ROUND((INT($B778)-$P778)/$Q778,0)*$Q778,IF($R778&gt;0,EDATE($P778,ROUND((DATEDIF($P778,INT($B778),"m")+(INT($B778)-EDATE($P778,DATEDIF($P778,INT($B778),"m")))/(EDATE($P778,DATEDIF($P778,INT($B778),"m")+1)-EDATE($P778,DATEDIF($P778,INT($B778),"m"))))/$R778,0)*$R778),$P778))))),"")))</f>
      </c>
      <c r="M778" s="223">
        <f>IF(OR($C778="",N($L778)=0,N($B778)=0),"",IF(IF(MOD($L778,1)=0,INT($B778),$B778)&lt;=$L778,"Đúng hạn","Trễ hạn"))</f>
      </c>
      <c r="N778" s="225">
        <f>IF($C778="","",ROW())</f>
      </c>
      <c r="O778" s="225">
        <f>IF($I778="Công việc",MATCH($C778,'Kế hoạch'!$A$6:$A$305,0),"")</f>
      </c>
      <c r="P778" s="234">
        <f>IF($O778="","",INDEX('Kế hoạch'!$I$6:$I$305,$O778))</f>
      </c>
      <c r="Q778" s="225">
        <f>IF($O778="","",INDEX('Kế hoạch'!$AJ$6:$AJ$305,$O778))</f>
      </c>
      <c r="R778" s="225">
        <f>IF($O778="","",INDEX('Kế hoạch'!$AK$6:$AK$305,$O778))</f>
      </c>
    </row>
    <row r="779">
      <c r="A779" s="223">
        <f>IF($C779="","",COUNTIF($C$6:$C779,"?*"))</f>
      </c>
      <c r="B779" s="217"/>
      <c r="C779" s="216"/>
      <c r="D779" s="240"/>
      <c r="E779" s="218"/>
      <c r="F779" s="218"/>
      <c r="G779" s="218"/>
      <c r="H779" s="219"/>
      <c r="I779" s="223">
        <f>IF($C779="","",IF(ISNUMBER(MATCH($C779,'Phản ánh'!$A$6:$A$505,0)),"Phản ánh",IF(ISNUMBER(MATCH($C779,'Kế hoạch'!$A$6:$A$305,0)),"Công việc","Mã chưa có")))</f>
      </c>
      <c r="J779" s="221">
        <f>IF($I779="Phản ánh",INDEX('Phản ánh'!$C$6:$C$505,MATCH($C779,'Phản ánh'!$A$6:$A$505,0)),IF($I779="Công việc",INDEX('Kế hoạch'!$C$6:$C$305,$O779),""))</f>
      </c>
      <c r="K779" s="221">
        <f>IF($I779="Phản ánh",INDEX('Phản ánh'!$K$6:$K$505,MATCH($C779,'Phản ánh'!$A$6:$A$505,0))&amp;"",IF($I779="Công việc",INDEX('Kế hoạch'!$N$6:$N$305,$O779)&amp;"",""))</f>
      </c>
      <c r="L779" s="220">
        <f>IF(OR($C779="",N($B779)=0),"",IF(AND($I779="Phản ánh",$E779="Đã xử lý"),INDEX('Phản ánh'!$U$6:$U$505,MATCH($C779,'Phản ánh'!$A$6:$A$505,0)),IF(AND($I779="Công việc",OR($E779="Hoàn thành",$E779="Hoàn thành kỳ")),IF(INDEX('Kế hoạch'!$B$6:$B$305,$O779)="Đột xuất",INDEX('Kế hoạch'!$AY$6:$AY$305,$O779),IF(N($P779)=0,"",IF(INT($B779)&lt;$P779,$P779,IF($Q779&gt;0,$P779+ROUND((INT($B779)-$P779)/$Q779,0)*$Q779,IF($R779&gt;0,EDATE($P779,ROUND((DATEDIF($P779,INT($B779),"m")+(INT($B779)-EDATE($P779,DATEDIF($P779,INT($B779),"m")))/(EDATE($P779,DATEDIF($P779,INT($B779),"m")+1)-EDATE($P779,DATEDIF($P779,INT($B779),"m"))))/$R779,0)*$R779),$P779))))),"")))</f>
      </c>
      <c r="M779" s="223">
        <f>IF(OR($C779="",N($L779)=0,N($B779)=0),"",IF(IF(MOD($L779,1)=0,INT($B779),$B779)&lt;=$L779,"Đúng hạn","Trễ hạn"))</f>
      </c>
      <c r="N779" s="225">
        <f>IF($C779="","",ROW())</f>
      </c>
      <c r="O779" s="225">
        <f>IF($I779="Công việc",MATCH($C779,'Kế hoạch'!$A$6:$A$305,0),"")</f>
      </c>
      <c r="P779" s="234">
        <f>IF($O779="","",INDEX('Kế hoạch'!$I$6:$I$305,$O779))</f>
      </c>
      <c r="Q779" s="225">
        <f>IF($O779="","",INDEX('Kế hoạch'!$AJ$6:$AJ$305,$O779))</f>
      </c>
      <c r="R779" s="225">
        <f>IF($O779="","",INDEX('Kế hoạch'!$AK$6:$AK$305,$O779))</f>
      </c>
    </row>
    <row r="780">
      <c r="A780" s="223">
        <f>IF($C780="","",COUNTIF($C$6:$C780,"?*"))</f>
      </c>
      <c r="B780" s="217"/>
      <c r="C780" s="216"/>
      <c r="D780" s="240"/>
      <c r="E780" s="218"/>
      <c r="F780" s="218"/>
      <c r="G780" s="218"/>
      <c r="H780" s="219"/>
      <c r="I780" s="223">
        <f>IF($C780="","",IF(ISNUMBER(MATCH($C780,'Phản ánh'!$A$6:$A$505,0)),"Phản ánh",IF(ISNUMBER(MATCH($C780,'Kế hoạch'!$A$6:$A$305,0)),"Công việc","Mã chưa có")))</f>
      </c>
      <c r="J780" s="221">
        <f>IF($I780="Phản ánh",INDEX('Phản ánh'!$C$6:$C$505,MATCH($C780,'Phản ánh'!$A$6:$A$505,0)),IF($I780="Công việc",INDEX('Kế hoạch'!$C$6:$C$305,$O780),""))</f>
      </c>
      <c r="K780" s="221">
        <f>IF($I780="Phản ánh",INDEX('Phản ánh'!$K$6:$K$505,MATCH($C780,'Phản ánh'!$A$6:$A$505,0))&amp;"",IF($I780="Công việc",INDEX('Kế hoạch'!$N$6:$N$305,$O780)&amp;"",""))</f>
      </c>
      <c r="L780" s="220">
        <f>IF(OR($C780="",N($B780)=0),"",IF(AND($I780="Phản ánh",$E780="Đã xử lý"),INDEX('Phản ánh'!$U$6:$U$505,MATCH($C780,'Phản ánh'!$A$6:$A$505,0)),IF(AND($I780="Công việc",OR($E780="Hoàn thành",$E780="Hoàn thành kỳ")),IF(INDEX('Kế hoạch'!$B$6:$B$305,$O780)="Đột xuất",INDEX('Kế hoạch'!$AY$6:$AY$305,$O780),IF(N($P780)=0,"",IF(INT($B780)&lt;$P780,$P780,IF($Q780&gt;0,$P780+ROUND((INT($B780)-$P780)/$Q780,0)*$Q780,IF($R780&gt;0,EDATE($P780,ROUND((DATEDIF($P780,INT($B780),"m")+(INT($B780)-EDATE($P780,DATEDIF($P780,INT($B780),"m")))/(EDATE($P780,DATEDIF($P780,INT($B780),"m")+1)-EDATE($P780,DATEDIF($P780,INT($B780),"m"))))/$R780,0)*$R780),$P780))))),"")))</f>
      </c>
      <c r="M780" s="223">
        <f>IF(OR($C780="",N($L780)=0,N($B780)=0),"",IF(IF(MOD($L780,1)=0,INT($B780),$B780)&lt;=$L780,"Đúng hạn","Trễ hạn"))</f>
      </c>
      <c r="N780" s="225">
        <f>IF($C780="","",ROW())</f>
      </c>
      <c r="O780" s="225">
        <f>IF($I780="Công việc",MATCH($C780,'Kế hoạch'!$A$6:$A$305,0),"")</f>
      </c>
      <c r="P780" s="234">
        <f>IF($O780="","",INDEX('Kế hoạch'!$I$6:$I$305,$O780))</f>
      </c>
      <c r="Q780" s="225">
        <f>IF($O780="","",INDEX('Kế hoạch'!$AJ$6:$AJ$305,$O780))</f>
      </c>
      <c r="R780" s="225">
        <f>IF($O780="","",INDEX('Kế hoạch'!$AK$6:$AK$305,$O780))</f>
      </c>
    </row>
    <row r="781">
      <c r="A781" s="223">
        <f>IF($C781="","",COUNTIF($C$6:$C781,"?*"))</f>
      </c>
      <c r="B781" s="217"/>
      <c r="C781" s="216"/>
      <c r="D781" s="240"/>
      <c r="E781" s="218"/>
      <c r="F781" s="218"/>
      <c r="G781" s="218"/>
      <c r="H781" s="219"/>
      <c r="I781" s="223">
        <f>IF($C781="","",IF(ISNUMBER(MATCH($C781,'Phản ánh'!$A$6:$A$505,0)),"Phản ánh",IF(ISNUMBER(MATCH($C781,'Kế hoạch'!$A$6:$A$305,0)),"Công việc","Mã chưa có")))</f>
      </c>
      <c r="J781" s="221">
        <f>IF($I781="Phản ánh",INDEX('Phản ánh'!$C$6:$C$505,MATCH($C781,'Phản ánh'!$A$6:$A$505,0)),IF($I781="Công việc",INDEX('Kế hoạch'!$C$6:$C$305,$O781),""))</f>
      </c>
      <c r="K781" s="221">
        <f>IF($I781="Phản ánh",INDEX('Phản ánh'!$K$6:$K$505,MATCH($C781,'Phản ánh'!$A$6:$A$505,0))&amp;"",IF($I781="Công việc",INDEX('Kế hoạch'!$N$6:$N$305,$O781)&amp;"",""))</f>
      </c>
      <c r="L781" s="220">
        <f>IF(OR($C781="",N($B781)=0),"",IF(AND($I781="Phản ánh",$E781="Đã xử lý"),INDEX('Phản ánh'!$U$6:$U$505,MATCH($C781,'Phản ánh'!$A$6:$A$505,0)),IF(AND($I781="Công việc",OR($E781="Hoàn thành",$E781="Hoàn thành kỳ")),IF(INDEX('Kế hoạch'!$B$6:$B$305,$O781)="Đột xuất",INDEX('Kế hoạch'!$AY$6:$AY$305,$O781),IF(N($P781)=0,"",IF(INT($B781)&lt;$P781,$P781,IF($Q781&gt;0,$P781+ROUND((INT($B781)-$P781)/$Q781,0)*$Q781,IF($R781&gt;0,EDATE($P781,ROUND((DATEDIF($P781,INT($B781),"m")+(INT($B781)-EDATE($P781,DATEDIF($P781,INT($B781),"m")))/(EDATE($P781,DATEDIF($P781,INT($B781),"m")+1)-EDATE($P781,DATEDIF($P781,INT($B781),"m"))))/$R781,0)*$R781),$P781))))),"")))</f>
      </c>
      <c r="M781" s="223">
        <f>IF(OR($C781="",N($L781)=0,N($B781)=0),"",IF(IF(MOD($L781,1)=0,INT($B781),$B781)&lt;=$L781,"Đúng hạn","Trễ hạn"))</f>
      </c>
      <c r="N781" s="225">
        <f>IF($C781="","",ROW())</f>
      </c>
      <c r="O781" s="225">
        <f>IF($I781="Công việc",MATCH($C781,'Kế hoạch'!$A$6:$A$305,0),"")</f>
      </c>
      <c r="P781" s="234">
        <f>IF($O781="","",INDEX('Kế hoạch'!$I$6:$I$305,$O781))</f>
      </c>
      <c r="Q781" s="225">
        <f>IF($O781="","",INDEX('Kế hoạch'!$AJ$6:$AJ$305,$O781))</f>
      </c>
      <c r="R781" s="225">
        <f>IF($O781="","",INDEX('Kế hoạch'!$AK$6:$AK$305,$O781))</f>
      </c>
    </row>
    <row r="782">
      <c r="A782" s="223">
        <f>IF($C782="","",COUNTIF($C$6:$C782,"?*"))</f>
      </c>
      <c r="B782" s="217"/>
      <c r="C782" s="216"/>
      <c r="D782" s="240"/>
      <c r="E782" s="218"/>
      <c r="F782" s="218"/>
      <c r="G782" s="218"/>
      <c r="H782" s="219"/>
      <c r="I782" s="223">
        <f>IF($C782="","",IF(ISNUMBER(MATCH($C782,'Phản ánh'!$A$6:$A$505,0)),"Phản ánh",IF(ISNUMBER(MATCH($C782,'Kế hoạch'!$A$6:$A$305,0)),"Công việc","Mã chưa có")))</f>
      </c>
      <c r="J782" s="221">
        <f>IF($I782="Phản ánh",INDEX('Phản ánh'!$C$6:$C$505,MATCH($C782,'Phản ánh'!$A$6:$A$505,0)),IF($I782="Công việc",INDEX('Kế hoạch'!$C$6:$C$305,$O782),""))</f>
      </c>
      <c r="K782" s="221">
        <f>IF($I782="Phản ánh",INDEX('Phản ánh'!$K$6:$K$505,MATCH($C782,'Phản ánh'!$A$6:$A$505,0))&amp;"",IF($I782="Công việc",INDEX('Kế hoạch'!$N$6:$N$305,$O782)&amp;"",""))</f>
      </c>
      <c r="L782" s="220">
        <f>IF(OR($C782="",N($B782)=0),"",IF(AND($I782="Phản ánh",$E782="Đã xử lý"),INDEX('Phản ánh'!$U$6:$U$505,MATCH($C782,'Phản ánh'!$A$6:$A$505,0)),IF(AND($I782="Công việc",OR($E782="Hoàn thành",$E782="Hoàn thành kỳ")),IF(INDEX('Kế hoạch'!$B$6:$B$305,$O782)="Đột xuất",INDEX('Kế hoạch'!$AY$6:$AY$305,$O782),IF(N($P782)=0,"",IF(INT($B782)&lt;$P782,$P782,IF($Q782&gt;0,$P782+ROUND((INT($B782)-$P782)/$Q782,0)*$Q782,IF($R782&gt;0,EDATE($P782,ROUND((DATEDIF($P782,INT($B782),"m")+(INT($B782)-EDATE($P782,DATEDIF($P782,INT($B782),"m")))/(EDATE($P782,DATEDIF($P782,INT($B782),"m")+1)-EDATE($P782,DATEDIF($P782,INT($B782),"m"))))/$R782,0)*$R782),$P782))))),"")))</f>
      </c>
      <c r="M782" s="223">
        <f>IF(OR($C782="",N($L782)=0,N($B782)=0),"",IF(IF(MOD($L782,1)=0,INT($B782),$B782)&lt;=$L782,"Đúng hạn","Trễ hạn"))</f>
      </c>
      <c r="N782" s="225">
        <f>IF($C782="","",ROW())</f>
      </c>
      <c r="O782" s="225">
        <f>IF($I782="Công việc",MATCH($C782,'Kế hoạch'!$A$6:$A$305,0),"")</f>
      </c>
      <c r="P782" s="234">
        <f>IF($O782="","",INDEX('Kế hoạch'!$I$6:$I$305,$O782))</f>
      </c>
      <c r="Q782" s="225">
        <f>IF($O782="","",INDEX('Kế hoạch'!$AJ$6:$AJ$305,$O782))</f>
      </c>
      <c r="R782" s="225">
        <f>IF($O782="","",INDEX('Kế hoạch'!$AK$6:$AK$305,$O782))</f>
      </c>
    </row>
    <row r="783">
      <c r="A783" s="223">
        <f>IF($C783="","",COUNTIF($C$6:$C783,"?*"))</f>
      </c>
      <c r="B783" s="217"/>
      <c r="C783" s="216"/>
      <c r="D783" s="240"/>
      <c r="E783" s="218"/>
      <c r="F783" s="218"/>
      <c r="G783" s="218"/>
      <c r="H783" s="219"/>
      <c r="I783" s="223">
        <f>IF($C783="","",IF(ISNUMBER(MATCH($C783,'Phản ánh'!$A$6:$A$505,0)),"Phản ánh",IF(ISNUMBER(MATCH($C783,'Kế hoạch'!$A$6:$A$305,0)),"Công việc","Mã chưa có")))</f>
      </c>
      <c r="J783" s="221">
        <f>IF($I783="Phản ánh",INDEX('Phản ánh'!$C$6:$C$505,MATCH($C783,'Phản ánh'!$A$6:$A$505,0)),IF($I783="Công việc",INDEX('Kế hoạch'!$C$6:$C$305,$O783),""))</f>
      </c>
      <c r="K783" s="221">
        <f>IF($I783="Phản ánh",INDEX('Phản ánh'!$K$6:$K$505,MATCH($C783,'Phản ánh'!$A$6:$A$505,0))&amp;"",IF($I783="Công việc",INDEX('Kế hoạch'!$N$6:$N$305,$O783)&amp;"",""))</f>
      </c>
      <c r="L783" s="220">
        <f>IF(OR($C783="",N($B783)=0),"",IF(AND($I783="Phản ánh",$E783="Đã xử lý"),INDEX('Phản ánh'!$U$6:$U$505,MATCH($C783,'Phản ánh'!$A$6:$A$505,0)),IF(AND($I783="Công việc",OR($E783="Hoàn thành",$E783="Hoàn thành kỳ")),IF(INDEX('Kế hoạch'!$B$6:$B$305,$O783)="Đột xuất",INDEX('Kế hoạch'!$AY$6:$AY$305,$O783),IF(N($P783)=0,"",IF(INT($B783)&lt;$P783,$P783,IF($Q783&gt;0,$P783+ROUND((INT($B783)-$P783)/$Q783,0)*$Q783,IF($R783&gt;0,EDATE($P783,ROUND((DATEDIF($P783,INT($B783),"m")+(INT($B783)-EDATE($P783,DATEDIF($P783,INT($B783),"m")))/(EDATE($P783,DATEDIF($P783,INT($B783),"m")+1)-EDATE($P783,DATEDIF($P783,INT($B783),"m"))))/$R783,0)*$R783),$P783))))),"")))</f>
      </c>
      <c r="M783" s="223">
        <f>IF(OR($C783="",N($L783)=0,N($B783)=0),"",IF(IF(MOD($L783,1)=0,INT($B783),$B783)&lt;=$L783,"Đúng hạn","Trễ hạn"))</f>
      </c>
      <c r="N783" s="225">
        <f>IF($C783="","",ROW())</f>
      </c>
      <c r="O783" s="225">
        <f>IF($I783="Công việc",MATCH($C783,'Kế hoạch'!$A$6:$A$305,0),"")</f>
      </c>
      <c r="P783" s="234">
        <f>IF($O783="","",INDEX('Kế hoạch'!$I$6:$I$305,$O783))</f>
      </c>
      <c r="Q783" s="225">
        <f>IF($O783="","",INDEX('Kế hoạch'!$AJ$6:$AJ$305,$O783))</f>
      </c>
      <c r="R783" s="225">
        <f>IF($O783="","",INDEX('Kế hoạch'!$AK$6:$AK$305,$O783))</f>
      </c>
    </row>
    <row r="784">
      <c r="A784" s="223">
        <f>IF($C784="","",COUNTIF($C$6:$C784,"?*"))</f>
      </c>
      <c r="B784" s="217"/>
      <c r="C784" s="216"/>
      <c r="D784" s="240"/>
      <c r="E784" s="218"/>
      <c r="F784" s="218"/>
      <c r="G784" s="218"/>
      <c r="H784" s="219"/>
      <c r="I784" s="223">
        <f>IF($C784="","",IF(ISNUMBER(MATCH($C784,'Phản ánh'!$A$6:$A$505,0)),"Phản ánh",IF(ISNUMBER(MATCH($C784,'Kế hoạch'!$A$6:$A$305,0)),"Công việc","Mã chưa có")))</f>
      </c>
      <c r="J784" s="221">
        <f>IF($I784="Phản ánh",INDEX('Phản ánh'!$C$6:$C$505,MATCH($C784,'Phản ánh'!$A$6:$A$505,0)),IF($I784="Công việc",INDEX('Kế hoạch'!$C$6:$C$305,$O784),""))</f>
      </c>
      <c r="K784" s="221">
        <f>IF($I784="Phản ánh",INDEX('Phản ánh'!$K$6:$K$505,MATCH($C784,'Phản ánh'!$A$6:$A$505,0))&amp;"",IF($I784="Công việc",INDEX('Kế hoạch'!$N$6:$N$305,$O784)&amp;"",""))</f>
      </c>
      <c r="L784" s="220">
        <f>IF(OR($C784="",N($B784)=0),"",IF(AND($I784="Phản ánh",$E784="Đã xử lý"),INDEX('Phản ánh'!$U$6:$U$505,MATCH($C784,'Phản ánh'!$A$6:$A$505,0)),IF(AND($I784="Công việc",OR($E784="Hoàn thành",$E784="Hoàn thành kỳ")),IF(INDEX('Kế hoạch'!$B$6:$B$305,$O784)="Đột xuất",INDEX('Kế hoạch'!$AY$6:$AY$305,$O784),IF(N($P784)=0,"",IF(INT($B784)&lt;$P784,$P784,IF($Q784&gt;0,$P784+ROUND((INT($B784)-$P784)/$Q784,0)*$Q784,IF($R784&gt;0,EDATE($P784,ROUND((DATEDIF($P784,INT($B784),"m")+(INT($B784)-EDATE($P784,DATEDIF($P784,INT($B784),"m")))/(EDATE($P784,DATEDIF($P784,INT($B784),"m")+1)-EDATE($P784,DATEDIF($P784,INT($B784),"m"))))/$R784,0)*$R784),$P784))))),"")))</f>
      </c>
      <c r="M784" s="223">
        <f>IF(OR($C784="",N($L784)=0,N($B784)=0),"",IF(IF(MOD($L784,1)=0,INT($B784),$B784)&lt;=$L784,"Đúng hạn","Trễ hạn"))</f>
      </c>
      <c r="N784" s="225">
        <f>IF($C784="","",ROW())</f>
      </c>
      <c r="O784" s="225">
        <f>IF($I784="Công việc",MATCH($C784,'Kế hoạch'!$A$6:$A$305,0),"")</f>
      </c>
      <c r="P784" s="234">
        <f>IF($O784="","",INDEX('Kế hoạch'!$I$6:$I$305,$O784))</f>
      </c>
      <c r="Q784" s="225">
        <f>IF($O784="","",INDEX('Kế hoạch'!$AJ$6:$AJ$305,$O784))</f>
      </c>
      <c r="R784" s="225">
        <f>IF($O784="","",INDEX('Kế hoạch'!$AK$6:$AK$305,$O784))</f>
      </c>
    </row>
    <row r="785">
      <c r="A785" s="223">
        <f>IF($C785="","",COUNTIF($C$6:$C785,"?*"))</f>
      </c>
      <c r="B785" s="217"/>
      <c r="C785" s="216"/>
      <c r="D785" s="240"/>
      <c r="E785" s="218"/>
      <c r="F785" s="218"/>
      <c r="G785" s="218"/>
      <c r="H785" s="219"/>
      <c r="I785" s="223">
        <f>IF($C785="","",IF(ISNUMBER(MATCH($C785,'Phản ánh'!$A$6:$A$505,0)),"Phản ánh",IF(ISNUMBER(MATCH($C785,'Kế hoạch'!$A$6:$A$305,0)),"Công việc","Mã chưa có")))</f>
      </c>
      <c r="J785" s="221">
        <f>IF($I785="Phản ánh",INDEX('Phản ánh'!$C$6:$C$505,MATCH($C785,'Phản ánh'!$A$6:$A$505,0)),IF($I785="Công việc",INDEX('Kế hoạch'!$C$6:$C$305,$O785),""))</f>
      </c>
      <c r="K785" s="221">
        <f>IF($I785="Phản ánh",INDEX('Phản ánh'!$K$6:$K$505,MATCH($C785,'Phản ánh'!$A$6:$A$505,0))&amp;"",IF($I785="Công việc",INDEX('Kế hoạch'!$N$6:$N$305,$O785)&amp;"",""))</f>
      </c>
      <c r="L785" s="220">
        <f>IF(OR($C785="",N($B785)=0),"",IF(AND($I785="Phản ánh",$E785="Đã xử lý"),INDEX('Phản ánh'!$U$6:$U$505,MATCH($C785,'Phản ánh'!$A$6:$A$505,0)),IF(AND($I785="Công việc",OR($E785="Hoàn thành",$E785="Hoàn thành kỳ")),IF(INDEX('Kế hoạch'!$B$6:$B$305,$O785)="Đột xuất",INDEX('Kế hoạch'!$AY$6:$AY$305,$O785),IF(N($P785)=0,"",IF(INT($B785)&lt;$P785,$P785,IF($Q785&gt;0,$P785+ROUND((INT($B785)-$P785)/$Q785,0)*$Q785,IF($R785&gt;0,EDATE($P785,ROUND((DATEDIF($P785,INT($B785),"m")+(INT($B785)-EDATE($P785,DATEDIF($P785,INT($B785),"m")))/(EDATE($P785,DATEDIF($P785,INT($B785),"m")+1)-EDATE($P785,DATEDIF($P785,INT($B785),"m"))))/$R785,0)*$R785),$P785))))),"")))</f>
      </c>
      <c r="M785" s="223">
        <f>IF(OR($C785="",N($L785)=0,N($B785)=0),"",IF(IF(MOD($L785,1)=0,INT($B785),$B785)&lt;=$L785,"Đúng hạn","Trễ hạn"))</f>
      </c>
      <c r="N785" s="225">
        <f>IF($C785="","",ROW())</f>
      </c>
      <c r="O785" s="225">
        <f>IF($I785="Công việc",MATCH($C785,'Kế hoạch'!$A$6:$A$305,0),"")</f>
      </c>
      <c r="P785" s="234">
        <f>IF($O785="","",INDEX('Kế hoạch'!$I$6:$I$305,$O785))</f>
      </c>
      <c r="Q785" s="225">
        <f>IF($O785="","",INDEX('Kế hoạch'!$AJ$6:$AJ$305,$O785))</f>
      </c>
      <c r="R785" s="225">
        <f>IF($O785="","",INDEX('Kế hoạch'!$AK$6:$AK$305,$O785))</f>
      </c>
    </row>
    <row r="786">
      <c r="A786" s="223">
        <f>IF($C786="","",COUNTIF($C$6:$C786,"?*"))</f>
      </c>
      <c r="B786" s="217"/>
      <c r="C786" s="216"/>
      <c r="D786" s="240"/>
      <c r="E786" s="218"/>
      <c r="F786" s="218"/>
      <c r="G786" s="218"/>
      <c r="H786" s="219"/>
      <c r="I786" s="223">
        <f>IF($C786="","",IF(ISNUMBER(MATCH($C786,'Phản ánh'!$A$6:$A$505,0)),"Phản ánh",IF(ISNUMBER(MATCH($C786,'Kế hoạch'!$A$6:$A$305,0)),"Công việc","Mã chưa có")))</f>
      </c>
      <c r="J786" s="221">
        <f>IF($I786="Phản ánh",INDEX('Phản ánh'!$C$6:$C$505,MATCH($C786,'Phản ánh'!$A$6:$A$505,0)),IF($I786="Công việc",INDEX('Kế hoạch'!$C$6:$C$305,$O786),""))</f>
      </c>
      <c r="K786" s="221">
        <f>IF($I786="Phản ánh",INDEX('Phản ánh'!$K$6:$K$505,MATCH($C786,'Phản ánh'!$A$6:$A$505,0))&amp;"",IF($I786="Công việc",INDEX('Kế hoạch'!$N$6:$N$305,$O786)&amp;"",""))</f>
      </c>
      <c r="L786" s="220">
        <f>IF(OR($C786="",N($B786)=0),"",IF(AND($I786="Phản ánh",$E786="Đã xử lý"),INDEX('Phản ánh'!$U$6:$U$505,MATCH($C786,'Phản ánh'!$A$6:$A$505,0)),IF(AND($I786="Công việc",OR($E786="Hoàn thành",$E786="Hoàn thành kỳ")),IF(INDEX('Kế hoạch'!$B$6:$B$305,$O786)="Đột xuất",INDEX('Kế hoạch'!$AY$6:$AY$305,$O786),IF(N($P786)=0,"",IF(INT($B786)&lt;$P786,$P786,IF($Q786&gt;0,$P786+ROUND((INT($B786)-$P786)/$Q786,0)*$Q786,IF($R786&gt;0,EDATE($P786,ROUND((DATEDIF($P786,INT($B786),"m")+(INT($B786)-EDATE($P786,DATEDIF($P786,INT($B786),"m")))/(EDATE($P786,DATEDIF($P786,INT($B786),"m")+1)-EDATE($P786,DATEDIF($P786,INT($B786),"m"))))/$R786,0)*$R786),$P786))))),"")))</f>
      </c>
      <c r="M786" s="223">
        <f>IF(OR($C786="",N($L786)=0,N($B786)=0),"",IF(IF(MOD($L786,1)=0,INT($B786),$B786)&lt;=$L786,"Đúng hạn","Trễ hạn"))</f>
      </c>
      <c r="N786" s="225">
        <f>IF($C786="","",ROW())</f>
      </c>
      <c r="O786" s="225">
        <f>IF($I786="Công việc",MATCH($C786,'Kế hoạch'!$A$6:$A$305,0),"")</f>
      </c>
      <c r="P786" s="234">
        <f>IF($O786="","",INDEX('Kế hoạch'!$I$6:$I$305,$O786))</f>
      </c>
      <c r="Q786" s="225">
        <f>IF($O786="","",INDEX('Kế hoạch'!$AJ$6:$AJ$305,$O786))</f>
      </c>
      <c r="R786" s="225">
        <f>IF($O786="","",INDEX('Kế hoạch'!$AK$6:$AK$305,$O786))</f>
      </c>
    </row>
    <row r="787">
      <c r="A787" s="223">
        <f>IF($C787="","",COUNTIF($C$6:$C787,"?*"))</f>
      </c>
      <c r="B787" s="217"/>
      <c r="C787" s="216"/>
      <c r="D787" s="240"/>
      <c r="E787" s="218"/>
      <c r="F787" s="218"/>
      <c r="G787" s="218"/>
      <c r="H787" s="219"/>
      <c r="I787" s="223">
        <f>IF($C787="","",IF(ISNUMBER(MATCH($C787,'Phản ánh'!$A$6:$A$505,0)),"Phản ánh",IF(ISNUMBER(MATCH($C787,'Kế hoạch'!$A$6:$A$305,0)),"Công việc","Mã chưa có")))</f>
      </c>
      <c r="J787" s="221">
        <f>IF($I787="Phản ánh",INDEX('Phản ánh'!$C$6:$C$505,MATCH($C787,'Phản ánh'!$A$6:$A$505,0)),IF($I787="Công việc",INDEX('Kế hoạch'!$C$6:$C$305,$O787),""))</f>
      </c>
      <c r="K787" s="221">
        <f>IF($I787="Phản ánh",INDEX('Phản ánh'!$K$6:$K$505,MATCH($C787,'Phản ánh'!$A$6:$A$505,0))&amp;"",IF($I787="Công việc",INDEX('Kế hoạch'!$N$6:$N$305,$O787)&amp;"",""))</f>
      </c>
      <c r="L787" s="220">
        <f>IF(OR($C787="",N($B787)=0),"",IF(AND($I787="Phản ánh",$E787="Đã xử lý"),INDEX('Phản ánh'!$U$6:$U$505,MATCH($C787,'Phản ánh'!$A$6:$A$505,0)),IF(AND($I787="Công việc",OR($E787="Hoàn thành",$E787="Hoàn thành kỳ")),IF(INDEX('Kế hoạch'!$B$6:$B$305,$O787)="Đột xuất",INDEX('Kế hoạch'!$AY$6:$AY$305,$O787),IF(N($P787)=0,"",IF(INT($B787)&lt;$P787,$P787,IF($Q787&gt;0,$P787+ROUND((INT($B787)-$P787)/$Q787,0)*$Q787,IF($R787&gt;0,EDATE($P787,ROUND((DATEDIF($P787,INT($B787),"m")+(INT($B787)-EDATE($P787,DATEDIF($P787,INT($B787),"m")))/(EDATE($P787,DATEDIF($P787,INT($B787),"m")+1)-EDATE($P787,DATEDIF($P787,INT($B787),"m"))))/$R787,0)*$R787),$P787))))),"")))</f>
      </c>
      <c r="M787" s="223">
        <f>IF(OR($C787="",N($L787)=0,N($B787)=0),"",IF(IF(MOD($L787,1)=0,INT($B787),$B787)&lt;=$L787,"Đúng hạn","Trễ hạn"))</f>
      </c>
      <c r="N787" s="225">
        <f>IF($C787="","",ROW())</f>
      </c>
      <c r="O787" s="225">
        <f>IF($I787="Công việc",MATCH($C787,'Kế hoạch'!$A$6:$A$305,0),"")</f>
      </c>
      <c r="P787" s="234">
        <f>IF($O787="","",INDEX('Kế hoạch'!$I$6:$I$305,$O787))</f>
      </c>
      <c r="Q787" s="225">
        <f>IF($O787="","",INDEX('Kế hoạch'!$AJ$6:$AJ$305,$O787))</f>
      </c>
      <c r="R787" s="225">
        <f>IF($O787="","",INDEX('Kế hoạch'!$AK$6:$AK$305,$O787))</f>
      </c>
    </row>
    <row r="788">
      <c r="A788" s="223">
        <f>IF($C788="","",COUNTIF($C$6:$C788,"?*"))</f>
      </c>
      <c r="B788" s="217"/>
      <c r="C788" s="216"/>
      <c r="D788" s="240"/>
      <c r="E788" s="218"/>
      <c r="F788" s="218"/>
      <c r="G788" s="218"/>
      <c r="H788" s="219"/>
      <c r="I788" s="223">
        <f>IF($C788="","",IF(ISNUMBER(MATCH($C788,'Phản ánh'!$A$6:$A$505,0)),"Phản ánh",IF(ISNUMBER(MATCH($C788,'Kế hoạch'!$A$6:$A$305,0)),"Công việc","Mã chưa có")))</f>
      </c>
      <c r="J788" s="221">
        <f>IF($I788="Phản ánh",INDEX('Phản ánh'!$C$6:$C$505,MATCH($C788,'Phản ánh'!$A$6:$A$505,0)),IF($I788="Công việc",INDEX('Kế hoạch'!$C$6:$C$305,$O788),""))</f>
      </c>
      <c r="K788" s="221">
        <f>IF($I788="Phản ánh",INDEX('Phản ánh'!$K$6:$K$505,MATCH($C788,'Phản ánh'!$A$6:$A$505,0))&amp;"",IF($I788="Công việc",INDEX('Kế hoạch'!$N$6:$N$305,$O788)&amp;"",""))</f>
      </c>
      <c r="L788" s="220">
        <f>IF(OR($C788="",N($B788)=0),"",IF(AND($I788="Phản ánh",$E788="Đã xử lý"),INDEX('Phản ánh'!$U$6:$U$505,MATCH($C788,'Phản ánh'!$A$6:$A$505,0)),IF(AND($I788="Công việc",OR($E788="Hoàn thành",$E788="Hoàn thành kỳ")),IF(INDEX('Kế hoạch'!$B$6:$B$305,$O788)="Đột xuất",INDEX('Kế hoạch'!$AY$6:$AY$305,$O788),IF(N($P788)=0,"",IF(INT($B788)&lt;$P788,$P788,IF($Q788&gt;0,$P788+ROUND((INT($B788)-$P788)/$Q788,0)*$Q788,IF($R788&gt;0,EDATE($P788,ROUND((DATEDIF($P788,INT($B788),"m")+(INT($B788)-EDATE($P788,DATEDIF($P788,INT($B788),"m")))/(EDATE($P788,DATEDIF($P788,INT($B788),"m")+1)-EDATE($P788,DATEDIF($P788,INT($B788),"m"))))/$R788,0)*$R788),$P788))))),"")))</f>
      </c>
      <c r="M788" s="223">
        <f>IF(OR($C788="",N($L788)=0,N($B788)=0),"",IF(IF(MOD($L788,1)=0,INT($B788),$B788)&lt;=$L788,"Đúng hạn","Trễ hạn"))</f>
      </c>
      <c r="N788" s="225">
        <f>IF($C788="","",ROW())</f>
      </c>
      <c r="O788" s="225">
        <f>IF($I788="Công việc",MATCH($C788,'Kế hoạch'!$A$6:$A$305,0),"")</f>
      </c>
      <c r="P788" s="234">
        <f>IF($O788="","",INDEX('Kế hoạch'!$I$6:$I$305,$O788))</f>
      </c>
      <c r="Q788" s="225">
        <f>IF($O788="","",INDEX('Kế hoạch'!$AJ$6:$AJ$305,$O788))</f>
      </c>
      <c r="R788" s="225">
        <f>IF($O788="","",INDEX('Kế hoạch'!$AK$6:$AK$305,$O788))</f>
      </c>
    </row>
    <row r="789">
      <c r="A789" s="223">
        <f>IF($C789="","",COUNTIF($C$6:$C789,"?*"))</f>
      </c>
      <c r="B789" s="217"/>
      <c r="C789" s="216"/>
      <c r="D789" s="240"/>
      <c r="E789" s="218"/>
      <c r="F789" s="218"/>
      <c r="G789" s="218"/>
      <c r="H789" s="219"/>
      <c r="I789" s="223">
        <f>IF($C789="","",IF(ISNUMBER(MATCH($C789,'Phản ánh'!$A$6:$A$505,0)),"Phản ánh",IF(ISNUMBER(MATCH($C789,'Kế hoạch'!$A$6:$A$305,0)),"Công việc","Mã chưa có")))</f>
      </c>
      <c r="J789" s="221">
        <f>IF($I789="Phản ánh",INDEX('Phản ánh'!$C$6:$C$505,MATCH($C789,'Phản ánh'!$A$6:$A$505,0)),IF($I789="Công việc",INDEX('Kế hoạch'!$C$6:$C$305,$O789),""))</f>
      </c>
      <c r="K789" s="221">
        <f>IF($I789="Phản ánh",INDEX('Phản ánh'!$K$6:$K$505,MATCH($C789,'Phản ánh'!$A$6:$A$505,0))&amp;"",IF($I789="Công việc",INDEX('Kế hoạch'!$N$6:$N$305,$O789)&amp;"",""))</f>
      </c>
      <c r="L789" s="220">
        <f>IF(OR($C789="",N($B789)=0),"",IF(AND($I789="Phản ánh",$E789="Đã xử lý"),INDEX('Phản ánh'!$U$6:$U$505,MATCH($C789,'Phản ánh'!$A$6:$A$505,0)),IF(AND($I789="Công việc",OR($E789="Hoàn thành",$E789="Hoàn thành kỳ")),IF(INDEX('Kế hoạch'!$B$6:$B$305,$O789)="Đột xuất",INDEX('Kế hoạch'!$AY$6:$AY$305,$O789),IF(N($P789)=0,"",IF(INT($B789)&lt;$P789,$P789,IF($Q789&gt;0,$P789+ROUND((INT($B789)-$P789)/$Q789,0)*$Q789,IF($R789&gt;0,EDATE($P789,ROUND((DATEDIF($P789,INT($B789),"m")+(INT($B789)-EDATE($P789,DATEDIF($P789,INT($B789),"m")))/(EDATE($P789,DATEDIF($P789,INT($B789),"m")+1)-EDATE($P789,DATEDIF($P789,INT($B789),"m"))))/$R789,0)*$R789),$P789))))),"")))</f>
      </c>
      <c r="M789" s="223">
        <f>IF(OR($C789="",N($L789)=0,N($B789)=0),"",IF(IF(MOD($L789,1)=0,INT($B789),$B789)&lt;=$L789,"Đúng hạn","Trễ hạn"))</f>
      </c>
      <c r="N789" s="225">
        <f>IF($C789="","",ROW())</f>
      </c>
      <c r="O789" s="225">
        <f>IF($I789="Công việc",MATCH($C789,'Kế hoạch'!$A$6:$A$305,0),"")</f>
      </c>
      <c r="P789" s="234">
        <f>IF($O789="","",INDEX('Kế hoạch'!$I$6:$I$305,$O789))</f>
      </c>
      <c r="Q789" s="225">
        <f>IF($O789="","",INDEX('Kế hoạch'!$AJ$6:$AJ$305,$O789))</f>
      </c>
      <c r="R789" s="225">
        <f>IF($O789="","",INDEX('Kế hoạch'!$AK$6:$AK$305,$O789))</f>
      </c>
    </row>
    <row r="790">
      <c r="A790" s="223">
        <f>IF($C790="","",COUNTIF($C$6:$C790,"?*"))</f>
      </c>
      <c r="B790" s="217"/>
      <c r="C790" s="216"/>
      <c r="D790" s="240"/>
      <c r="E790" s="218"/>
      <c r="F790" s="218"/>
      <c r="G790" s="218"/>
      <c r="H790" s="219"/>
      <c r="I790" s="223">
        <f>IF($C790="","",IF(ISNUMBER(MATCH($C790,'Phản ánh'!$A$6:$A$505,0)),"Phản ánh",IF(ISNUMBER(MATCH($C790,'Kế hoạch'!$A$6:$A$305,0)),"Công việc","Mã chưa có")))</f>
      </c>
      <c r="J790" s="221">
        <f>IF($I790="Phản ánh",INDEX('Phản ánh'!$C$6:$C$505,MATCH($C790,'Phản ánh'!$A$6:$A$505,0)),IF($I790="Công việc",INDEX('Kế hoạch'!$C$6:$C$305,$O790),""))</f>
      </c>
      <c r="K790" s="221">
        <f>IF($I790="Phản ánh",INDEX('Phản ánh'!$K$6:$K$505,MATCH($C790,'Phản ánh'!$A$6:$A$505,0))&amp;"",IF($I790="Công việc",INDEX('Kế hoạch'!$N$6:$N$305,$O790)&amp;"",""))</f>
      </c>
      <c r="L790" s="220">
        <f>IF(OR($C790="",N($B790)=0),"",IF(AND($I790="Phản ánh",$E790="Đã xử lý"),INDEX('Phản ánh'!$U$6:$U$505,MATCH($C790,'Phản ánh'!$A$6:$A$505,0)),IF(AND($I790="Công việc",OR($E790="Hoàn thành",$E790="Hoàn thành kỳ")),IF(INDEX('Kế hoạch'!$B$6:$B$305,$O790)="Đột xuất",INDEX('Kế hoạch'!$AY$6:$AY$305,$O790),IF(N($P790)=0,"",IF(INT($B790)&lt;$P790,$P790,IF($Q790&gt;0,$P790+ROUND((INT($B790)-$P790)/$Q790,0)*$Q790,IF($R790&gt;0,EDATE($P790,ROUND((DATEDIF($P790,INT($B790),"m")+(INT($B790)-EDATE($P790,DATEDIF($P790,INT($B790),"m")))/(EDATE($P790,DATEDIF($P790,INT($B790),"m")+1)-EDATE($P790,DATEDIF($P790,INT($B790),"m"))))/$R790,0)*$R790),$P790))))),"")))</f>
      </c>
      <c r="M790" s="223">
        <f>IF(OR($C790="",N($L790)=0,N($B790)=0),"",IF(IF(MOD($L790,1)=0,INT($B790),$B790)&lt;=$L790,"Đúng hạn","Trễ hạn"))</f>
      </c>
      <c r="N790" s="225">
        <f>IF($C790="","",ROW())</f>
      </c>
      <c r="O790" s="225">
        <f>IF($I790="Công việc",MATCH($C790,'Kế hoạch'!$A$6:$A$305,0),"")</f>
      </c>
      <c r="P790" s="234">
        <f>IF($O790="","",INDEX('Kế hoạch'!$I$6:$I$305,$O790))</f>
      </c>
      <c r="Q790" s="225">
        <f>IF($O790="","",INDEX('Kế hoạch'!$AJ$6:$AJ$305,$O790))</f>
      </c>
      <c r="R790" s="225">
        <f>IF($O790="","",INDEX('Kế hoạch'!$AK$6:$AK$305,$O790))</f>
      </c>
    </row>
    <row r="791">
      <c r="A791" s="223">
        <f>IF($C791="","",COUNTIF($C$6:$C791,"?*"))</f>
      </c>
      <c r="B791" s="217"/>
      <c r="C791" s="216"/>
      <c r="D791" s="240"/>
      <c r="E791" s="218"/>
      <c r="F791" s="218"/>
      <c r="G791" s="218"/>
      <c r="H791" s="219"/>
      <c r="I791" s="223">
        <f>IF($C791="","",IF(ISNUMBER(MATCH($C791,'Phản ánh'!$A$6:$A$505,0)),"Phản ánh",IF(ISNUMBER(MATCH($C791,'Kế hoạch'!$A$6:$A$305,0)),"Công việc","Mã chưa có")))</f>
      </c>
      <c r="J791" s="221">
        <f>IF($I791="Phản ánh",INDEX('Phản ánh'!$C$6:$C$505,MATCH($C791,'Phản ánh'!$A$6:$A$505,0)),IF($I791="Công việc",INDEX('Kế hoạch'!$C$6:$C$305,$O791),""))</f>
      </c>
      <c r="K791" s="221">
        <f>IF($I791="Phản ánh",INDEX('Phản ánh'!$K$6:$K$505,MATCH($C791,'Phản ánh'!$A$6:$A$505,0))&amp;"",IF($I791="Công việc",INDEX('Kế hoạch'!$N$6:$N$305,$O791)&amp;"",""))</f>
      </c>
      <c r="L791" s="220">
        <f>IF(OR($C791="",N($B791)=0),"",IF(AND($I791="Phản ánh",$E791="Đã xử lý"),INDEX('Phản ánh'!$U$6:$U$505,MATCH($C791,'Phản ánh'!$A$6:$A$505,0)),IF(AND($I791="Công việc",OR($E791="Hoàn thành",$E791="Hoàn thành kỳ")),IF(INDEX('Kế hoạch'!$B$6:$B$305,$O791)="Đột xuất",INDEX('Kế hoạch'!$AY$6:$AY$305,$O791),IF(N($P791)=0,"",IF(INT($B791)&lt;$P791,$P791,IF($Q791&gt;0,$P791+ROUND((INT($B791)-$P791)/$Q791,0)*$Q791,IF($R791&gt;0,EDATE($P791,ROUND((DATEDIF($P791,INT($B791),"m")+(INT($B791)-EDATE($P791,DATEDIF($P791,INT($B791),"m")))/(EDATE($P791,DATEDIF($P791,INT($B791),"m")+1)-EDATE($P791,DATEDIF($P791,INT($B791),"m"))))/$R791,0)*$R791),$P791))))),"")))</f>
      </c>
      <c r="M791" s="223">
        <f>IF(OR($C791="",N($L791)=0,N($B791)=0),"",IF(IF(MOD($L791,1)=0,INT($B791),$B791)&lt;=$L791,"Đúng hạn","Trễ hạn"))</f>
      </c>
      <c r="N791" s="225">
        <f>IF($C791="","",ROW())</f>
      </c>
      <c r="O791" s="225">
        <f>IF($I791="Công việc",MATCH($C791,'Kế hoạch'!$A$6:$A$305,0),"")</f>
      </c>
      <c r="P791" s="234">
        <f>IF($O791="","",INDEX('Kế hoạch'!$I$6:$I$305,$O791))</f>
      </c>
      <c r="Q791" s="225">
        <f>IF($O791="","",INDEX('Kế hoạch'!$AJ$6:$AJ$305,$O791))</f>
      </c>
      <c r="R791" s="225">
        <f>IF($O791="","",INDEX('Kế hoạch'!$AK$6:$AK$305,$O791))</f>
      </c>
    </row>
    <row r="792">
      <c r="A792" s="223">
        <f>IF($C792="","",COUNTIF($C$6:$C792,"?*"))</f>
      </c>
      <c r="B792" s="217"/>
      <c r="C792" s="216"/>
      <c r="D792" s="240"/>
      <c r="E792" s="218"/>
      <c r="F792" s="218"/>
      <c r="G792" s="218"/>
      <c r="H792" s="219"/>
      <c r="I792" s="223">
        <f>IF($C792="","",IF(ISNUMBER(MATCH($C792,'Phản ánh'!$A$6:$A$505,0)),"Phản ánh",IF(ISNUMBER(MATCH($C792,'Kế hoạch'!$A$6:$A$305,0)),"Công việc","Mã chưa có")))</f>
      </c>
      <c r="J792" s="221">
        <f>IF($I792="Phản ánh",INDEX('Phản ánh'!$C$6:$C$505,MATCH($C792,'Phản ánh'!$A$6:$A$505,0)),IF($I792="Công việc",INDEX('Kế hoạch'!$C$6:$C$305,$O792),""))</f>
      </c>
      <c r="K792" s="221">
        <f>IF($I792="Phản ánh",INDEX('Phản ánh'!$K$6:$K$505,MATCH($C792,'Phản ánh'!$A$6:$A$505,0))&amp;"",IF($I792="Công việc",INDEX('Kế hoạch'!$N$6:$N$305,$O792)&amp;"",""))</f>
      </c>
      <c r="L792" s="220">
        <f>IF(OR($C792="",N($B792)=0),"",IF(AND($I792="Phản ánh",$E792="Đã xử lý"),INDEX('Phản ánh'!$U$6:$U$505,MATCH($C792,'Phản ánh'!$A$6:$A$505,0)),IF(AND($I792="Công việc",OR($E792="Hoàn thành",$E792="Hoàn thành kỳ")),IF(INDEX('Kế hoạch'!$B$6:$B$305,$O792)="Đột xuất",INDEX('Kế hoạch'!$AY$6:$AY$305,$O792),IF(N($P792)=0,"",IF(INT($B792)&lt;$P792,$P792,IF($Q792&gt;0,$P792+ROUND((INT($B792)-$P792)/$Q792,0)*$Q792,IF($R792&gt;0,EDATE($P792,ROUND((DATEDIF($P792,INT($B792),"m")+(INT($B792)-EDATE($P792,DATEDIF($P792,INT($B792),"m")))/(EDATE($P792,DATEDIF($P792,INT($B792),"m")+1)-EDATE($P792,DATEDIF($P792,INT($B792),"m"))))/$R792,0)*$R792),$P792))))),"")))</f>
      </c>
      <c r="M792" s="223">
        <f>IF(OR($C792="",N($L792)=0,N($B792)=0),"",IF(IF(MOD($L792,1)=0,INT($B792),$B792)&lt;=$L792,"Đúng hạn","Trễ hạn"))</f>
      </c>
      <c r="N792" s="225">
        <f>IF($C792="","",ROW())</f>
      </c>
      <c r="O792" s="225">
        <f>IF($I792="Công việc",MATCH($C792,'Kế hoạch'!$A$6:$A$305,0),"")</f>
      </c>
      <c r="P792" s="234">
        <f>IF($O792="","",INDEX('Kế hoạch'!$I$6:$I$305,$O792))</f>
      </c>
      <c r="Q792" s="225">
        <f>IF($O792="","",INDEX('Kế hoạch'!$AJ$6:$AJ$305,$O792))</f>
      </c>
      <c r="R792" s="225">
        <f>IF($O792="","",INDEX('Kế hoạch'!$AK$6:$AK$305,$O792))</f>
      </c>
    </row>
    <row r="793">
      <c r="A793" s="223">
        <f>IF($C793="","",COUNTIF($C$6:$C793,"?*"))</f>
      </c>
      <c r="B793" s="217"/>
      <c r="C793" s="216"/>
      <c r="D793" s="240"/>
      <c r="E793" s="218"/>
      <c r="F793" s="218"/>
      <c r="G793" s="218"/>
      <c r="H793" s="219"/>
      <c r="I793" s="223">
        <f>IF($C793="","",IF(ISNUMBER(MATCH($C793,'Phản ánh'!$A$6:$A$505,0)),"Phản ánh",IF(ISNUMBER(MATCH($C793,'Kế hoạch'!$A$6:$A$305,0)),"Công việc","Mã chưa có")))</f>
      </c>
      <c r="J793" s="221">
        <f>IF($I793="Phản ánh",INDEX('Phản ánh'!$C$6:$C$505,MATCH($C793,'Phản ánh'!$A$6:$A$505,0)),IF($I793="Công việc",INDEX('Kế hoạch'!$C$6:$C$305,$O793),""))</f>
      </c>
      <c r="K793" s="221">
        <f>IF($I793="Phản ánh",INDEX('Phản ánh'!$K$6:$K$505,MATCH($C793,'Phản ánh'!$A$6:$A$505,0))&amp;"",IF($I793="Công việc",INDEX('Kế hoạch'!$N$6:$N$305,$O793)&amp;"",""))</f>
      </c>
      <c r="L793" s="220">
        <f>IF(OR($C793="",N($B793)=0),"",IF(AND($I793="Phản ánh",$E793="Đã xử lý"),INDEX('Phản ánh'!$U$6:$U$505,MATCH($C793,'Phản ánh'!$A$6:$A$505,0)),IF(AND($I793="Công việc",OR($E793="Hoàn thành",$E793="Hoàn thành kỳ")),IF(INDEX('Kế hoạch'!$B$6:$B$305,$O793)="Đột xuất",INDEX('Kế hoạch'!$AY$6:$AY$305,$O793),IF(N($P793)=0,"",IF(INT($B793)&lt;$P793,$P793,IF($Q793&gt;0,$P793+ROUND((INT($B793)-$P793)/$Q793,0)*$Q793,IF($R793&gt;0,EDATE($P793,ROUND((DATEDIF($P793,INT($B793),"m")+(INT($B793)-EDATE($P793,DATEDIF($P793,INT($B793),"m")))/(EDATE($P793,DATEDIF($P793,INT($B793),"m")+1)-EDATE($P793,DATEDIF($P793,INT($B793),"m"))))/$R793,0)*$R793),$P793))))),"")))</f>
      </c>
      <c r="M793" s="223">
        <f>IF(OR($C793="",N($L793)=0,N($B793)=0),"",IF(IF(MOD($L793,1)=0,INT($B793),$B793)&lt;=$L793,"Đúng hạn","Trễ hạn"))</f>
      </c>
      <c r="N793" s="225">
        <f>IF($C793="","",ROW())</f>
      </c>
      <c r="O793" s="225">
        <f>IF($I793="Công việc",MATCH($C793,'Kế hoạch'!$A$6:$A$305,0),"")</f>
      </c>
      <c r="P793" s="234">
        <f>IF($O793="","",INDEX('Kế hoạch'!$I$6:$I$305,$O793))</f>
      </c>
      <c r="Q793" s="225">
        <f>IF($O793="","",INDEX('Kế hoạch'!$AJ$6:$AJ$305,$O793))</f>
      </c>
      <c r="R793" s="225">
        <f>IF($O793="","",INDEX('Kế hoạch'!$AK$6:$AK$305,$O793))</f>
      </c>
    </row>
    <row r="794">
      <c r="A794" s="223">
        <f>IF($C794="","",COUNTIF($C$6:$C794,"?*"))</f>
      </c>
      <c r="B794" s="217"/>
      <c r="C794" s="216"/>
      <c r="D794" s="240"/>
      <c r="E794" s="218"/>
      <c r="F794" s="218"/>
      <c r="G794" s="218"/>
      <c r="H794" s="219"/>
      <c r="I794" s="223">
        <f>IF($C794="","",IF(ISNUMBER(MATCH($C794,'Phản ánh'!$A$6:$A$505,0)),"Phản ánh",IF(ISNUMBER(MATCH($C794,'Kế hoạch'!$A$6:$A$305,0)),"Công việc","Mã chưa có")))</f>
      </c>
      <c r="J794" s="221">
        <f>IF($I794="Phản ánh",INDEX('Phản ánh'!$C$6:$C$505,MATCH($C794,'Phản ánh'!$A$6:$A$505,0)),IF($I794="Công việc",INDEX('Kế hoạch'!$C$6:$C$305,$O794),""))</f>
      </c>
      <c r="K794" s="221">
        <f>IF($I794="Phản ánh",INDEX('Phản ánh'!$K$6:$K$505,MATCH($C794,'Phản ánh'!$A$6:$A$505,0))&amp;"",IF($I794="Công việc",INDEX('Kế hoạch'!$N$6:$N$305,$O794)&amp;"",""))</f>
      </c>
      <c r="L794" s="220">
        <f>IF(OR($C794="",N($B794)=0),"",IF(AND($I794="Phản ánh",$E794="Đã xử lý"),INDEX('Phản ánh'!$U$6:$U$505,MATCH($C794,'Phản ánh'!$A$6:$A$505,0)),IF(AND($I794="Công việc",OR($E794="Hoàn thành",$E794="Hoàn thành kỳ")),IF(INDEX('Kế hoạch'!$B$6:$B$305,$O794)="Đột xuất",INDEX('Kế hoạch'!$AY$6:$AY$305,$O794),IF(N($P794)=0,"",IF(INT($B794)&lt;$P794,$P794,IF($Q794&gt;0,$P794+ROUND((INT($B794)-$P794)/$Q794,0)*$Q794,IF($R794&gt;0,EDATE($P794,ROUND((DATEDIF($P794,INT($B794),"m")+(INT($B794)-EDATE($P794,DATEDIF($P794,INT($B794),"m")))/(EDATE($P794,DATEDIF($P794,INT($B794),"m")+1)-EDATE($P794,DATEDIF($P794,INT($B794),"m"))))/$R794,0)*$R794),$P794))))),"")))</f>
      </c>
      <c r="M794" s="223">
        <f>IF(OR($C794="",N($L794)=0,N($B794)=0),"",IF(IF(MOD($L794,1)=0,INT($B794),$B794)&lt;=$L794,"Đúng hạn","Trễ hạn"))</f>
      </c>
      <c r="N794" s="225">
        <f>IF($C794="","",ROW())</f>
      </c>
      <c r="O794" s="225">
        <f>IF($I794="Công việc",MATCH($C794,'Kế hoạch'!$A$6:$A$305,0),"")</f>
      </c>
      <c r="P794" s="234">
        <f>IF($O794="","",INDEX('Kế hoạch'!$I$6:$I$305,$O794))</f>
      </c>
      <c r="Q794" s="225">
        <f>IF($O794="","",INDEX('Kế hoạch'!$AJ$6:$AJ$305,$O794))</f>
      </c>
      <c r="R794" s="225">
        <f>IF($O794="","",INDEX('Kế hoạch'!$AK$6:$AK$305,$O794))</f>
      </c>
    </row>
    <row r="795">
      <c r="A795" s="223">
        <f>IF($C795="","",COUNTIF($C$6:$C795,"?*"))</f>
      </c>
      <c r="B795" s="217"/>
      <c r="C795" s="216"/>
      <c r="D795" s="240"/>
      <c r="E795" s="218"/>
      <c r="F795" s="218"/>
      <c r="G795" s="218"/>
      <c r="H795" s="219"/>
      <c r="I795" s="223">
        <f>IF($C795="","",IF(ISNUMBER(MATCH($C795,'Phản ánh'!$A$6:$A$505,0)),"Phản ánh",IF(ISNUMBER(MATCH($C795,'Kế hoạch'!$A$6:$A$305,0)),"Công việc","Mã chưa có")))</f>
      </c>
      <c r="J795" s="221">
        <f>IF($I795="Phản ánh",INDEX('Phản ánh'!$C$6:$C$505,MATCH($C795,'Phản ánh'!$A$6:$A$505,0)),IF($I795="Công việc",INDEX('Kế hoạch'!$C$6:$C$305,$O795),""))</f>
      </c>
      <c r="K795" s="221">
        <f>IF($I795="Phản ánh",INDEX('Phản ánh'!$K$6:$K$505,MATCH($C795,'Phản ánh'!$A$6:$A$505,0))&amp;"",IF($I795="Công việc",INDEX('Kế hoạch'!$N$6:$N$305,$O795)&amp;"",""))</f>
      </c>
      <c r="L795" s="220">
        <f>IF(OR($C795="",N($B795)=0),"",IF(AND($I795="Phản ánh",$E795="Đã xử lý"),INDEX('Phản ánh'!$U$6:$U$505,MATCH($C795,'Phản ánh'!$A$6:$A$505,0)),IF(AND($I795="Công việc",OR($E795="Hoàn thành",$E795="Hoàn thành kỳ")),IF(INDEX('Kế hoạch'!$B$6:$B$305,$O795)="Đột xuất",INDEX('Kế hoạch'!$AY$6:$AY$305,$O795),IF(N($P795)=0,"",IF(INT($B795)&lt;$P795,$P795,IF($Q795&gt;0,$P795+ROUND((INT($B795)-$P795)/$Q795,0)*$Q795,IF($R795&gt;0,EDATE($P795,ROUND((DATEDIF($P795,INT($B795),"m")+(INT($B795)-EDATE($P795,DATEDIF($P795,INT($B795),"m")))/(EDATE($P795,DATEDIF($P795,INT($B795),"m")+1)-EDATE($P795,DATEDIF($P795,INT($B795),"m"))))/$R795,0)*$R795),$P795))))),"")))</f>
      </c>
      <c r="M795" s="223">
        <f>IF(OR($C795="",N($L795)=0,N($B795)=0),"",IF(IF(MOD($L795,1)=0,INT($B795),$B795)&lt;=$L795,"Đúng hạn","Trễ hạn"))</f>
      </c>
      <c r="N795" s="225">
        <f>IF($C795="","",ROW())</f>
      </c>
      <c r="O795" s="225">
        <f>IF($I795="Công việc",MATCH($C795,'Kế hoạch'!$A$6:$A$305,0),"")</f>
      </c>
      <c r="P795" s="234">
        <f>IF($O795="","",INDEX('Kế hoạch'!$I$6:$I$305,$O795))</f>
      </c>
      <c r="Q795" s="225">
        <f>IF($O795="","",INDEX('Kế hoạch'!$AJ$6:$AJ$305,$O795))</f>
      </c>
      <c r="R795" s="225">
        <f>IF($O795="","",INDEX('Kế hoạch'!$AK$6:$AK$305,$O795))</f>
      </c>
    </row>
    <row r="796">
      <c r="A796" s="223">
        <f>IF($C796="","",COUNTIF($C$6:$C796,"?*"))</f>
      </c>
      <c r="B796" s="217"/>
      <c r="C796" s="216"/>
      <c r="D796" s="240"/>
      <c r="E796" s="218"/>
      <c r="F796" s="218"/>
      <c r="G796" s="218"/>
      <c r="H796" s="219"/>
      <c r="I796" s="223">
        <f>IF($C796="","",IF(ISNUMBER(MATCH($C796,'Phản ánh'!$A$6:$A$505,0)),"Phản ánh",IF(ISNUMBER(MATCH($C796,'Kế hoạch'!$A$6:$A$305,0)),"Công việc","Mã chưa có")))</f>
      </c>
      <c r="J796" s="221">
        <f>IF($I796="Phản ánh",INDEX('Phản ánh'!$C$6:$C$505,MATCH($C796,'Phản ánh'!$A$6:$A$505,0)),IF($I796="Công việc",INDEX('Kế hoạch'!$C$6:$C$305,$O796),""))</f>
      </c>
      <c r="K796" s="221">
        <f>IF($I796="Phản ánh",INDEX('Phản ánh'!$K$6:$K$505,MATCH($C796,'Phản ánh'!$A$6:$A$505,0))&amp;"",IF($I796="Công việc",INDEX('Kế hoạch'!$N$6:$N$305,$O796)&amp;"",""))</f>
      </c>
      <c r="L796" s="220">
        <f>IF(OR($C796="",N($B796)=0),"",IF(AND($I796="Phản ánh",$E796="Đã xử lý"),INDEX('Phản ánh'!$U$6:$U$505,MATCH($C796,'Phản ánh'!$A$6:$A$505,0)),IF(AND($I796="Công việc",OR($E796="Hoàn thành",$E796="Hoàn thành kỳ")),IF(INDEX('Kế hoạch'!$B$6:$B$305,$O796)="Đột xuất",INDEX('Kế hoạch'!$AY$6:$AY$305,$O796),IF(N($P796)=0,"",IF(INT($B796)&lt;$P796,$P796,IF($Q796&gt;0,$P796+ROUND((INT($B796)-$P796)/$Q796,0)*$Q796,IF($R796&gt;0,EDATE($P796,ROUND((DATEDIF($P796,INT($B796),"m")+(INT($B796)-EDATE($P796,DATEDIF($P796,INT($B796),"m")))/(EDATE($P796,DATEDIF($P796,INT($B796),"m")+1)-EDATE($P796,DATEDIF($P796,INT($B796),"m"))))/$R796,0)*$R796),$P796))))),"")))</f>
      </c>
      <c r="M796" s="223">
        <f>IF(OR($C796="",N($L796)=0,N($B796)=0),"",IF(IF(MOD($L796,1)=0,INT($B796),$B796)&lt;=$L796,"Đúng hạn","Trễ hạn"))</f>
      </c>
      <c r="N796" s="225">
        <f>IF($C796="","",ROW())</f>
      </c>
      <c r="O796" s="225">
        <f>IF($I796="Công việc",MATCH($C796,'Kế hoạch'!$A$6:$A$305,0),"")</f>
      </c>
      <c r="P796" s="234">
        <f>IF($O796="","",INDEX('Kế hoạch'!$I$6:$I$305,$O796))</f>
      </c>
      <c r="Q796" s="225">
        <f>IF($O796="","",INDEX('Kế hoạch'!$AJ$6:$AJ$305,$O796))</f>
      </c>
      <c r="R796" s="225">
        <f>IF($O796="","",INDEX('Kế hoạch'!$AK$6:$AK$305,$O796))</f>
      </c>
    </row>
    <row r="797">
      <c r="A797" s="223">
        <f>IF($C797="","",COUNTIF($C$6:$C797,"?*"))</f>
      </c>
      <c r="B797" s="217"/>
      <c r="C797" s="216"/>
      <c r="D797" s="240"/>
      <c r="E797" s="218"/>
      <c r="F797" s="218"/>
      <c r="G797" s="218"/>
      <c r="H797" s="219"/>
      <c r="I797" s="223">
        <f>IF($C797="","",IF(ISNUMBER(MATCH($C797,'Phản ánh'!$A$6:$A$505,0)),"Phản ánh",IF(ISNUMBER(MATCH($C797,'Kế hoạch'!$A$6:$A$305,0)),"Công việc","Mã chưa có")))</f>
      </c>
      <c r="J797" s="221">
        <f>IF($I797="Phản ánh",INDEX('Phản ánh'!$C$6:$C$505,MATCH($C797,'Phản ánh'!$A$6:$A$505,0)),IF($I797="Công việc",INDEX('Kế hoạch'!$C$6:$C$305,$O797),""))</f>
      </c>
      <c r="K797" s="221">
        <f>IF($I797="Phản ánh",INDEX('Phản ánh'!$K$6:$K$505,MATCH($C797,'Phản ánh'!$A$6:$A$505,0))&amp;"",IF($I797="Công việc",INDEX('Kế hoạch'!$N$6:$N$305,$O797)&amp;"",""))</f>
      </c>
      <c r="L797" s="220">
        <f>IF(OR($C797="",N($B797)=0),"",IF(AND($I797="Phản ánh",$E797="Đã xử lý"),INDEX('Phản ánh'!$U$6:$U$505,MATCH($C797,'Phản ánh'!$A$6:$A$505,0)),IF(AND($I797="Công việc",OR($E797="Hoàn thành",$E797="Hoàn thành kỳ")),IF(INDEX('Kế hoạch'!$B$6:$B$305,$O797)="Đột xuất",INDEX('Kế hoạch'!$AY$6:$AY$305,$O797),IF(N($P797)=0,"",IF(INT($B797)&lt;$P797,$P797,IF($Q797&gt;0,$P797+ROUND((INT($B797)-$P797)/$Q797,0)*$Q797,IF($R797&gt;0,EDATE($P797,ROUND((DATEDIF($P797,INT($B797),"m")+(INT($B797)-EDATE($P797,DATEDIF($P797,INT($B797),"m")))/(EDATE($P797,DATEDIF($P797,INT($B797),"m")+1)-EDATE($P797,DATEDIF($P797,INT($B797),"m"))))/$R797,0)*$R797),$P797))))),"")))</f>
      </c>
      <c r="M797" s="223">
        <f>IF(OR($C797="",N($L797)=0,N($B797)=0),"",IF(IF(MOD($L797,1)=0,INT($B797),$B797)&lt;=$L797,"Đúng hạn","Trễ hạn"))</f>
      </c>
      <c r="N797" s="225">
        <f>IF($C797="","",ROW())</f>
      </c>
      <c r="O797" s="225">
        <f>IF($I797="Công việc",MATCH($C797,'Kế hoạch'!$A$6:$A$305,0),"")</f>
      </c>
      <c r="P797" s="234">
        <f>IF($O797="","",INDEX('Kế hoạch'!$I$6:$I$305,$O797))</f>
      </c>
      <c r="Q797" s="225">
        <f>IF($O797="","",INDEX('Kế hoạch'!$AJ$6:$AJ$305,$O797))</f>
      </c>
      <c r="R797" s="225">
        <f>IF($O797="","",INDEX('Kế hoạch'!$AK$6:$AK$305,$O797))</f>
      </c>
    </row>
    <row r="798">
      <c r="A798" s="223">
        <f>IF($C798="","",COUNTIF($C$6:$C798,"?*"))</f>
      </c>
      <c r="B798" s="217"/>
      <c r="C798" s="216"/>
      <c r="D798" s="240"/>
      <c r="E798" s="218"/>
      <c r="F798" s="218"/>
      <c r="G798" s="218"/>
      <c r="H798" s="219"/>
      <c r="I798" s="223">
        <f>IF($C798="","",IF(ISNUMBER(MATCH($C798,'Phản ánh'!$A$6:$A$505,0)),"Phản ánh",IF(ISNUMBER(MATCH($C798,'Kế hoạch'!$A$6:$A$305,0)),"Công việc","Mã chưa có")))</f>
      </c>
      <c r="J798" s="221">
        <f>IF($I798="Phản ánh",INDEX('Phản ánh'!$C$6:$C$505,MATCH($C798,'Phản ánh'!$A$6:$A$505,0)),IF($I798="Công việc",INDEX('Kế hoạch'!$C$6:$C$305,$O798),""))</f>
      </c>
      <c r="K798" s="221">
        <f>IF($I798="Phản ánh",INDEX('Phản ánh'!$K$6:$K$505,MATCH($C798,'Phản ánh'!$A$6:$A$505,0))&amp;"",IF($I798="Công việc",INDEX('Kế hoạch'!$N$6:$N$305,$O798)&amp;"",""))</f>
      </c>
      <c r="L798" s="220">
        <f>IF(OR($C798="",N($B798)=0),"",IF(AND($I798="Phản ánh",$E798="Đã xử lý"),INDEX('Phản ánh'!$U$6:$U$505,MATCH($C798,'Phản ánh'!$A$6:$A$505,0)),IF(AND($I798="Công việc",OR($E798="Hoàn thành",$E798="Hoàn thành kỳ")),IF(INDEX('Kế hoạch'!$B$6:$B$305,$O798)="Đột xuất",INDEX('Kế hoạch'!$AY$6:$AY$305,$O798),IF(N($P798)=0,"",IF(INT($B798)&lt;$P798,$P798,IF($Q798&gt;0,$P798+ROUND((INT($B798)-$P798)/$Q798,0)*$Q798,IF($R798&gt;0,EDATE($P798,ROUND((DATEDIF($P798,INT($B798),"m")+(INT($B798)-EDATE($P798,DATEDIF($P798,INT($B798),"m")))/(EDATE($P798,DATEDIF($P798,INT($B798),"m")+1)-EDATE($P798,DATEDIF($P798,INT($B798),"m"))))/$R798,0)*$R798),$P798))))),"")))</f>
      </c>
      <c r="M798" s="223">
        <f>IF(OR($C798="",N($L798)=0,N($B798)=0),"",IF(IF(MOD($L798,1)=0,INT($B798),$B798)&lt;=$L798,"Đúng hạn","Trễ hạn"))</f>
      </c>
      <c r="N798" s="225">
        <f>IF($C798="","",ROW())</f>
      </c>
      <c r="O798" s="225">
        <f>IF($I798="Công việc",MATCH($C798,'Kế hoạch'!$A$6:$A$305,0),"")</f>
      </c>
      <c r="P798" s="234">
        <f>IF($O798="","",INDEX('Kế hoạch'!$I$6:$I$305,$O798))</f>
      </c>
      <c r="Q798" s="225">
        <f>IF($O798="","",INDEX('Kế hoạch'!$AJ$6:$AJ$305,$O798))</f>
      </c>
      <c r="R798" s="225">
        <f>IF($O798="","",INDEX('Kế hoạch'!$AK$6:$AK$305,$O798))</f>
      </c>
    </row>
    <row r="799">
      <c r="A799" s="223">
        <f>IF($C799="","",COUNTIF($C$6:$C799,"?*"))</f>
      </c>
      <c r="B799" s="217"/>
      <c r="C799" s="216"/>
      <c r="D799" s="240"/>
      <c r="E799" s="218"/>
      <c r="F799" s="218"/>
      <c r="G799" s="218"/>
      <c r="H799" s="219"/>
      <c r="I799" s="223">
        <f>IF($C799="","",IF(ISNUMBER(MATCH($C799,'Phản ánh'!$A$6:$A$505,0)),"Phản ánh",IF(ISNUMBER(MATCH($C799,'Kế hoạch'!$A$6:$A$305,0)),"Công việc","Mã chưa có")))</f>
      </c>
      <c r="J799" s="221">
        <f>IF($I799="Phản ánh",INDEX('Phản ánh'!$C$6:$C$505,MATCH($C799,'Phản ánh'!$A$6:$A$505,0)),IF($I799="Công việc",INDEX('Kế hoạch'!$C$6:$C$305,$O799),""))</f>
      </c>
      <c r="K799" s="221">
        <f>IF($I799="Phản ánh",INDEX('Phản ánh'!$K$6:$K$505,MATCH($C799,'Phản ánh'!$A$6:$A$505,0))&amp;"",IF($I799="Công việc",INDEX('Kế hoạch'!$N$6:$N$305,$O799)&amp;"",""))</f>
      </c>
      <c r="L799" s="220">
        <f>IF(OR($C799="",N($B799)=0),"",IF(AND($I799="Phản ánh",$E799="Đã xử lý"),INDEX('Phản ánh'!$U$6:$U$505,MATCH($C799,'Phản ánh'!$A$6:$A$505,0)),IF(AND($I799="Công việc",OR($E799="Hoàn thành",$E799="Hoàn thành kỳ")),IF(INDEX('Kế hoạch'!$B$6:$B$305,$O799)="Đột xuất",INDEX('Kế hoạch'!$AY$6:$AY$305,$O799),IF(N($P799)=0,"",IF(INT($B799)&lt;$P799,$P799,IF($Q799&gt;0,$P799+ROUND((INT($B799)-$P799)/$Q799,0)*$Q799,IF($R799&gt;0,EDATE($P799,ROUND((DATEDIF($P799,INT($B799),"m")+(INT($B799)-EDATE($P799,DATEDIF($P799,INT($B799),"m")))/(EDATE($P799,DATEDIF($P799,INT($B799),"m")+1)-EDATE($P799,DATEDIF($P799,INT($B799),"m"))))/$R799,0)*$R799),$P799))))),"")))</f>
      </c>
      <c r="M799" s="223">
        <f>IF(OR($C799="",N($L799)=0,N($B799)=0),"",IF(IF(MOD($L799,1)=0,INT($B799),$B799)&lt;=$L799,"Đúng hạn","Trễ hạn"))</f>
      </c>
      <c r="N799" s="225">
        <f>IF($C799="","",ROW())</f>
      </c>
      <c r="O799" s="225">
        <f>IF($I799="Công việc",MATCH($C799,'Kế hoạch'!$A$6:$A$305,0),"")</f>
      </c>
      <c r="P799" s="234">
        <f>IF($O799="","",INDEX('Kế hoạch'!$I$6:$I$305,$O799))</f>
      </c>
      <c r="Q799" s="225">
        <f>IF($O799="","",INDEX('Kế hoạch'!$AJ$6:$AJ$305,$O799))</f>
      </c>
      <c r="R799" s="225">
        <f>IF($O799="","",INDEX('Kế hoạch'!$AK$6:$AK$305,$O799))</f>
      </c>
    </row>
    <row r="800">
      <c r="A800" s="223">
        <f>IF($C800="","",COUNTIF($C$6:$C800,"?*"))</f>
      </c>
      <c r="B800" s="217"/>
      <c r="C800" s="216"/>
      <c r="D800" s="240"/>
      <c r="E800" s="218"/>
      <c r="F800" s="218"/>
      <c r="G800" s="218"/>
      <c r="H800" s="219"/>
      <c r="I800" s="223">
        <f>IF($C800="","",IF(ISNUMBER(MATCH($C800,'Phản ánh'!$A$6:$A$505,0)),"Phản ánh",IF(ISNUMBER(MATCH($C800,'Kế hoạch'!$A$6:$A$305,0)),"Công việc","Mã chưa có")))</f>
      </c>
      <c r="J800" s="221">
        <f>IF($I800="Phản ánh",INDEX('Phản ánh'!$C$6:$C$505,MATCH($C800,'Phản ánh'!$A$6:$A$505,0)),IF($I800="Công việc",INDEX('Kế hoạch'!$C$6:$C$305,$O800),""))</f>
      </c>
      <c r="K800" s="221">
        <f>IF($I800="Phản ánh",INDEX('Phản ánh'!$K$6:$K$505,MATCH($C800,'Phản ánh'!$A$6:$A$505,0))&amp;"",IF($I800="Công việc",INDEX('Kế hoạch'!$N$6:$N$305,$O800)&amp;"",""))</f>
      </c>
      <c r="L800" s="220">
        <f>IF(OR($C800="",N($B800)=0),"",IF(AND($I800="Phản ánh",$E800="Đã xử lý"),INDEX('Phản ánh'!$U$6:$U$505,MATCH($C800,'Phản ánh'!$A$6:$A$505,0)),IF(AND($I800="Công việc",OR($E800="Hoàn thành",$E800="Hoàn thành kỳ")),IF(INDEX('Kế hoạch'!$B$6:$B$305,$O800)="Đột xuất",INDEX('Kế hoạch'!$AY$6:$AY$305,$O800),IF(N($P800)=0,"",IF(INT($B800)&lt;$P800,$P800,IF($Q800&gt;0,$P800+ROUND((INT($B800)-$P800)/$Q800,0)*$Q800,IF($R800&gt;0,EDATE($P800,ROUND((DATEDIF($P800,INT($B800),"m")+(INT($B800)-EDATE($P800,DATEDIF($P800,INT($B800),"m")))/(EDATE($P800,DATEDIF($P800,INT($B800),"m")+1)-EDATE($P800,DATEDIF($P800,INT($B800),"m"))))/$R800,0)*$R800),$P800))))),"")))</f>
      </c>
      <c r="M800" s="223">
        <f>IF(OR($C800="",N($L800)=0,N($B800)=0),"",IF(IF(MOD($L800,1)=0,INT($B800),$B800)&lt;=$L800,"Đúng hạn","Trễ hạn"))</f>
      </c>
      <c r="N800" s="225">
        <f>IF($C800="","",ROW())</f>
      </c>
      <c r="O800" s="225">
        <f>IF($I800="Công việc",MATCH($C800,'Kế hoạch'!$A$6:$A$305,0),"")</f>
      </c>
      <c r="P800" s="234">
        <f>IF($O800="","",INDEX('Kế hoạch'!$I$6:$I$305,$O800))</f>
      </c>
      <c r="Q800" s="225">
        <f>IF($O800="","",INDEX('Kế hoạch'!$AJ$6:$AJ$305,$O800))</f>
      </c>
      <c r="R800" s="225">
        <f>IF($O800="","",INDEX('Kế hoạch'!$AK$6:$AK$305,$O800))</f>
      </c>
    </row>
    <row r="801">
      <c r="A801" s="223">
        <f>IF($C801="","",COUNTIF($C$6:$C801,"?*"))</f>
      </c>
      <c r="B801" s="217"/>
      <c r="C801" s="216"/>
      <c r="D801" s="240"/>
      <c r="E801" s="218"/>
      <c r="F801" s="218"/>
      <c r="G801" s="218"/>
      <c r="H801" s="219"/>
      <c r="I801" s="223">
        <f>IF($C801="","",IF(ISNUMBER(MATCH($C801,'Phản ánh'!$A$6:$A$505,0)),"Phản ánh",IF(ISNUMBER(MATCH($C801,'Kế hoạch'!$A$6:$A$305,0)),"Công việc","Mã chưa có")))</f>
      </c>
      <c r="J801" s="221">
        <f>IF($I801="Phản ánh",INDEX('Phản ánh'!$C$6:$C$505,MATCH($C801,'Phản ánh'!$A$6:$A$505,0)),IF($I801="Công việc",INDEX('Kế hoạch'!$C$6:$C$305,$O801),""))</f>
      </c>
      <c r="K801" s="221">
        <f>IF($I801="Phản ánh",INDEX('Phản ánh'!$K$6:$K$505,MATCH($C801,'Phản ánh'!$A$6:$A$505,0))&amp;"",IF($I801="Công việc",INDEX('Kế hoạch'!$N$6:$N$305,$O801)&amp;"",""))</f>
      </c>
      <c r="L801" s="220">
        <f>IF(OR($C801="",N($B801)=0),"",IF(AND($I801="Phản ánh",$E801="Đã xử lý"),INDEX('Phản ánh'!$U$6:$U$505,MATCH($C801,'Phản ánh'!$A$6:$A$505,0)),IF(AND($I801="Công việc",OR($E801="Hoàn thành",$E801="Hoàn thành kỳ")),IF(INDEX('Kế hoạch'!$B$6:$B$305,$O801)="Đột xuất",INDEX('Kế hoạch'!$AY$6:$AY$305,$O801),IF(N($P801)=0,"",IF(INT($B801)&lt;$P801,$P801,IF($Q801&gt;0,$P801+ROUND((INT($B801)-$P801)/$Q801,0)*$Q801,IF($R801&gt;0,EDATE($P801,ROUND((DATEDIF($P801,INT($B801),"m")+(INT($B801)-EDATE($P801,DATEDIF($P801,INT($B801),"m")))/(EDATE($P801,DATEDIF($P801,INT($B801),"m")+1)-EDATE($P801,DATEDIF($P801,INT($B801),"m"))))/$R801,0)*$R801),$P801))))),"")))</f>
      </c>
      <c r="M801" s="223">
        <f>IF(OR($C801="",N($L801)=0,N($B801)=0),"",IF(IF(MOD($L801,1)=0,INT($B801),$B801)&lt;=$L801,"Đúng hạn","Trễ hạn"))</f>
      </c>
      <c r="N801" s="225">
        <f>IF($C801="","",ROW())</f>
      </c>
      <c r="O801" s="225">
        <f>IF($I801="Công việc",MATCH($C801,'Kế hoạch'!$A$6:$A$305,0),"")</f>
      </c>
      <c r="P801" s="234">
        <f>IF($O801="","",INDEX('Kế hoạch'!$I$6:$I$305,$O801))</f>
      </c>
      <c r="Q801" s="225">
        <f>IF($O801="","",INDEX('Kế hoạch'!$AJ$6:$AJ$305,$O801))</f>
      </c>
      <c r="R801" s="225">
        <f>IF($O801="","",INDEX('Kế hoạch'!$AK$6:$AK$305,$O801))</f>
      </c>
    </row>
    <row r="802">
      <c r="A802" s="223">
        <f>IF($C802="","",COUNTIF($C$6:$C802,"?*"))</f>
      </c>
      <c r="B802" s="217"/>
      <c r="C802" s="216"/>
      <c r="D802" s="240"/>
      <c r="E802" s="218"/>
      <c r="F802" s="218"/>
      <c r="G802" s="218"/>
      <c r="H802" s="219"/>
      <c r="I802" s="223">
        <f>IF($C802="","",IF(ISNUMBER(MATCH($C802,'Phản ánh'!$A$6:$A$505,0)),"Phản ánh",IF(ISNUMBER(MATCH($C802,'Kế hoạch'!$A$6:$A$305,0)),"Công việc","Mã chưa có")))</f>
      </c>
      <c r="J802" s="221">
        <f>IF($I802="Phản ánh",INDEX('Phản ánh'!$C$6:$C$505,MATCH($C802,'Phản ánh'!$A$6:$A$505,0)),IF($I802="Công việc",INDEX('Kế hoạch'!$C$6:$C$305,$O802),""))</f>
      </c>
      <c r="K802" s="221">
        <f>IF($I802="Phản ánh",INDEX('Phản ánh'!$K$6:$K$505,MATCH($C802,'Phản ánh'!$A$6:$A$505,0))&amp;"",IF($I802="Công việc",INDEX('Kế hoạch'!$N$6:$N$305,$O802)&amp;"",""))</f>
      </c>
      <c r="L802" s="220">
        <f>IF(OR($C802="",N($B802)=0),"",IF(AND($I802="Phản ánh",$E802="Đã xử lý"),INDEX('Phản ánh'!$U$6:$U$505,MATCH($C802,'Phản ánh'!$A$6:$A$505,0)),IF(AND($I802="Công việc",OR($E802="Hoàn thành",$E802="Hoàn thành kỳ")),IF(INDEX('Kế hoạch'!$B$6:$B$305,$O802)="Đột xuất",INDEX('Kế hoạch'!$AY$6:$AY$305,$O802),IF(N($P802)=0,"",IF(INT($B802)&lt;$P802,$P802,IF($Q802&gt;0,$P802+ROUND((INT($B802)-$P802)/$Q802,0)*$Q802,IF($R802&gt;0,EDATE($P802,ROUND((DATEDIF($P802,INT($B802),"m")+(INT($B802)-EDATE($P802,DATEDIF($P802,INT($B802),"m")))/(EDATE($P802,DATEDIF($P802,INT($B802),"m")+1)-EDATE($P802,DATEDIF($P802,INT($B802),"m"))))/$R802,0)*$R802),$P802))))),"")))</f>
      </c>
      <c r="M802" s="223">
        <f>IF(OR($C802="",N($L802)=0,N($B802)=0),"",IF(IF(MOD($L802,1)=0,INT($B802),$B802)&lt;=$L802,"Đúng hạn","Trễ hạn"))</f>
      </c>
      <c r="N802" s="225">
        <f>IF($C802="","",ROW())</f>
      </c>
      <c r="O802" s="225">
        <f>IF($I802="Công việc",MATCH($C802,'Kế hoạch'!$A$6:$A$305,0),"")</f>
      </c>
      <c r="P802" s="234">
        <f>IF($O802="","",INDEX('Kế hoạch'!$I$6:$I$305,$O802))</f>
      </c>
      <c r="Q802" s="225">
        <f>IF($O802="","",INDEX('Kế hoạch'!$AJ$6:$AJ$305,$O802))</f>
      </c>
      <c r="R802" s="225">
        <f>IF($O802="","",INDEX('Kế hoạch'!$AK$6:$AK$305,$O802))</f>
      </c>
    </row>
    <row r="803">
      <c r="A803" s="223">
        <f>IF($C803="","",COUNTIF($C$6:$C803,"?*"))</f>
      </c>
      <c r="B803" s="217"/>
      <c r="C803" s="216"/>
      <c r="D803" s="240"/>
      <c r="E803" s="218"/>
      <c r="F803" s="218"/>
      <c r="G803" s="218"/>
      <c r="H803" s="219"/>
      <c r="I803" s="223">
        <f>IF($C803="","",IF(ISNUMBER(MATCH($C803,'Phản ánh'!$A$6:$A$505,0)),"Phản ánh",IF(ISNUMBER(MATCH($C803,'Kế hoạch'!$A$6:$A$305,0)),"Công việc","Mã chưa có")))</f>
      </c>
      <c r="J803" s="221">
        <f>IF($I803="Phản ánh",INDEX('Phản ánh'!$C$6:$C$505,MATCH($C803,'Phản ánh'!$A$6:$A$505,0)),IF($I803="Công việc",INDEX('Kế hoạch'!$C$6:$C$305,$O803),""))</f>
      </c>
      <c r="K803" s="221">
        <f>IF($I803="Phản ánh",INDEX('Phản ánh'!$K$6:$K$505,MATCH($C803,'Phản ánh'!$A$6:$A$505,0))&amp;"",IF($I803="Công việc",INDEX('Kế hoạch'!$N$6:$N$305,$O803)&amp;"",""))</f>
      </c>
      <c r="L803" s="220">
        <f>IF(OR($C803="",N($B803)=0),"",IF(AND($I803="Phản ánh",$E803="Đã xử lý"),INDEX('Phản ánh'!$U$6:$U$505,MATCH($C803,'Phản ánh'!$A$6:$A$505,0)),IF(AND($I803="Công việc",OR($E803="Hoàn thành",$E803="Hoàn thành kỳ")),IF(INDEX('Kế hoạch'!$B$6:$B$305,$O803)="Đột xuất",INDEX('Kế hoạch'!$AY$6:$AY$305,$O803),IF(N($P803)=0,"",IF(INT($B803)&lt;$P803,$P803,IF($Q803&gt;0,$P803+ROUND((INT($B803)-$P803)/$Q803,0)*$Q803,IF($R803&gt;0,EDATE($P803,ROUND((DATEDIF($P803,INT($B803),"m")+(INT($B803)-EDATE($P803,DATEDIF($P803,INT($B803),"m")))/(EDATE($P803,DATEDIF($P803,INT($B803),"m")+1)-EDATE($P803,DATEDIF($P803,INT($B803),"m"))))/$R803,0)*$R803),$P803))))),"")))</f>
      </c>
      <c r="M803" s="223">
        <f>IF(OR($C803="",N($L803)=0,N($B803)=0),"",IF(IF(MOD($L803,1)=0,INT($B803),$B803)&lt;=$L803,"Đúng hạn","Trễ hạn"))</f>
      </c>
      <c r="N803" s="225">
        <f>IF($C803="","",ROW())</f>
      </c>
      <c r="O803" s="225">
        <f>IF($I803="Công việc",MATCH($C803,'Kế hoạch'!$A$6:$A$305,0),"")</f>
      </c>
      <c r="P803" s="234">
        <f>IF($O803="","",INDEX('Kế hoạch'!$I$6:$I$305,$O803))</f>
      </c>
      <c r="Q803" s="225">
        <f>IF($O803="","",INDEX('Kế hoạch'!$AJ$6:$AJ$305,$O803))</f>
      </c>
      <c r="R803" s="225">
        <f>IF($O803="","",INDEX('Kế hoạch'!$AK$6:$AK$305,$O803))</f>
      </c>
    </row>
    <row r="804">
      <c r="A804" s="223">
        <f>IF($C804="","",COUNTIF($C$6:$C804,"?*"))</f>
      </c>
      <c r="B804" s="217"/>
      <c r="C804" s="216"/>
      <c r="D804" s="240"/>
      <c r="E804" s="218"/>
      <c r="F804" s="218"/>
      <c r="G804" s="218"/>
      <c r="H804" s="219"/>
      <c r="I804" s="223">
        <f>IF($C804="","",IF(ISNUMBER(MATCH($C804,'Phản ánh'!$A$6:$A$505,0)),"Phản ánh",IF(ISNUMBER(MATCH($C804,'Kế hoạch'!$A$6:$A$305,0)),"Công việc","Mã chưa có")))</f>
      </c>
      <c r="J804" s="221">
        <f>IF($I804="Phản ánh",INDEX('Phản ánh'!$C$6:$C$505,MATCH($C804,'Phản ánh'!$A$6:$A$505,0)),IF($I804="Công việc",INDEX('Kế hoạch'!$C$6:$C$305,$O804),""))</f>
      </c>
      <c r="K804" s="221">
        <f>IF($I804="Phản ánh",INDEX('Phản ánh'!$K$6:$K$505,MATCH($C804,'Phản ánh'!$A$6:$A$505,0))&amp;"",IF($I804="Công việc",INDEX('Kế hoạch'!$N$6:$N$305,$O804)&amp;"",""))</f>
      </c>
      <c r="L804" s="220">
        <f>IF(OR($C804="",N($B804)=0),"",IF(AND($I804="Phản ánh",$E804="Đã xử lý"),INDEX('Phản ánh'!$U$6:$U$505,MATCH($C804,'Phản ánh'!$A$6:$A$505,0)),IF(AND($I804="Công việc",OR($E804="Hoàn thành",$E804="Hoàn thành kỳ")),IF(INDEX('Kế hoạch'!$B$6:$B$305,$O804)="Đột xuất",INDEX('Kế hoạch'!$AY$6:$AY$305,$O804),IF(N($P804)=0,"",IF(INT($B804)&lt;$P804,$P804,IF($Q804&gt;0,$P804+ROUND((INT($B804)-$P804)/$Q804,0)*$Q804,IF($R804&gt;0,EDATE($P804,ROUND((DATEDIF($P804,INT($B804),"m")+(INT($B804)-EDATE($P804,DATEDIF($P804,INT($B804),"m")))/(EDATE($P804,DATEDIF($P804,INT($B804),"m")+1)-EDATE($P804,DATEDIF($P804,INT($B804),"m"))))/$R804,0)*$R804),$P804))))),"")))</f>
      </c>
      <c r="M804" s="223">
        <f>IF(OR($C804="",N($L804)=0,N($B804)=0),"",IF(IF(MOD($L804,1)=0,INT($B804),$B804)&lt;=$L804,"Đúng hạn","Trễ hạn"))</f>
      </c>
      <c r="N804" s="225">
        <f>IF($C804="","",ROW())</f>
      </c>
      <c r="O804" s="225">
        <f>IF($I804="Công việc",MATCH($C804,'Kế hoạch'!$A$6:$A$305,0),"")</f>
      </c>
      <c r="P804" s="234">
        <f>IF($O804="","",INDEX('Kế hoạch'!$I$6:$I$305,$O804))</f>
      </c>
      <c r="Q804" s="225">
        <f>IF($O804="","",INDEX('Kế hoạch'!$AJ$6:$AJ$305,$O804))</f>
      </c>
      <c r="R804" s="225">
        <f>IF($O804="","",INDEX('Kế hoạch'!$AK$6:$AK$305,$O804))</f>
      </c>
    </row>
    <row r="805">
      <c r="A805" s="223">
        <f>IF($C805="","",COUNTIF($C$6:$C805,"?*"))</f>
      </c>
      <c r="B805" s="217"/>
      <c r="C805" s="216"/>
      <c r="D805" s="240"/>
      <c r="E805" s="218"/>
      <c r="F805" s="218"/>
      <c r="G805" s="218"/>
      <c r="H805" s="219"/>
      <c r="I805" s="223">
        <f>IF($C805="","",IF(ISNUMBER(MATCH($C805,'Phản ánh'!$A$6:$A$505,0)),"Phản ánh",IF(ISNUMBER(MATCH($C805,'Kế hoạch'!$A$6:$A$305,0)),"Công việc","Mã chưa có")))</f>
      </c>
      <c r="J805" s="221">
        <f>IF($I805="Phản ánh",INDEX('Phản ánh'!$C$6:$C$505,MATCH($C805,'Phản ánh'!$A$6:$A$505,0)),IF($I805="Công việc",INDEX('Kế hoạch'!$C$6:$C$305,$O805),""))</f>
      </c>
      <c r="K805" s="221">
        <f>IF($I805="Phản ánh",INDEX('Phản ánh'!$K$6:$K$505,MATCH($C805,'Phản ánh'!$A$6:$A$505,0))&amp;"",IF($I805="Công việc",INDEX('Kế hoạch'!$N$6:$N$305,$O805)&amp;"",""))</f>
      </c>
      <c r="L805" s="220">
        <f>IF(OR($C805="",N($B805)=0),"",IF(AND($I805="Phản ánh",$E805="Đã xử lý"),INDEX('Phản ánh'!$U$6:$U$505,MATCH($C805,'Phản ánh'!$A$6:$A$505,0)),IF(AND($I805="Công việc",OR($E805="Hoàn thành",$E805="Hoàn thành kỳ")),IF(INDEX('Kế hoạch'!$B$6:$B$305,$O805)="Đột xuất",INDEX('Kế hoạch'!$AY$6:$AY$305,$O805),IF(N($P805)=0,"",IF(INT($B805)&lt;$P805,$P805,IF($Q805&gt;0,$P805+ROUND((INT($B805)-$P805)/$Q805,0)*$Q805,IF($R805&gt;0,EDATE($P805,ROUND((DATEDIF($P805,INT($B805),"m")+(INT($B805)-EDATE($P805,DATEDIF($P805,INT($B805),"m")))/(EDATE($P805,DATEDIF($P805,INT($B805),"m")+1)-EDATE($P805,DATEDIF($P805,INT($B805),"m"))))/$R805,0)*$R805),$P805))))),"")))</f>
      </c>
      <c r="M805" s="223">
        <f>IF(OR($C805="",N($L805)=0,N($B805)=0),"",IF(IF(MOD($L805,1)=0,INT($B805),$B805)&lt;=$L805,"Đúng hạn","Trễ hạn"))</f>
      </c>
      <c r="N805" s="225">
        <f>IF($C805="","",ROW())</f>
      </c>
      <c r="O805" s="225">
        <f>IF($I805="Công việc",MATCH($C805,'Kế hoạch'!$A$6:$A$305,0),"")</f>
      </c>
      <c r="P805" s="234">
        <f>IF($O805="","",INDEX('Kế hoạch'!$I$6:$I$305,$O805))</f>
      </c>
      <c r="Q805" s="225">
        <f>IF($O805="","",INDEX('Kế hoạch'!$AJ$6:$AJ$305,$O805))</f>
      </c>
      <c r="R805" s="225">
        <f>IF($O805="","",INDEX('Kế hoạch'!$AK$6:$AK$305,$O805))</f>
      </c>
    </row>
    <row r="806">
      <c r="A806" s="223">
        <f>IF($C806="","",COUNTIF($C$6:$C806,"?*"))</f>
      </c>
      <c r="B806" s="217"/>
      <c r="C806" s="216"/>
      <c r="D806" s="240"/>
      <c r="E806" s="218"/>
      <c r="F806" s="218"/>
      <c r="G806" s="218"/>
      <c r="H806" s="219"/>
      <c r="I806" s="223">
        <f>IF($C806="","",IF(ISNUMBER(MATCH($C806,'Phản ánh'!$A$6:$A$505,0)),"Phản ánh",IF(ISNUMBER(MATCH($C806,'Kế hoạch'!$A$6:$A$305,0)),"Công việc","Mã chưa có")))</f>
      </c>
      <c r="J806" s="221">
        <f>IF($I806="Phản ánh",INDEX('Phản ánh'!$C$6:$C$505,MATCH($C806,'Phản ánh'!$A$6:$A$505,0)),IF($I806="Công việc",INDEX('Kế hoạch'!$C$6:$C$305,$O806),""))</f>
      </c>
      <c r="K806" s="221">
        <f>IF($I806="Phản ánh",INDEX('Phản ánh'!$K$6:$K$505,MATCH($C806,'Phản ánh'!$A$6:$A$505,0))&amp;"",IF($I806="Công việc",INDEX('Kế hoạch'!$N$6:$N$305,$O806)&amp;"",""))</f>
      </c>
      <c r="L806" s="220">
        <f>IF(OR($C806="",N($B806)=0),"",IF(AND($I806="Phản ánh",$E806="Đã xử lý"),INDEX('Phản ánh'!$U$6:$U$505,MATCH($C806,'Phản ánh'!$A$6:$A$505,0)),IF(AND($I806="Công việc",OR($E806="Hoàn thành",$E806="Hoàn thành kỳ")),IF(INDEX('Kế hoạch'!$B$6:$B$305,$O806)="Đột xuất",INDEX('Kế hoạch'!$AY$6:$AY$305,$O806),IF(N($P806)=0,"",IF(INT($B806)&lt;$P806,$P806,IF($Q806&gt;0,$P806+ROUND((INT($B806)-$P806)/$Q806,0)*$Q806,IF($R806&gt;0,EDATE($P806,ROUND((DATEDIF($P806,INT($B806),"m")+(INT($B806)-EDATE($P806,DATEDIF($P806,INT($B806),"m")))/(EDATE($P806,DATEDIF($P806,INT($B806),"m")+1)-EDATE($P806,DATEDIF($P806,INT($B806),"m"))))/$R806,0)*$R806),$P806))))),"")))</f>
      </c>
      <c r="M806" s="223">
        <f>IF(OR($C806="",N($L806)=0,N($B806)=0),"",IF(IF(MOD($L806,1)=0,INT($B806),$B806)&lt;=$L806,"Đúng hạn","Trễ hạn"))</f>
      </c>
      <c r="N806" s="225">
        <f>IF($C806="","",ROW())</f>
      </c>
      <c r="O806" s="225">
        <f>IF($I806="Công việc",MATCH($C806,'Kế hoạch'!$A$6:$A$305,0),"")</f>
      </c>
      <c r="P806" s="234">
        <f>IF($O806="","",INDEX('Kế hoạch'!$I$6:$I$305,$O806))</f>
      </c>
      <c r="Q806" s="225">
        <f>IF($O806="","",INDEX('Kế hoạch'!$AJ$6:$AJ$305,$O806))</f>
      </c>
      <c r="R806" s="225">
        <f>IF($O806="","",INDEX('Kế hoạch'!$AK$6:$AK$305,$O806))</f>
      </c>
    </row>
    <row r="807">
      <c r="A807" s="223">
        <f>IF($C807="","",COUNTIF($C$6:$C807,"?*"))</f>
      </c>
      <c r="B807" s="217"/>
      <c r="C807" s="216"/>
      <c r="D807" s="240"/>
      <c r="E807" s="218"/>
      <c r="F807" s="218"/>
      <c r="G807" s="218"/>
      <c r="H807" s="219"/>
      <c r="I807" s="223">
        <f>IF($C807="","",IF(ISNUMBER(MATCH($C807,'Phản ánh'!$A$6:$A$505,0)),"Phản ánh",IF(ISNUMBER(MATCH($C807,'Kế hoạch'!$A$6:$A$305,0)),"Công việc","Mã chưa có")))</f>
      </c>
      <c r="J807" s="221">
        <f>IF($I807="Phản ánh",INDEX('Phản ánh'!$C$6:$C$505,MATCH($C807,'Phản ánh'!$A$6:$A$505,0)),IF($I807="Công việc",INDEX('Kế hoạch'!$C$6:$C$305,$O807),""))</f>
      </c>
      <c r="K807" s="221">
        <f>IF($I807="Phản ánh",INDEX('Phản ánh'!$K$6:$K$505,MATCH($C807,'Phản ánh'!$A$6:$A$505,0))&amp;"",IF($I807="Công việc",INDEX('Kế hoạch'!$N$6:$N$305,$O807)&amp;"",""))</f>
      </c>
      <c r="L807" s="220">
        <f>IF(OR($C807="",N($B807)=0),"",IF(AND($I807="Phản ánh",$E807="Đã xử lý"),INDEX('Phản ánh'!$U$6:$U$505,MATCH($C807,'Phản ánh'!$A$6:$A$505,0)),IF(AND($I807="Công việc",OR($E807="Hoàn thành",$E807="Hoàn thành kỳ")),IF(INDEX('Kế hoạch'!$B$6:$B$305,$O807)="Đột xuất",INDEX('Kế hoạch'!$AY$6:$AY$305,$O807),IF(N($P807)=0,"",IF(INT($B807)&lt;$P807,$P807,IF($Q807&gt;0,$P807+ROUND((INT($B807)-$P807)/$Q807,0)*$Q807,IF($R807&gt;0,EDATE($P807,ROUND((DATEDIF($P807,INT($B807),"m")+(INT($B807)-EDATE($P807,DATEDIF($P807,INT($B807),"m")))/(EDATE($P807,DATEDIF($P807,INT($B807),"m")+1)-EDATE($P807,DATEDIF($P807,INT($B807),"m"))))/$R807,0)*$R807),$P807))))),"")))</f>
      </c>
      <c r="M807" s="223">
        <f>IF(OR($C807="",N($L807)=0,N($B807)=0),"",IF(IF(MOD($L807,1)=0,INT($B807),$B807)&lt;=$L807,"Đúng hạn","Trễ hạn"))</f>
      </c>
      <c r="N807" s="225">
        <f>IF($C807="","",ROW())</f>
      </c>
      <c r="O807" s="225">
        <f>IF($I807="Công việc",MATCH($C807,'Kế hoạch'!$A$6:$A$305,0),"")</f>
      </c>
      <c r="P807" s="234">
        <f>IF($O807="","",INDEX('Kế hoạch'!$I$6:$I$305,$O807))</f>
      </c>
      <c r="Q807" s="225">
        <f>IF($O807="","",INDEX('Kế hoạch'!$AJ$6:$AJ$305,$O807))</f>
      </c>
      <c r="R807" s="225">
        <f>IF($O807="","",INDEX('Kế hoạch'!$AK$6:$AK$305,$O807))</f>
      </c>
    </row>
    <row r="808">
      <c r="A808" s="223">
        <f>IF($C808="","",COUNTIF($C$6:$C808,"?*"))</f>
      </c>
      <c r="B808" s="217"/>
      <c r="C808" s="216"/>
      <c r="D808" s="240"/>
      <c r="E808" s="218"/>
      <c r="F808" s="218"/>
      <c r="G808" s="218"/>
      <c r="H808" s="219"/>
      <c r="I808" s="223">
        <f>IF($C808="","",IF(ISNUMBER(MATCH($C808,'Phản ánh'!$A$6:$A$505,0)),"Phản ánh",IF(ISNUMBER(MATCH($C808,'Kế hoạch'!$A$6:$A$305,0)),"Công việc","Mã chưa có")))</f>
      </c>
      <c r="J808" s="221">
        <f>IF($I808="Phản ánh",INDEX('Phản ánh'!$C$6:$C$505,MATCH($C808,'Phản ánh'!$A$6:$A$505,0)),IF($I808="Công việc",INDEX('Kế hoạch'!$C$6:$C$305,$O808),""))</f>
      </c>
      <c r="K808" s="221">
        <f>IF($I808="Phản ánh",INDEX('Phản ánh'!$K$6:$K$505,MATCH($C808,'Phản ánh'!$A$6:$A$505,0))&amp;"",IF($I808="Công việc",INDEX('Kế hoạch'!$N$6:$N$305,$O808)&amp;"",""))</f>
      </c>
      <c r="L808" s="220">
        <f>IF(OR($C808="",N($B808)=0),"",IF(AND($I808="Phản ánh",$E808="Đã xử lý"),INDEX('Phản ánh'!$U$6:$U$505,MATCH($C808,'Phản ánh'!$A$6:$A$505,0)),IF(AND($I808="Công việc",OR($E808="Hoàn thành",$E808="Hoàn thành kỳ")),IF(INDEX('Kế hoạch'!$B$6:$B$305,$O808)="Đột xuất",INDEX('Kế hoạch'!$AY$6:$AY$305,$O808),IF(N($P808)=0,"",IF(INT($B808)&lt;$P808,$P808,IF($Q808&gt;0,$P808+ROUND((INT($B808)-$P808)/$Q808,0)*$Q808,IF($R808&gt;0,EDATE($P808,ROUND((DATEDIF($P808,INT($B808),"m")+(INT($B808)-EDATE($P808,DATEDIF($P808,INT($B808),"m")))/(EDATE($P808,DATEDIF($P808,INT($B808),"m")+1)-EDATE($P808,DATEDIF($P808,INT($B808),"m"))))/$R808,0)*$R808),$P808))))),"")))</f>
      </c>
      <c r="M808" s="223">
        <f>IF(OR($C808="",N($L808)=0,N($B808)=0),"",IF(IF(MOD($L808,1)=0,INT($B808),$B808)&lt;=$L808,"Đúng hạn","Trễ hạn"))</f>
      </c>
      <c r="N808" s="225">
        <f>IF($C808="","",ROW())</f>
      </c>
      <c r="O808" s="225">
        <f>IF($I808="Công việc",MATCH($C808,'Kế hoạch'!$A$6:$A$305,0),"")</f>
      </c>
      <c r="P808" s="234">
        <f>IF($O808="","",INDEX('Kế hoạch'!$I$6:$I$305,$O808))</f>
      </c>
      <c r="Q808" s="225">
        <f>IF($O808="","",INDEX('Kế hoạch'!$AJ$6:$AJ$305,$O808))</f>
      </c>
      <c r="R808" s="225">
        <f>IF($O808="","",INDEX('Kế hoạch'!$AK$6:$AK$305,$O808))</f>
      </c>
    </row>
    <row r="809">
      <c r="A809" s="223">
        <f>IF($C809="","",COUNTIF($C$6:$C809,"?*"))</f>
      </c>
      <c r="B809" s="217"/>
      <c r="C809" s="216"/>
      <c r="D809" s="240"/>
      <c r="E809" s="218"/>
      <c r="F809" s="218"/>
      <c r="G809" s="218"/>
      <c r="H809" s="219"/>
      <c r="I809" s="223">
        <f>IF($C809="","",IF(ISNUMBER(MATCH($C809,'Phản ánh'!$A$6:$A$505,0)),"Phản ánh",IF(ISNUMBER(MATCH($C809,'Kế hoạch'!$A$6:$A$305,0)),"Công việc","Mã chưa có")))</f>
      </c>
      <c r="J809" s="221">
        <f>IF($I809="Phản ánh",INDEX('Phản ánh'!$C$6:$C$505,MATCH($C809,'Phản ánh'!$A$6:$A$505,0)),IF($I809="Công việc",INDEX('Kế hoạch'!$C$6:$C$305,$O809),""))</f>
      </c>
      <c r="K809" s="221">
        <f>IF($I809="Phản ánh",INDEX('Phản ánh'!$K$6:$K$505,MATCH($C809,'Phản ánh'!$A$6:$A$505,0))&amp;"",IF($I809="Công việc",INDEX('Kế hoạch'!$N$6:$N$305,$O809)&amp;"",""))</f>
      </c>
      <c r="L809" s="220">
        <f>IF(OR($C809="",N($B809)=0),"",IF(AND($I809="Phản ánh",$E809="Đã xử lý"),INDEX('Phản ánh'!$U$6:$U$505,MATCH($C809,'Phản ánh'!$A$6:$A$505,0)),IF(AND($I809="Công việc",OR($E809="Hoàn thành",$E809="Hoàn thành kỳ")),IF(INDEX('Kế hoạch'!$B$6:$B$305,$O809)="Đột xuất",INDEX('Kế hoạch'!$AY$6:$AY$305,$O809),IF(N($P809)=0,"",IF(INT($B809)&lt;$P809,$P809,IF($Q809&gt;0,$P809+ROUND((INT($B809)-$P809)/$Q809,0)*$Q809,IF($R809&gt;0,EDATE($P809,ROUND((DATEDIF($P809,INT($B809),"m")+(INT($B809)-EDATE($P809,DATEDIF($P809,INT($B809),"m")))/(EDATE($P809,DATEDIF($P809,INT($B809),"m")+1)-EDATE($P809,DATEDIF($P809,INT($B809),"m"))))/$R809,0)*$R809),$P809))))),"")))</f>
      </c>
      <c r="M809" s="223">
        <f>IF(OR($C809="",N($L809)=0,N($B809)=0),"",IF(IF(MOD($L809,1)=0,INT($B809),$B809)&lt;=$L809,"Đúng hạn","Trễ hạn"))</f>
      </c>
      <c r="N809" s="225">
        <f>IF($C809="","",ROW())</f>
      </c>
      <c r="O809" s="225">
        <f>IF($I809="Công việc",MATCH($C809,'Kế hoạch'!$A$6:$A$305,0),"")</f>
      </c>
      <c r="P809" s="234">
        <f>IF($O809="","",INDEX('Kế hoạch'!$I$6:$I$305,$O809))</f>
      </c>
      <c r="Q809" s="225">
        <f>IF($O809="","",INDEX('Kế hoạch'!$AJ$6:$AJ$305,$O809))</f>
      </c>
      <c r="R809" s="225">
        <f>IF($O809="","",INDEX('Kế hoạch'!$AK$6:$AK$305,$O809))</f>
      </c>
    </row>
    <row r="810">
      <c r="A810" s="223">
        <f>IF($C810="","",COUNTIF($C$6:$C810,"?*"))</f>
      </c>
      <c r="B810" s="217"/>
      <c r="C810" s="216"/>
      <c r="D810" s="240"/>
      <c r="E810" s="218"/>
      <c r="F810" s="218"/>
      <c r="G810" s="218"/>
      <c r="H810" s="219"/>
      <c r="I810" s="223">
        <f>IF($C810="","",IF(ISNUMBER(MATCH($C810,'Phản ánh'!$A$6:$A$505,0)),"Phản ánh",IF(ISNUMBER(MATCH($C810,'Kế hoạch'!$A$6:$A$305,0)),"Công việc","Mã chưa có")))</f>
      </c>
      <c r="J810" s="221">
        <f>IF($I810="Phản ánh",INDEX('Phản ánh'!$C$6:$C$505,MATCH($C810,'Phản ánh'!$A$6:$A$505,0)),IF($I810="Công việc",INDEX('Kế hoạch'!$C$6:$C$305,$O810),""))</f>
      </c>
      <c r="K810" s="221">
        <f>IF($I810="Phản ánh",INDEX('Phản ánh'!$K$6:$K$505,MATCH($C810,'Phản ánh'!$A$6:$A$505,0))&amp;"",IF($I810="Công việc",INDEX('Kế hoạch'!$N$6:$N$305,$O810)&amp;"",""))</f>
      </c>
      <c r="L810" s="220">
        <f>IF(OR($C810="",N($B810)=0),"",IF(AND($I810="Phản ánh",$E810="Đã xử lý"),INDEX('Phản ánh'!$U$6:$U$505,MATCH($C810,'Phản ánh'!$A$6:$A$505,0)),IF(AND($I810="Công việc",OR($E810="Hoàn thành",$E810="Hoàn thành kỳ")),IF(INDEX('Kế hoạch'!$B$6:$B$305,$O810)="Đột xuất",INDEX('Kế hoạch'!$AY$6:$AY$305,$O810),IF(N($P810)=0,"",IF(INT($B810)&lt;$P810,$P810,IF($Q810&gt;0,$P810+ROUND((INT($B810)-$P810)/$Q810,0)*$Q810,IF($R810&gt;0,EDATE($P810,ROUND((DATEDIF($P810,INT($B810),"m")+(INT($B810)-EDATE($P810,DATEDIF($P810,INT($B810),"m")))/(EDATE($P810,DATEDIF($P810,INT($B810),"m")+1)-EDATE($P810,DATEDIF($P810,INT($B810),"m"))))/$R810,0)*$R810),$P810))))),"")))</f>
      </c>
      <c r="M810" s="223">
        <f>IF(OR($C810="",N($L810)=0,N($B810)=0),"",IF(IF(MOD($L810,1)=0,INT($B810),$B810)&lt;=$L810,"Đúng hạn","Trễ hạn"))</f>
      </c>
      <c r="N810" s="225">
        <f>IF($C810="","",ROW())</f>
      </c>
      <c r="O810" s="225">
        <f>IF($I810="Công việc",MATCH($C810,'Kế hoạch'!$A$6:$A$305,0),"")</f>
      </c>
      <c r="P810" s="234">
        <f>IF($O810="","",INDEX('Kế hoạch'!$I$6:$I$305,$O810))</f>
      </c>
      <c r="Q810" s="225">
        <f>IF($O810="","",INDEX('Kế hoạch'!$AJ$6:$AJ$305,$O810))</f>
      </c>
      <c r="R810" s="225">
        <f>IF($O810="","",INDEX('Kế hoạch'!$AK$6:$AK$305,$O810))</f>
      </c>
    </row>
    <row r="811">
      <c r="A811" s="223">
        <f>IF($C811="","",COUNTIF($C$6:$C811,"?*"))</f>
      </c>
      <c r="B811" s="217"/>
      <c r="C811" s="216"/>
      <c r="D811" s="240"/>
      <c r="E811" s="218"/>
      <c r="F811" s="218"/>
      <c r="G811" s="218"/>
      <c r="H811" s="219"/>
      <c r="I811" s="223">
        <f>IF($C811="","",IF(ISNUMBER(MATCH($C811,'Phản ánh'!$A$6:$A$505,0)),"Phản ánh",IF(ISNUMBER(MATCH($C811,'Kế hoạch'!$A$6:$A$305,0)),"Công việc","Mã chưa có")))</f>
      </c>
      <c r="J811" s="221">
        <f>IF($I811="Phản ánh",INDEX('Phản ánh'!$C$6:$C$505,MATCH($C811,'Phản ánh'!$A$6:$A$505,0)),IF($I811="Công việc",INDEX('Kế hoạch'!$C$6:$C$305,$O811),""))</f>
      </c>
      <c r="K811" s="221">
        <f>IF($I811="Phản ánh",INDEX('Phản ánh'!$K$6:$K$505,MATCH($C811,'Phản ánh'!$A$6:$A$505,0))&amp;"",IF($I811="Công việc",INDEX('Kế hoạch'!$N$6:$N$305,$O811)&amp;"",""))</f>
      </c>
      <c r="L811" s="220">
        <f>IF(OR($C811="",N($B811)=0),"",IF(AND($I811="Phản ánh",$E811="Đã xử lý"),INDEX('Phản ánh'!$U$6:$U$505,MATCH($C811,'Phản ánh'!$A$6:$A$505,0)),IF(AND($I811="Công việc",OR($E811="Hoàn thành",$E811="Hoàn thành kỳ")),IF(INDEX('Kế hoạch'!$B$6:$B$305,$O811)="Đột xuất",INDEX('Kế hoạch'!$AY$6:$AY$305,$O811),IF(N($P811)=0,"",IF(INT($B811)&lt;$P811,$P811,IF($Q811&gt;0,$P811+ROUND((INT($B811)-$P811)/$Q811,0)*$Q811,IF($R811&gt;0,EDATE($P811,ROUND((DATEDIF($P811,INT($B811),"m")+(INT($B811)-EDATE($P811,DATEDIF($P811,INT($B811),"m")))/(EDATE($P811,DATEDIF($P811,INT($B811),"m")+1)-EDATE($P811,DATEDIF($P811,INT($B811),"m"))))/$R811,0)*$R811),$P811))))),"")))</f>
      </c>
      <c r="M811" s="223">
        <f>IF(OR($C811="",N($L811)=0,N($B811)=0),"",IF(IF(MOD($L811,1)=0,INT($B811),$B811)&lt;=$L811,"Đúng hạn","Trễ hạn"))</f>
      </c>
      <c r="N811" s="225">
        <f>IF($C811="","",ROW())</f>
      </c>
      <c r="O811" s="225">
        <f>IF($I811="Công việc",MATCH($C811,'Kế hoạch'!$A$6:$A$305,0),"")</f>
      </c>
      <c r="P811" s="234">
        <f>IF($O811="","",INDEX('Kế hoạch'!$I$6:$I$305,$O811))</f>
      </c>
      <c r="Q811" s="225">
        <f>IF($O811="","",INDEX('Kế hoạch'!$AJ$6:$AJ$305,$O811))</f>
      </c>
      <c r="R811" s="225">
        <f>IF($O811="","",INDEX('Kế hoạch'!$AK$6:$AK$305,$O811))</f>
      </c>
    </row>
    <row r="812">
      <c r="A812" s="223">
        <f>IF($C812="","",COUNTIF($C$6:$C812,"?*"))</f>
      </c>
      <c r="B812" s="217"/>
      <c r="C812" s="216"/>
      <c r="D812" s="240"/>
      <c r="E812" s="218"/>
      <c r="F812" s="218"/>
      <c r="G812" s="218"/>
      <c r="H812" s="219"/>
      <c r="I812" s="223">
        <f>IF($C812="","",IF(ISNUMBER(MATCH($C812,'Phản ánh'!$A$6:$A$505,0)),"Phản ánh",IF(ISNUMBER(MATCH($C812,'Kế hoạch'!$A$6:$A$305,0)),"Công việc","Mã chưa có")))</f>
      </c>
      <c r="J812" s="221">
        <f>IF($I812="Phản ánh",INDEX('Phản ánh'!$C$6:$C$505,MATCH($C812,'Phản ánh'!$A$6:$A$505,0)),IF($I812="Công việc",INDEX('Kế hoạch'!$C$6:$C$305,$O812),""))</f>
      </c>
      <c r="K812" s="221">
        <f>IF($I812="Phản ánh",INDEX('Phản ánh'!$K$6:$K$505,MATCH($C812,'Phản ánh'!$A$6:$A$505,0))&amp;"",IF($I812="Công việc",INDEX('Kế hoạch'!$N$6:$N$305,$O812)&amp;"",""))</f>
      </c>
      <c r="L812" s="220">
        <f>IF(OR($C812="",N($B812)=0),"",IF(AND($I812="Phản ánh",$E812="Đã xử lý"),INDEX('Phản ánh'!$U$6:$U$505,MATCH($C812,'Phản ánh'!$A$6:$A$505,0)),IF(AND($I812="Công việc",OR($E812="Hoàn thành",$E812="Hoàn thành kỳ")),IF(INDEX('Kế hoạch'!$B$6:$B$305,$O812)="Đột xuất",INDEX('Kế hoạch'!$AY$6:$AY$305,$O812),IF(N($P812)=0,"",IF(INT($B812)&lt;$P812,$P812,IF($Q812&gt;0,$P812+ROUND((INT($B812)-$P812)/$Q812,0)*$Q812,IF($R812&gt;0,EDATE($P812,ROUND((DATEDIF($P812,INT($B812),"m")+(INT($B812)-EDATE($P812,DATEDIF($P812,INT($B812),"m")))/(EDATE($P812,DATEDIF($P812,INT($B812),"m")+1)-EDATE($P812,DATEDIF($P812,INT($B812),"m"))))/$R812,0)*$R812),$P812))))),"")))</f>
      </c>
      <c r="M812" s="223">
        <f>IF(OR($C812="",N($L812)=0,N($B812)=0),"",IF(IF(MOD($L812,1)=0,INT($B812),$B812)&lt;=$L812,"Đúng hạn","Trễ hạn"))</f>
      </c>
      <c r="N812" s="225">
        <f>IF($C812="","",ROW())</f>
      </c>
      <c r="O812" s="225">
        <f>IF($I812="Công việc",MATCH($C812,'Kế hoạch'!$A$6:$A$305,0),"")</f>
      </c>
      <c r="P812" s="234">
        <f>IF($O812="","",INDEX('Kế hoạch'!$I$6:$I$305,$O812))</f>
      </c>
      <c r="Q812" s="225">
        <f>IF($O812="","",INDEX('Kế hoạch'!$AJ$6:$AJ$305,$O812))</f>
      </c>
      <c r="R812" s="225">
        <f>IF($O812="","",INDEX('Kế hoạch'!$AK$6:$AK$305,$O812))</f>
      </c>
    </row>
    <row r="813">
      <c r="A813" s="223">
        <f>IF($C813="","",COUNTIF($C$6:$C813,"?*"))</f>
      </c>
      <c r="B813" s="217"/>
      <c r="C813" s="216"/>
      <c r="D813" s="240"/>
      <c r="E813" s="218"/>
      <c r="F813" s="218"/>
      <c r="G813" s="218"/>
      <c r="H813" s="219"/>
      <c r="I813" s="223">
        <f>IF($C813="","",IF(ISNUMBER(MATCH($C813,'Phản ánh'!$A$6:$A$505,0)),"Phản ánh",IF(ISNUMBER(MATCH($C813,'Kế hoạch'!$A$6:$A$305,0)),"Công việc","Mã chưa có")))</f>
      </c>
      <c r="J813" s="221">
        <f>IF($I813="Phản ánh",INDEX('Phản ánh'!$C$6:$C$505,MATCH($C813,'Phản ánh'!$A$6:$A$505,0)),IF($I813="Công việc",INDEX('Kế hoạch'!$C$6:$C$305,$O813),""))</f>
      </c>
      <c r="K813" s="221">
        <f>IF($I813="Phản ánh",INDEX('Phản ánh'!$K$6:$K$505,MATCH($C813,'Phản ánh'!$A$6:$A$505,0))&amp;"",IF($I813="Công việc",INDEX('Kế hoạch'!$N$6:$N$305,$O813)&amp;"",""))</f>
      </c>
      <c r="L813" s="220">
        <f>IF(OR($C813="",N($B813)=0),"",IF(AND($I813="Phản ánh",$E813="Đã xử lý"),INDEX('Phản ánh'!$U$6:$U$505,MATCH($C813,'Phản ánh'!$A$6:$A$505,0)),IF(AND($I813="Công việc",OR($E813="Hoàn thành",$E813="Hoàn thành kỳ")),IF(INDEX('Kế hoạch'!$B$6:$B$305,$O813)="Đột xuất",INDEX('Kế hoạch'!$AY$6:$AY$305,$O813),IF(N($P813)=0,"",IF(INT($B813)&lt;$P813,$P813,IF($Q813&gt;0,$P813+ROUND((INT($B813)-$P813)/$Q813,0)*$Q813,IF($R813&gt;0,EDATE($P813,ROUND((DATEDIF($P813,INT($B813),"m")+(INT($B813)-EDATE($P813,DATEDIF($P813,INT($B813),"m")))/(EDATE($P813,DATEDIF($P813,INT($B813),"m")+1)-EDATE($P813,DATEDIF($P813,INT($B813),"m"))))/$R813,0)*$R813),$P813))))),"")))</f>
      </c>
      <c r="M813" s="223">
        <f>IF(OR($C813="",N($L813)=0,N($B813)=0),"",IF(IF(MOD($L813,1)=0,INT($B813),$B813)&lt;=$L813,"Đúng hạn","Trễ hạn"))</f>
      </c>
      <c r="N813" s="225">
        <f>IF($C813="","",ROW())</f>
      </c>
      <c r="O813" s="225">
        <f>IF($I813="Công việc",MATCH($C813,'Kế hoạch'!$A$6:$A$305,0),"")</f>
      </c>
      <c r="P813" s="234">
        <f>IF($O813="","",INDEX('Kế hoạch'!$I$6:$I$305,$O813))</f>
      </c>
      <c r="Q813" s="225">
        <f>IF($O813="","",INDEX('Kế hoạch'!$AJ$6:$AJ$305,$O813))</f>
      </c>
      <c r="R813" s="225">
        <f>IF($O813="","",INDEX('Kế hoạch'!$AK$6:$AK$305,$O813))</f>
      </c>
    </row>
    <row r="814">
      <c r="A814" s="223">
        <f>IF($C814="","",COUNTIF($C$6:$C814,"?*"))</f>
      </c>
      <c r="B814" s="217"/>
      <c r="C814" s="216"/>
      <c r="D814" s="240"/>
      <c r="E814" s="218"/>
      <c r="F814" s="218"/>
      <c r="G814" s="218"/>
      <c r="H814" s="219"/>
      <c r="I814" s="223">
        <f>IF($C814="","",IF(ISNUMBER(MATCH($C814,'Phản ánh'!$A$6:$A$505,0)),"Phản ánh",IF(ISNUMBER(MATCH($C814,'Kế hoạch'!$A$6:$A$305,0)),"Công việc","Mã chưa có")))</f>
      </c>
      <c r="J814" s="221">
        <f>IF($I814="Phản ánh",INDEX('Phản ánh'!$C$6:$C$505,MATCH($C814,'Phản ánh'!$A$6:$A$505,0)),IF($I814="Công việc",INDEX('Kế hoạch'!$C$6:$C$305,$O814),""))</f>
      </c>
      <c r="K814" s="221">
        <f>IF($I814="Phản ánh",INDEX('Phản ánh'!$K$6:$K$505,MATCH($C814,'Phản ánh'!$A$6:$A$505,0))&amp;"",IF($I814="Công việc",INDEX('Kế hoạch'!$N$6:$N$305,$O814)&amp;"",""))</f>
      </c>
      <c r="L814" s="220">
        <f>IF(OR($C814="",N($B814)=0),"",IF(AND($I814="Phản ánh",$E814="Đã xử lý"),INDEX('Phản ánh'!$U$6:$U$505,MATCH($C814,'Phản ánh'!$A$6:$A$505,0)),IF(AND($I814="Công việc",OR($E814="Hoàn thành",$E814="Hoàn thành kỳ")),IF(INDEX('Kế hoạch'!$B$6:$B$305,$O814)="Đột xuất",INDEX('Kế hoạch'!$AY$6:$AY$305,$O814),IF(N($P814)=0,"",IF(INT($B814)&lt;$P814,$P814,IF($Q814&gt;0,$P814+ROUND((INT($B814)-$P814)/$Q814,0)*$Q814,IF($R814&gt;0,EDATE($P814,ROUND((DATEDIF($P814,INT($B814),"m")+(INT($B814)-EDATE($P814,DATEDIF($P814,INT($B814),"m")))/(EDATE($P814,DATEDIF($P814,INT($B814),"m")+1)-EDATE($P814,DATEDIF($P814,INT($B814),"m"))))/$R814,0)*$R814),$P814))))),"")))</f>
      </c>
      <c r="M814" s="223">
        <f>IF(OR($C814="",N($L814)=0,N($B814)=0),"",IF(IF(MOD($L814,1)=0,INT($B814),$B814)&lt;=$L814,"Đúng hạn","Trễ hạn"))</f>
      </c>
      <c r="N814" s="225">
        <f>IF($C814="","",ROW())</f>
      </c>
      <c r="O814" s="225">
        <f>IF($I814="Công việc",MATCH($C814,'Kế hoạch'!$A$6:$A$305,0),"")</f>
      </c>
      <c r="P814" s="234">
        <f>IF($O814="","",INDEX('Kế hoạch'!$I$6:$I$305,$O814))</f>
      </c>
      <c r="Q814" s="225">
        <f>IF($O814="","",INDEX('Kế hoạch'!$AJ$6:$AJ$305,$O814))</f>
      </c>
      <c r="R814" s="225">
        <f>IF($O814="","",INDEX('Kế hoạch'!$AK$6:$AK$305,$O814))</f>
      </c>
    </row>
    <row r="815">
      <c r="A815" s="223">
        <f>IF($C815="","",COUNTIF($C$6:$C815,"?*"))</f>
      </c>
      <c r="B815" s="217"/>
      <c r="C815" s="216"/>
      <c r="D815" s="240"/>
      <c r="E815" s="218"/>
      <c r="F815" s="218"/>
      <c r="G815" s="218"/>
      <c r="H815" s="219"/>
      <c r="I815" s="223">
        <f>IF($C815="","",IF(ISNUMBER(MATCH($C815,'Phản ánh'!$A$6:$A$505,0)),"Phản ánh",IF(ISNUMBER(MATCH($C815,'Kế hoạch'!$A$6:$A$305,0)),"Công việc","Mã chưa có")))</f>
      </c>
      <c r="J815" s="221">
        <f>IF($I815="Phản ánh",INDEX('Phản ánh'!$C$6:$C$505,MATCH($C815,'Phản ánh'!$A$6:$A$505,0)),IF($I815="Công việc",INDEX('Kế hoạch'!$C$6:$C$305,$O815),""))</f>
      </c>
      <c r="K815" s="221">
        <f>IF($I815="Phản ánh",INDEX('Phản ánh'!$K$6:$K$505,MATCH($C815,'Phản ánh'!$A$6:$A$505,0))&amp;"",IF($I815="Công việc",INDEX('Kế hoạch'!$N$6:$N$305,$O815)&amp;"",""))</f>
      </c>
      <c r="L815" s="220">
        <f>IF(OR($C815="",N($B815)=0),"",IF(AND($I815="Phản ánh",$E815="Đã xử lý"),INDEX('Phản ánh'!$U$6:$U$505,MATCH($C815,'Phản ánh'!$A$6:$A$505,0)),IF(AND($I815="Công việc",OR($E815="Hoàn thành",$E815="Hoàn thành kỳ")),IF(INDEX('Kế hoạch'!$B$6:$B$305,$O815)="Đột xuất",INDEX('Kế hoạch'!$AY$6:$AY$305,$O815),IF(N($P815)=0,"",IF(INT($B815)&lt;$P815,$P815,IF($Q815&gt;0,$P815+ROUND((INT($B815)-$P815)/$Q815,0)*$Q815,IF($R815&gt;0,EDATE($P815,ROUND((DATEDIF($P815,INT($B815),"m")+(INT($B815)-EDATE($P815,DATEDIF($P815,INT($B815),"m")))/(EDATE($P815,DATEDIF($P815,INT($B815),"m")+1)-EDATE($P815,DATEDIF($P815,INT($B815),"m"))))/$R815,0)*$R815),$P815))))),"")))</f>
      </c>
      <c r="M815" s="223">
        <f>IF(OR($C815="",N($L815)=0,N($B815)=0),"",IF(IF(MOD($L815,1)=0,INT($B815),$B815)&lt;=$L815,"Đúng hạn","Trễ hạn"))</f>
      </c>
      <c r="N815" s="225">
        <f>IF($C815="","",ROW())</f>
      </c>
      <c r="O815" s="225">
        <f>IF($I815="Công việc",MATCH($C815,'Kế hoạch'!$A$6:$A$305,0),"")</f>
      </c>
      <c r="P815" s="234">
        <f>IF($O815="","",INDEX('Kế hoạch'!$I$6:$I$305,$O815))</f>
      </c>
      <c r="Q815" s="225">
        <f>IF($O815="","",INDEX('Kế hoạch'!$AJ$6:$AJ$305,$O815))</f>
      </c>
      <c r="R815" s="225">
        <f>IF($O815="","",INDEX('Kế hoạch'!$AK$6:$AK$305,$O815))</f>
      </c>
    </row>
    <row r="816">
      <c r="A816" s="223">
        <f>IF($C816="","",COUNTIF($C$6:$C816,"?*"))</f>
      </c>
      <c r="B816" s="217"/>
      <c r="C816" s="216"/>
      <c r="D816" s="240"/>
      <c r="E816" s="218"/>
      <c r="F816" s="218"/>
      <c r="G816" s="218"/>
      <c r="H816" s="219"/>
      <c r="I816" s="223">
        <f>IF($C816="","",IF(ISNUMBER(MATCH($C816,'Phản ánh'!$A$6:$A$505,0)),"Phản ánh",IF(ISNUMBER(MATCH($C816,'Kế hoạch'!$A$6:$A$305,0)),"Công việc","Mã chưa có")))</f>
      </c>
      <c r="J816" s="221">
        <f>IF($I816="Phản ánh",INDEX('Phản ánh'!$C$6:$C$505,MATCH($C816,'Phản ánh'!$A$6:$A$505,0)),IF($I816="Công việc",INDEX('Kế hoạch'!$C$6:$C$305,$O816),""))</f>
      </c>
      <c r="K816" s="221">
        <f>IF($I816="Phản ánh",INDEX('Phản ánh'!$K$6:$K$505,MATCH($C816,'Phản ánh'!$A$6:$A$505,0))&amp;"",IF($I816="Công việc",INDEX('Kế hoạch'!$N$6:$N$305,$O816)&amp;"",""))</f>
      </c>
      <c r="L816" s="220">
        <f>IF(OR($C816="",N($B816)=0),"",IF(AND($I816="Phản ánh",$E816="Đã xử lý"),INDEX('Phản ánh'!$U$6:$U$505,MATCH($C816,'Phản ánh'!$A$6:$A$505,0)),IF(AND($I816="Công việc",OR($E816="Hoàn thành",$E816="Hoàn thành kỳ")),IF(INDEX('Kế hoạch'!$B$6:$B$305,$O816)="Đột xuất",INDEX('Kế hoạch'!$AY$6:$AY$305,$O816),IF(N($P816)=0,"",IF(INT($B816)&lt;$P816,$P816,IF($Q816&gt;0,$P816+ROUND((INT($B816)-$P816)/$Q816,0)*$Q816,IF($R816&gt;0,EDATE($P816,ROUND((DATEDIF($P816,INT($B816),"m")+(INT($B816)-EDATE($P816,DATEDIF($P816,INT($B816),"m")))/(EDATE($P816,DATEDIF($P816,INT($B816),"m")+1)-EDATE($P816,DATEDIF($P816,INT($B816),"m"))))/$R816,0)*$R816),$P816))))),"")))</f>
      </c>
      <c r="M816" s="223">
        <f>IF(OR($C816="",N($L816)=0,N($B816)=0),"",IF(IF(MOD($L816,1)=0,INT($B816),$B816)&lt;=$L816,"Đúng hạn","Trễ hạn"))</f>
      </c>
      <c r="N816" s="225">
        <f>IF($C816="","",ROW())</f>
      </c>
      <c r="O816" s="225">
        <f>IF($I816="Công việc",MATCH($C816,'Kế hoạch'!$A$6:$A$305,0),"")</f>
      </c>
      <c r="P816" s="234">
        <f>IF($O816="","",INDEX('Kế hoạch'!$I$6:$I$305,$O816))</f>
      </c>
      <c r="Q816" s="225">
        <f>IF($O816="","",INDEX('Kế hoạch'!$AJ$6:$AJ$305,$O816))</f>
      </c>
      <c r="R816" s="225">
        <f>IF($O816="","",INDEX('Kế hoạch'!$AK$6:$AK$305,$O816))</f>
      </c>
    </row>
    <row r="817">
      <c r="A817" s="223">
        <f>IF($C817="","",COUNTIF($C$6:$C817,"?*"))</f>
      </c>
      <c r="B817" s="217"/>
      <c r="C817" s="216"/>
      <c r="D817" s="240"/>
      <c r="E817" s="218"/>
      <c r="F817" s="218"/>
      <c r="G817" s="218"/>
      <c r="H817" s="219"/>
      <c r="I817" s="223">
        <f>IF($C817="","",IF(ISNUMBER(MATCH($C817,'Phản ánh'!$A$6:$A$505,0)),"Phản ánh",IF(ISNUMBER(MATCH($C817,'Kế hoạch'!$A$6:$A$305,0)),"Công việc","Mã chưa có")))</f>
      </c>
      <c r="J817" s="221">
        <f>IF($I817="Phản ánh",INDEX('Phản ánh'!$C$6:$C$505,MATCH($C817,'Phản ánh'!$A$6:$A$505,0)),IF($I817="Công việc",INDEX('Kế hoạch'!$C$6:$C$305,$O817),""))</f>
      </c>
      <c r="K817" s="221">
        <f>IF($I817="Phản ánh",INDEX('Phản ánh'!$K$6:$K$505,MATCH($C817,'Phản ánh'!$A$6:$A$505,0))&amp;"",IF($I817="Công việc",INDEX('Kế hoạch'!$N$6:$N$305,$O817)&amp;"",""))</f>
      </c>
      <c r="L817" s="220">
        <f>IF(OR($C817="",N($B817)=0),"",IF(AND($I817="Phản ánh",$E817="Đã xử lý"),INDEX('Phản ánh'!$U$6:$U$505,MATCH($C817,'Phản ánh'!$A$6:$A$505,0)),IF(AND($I817="Công việc",OR($E817="Hoàn thành",$E817="Hoàn thành kỳ")),IF(INDEX('Kế hoạch'!$B$6:$B$305,$O817)="Đột xuất",INDEX('Kế hoạch'!$AY$6:$AY$305,$O817),IF(N($P817)=0,"",IF(INT($B817)&lt;$P817,$P817,IF($Q817&gt;0,$P817+ROUND((INT($B817)-$P817)/$Q817,0)*$Q817,IF($R817&gt;0,EDATE($P817,ROUND((DATEDIF($P817,INT($B817),"m")+(INT($B817)-EDATE($P817,DATEDIF($P817,INT($B817),"m")))/(EDATE($P817,DATEDIF($P817,INT($B817),"m")+1)-EDATE($P817,DATEDIF($P817,INT($B817),"m"))))/$R817,0)*$R817),$P817))))),"")))</f>
      </c>
      <c r="M817" s="223">
        <f>IF(OR($C817="",N($L817)=0,N($B817)=0),"",IF(IF(MOD($L817,1)=0,INT($B817),$B817)&lt;=$L817,"Đúng hạn","Trễ hạn"))</f>
      </c>
      <c r="N817" s="225">
        <f>IF($C817="","",ROW())</f>
      </c>
      <c r="O817" s="225">
        <f>IF($I817="Công việc",MATCH($C817,'Kế hoạch'!$A$6:$A$305,0),"")</f>
      </c>
      <c r="P817" s="234">
        <f>IF($O817="","",INDEX('Kế hoạch'!$I$6:$I$305,$O817))</f>
      </c>
      <c r="Q817" s="225">
        <f>IF($O817="","",INDEX('Kế hoạch'!$AJ$6:$AJ$305,$O817))</f>
      </c>
      <c r="R817" s="225">
        <f>IF($O817="","",INDEX('Kế hoạch'!$AK$6:$AK$305,$O817))</f>
      </c>
    </row>
    <row r="818">
      <c r="A818" s="223">
        <f>IF($C818="","",COUNTIF($C$6:$C818,"?*"))</f>
      </c>
      <c r="B818" s="217"/>
      <c r="C818" s="216"/>
      <c r="D818" s="240"/>
      <c r="E818" s="218"/>
      <c r="F818" s="218"/>
      <c r="G818" s="218"/>
      <c r="H818" s="219"/>
      <c r="I818" s="223">
        <f>IF($C818="","",IF(ISNUMBER(MATCH($C818,'Phản ánh'!$A$6:$A$505,0)),"Phản ánh",IF(ISNUMBER(MATCH($C818,'Kế hoạch'!$A$6:$A$305,0)),"Công việc","Mã chưa có")))</f>
      </c>
      <c r="J818" s="221">
        <f>IF($I818="Phản ánh",INDEX('Phản ánh'!$C$6:$C$505,MATCH($C818,'Phản ánh'!$A$6:$A$505,0)),IF($I818="Công việc",INDEX('Kế hoạch'!$C$6:$C$305,$O818),""))</f>
      </c>
      <c r="K818" s="221">
        <f>IF($I818="Phản ánh",INDEX('Phản ánh'!$K$6:$K$505,MATCH($C818,'Phản ánh'!$A$6:$A$505,0))&amp;"",IF($I818="Công việc",INDEX('Kế hoạch'!$N$6:$N$305,$O818)&amp;"",""))</f>
      </c>
      <c r="L818" s="220">
        <f>IF(OR($C818="",N($B818)=0),"",IF(AND($I818="Phản ánh",$E818="Đã xử lý"),INDEX('Phản ánh'!$U$6:$U$505,MATCH($C818,'Phản ánh'!$A$6:$A$505,0)),IF(AND($I818="Công việc",OR($E818="Hoàn thành",$E818="Hoàn thành kỳ")),IF(INDEX('Kế hoạch'!$B$6:$B$305,$O818)="Đột xuất",INDEX('Kế hoạch'!$AY$6:$AY$305,$O818),IF(N($P818)=0,"",IF(INT($B818)&lt;$P818,$P818,IF($Q818&gt;0,$P818+ROUND((INT($B818)-$P818)/$Q818,0)*$Q818,IF($R818&gt;0,EDATE($P818,ROUND((DATEDIF($P818,INT($B818),"m")+(INT($B818)-EDATE($P818,DATEDIF($P818,INT($B818),"m")))/(EDATE($P818,DATEDIF($P818,INT($B818),"m")+1)-EDATE($P818,DATEDIF($P818,INT($B818),"m"))))/$R818,0)*$R818),$P818))))),"")))</f>
      </c>
      <c r="M818" s="223">
        <f>IF(OR($C818="",N($L818)=0,N($B818)=0),"",IF(IF(MOD($L818,1)=0,INT($B818),$B818)&lt;=$L818,"Đúng hạn","Trễ hạn"))</f>
      </c>
      <c r="N818" s="225">
        <f>IF($C818="","",ROW())</f>
      </c>
      <c r="O818" s="225">
        <f>IF($I818="Công việc",MATCH($C818,'Kế hoạch'!$A$6:$A$305,0),"")</f>
      </c>
      <c r="P818" s="234">
        <f>IF($O818="","",INDEX('Kế hoạch'!$I$6:$I$305,$O818))</f>
      </c>
      <c r="Q818" s="225">
        <f>IF($O818="","",INDEX('Kế hoạch'!$AJ$6:$AJ$305,$O818))</f>
      </c>
      <c r="R818" s="225">
        <f>IF($O818="","",INDEX('Kế hoạch'!$AK$6:$AK$305,$O818))</f>
      </c>
    </row>
    <row r="819">
      <c r="A819" s="223">
        <f>IF($C819="","",COUNTIF($C$6:$C819,"?*"))</f>
      </c>
      <c r="B819" s="217"/>
      <c r="C819" s="216"/>
      <c r="D819" s="240"/>
      <c r="E819" s="218"/>
      <c r="F819" s="218"/>
      <c r="G819" s="218"/>
      <c r="H819" s="219"/>
      <c r="I819" s="223">
        <f>IF($C819="","",IF(ISNUMBER(MATCH($C819,'Phản ánh'!$A$6:$A$505,0)),"Phản ánh",IF(ISNUMBER(MATCH($C819,'Kế hoạch'!$A$6:$A$305,0)),"Công việc","Mã chưa có")))</f>
      </c>
      <c r="J819" s="221">
        <f>IF($I819="Phản ánh",INDEX('Phản ánh'!$C$6:$C$505,MATCH($C819,'Phản ánh'!$A$6:$A$505,0)),IF($I819="Công việc",INDEX('Kế hoạch'!$C$6:$C$305,$O819),""))</f>
      </c>
      <c r="K819" s="221">
        <f>IF($I819="Phản ánh",INDEX('Phản ánh'!$K$6:$K$505,MATCH($C819,'Phản ánh'!$A$6:$A$505,0))&amp;"",IF($I819="Công việc",INDEX('Kế hoạch'!$N$6:$N$305,$O819)&amp;"",""))</f>
      </c>
      <c r="L819" s="220">
        <f>IF(OR($C819="",N($B819)=0),"",IF(AND($I819="Phản ánh",$E819="Đã xử lý"),INDEX('Phản ánh'!$U$6:$U$505,MATCH($C819,'Phản ánh'!$A$6:$A$505,0)),IF(AND($I819="Công việc",OR($E819="Hoàn thành",$E819="Hoàn thành kỳ")),IF(INDEX('Kế hoạch'!$B$6:$B$305,$O819)="Đột xuất",INDEX('Kế hoạch'!$AY$6:$AY$305,$O819),IF(N($P819)=0,"",IF(INT($B819)&lt;$P819,$P819,IF($Q819&gt;0,$P819+ROUND((INT($B819)-$P819)/$Q819,0)*$Q819,IF($R819&gt;0,EDATE($P819,ROUND((DATEDIF($P819,INT($B819),"m")+(INT($B819)-EDATE($P819,DATEDIF($P819,INT($B819),"m")))/(EDATE($P819,DATEDIF($P819,INT($B819),"m")+1)-EDATE($P819,DATEDIF($P819,INT($B819),"m"))))/$R819,0)*$R819),$P819))))),"")))</f>
      </c>
      <c r="M819" s="223">
        <f>IF(OR($C819="",N($L819)=0,N($B819)=0),"",IF(IF(MOD($L819,1)=0,INT($B819),$B819)&lt;=$L819,"Đúng hạn","Trễ hạn"))</f>
      </c>
      <c r="N819" s="225">
        <f>IF($C819="","",ROW())</f>
      </c>
      <c r="O819" s="225">
        <f>IF($I819="Công việc",MATCH($C819,'Kế hoạch'!$A$6:$A$305,0),"")</f>
      </c>
      <c r="P819" s="234">
        <f>IF($O819="","",INDEX('Kế hoạch'!$I$6:$I$305,$O819))</f>
      </c>
      <c r="Q819" s="225">
        <f>IF($O819="","",INDEX('Kế hoạch'!$AJ$6:$AJ$305,$O819))</f>
      </c>
      <c r="R819" s="225">
        <f>IF($O819="","",INDEX('Kế hoạch'!$AK$6:$AK$305,$O819))</f>
      </c>
    </row>
    <row r="820">
      <c r="A820" s="223">
        <f>IF($C820="","",COUNTIF($C$6:$C820,"?*"))</f>
      </c>
      <c r="B820" s="217"/>
      <c r="C820" s="216"/>
      <c r="D820" s="240"/>
      <c r="E820" s="218"/>
      <c r="F820" s="218"/>
      <c r="G820" s="218"/>
      <c r="H820" s="219"/>
      <c r="I820" s="223">
        <f>IF($C820="","",IF(ISNUMBER(MATCH($C820,'Phản ánh'!$A$6:$A$505,0)),"Phản ánh",IF(ISNUMBER(MATCH($C820,'Kế hoạch'!$A$6:$A$305,0)),"Công việc","Mã chưa có")))</f>
      </c>
      <c r="J820" s="221">
        <f>IF($I820="Phản ánh",INDEX('Phản ánh'!$C$6:$C$505,MATCH($C820,'Phản ánh'!$A$6:$A$505,0)),IF($I820="Công việc",INDEX('Kế hoạch'!$C$6:$C$305,$O820),""))</f>
      </c>
      <c r="K820" s="221">
        <f>IF($I820="Phản ánh",INDEX('Phản ánh'!$K$6:$K$505,MATCH($C820,'Phản ánh'!$A$6:$A$505,0))&amp;"",IF($I820="Công việc",INDEX('Kế hoạch'!$N$6:$N$305,$O820)&amp;"",""))</f>
      </c>
      <c r="L820" s="220">
        <f>IF(OR($C820="",N($B820)=0),"",IF(AND($I820="Phản ánh",$E820="Đã xử lý"),INDEX('Phản ánh'!$U$6:$U$505,MATCH($C820,'Phản ánh'!$A$6:$A$505,0)),IF(AND($I820="Công việc",OR($E820="Hoàn thành",$E820="Hoàn thành kỳ")),IF(INDEX('Kế hoạch'!$B$6:$B$305,$O820)="Đột xuất",INDEX('Kế hoạch'!$AY$6:$AY$305,$O820),IF(N($P820)=0,"",IF(INT($B820)&lt;$P820,$P820,IF($Q820&gt;0,$P820+ROUND((INT($B820)-$P820)/$Q820,0)*$Q820,IF($R820&gt;0,EDATE($P820,ROUND((DATEDIF($P820,INT($B820),"m")+(INT($B820)-EDATE($P820,DATEDIF($P820,INT($B820),"m")))/(EDATE($P820,DATEDIF($P820,INT($B820),"m")+1)-EDATE($P820,DATEDIF($P820,INT($B820),"m"))))/$R820,0)*$R820),$P820))))),"")))</f>
      </c>
      <c r="M820" s="223">
        <f>IF(OR($C820="",N($L820)=0,N($B820)=0),"",IF(IF(MOD($L820,1)=0,INT($B820),$B820)&lt;=$L820,"Đúng hạn","Trễ hạn"))</f>
      </c>
      <c r="N820" s="225">
        <f>IF($C820="","",ROW())</f>
      </c>
      <c r="O820" s="225">
        <f>IF($I820="Công việc",MATCH($C820,'Kế hoạch'!$A$6:$A$305,0),"")</f>
      </c>
      <c r="P820" s="234">
        <f>IF($O820="","",INDEX('Kế hoạch'!$I$6:$I$305,$O820))</f>
      </c>
      <c r="Q820" s="225">
        <f>IF($O820="","",INDEX('Kế hoạch'!$AJ$6:$AJ$305,$O820))</f>
      </c>
      <c r="R820" s="225">
        <f>IF($O820="","",INDEX('Kế hoạch'!$AK$6:$AK$305,$O820))</f>
      </c>
    </row>
    <row r="821">
      <c r="A821" s="223">
        <f>IF($C821="","",COUNTIF($C$6:$C821,"?*"))</f>
      </c>
      <c r="B821" s="217"/>
      <c r="C821" s="216"/>
      <c r="D821" s="240"/>
      <c r="E821" s="218"/>
      <c r="F821" s="218"/>
      <c r="G821" s="218"/>
      <c r="H821" s="219"/>
      <c r="I821" s="223">
        <f>IF($C821="","",IF(ISNUMBER(MATCH($C821,'Phản ánh'!$A$6:$A$505,0)),"Phản ánh",IF(ISNUMBER(MATCH($C821,'Kế hoạch'!$A$6:$A$305,0)),"Công việc","Mã chưa có")))</f>
      </c>
      <c r="J821" s="221">
        <f>IF($I821="Phản ánh",INDEX('Phản ánh'!$C$6:$C$505,MATCH($C821,'Phản ánh'!$A$6:$A$505,0)),IF($I821="Công việc",INDEX('Kế hoạch'!$C$6:$C$305,$O821),""))</f>
      </c>
      <c r="K821" s="221">
        <f>IF($I821="Phản ánh",INDEX('Phản ánh'!$K$6:$K$505,MATCH($C821,'Phản ánh'!$A$6:$A$505,0))&amp;"",IF($I821="Công việc",INDEX('Kế hoạch'!$N$6:$N$305,$O821)&amp;"",""))</f>
      </c>
      <c r="L821" s="220">
        <f>IF(OR($C821="",N($B821)=0),"",IF(AND($I821="Phản ánh",$E821="Đã xử lý"),INDEX('Phản ánh'!$U$6:$U$505,MATCH($C821,'Phản ánh'!$A$6:$A$505,0)),IF(AND($I821="Công việc",OR($E821="Hoàn thành",$E821="Hoàn thành kỳ")),IF(INDEX('Kế hoạch'!$B$6:$B$305,$O821)="Đột xuất",INDEX('Kế hoạch'!$AY$6:$AY$305,$O821),IF(N($P821)=0,"",IF(INT($B821)&lt;$P821,$P821,IF($Q821&gt;0,$P821+ROUND((INT($B821)-$P821)/$Q821,0)*$Q821,IF($R821&gt;0,EDATE($P821,ROUND((DATEDIF($P821,INT($B821),"m")+(INT($B821)-EDATE($P821,DATEDIF($P821,INT($B821),"m")))/(EDATE($P821,DATEDIF($P821,INT($B821),"m")+1)-EDATE($P821,DATEDIF($P821,INT($B821),"m"))))/$R821,0)*$R821),$P821))))),"")))</f>
      </c>
      <c r="M821" s="223">
        <f>IF(OR($C821="",N($L821)=0,N($B821)=0),"",IF(IF(MOD($L821,1)=0,INT($B821),$B821)&lt;=$L821,"Đúng hạn","Trễ hạn"))</f>
      </c>
      <c r="N821" s="225">
        <f>IF($C821="","",ROW())</f>
      </c>
      <c r="O821" s="225">
        <f>IF($I821="Công việc",MATCH($C821,'Kế hoạch'!$A$6:$A$305,0),"")</f>
      </c>
      <c r="P821" s="234">
        <f>IF($O821="","",INDEX('Kế hoạch'!$I$6:$I$305,$O821))</f>
      </c>
      <c r="Q821" s="225">
        <f>IF($O821="","",INDEX('Kế hoạch'!$AJ$6:$AJ$305,$O821))</f>
      </c>
      <c r="R821" s="225">
        <f>IF($O821="","",INDEX('Kế hoạch'!$AK$6:$AK$305,$O821))</f>
      </c>
    </row>
    <row r="822">
      <c r="A822" s="223">
        <f>IF($C822="","",COUNTIF($C$6:$C822,"?*"))</f>
      </c>
      <c r="B822" s="217"/>
      <c r="C822" s="216"/>
      <c r="D822" s="240"/>
      <c r="E822" s="218"/>
      <c r="F822" s="218"/>
      <c r="G822" s="218"/>
      <c r="H822" s="219"/>
      <c r="I822" s="223">
        <f>IF($C822="","",IF(ISNUMBER(MATCH($C822,'Phản ánh'!$A$6:$A$505,0)),"Phản ánh",IF(ISNUMBER(MATCH($C822,'Kế hoạch'!$A$6:$A$305,0)),"Công việc","Mã chưa có")))</f>
      </c>
      <c r="J822" s="221">
        <f>IF($I822="Phản ánh",INDEX('Phản ánh'!$C$6:$C$505,MATCH($C822,'Phản ánh'!$A$6:$A$505,0)),IF($I822="Công việc",INDEX('Kế hoạch'!$C$6:$C$305,$O822),""))</f>
      </c>
      <c r="K822" s="221">
        <f>IF($I822="Phản ánh",INDEX('Phản ánh'!$K$6:$K$505,MATCH($C822,'Phản ánh'!$A$6:$A$505,0))&amp;"",IF($I822="Công việc",INDEX('Kế hoạch'!$N$6:$N$305,$O822)&amp;"",""))</f>
      </c>
      <c r="L822" s="220">
        <f>IF(OR($C822="",N($B822)=0),"",IF(AND($I822="Phản ánh",$E822="Đã xử lý"),INDEX('Phản ánh'!$U$6:$U$505,MATCH($C822,'Phản ánh'!$A$6:$A$505,0)),IF(AND($I822="Công việc",OR($E822="Hoàn thành",$E822="Hoàn thành kỳ")),IF(INDEX('Kế hoạch'!$B$6:$B$305,$O822)="Đột xuất",INDEX('Kế hoạch'!$AY$6:$AY$305,$O822),IF(N($P822)=0,"",IF(INT($B822)&lt;$P822,$P822,IF($Q822&gt;0,$P822+ROUND((INT($B822)-$P822)/$Q822,0)*$Q822,IF($R822&gt;0,EDATE($P822,ROUND((DATEDIF($P822,INT($B822),"m")+(INT($B822)-EDATE($P822,DATEDIF($P822,INT($B822),"m")))/(EDATE($P822,DATEDIF($P822,INT($B822),"m")+1)-EDATE($P822,DATEDIF($P822,INT($B822),"m"))))/$R822,0)*$R822),$P822))))),"")))</f>
      </c>
      <c r="M822" s="223">
        <f>IF(OR($C822="",N($L822)=0,N($B822)=0),"",IF(IF(MOD($L822,1)=0,INT($B822),$B822)&lt;=$L822,"Đúng hạn","Trễ hạn"))</f>
      </c>
      <c r="N822" s="225">
        <f>IF($C822="","",ROW())</f>
      </c>
      <c r="O822" s="225">
        <f>IF($I822="Công việc",MATCH($C822,'Kế hoạch'!$A$6:$A$305,0),"")</f>
      </c>
      <c r="P822" s="234">
        <f>IF($O822="","",INDEX('Kế hoạch'!$I$6:$I$305,$O822))</f>
      </c>
      <c r="Q822" s="225">
        <f>IF($O822="","",INDEX('Kế hoạch'!$AJ$6:$AJ$305,$O822))</f>
      </c>
      <c r="R822" s="225">
        <f>IF($O822="","",INDEX('Kế hoạch'!$AK$6:$AK$305,$O822))</f>
      </c>
    </row>
    <row r="823">
      <c r="A823" s="223">
        <f>IF($C823="","",COUNTIF($C$6:$C823,"?*"))</f>
      </c>
      <c r="B823" s="217"/>
      <c r="C823" s="216"/>
      <c r="D823" s="240"/>
      <c r="E823" s="218"/>
      <c r="F823" s="218"/>
      <c r="G823" s="218"/>
      <c r="H823" s="219"/>
      <c r="I823" s="223">
        <f>IF($C823="","",IF(ISNUMBER(MATCH($C823,'Phản ánh'!$A$6:$A$505,0)),"Phản ánh",IF(ISNUMBER(MATCH($C823,'Kế hoạch'!$A$6:$A$305,0)),"Công việc","Mã chưa có")))</f>
      </c>
      <c r="J823" s="221">
        <f>IF($I823="Phản ánh",INDEX('Phản ánh'!$C$6:$C$505,MATCH($C823,'Phản ánh'!$A$6:$A$505,0)),IF($I823="Công việc",INDEX('Kế hoạch'!$C$6:$C$305,$O823),""))</f>
      </c>
      <c r="K823" s="221">
        <f>IF($I823="Phản ánh",INDEX('Phản ánh'!$K$6:$K$505,MATCH($C823,'Phản ánh'!$A$6:$A$505,0))&amp;"",IF($I823="Công việc",INDEX('Kế hoạch'!$N$6:$N$305,$O823)&amp;"",""))</f>
      </c>
      <c r="L823" s="220">
        <f>IF(OR($C823="",N($B823)=0),"",IF(AND($I823="Phản ánh",$E823="Đã xử lý"),INDEX('Phản ánh'!$U$6:$U$505,MATCH($C823,'Phản ánh'!$A$6:$A$505,0)),IF(AND($I823="Công việc",OR($E823="Hoàn thành",$E823="Hoàn thành kỳ")),IF(INDEX('Kế hoạch'!$B$6:$B$305,$O823)="Đột xuất",INDEX('Kế hoạch'!$AY$6:$AY$305,$O823),IF(N($P823)=0,"",IF(INT($B823)&lt;$P823,$P823,IF($Q823&gt;0,$P823+ROUND((INT($B823)-$P823)/$Q823,0)*$Q823,IF($R823&gt;0,EDATE($P823,ROUND((DATEDIF($P823,INT($B823),"m")+(INT($B823)-EDATE($P823,DATEDIF($P823,INT($B823),"m")))/(EDATE($P823,DATEDIF($P823,INT($B823),"m")+1)-EDATE($P823,DATEDIF($P823,INT($B823),"m"))))/$R823,0)*$R823),$P823))))),"")))</f>
      </c>
      <c r="M823" s="223">
        <f>IF(OR($C823="",N($L823)=0,N($B823)=0),"",IF(IF(MOD($L823,1)=0,INT($B823),$B823)&lt;=$L823,"Đúng hạn","Trễ hạn"))</f>
      </c>
      <c r="N823" s="225">
        <f>IF($C823="","",ROW())</f>
      </c>
      <c r="O823" s="225">
        <f>IF($I823="Công việc",MATCH($C823,'Kế hoạch'!$A$6:$A$305,0),"")</f>
      </c>
      <c r="P823" s="234">
        <f>IF($O823="","",INDEX('Kế hoạch'!$I$6:$I$305,$O823))</f>
      </c>
      <c r="Q823" s="225">
        <f>IF($O823="","",INDEX('Kế hoạch'!$AJ$6:$AJ$305,$O823))</f>
      </c>
      <c r="R823" s="225">
        <f>IF($O823="","",INDEX('Kế hoạch'!$AK$6:$AK$305,$O823))</f>
      </c>
    </row>
    <row r="824">
      <c r="A824" s="223">
        <f>IF($C824="","",COUNTIF($C$6:$C824,"?*"))</f>
      </c>
      <c r="B824" s="217"/>
      <c r="C824" s="216"/>
      <c r="D824" s="240"/>
      <c r="E824" s="218"/>
      <c r="F824" s="218"/>
      <c r="G824" s="218"/>
      <c r="H824" s="219"/>
      <c r="I824" s="223">
        <f>IF($C824="","",IF(ISNUMBER(MATCH($C824,'Phản ánh'!$A$6:$A$505,0)),"Phản ánh",IF(ISNUMBER(MATCH($C824,'Kế hoạch'!$A$6:$A$305,0)),"Công việc","Mã chưa có")))</f>
      </c>
      <c r="J824" s="221">
        <f>IF($I824="Phản ánh",INDEX('Phản ánh'!$C$6:$C$505,MATCH($C824,'Phản ánh'!$A$6:$A$505,0)),IF($I824="Công việc",INDEX('Kế hoạch'!$C$6:$C$305,$O824),""))</f>
      </c>
      <c r="K824" s="221">
        <f>IF($I824="Phản ánh",INDEX('Phản ánh'!$K$6:$K$505,MATCH($C824,'Phản ánh'!$A$6:$A$505,0))&amp;"",IF($I824="Công việc",INDEX('Kế hoạch'!$N$6:$N$305,$O824)&amp;"",""))</f>
      </c>
      <c r="L824" s="220">
        <f>IF(OR($C824="",N($B824)=0),"",IF(AND($I824="Phản ánh",$E824="Đã xử lý"),INDEX('Phản ánh'!$U$6:$U$505,MATCH($C824,'Phản ánh'!$A$6:$A$505,0)),IF(AND($I824="Công việc",OR($E824="Hoàn thành",$E824="Hoàn thành kỳ")),IF(INDEX('Kế hoạch'!$B$6:$B$305,$O824)="Đột xuất",INDEX('Kế hoạch'!$AY$6:$AY$305,$O824),IF(N($P824)=0,"",IF(INT($B824)&lt;$P824,$P824,IF($Q824&gt;0,$P824+ROUND((INT($B824)-$P824)/$Q824,0)*$Q824,IF($R824&gt;0,EDATE($P824,ROUND((DATEDIF($P824,INT($B824),"m")+(INT($B824)-EDATE($P824,DATEDIF($P824,INT($B824),"m")))/(EDATE($P824,DATEDIF($P824,INT($B824),"m")+1)-EDATE($P824,DATEDIF($P824,INT($B824),"m"))))/$R824,0)*$R824),$P824))))),"")))</f>
      </c>
      <c r="M824" s="223">
        <f>IF(OR($C824="",N($L824)=0,N($B824)=0),"",IF(IF(MOD($L824,1)=0,INT($B824),$B824)&lt;=$L824,"Đúng hạn","Trễ hạn"))</f>
      </c>
      <c r="N824" s="225">
        <f>IF($C824="","",ROW())</f>
      </c>
      <c r="O824" s="225">
        <f>IF($I824="Công việc",MATCH($C824,'Kế hoạch'!$A$6:$A$305,0),"")</f>
      </c>
      <c r="P824" s="234">
        <f>IF($O824="","",INDEX('Kế hoạch'!$I$6:$I$305,$O824))</f>
      </c>
      <c r="Q824" s="225">
        <f>IF($O824="","",INDEX('Kế hoạch'!$AJ$6:$AJ$305,$O824))</f>
      </c>
      <c r="R824" s="225">
        <f>IF($O824="","",INDEX('Kế hoạch'!$AK$6:$AK$305,$O824))</f>
      </c>
    </row>
    <row r="825">
      <c r="A825" s="223">
        <f>IF($C825="","",COUNTIF($C$6:$C825,"?*"))</f>
      </c>
      <c r="B825" s="217"/>
      <c r="C825" s="216"/>
      <c r="D825" s="240"/>
      <c r="E825" s="218"/>
      <c r="F825" s="218"/>
      <c r="G825" s="218"/>
      <c r="H825" s="219"/>
      <c r="I825" s="223">
        <f>IF($C825="","",IF(ISNUMBER(MATCH($C825,'Phản ánh'!$A$6:$A$505,0)),"Phản ánh",IF(ISNUMBER(MATCH($C825,'Kế hoạch'!$A$6:$A$305,0)),"Công việc","Mã chưa có")))</f>
      </c>
      <c r="J825" s="221">
        <f>IF($I825="Phản ánh",INDEX('Phản ánh'!$C$6:$C$505,MATCH($C825,'Phản ánh'!$A$6:$A$505,0)),IF($I825="Công việc",INDEX('Kế hoạch'!$C$6:$C$305,$O825),""))</f>
      </c>
      <c r="K825" s="221">
        <f>IF($I825="Phản ánh",INDEX('Phản ánh'!$K$6:$K$505,MATCH($C825,'Phản ánh'!$A$6:$A$505,0))&amp;"",IF($I825="Công việc",INDEX('Kế hoạch'!$N$6:$N$305,$O825)&amp;"",""))</f>
      </c>
      <c r="L825" s="220">
        <f>IF(OR($C825="",N($B825)=0),"",IF(AND($I825="Phản ánh",$E825="Đã xử lý"),INDEX('Phản ánh'!$U$6:$U$505,MATCH($C825,'Phản ánh'!$A$6:$A$505,0)),IF(AND($I825="Công việc",OR($E825="Hoàn thành",$E825="Hoàn thành kỳ")),IF(INDEX('Kế hoạch'!$B$6:$B$305,$O825)="Đột xuất",INDEX('Kế hoạch'!$AY$6:$AY$305,$O825),IF(N($P825)=0,"",IF(INT($B825)&lt;$P825,$P825,IF($Q825&gt;0,$P825+ROUND((INT($B825)-$P825)/$Q825,0)*$Q825,IF($R825&gt;0,EDATE($P825,ROUND((DATEDIF($P825,INT($B825),"m")+(INT($B825)-EDATE($P825,DATEDIF($P825,INT($B825),"m")))/(EDATE($P825,DATEDIF($P825,INT($B825),"m")+1)-EDATE($P825,DATEDIF($P825,INT($B825),"m"))))/$R825,0)*$R825),$P825))))),"")))</f>
      </c>
      <c r="M825" s="223">
        <f>IF(OR($C825="",N($L825)=0,N($B825)=0),"",IF(IF(MOD($L825,1)=0,INT($B825),$B825)&lt;=$L825,"Đúng hạn","Trễ hạn"))</f>
      </c>
      <c r="N825" s="225">
        <f>IF($C825="","",ROW())</f>
      </c>
      <c r="O825" s="225">
        <f>IF($I825="Công việc",MATCH($C825,'Kế hoạch'!$A$6:$A$305,0),"")</f>
      </c>
      <c r="P825" s="234">
        <f>IF($O825="","",INDEX('Kế hoạch'!$I$6:$I$305,$O825))</f>
      </c>
      <c r="Q825" s="225">
        <f>IF($O825="","",INDEX('Kế hoạch'!$AJ$6:$AJ$305,$O825))</f>
      </c>
      <c r="R825" s="225">
        <f>IF($O825="","",INDEX('Kế hoạch'!$AK$6:$AK$305,$O825))</f>
      </c>
    </row>
    <row r="826">
      <c r="A826" s="223">
        <f>IF($C826="","",COUNTIF($C$6:$C826,"?*"))</f>
      </c>
      <c r="B826" s="217"/>
      <c r="C826" s="216"/>
      <c r="D826" s="240"/>
      <c r="E826" s="218"/>
      <c r="F826" s="218"/>
      <c r="G826" s="218"/>
      <c r="H826" s="219"/>
      <c r="I826" s="223">
        <f>IF($C826="","",IF(ISNUMBER(MATCH($C826,'Phản ánh'!$A$6:$A$505,0)),"Phản ánh",IF(ISNUMBER(MATCH($C826,'Kế hoạch'!$A$6:$A$305,0)),"Công việc","Mã chưa có")))</f>
      </c>
      <c r="J826" s="221">
        <f>IF($I826="Phản ánh",INDEX('Phản ánh'!$C$6:$C$505,MATCH($C826,'Phản ánh'!$A$6:$A$505,0)),IF($I826="Công việc",INDEX('Kế hoạch'!$C$6:$C$305,$O826),""))</f>
      </c>
      <c r="K826" s="221">
        <f>IF($I826="Phản ánh",INDEX('Phản ánh'!$K$6:$K$505,MATCH($C826,'Phản ánh'!$A$6:$A$505,0))&amp;"",IF($I826="Công việc",INDEX('Kế hoạch'!$N$6:$N$305,$O826)&amp;"",""))</f>
      </c>
      <c r="L826" s="220">
        <f>IF(OR($C826="",N($B826)=0),"",IF(AND($I826="Phản ánh",$E826="Đã xử lý"),INDEX('Phản ánh'!$U$6:$U$505,MATCH($C826,'Phản ánh'!$A$6:$A$505,0)),IF(AND($I826="Công việc",OR($E826="Hoàn thành",$E826="Hoàn thành kỳ")),IF(INDEX('Kế hoạch'!$B$6:$B$305,$O826)="Đột xuất",INDEX('Kế hoạch'!$AY$6:$AY$305,$O826),IF(N($P826)=0,"",IF(INT($B826)&lt;$P826,$P826,IF($Q826&gt;0,$P826+ROUND((INT($B826)-$P826)/$Q826,0)*$Q826,IF($R826&gt;0,EDATE($P826,ROUND((DATEDIF($P826,INT($B826),"m")+(INT($B826)-EDATE($P826,DATEDIF($P826,INT($B826),"m")))/(EDATE($P826,DATEDIF($P826,INT($B826),"m")+1)-EDATE($P826,DATEDIF($P826,INT($B826),"m"))))/$R826,0)*$R826),$P826))))),"")))</f>
      </c>
      <c r="M826" s="223">
        <f>IF(OR($C826="",N($L826)=0,N($B826)=0),"",IF(IF(MOD($L826,1)=0,INT($B826),$B826)&lt;=$L826,"Đúng hạn","Trễ hạn"))</f>
      </c>
      <c r="N826" s="225">
        <f>IF($C826="","",ROW())</f>
      </c>
      <c r="O826" s="225">
        <f>IF($I826="Công việc",MATCH($C826,'Kế hoạch'!$A$6:$A$305,0),"")</f>
      </c>
      <c r="P826" s="234">
        <f>IF($O826="","",INDEX('Kế hoạch'!$I$6:$I$305,$O826))</f>
      </c>
      <c r="Q826" s="225">
        <f>IF($O826="","",INDEX('Kế hoạch'!$AJ$6:$AJ$305,$O826))</f>
      </c>
      <c r="R826" s="225">
        <f>IF($O826="","",INDEX('Kế hoạch'!$AK$6:$AK$305,$O826))</f>
      </c>
    </row>
    <row r="827">
      <c r="A827" s="223">
        <f>IF($C827="","",COUNTIF($C$6:$C827,"?*"))</f>
      </c>
      <c r="B827" s="217"/>
      <c r="C827" s="216"/>
      <c r="D827" s="240"/>
      <c r="E827" s="218"/>
      <c r="F827" s="218"/>
      <c r="G827" s="218"/>
      <c r="H827" s="219"/>
      <c r="I827" s="223">
        <f>IF($C827="","",IF(ISNUMBER(MATCH($C827,'Phản ánh'!$A$6:$A$505,0)),"Phản ánh",IF(ISNUMBER(MATCH($C827,'Kế hoạch'!$A$6:$A$305,0)),"Công việc","Mã chưa có")))</f>
      </c>
      <c r="J827" s="221">
        <f>IF($I827="Phản ánh",INDEX('Phản ánh'!$C$6:$C$505,MATCH($C827,'Phản ánh'!$A$6:$A$505,0)),IF($I827="Công việc",INDEX('Kế hoạch'!$C$6:$C$305,$O827),""))</f>
      </c>
      <c r="K827" s="221">
        <f>IF($I827="Phản ánh",INDEX('Phản ánh'!$K$6:$K$505,MATCH($C827,'Phản ánh'!$A$6:$A$505,0))&amp;"",IF($I827="Công việc",INDEX('Kế hoạch'!$N$6:$N$305,$O827)&amp;"",""))</f>
      </c>
      <c r="L827" s="220">
        <f>IF(OR($C827="",N($B827)=0),"",IF(AND($I827="Phản ánh",$E827="Đã xử lý"),INDEX('Phản ánh'!$U$6:$U$505,MATCH($C827,'Phản ánh'!$A$6:$A$505,0)),IF(AND($I827="Công việc",OR($E827="Hoàn thành",$E827="Hoàn thành kỳ")),IF(INDEX('Kế hoạch'!$B$6:$B$305,$O827)="Đột xuất",INDEX('Kế hoạch'!$AY$6:$AY$305,$O827),IF(N($P827)=0,"",IF(INT($B827)&lt;$P827,$P827,IF($Q827&gt;0,$P827+ROUND((INT($B827)-$P827)/$Q827,0)*$Q827,IF($R827&gt;0,EDATE($P827,ROUND((DATEDIF($P827,INT($B827),"m")+(INT($B827)-EDATE($P827,DATEDIF($P827,INT($B827),"m")))/(EDATE($P827,DATEDIF($P827,INT($B827),"m")+1)-EDATE($P827,DATEDIF($P827,INT($B827),"m"))))/$R827,0)*$R827),$P827))))),"")))</f>
      </c>
      <c r="M827" s="223">
        <f>IF(OR($C827="",N($L827)=0,N($B827)=0),"",IF(IF(MOD($L827,1)=0,INT($B827),$B827)&lt;=$L827,"Đúng hạn","Trễ hạn"))</f>
      </c>
      <c r="N827" s="225">
        <f>IF($C827="","",ROW())</f>
      </c>
      <c r="O827" s="225">
        <f>IF($I827="Công việc",MATCH($C827,'Kế hoạch'!$A$6:$A$305,0),"")</f>
      </c>
      <c r="P827" s="234">
        <f>IF($O827="","",INDEX('Kế hoạch'!$I$6:$I$305,$O827))</f>
      </c>
      <c r="Q827" s="225">
        <f>IF($O827="","",INDEX('Kế hoạch'!$AJ$6:$AJ$305,$O827))</f>
      </c>
      <c r="R827" s="225">
        <f>IF($O827="","",INDEX('Kế hoạch'!$AK$6:$AK$305,$O827))</f>
      </c>
    </row>
    <row r="828">
      <c r="A828" s="223">
        <f>IF($C828="","",COUNTIF($C$6:$C828,"?*"))</f>
      </c>
      <c r="B828" s="217"/>
      <c r="C828" s="216"/>
      <c r="D828" s="240"/>
      <c r="E828" s="218"/>
      <c r="F828" s="218"/>
      <c r="G828" s="218"/>
      <c r="H828" s="219"/>
      <c r="I828" s="223">
        <f>IF($C828="","",IF(ISNUMBER(MATCH($C828,'Phản ánh'!$A$6:$A$505,0)),"Phản ánh",IF(ISNUMBER(MATCH($C828,'Kế hoạch'!$A$6:$A$305,0)),"Công việc","Mã chưa có")))</f>
      </c>
      <c r="J828" s="221">
        <f>IF($I828="Phản ánh",INDEX('Phản ánh'!$C$6:$C$505,MATCH($C828,'Phản ánh'!$A$6:$A$505,0)),IF($I828="Công việc",INDEX('Kế hoạch'!$C$6:$C$305,$O828),""))</f>
      </c>
      <c r="K828" s="221">
        <f>IF($I828="Phản ánh",INDEX('Phản ánh'!$K$6:$K$505,MATCH($C828,'Phản ánh'!$A$6:$A$505,0))&amp;"",IF($I828="Công việc",INDEX('Kế hoạch'!$N$6:$N$305,$O828)&amp;"",""))</f>
      </c>
      <c r="L828" s="220">
        <f>IF(OR($C828="",N($B828)=0),"",IF(AND($I828="Phản ánh",$E828="Đã xử lý"),INDEX('Phản ánh'!$U$6:$U$505,MATCH($C828,'Phản ánh'!$A$6:$A$505,0)),IF(AND($I828="Công việc",OR($E828="Hoàn thành",$E828="Hoàn thành kỳ")),IF(INDEX('Kế hoạch'!$B$6:$B$305,$O828)="Đột xuất",INDEX('Kế hoạch'!$AY$6:$AY$305,$O828),IF(N($P828)=0,"",IF(INT($B828)&lt;$P828,$P828,IF($Q828&gt;0,$P828+ROUND((INT($B828)-$P828)/$Q828,0)*$Q828,IF($R828&gt;0,EDATE($P828,ROUND((DATEDIF($P828,INT($B828),"m")+(INT($B828)-EDATE($P828,DATEDIF($P828,INT($B828),"m")))/(EDATE($P828,DATEDIF($P828,INT($B828),"m")+1)-EDATE($P828,DATEDIF($P828,INT($B828),"m"))))/$R828,0)*$R828),$P828))))),"")))</f>
      </c>
      <c r="M828" s="223">
        <f>IF(OR($C828="",N($L828)=0,N($B828)=0),"",IF(IF(MOD($L828,1)=0,INT($B828),$B828)&lt;=$L828,"Đúng hạn","Trễ hạn"))</f>
      </c>
      <c r="N828" s="225">
        <f>IF($C828="","",ROW())</f>
      </c>
      <c r="O828" s="225">
        <f>IF($I828="Công việc",MATCH($C828,'Kế hoạch'!$A$6:$A$305,0),"")</f>
      </c>
      <c r="P828" s="234">
        <f>IF($O828="","",INDEX('Kế hoạch'!$I$6:$I$305,$O828))</f>
      </c>
      <c r="Q828" s="225">
        <f>IF($O828="","",INDEX('Kế hoạch'!$AJ$6:$AJ$305,$O828))</f>
      </c>
      <c r="R828" s="225">
        <f>IF($O828="","",INDEX('Kế hoạch'!$AK$6:$AK$305,$O828))</f>
      </c>
    </row>
    <row r="829">
      <c r="A829" s="223">
        <f>IF($C829="","",COUNTIF($C$6:$C829,"?*"))</f>
      </c>
      <c r="B829" s="217"/>
      <c r="C829" s="216"/>
      <c r="D829" s="240"/>
      <c r="E829" s="218"/>
      <c r="F829" s="218"/>
      <c r="G829" s="218"/>
      <c r="H829" s="219"/>
      <c r="I829" s="223">
        <f>IF($C829="","",IF(ISNUMBER(MATCH($C829,'Phản ánh'!$A$6:$A$505,0)),"Phản ánh",IF(ISNUMBER(MATCH($C829,'Kế hoạch'!$A$6:$A$305,0)),"Công việc","Mã chưa có")))</f>
      </c>
      <c r="J829" s="221">
        <f>IF($I829="Phản ánh",INDEX('Phản ánh'!$C$6:$C$505,MATCH($C829,'Phản ánh'!$A$6:$A$505,0)),IF($I829="Công việc",INDEX('Kế hoạch'!$C$6:$C$305,$O829),""))</f>
      </c>
      <c r="K829" s="221">
        <f>IF($I829="Phản ánh",INDEX('Phản ánh'!$K$6:$K$505,MATCH($C829,'Phản ánh'!$A$6:$A$505,0))&amp;"",IF($I829="Công việc",INDEX('Kế hoạch'!$N$6:$N$305,$O829)&amp;"",""))</f>
      </c>
      <c r="L829" s="220">
        <f>IF(OR($C829="",N($B829)=0),"",IF(AND($I829="Phản ánh",$E829="Đã xử lý"),INDEX('Phản ánh'!$U$6:$U$505,MATCH($C829,'Phản ánh'!$A$6:$A$505,0)),IF(AND($I829="Công việc",OR($E829="Hoàn thành",$E829="Hoàn thành kỳ")),IF(INDEX('Kế hoạch'!$B$6:$B$305,$O829)="Đột xuất",INDEX('Kế hoạch'!$AY$6:$AY$305,$O829),IF(N($P829)=0,"",IF(INT($B829)&lt;$P829,$P829,IF($Q829&gt;0,$P829+ROUND((INT($B829)-$P829)/$Q829,0)*$Q829,IF($R829&gt;0,EDATE($P829,ROUND((DATEDIF($P829,INT($B829),"m")+(INT($B829)-EDATE($P829,DATEDIF($P829,INT($B829),"m")))/(EDATE($P829,DATEDIF($P829,INT($B829),"m")+1)-EDATE($P829,DATEDIF($P829,INT($B829),"m"))))/$R829,0)*$R829),$P829))))),"")))</f>
      </c>
      <c r="M829" s="223">
        <f>IF(OR($C829="",N($L829)=0,N($B829)=0),"",IF(IF(MOD($L829,1)=0,INT($B829),$B829)&lt;=$L829,"Đúng hạn","Trễ hạn"))</f>
      </c>
      <c r="N829" s="225">
        <f>IF($C829="","",ROW())</f>
      </c>
      <c r="O829" s="225">
        <f>IF($I829="Công việc",MATCH($C829,'Kế hoạch'!$A$6:$A$305,0),"")</f>
      </c>
      <c r="P829" s="234">
        <f>IF($O829="","",INDEX('Kế hoạch'!$I$6:$I$305,$O829))</f>
      </c>
      <c r="Q829" s="225">
        <f>IF($O829="","",INDEX('Kế hoạch'!$AJ$6:$AJ$305,$O829))</f>
      </c>
      <c r="R829" s="225">
        <f>IF($O829="","",INDEX('Kế hoạch'!$AK$6:$AK$305,$O829))</f>
      </c>
    </row>
    <row r="830">
      <c r="A830" s="223">
        <f>IF($C830="","",COUNTIF($C$6:$C830,"?*"))</f>
      </c>
      <c r="B830" s="217"/>
      <c r="C830" s="216"/>
      <c r="D830" s="240"/>
      <c r="E830" s="218"/>
      <c r="F830" s="218"/>
      <c r="G830" s="218"/>
      <c r="H830" s="219"/>
      <c r="I830" s="223">
        <f>IF($C830="","",IF(ISNUMBER(MATCH($C830,'Phản ánh'!$A$6:$A$505,0)),"Phản ánh",IF(ISNUMBER(MATCH($C830,'Kế hoạch'!$A$6:$A$305,0)),"Công việc","Mã chưa có")))</f>
      </c>
      <c r="J830" s="221">
        <f>IF($I830="Phản ánh",INDEX('Phản ánh'!$C$6:$C$505,MATCH($C830,'Phản ánh'!$A$6:$A$505,0)),IF($I830="Công việc",INDEX('Kế hoạch'!$C$6:$C$305,$O830),""))</f>
      </c>
      <c r="K830" s="221">
        <f>IF($I830="Phản ánh",INDEX('Phản ánh'!$K$6:$K$505,MATCH($C830,'Phản ánh'!$A$6:$A$505,0))&amp;"",IF($I830="Công việc",INDEX('Kế hoạch'!$N$6:$N$305,$O830)&amp;"",""))</f>
      </c>
      <c r="L830" s="220">
        <f>IF(OR($C830="",N($B830)=0),"",IF(AND($I830="Phản ánh",$E830="Đã xử lý"),INDEX('Phản ánh'!$U$6:$U$505,MATCH($C830,'Phản ánh'!$A$6:$A$505,0)),IF(AND($I830="Công việc",OR($E830="Hoàn thành",$E830="Hoàn thành kỳ")),IF(INDEX('Kế hoạch'!$B$6:$B$305,$O830)="Đột xuất",INDEX('Kế hoạch'!$AY$6:$AY$305,$O830),IF(N($P830)=0,"",IF(INT($B830)&lt;$P830,$P830,IF($Q830&gt;0,$P830+ROUND((INT($B830)-$P830)/$Q830,0)*$Q830,IF($R830&gt;0,EDATE($P830,ROUND((DATEDIF($P830,INT($B830),"m")+(INT($B830)-EDATE($P830,DATEDIF($P830,INT($B830),"m")))/(EDATE($P830,DATEDIF($P830,INT($B830),"m")+1)-EDATE($P830,DATEDIF($P830,INT($B830),"m"))))/$R830,0)*$R830),$P830))))),"")))</f>
      </c>
      <c r="M830" s="223">
        <f>IF(OR($C830="",N($L830)=0,N($B830)=0),"",IF(IF(MOD($L830,1)=0,INT($B830),$B830)&lt;=$L830,"Đúng hạn","Trễ hạn"))</f>
      </c>
      <c r="N830" s="225">
        <f>IF($C830="","",ROW())</f>
      </c>
      <c r="O830" s="225">
        <f>IF($I830="Công việc",MATCH($C830,'Kế hoạch'!$A$6:$A$305,0),"")</f>
      </c>
      <c r="P830" s="234">
        <f>IF($O830="","",INDEX('Kế hoạch'!$I$6:$I$305,$O830))</f>
      </c>
      <c r="Q830" s="225">
        <f>IF($O830="","",INDEX('Kế hoạch'!$AJ$6:$AJ$305,$O830))</f>
      </c>
      <c r="R830" s="225">
        <f>IF($O830="","",INDEX('Kế hoạch'!$AK$6:$AK$305,$O830))</f>
      </c>
    </row>
    <row r="831">
      <c r="A831" s="223">
        <f>IF($C831="","",COUNTIF($C$6:$C831,"?*"))</f>
      </c>
      <c r="B831" s="217"/>
      <c r="C831" s="216"/>
      <c r="D831" s="240"/>
      <c r="E831" s="218"/>
      <c r="F831" s="218"/>
      <c r="G831" s="218"/>
      <c r="H831" s="219"/>
      <c r="I831" s="223">
        <f>IF($C831="","",IF(ISNUMBER(MATCH($C831,'Phản ánh'!$A$6:$A$505,0)),"Phản ánh",IF(ISNUMBER(MATCH($C831,'Kế hoạch'!$A$6:$A$305,0)),"Công việc","Mã chưa có")))</f>
      </c>
      <c r="J831" s="221">
        <f>IF($I831="Phản ánh",INDEX('Phản ánh'!$C$6:$C$505,MATCH($C831,'Phản ánh'!$A$6:$A$505,0)),IF($I831="Công việc",INDEX('Kế hoạch'!$C$6:$C$305,$O831),""))</f>
      </c>
      <c r="K831" s="221">
        <f>IF($I831="Phản ánh",INDEX('Phản ánh'!$K$6:$K$505,MATCH($C831,'Phản ánh'!$A$6:$A$505,0))&amp;"",IF($I831="Công việc",INDEX('Kế hoạch'!$N$6:$N$305,$O831)&amp;"",""))</f>
      </c>
      <c r="L831" s="220">
        <f>IF(OR($C831="",N($B831)=0),"",IF(AND($I831="Phản ánh",$E831="Đã xử lý"),INDEX('Phản ánh'!$U$6:$U$505,MATCH($C831,'Phản ánh'!$A$6:$A$505,0)),IF(AND($I831="Công việc",OR($E831="Hoàn thành",$E831="Hoàn thành kỳ")),IF(INDEX('Kế hoạch'!$B$6:$B$305,$O831)="Đột xuất",INDEX('Kế hoạch'!$AY$6:$AY$305,$O831),IF(N($P831)=0,"",IF(INT($B831)&lt;$P831,$P831,IF($Q831&gt;0,$P831+ROUND((INT($B831)-$P831)/$Q831,0)*$Q831,IF($R831&gt;0,EDATE($P831,ROUND((DATEDIF($P831,INT($B831),"m")+(INT($B831)-EDATE($P831,DATEDIF($P831,INT($B831),"m")))/(EDATE($P831,DATEDIF($P831,INT($B831),"m")+1)-EDATE($P831,DATEDIF($P831,INT($B831),"m"))))/$R831,0)*$R831),$P831))))),"")))</f>
      </c>
      <c r="M831" s="223">
        <f>IF(OR($C831="",N($L831)=0,N($B831)=0),"",IF(IF(MOD($L831,1)=0,INT($B831),$B831)&lt;=$L831,"Đúng hạn","Trễ hạn"))</f>
      </c>
      <c r="N831" s="225">
        <f>IF($C831="","",ROW())</f>
      </c>
      <c r="O831" s="225">
        <f>IF($I831="Công việc",MATCH($C831,'Kế hoạch'!$A$6:$A$305,0),"")</f>
      </c>
      <c r="P831" s="234">
        <f>IF($O831="","",INDEX('Kế hoạch'!$I$6:$I$305,$O831))</f>
      </c>
      <c r="Q831" s="225">
        <f>IF($O831="","",INDEX('Kế hoạch'!$AJ$6:$AJ$305,$O831))</f>
      </c>
      <c r="R831" s="225">
        <f>IF($O831="","",INDEX('Kế hoạch'!$AK$6:$AK$305,$O831))</f>
      </c>
    </row>
    <row r="832">
      <c r="A832" s="223">
        <f>IF($C832="","",COUNTIF($C$6:$C832,"?*"))</f>
      </c>
      <c r="B832" s="217"/>
      <c r="C832" s="216"/>
      <c r="D832" s="240"/>
      <c r="E832" s="218"/>
      <c r="F832" s="218"/>
      <c r="G832" s="218"/>
      <c r="H832" s="219"/>
      <c r="I832" s="223">
        <f>IF($C832="","",IF(ISNUMBER(MATCH($C832,'Phản ánh'!$A$6:$A$505,0)),"Phản ánh",IF(ISNUMBER(MATCH($C832,'Kế hoạch'!$A$6:$A$305,0)),"Công việc","Mã chưa có")))</f>
      </c>
      <c r="J832" s="221">
        <f>IF($I832="Phản ánh",INDEX('Phản ánh'!$C$6:$C$505,MATCH($C832,'Phản ánh'!$A$6:$A$505,0)),IF($I832="Công việc",INDEX('Kế hoạch'!$C$6:$C$305,$O832),""))</f>
      </c>
      <c r="K832" s="221">
        <f>IF($I832="Phản ánh",INDEX('Phản ánh'!$K$6:$K$505,MATCH($C832,'Phản ánh'!$A$6:$A$505,0))&amp;"",IF($I832="Công việc",INDEX('Kế hoạch'!$N$6:$N$305,$O832)&amp;"",""))</f>
      </c>
      <c r="L832" s="220">
        <f>IF(OR($C832="",N($B832)=0),"",IF(AND($I832="Phản ánh",$E832="Đã xử lý"),INDEX('Phản ánh'!$U$6:$U$505,MATCH($C832,'Phản ánh'!$A$6:$A$505,0)),IF(AND($I832="Công việc",OR($E832="Hoàn thành",$E832="Hoàn thành kỳ")),IF(INDEX('Kế hoạch'!$B$6:$B$305,$O832)="Đột xuất",INDEX('Kế hoạch'!$AY$6:$AY$305,$O832),IF(N($P832)=0,"",IF(INT($B832)&lt;$P832,$P832,IF($Q832&gt;0,$P832+ROUND((INT($B832)-$P832)/$Q832,0)*$Q832,IF($R832&gt;0,EDATE($P832,ROUND((DATEDIF($P832,INT($B832),"m")+(INT($B832)-EDATE($P832,DATEDIF($P832,INT($B832),"m")))/(EDATE($P832,DATEDIF($P832,INT($B832),"m")+1)-EDATE($P832,DATEDIF($P832,INT($B832),"m"))))/$R832,0)*$R832),$P832))))),"")))</f>
      </c>
      <c r="M832" s="223">
        <f>IF(OR($C832="",N($L832)=0,N($B832)=0),"",IF(IF(MOD($L832,1)=0,INT($B832),$B832)&lt;=$L832,"Đúng hạn","Trễ hạn"))</f>
      </c>
      <c r="N832" s="225">
        <f>IF($C832="","",ROW())</f>
      </c>
      <c r="O832" s="225">
        <f>IF($I832="Công việc",MATCH($C832,'Kế hoạch'!$A$6:$A$305,0),"")</f>
      </c>
      <c r="P832" s="234">
        <f>IF($O832="","",INDEX('Kế hoạch'!$I$6:$I$305,$O832))</f>
      </c>
      <c r="Q832" s="225">
        <f>IF($O832="","",INDEX('Kế hoạch'!$AJ$6:$AJ$305,$O832))</f>
      </c>
      <c r="R832" s="225">
        <f>IF($O832="","",INDEX('Kế hoạch'!$AK$6:$AK$305,$O832))</f>
      </c>
    </row>
    <row r="833">
      <c r="A833" s="223">
        <f>IF($C833="","",COUNTIF($C$6:$C833,"?*"))</f>
      </c>
      <c r="B833" s="217"/>
      <c r="C833" s="216"/>
      <c r="D833" s="240"/>
      <c r="E833" s="218"/>
      <c r="F833" s="218"/>
      <c r="G833" s="218"/>
      <c r="H833" s="219"/>
      <c r="I833" s="223">
        <f>IF($C833="","",IF(ISNUMBER(MATCH($C833,'Phản ánh'!$A$6:$A$505,0)),"Phản ánh",IF(ISNUMBER(MATCH($C833,'Kế hoạch'!$A$6:$A$305,0)),"Công việc","Mã chưa có")))</f>
      </c>
      <c r="J833" s="221">
        <f>IF($I833="Phản ánh",INDEX('Phản ánh'!$C$6:$C$505,MATCH($C833,'Phản ánh'!$A$6:$A$505,0)),IF($I833="Công việc",INDEX('Kế hoạch'!$C$6:$C$305,$O833),""))</f>
      </c>
      <c r="K833" s="221">
        <f>IF($I833="Phản ánh",INDEX('Phản ánh'!$K$6:$K$505,MATCH($C833,'Phản ánh'!$A$6:$A$505,0))&amp;"",IF($I833="Công việc",INDEX('Kế hoạch'!$N$6:$N$305,$O833)&amp;"",""))</f>
      </c>
      <c r="L833" s="220">
        <f>IF(OR($C833="",N($B833)=0),"",IF(AND($I833="Phản ánh",$E833="Đã xử lý"),INDEX('Phản ánh'!$U$6:$U$505,MATCH($C833,'Phản ánh'!$A$6:$A$505,0)),IF(AND($I833="Công việc",OR($E833="Hoàn thành",$E833="Hoàn thành kỳ")),IF(INDEX('Kế hoạch'!$B$6:$B$305,$O833)="Đột xuất",INDEX('Kế hoạch'!$AY$6:$AY$305,$O833),IF(N($P833)=0,"",IF(INT($B833)&lt;$P833,$P833,IF($Q833&gt;0,$P833+ROUND((INT($B833)-$P833)/$Q833,0)*$Q833,IF($R833&gt;0,EDATE($P833,ROUND((DATEDIF($P833,INT($B833),"m")+(INT($B833)-EDATE($P833,DATEDIF($P833,INT($B833),"m")))/(EDATE($P833,DATEDIF($P833,INT($B833),"m")+1)-EDATE($P833,DATEDIF($P833,INT($B833),"m"))))/$R833,0)*$R833),$P833))))),"")))</f>
      </c>
      <c r="M833" s="223">
        <f>IF(OR($C833="",N($L833)=0,N($B833)=0),"",IF(IF(MOD($L833,1)=0,INT($B833),$B833)&lt;=$L833,"Đúng hạn","Trễ hạn"))</f>
      </c>
      <c r="N833" s="225">
        <f>IF($C833="","",ROW())</f>
      </c>
      <c r="O833" s="225">
        <f>IF($I833="Công việc",MATCH($C833,'Kế hoạch'!$A$6:$A$305,0),"")</f>
      </c>
      <c r="P833" s="234">
        <f>IF($O833="","",INDEX('Kế hoạch'!$I$6:$I$305,$O833))</f>
      </c>
      <c r="Q833" s="225">
        <f>IF($O833="","",INDEX('Kế hoạch'!$AJ$6:$AJ$305,$O833))</f>
      </c>
      <c r="R833" s="225">
        <f>IF($O833="","",INDEX('Kế hoạch'!$AK$6:$AK$305,$O833))</f>
      </c>
    </row>
    <row r="834">
      <c r="A834" s="223">
        <f>IF($C834="","",COUNTIF($C$6:$C834,"?*"))</f>
      </c>
      <c r="B834" s="217"/>
      <c r="C834" s="216"/>
      <c r="D834" s="240"/>
      <c r="E834" s="218"/>
      <c r="F834" s="218"/>
      <c r="G834" s="218"/>
      <c r="H834" s="219"/>
      <c r="I834" s="223">
        <f>IF($C834="","",IF(ISNUMBER(MATCH($C834,'Phản ánh'!$A$6:$A$505,0)),"Phản ánh",IF(ISNUMBER(MATCH($C834,'Kế hoạch'!$A$6:$A$305,0)),"Công việc","Mã chưa có")))</f>
      </c>
      <c r="J834" s="221">
        <f>IF($I834="Phản ánh",INDEX('Phản ánh'!$C$6:$C$505,MATCH($C834,'Phản ánh'!$A$6:$A$505,0)),IF($I834="Công việc",INDEX('Kế hoạch'!$C$6:$C$305,$O834),""))</f>
      </c>
      <c r="K834" s="221">
        <f>IF($I834="Phản ánh",INDEX('Phản ánh'!$K$6:$K$505,MATCH($C834,'Phản ánh'!$A$6:$A$505,0))&amp;"",IF($I834="Công việc",INDEX('Kế hoạch'!$N$6:$N$305,$O834)&amp;"",""))</f>
      </c>
      <c r="L834" s="220">
        <f>IF(OR($C834="",N($B834)=0),"",IF(AND($I834="Phản ánh",$E834="Đã xử lý"),INDEX('Phản ánh'!$U$6:$U$505,MATCH($C834,'Phản ánh'!$A$6:$A$505,0)),IF(AND($I834="Công việc",OR($E834="Hoàn thành",$E834="Hoàn thành kỳ")),IF(INDEX('Kế hoạch'!$B$6:$B$305,$O834)="Đột xuất",INDEX('Kế hoạch'!$AY$6:$AY$305,$O834),IF(N($P834)=0,"",IF(INT($B834)&lt;$P834,$P834,IF($Q834&gt;0,$P834+ROUND((INT($B834)-$P834)/$Q834,0)*$Q834,IF($R834&gt;0,EDATE($P834,ROUND((DATEDIF($P834,INT($B834),"m")+(INT($B834)-EDATE($P834,DATEDIF($P834,INT($B834),"m")))/(EDATE($P834,DATEDIF($P834,INT($B834),"m")+1)-EDATE($P834,DATEDIF($P834,INT($B834),"m"))))/$R834,0)*$R834),$P834))))),"")))</f>
      </c>
      <c r="M834" s="223">
        <f>IF(OR($C834="",N($L834)=0,N($B834)=0),"",IF(IF(MOD($L834,1)=0,INT($B834),$B834)&lt;=$L834,"Đúng hạn","Trễ hạn"))</f>
      </c>
      <c r="N834" s="225">
        <f>IF($C834="","",ROW())</f>
      </c>
      <c r="O834" s="225">
        <f>IF($I834="Công việc",MATCH($C834,'Kế hoạch'!$A$6:$A$305,0),"")</f>
      </c>
      <c r="P834" s="234">
        <f>IF($O834="","",INDEX('Kế hoạch'!$I$6:$I$305,$O834))</f>
      </c>
      <c r="Q834" s="225">
        <f>IF($O834="","",INDEX('Kế hoạch'!$AJ$6:$AJ$305,$O834))</f>
      </c>
      <c r="R834" s="225">
        <f>IF($O834="","",INDEX('Kế hoạch'!$AK$6:$AK$305,$O834))</f>
      </c>
    </row>
    <row r="835">
      <c r="A835" s="223">
        <f>IF($C835="","",COUNTIF($C$6:$C835,"?*"))</f>
      </c>
      <c r="B835" s="217"/>
      <c r="C835" s="216"/>
      <c r="D835" s="240"/>
      <c r="E835" s="218"/>
      <c r="F835" s="218"/>
      <c r="G835" s="218"/>
      <c r="H835" s="219"/>
      <c r="I835" s="223">
        <f>IF($C835="","",IF(ISNUMBER(MATCH($C835,'Phản ánh'!$A$6:$A$505,0)),"Phản ánh",IF(ISNUMBER(MATCH($C835,'Kế hoạch'!$A$6:$A$305,0)),"Công việc","Mã chưa có")))</f>
      </c>
      <c r="J835" s="221">
        <f>IF($I835="Phản ánh",INDEX('Phản ánh'!$C$6:$C$505,MATCH($C835,'Phản ánh'!$A$6:$A$505,0)),IF($I835="Công việc",INDEX('Kế hoạch'!$C$6:$C$305,$O835),""))</f>
      </c>
      <c r="K835" s="221">
        <f>IF($I835="Phản ánh",INDEX('Phản ánh'!$K$6:$K$505,MATCH($C835,'Phản ánh'!$A$6:$A$505,0))&amp;"",IF($I835="Công việc",INDEX('Kế hoạch'!$N$6:$N$305,$O835)&amp;"",""))</f>
      </c>
      <c r="L835" s="220">
        <f>IF(OR($C835="",N($B835)=0),"",IF(AND($I835="Phản ánh",$E835="Đã xử lý"),INDEX('Phản ánh'!$U$6:$U$505,MATCH($C835,'Phản ánh'!$A$6:$A$505,0)),IF(AND($I835="Công việc",OR($E835="Hoàn thành",$E835="Hoàn thành kỳ")),IF(INDEX('Kế hoạch'!$B$6:$B$305,$O835)="Đột xuất",INDEX('Kế hoạch'!$AY$6:$AY$305,$O835),IF(N($P835)=0,"",IF(INT($B835)&lt;$P835,$P835,IF($Q835&gt;0,$P835+ROUND((INT($B835)-$P835)/$Q835,0)*$Q835,IF($R835&gt;0,EDATE($P835,ROUND((DATEDIF($P835,INT($B835),"m")+(INT($B835)-EDATE($P835,DATEDIF($P835,INT($B835),"m")))/(EDATE($P835,DATEDIF($P835,INT($B835),"m")+1)-EDATE($P835,DATEDIF($P835,INT($B835),"m"))))/$R835,0)*$R835),$P835))))),"")))</f>
      </c>
      <c r="M835" s="223">
        <f>IF(OR($C835="",N($L835)=0,N($B835)=0),"",IF(IF(MOD($L835,1)=0,INT($B835),$B835)&lt;=$L835,"Đúng hạn","Trễ hạn"))</f>
      </c>
      <c r="N835" s="225">
        <f>IF($C835="","",ROW())</f>
      </c>
      <c r="O835" s="225">
        <f>IF($I835="Công việc",MATCH($C835,'Kế hoạch'!$A$6:$A$305,0),"")</f>
      </c>
      <c r="P835" s="234">
        <f>IF($O835="","",INDEX('Kế hoạch'!$I$6:$I$305,$O835))</f>
      </c>
      <c r="Q835" s="225">
        <f>IF($O835="","",INDEX('Kế hoạch'!$AJ$6:$AJ$305,$O835))</f>
      </c>
      <c r="R835" s="225">
        <f>IF($O835="","",INDEX('Kế hoạch'!$AK$6:$AK$305,$O835))</f>
      </c>
    </row>
    <row r="836">
      <c r="A836" s="223">
        <f>IF($C836="","",COUNTIF($C$6:$C836,"?*"))</f>
      </c>
      <c r="B836" s="217"/>
      <c r="C836" s="216"/>
      <c r="D836" s="240"/>
      <c r="E836" s="218"/>
      <c r="F836" s="218"/>
      <c r="G836" s="218"/>
      <c r="H836" s="219"/>
      <c r="I836" s="223">
        <f>IF($C836="","",IF(ISNUMBER(MATCH($C836,'Phản ánh'!$A$6:$A$505,0)),"Phản ánh",IF(ISNUMBER(MATCH($C836,'Kế hoạch'!$A$6:$A$305,0)),"Công việc","Mã chưa có")))</f>
      </c>
      <c r="J836" s="221">
        <f>IF($I836="Phản ánh",INDEX('Phản ánh'!$C$6:$C$505,MATCH($C836,'Phản ánh'!$A$6:$A$505,0)),IF($I836="Công việc",INDEX('Kế hoạch'!$C$6:$C$305,$O836),""))</f>
      </c>
      <c r="K836" s="221">
        <f>IF($I836="Phản ánh",INDEX('Phản ánh'!$K$6:$K$505,MATCH($C836,'Phản ánh'!$A$6:$A$505,0))&amp;"",IF($I836="Công việc",INDEX('Kế hoạch'!$N$6:$N$305,$O836)&amp;"",""))</f>
      </c>
      <c r="L836" s="220">
        <f>IF(OR($C836="",N($B836)=0),"",IF(AND($I836="Phản ánh",$E836="Đã xử lý"),INDEX('Phản ánh'!$U$6:$U$505,MATCH($C836,'Phản ánh'!$A$6:$A$505,0)),IF(AND($I836="Công việc",OR($E836="Hoàn thành",$E836="Hoàn thành kỳ")),IF(INDEX('Kế hoạch'!$B$6:$B$305,$O836)="Đột xuất",INDEX('Kế hoạch'!$AY$6:$AY$305,$O836),IF(N($P836)=0,"",IF(INT($B836)&lt;$P836,$P836,IF($Q836&gt;0,$P836+ROUND((INT($B836)-$P836)/$Q836,0)*$Q836,IF($R836&gt;0,EDATE($P836,ROUND((DATEDIF($P836,INT($B836),"m")+(INT($B836)-EDATE($P836,DATEDIF($P836,INT($B836),"m")))/(EDATE($P836,DATEDIF($P836,INT($B836),"m")+1)-EDATE($P836,DATEDIF($P836,INT($B836),"m"))))/$R836,0)*$R836),$P836))))),"")))</f>
      </c>
      <c r="M836" s="223">
        <f>IF(OR($C836="",N($L836)=0,N($B836)=0),"",IF(IF(MOD($L836,1)=0,INT($B836),$B836)&lt;=$L836,"Đúng hạn","Trễ hạn"))</f>
      </c>
      <c r="N836" s="225">
        <f>IF($C836="","",ROW())</f>
      </c>
      <c r="O836" s="225">
        <f>IF($I836="Công việc",MATCH($C836,'Kế hoạch'!$A$6:$A$305,0),"")</f>
      </c>
      <c r="P836" s="234">
        <f>IF($O836="","",INDEX('Kế hoạch'!$I$6:$I$305,$O836))</f>
      </c>
      <c r="Q836" s="225">
        <f>IF($O836="","",INDEX('Kế hoạch'!$AJ$6:$AJ$305,$O836))</f>
      </c>
      <c r="R836" s="225">
        <f>IF($O836="","",INDEX('Kế hoạch'!$AK$6:$AK$305,$O836))</f>
      </c>
    </row>
    <row r="837">
      <c r="A837" s="223">
        <f>IF($C837="","",COUNTIF($C$6:$C837,"?*"))</f>
      </c>
      <c r="B837" s="217"/>
      <c r="C837" s="216"/>
      <c r="D837" s="240"/>
      <c r="E837" s="218"/>
      <c r="F837" s="218"/>
      <c r="G837" s="218"/>
      <c r="H837" s="219"/>
      <c r="I837" s="223">
        <f>IF($C837="","",IF(ISNUMBER(MATCH($C837,'Phản ánh'!$A$6:$A$505,0)),"Phản ánh",IF(ISNUMBER(MATCH($C837,'Kế hoạch'!$A$6:$A$305,0)),"Công việc","Mã chưa có")))</f>
      </c>
      <c r="J837" s="221">
        <f>IF($I837="Phản ánh",INDEX('Phản ánh'!$C$6:$C$505,MATCH($C837,'Phản ánh'!$A$6:$A$505,0)),IF($I837="Công việc",INDEX('Kế hoạch'!$C$6:$C$305,$O837),""))</f>
      </c>
      <c r="K837" s="221">
        <f>IF($I837="Phản ánh",INDEX('Phản ánh'!$K$6:$K$505,MATCH($C837,'Phản ánh'!$A$6:$A$505,0))&amp;"",IF($I837="Công việc",INDEX('Kế hoạch'!$N$6:$N$305,$O837)&amp;"",""))</f>
      </c>
      <c r="L837" s="220">
        <f>IF(OR($C837="",N($B837)=0),"",IF(AND($I837="Phản ánh",$E837="Đã xử lý"),INDEX('Phản ánh'!$U$6:$U$505,MATCH($C837,'Phản ánh'!$A$6:$A$505,0)),IF(AND($I837="Công việc",OR($E837="Hoàn thành",$E837="Hoàn thành kỳ")),IF(INDEX('Kế hoạch'!$B$6:$B$305,$O837)="Đột xuất",INDEX('Kế hoạch'!$AY$6:$AY$305,$O837),IF(N($P837)=0,"",IF(INT($B837)&lt;$P837,$P837,IF($Q837&gt;0,$P837+ROUND((INT($B837)-$P837)/$Q837,0)*$Q837,IF($R837&gt;0,EDATE($P837,ROUND((DATEDIF($P837,INT($B837),"m")+(INT($B837)-EDATE($P837,DATEDIF($P837,INT($B837),"m")))/(EDATE($P837,DATEDIF($P837,INT($B837),"m")+1)-EDATE($P837,DATEDIF($P837,INT($B837),"m"))))/$R837,0)*$R837),$P837))))),"")))</f>
      </c>
      <c r="M837" s="223">
        <f>IF(OR($C837="",N($L837)=0,N($B837)=0),"",IF(IF(MOD($L837,1)=0,INT($B837),$B837)&lt;=$L837,"Đúng hạn","Trễ hạn"))</f>
      </c>
      <c r="N837" s="225">
        <f>IF($C837="","",ROW())</f>
      </c>
      <c r="O837" s="225">
        <f>IF($I837="Công việc",MATCH($C837,'Kế hoạch'!$A$6:$A$305,0),"")</f>
      </c>
      <c r="P837" s="234">
        <f>IF($O837="","",INDEX('Kế hoạch'!$I$6:$I$305,$O837))</f>
      </c>
      <c r="Q837" s="225">
        <f>IF($O837="","",INDEX('Kế hoạch'!$AJ$6:$AJ$305,$O837))</f>
      </c>
      <c r="R837" s="225">
        <f>IF($O837="","",INDEX('Kế hoạch'!$AK$6:$AK$305,$O837))</f>
      </c>
    </row>
    <row r="838">
      <c r="A838" s="223">
        <f>IF($C838="","",COUNTIF($C$6:$C838,"?*"))</f>
      </c>
      <c r="B838" s="217"/>
      <c r="C838" s="216"/>
      <c r="D838" s="240"/>
      <c r="E838" s="218"/>
      <c r="F838" s="218"/>
      <c r="G838" s="218"/>
      <c r="H838" s="219"/>
      <c r="I838" s="223">
        <f>IF($C838="","",IF(ISNUMBER(MATCH($C838,'Phản ánh'!$A$6:$A$505,0)),"Phản ánh",IF(ISNUMBER(MATCH($C838,'Kế hoạch'!$A$6:$A$305,0)),"Công việc","Mã chưa có")))</f>
      </c>
      <c r="J838" s="221">
        <f>IF($I838="Phản ánh",INDEX('Phản ánh'!$C$6:$C$505,MATCH($C838,'Phản ánh'!$A$6:$A$505,0)),IF($I838="Công việc",INDEX('Kế hoạch'!$C$6:$C$305,$O838),""))</f>
      </c>
      <c r="K838" s="221">
        <f>IF($I838="Phản ánh",INDEX('Phản ánh'!$K$6:$K$505,MATCH($C838,'Phản ánh'!$A$6:$A$505,0))&amp;"",IF($I838="Công việc",INDEX('Kế hoạch'!$N$6:$N$305,$O838)&amp;"",""))</f>
      </c>
      <c r="L838" s="220">
        <f>IF(OR($C838="",N($B838)=0),"",IF(AND($I838="Phản ánh",$E838="Đã xử lý"),INDEX('Phản ánh'!$U$6:$U$505,MATCH($C838,'Phản ánh'!$A$6:$A$505,0)),IF(AND($I838="Công việc",OR($E838="Hoàn thành",$E838="Hoàn thành kỳ")),IF(INDEX('Kế hoạch'!$B$6:$B$305,$O838)="Đột xuất",INDEX('Kế hoạch'!$AY$6:$AY$305,$O838),IF(N($P838)=0,"",IF(INT($B838)&lt;$P838,$P838,IF($Q838&gt;0,$P838+ROUND((INT($B838)-$P838)/$Q838,0)*$Q838,IF($R838&gt;0,EDATE($P838,ROUND((DATEDIF($P838,INT($B838),"m")+(INT($B838)-EDATE($P838,DATEDIF($P838,INT($B838),"m")))/(EDATE($P838,DATEDIF($P838,INT($B838),"m")+1)-EDATE($P838,DATEDIF($P838,INT($B838),"m"))))/$R838,0)*$R838),$P838))))),"")))</f>
      </c>
      <c r="M838" s="223">
        <f>IF(OR($C838="",N($L838)=0,N($B838)=0),"",IF(IF(MOD($L838,1)=0,INT($B838),$B838)&lt;=$L838,"Đúng hạn","Trễ hạn"))</f>
      </c>
      <c r="N838" s="225">
        <f>IF($C838="","",ROW())</f>
      </c>
      <c r="O838" s="225">
        <f>IF($I838="Công việc",MATCH($C838,'Kế hoạch'!$A$6:$A$305,0),"")</f>
      </c>
      <c r="P838" s="234">
        <f>IF($O838="","",INDEX('Kế hoạch'!$I$6:$I$305,$O838))</f>
      </c>
      <c r="Q838" s="225">
        <f>IF($O838="","",INDEX('Kế hoạch'!$AJ$6:$AJ$305,$O838))</f>
      </c>
      <c r="R838" s="225">
        <f>IF($O838="","",INDEX('Kế hoạch'!$AK$6:$AK$305,$O838))</f>
      </c>
    </row>
    <row r="839">
      <c r="A839" s="223">
        <f>IF($C839="","",COUNTIF($C$6:$C839,"?*"))</f>
      </c>
      <c r="B839" s="217"/>
      <c r="C839" s="216"/>
      <c r="D839" s="240"/>
      <c r="E839" s="218"/>
      <c r="F839" s="218"/>
      <c r="G839" s="218"/>
      <c r="H839" s="219"/>
      <c r="I839" s="223">
        <f>IF($C839="","",IF(ISNUMBER(MATCH($C839,'Phản ánh'!$A$6:$A$505,0)),"Phản ánh",IF(ISNUMBER(MATCH($C839,'Kế hoạch'!$A$6:$A$305,0)),"Công việc","Mã chưa có")))</f>
      </c>
      <c r="J839" s="221">
        <f>IF($I839="Phản ánh",INDEX('Phản ánh'!$C$6:$C$505,MATCH($C839,'Phản ánh'!$A$6:$A$505,0)),IF($I839="Công việc",INDEX('Kế hoạch'!$C$6:$C$305,$O839),""))</f>
      </c>
      <c r="K839" s="221">
        <f>IF($I839="Phản ánh",INDEX('Phản ánh'!$K$6:$K$505,MATCH($C839,'Phản ánh'!$A$6:$A$505,0))&amp;"",IF($I839="Công việc",INDEX('Kế hoạch'!$N$6:$N$305,$O839)&amp;"",""))</f>
      </c>
      <c r="L839" s="220">
        <f>IF(OR($C839="",N($B839)=0),"",IF(AND($I839="Phản ánh",$E839="Đã xử lý"),INDEX('Phản ánh'!$U$6:$U$505,MATCH($C839,'Phản ánh'!$A$6:$A$505,0)),IF(AND($I839="Công việc",OR($E839="Hoàn thành",$E839="Hoàn thành kỳ")),IF(INDEX('Kế hoạch'!$B$6:$B$305,$O839)="Đột xuất",INDEX('Kế hoạch'!$AY$6:$AY$305,$O839),IF(N($P839)=0,"",IF(INT($B839)&lt;$P839,$P839,IF($Q839&gt;0,$P839+ROUND((INT($B839)-$P839)/$Q839,0)*$Q839,IF($R839&gt;0,EDATE($P839,ROUND((DATEDIF($P839,INT($B839),"m")+(INT($B839)-EDATE($P839,DATEDIF($P839,INT($B839),"m")))/(EDATE($P839,DATEDIF($P839,INT($B839),"m")+1)-EDATE($P839,DATEDIF($P839,INT($B839),"m"))))/$R839,0)*$R839),$P839))))),"")))</f>
      </c>
      <c r="M839" s="223">
        <f>IF(OR($C839="",N($L839)=0,N($B839)=0),"",IF(IF(MOD($L839,1)=0,INT($B839),$B839)&lt;=$L839,"Đúng hạn","Trễ hạn"))</f>
      </c>
      <c r="N839" s="225">
        <f>IF($C839="","",ROW())</f>
      </c>
      <c r="O839" s="225">
        <f>IF($I839="Công việc",MATCH($C839,'Kế hoạch'!$A$6:$A$305,0),"")</f>
      </c>
      <c r="P839" s="234">
        <f>IF($O839="","",INDEX('Kế hoạch'!$I$6:$I$305,$O839))</f>
      </c>
      <c r="Q839" s="225">
        <f>IF($O839="","",INDEX('Kế hoạch'!$AJ$6:$AJ$305,$O839))</f>
      </c>
      <c r="R839" s="225">
        <f>IF($O839="","",INDEX('Kế hoạch'!$AK$6:$AK$305,$O839))</f>
      </c>
    </row>
    <row r="840">
      <c r="A840" s="223">
        <f>IF($C840="","",COUNTIF($C$6:$C840,"?*"))</f>
      </c>
      <c r="B840" s="217"/>
      <c r="C840" s="216"/>
      <c r="D840" s="240"/>
      <c r="E840" s="218"/>
      <c r="F840" s="218"/>
      <c r="G840" s="218"/>
      <c r="H840" s="219"/>
      <c r="I840" s="223">
        <f>IF($C840="","",IF(ISNUMBER(MATCH($C840,'Phản ánh'!$A$6:$A$505,0)),"Phản ánh",IF(ISNUMBER(MATCH($C840,'Kế hoạch'!$A$6:$A$305,0)),"Công việc","Mã chưa có")))</f>
      </c>
      <c r="J840" s="221">
        <f>IF($I840="Phản ánh",INDEX('Phản ánh'!$C$6:$C$505,MATCH($C840,'Phản ánh'!$A$6:$A$505,0)),IF($I840="Công việc",INDEX('Kế hoạch'!$C$6:$C$305,$O840),""))</f>
      </c>
      <c r="K840" s="221">
        <f>IF($I840="Phản ánh",INDEX('Phản ánh'!$K$6:$K$505,MATCH($C840,'Phản ánh'!$A$6:$A$505,0))&amp;"",IF($I840="Công việc",INDEX('Kế hoạch'!$N$6:$N$305,$O840)&amp;"",""))</f>
      </c>
      <c r="L840" s="220">
        <f>IF(OR($C840="",N($B840)=0),"",IF(AND($I840="Phản ánh",$E840="Đã xử lý"),INDEX('Phản ánh'!$U$6:$U$505,MATCH($C840,'Phản ánh'!$A$6:$A$505,0)),IF(AND($I840="Công việc",OR($E840="Hoàn thành",$E840="Hoàn thành kỳ")),IF(INDEX('Kế hoạch'!$B$6:$B$305,$O840)="Đột xuất",INDEX('Kế hoạch'!$AY$6:$AY$305,$O840),IF(N($P840)=0,"",IF(INT($B840)&lt;$P840,$P840,IF($Q840&gt;0,$P840+ROUND((INT($B840)-$P840)/$Q840,0)*$Q840,IF($R840&gt;0,EDATE($P840,ROUND((DATEDIF($P840,INT($B840),"m")+(INT($B840)-EDATE($P840,DATEDIF($P840,INT($B840),"m")))/(EDATE($P840,DATEDIF($P840,INT($B840),"m")+1)-EDATE($P840,DATEDIF($P840,INT($B840),"m"))))/$R840,0)*$R840),$P840))))),"")))</f>
      </c>
      <c r="M840" s="223">
        <f>IF(OR($C840="",N($L840)=0,N($B840)=0),"",IF(IF(MOD($L840,1)=0,INT($B840),$B840)&lt;=$L840,"Đúng hạn","Trễ hạn"))</f>
      </c>
      <c r="N840" s="225">
        <f>IF($C840="","",ROW())</f>
      </c>
      <c r="O840" s="225">
        <f>IF($I840="Công việc",MATCH($C840,'Kế hoạch'!$A$6:$A$305,0),"")</f>
      </c>
      <c r="P840" s="234">
        <f>IF($O840="","",INDEX('Kế hoạch'!$I$6:$I$305,$O840))</f>
      </c>
      <c r="Q840" s="225">
        <f>IF($O840="","",INDEX('Kế hoạch'!$AJ$6:$AJ$305,$O840))</f>
      </c>
      <c r="R840" s="225">
        <f>IF($O840="","",INDEX('Kế hoạch'!$AK$6:$AK$305,$O840))</f>
      </c>
    </row>
    <row r="841">
      <c r="A841" s="223">
        <f>IF($C841="","",COUNTIF($C$6:$C841,"?*"))</f>
      </c>
      <c r="B841" s="217"/>
      <c r="C841" s="216"/>
      <c r="D841" s="240"/>
      <c r="E841" s="218"/>
      <c r="F841" s="218"/>
      <c r="G841" s="218"/>
      <c r="H841" s="219"/>
      <c r="I841" s="223">
        <f>IF($C841="","",IF(ISNUMBER(MATCH($C841,'Phản ánh'!$A$6:$A$505,0)),"Phản ánh",IF(ISNUMBER(MATCH($C841,'Kế hoạch'!$A$6:$A$305,0)),"Công việc","Mã chưa có")))</f>
      </c>
      <c r="J841" s="221">
        <f>IF($I841="Phản ánh",INDEX('Phản ánh'!$C$6:$C$505,MATCH($C841,'Phản ánh'!$A$6:$A$505,0)),IF($I841="Công việc",INDEX('Kế hoạch'!$C$6:$C$305,$O841),""))</f>
      </c>
      <c r="K841" s="221">
        <f>IF($I841="Phản ánh",INDEX('Phản ánh'!$K$6:$K$505,MATCH($C841,'Phản ánh'!$A$6:$A$505,0))&amp;"",IF($I841="Công việc",INDEX('Kế hoạch'!$N$6:$N$305,$O841)&amp;"",""))</f>
      </c>
      <c r="L841" s="220">
        <f>IF(OR($C841="",N($B841)=0),"",IF(AND($I841="Phản ánh",$E841="Đã xử lý"),INDEX('Phản ánh'!$U$6:$U$505,MATCH($C841,'Phản ánh'!$A$6:$A$505,0)),IF(AND($I841="Công việc",OR($E841="Hoàn thành",$E841="Hoàn thành kỳ")),IF(INDEX('Kế hoạch'!$B$6:$B$305,$O841)="Đột xuất",INDEX('Kế hoạch'!$AY$6:$AY$305,$O841),IF(N($P841)=0,"",IF(INT($B841)&lt;$P841,$P841,IF($Q841&gt;0,$P841+ROUND((INT($B841)-$P841)/$Q841,0)*$Q841,IF($R841&gt;0,EDATE($P841,ROUND((DATEDIF($P841,INT($B841),"m")+(INT($B841)-EDATE($P841,DATEDIF($P841,INT($B841),"m")))/(EDATE($P841,DATEDIF($P841,INT($B841),"m")+1)-EDATE($P841,DATEDIF($P841,INT($B841),"m"))))/$R841,0)*$R841),$P841))))),"")))</f>
      </c>
      <c r="M841" s="223">
        <f>IF(OR($C841="",N($L841)=0,N($B841)=0),"",IF(IF(MOD($L841,1)=0,INT($B841),$B841)&lt;=$L841,"Đúng hạn","Trễ hạn"))</f>
      </c>
      <c r="N841" s="225">
        <f>IF($C841="","",ROW())</f>
      </c>
      <c r="O841" s="225">
        <f>IF($I841="Công việc",MATCH($C841,'Kế hoạch'!$A$6:$A$305,0),"")</f>
      </c>
      <c r="P841" s="234">
        <f>IF($O841="","",INDEX('Kế hoạch'!$I$6:$I$305,$O841))</f>
      </c>
      <c r="Q841" s="225">
        <f>IF($O841="","",INDEX('Kế hoạch'!$AJ$6:$AJ$305,$O841))</f>
      </c>
      <c r="R841" s="225">
        <f>IF($O841="","",INDEX('Kế hoạch'!$AK$6:$AK$305,$O841))</f>
      </c>
    </row>
    <row r="842">
      <c r="A842" s="223">
        <f>IF($C842="","",COUNTIF($C$6:$C842,"?*"))</f>
      </c>
      <c r="B842" s="217"/>
      <c r="C842" s="216"/>
      <c r="D842" s="240"/>
      <c r="E842" s="218"/>
      <c r="F842" s="218"/>
      <c r="G842" s="218"/>
      <c r="H842" s="219"/>
      <c r="I842" s="223">
        <f>IF($C842="","",IF(ISNUMBER(MATCH($C842,'Phản ánh'!$A$6:$A$505,0)),"Phản ánh",IF(ISNUMBER(MATCH($C842,'Kế hoạch'!$A$6:$A$305,0)),"Công việc","Mã chưa có")))</f>
      </c>
      <c r="J842" s="221">
        <f>IF($I842="Phản ánh",INDEX('Phản ánh'!$C$6:$C$505,MATCH($C842,'Phản ánh'!$A$6:$A$505,0)),IF($I842="Công việc",INDEX('Kế hoạch'!$C$6:$C$305,$O842),""))</f>
      </c>
      <c r="K842" s="221">
        <f>IF($I842="Phản ánh",INDEX('Phản ánh'!$K$6:$K$505,MATCH($C842,'Phản ánh'!$A$6:$A$505,0))&amp;"",IF($I842="Công việc",INDEX('Kế hoạch'!$N$6:$N$305,$O842)&amp;"",""))</f>
      </c>
      <c r="L842" s="220">
        <f>IF(OR($C842="",N($B842)=0),"",IF(AND($I842="Phản ánh",$E842="Đã xử lý"),INDEX('Phản ánh'!$U$6:$U$505,MATCH($C842,'Phản ánh'!$A$6:$A$505,0)),IF(AND($I842="Công việc",OR($E842="Hoàn thành",$E842="Hoàn thành kỳ")),IF(INDEX('Kế hoạch'!$B$6:$B$305,$O842)="Đột xuất",INDEX('Kế hoạch'!$AY$6:$AY$305,$O842),IF(N($P842)=0,"",IF(INT($B842)&lt;$P842,$P842,IF($Q842&gt;0,$P842+ROUND((INT($B842)-$P842)/$Q842,0)*$Q842,IF($R842&gt;0,EDATE($P842,ROUND((DATEDIF($P842,INT($B842),"m")+(INT($B842)-EDATE($P842,DATEDIF($P842,INT($B842),"m")))/(EDATE($P842,DATEDIF($P842,INT($B842),"m")+1)-EDATE($P842,DATEDIF($P842,INT($B842),"m"))))/$R842,0)*$R842),$P842))))),"")))</f>
      </c>
      <c r="M842" s="223">
        <f>IF(OR($C842="",N($L842)=0,N($B842)=0),"",IF(IF(MOD($L842,1)=0,INT($B842),$B842)&lt;=$L842,"Đúng hạn","Trễ hạn"))</f>
      </c>
      <c r="N842" s="225">
        <f>IF($C842="","",ROW())</f>
      </c>
      <c r="O842" s="225">
        <f>IF($I842="Công việc",MATCH($C842,'Kế hoạch'!$A$6:$A$305,0),"")</f>
      </c>
      <c r="P842" s="234">
        <f>IF($O842="","",INDEX('Kế hoạch'!$I$6:$I$305,$O842))</f>
      </c>
      <c r="Q842" s="225">
        <f>IF($O842="","",INDEX('Kế hoạch'!$AJ$6:$AJ$305,$O842))</f>
      </c>
      <c r="R842" s="225">
        <f>IF($O842="","",INDEX('Kế hoạch'!$AK$6:$AK$305,$O842))</f>
      </c>
    </row>
    <row r="843">
      <c r="A843" s="223">
        <f>IF($C843="","",COUNTIF($C$6:$C843,"?*"))</f>
      </c>
      <c r="B843" s="217"/>
      <c r="C843" s="216"/>
      <c r="D843" s="240"/>
      <c r="E843" s="218"/>
      <c r="F843" s="218"/>
      <c r="G843" s="218"/>
      <c r="H843" s="219"/>
      <c r="I843" s="223">
        <f>IF($C843="","",IF(ISNUMBER(MATCH($C843,'Phản ánh'!$A$6:$A$505,0)),"Phản ánh",IF(ISNUMBER(MATCH($C843,'Kế hoạch'!$A$6:$A$305,0)),"Công việc","Mã chưa có")))</f>
      </c>
      <c r="J843" s="221">
        <f>IF($I843="Phản ánh",INDEX('Phản ánh'!$C$6:$C$505,MATCH($C843,'Phản ánh'!$A$6:$A$505,0)),IF($I843="Công việc",INDEX('Kế hoạch'!$C$6:$C$305,$O843),""))</f>
      </c>
      <c r="K843" s="221">
        <f>IF($I843="Phản ánh",INDEX('Phản ánh'!$K$6:$K$505,MATCH($C843,'Phản ánh'!$A$6:$A$505,0))&amp;"",IF($I843="Công việc",INDEX('Kế hoạch'!$N$6:$N$305,$O843)&amp;"",""))</f>
      </c>
      <c r="L843" s="220">
        <f>IF(OR($C843="",N($B843)=0),"",IF(AND($I843="Phản ánh",$E843="Đã xử lý"),INDEX('Phản ánh'!$U$6:$U$505,MATCH($C843,'Phản ánh'!$A$6:$A$505,0)),IF(AND($I843="Công việc",OR($E843="Hoàn thành",$E843="Hoàn thành kỳ")),IF(INDEX('Kế hoạch'!$B$6:$B$305,$O843)="Đột xuất",INDEX('Kế hoạch'!$AY$6:$AY$305,$O843),IF(N($P843)=0,"",IF(INT($B843)&lt;$P843,$P843,IF($Q843&gt;0,$P843+ROUND((INT($B843)-$P843)/$Q843,0)*$Q843,IF($R843&gt;0,EDATE($P843,ROUND((DATEDIF($P843,INT($B843),"m")+(INT($B843)-EDATE($P843,DATEDIF($P843,INT($B843),"m")))/(EDATE($P843,DATEDIF($P843,INT($B843),"m")+1)-EDATE($P843,DATEDIF($P843,INT($B843),"m"))))/$R843,0)*$R843),$P843))))),"")))</f>
      </c>
      <c r="M843" s="223">
        <f>IF(OR($C843="",N($L843)=0,N($B843)=0),"",IF(IF(MOD($L843,1)=0,INT($B843),$B843)&lt;=$L843,"Đúng hạn","Trễ hạn"))</f>
      </c>
      <c r="N843" s="225">
        <f>IF($C843="","",ROW())</f>
      </c>
      <c r="O843" s="225">
        <f>IF($I843="Công việc",MATCH($C843,'Kế hoạch'!$A$6:$A$305,0),"")</f>
      </c>
      <c r="P843" s="234">
        <f>IF($O843="","",INDEX('Kế hoạch'!$I$6:$I$305,$O843))</f>
      </c>
      <c r="Q843" s="225">
        <f>IF($O843="","",INDEX('Kế hoạch'!$AJ$6:$AJ$305,$O843))</f>
      </c>
      <c r="R843" s="225">
        <f>IF($O843="","",INDEX('Kế hoạch'!$AK$6:$AK$305,$O843))</f>
      </c>
    </row>
    <row r="844">
      <c r="A844" s="223">
        <f>IF($C844="","",COUNTIF($C$6:$C844,"?*"))</f>
      </c>
      <c r="B844" s="217"/>
      <c r="C844" s="216"/>
      <c r="D844" s="240"/>
      <c r="E844" s="218"/>
      <c r="F844" s="218"/>
      <c r="G844" s="218"/>
      <c r="H844" s="219"/>
      <c r="I844" s="223">
        <f>IF($C844="","",IF(ISNUMBER(MATCH($C844,'Phản ánh'!$A$6:$A$505,0)),"Phản ánh",IF(ISNUMBER(MATCH($C844,'Kế hoạch'!$A$6:$A$305,0)),"Công việc","Mã chưa có")))</f>
      </c>
      <c r="J844" s="221">
        <f>IF($I844="Phản ánh",INDEX('Phản ánh'!$C$6:$C$505,MATCH($C844,'Phản ánh'!$A$6:$A$505,0)),IF($I844="Công việc",INDEX('Kế hoạch'!$C$6:$C$305,$O844),""))</f>
      </c>
      <c r="K844" s="221">
        <f>IF($I844="Phản ánh",INDEX('Phản ánh'!$K$6:$K$505,MATCH($C844,'Phản ánh'!$A$6:$A$505,0))&amp;"",IF($I844="Công việc",INDEX('Kế hoạch'!$N$6:$N$305,$O844)&amp;"",""))</f>
      </c>
      <c r="L844" s="220">
        <f>IF(OR($C844="",N($B844)=0),"",IF(AND($I844="Phản ánh",$E844="Đã xử lý"),INDEX('Phản ánh'!$U$6:$U$505,MATCH($C844,'Phản ánh'!$A$6:$A$505,0)),IF(AND($I844="Công việc",OR($E844="Hoàn thành",$E844="Hoàn thành kỳ")),IF(INDEX('Kế hoạch'!$B$6:$B$305,$O844)="Đột xuất",INDEX('Kế hoạch'!$AY$6:$AY$305,$O844),IF(N($P844)=0,"",IF(INT($B844)&lt;$P844,$P844,IF($Q844&gt;0,$P844+ROUND((INT($B844)-$P844)/$Q844,0)*$Q844,IF($R844&gt;0,EDATE($P844,ROUND((DATEDIF($P844,INT($B844),"m")+(INT($B844)-EDATE($P844,DATEDIF($P844,INT($B844),"m")))/(EDATE($P844,DATEDIF($P844,INT($B844),"m")+1)-EDATE($P844,DATEDIF($P844,INT($B844),"m"))))/$R844,0)*$R844),$P844))))),"")))</f>
      </c>
      <c r="M844" s="223">
        <f>IF(OR($C844="",N($L844)=0,N($B844)=0),"",IF(IF(MOD($L844,1)=0,INT($B844),$B844)&lt;=$L844,"Đúng hạn","Trễ hạn"))</f>
      </c>
      <c r="N844" s="225">
        <f>IF($C844="","",ROW())</f>
      </c>
      <c r="O844" s="225">
        <f>IF($I844="Công việc",MATCH($C844,'Kế hoạch'!$A$6:$A$305,0),"")</f>
      </c>
      <c r="P844" s="234">
        <f>IF($O844="","",INDEX('Kế hoạch'!$I$6:$I$305,$O844))</f>
      </c>
      <c r="Q844" s="225">
        <f>IF($O844="","",INDEX('Kế hoạch'!$AJ$6:$AJ$305,$O844))</f>
      </c>
      <c r="R844" s="225">
        <f>IF($O844="","",INDEX('Kế hoạch'!$AK$6:$AK$305,$O844))</f>
      </c>
    </row>
    <row r="845">
      <c r="A845" s="223">
        <f>IF($C845="","",COUNTIF($C$6:$C845,"?*"))</f>
      </c>
      <c r="B845" s="217"/>
      <c r="C845" s="216"/>
      <c r="D845" s="240"/>
      <c r="E845" s="218"/>
      <c r="F845" s="218"/>
      <c r="G845" s="218"/>
      <c r="H845" s="219"/>
      <c r="I845" s="223">
        <f>IF($C845="","",IF(ISNUMBER(MATCH($C845,'Phản ánh'!$A$6:$A$505,0)),"Phản ánh",IF(ISNUMBER(MATCH($C845,'Kế hoạch'!$A$6:$A$305,0)),"Công việc","Mã chưa có")))</f>
      </c>
      <c r="J845" s="221">
        <f>IF($I845="Phản ánh",INDEX('Phản ánh'!$C$6:$C$505,MATCH($C845,'Phản ánh'!$A$6:$A$505,0)),IF($I845="Công việc",INDEX('Kế hoạch'!$C$6:$C$305,$O845),""))</f>
      </c>
      <c r="K845" s="221">
        <f>IF($I845="Phản ánh",INDEX('Phản ánh'!$K$6:$K$505,MATCH($C845,'Phản ánh'!$A$6:$A$505,0))&amp;"",IF($I845="Công việc",INDEX('Kế hoạch'!$N$6:$N$305,$O845)&amp;"",""))</f>
      </c>
      <c r="L845" s="220">
        <f>IF(OR($C845="",N($B845)=0),"",IF(AND($I845="Phản ánh",$E845="Đã xử lý"),INDEX('Phản ánh'!$U$6:$U$505,MATCH($C845,'Phản ánh'!$A$6:$A$505,0)),IF(AND($I845="Công việc",OR($E845="Hoàn thành",$E845="Hoàn thành kỳ")),IF(INDEX('Kế hoạch'!$B$6:$B$305,$O845)="Đột xuất",INDEX('Kế hoạch'!$AY$6:$AY$305,$O845),IF(N($P845)=0,"",IF(INT($B845)&lt;$P845,$P845,IF($Q845&gt;0,$P845+ROUND((INT($B845)-$P845)/$Q845,0)*$Q845,IF($R845&gt;0,EDATE($P845,ROUND((DATEDIF($P845,INT($B845),"m")+(INT($B845)-EDATE($P845,DATEDIF($P845,INT($B845),"m")))/(EDATE($P845,DATEDIF($P845,INT($B845),"m")+1)-EDATE($P845,DATEDIF($P845,INT($B845),"m"))))/$R845,0)*$R845),$P845))))),"")))</f>
      </c>
      <c r="M845" s="223">
        <f>IF(OR($C845="",N($L845)=0,N($B845)=0),"",IF(IF(MOD($L845,1)=0,INT($B845),$B845)&lt;=$L845,"Đúng hạn","Trễ hạn"))</f>
      </c>
      <c r="N845" s="225">
        <f>IF($C845="","",ROW())</f>
      </c>
      <c r="O845" s="225">
        <f>IF($I845="Công việc",MATCH($C845,'Kế hoạch'!$A$6:$A$305,0),"")</f>
      </c>
      <c r="P845" s="234">
        <f>IF($O845="","",INDEX('Kế hoạch'!$I$6:$I$305,$O845))</f>
      </c>
      <c r="Q845" s="225">
        <f>IF($O845="","",INDEX('Kế hoạch'!$AJ$6:$AJ$305,$O845))</f>
      </c>
      <c r="R845" s="225">
        <f>IF($O845="","",INDEX('Kế hoạch'!$AK$6:$AK$305,$O845))</f>
      </c>
    </row>
    <row r="846">
      <c r="A846" s="223">
        <f>IF($C846="","",COUNTIF($C$6:$C846,"?*"))</f>
      </c>
      <c r="B846" s="217"/>
      <c r="C846" s="216"/>
      <c r="D846" s="240"/>
      <c r="E846" s="218"/>
      <c r="F846" s="218"/>
      <c r="G846" s="218"/>
      <c r="H846" s="219"/>
      <c r="I846" s="223">
        <f>IF($C846="","",IF(ISNUMBER(MATCH($C846,'Phản ánh'!$A$6:$A$505,0)),"Phản ánh",IF(ISNUMBER(MATCH($C846,'Kế hoạch'!$A$6:$A$305,0)),"Công việc","Mã chưa có")))</f>
      </c>
      <c r="J846" s="221">
        <f>IF($I846="Phản ánh",INDEX('Phản ánh'!$C$6:$C$505,MATCH($C846,'Phản ánh'!$A$6:$A$505,0)),IF($I846="Công việc",INDEX('Kế hoạch'!$C$6:$C$305,$O846),""))</f>
      </c>
      <c r="K846" s="221">
        <f>IF($I846="Phản ánh",INDEX('Phản ánh'!$K$6:$K$505,MATCH($C846,'Phản ánh'!$A$6:$A$505,0))&amp;"",IF($I846="Công việc",INDEX('Kế hoạch'!$N$6:$N$305,$O846)&amp;"",""))</f>
      </c>
      <c r="L846" s="220">
        <f>IF(OR($C846="",N($B846)=0),"",IF(AND($I846="Phản ánh",$E846="Đã xử lý"),INDEX('Phản ánh'!$U$6:$U$505,MATCH($C846,'Phản ánh'!$A$6:$A$505,0)),IF(AND($I846="Công việc",OR($E846="Hoàn thành",$E846="Hoàn thành kỳ")),IF(INDEX('Kế hoạch'!$B$6:$B$305,$O846)="Đột xuất",INDEX('Kế hoạch'!$AY$6:$AY$305,$O846),IF(N($P846)=0,"",IF(INT($B846)&lt;$P846,$P846,IF($Q846&gt;0,$P846+ROUND((INT($B846)-$P846)/$Q846,0)*$Q846,IF($R846&gt;0,EDATE($P846,ROUND((DATEDIF($P846,INT($B846),"m")+(INT($B846)-EDATE($P846,DATEDIF($P846,INT($B846),"m")))/(EDATE($P846,DATEDIF($P846,INT($B846),"m")+1)-EDATE($P846,DATEDIF($P846,INT($B846),"m"))))/$R846,0)*$R846),$P846))))),"")))</f>
      </c>
      <c r="M846" s="223">
        <f>IF(OR($C846="",N($L846)=0,N($B846)=0),"",IF(IF(MOD($L846,1)=0,INT($B846),$B846)&lt;=$L846,"Đúng hạn","Trễ hạn"))</f>
      </c>
      <c r="N846" s="225">
        <f>IF($C846="","",ROW())</f>
      </c>
      <c r="O846" s="225">
        <f>IF($I846="Công việc",MATCH($C846,'Kế hoạch'!$A$6:$A$305,0),"")</f>
      </c>
      <c r="P846" s="234">
        <f>IF($O846="","",INDEX('Kế hoạch'!$I$6:$I$305,$O846))</f>
      </c>
      <c r="Q846" s="225">
        <f>IF($O846="","",INDEX('Kế hoạch'!$AJ$6:$AJ$305,$O846))</f>
      </c>
      <c r="R846" s="225">
        <f>IF($O846="","",INDEX('Kế hoạch'!$AK$6:$AK$305,$O846))</f>
      </c>
    </row>
    <row r="847">
      <c r="A847" s="223">
        <f>IF($C847="","",COUNTIF($C$6:$C847,"?*"))</f>
      </c>
      <c r="B847" s="217"/>
      <c r="C847" s="216"/>
      <c r="D847" s="240"/>
      <c r="E847" s="218"/>
      <c r="F847" s="218"/>
      <c r="G847" s="218"/>
      <c r="H847" s="219"/>
      <c r="I847" s="223">
        <f>IF($C847="","",IF(ISNUMBER(MATCH($C847,'Phản ánh'!$A$6:$A$505,0)),"Phản ánh",IF(ISNUMBER(MATCH($C847,'Kế hoạch'!$A$6:$A$305,0)),"Công việc","Mã chưa có")))</f>
      </c>
      <c r="J847" s="221">
        <f>IF($I847="Phản ánh",INDEX('Phản ánh'!$C$6:$C$505,MATCH($C847,'Phản ánh'!$A$6:$A$505,0)),IF($I847="Công việc",INDEX('Kế hoạch'!$C$6:$C$305,$O847),""))</f>
      </c>
      <c r="K847" s="221">
        <f>IF($I847="Phản ánh",INDEX('Phản ánh'!$K$6:$K$505,MATCH($C847,'Phản ánh'!$A$6:$A$505,0))&amp;"",IF($I847="Công việc",INDEX('Kế hoạch'!$N$6:$N$305,$O847)&amp;"",""))</f>
      </c>
      <c r="L847" s="220">
        <f>IF(OR($C847="",N($B847)=0),"",IF(AND($I847="Phản ánh",$E847="Đã xử lý"),INDEX('Phản ánh'!$U$6:$U$505,MATCH($C847,'Phản ánh'!$A$6:$A$505,0)),IF(AND($I847="Công việc",OR($E847="Hoàn thành",$E847="Hoàn thành kỳ")),IF(INDEX('Kế hoạch'!$B$6:$B$305,$O847)="Đột xuất",INDEX('Kế hoạch'!$AY$6:$AY$305,$O847),IF(N($P847)=0,"",IF(INT($B847)&lt;$P847,$P847,IF($Q847&gt;0,$P847+ROUND((INT($B847)-$P847)/$Q847,0)*$Q847,IF($R847&gt;0,EDATE($P847,ROUND((DATEDIF($P847,INT($B847),"m")+(INT($B847)-EDATE($P847,DATEDIF($P847,INT($B847),"m")))/(EDATE($P847,DATEDIF($P847,INT($B847),"m")+1)-EDATE($P847,DATEDIF($P847,INT($B847),"m"))))/$R847,0)*$R847),$P847))))),"")))</f>
      </c>
      <c r="M847" s="223">
        <f>IF(OR($C847="",N($L847)=0,N($B847)=0),"",IF(IF(MOD($L847,1)=0,INT($B847),$B847)&lt;=$L847,"Đúng hạn","Trễ hạn"))</f>
      </c>
      <c r="N847" s="225">
        <f>IF($C847="","",ROW())</f>
      </c>
      <c r="O847" s="225">
        <f>IF($I847="Công việc",MATCH($C847,'Kế hoạch'!$A$6:$A$305,0),"")</f>
      </c>
      <c r="P847" s="234">
        <f>IF($O847="","",INDEX('Kế hoạch'!$I$6:$I$305,$O847))</f>
      </c>
      <c r="Q847" s="225">
        <f>IF($O847="","",INDEX('Kế hoạch'!$AJ$6:$AJ$305,$O847))</f>
      </c>
      <c r="R847" s="225">
        <f>IF($O847="","",INDEX('Kế hoạch'!$AK$6:$AK$305,$O847))</f>
      </c>
    </row>
    <row r="848">
      <c r="A848" s="223">
        <f>IF($C848="","",COUNTIF($C$6:$C848,"?*"))</f>
      </c>
      <c r="B848" s="217"/>
      <c r="C848" s="216"/>
      <c r="D848" s="240"/>
      <c r="E848" s="218"/>
      <c r="F848" s="218"/>
      <c r="G848" s="218"/>
      <c r="H848" s="219"/>
      <c r="I848" s="223">
        <f>IF($C848="","",IF(ISNUMBER(MATCH($C848,'Phản ánh'!$A$6:$A$505,0)),"Phản ánh",IF(ISNUMBER(MATCH($C848,'Kế hoạch'!$A$6:$A$305,0)),"Công việc","Mã chưa có")))</f>
      </c>
      <c r="J848" s="221">
        <f>IF($I848="Phản ánh",INDEX('Phản ánh'!$C$6:$C$505,MATCH($C848,'Phản ánh'!$A$6:$A$505,0)),IF($I848="Công việc",INDEX('Kế hoạch'!$C$6:$C$305,$O848),""))</f>
      </c>
      <c r="K848" s="221">
        <f>IF($I848="Phản ánh",INDEX('Phản ánh'!$K$6:$K$505,MATCH($C848,'Phản ánh'!$A$6:$A$505,0))&amp;"",IF($I848="Công việc",INDEX('Kế hoạch'!$N$6:$N$305,$O848)&amp;"",""))</f>
      </c>
      <c r="L848" s="220">
        <f>IF(OR($C848="",N($B848)=0),"",IF(AND($I848="Phản ánh",$E848="Đã xử lý"),INDEX('Phản ánh'!$U$6:$U$505,MATCH($C848,'Phản ánh'!$A$6:$A$505,0)),IF(AND($I848="Công việc",OR($E848="Hoàn thành",$E848="Hoàn thành kỳ")),IF(INDEX('Kế hoạch'!$B$6:$B$305,$O848)="Đột xuất",INDEX('Kế hoạch'!$AY$6:$AY$305,$O848),IF(N($P848)=0,"",IF(INT($B848)&lt;$P848,$P848,IF($Q848&gt;0,$P848+ROUND((INT($B848)-$P848)/$Q848,0)*$Q848,IF($R848&gt;0,EDATE($P848,ROUND((DATEDIF($P848,INT($B848),"m")+(INT($B848)-EDATE($P848,DATEDIF($P848,INT($B848),"m")))/(EDATE($P848,DATEDIF($P848,INT($B848),"m")+1)-EDATE($P848,DATEDIF($P848,INT($B848),"m"))))/$R848,0)*$R848),$P848))))),"")))</f>
      </c>
      <c r="M848" s="223">
        <f>IF(OR($C848="",N($L848)=0,N($B848)=0),"",IF(IF(MOD($L848,1)=0,INT($B848),$B848)&lt;=$L848,"Đúng hạn","Trễ hạn"))</f>
      </c>
      <c r="N848" s="225">
        <f>IF($C848="","",ROW())</f>
      </c>
      <c r="O848" s="225">
        <f>IF($I848="Công việc",MATCH($C848,'Kế hoạch'!$A$6:$A$305,0),"")</f>
      </c>
      <c r="P848" s="234">
        <f>IF($O848="","",INDEX('Kế hoạch'!$I$6:$I$305,$O848))</f>
      </c>
      <c r="Q848" s="225">
        <f>IF($O848="","",INDEX('Kế hoạch'!$AJ$6:$AJ$305,$O848))</f>
      </c>
      <c r="R848" s="225">
        <f>IF($O848="","",INDEX('Kế hoạch'!$AK$6:$AK$305,$O848))</f>
      </c>
    </row>
    <row r="849">
      <c r="A849" s="223">
        <f>IF($C849="","",COUNTIF($C$6:$C849,"?*"))</f>
      </c>
      <c r="B849" s="217"/>
      <c r="C849" s="216"/>
      <c r="D849" s="240"/>
      <c r="E849" s="218"/>
      <c r="F849" s="218"/>
      <c r="G849" s="218"/>
      <c r="H849" s="219"/>
      <c r="I849" s="223">
        <f>IF($C849="","",IF(ISNUMBER(MATCH($C849,'Phản ánh'!$A$6:$A$505,0)),"Phản ánh",IF(ISNUMBER(MATCH($C849,'Kế hoạch'!$A$6:$A$305,0)),"Công việc","Mã chưa có")))</f>
      </c>
      <c r="J849" s="221">
        <f>IF($I849="Phản ánh",INDEX('Phản ánh'!$C$6:$C$505,MATCH($C849,'Phản ánh'!$A$6:$A$505,0)),IF($I849="Công việc",INDEX('Kế hoạch'!$C$6:$C$305,$O849),""))</f>
      </c>
      <c r="K849" s="221">
        <f>IF($I849="Phản ánh",INDEX('Phản ánh'!$K$6:$K$505,MATCH($C849,'Phản ánh'!$A$6:$A$505,0))&amp;"",IF($I849="Công việc",INDEX('Kế hoạch'!$N$6:$N$305,$O849)&amp;"",""))</f>
      </c>
      <c r="L849" s="220">
        <f>IF(OR($C849="",N($B849)=0),"",IF(AND($I849="Phản ánh",$E849="Đã xử lý"),INDEX('Phản ánh'!$U$6:$U$505,MATCH($C849,'Phản ánh'!$A$6:$A$505,0)),IF(AND($I849="Công việc",OR($E849="Hoàn thành",$E849="Hoàn thành kỳ")),IF(INDEX('Kế hoạch'!$B$6:$B$305,$O849)="Đột xuất",INDEX('Kế hoạch'!$AY$6:$AY$305,$O849),IF(N($P849)=0,"",IF(INT($B849)&lt;$P849,$P849,IF($Q849&gt;0,$P849+ROUND((INT($B849)-$P849)/$Q849,0)*$Q849,IF($R849&gt;0,EDATE($P849,ROUND((DATEDIF($P849,INT($B849),"m")+(INT($B849)-EDATE($P849,DATEDIF($P849,INT($B849),"m")))/(EDATE($P849,DATEDIF($P849,INT($B849),"m")+1)-EDATE($P849,DATEDIF($P849,INT($B849),"m"))))/$R849,0)*$R849),$P849))))),"")))</f>
      </c>
      <c r="M849" s="223">
        <f>IF(OR($C849="",N($L849)=0,N($B849)=0),"",IF(IF(MOD($L849,1)=0,INT($B849),$B849)&lt;=$L849,"Đúng hạn","Trễ hạn"))</f>
      </c>
      <c r="N849" s="225">
        <f>IF($C849="","",ROW())</f>
      </c>
      <c r="O849" s="225">
        <f>IF($I849="Công việc",MATCH($C849,'Kế hoạch'!$A$6:$A$305,0),"")</f>
      </c>
      <c r="P849" s="234">
        <f>IF($O849="","",INDEX('Kế hoạch'!$I$6:$I$305,$O849))</f>
      </c>
      <c r="Q849" s="225">
        <f>IF($O849="","",INDEX('Kế hoạch'!$AJ$6:$AJ$305,$O849))</f>
      </c>
      <c r="R849" s="225">
        <f>IF($O849="","",INDEX('Kế hoạch'!$AK$6:$AK$305,$O849))</f>
      </c>
    </row>
    <row r="850">
      <c r="A850" s="223">
        <f>IF($C850="","",COUNTIF($C$6:$C850,"?*"))</f>
      </c>
      <c r="B850" s="217"/>
      <c r="C850" s="216"/>
      <c r="D850" s="240"/>
      <c r="E850" s="218"/>
      <c r="F850" s="218"/>
      <c r="G850" s="218"/>
      <c r="H850" s="219"/>
      <c r="I850" s="223">
        <f>IF($C850="","",IF(ISNUMBER(MATCH($C850,'Phản ánh'!$A$6:$A$505,0)),"Phản ánh",IF(ISNUMBER(MATCH($C850,'Kế hoạch'!$A$6:$A$305,0)),"Công việc","Mã chưa có")))</f>
      </c>
      <c r="J850" s="221">
        <f>IF($I850="Phản ánh",INDEX('Phản ánh'!$C$6:$C$505,MATCH($C850,'Phản ánh'!$A$6:$A$505,0)),IF($I850="Công việc",INDEX('Kế hoạch'!$C$6:$C$305,$O850),""))</f>
      </c>
      <c r="K850" s="221">
        <f>IF($I850="Phản ánh",INDEX('Phản ánh'!$K$6:$K$505,MATCH($C850,'Phản ánh'!$A$6:$A$505,0))&amp;"",IF($I850="Công việc",INDEX('Kế hoạch'!$N$6:$N$305,$O850)&amp;"",""))</f>
      </c>
      <c r="L850" s="220">
        <f>IF(OR($C850="",N($B850)=0),"",IF(AND($I850="Phản ánh",$E850="Đã xử lý"),INDEX('Phản ánh'!$U$6:$U$505,MATCH($C850,'Phản ánh'!$A$6:$A$505,0)),IF(AND($I850="Công việc",OR($E850="Hoàn thành",$E850="Hoàn thành kỳ")),IF(INDEX('Kế hoạch'!$B$6:$B$305,$O850)="Đột xuất",INDEX('Kế hoạch'!$AY$6:$AY$305,$O850),IF(N($P850)=0,"",IF(INT($B850)&lt;$P850,$P850,IF($Q850&gt;0,$P850+ROUND((INT($B850)-$P850)/$Q850,0)*$Q850,IF($R850&gt;0,EDATE($P850,ROUND((DATEDIF($P850,INT($B850),"m")+(INT($B850)-EDATE($P850,DATEDIF($P850,INT($B850),"m")))/(EDATE($P850,DATEDIF($P850,INT($B850),"m")+1)-EDATE($P850,DATEDIF($P850,INT($B850),"m"))))/$R850,0)*$R850),$P850))))),"")))</f>
      </c>
      <c r="M850" s="223">
        <f>IF(OR($C850="",N($L850)=0,N($B850)=0),"",IF(IF(MOD($L850,1)=0,INT($B850),$B850)&lt;=$L850,"Đúng hạn","Trễ hạn"))</f>
      </c>
      <c r="N850" s="225">
        <f>IF($C850="","",ROW())</f>
      </c>
      <c r="O850" s="225">
        <f>IF($I850="Công việc",MATCH($C850,'Kế hoạch'!$A$6:$A$305,0),"")</f>
      </c>
      <c r="P850" s="234">
        <f>IF($O850="","",INDEX('Kế hoạch'!$I$6:$I$305,$O850))</f>
      </c>
      <c r="Q850" s="225">
        <f>IF($O850="","",INDEX('Kế hoạch'!$AJ$6:$AJ$305,$O850))</f>
      </c>
      <c r="R850" s="225">
        <f>IF($O850="","",INDEX('Kế hoạch'!$AK$6:$AK$305,$O850))</f>
      </c>
    </row>
    <row r="851">
      <c r="A851" s="223">
        <f>IF($C851="","",COUNTIF($C$6:$C851,"?*"))</f>
      </c>
      <c r="B851" s="217"/>
      <c r="C851" s="216"/>
      <c r="D851" s="240"/>
      <c r="E851" s="218"/>
      <c r="F851" s="218"/>
      <c r="G851" s="218"/>
      <c r="H851" s="219"/>
      <c r="I851" s="223">
        <f>IF($C851="","",IF(ISNUMBER(MATCH($C851,'Phản ánh'!$A$6:$A$505,0)),"Phản ánh",IF(ISNUMBER(MATCH($C851,'Kế hoạch'!$A$6:$A$305,0)),"Công việc","Mã chưa có")))</f>
      </c>
      <c r="J851" s="221">
        <f>IF($I851="Phản ánh",INDEX('Phản ánh'!$C$6:$C$505,MATCH($C851,'Phản ánh'!$A$6:$A$505,0)),IF($I851="Công việc",INDEX('Kế hoạch'!$C$6:$C$305,$O851),""))</f>
      </c>
      <c r="K851" s="221">
        <f>IF($I851="Phản ánh",INDEX('Phản ánh'!$K$6:$K$505,MATCH($C851,'Phản ánh'!$A$6:$A$505,0))&amp;"",IF($I851="Công việc",INDEX('Kế hoạch'!$N$6:$N$305,$O851)&amp;"",""))</f>
      </c>
      <c r="L851" s="220">
        <f>IF(OR($C851="",N($B851)=0),"",IF(AND($I851="Phản ánh",$E851="Đã xử lý"),INDEX('Phản ánh'!$U$6:$U$505,MATCH($C851,'Phản ánh'!$A$6:$A$505,0)),IF(AND($I851="Công việc",OR($E851="Hoàn thành",$E851="Hoàn thành kỳ")),IF(INDEX('Kế hoạch'!$B$6:$B$305,$O851)="Đột xuất",INDEX('Kế hoạch'!$AY$6:$AY$305,$O851),IF(N($P851)=0,"",IF(INT($B851)&lt;$P851,$P851,IF($Q851&gt;0,$P851+ROUND((INT($B851)-$P851)/$Q851,0)*$Q851,IF($R851&gt;0,EDATE($P851,ROUND((DATEDIF($P851,INT($B851),"m")+(INT($B851)-EDATE($P851,DATEDIF($P851,INT($B851),"m")))/(EDATE($P851,DATEDIF($P851,INT($B851),"m")+1)-EDATE($P851,DATEDIF($P851,INT($B851),"m"))))/$R851,0)*$R851),$P851))))),"")))</f>
      </c>
      <c r="M851" s="223">
        <f>IF(OR($C851="",N($L851)=0,N($B851)=0),"",IF(IF(MOD($L851,1)=0,INT($B851),$B851)&lt;=$L851,"Đúng hạn","Trễ hạn"))</f>
      </c>
      <c r="N851" s="225">
        <f>IF($C851="","",ROW())</f>
      </c>
      <c r="O851" s="225">
        <f>IF($I851="Công việc",MATCH($C851,'Kế hoạch'!$A$6:$A$305,0),"")</f>
      </c>
      <c r="P851" s="234">
        <f>IF($O851="","",INDEX('Kế hoạch'!$I$6:$I$305,$O851))</f>
      </c>
      <c r="Q851" s="225">
        <f>IF($O851="","",INDEX('Kế hoạch'!$AJ$6:$AJ$305,$O851))</f>
      </c>
      <c r="R851" s="225">
        <f>IF($O851="","",INDEX('Kế hoạch'!$AK$6:$AK$305,$O851))</f>
      </c>
    </row>
    <row r="852">
      <c r="A852" s="223">
        <f>IF($C852="","",COUNTIF($C$6:$C852,"?*"))</f>
      </c>
      <c r="B852" s="217"/>
      <c r="C852" s="216"/>
      <c r="D852" s="240"/>
      <c r="E852" s="218"/>
      <c r="F852" s="218"/>
      <c r="G852" s="218"/>
      <c r="H852" s="219"/>
      <c r="I852" s="223">
        <f>IF($C852="","",IF(ISNUMBER(MATCH($C852,'Phản ánh'!$A$6:$A$505,0)),"Phản ánh",IF(ISNUMBER(MATCH($C852,'Kế hoạch'!$A$6:$A$305,0)),"Công việc","Mã chưa có")))</f>
      </c>
      <c r="J852" s="221">
        <f>IF($I852="Phản ánh",INDEX('Phản ánh'!$C$6:$C$505,MATCH($C852,'Phản ánh'!$A$6:$A$505,0)),IF($I852="Công việc",INDEX('Kế hoạch'!$C$6:$C$305,$O852),""))</f>
      </c>
      <c r="K852" s="221">
        <f>IF($I852="Phản ánh",INDEX('Phản ánh'!$K$6:$K$505,MATCH($C852,'Phản ánh'!$A$6:$A$505,0))&amp;"",IF($I852="Công việc",INDEX('Kế hoạch'!$N$6:$N$305,$O852)&amp;"",""))</f>
      </c>
      <c r="L852" s="220">
        <f>IF(OR($C852="",N($B852)=0),"",IF(AND($I852="Phản ánh",$E852="Đã xử lý"),INDEX('Phản ánh'!$U$6:$U$505,MATCH($C852,'Phản ánh'!$A$6:$A$505,0)),IF(AND($I852="Công việc",OR($E852="Hoàn thành",$E852="Hoàn thành kỳ")),IF(INDEX('Kế hoạch'!$B$6:$B$305,$O852)="Đột xuất",INDEX('Kế hoạch'!$AY$6:$AY$305,$O852),IF(N($P852)=0,"",IF(INT($B852)&lt;$P852,$P852,IF($Q852&gt;0,$P852+ROUND((INT($B852)-$P852)/$Q852,0)*$Q852,IF($R852&gt;0,EDATE($P852,ROUND((DATEDIF($P852,INT($B852),"m")+(INT($B852)-EDATE($P852,DATEDIF($P852,INT($B852),"m")))/(EDATE($P852,DATEDIF($P852,INT($B852),"m")+1)-EDATE($P852,DATEDIF($P852,INT($B852),"m"))))/$R852,0)*$R852),$P852))))),"")))</f>
      </c>
      <c r="M852" s="223">
        <f>IF(OR($C852="",N($L852)=0,N($B852)=0),"",IF(IF(MOD($L852,1)=0,INT($B852),$B852)&lt;=$L852,"Đúng hạn","Trễ hạn"))</f>
      </c>
      <c r="N852" s="225">
        <f>IF($C852="","",ROW())</f>
      </c>
      <c r="O852" s="225">
        <f>IF($I852="Công việc",MATCH($C852,'Kế hoạch'!$A$6:$A$305,0),"")</f>
      </c>
      <c r="P852" s="234">
        <f>IF($O852="","",INDEX('Kế hoạch'!$I$6:$I$305,$O852))</f>
      </c>
      <c r="Q852" s="225">
        <f>IF($O852="","",INDEX('Kế hoạch'!$AJ$6:$AJ$305,$O852))</f>
      </c>
      <c r="R852" s="225">
        <f>IF($O852="","",INDEX('Kế hoạch'!$AK$6:$AK$305,$O852))</f>
      </c>
    </row>
    <row r="853">
      <c r="A853" s="223">
        <f>IF($C853="","",COUNTIF($C$6:$C853,"?*"))</f>
      </c>
      <c r="B853" s="217"/>
      <c r="C853" s="216"/>
      <c r="D853" s="240"/>
      <c r="E853" s="218"/>
      <c r="F853" s="218"/>
      <c r="G853" s="218"/>
      <c r="H853" s="219"/>
      <c r="I853" s="223">
        <f>IF($C853="","",IF(ISNUMBER(MATCH($C853,'Phản ánh'!$A$6:$A$505,0)),"Phản ánh",IF(ISNUMBER(MATCH($C853,'Kế hoạch'!$A$6:$A$305,0)),"Công việc","Mã chưa có")))</f>
      </c>
      <c r="J853" s="221">
        <f>IF($I853="Phản ánh",INDEX('Phản ánh'!$C$6:$C$505,MATCH($C853,'Phản ánh'!$A$6:$A$505,0)),IF($I853="Công việc",INDEX('Kế hoạch'!$C$6:$C$305,$O853),""))</f>
      </c>
      <c r="K853" s="221">
        <f>IF($I853="Phản ánh",INDEX('Phản ánh'!$K$6:$K$505,MATCH($C853,'Phản ánh'!$A$6:$A$505,0))&amp;"",IF($I853="Công việc",INDEX('Kế hoạch'!$N$6:$N$305,$O853)&amp;"",""))</f>
      </c>
      <c r="L853" s="220">
        <f>IF(OR($C853="",N($B853)=0),"",IF(AND($I853="Phản ánh",$E853="Đã xử lý"),INDEX('Phản ánh'!$U$6:$U$505,MATCH($C853,'Phản ánh'!$A$6:$A$505,0)),IF(AND($I853="Công việc",OR($E853="Hoàn thành",$E853="Hoàn thành kỳ")),IF(INDEX('Kế hoạch'!$B$6:$B$305,$O853)="Đột xuất",INDEX('Kế hoạch'!$AY$6:$AY$305,$O853),IF(N($P853)=0,"",IF(INT($B853)&lt;$P853,$P853,IF($Q853&gt;0,$P853+ROUND((INT($B853)-$P853)/$Q853,0)*$Q853,IF($R853&gt;0,EDATE($P853,ROUND((DATEDIF($P853,INT($B853),"m")+(INT($B853)-EDATE($P853,DATEDIF($P853,INT($B853),"m")))/(EDATE($P853,DATEDIF($P853,INT($B853),"m")+1)-EDATE($P853,DATEDIF($P853,INT($B853),"m"))))/$R853,0)*$R853),$P853))))),"")))</f>
      </c>
      <c r="M853" s="223">
        <f>IF(OR($C853="",N($L853)=0,N($B853)=0),"",IF(IF(MOD($L853,1)=0,INT($B853),$B853)&lt;=$L853,"Đúng hạn","Trễ hạn"))</f>
      </c>
      <c r="N853" s="225">
        <f>IF($C853="","",ROW())</f>
      </c>
      <c r="O853" s="225">
        <f>IF($I853="Công việc",MATCH($C853,'Kế hoạch'!$A$6:$A$305,0),"")</f>
      </c>
      <c r="P853" s="234">
        <f>IF($O853="","",INDEX('Kế hoạch'!$I$6:$I$305,$O853))</f>
      </c>
      <c r="Q853" s="225">
        <f>IF($O853="","",INDEX('Kế hoạch'!$AJ$6:$AJ$305,$O853))</f>
      </c>
      <c r="R853" s="225">
        <f>IF($O853="","",INDEX('Kế hoạch'!$AK$6:$AK$305,$O853))</f>
      </c>
    </row>
    <row r="854">
      <c r="A854" s="223">
        <f>IF($C854="","",COUNTIF($C$6:$C854,"?*"))</f>
      </c>
      <c r="B854" s="217"/>
      <c r="C854" s="216"/>
      <c r="D854" s="240"/>
      <c r="E854" s="218"/>
      <c r="F854" s="218"/>
      <c r="G854" s="218"/>
      <c r="H854" s="219"/>
      <c r="I854" s="223">
        <f>IF($C854="","",IF(ISNUMBER(MATCH($C854,'Phản ánh'!$A$6:$A$505,0)),"Phản ánh",IF(ISNUMBER(MATCH($C854,'Kế hoạch'!$A$6:$A$305,0)),"Công việc","Mã chưa có")))</f>
      </c>
      <c r="J854" s="221">
        <f>IF($I854="Phản ánh",INDEX('Phản ánh'!$C$6:$C$505,MATCH($C854,'Phản ánh'!$A$6:$A$505,0)),IF($I854="Công việc",INDEX('Kế hoạch'!$C$6:$C$305,$O854),""))</f>
      </c>
      <c r="K854" s="221">
        <f>IF($I854="Phản ánh",INDEX('Phản ánh'!$K$6:$K$505,MATCH($C854,'Phản ánh'!$A$6:$A$505,0))&amp;"",IF($I854="Công việc",INDEX('Kế hoạch'!$N$6:$N$305,$O854)&amp;"",""))</f>
      </c>
      <c r="L854" s="220">
        <f>IF(OR($C854="",N($B854)=0),"",IF(AND($I854="Phản ánh",$E854="Đã xử lý"),INDEX('Phản ánh'!$U$6:$U$505,MATCH($C854,'Phản ánh'!$A$6:$A$505,0)),IF(AND($I854="Công việc",OR($E854="Hoàn thành",$E854="Hoàn thành kỳ")),IF(INDEX('Kế hoạch'!$B$6:$B$305,$O854)="Đột xuất",INDEX('Kế hoạch'!$AY$6:$AY$305,$O854),IF(N($P854)=0,"",IF(INT($B854)&lt;$P854,$P854,IF($Q854&gt;0,$P854+ROUND((INT($B854)-$P854)/$Q854,0)*$Q854,IF($R854&gt;0,EDATE($P854,ROUND((DATEDIF($P854,INT($B854),"m")+(INT($B854)-EDATE($P854,DATEDIF($P854,INT($B854),"m")))/(EDATE($P854,DATEDIF($P854,INT($B854),"m")+1)-EDATE($P854,DATEDIF($P854,INT($B854),"m"))))/$R854,0)*$R854),$P854))))),"")))</f>
      </c>
      <c r="M854" s="223">
        <f>IF(OR($C854="",N($L854)=0,N($B854)=0),"",IF(IF(MOD($L854,1)=0,INT($B854),$B854)&lt;=$L854,"Đúng hạn","Trễ hạn"))</f>
      </c>
      <c r="N854" s="225">
        <f>IF($C854="","",ROW())</f>
      </c>
      <c r="O854" s="225">
        <f>IF($I854="Công việc",MATCH($C854,'Kế hoạch'!$A$6:$A$305,0),"")</f>
      </c>
      <c r="P854" s="234">
        <f>IF($O854="","",INDEX('Kế hoạch'!$I$6:$I$305,$O854))</f>
      </c>
      <c r="Q854" s="225">
        <f>IF($O854="","",INDEX('Kế hoạch'!$AJ$6:$AJ$305,$O854))</f>
      </c>
      <c r="R854" s="225">
        <f>IF($O854="","",INDEX('Kế hoạch'!$AK$6:$AK$305,$O854))</f>
      </c>
    </row>
    <row r="855">
      <c r="A855" s="223">
        <f>IF($C855="","",COUNTIF($C$6:$C855,"?*"))</f>
      </c>
      <c r="B855" s="217"/>
      <c r="C855" s="216"/>
      <c r="D855" s="240"/>
      <c r="E855" s="218"/>
      <c r="F855" s="218"/>
      <c r="G855" s="218"/>
      <c r="H855" s="219"/>
      <c r="I855" s="223">
        <f>IF($C855="","",IF(ISNUMBER(MATCH($C855,'Phản ánh'!$A$6:$A$505,0)),"Phản ánh",IF(ISNUMBER(MATCH($C855,'Kế hoạch'!$A$6:$A$305,0)),"Công việc","Mã chưa có")))</f>
      </c>
      <c r="J855" s="221">
        <f>IF($I855="Phản ánh",INDEX('Phản ánh'!$C$6:$C$505,MATCH($C855,'Phản ánh'!$A$6:$A$505,0)),IF($I855="Công việc",INDEX('Kế hoạch'!$C$6:$C$305,$O855),""))</f>
      </c>
      <c r="K855" s="221">
        <f>IF($I855="Phản ánh",INDEX('Phản ánh'!$K$6:$K$505,MATCH($C855,'Phản ánh'!$A$6:$A$505,0))&amp;"",IF($I855="Công việc",INDEX('Kế hoạch'!$N$6:$N$305,$O855)&amp;"",""))</f>
      </c>
      <c r="L855" s="220">
        <f>IF(OR($C855="",N($B855)=0),"",IF(AND($I855="Phản ánh",$E855="Đã xử lý"),INDEX('Phản ánh'!$U$6:$U$505,MATCH($C855,'Phản ánh'!$A$6:$A$505,0)),IF(AND($I855="Công việc",OR($E855="Hoàn thành",$E855="Hoàn thành kỳ")),IF(INDEX('Kế hoạch'!$B$6:$B$305,$O855)="Đột xuất",INDEX('Kế hoạch'!$AY$6:$AY$305,$O855),IF(N($P855)=0,"",IF(INT($B855)&lt;$P855,$P855,IF($Q855&gt;0,$P855+ROUND((INT($B855)-$P855)/$Q855,0)*$Q855,IF($R855&gt;0,EDATE($P855,ROUND((DATEDIF($P855,INT($B855),"m")+(INT($B855)-EDATE($P855,DATEDIF($P855,INT($B855),"m")))/(EDATE($P855,DATEDIF($P855,INT($B855),"m")+1)-EDATE($P855,DATEDIF($P855,INT($B855),"m"))))/$R855,0)*$R855),$P855))))),"")))</f>
      </c>
      <c r="M855" s="223">
        <f>IF(OR($C855="",N($L855)=0,N($B855)=0),"",IF(IF(MOD($L855,1)=0,INT($B855),$B855)&lt;=$L855,"Đúng hạn","Trễ hạn"))</f>
      </c>
      <c r="N855" s="225">
        <f>IF($C855="","",ROW())</f>
      </c>
      <c r="O855" s="225">
        <f>IF($I855="Công việc",MATCH($C855,'Kế hoạch'!$A$6:$A$305,0),"")</f>
      </c>
      <c r="P855" s="234">
        <f>IF($O855="","",INDEX('Kế hoạch'!$I$6:$I$305,$O855))</f>
      </c>
      <c r="Q855" s="225">
        <f>IF($O855="","",INDEX('Kế hoạch'!$AJ$6:$AJ$305,$O855))</f>
      </c>
      <c r="R855" s="225">
        <f>IF($O855="","",INDEX('Kế hoạch'!$AK$6:$AK$305,$O855))</f>
      </c>
    </row>
    <row r="856">
      <c r="A856" s="223">
        <f>IF($C856="","",COUNTIF($C$6:$C856,"?*"))</f>
      </c>
      <c r="B856" s="217"/>
      <c r="C856" s="216"/>
      <c r="D856" s="240"/>
      <c r="E856" s="218"/>
      <c r="F856" s="218"/>
      <c r="G856" s="218"/>
      <c r="H856" s="219"/>
      <c r="I856" s="223">
        <f>IF($C856="","",IF(ISNUMBER(MATCH($C856,'Phản ánh'!$A$6:$A$505,0)),"Phản ánh",IF(ISNUMBER(MATCH($C856,'Kế hoạch'!$A$6:$A$305,0)),"Công việc","Mã chưa có")))</f>
      </c>
      <c r="J856" s="221">
        <f>IF($I856="Phản ánh",INDEX('Phản ánh'!$C$6:$C$505,MATCH($C856,'Phản ánh'!$A$6:$A$505,0)),IF($I856="Công việc",INDEX('Kế hoạch'!$C$6:$C$305,$O856),""))</f>
      </c>
      <c r="K856" s="221">
        <f>IF($I856="Phản ánh",INDEX('Phản ánh'!$K$6:$K$505,MATCH($C856,'Phản ánh'!$A$6:$A$505,0))&amp;"",IF($I856="Công việc",INDEX('Kế hoạch'!$N$6:$N$305,$O856)&amp;"",""))</f>
      </c>
      <c r="L856" s="220">
        <f>IF(OR($C856="",N($B856)=0),"",IF(AND($I856="Phản ánh",$E856="Đã xử lý"),INDEX('Phản ánh'!$U$6:$U$505,MATCH($C856,'Phản ánh'!$A$6:$A$505,0)),IF(AND($I856="Công việc",OR($E856="Hoàn thành",$E856="Hoàn thành kỳ")),IF(INDEX('Kế hoạch'!$B$6:$B$305,$O856)="Đột xuất",INDEX('Kế hoạch'!$AY$6:$AY$305,$O856),IF(N($P856)=0,"",IF(INT($B856)&lt;$P856,$P856,IF($Q856&gt;0,$P856+ROUND((INT($B856)-$P856)/$Q856,0)*$Q856,IF($R856&gt;0,EDATE($P856,ROUND((DATEDIF($P856,INT($B856),"m")+(INT($B856)-EDATE($P856,DATEDIF($P856,INT($B856),"m")))/(EDATE($P856,DATEDIF($P856,INT($B856),"m")+1)-EDATE($P856,DATEDIF($P856,INT($B856),"m"))))/$R856,0)*$R856),$P856))))),"")))</f>
      </c>
      <c r="M856" s="223">
        <f>IF(OR($C856="",N($L856)=0,N($B856)=0),"",IF(IF(MOD($L856,1)=0,INT($B856),$B856)&lt;=$L856,"Đúng hạn","Trễ hạn"))</f>
      </c>
      <c r="N856" s="225">
        <f>IF($C856="","",ROW())</f>
      </c>
      <c r="O856" s="225">
        <f>IF($I856="Công việc",MATCH($C856,'Kế hoạch'!$A$6:$A$305,0),"")</f>
      </c>
      <c r="P856" s="234">
        <f>IF($O856="","",INDEX('Kế hoạch'!$I$6:$I$305,$O856))</f>
      </c>
      <c r="Q856" s="225">
        <f>IF($O856="","",INDEX('Kế hoạch'!$AJ$6:$AJ$305,$O856))</f>
      </c>
      <c r="R856" s="225">
        <f>IF($O856="","",INDEX('Kế hoạch'!$AK$6:$AK$305,$O856))</f>
      </c>
    </row>
    <row r="857">
      <c r="A857" s="223">
        <f>IF($C857="","",COUNTIF($C$6:$C857,"?*"))</f>
      </c>
      <c r="B857" s="217"/>
      <c r="C857" s="216"/>
      <c r="D857" s="240"/>
      <c r="E857" s="218"/>
      <c r="F857" s="218"/>
      <c r="G857" s="218"/>
      <c r="H857" s="219"/>
      <c r="I857" s="223">
        <f>IF($C857="","",IF(ISNUMBER(MATCH($C857,'Phản ánh'!$A$6:$A$505,0)),"Phản ánh",IF(ISNUMBER(MATCH($C857,'Kế hoạch'!$A$6:$A$305,0)),"Công việc","Mã chưa có")))</f>
      </c>
      <c r="J857" s="221">
        <f>IF($I857="Phản ánh",INDEX('Phản ánh'!$C$6:$C$505,MATCH($C857,'Phản ánh'!$A$6:$A$505,0)),IF($I857="Công việc",INDEX('Kế hoạch'!$C$6:$C$305,$O857),""))</f>
      </c>
      <c r="K857" s="221">
        <f>IF($I857="Phản ánh",INDEX('Phản ánh'!$K$6:$K$505,MATCH($C857,'Phản ánh'!$A$6:$A$505,0))&amp;"",IF($I857="Công việc",INDEX('Kế hoạch'!$N$6:$N$305,$O857)&amp;"",""))</f>
      </c>
      <c r="L857" s="220">
        <f>IF(OR($C857="",N($B857)=0),"",IF(AND($I857="Phản ánh",$E857="Đã xử lý"),INDEX('Phản ánh'!$U$6:$U$505,MATCH($C857,'Phản ánh'!$A$6:$A$505,0)),IF(AND($I857="Công việc",OR($E857="Hoàn thành",$E857="Hoàn thành kỳ")),IF(INDEX('Kế hoạch'!$B$6:$B$305,$O857)="Đột xuất",INDEX('Kế hoạch'!$AY$6:$AY$305,$O857),IF(N($P857)=0,"",IF(INT($B857)&lt;$P857,$P857,IF($Q857&gt;0,$P857+ROUND((INT($B857)-$P857)/$Q857,0)*$Q857,IF($R857&gt;0,EDATE($P857,ROUND((DATEDIF($P857,INT($B857),"m")+(INT($B857)-EDATE($P857,DATEDIF($P857,INT($B857),"m")))/(EDATE($P857,DATEDIF($P857,INT($B857),"m")+1)-EDATE($P857,DATEDIF($P857,INT($B857),"m"))))/$R857,0)*$R857),$P857))))),"")))</f>
      </c>
      <c r="M857" s="223">
        <f>IF(OR($C857="",N($L857)=0,N($B857)=0),"",IF(IF(MOD($L857,1)=0,INT($B857),$B857)&lt;=$L857,"Đúng hạn","Trễ hạn"))</f>
      </c>
      <c r="N857" s="225">
        <f>IF($C857="","",ROW())</f>
      </c>
      <c r="O857" s="225">
        <f>IF($I857="Công việc",MATCH($C857,'Kế hoạch'!$A$6:$A$305,0),"")</f>
      </c>
      <c r="P857" s="234">
        <f>IF($O857="","",INDEX('Kế hoạch'!$I$6:$I$305,$O857))</f>
      </c>
      <c r="Q857" s="225">
        <f>IF($O857="","",INDEX('Kế hoạch'!$AJ$6:$AJ$305,$O857))</f>
      </c>
      <c r="R857" s="225">
        <f>IF($O857="","",INDEX('Kế hoạch'!$AK$6:$AK$305,$O857))</f>
      </c>
    </row>
    <row r="858">
      <c r="A858" s="223">
        <f>IF($C858="","",COUNTIF($C$6:$C858,"?*"))</f>
      </c>
      <c r="B858" s="217"/>
      <c r="C858" s="216"/>
      <c r="D858" s="240"/>
      <c r="E858" s="218"/>
      <c r="F858" s="218"/>
      <c r="G858" s="218"/>
      <c r="H858" s="219"/>
      <c r="I858" s="223">
        <f>IF($C858="","",IF(ISNUMBER(MATCH($C858,'Phản ánh'!$A$6:$A$505,0)),"Phản ánh",IF(ISNUMBER(MATCH($C858,'Kế hoạch'!$A$6:$A$305,0)),"Công việc","Mã chưa có")))</f>
      </c>
      <c r="J858" s="221">
        <f>IF($I858="Phản ánh",INDEX('Phản ánh'!$C$6:$C$505,MATCH($C858,'Phản ánh'!$A$6:$A$505,0)),IF($I858="Công việc",INDEX('Kế hoạch'!$C$6:$C$305,$O858),""))</f>
      </c>
      <c r="K858" s="221">
        <f>IF($I858="Phản ánh",INDEX('Phản ánh'!$K$6:$K$505,MATCH($C858,'Phản ánh'!$A$6:$A$505,0))&amp;"",IF($I858="Công việc",INDEX('Kế hoạch'!$N$6:$N$305,$O858)&amp;"",""))</f>
      </c>
      <c r="L858" s="220">
        <f>IF(OR($C858="",N($B858)=0),"",IF(AND($I858="Phản ánh",$E858="Đã xử lý"),INDEX('Phản ánh'!$U$6:$U$505,MATCH($C858,'Phản ánh'!$A$6:$A$505,0)),IF(AND($I858="Công việc",OR($E858="Hoàn thành",$E858="Hoàn thành kỳ")),IF(INDEX('Kế hoạch'!$B$6:$B$305,$O858)="Đột xuất",INDEX('Kế hoạch'!$AY$6:$AY$305,$O858),IF(N($P858)=0,"",IF(INT($B858)&lt;$P858,$P858,IF($Q858&gt;0,$P858+ROUND((INT($B858)-$P858)/$Q858,0)*$Q858,IF($R858&gt;0,EDATE($P858,ROUND((DATEDIF($P858,INT($B858),"m")+(INT($B858)-EDATE($P858,DATEDIF($P858,INT($B858),"m")))/(EDATE($P858,DATEDIF($P858,INT($B858),"m")+1)-EDATE($P858,DATEDIF($P858,INT($B858),"m"))))/$R858,0)*$R858),$P858))))),"")))</f>
      </c>
      <c r="M858" s="223">
        <f>IF(OR($C858="",N($L858)=0,N($B858)=0),"",IF(IF(MOD($L858,1)=0,INT($B858),$B858)&lt;=$L858,"Đúng hạn","Trễ hạn"))</f>
      </c>
      <c r="N858" s="225">
        <f>IF($C858="","",ROW())</f>
      </c>
      <c r="O858" s="225">
        <f>IF($I858="Công việc",MATCH($C858,'Kế hoạch'!$A$6:$A$305,0),"")</f>
      </c>
      <c r="P858" s="234">
        <f>IF($O858="","",INDEX('Kế hoạch'!$I$6:$I$305,$O858))</f>
      </c>
      <c r="Q858" s="225">
        <f>IF($O858="","",INDEX('Kế hoạch'!$AJ$6:$AJ$305,$O858))</f>
      </c>
      <c r="R858" s="225">
        <f>IF($O858="","",INDEX('Kế hoạch'!$AK$6:$AK$305,$O858))</f>
      </c>
    </row>
    <row r="859">
      <c r="A859" s="223">
        <f>IF($C859="","",COUNTIF($C$6:$C859,"?*"))</f>
      </c>
      <c r="B859" s="217"/>
      <c r="C859" s="216"/>
      <c r="D859" s="240"/>
      <c r="E859" s="218"/>
      <c r="F859" s="218"/>
      <c r="G859" s="218"/>
      <c r="H859" s="219"/>
      <c r="I859" s="223">
        <f>IF($C859="","",IF(ISNUMBER(MATCH($C859,'Phản ánh'!$A$6:$A$505,0)),"Phản ánh",IF(ISNUMBER(MATCH($C859,'Kế hoạch'!$A$6:$A$305,0)),"Công việc","Mã chưa có")))</f>
      </c>
      <c r="J859" s="221">
        <f>IF($I859="Phản ánh",INDEX('Phản ánh'!$C$6:$C$505,MATCH($C859,'Phản ánh'!$A$6:$A$505,0)),IF($I859="Công việc",INDEX('Kế hoạch'!$C$6:$C$305,$O859),""))</f>
      </c>
      <c r="K859" s="221">
        <f>IF($I859="Phản ánh",INDEX('Phản ánh'!$K$6:$K$505,MATCH($C859,'Phản ánh'!$A$6:$A$505,0))&amp;"",IF($I859="Công việc",INDEX('Kế hoạch'!$N$6:$N$305,$O859)&amp;"",""))</f>
      </c>
      <c r="L859" s="220">
        <f>IF(OR($C859="",N($B859)=0),"",IF(AND($I859="Phản ánh",$E859="Đã xử lý"),INDEX('Phản ánh'!$U$6:$U$505,MATCH($C859,'Phản ánh'!$A$6:$A$505,0)),IF(AND($I859="Công việc",OR($E859="Hoàn thành",$E859="Hoàn thành kỳ")),IF(INDEX('Kế hoạch'!$B$6:$B$305,$O859)="Đột xuất",INDEX('Kế hoạch'!$AY$6:$AY$305,$O859),IF(N($P859)=0,"",IF(INT($B859)&lt;$P859,$P859,IF($Q859&gt;0,$P859+ROUND((INT($B859)-$P859)/$Q859,0)*$Q859,IF($R859&gt;0,EDATE($P859,ROUND((DATEDIF($P859,INT($B859),"m")+(INT($B859)-EDATE($P859,DATEDIF($P859,INT($B859),"m")))/(EDATE($P859,DATEDIF($P859,INT($B859),"m")+1)-EDATE($P859,DATEDIF($P859,INT($B859),"m"))))/$R859,0)*$R859),$P859))))),"")))</f>
      </c>
      <c r="M859" s="223">
        <f>IF(OR($C859="",N($L859)=0,N($B859)=0),"",IF(IF(MOD($L859,1)=0,INT($B859),$B859)&lt;=$L859,"Đúng hạn","Trễ hạn"))</f>
      </c>
      <c r="N859" s="225">
        <f>IF($C859="","",ROW())</f>
      </c>
      <c r="O859" s="225">
        <f>IF($I859="Công việc",MATCH($C859,'Kế hoạch'!$A$6:$A$305,0),"")</f>
      </c>
      <c r="P859" s="234">
        <f>IF($O859="","",INDEX('Kế hoạch'!$I$6:$I$305,$O859))</f>
      </c>
      <c r="Q859" s="225">
        <f>IF($O859="","",INDEX('Kế hoạch'!$AJ$6:$AJ$305,$O859))</f>
      </c>
      <c r="R859" s="225">
        <f>IF($O859="","",INDEX('Kế hoạch'!$AK$6:$AK$305,$O859))</f>
      </c>
    </row>
    <row r="860">
      <c r="A860" s="223">
        <f>IF($C860="","",COUNTIF($C$6:$C860,"?*"))</f>
      </c>
      <c r="B860" s="217"/>
      <c r="C860" s="216"/>
      <c r="D860" s="240"/>
      <c r="E860" s="218"/>
      <c r="F860" s="218"/>
      <c r="G860" s="218"/>
      <c r="H860" s="219"/>
      <c r="I860" s="223">
        <f>IF($C860="","",IF(ISNUMBER(MATCH($C860,'Phản ánh'!$A$6:$A$505,0)),"Phản ánh",IF(ISNUMBER(MATCH($C860,'Kế hoạch'!$A$6:$A$305,0)),"Công việc","Mã chưa có")))</f>
      </c>
      <c r="J860" s="221">
        <f>IF($I860="Phản ánh",INDEX('Phản ánh'!$C$6:$C$505,MATCH($C860,'Phản ánh'!$A$6:$A$505,0)),IF($I860="Công việc",INDEX('Kế hoạch'!$C$6:$C$305,$O860),""))</f>
      </c>
      <c r="K860" s="221">
        <f>IF($I860="Phản ánh",INDEX('Phản ánh'!$K$6:$K$505,MATCH($C860,'Phản ánh'!$A$6:$A$505,0))&amp;"",IF($I860="Công việc",INDEX('Kế hoạch'!$N$6:$N$305,$O860)&amp;"",""))</f>
      </c>
      <c r="L860" s="220">
        <f>IF(OR($C860="",N($B860)=0),"",IF(AND($I860="Phản ánh",$E860="Đã xử lý"),INDEX('Phản ánh'!$U$6:$U$505,MATCH($C860,'Phản ánh'!$A$6:$A$505,0)),IF(AND($I860="Công việc",OR($E860="Hoàn thành",$E860="Hoàn thành kỳ")),IF(INDEX('Kế hoạch'!$B$6:$B$305,$O860)="Đột xuất",INDEX('Kế hoạch'!$AY$6:$AY$305,$O860),IF(N($P860)=0,"",IF(INT($B860)&lt;$P860,$P860,IF($Q860&gt;0,$P860+ROUND((INT($B860)-$P860)/$Q860,0)*$Q860,IF($R860&gt;0,EDATE($P860,ROUND((DATEDIF($P860,INT($B860),"m")+(INT($B860)-EDATE($P860,DATEDIF($P860,INT($B860),"m")))/(EDATE($P860,DATEDIF($P860,INT($B860),"m")+1)-EDATE($P860,DATEDIF($P860,INT($B860),"m"))))/$R860,0)*$R860),$P860))))),"")))</f>
      </c>
      <c r="M860" s="223">
        <f>IF(OR($C860="",N($L860)=0,N($B860)=0),"",IF(IF(MOD($L860,1)=0,INT($B860),$B860)&lt;=$L860,"Đúng hạn","Trễ hạn"))</f>
      </c>
      <c r="N860" s="225">
        <f>IF($C860="","",ROW())</f>
      </c>
      <c r="O860" s="225">
        <f>IF($I860="Công việc",MATCH($C860,'Kế hoạch'!$A$6:$A$305,0),"")</f>
      </c>
      <c r="P860" s="234">
        <f>IF($O860="","",INDEX('Kế hoạch'!$I$6:$I$305,$O860))</f>
      </c>
      <c r="Q860" s="225">
        <f>IF($O860="","",INDEX('Kế hoạch'!$AJ$6:$AJ$305,$O860))</f>
      </c>
      <c r="R860" s="225">
        <f>IF($O860="","",INDEX('Kế hoạch'!$AK$6:$AK$305,$O860))</f>
      </c>
    </row>
    <row r="861">
      <c r="A861" s="223">
        <f>IF($C861="","",COUNTIF($C$6:$C861,"?*"))</f>
      </c>
      <c r="B861" s="217"/>
      <c r="C861" s="216"/>
      <c r="D861" s="240"/>
      <c r="E861" s="218"/>
      <c r="F861" s="218"/>
      <c r="G861" s="218"/>
      <c r="H861" s="219"/>
      <c r="I861" s="223">
        <f>IF($C861="","",IF(ISNUMBER(MATCH($C861,'Phản ánh'!$A$6:$A$505,0)),"Phản ánh",IF(ISNUMBER(MATCH($C861,'Kế hoạch'!$A$6:$A$305,0)),"Công việc","Mã chưa có")))</f>
      </c>
      <c r="J861" s="221">
        <f>IF($I861="Phản ánh",INDEX('Phản ánh'!$C$6:$C$505,MATCH($C861,'Phản ánh'!$A$6:$A$505,0)),IF($I861="Công việc",INDEX('Kế hoạch'!$C$6:$C$305,$O861),""))</f>
      </c>
      <c r="K861" s="221">
        <f>IF($I861="Phản ánh",INDEX('Phản ánh'!$K$6:$K$505,MATCH($C861,'Phản ánh'!$A$6:$A$505,0))&amp;"",IF($I861="Công việc",INDEX('Kế hoạch'!$N$6:$N$305,$O861)&amp;"",""))</f>
      </c>
      <c r="L861" s="220">
        <f>IF(OR($C861="",N($B861)=0),"",IF(AND($I861="Phản ánh",$E861="Đã xử lý"),INDEX('Phản ánh'!$U$6:$U$505,MATCH($C861,'Phản ánh'!$A$6:$A$505,0)),IF(AND($I861="Công việc",OR($E861="Hoàn thành",$E861="Hoàn thành kỳ")),IF(INDEX('Kế hoạch'!$B$6:$B$305,$O861)="Đột xuất",INDEX('Kế hoạch'!$AY$6:$AY$305,$O861),IF(N($P861)=0,"",IF(INT($B861)&lt;$P861,$P861,IF($Q861&gt;0,$P861+ROUND((INT($B861)-$P861)/$Q861,0)*$Q861,IF($R861&gt;0,EDATE($P861,ROUND((DATEDIF($P861,INT($B861),"m")+(INT($B861)-EDATE($P861,DATEDIF($P861,INT($B861),"m")))/(EDATE($P861,DATEDIF($P861,INT($B861),"m")+1)-EDATE($P861,DATEDIF($P861,INT($B861),"m"))))/$R861,0)*$R861),$P861))))),"")))</f>
      </c>
      <c r="M861" s="223">
        <f>IF(OR($C861="",N($L861)=0,N($B861)=0),"",IF(IF(MOD($L861,1)=0,INT($B861),$B861)&lt;=$L861,"Đúng hạn","Trễ hạn"))</f>
      </c>
      <c r="N861" s="225">
        <f>IF($C861="","",ROW())</f>
      </c>
      <c r="O861" s="225">
        <f>IF($I861="Công việc",MATCH($C861,'Kế hoạch'!$A$6:$A$305,0),"")</f>
      </c>
      <c r="P861" s="234">
        <f>IF($O861="","",INDEX('Kế hoạch'!$I$6:$I$305,$O861))</f>
      </c>
      <c r="Q861" s="225">
        <f>IF($O861="","",INDEX('Kế hoạch'!$AJ$6:$AJ$305,$O861))</f>
      </c>
      <c r="R861" s="225">
        <f>IF($O861="","",INDEX('Kế hoạch'!$AK$6:$AK$305,$O861))</f>
      </c>
    </row>
    <row r="862">
      <c r="A862" s="223">
        <f>IF($C862="","",COUNTIF($C$6:$C862,"?*"))</f>
      </c>
      <c r="B862" s="217"/>
      <c r="C862" s="216"/>
      <c r="D862" s="240"/>
      <c r="E862" s="218"/>
      <c r="F862" s="218"/>
      <c r="G862" s="218"/>
      <c r="H862" s="219"/>
      <c r="I862" s="223">
        <f>IF($C862="","",IF(ISNUMBER(MATCH($C862,'Phản ánh'!$A$6:$A$505,0)),"Phản ánh",IF(ISNUMBER(MATCH($C862,'Kế hoạch'!$A$6:$A$305,0)),"Công việc","Mã chưa có")))</f>
      </c>
      <c r="J862" s="221">
        <f>IF($I862="Phản ánh",INDEX('Phản ánh'!$C$6:$C$505,MATCH($C862,'Phản ánh'!$A$6:$A$505,0)),IF($I862="Công việc",INDEX('Kế hoạch'!$C$6:$C$305,$O862),""))</f>
      </c>
      <c r="K862" s="221">
        <f>IF($I862="Phản ánh",INDEX('Phản ánh'!$K$6:$K$505,MATCH($C862,'Phản ánh'!$A$6:$A$505,0))&amp;"",IF($I862="Công việc",INDEX('Kế hoạch'!$N$6:$N$305,$O862)&amp;"",""))</f>
      </c>
      <c r="L862" s="220">
        <f>IF(OR($C862="",N($B862)=0),"",IF(AND($I862="Phản ánh",$E862="Đã xử lý"),INDEX('Phản ánh'!$U$6:$U$505,MATCH($C862,'Phản ánh'!$A$6:$A$505,0)),IF(AND($I862="Công việc",OR($E862="Hoàn thành",$E862="Hoàn thành kỳ")),IF(INDEX('Kế hoạch'!$B$6:$B$305,$O862)="Đột xuất",INDEX('Kế hoạch'!$AY$6:$AY$305,$O862),IF(N($P862)=0,"",IF(INT($B862)&lt;$P862,$P862,IF($Q862&gt;0,$P862+ROUND((INT($B862)-$P862)/$Q862,0)*$Q862,IF($R862&gt;0,EDATE($P862,ROUND((DATEDIF($P862,INT($B862),"m")+(INT($B862)-EDATE($P862,DATEDIF($P862,INT($B862),"m")))/(EDATE($P862,DATEDIF($P862,INT($B862),"m")+1)-EDATE($P862,DATEDIF($P862,INT($B862),"m"))))/$R862,0)*$R862),$P862))))),"")))</f>
      </c>
      <c r="M862" s="223">
        <f>IF(OR($C862="",N($L862)=0,N($B862)=0),"",IF(IF(MOD($L862,1)=0,INT($B862),$B862)&lt;=$L862,"Đúng hạn","Trễ hạn"))</f>
      </c>
      <c r="N862" s="225">
        <f>IF($C862="","",ROW())</f>
      </c>
      <c r="O862" s="225">
        <f>IF($I862="Công việc",MATCH($C862,'Kế hoạch'!$A$6:$A$305,0),"")</f>
      </c>
      <c r="P862" s="234">
        <f>IF($O862="","",INDEX('Kế hoạch'!$I$6:$I$305,$O862))</f>
      </c>
      <c r="Q862" s="225">
        <f>IF($O862="","",INDEX('Kế hoạch'!$AJ$6:$AJ$305,$O862))</f>
      </c>
      <c r="R862" s="225">
        <f>IF($O862="","",INDEX('Kế hoạch'!$AK$6:$AK$305,$O862))</f>
      </c>
    </row>
    <row r="863">
      <c r="A863" s="223">
        <f>IF($C863="","",COUNTIF($C$6:$C863,"?*"))</f>
      </c>
      <c r="B863" s="217"/>
      <c r="C863" s="216"/>
      <c r="D863" s="240"/>
      <c r="E863" s="218"/>
      <c r="F863" s="218"/>
      <c r="G863" s="218"/>
      <c r="H863" s="219"/>
      <c r="I863" s="223">
        <f>IF($C863="","",IF(ISNUMBER(MATCH($C863,'Phản ánh'!$A$6:$A$505,0)),"Phản ánh",IF(ISNUMBER(MATCH($C863,'Kế hoạch'!$A$6:$A$305,0)),"Công việc","Mã chưa có")))</f>
      </c>
      <c r="J863" s="221">
        <f>IF($I863="Phản ánh",INDEX('Phản ánh'!$C$6:$C$505,MATCH($C863,'Phản ánh'!$A$6:$A$505,0)),IF($I863="Công việc",INDEX('Kế hoạch'!$C$6:$C$305,$O863),""))</f>
      </c>
      <c r="K863" s="221">
        <f>IF($I863="Phản ánh",INDEX('Phản ánh'!$K$6:$K$505,MATCH($C863,'Phản ánh'!$A$6:$A$505,0))&amp;"",IF($I863="Công việc",INDEX('Kế hoạch'!$N$6:$N$305,$O863)&amp;"",""))</f>
      </c>
      <c r="L863" s="220">
        <f>IF(OR($C863="",N($B863)=0),"",IF(AND($I863="Phản ánh",$E863="Đã xử lý"),INDEX('Phản ánh'!$U$6:$U$505,MATCH($C863,'Phản ánh'!$A$6:$A$505,0)),IF(AND($I863="Công việc",OR($E863="Hoàn thành",$E863="Hoàn thành kỳ")),IF(INDEX('Kế hoạch'!$B$6:$B$305,$O863)="Đột xuất",INDEX('Kế hoạch'!$AY$6:$AY$305,$O863),IF(N($P863)=0,"",IF(INT($B863)&lt;$P863,$P863,IF($Q863&gt;0,$P863+ROUND((INT($B863)-$P863)/$Q863,0)*$Q863,IF($R863&gt;0,EDATE($P863,ROUND((DATEDIF($P863,INT($B863),"m")+(INT($B863)-EDATE($P863,DATEDIF($P863,INT($B863),"m")))/(EDATE($P863,DATEDIF($P863,INT($B863),"m")+1)-EDATE($P863,DATEDIF($P863,INT($B863),"m"))))/$R863,0)*$R863),$P863))))),"")))</f>
      </c>
      <c r="M863" s="223">
        <f>IF(OR($C863="",N($L863)=0,N($B863)=0),"",IF(IF(MOD($L863,1)=0,INT($B863),$B863)&lt;=$L863,"Đúng hạn","Trễ hạn"))</f>
      </c>
      <c r="N863" s="225">
        <f>IF($C863="","",ROW())</f>
      </c>
      <c r="O863" s="225">
        <f>IF($I863="Công việc",MATCH($C863,'Kế hoạch'!$A$6:$A$305,0),"")</f>
      </c>
      <c r="P863" s="234">
        <f>IF($O863="","",INDEX('Kế hoạch'!$I$6:$I$305,$O863))</f>
      </c>
      <c r="Q863" s="225">
        <f>IF($O863="","",INDEX('Kế hoạch'!$AJ$6:$AJ$305,$O863))</f>
      </c>
      <c r="R863" s="225">
        <f>IF($O863="","",INDEX('Kế hoạch'!$AK$6:$AK$305,$O863))</f>
      </c>
    </row>
    <row r="864">
      <c r="A864" s="223">
        <f>IF($C864="","",COUNTIF($C$6:$C864,"?*"))</f>
      </c>
      <c r="B864" s="217"/>
      <c r="C864" s="216"/>
      <c r="D864" s="240"/>
      <c r="E864" s="218"/>
      <c r="F864" s="218"/>
      <c r="G864" s="218"/>
      <c r="H864" s="219"/>
      <c r="I864" s="223">
        <f>IF($C864="","",IF(ISNUMBER(MATCH($C864,'Phản ánh'!$A$6:$A$505,0)),"Phản ánh",IF(ISNUMBER(MATCH($C864,'Kế hoạch'!$A$6:$A$305,0)),"Công việc","Mã chưa có")))</f>
      </c>
      <c r="J864" s="221">
        <f>IF($I864="Phản ánh",INDEX('Phản ánh'!$C$6:$C$505,MATCH($C864,'Phản ánh'!$A$6:$A$505,0)),IF($I864="Công việc",INDEX('Kế hoạch'!$C$6:$C$305,$O864),""))</f>
      </c>
      <c r="K864" s="221">
        <f>IF($I864="Phản ánh",INDEX('Phản ánh'!$K$6:$K$505,MATCH($C864,'Phản ánh'!$A$6:$A$505,0))&amp;"",IF($I864="Công việc",INDEX('Kế hoạch'!$N$6:$N$305,$O864)&amp;"",""))</f>
      </c>
      <c r="L864" s="220">
        <f>IF(OR($C864="",N($B864)=0),"",IF(AND($I864="Phản ánh",$E864="Đã xử lý"),INDEX('Phản ánh'!$U$6:$U$505,MATCH($C864,'Phản ánh'!$A$6:$A$505,0)),IF(AND($I864="Công việc",OR($E864="Hoàn thành",$E864="Hoàn thành kỳ")),IF(INDEX('Kế hoạch'!$B$6:$B$305,$O864)="Đột xuất",INDEX('Kế hoạch'!$AY$6:$AY$305,$O864),IF(N($P864)=0,"",IF(INT($B864)&lt;$P864,$P864,IF($Q864&gt;0,$P864+ROUND((INT($B864)-$P864)/$Q864,0)*$Q864,IF($R864&gt;0,EDATE($P864,ROUND((DATEDIF($P864,INT($B864),"m")+(INT($B864)-EDATE($P864,DATEDIF($P864,INT($B864),"m")))/(EDATE($P864,DATEDIF($P864,INT($B864),"m")+1)-EDATE($P864,DATEDIF($P864,INT($B864),"m"))))/$R864,0)*$R864),$P864))))),"")))</f>
      </c>
      <c r="M864" s="223">
        <f>IF(OR($C864="",N($L864)=0,N($B864)=0),"",IF(IF(MOD($L864,1)=0,INT($B864),$B864)&lt;=$L864,"Đúng hạn","Trễ hạn"))</f>
      </c>
      <c r="N864" s="225">
        <f>IF($C864="","",ROW())</f>
      </c>
      <c r="O864" s="225">
        <f>IF($I864="Công việc",MATCH($C864,'Kế hoạch'!$A$6:$A$305,0),"")</f>
      </c>
      <c r="P864" s="234">
        <f>IF($O864="","",INDEX('Kế hoạch'!$I$6:$I$305,$O864))</f>
      </c>
      <c r="Q864" s="225">
        <f>IF($O864="","",INDEX('Kế hoạch'!$AJ$6:$AJ$305,$O864))</f>
      </c>
      <c r="R864" s="225">
        <f>IF($O864="","",INDEX('Kế hoạch'!$AK$6:$AK$305,$O864))</f>
      </c>
    </row>
    <row r="865">
      <c r="A865" s="223">
        <f>IF($C865="","",COUNTIF($C$6:$C865,"?*"))</f>
      </c>
      <c r="B865" s="217"/>
      <c r="C865" s="216"/>
      <c r="D865" s="240"/>
      <c r="E865" s="218"/>
      <c r="F865" s="218"/>
      <c r="G865" s="218"/>
      <c r="H865" s="219"/>
      <c r="I865" s="223">
        <f>IF($C865="","",IF(ISNUMBER(MATCH($C865,'Phản ánh'!$A$6:$A$505,0)),"Phản ánh",IF(ISNUMBER(MATCH($C865,'Kế hoạch'!$A$6:$A$305,0)),"Công việc","Mã chưa có")))</f>
      </c>
      <c r="J865" s="221">
        <f>IF($I865="Phản ánh",INDEX('Phản ánh'!$C$6:$C$505,MATCH($C865,'Phản ánh'!$A$6:$A$505,0)),IF($I865="Công việc",INDEX('Kế hoạch'!$C$6:$C$305,$O865),""))</f>
      </c>
      <c r="K865" s="221">
        <f>IF($I865="Phản ánh",INDEX('Phản ánh'!$K$6:$K$505,MATCH($C865,'Phản ánh'!$A$6:$A$505,0))&amp;"",IF($I865="Công việc",INDEX('Kế hoạch'!$N$6:$N$305,$O865)&amp;"",""))</f>
      </c>
      <c r="L865" s="220">
        <f>IF(OR($C865="",N($B865)=0),"",IF(AND($I865="Phản ánh",$E865="Đã xử lý"),INDEX('Phản ánh'!$U$6:$U$505,MATCH($C865,'Phản ánh'!$A$6:$A$505,0)),IF(AND($I865="Công việc",OR($E865="Hoàn thành",$E865="Hoàn thành kỳ")),IF(INDEX('Kế hoạch'!$B$6:$B$305,$O865)="Đột xuất",INDEX('Kế hoạch'!$AY$6:$AY$305,$O865),IF(N($P865)=0,"",IF(INT($B865)&lt;$P865,$P865,IF($Q865&gt;0,$P865+ROUND((INT($B865)-$P865)/$Q865,0)*$Q865,IF($R865&gt;0,EDATE($P865,ROUND((DATEDIF($P865,INT($B865),"m")+(INT($B865)-EDATE($P865,DATEDIF($P865,INT($B865),"m")))/(EDATE($P865,DATEDIF($P865,INT($B865),"m")+1)-EDATE($P865,DATEDIF($P865,INT($B865),"m"))))/$R865,0)*$R865),$P865))))),"")))</f>
      </c>
      <c r="M865" s="223">
        <f>IF(OR($C865="",N($L865)=0,N($B865)=0),"",IF(IF(MOD($L865,1)=0,INT($B865),$B865)&lt;=$L865,"Đúng hạn","Trễ hạn"))</f>
      </c>
      <c r="N865" s="225">
        <f>IF($C865="","",ROW())</f>
      </c>
      <c r="O865" s="225">
        <f>IF($I865="Công việc",MATCH($C865,'Kế hoạch'!$A$6:$A$305,0),"")</f>
      </c>
      <c r="P865" s="234">
        <f>IF($O865="","",INDEX('Kế hoạch'!$I$6:$I$305,$O865))</f>
      </c>
      <c r="Q865" s="225">
        <f>IF($O865="","",INDEX('Kế hoạch'!$AJ$6:$AJ$305,$O865))</f>
      </c>
      <c r="R865" s="225">
        <f>IF($O865="","",INDEX('Kế hoạch'!$AK$6:$AK$305,$O865))</f>
      </c>
    </row>
    <row r="866">
      <c r="A866" s="223">
        <f>IF($C866="","",COUNTIF($C$6:$C866,"?*"))</f>
      </c>
      <c r="B866" s="217"/>
      <c r="C866" s="216"/>
      <c r="D866" s="240"/>
      <c r="E866" s="218"/>
      <c r="F866" s="218"/>
      <c r="G866" s="218"/>
      <c r="H866" s="219"/>
      <c r="I866" s="223">
        <f>IF($C866="","",IF(ISNUMBER(MATCH($C866,'Phản ánh'!$A$6:$A$505,0)),"Phản ánh",IF(ISNUMBER(MATCH($C866,'Kế hoạch'!$A$6:$A$305,0)),"Công việc","Mã chưa có")))</f>
      </c>
      <c r="J866" s="221">
        <f>IF($I866="Phản ánh",INDEX('Phản ánh'!$C$6:$C$505,MATCH($C866,'Phản ánh'!$A$6:$A$505,0)),IF($I866="Công việc",INDEX('Kế hoạch'!$C$6:$C$305,$O866),""))</f>
      </c>
      <c r="K866" s="221">
        <f>IF($I866="Phản ánh",INDEX('Phản ánh'!$K$6:$K$505,MATCH($C866,'Phản ánh'!$A$6:$A$505,0))&amp;"",IF($I866="Công việc",INDEX('Kế hoạch'!$N$6:$N$305,$O866)&amp;"",""))</f>
      </c>
      <c r="L866" s="220">
        <f>IF(OR($C866="",N($B866)=0),"",IF(AND($I866="Phản ánh",$E866="Đã xử lý"),INDEX('Phản ánh'!$U$6:$U$505,MATCH($C866,'Phản ánh'!$A$6:$A$505,0)),IF(AND($I866="Công việc",OR($E866="Hoàn thành",$E866="Hoàn thành kỳ")),IF(INDEX('Kế hoạch'!$B$6:$B$305,$O866)="Đột xuất",INDEX('Kế hoạch'!$AY$6:$AY$305,$O866),IF(N($P866)=0,"",IF(INT($B866)&lt;$P866,$P866,IF($Q866&gt;0,$P866+ROUND((INT($B866)-$P866)/$Q866,0)*$Q866,IF($R866&gt;0,EDATE($P866,ROUND((DATEDIF($P866,INT($B866),"m")+(INT($B866)-EDATE($P866,DATEDIF($P866,INT($B866),"m")))/(EDATE($P866,DATEDIF($P866,INT($B866),"m")+1)-EDATE($P866,DATEDIF($P866,INT($B866),"m"))))/$R866,0)*$R866),$P866))))),"")))</f>
      </c>
      <c r="M866" s="223">
        <f>IF(OR($C866="",N($L866)=0,N($B866)=0),"",IF(IF(MOD($L866,1)=0,INT($B866),$B866)&lt;=$L866,"Đúng hạn","Trễ hạn"))</f>
      </c>
      <c r="N866" s="225">
        <f>IF($C866="","",ROW())</f>
      </c>
      <c r="O866" s="225">
        <f>IF($I866="Công việc",MATCH($C866,'Kế hoạch'!$A$6:$A$305,0),"")</f>
      </c>
      <c r="P866" s="234">
        <f>IF($O866="","",INDEX('Kế hoạch'!$I$6:$I$305,$O866))</f>
      </c>
      <c r="Q866" s="225">
        <f>IF($O866="","",INDEX('Kế hoạch'!$AJ$6:$AJ$305,$O866))</f>
      </c>
      <c r="R866" s="225">
        <f>IF($O866="","",INDEX('Kế hoạch'!$AK$6:$AK$305,$O866))</f>
      </c>
    </row>
    <row r="867">
      <c r="A867" s="223">
        <f>IF($C867="","",COUNTIF($C$6:$C867,"?*"))</f>
      </c>
      <c r="B867" s="217"/>
      <c r="C867" s="216"/>
      <c r="D867" s="240"/>
      <c r="E867" s="218"/>
      <c r="F867" s="218"/>
      <c r="G867" s="218"/>
      <c r="H867" s="219"/>
      <c r="I867" s="223">
        <f>IF($C867="","",IF(ISNUMBER(MATCH($C867,'Phản ánh'!$A$6:$A$505,0)),"Phản ánh",IF(ISNUMBER(MATCH($C867,'Kế hoạch'!$A$6:$A$305,0)),"Công việc","Mã chưa có")))</f>
      </c>
      <c r="J867" s="221">
        <f>IF($I867="Phản ánh",INDEX('Phản ánh'!$C$6:$C$505,MATCH($C867,'Phản ánh'!$A$6:$A$505,0)),IF($I867="Công việc",INDEX('Kế hoạch'!$C$6:$C$305,$O867),""))</f>
      </c>
      <c r="K867" s="221">
        <f>IF($I867="Phản ánh",INDEX('Phản ánh'!$K$6:$K$505,MATCH($C867,'Phản ánh'!$A$6:$A$505,0))&amp;"",IF($I867="Công việc",INDEX('Kế hoạch'!$N$6:$N$305,$O867)&amp;"",""))</f>
      </c>
      <c r="L867" s="220">
        <f>IF(OR($C867="",N($B867)=0),"",IF(AND($I867="Phản ánh",$E867="Đã xử lý"),INDEX('Phản ánh'!$U$6:$U$505,MATCH($C867,'Phản ánh'!$A$6:$A$505,0)),IF(AND($I867="Công việc",OR($E867="Hoàn thành",$E867="Hoàn thành kỳ")),IF(INDEX('Kế hoạch'!$B$6:$B$305,$O867)="Đột xuất",INDEX('Kế hoạch'!$AY$6:$AY$305,$O867),IF(N($P867)=0,"",IF(INT($B867)&lt;$P867,$P867,IF($Q867&gt;0,$P867+ROUND((INT($B867)-$P867)/$Q867,0)*$Q867,IF($R867&gt;0,EDATE($P867,ROUND((DATEDIF($P867,INT($B867),"m")+(INT($B867)-EDATE($P867,DATEDIF($P867,INT($B867),"m")))/(EDATE($P867,DATEDIF($P867,INT($B867),"m")+1)-EDATE($P867,DATEDIF($P867,INT($B867),"m"))))/$R867,0)*$R867),$P867))))),"")))</f>
      </c>
      <c r="M867" s="223">
        <f>IF(OR($C867="",N($L867)=0,N($B867)=0),"",IF(IF(MOD($L867,1)=0,INT($B867),$B867)&lt;=$L867,"Đúng hạn","Trễ hạn"))</f>
      </c>
      <c r="N867" s="225">
        <f>IF($C867="","",ROW())</f>
      </c>
      <c r="O867" s="225">
        <f>IF($I867="Công việc",MATCH($C867,'Kế hoạch'!$A$6:$A$305,0),"")</f>
      </c>
      <c r="P867" s="234">
        <f>IF($O867="","",INDEX('Kế hoạch'!$I$6:$I$305,$O867))</f>
      </c>
      <c r="Q867" s="225">
        <f>IF($O867="","",INDEX('Kế hoạch'!$AJ$6:$AJ$305,$O867))</f>
      </c>
      <c r="R867" s="225">
        <f>IF($O867="","",INDEX('Kế hoạch'!$AK$6:$AK$305,$O867))</f>
      </c>
    </row>
    <row r="868">
      <c r="A868" s="223">
        <f>IF($C868="","",COUNTIF($C$6:$C868,"?*"))</f>
      </c>
      <c r="B868" s="217"/>
      <c r="C868" s="216"/>
      <c r="D868" s="240"/>
      <c r="E868" s="218"/>
      <c r="F868" s="218"/>
      <c r="G868" s="218"/>
      <c r="H868" s="219"/>
      <c r="I868" s="223">
        <f>IF($C868="","",IF(ISNUMBER(MATCH($C868,'Phản ánh'!$A$6:$A$505,0)),"Phản ánh",IF(ISNUMBER(MATCH($C868,'Kế hoạch'!$A$6:$A$305,0)),"Công việc","Mã chưa có")))</f>
      </c>
      <c r="J868" s="221">
        <f>IF($I868="Phản ánh",INDEX('Phản ánh'!$C$6:$C$505,MATCH($C868,'Phản ánh'!$A$6:$A$505,0)),IF($I868="Công việc",INDEX('Kế hoạch'!$C$6:$C$305,$O868),""))</f>
      </c>
      <c r="K868" s="221">
        <f>IF($I868="Phản ánh",INDEX('Phản ánh'!$K$6:$K$505,MATCH($C868,'Phản ánh'!$A$6:$A$505,0))&amp;"",IF($I868="Công việc",INDEX('Kế hoạch'!$N$6:$N$305,$O868)&amp;"",""))</f>
      </c>
      <c r="L868" s="220">
        <f>IF(OR($C868="",N($B868)=0),"",IF(AND($I868="Phản ánh",$E868="Đã xử lý"),INDEX('Phản ánh'!$U$6:$U$505,MATCH($C868,'Phản ánh'!$A$6:$A$505,0)),IF(AND($I868="Công việc",OR($E868="Hoàn thành",$E868="Hoàn thành kỳ")),IF(INDEX('Kế hoạch'!$B$6:$B$305,$O868)="Đột xuất",INDEX('Kế hoạch'!$AY$6:$AY$305,$O868),IF(N($P868)=0,"",IF(INT($B868)&lt;$P868,$P868,IF($Q868&gt;0,$P868+ROUND((INT($B868)-$P868)/$Q868,0)*$Q868,IF($R868&gt;0,EDATE($P868,ROUND((DATEDIF($P868,INT($B868),"m")+(INT($B868)-EDATE($P868,DATEDIF($P868,INT($B868),"m")))/(EDATE($P868,DATEDIF($P868,INT($B868),"m")+1)-EDATE($P868,DATEDIF($P868,INT($B868),"m"))))/$R868,0)*$R868),$P868))))),"")))</f>
      </c>
      <c r="M868" s="223">
        <f>IF(OR($C868="",N($L868)=0,N($B868)=0),"",IF(IF(MOD($L868,1)=0,INT($B868),$B868)&lt;=$L868,"Đúng hạn","Trễ hạn"))</f>
      </c>
      <c r="N868" s="225">
        <f>IF($C868="","",ROW())</f>
      </c>
      <c r="O868" s="225">
        <f>IF($I868="Công việc",MATCH($C868,'Kế hoạch'!$A$6:$A$305,0),"")</f>
      </c>
      <c r="P868" s="234">
        <f>IF($O868="","",INDEX('Kế hoạch'!$I$6:$I$305,$O868))</f>
      </c>
      <c r="Q868" s="225">
        <f>IF($O868="","",INDEX('Kế hoạch'!$AJ$6:$AJ$305,$O868))</f>
      </c>
      <c r="R868" s="225">
        <f>IF($O868="","",INDEX('Kế hoạch'!$AK$6:$AK$305,$O868))</f>
      </c>
    </row>
    <row r="869">
      <c r="A869" s="223">
        <f>IF($C869="","",COUNTIF($C$6:$C869,"?*"))</f>
      </c>
      <c r="B869" s="217"/>
      <c r="C869" s="216"/>
      <c r="D869" s="240"/>
      <c r="E869" s="218"/>
      <c r="F869" s="218"/>
      <c r="G869" s="218"/>
      <c r="H869" s="219"/>
      <c r="I869" s="223">
        <f>IF($C869="","",IF(ISNUMBER(MATCH($C869,'Phản ánh'!$A$6:$A$505,0)),"Phản ánh",IF(ISNUMBER(MATCH($C869,'Kế hoạch'!$A$6:$A$305,0)),"Công việc","Mã chưa có")))</f>
      </c>
      <c r="J869" s="221">
        <f>IF($I869="Phản ánh",INDEX('Phản ánh'!$C$6:$C$505,MATCH($C869,'Phản ánh'!$A$6:$A$505,0)),IF($I869="Công việc",INDEX('Kế hoạch'!$C$6:$C$305,$O869),""))</f>
      </c>
      <c r="K869" s="221">
        <f>IF($I869="Phản ánh",INDEX('Phản ánh'!$K$6:$K$505,MATCH($C869,'Phản ánh'!$A$6:$A$505,0))&amp;"",IF($I869="Công việc",INDEX('Kế hoạch'!$N$6:$N$305,$O869)&amp;"",""))</f>
      </c>
      <c r="L869" s="220">
        <f>IF(OR($C869="",N($B869)=0),"",IF(AND($I869="Phản ánh",$E869="Đã xử lý"),INDEX('Phản ánh'!$U$6:$U$505,MATCH($C869,'Phản ánh'!$A$6:$A$505,0)),IF(AND($I869="Công việc",OR($E869="Hoàn thành",$E869="Hoàn thành kỳ")),IF(INDEX('Kế hoạch'!$B$6:$B$305,$O869)="Đột xuất",INDEX('Kế hoạch'!$AY$6:$AY$305,$O869),IF(N($P869)=0,"",IF(INT($B869)&lt;$P869,$P869,IF($Q869&gt;0,$P869+ROUND((INT($B869)-$P869)/$Q869,0)*$Q869,IF($R869&gt;0,EDATE($P869,ROUND((DATEDIF($P869,INT($B869),"m")+(INT($B869)-EDATE($P869,DATEDIF($P869,INT($B869),"m")))/(EDATE($P869,DATEDIF($P869,INT($B869),"m")+1)-EDATE($P869,DATEDIF($P869,INT($B869),"m"))))/$R869,0)*$R869),$P869))))),"")))</f>
      </c>
      <c r="M869" s="223">
        <f>IF(OR($C869="",N($L869)=0,N($B869)=0),"",IF(IF(MOD($L869,1)=0,INT($B869),$B869)&lt;=$L869,"Đúng hạn","Trễ hạn"))</f>
      </c>
      <c r="N869" s="225">
        <f>IF($C869="","",ROW())</f>
      </c>
      <c r="O869" s="225">
        <f>IF($I869="Công việc",MATCH($C869,'Kế hoạch'!$A$6:$A$305,0),"")</f>
      </c>
      <c r="P869" s="234">
        <f>IF($O869="","",INDEX('Kế hoạch'!$I$6:$I$305,$O869))</f>
      </c>
      <c r="Q869" s="225">
        <f>IF($O869="","",INDEX('Kế hoạch'!$AJ$6:$AJ$305,$O869))</f>
      </c>
      <c r="R869" s="225">
        <f>IF($O869="","",INDEX('Kế hoạch'!$AK$6:$AK$305,$O869))</f>
      </c>
    </row>
    <row r="870">
      <c r="A870" s="223">
        <f>IF($C870="","",COUNTIF($C$6:$C870,"?*"))</f>
      </c>
      <c r="B870" s="217"/>
      <c r="C870" s="216"/>
      <c r="D870" s="240"/>
      <c r="E870" s="218"/>
      <c r="F870" s="218"/>
      <c r="G870" s="218"/>
      <c r="H870" s="219"/>
      <c r="I870" s="223">
        <f>IF($C870="","",IF(ISNUMBER(MATCH($C870,'Phản ánh'!$A$6:$A$505,0)),"Phản ánh",IF(ISNUMBER(MATCH($C870,'Kế hoạch'!$A$6:$A$305,0)),"Công việc","Mã chưa có")))</f>
      </c>
      <c r="J870" s="221">
        <f>IF($I870="Phản ánh",INDEX('Phản ánh'!$C$6:$C$505,MATCH($C870,'Phản ánh'!$A$6:$A$505,0)),IF($I870="Công việc",INDEX('Kế hoạch'!$C$6:$C$305,$O870),""))</f>
      </c>
      <c r="K870" s="221">
        <f>IF($I870="Phản ánh",INDEX('Phản ánh'!$K$6:$K$505,MATCH($C870,'Phản ánh'!$A$6:$A$505,0))&amp;"",IF($I870="Công việc",INDEX('Kế hoạch'!$N$6:$N$305,$O870)&amp;"",""))</f>
      </c>
      <c r="L870" s="220">
        <f>IF(OR($C870="",N($B870)=0),"",IF(AND($I870="Phản ánh",$E870="Đã xử lý"),INDEX('Phản ánh'!$U$6:$U$505,MATCH($C870,'Phản ánh'!$A$6:$A$505,0)),IF(AND($I870="Công việc",OR($E870="Hoàn thành",$E870="Hoàn thành kỳ")),IF(INDEX('Kế hoạch'!$B$6:$B$305,$O870)="Đột xuất",INDEX('Kế hoạch'!$AY$6:$AY$305,$O870),IF(N($P870)=0,"",IF(INT($B870)&lt;$P870,$P870,IF($Q870&gt;0,$P870+ROUND((INT($B870)-$P870)/$Q870,0)*$Q870,IF($R870&gt;0,EDATE($P870,ROUND((DATEDIF($P870,INT($B870),"m")+(INT($B870)-EDATE($P870,DATEDIF($P870,INT($B870),"m")))/(EDATE($P870,DATEDIF($P870,INT($B870),"m")+1)-EDATE($P870,DATEDIF($P870,INT($B870),"m"))))/$R870,0)*$R870),$P870))))),"")))</f>
      </c>
      <c r="M870" s="223">
        <f>IF(OR($C870="",N($L870)=0,N($B870)=0),"",IF(IF(MOD($L870,1)=0,INT($B870),$B870)&lt;=$L870,"Đúng hạn","Trễ hạn"))</f>
      </c>
      <c r="N870" s="225">
        <f>IF($C870="","",ROW())</f>
      </c>
      <c r="O870" s="225">
        <f>IF($I870="Công việc",MATCH($C870,'Kế hoạch'!$A$6:$A$305,0),"")</f>
      </c>
      <c r="P870" s="234">
        <f>IF($O870="","",INDEX('Kế hoạch'!$I$6:$I$305,$O870))</f>
      </c>
      <c r="Q870" s="225">
        <f>IF($O870="","",INDEX('Kế hoạch'!$AJ$6:$AJ$305,$O870))</f>
      </c>
      <c r="R870" s="225">
        <f>IF($O870="","",INDEX('Kế hoạch'!$AK$6:$AK$305,$O870))</f>
      </c>
    </row>
    <row r="871">
      <c r="A871" s="223">
        <f>IF($C871="","",COUNTIF($C$6:$C871,"?*"))</f>
      </c>
      <c r="B871" s="217"/>
      <c r="C871" s="216"/>
      <c r="D871" s="240"/>
      <c r="E871" s="218"/>
      <c r="F871" s="218"/>
      <c r="G871" s="218"/>
      <c r="H871" s="219"/>
      <c r="I871" s="223">
        <f>IF($C871="","",IF(ISNUMBER(MATCH($C871,'Phản ánh'!$A$6:$A$505,0)),"Phản ánh",IF(ISNUMBER(MATCH($C871,'Kế hoạch'!$A$6:$A$305,0)),"Công việc","Mã chưa có")))</f>
      </c>
      <c r="J871" s="221">
        <f>IF($I871="Phản ánh",INDEX('Phản ánh'!$C$6:$C$505,MATCH($C871,'Phản ánh'!$A$6:$A$505,0)),IF($I871="Công việc",INDEX('Kế hoạch'!$C$6:$C$305,$O871),""))</f>
      </c>
      <c r="K871" s="221">
        <f>IF($I871="Phản ánh",INDEX('Phản ánh'!$K$6:$K$505,MATCH($C871,'Phản ánh'!$A$6:$A$505,0))&amp;"",IF($I871="Công việc",INDEX('Kế hoạch'!$N$6:$N$305,$O871)&amp;"",""))</f>
      </c>
      <c r="L871" s="220">
        <f>IF(OR($C871="",N($B871)=0),"",IF(AND($I871="Phản ánh",$E871="Đã xử lý"),INDEX('Phản ánh'!$U$6:$U$505,MATCH($C871,'Phản ánh'!$A$6:$A$505,0)),IF(AND($I871="Công việc",OR($E871="Hoàn thành",$E871="Hoàn thành kỳ")),IF(INDEX('Kế hoạch'!$B$6:$B$305,$O871)="Đột xuất",INDEX('Kế hoạch'!$AY$6:$AY$305,$O871),IF(N($P871)=0,"",IF(INT($B871)&lt;$P871,$P871,IF($Q871&gt;0,$P871+ROUND((INT($B871)-$P871)/$Q871,0)*$Q871,IF($R871&gt;0,EDATE($P871,ROUND((DATEDIF($P871,INT($B871),"m")+(INT($B871)-EDATE($P871,DATEDIF($P871,INT($B871),"m")))/(EDATE($P871,DATEDIF($P871,INT($B871),"m")+1)-EDATE($P871,DATEDIF($P871,INT($B871),"m"))))/$R871,0)*$R871),$P871))))),"")))</f>
      </c>
      <c r="M871" s="223">
        <f>IF(OR($C871="",N($L871)=0,N($B871)=0),"",IF(IF(MOD($L871,1)=0,INT($B871),$B871)&lt;=$L871,"Đúng hạn","Trễ hạn"))</f>
      </c>
      <c r="N871" s="225">
        <f>IF($C871="","",ROW())</f>
      </c>
      <c r="O871" s="225">
        <f>IF($I871="Công việc",MATCH($C871,'Kế hoạch'!$A$6:$A$305,0),"")</f>
      </c>
      <c r="P871" s="234">
        <f>IF($O871="","",INDEX('Kế hoạch'!$I$6:$I$305,$O871))</f>
      </c>
      <c r="Q871" s="225">
        <f>IF($O871="","",INDEX('Kế hoạch'!$AJ$6:$AJ$305,$O871))</f>
      </c>
      <c r="R871" s="225">
        <f>IF($O871="","",INDEX('Kế hoạch'!$AK$6:$AK$305,$O871))</f>
      </c>
    </row>
    <row r="872">
      <c r="A872" s="223">
        <f>IF($C872="","",COUNTIF($C$6:$C872,"?*"))</f>
      </c>
      <c r="B872" s="217"/>
      <c r="C872" s="216"/>
      <c r="D872" s="240"/>
      <c r="E872" s="218"/>
      <c r="F872" s="218"/>
      <c r="G872" s="218"/>
      <c r="H872" s="219"/>
      <c r="I872" s="223">
        <f>IF($C872="","",IF(ISNUMBER(MATCH($C872,'Phản ánh'!$A$6:$A$505,0)),"Phản ánh",IF(ISNUMBER(MATCH($C872,'Kế hoạch'!$A$6:$A$305,0)),"Công việc","Mã chưa có")))</f>
      </c>
      <c r="J872" s="221">
        <f>IF($I872="Phản ánh",INDEX('Phản ánh'!$C$6:$C$505,MATCH($C872,'Phản ánh'!$A$6:$A$505,0)),IF($I872="Công việc",INDEX('Kế hoạch'!$C$6:$C$305,$O872),""))</f>
      </c>
      <c r="K872" s="221">
        <f>IF($I872="Phản ánh",INDEX('Phản ánh'!$K$6:$K$505,MATCH($C872,'Phản ánh'!$A$6:$A$505,0))&amp;"",IF($I872="Công việc",INDEX('Kế hoạch'!$N$6:$N$305,$O872)&amp;"",""))</f>
      </c>
      <c r="L872" s="220">
        <f>IF(OR($C872="",N($B872)=0),"",IF(AND($I872="Phản ánh",$E872="Đã xử lý"),INDEX('Phản ánh'!$U$6:$U$505,MATCH($C872,'Phản ánh'!$A$6:$A$505,0)),IF(AND($I872="Công việc",OR($E872="Hoàn thành",$E872="Hoàn thành kỳ")),IF(INDEX('Kế hoạch'!$B$6:$B$305,$O872)="Đột xuất",INDEX('Kế hoạch'!$AY$6:$AY$305,$O872),IF(N($P872)=0,"",IF(INT($B872)&lt;$P872,$P872,IF($Q872&gt;0,$P872+ROUND((INT($B872)-$P872)/$Q872,0)*$Q872,IF($R872&gt;0,EDATE($P872,ROUND((DATEDIF($P872,INT($B872),"m")+(INT($B872)-EDATE($P872,DATEDIF($P872,INT($B872),"m")))/(EDATE($P872,DATEDIF($P872,INT($B872),"m")+1)-EDATE($P872,DATEDIF($P872,INT($B872),"m"))))/$R872,0)*$R872),$P872))))),"")))</f>
      </c>
      <c r="M872" s="223">
        <f>IF(OR($C872="",N($L872)=0,N($B872)=0),"",IF(IF(MOD($L872,1)=0,INT($B872),$B872)&lt;=$L872,"Đúng hạn","Trễ hạn"))</f>
      </c>
      <c r="N872" s="225">
        <f>IF($C872="","",ROW())</f>
      </c>
      <c r="O872" s="225">
        <f>IF($I872="Công việc",MATCH($C872,'Kế hoạch'!$A$6:$A$305,0),"")</f>
      </c>
      <c r="P872" s="234">
        <f>IF($O872="","",INDEX('Kế hoạch'!$I$6:$I$305,$O872))</f>
      </c>
      <c r="Q872" s="225">
        <f>IF($O872="","",INDEX('Kế hoạch'!$AJ$6:$AJ$305,$O872))</f>
      </c>
      <c r="R872" s="225">
        <f>IF($O872="","",INDEX('Kế hoạch'!$AK$6:$AK$305,$O872))</f>
      </c>
    </row>
    <row r="873">
      <c r="A873" s="223">
        <f>IF($C873="","",COUNTIF($C$6:$C873,"?*"))</f>
      </c>
      <c r="B873" s="217"/>
      <c r="C873" s="216"/>
      <c r="D873" s="240"/>
      <c r="E873" s="218"/>
      <c r="F873" s="218"/>
      <c r="G873" s="218"/>
      <c r="H873" s="219"/>
      <c r="I873" s="223">
        <f>IF($C873="","",IF(ISNUMBER(MATCH($C873,'Phản ánh'!$A$6:$A$505,0)),"Phản ánh",IF(ISNUMBER(MATCH($C873,'Kế hoạch'!$A$6:$A$305,0)),"Công việc","Mã chưa có")))</f>
      </c>
      <c r="J873" s="221">
        <f>IF($I873="Phản ánh",INDEX('Phản ánh'!$C$6:$C$505,MATCH($C873,'Phản ánh'!$A$6:$A$505,0)),IF($I873="Công việc",INDEX('Kế hoạch'!$C$6:$C$305,$O873),""))</f>
      </c>
      <c r="K873" s="221">
        <f>IF($I873="Phản ánh",INDEX('Phản ánh'!$K$6:$K$505,MATCH($C873,'Phản ánh'!$A$6:$A$505,0))&amp;"",IF($I873="Công việc",INDEX('Kế hoạch'!$N$6:$N$305,$O873)&amp;"",""))</f>
      </c>
      <c r="L873" s="220">
        <f>IF(OR($C873="",N($B873)=0),"",IF(AND($I873="Phản ánh",$E873="Đã xử lý"),INDEX('Phản ánh'!$U$6:$U$505,MATCH($C873,'Phản ánh'!$A$6:$A$505,0)),IF(AND($I873="Công việc",OR($E873="Hoàn thành",$E873="Hoàn thành kỳ")),IF(INDEX('Kế hoạch'!$B$6:$B$305,$O873)="Đột xuất",INDEX('Kế hoạch'!$AY$6:$AY$305,$O873),IF(N($P873)=0,"",IF(INT($B873)&lt;$P873,$P873,IF($Q873&gt;0,$P873+ROUND((INT($B873)-$P873)/$Q873,0)*$Q873,IF($R873&gt;0,EDATE($P873,ROUND((DATEDIF($P873,INT($B873),"m")+(INT($B873)-EDATE($P873,DATEDIF($P873,INT($B873),"m")))/(EDATE($P873,DATEDIF($P873,INT($B873),"m")+1)-EDATE($P873,DATEDIF($P873,INT($B873),"m"))))/$R873,0)*$R873),$P873))))),"")))</f>
      </c>
      <c r="M873" s="223">
        <f>IF(OR($C873="",N($L873)=0,N($B873)=0),"",IF(IF(MOD($L873,1)=0,INT($B873),$B873)&lt;=$L873,"Đúng hạn","Trễ hạn"))</f>
      </c>
      <c r="N873" s="225">
        <f>IF($C873="","",ROW())</f>
      </c>
      <c r="O873" s="225">
        <f>IF($I873="Công việc",MATCH($C873,'Kế hoạch'!$A$6:$A$305,0),"")</f>
      </c>
      <c r="P873" s="234">
        <f>IF($O873="","",INDEX('Kế hoạch'!$I$6:$I$305,$O873))</f>
      </c>
      <c r="Q873" s="225">
        <f>IF($O873="","",INDEX('Kế hoạch'!$AJ$6:$AJ$305,$O873))</f>
      </c>
      <c r="R873" s="225">
        <f>IF($O873="","",INDEX('Kế hoạch'!$AK$6:$AK$305,$O873))</f>
      </c>
    </row>
    <row r="874">
      <c r="A874" s="223">
        <f>IF($C874="","",COUNTIF($C$6:$C874,"?*"))</f>
      </c>
      <c r="B874" s="217"/>
      <c r="C874" s="216"/>
      <c r="D874" s="240"/>
      <c r="E874" s="218"/>
      <c r="F874" s="218"/>
      <c r="G874" s="218"/>
      <c r="H874" s="219"/>
      <c r="I874" s="223">
        <f>IF($C874="","",IF(ISNUMBER(MATCH($C874,'Phản ánh'!$A$6:$A$505,0)),"Phản ánh",IF(ISNUMBER(MATCH($C874,'Kế hoạch'!$A$6:$A$305,0)),"Công việc","Mã chưa có")))</f>
      </c>
      <c r="J874" s="221">
        <f>IF($I874="Phản ánh",INDEX('Phản ánh'!$C$6:$C$505,MATCH($C874,'Phản ánh'!$A$6:$A$505,0)),IF($I874="Công việc",INDEX('Kế hoạch'!$C$6:$C$305,$O874),""))</f>
      </c>
      <c r="K874" s="221">
        <f>IF($I874="Phản ánh",INDEX('Phản ánh'!$K$6:$K$505,MATCH($C874,'Phản ánh'!$A$6:$A$505,0))&amp;"",IF($I874="Công việc",INDEX('Kế hoạch'!$N$6:$N$305,$O874)&amp;"",""))</f>
      </c>
      <c r="L874" s="220">
        <f>IF(OR($C874="",N($B874)=0),"",IF(AND($I874="Phản ánh",$E874="Đã xử lý"),INDEX('Phản ánh'!$U$6:$U$505,MATCH($C874,'Phản ánh'!$A$6:$A$505,0)),IF(AND($I874="Công việc",OR($E874="Hoàn thành",$E874="Hoàn thành kỳ")),IF(INDEX('Kế hoạch'!$B$6:$B$305,$O874)="Đột xuất",INDEX('Kế hoạch'!$AY$6:$AY$305,$O874),IF(N($P874)=0,"",IF(INT($B874)&lt;$P874,$P874,IF($Q874&gt;0,$P874+ROUND((INT($B874)-$P874)/$Q874,0)*$Q874,IF($R874&gt;0,EDATE($P874,ROUND((DATEDIF($P874,INT($B874),"m")+(INT($B874)-EDATE($P874,DATEDIF($P874,INT($B874),"m")))/(EDATE($P874,DATEDIF($P874,INT($B874),"m")+1)-EDATE($P874,DATEDIF($P874,INT($B874),"m"))))/$R874,0)*$R874),$P874))))),"")))</f>
      </c>
      <c r="M874" s="223">
        <f>IF(OR($C874="",N($L874)=0,N($B874)=0),"",IF(IF(MOD($L874,1)=0,INT($B874),$B874)&lt;=$L874,"Đúng hạn","Trễ hạn"))</f>
      </c>
      <c r="N874" s="225">
        <f>IF($C874="","",ROW())</f>
      </c>
      <c r="O874" s="225">
        <f>IF($I874="Công việc",MATCH($C874,'Kế hoạch'!$A$6:$A$305,0),"")</f>
      </c>
      <c r="P874" s="234">
        <f>IF($O874="","",INDEX('Kế hoạch'!$I$6:$I$305,$O874))</f>
      </c>
      <c r="Q874" s="225">
        <f>IF($O874="","",INDEX('Kế hoạch'!$AJ$6:$AJ$305,$O874))</f>
      </c>
      <c r="R874" s="225">
        <f>IF($O874="","",INDEX('Kế hoạch'!$AK$6:$AK$305,$O874))</f>
      </c>
    </row>
    <row r="875">
      <c r="A875" s="223">
        <f>IF($C875="","",COUNTIF($C$6:$C875,"?*"))</f>
      </c>
      <c r="B875" s="217"/>
      <c r="C875" s="216"/>
      <c r="D875" s="240"/>
      <c r="E875" s="218"/>
      <c r="F875" s="218"/>
      <c r="G875" s="218"/>
      <c r="H875" s="219"/>
      <c r="I875" s="223">
        <f>IF($C875="","",IF(ISNUMBER(MATCH($C875,'Phản ánh'!$A$6:$A$505,0)),"Phản ánh",IF(ISNUMBER(MATCH($C875,'Kế hoạch'!$A$6:$A$305,0)),"Công việc","Mã chưa có")))</f>
      </c>
      <c r="J875" s="221">
        <f>IF($I875="Phản ánh",INDEX('Phản ánh'!$C$6:$C$505,MATCH($C875,'Phản ánh'!$A$6:$A$505,0)),IF($I875="Công việc",INDEX('Kế hoạch'!$C$6:$C$305,$O875),""))</f>
      </c>
      <c r="K875" s="221">
        <f>IF($I875="Phản ánh",INDEX('Phản ánh'!$K$6:$K$505,MATCH($C875,'Phản ánh'!$A$6:$A$505,0))&amp;"",IF($I875="Công việc",INDEX('Kế hoạch'!$N$6:$N$305,$O875)&amp;"",""))</f>
      </c>
      <c r="L875" s="220">
        <f>IF(OR($C875="",N($B875)=0),"",IF(AND($I875="Phản ánh",$E875="Đã xử lý"),INDEX('Phản ánh'!$U$6:$U$505,MATCH($C875,'Phản ánh'!$A$6:$A$505,0)),IF(AND($I875="Công việc",OR($E875="Hoàn thành",$E875="Hoàn thành kỳ")),IF(INDEX('Kế hoạch'!$B$6:$B$305,$O875)="Đột xuất",INDEX('Kế hoạch'!$AY$6:$AY$305,$O875),IF(N($P875)=0,"",IF(INT($B875)&lt;$P875,$P875,IF($Q875&gt;0,$P875+ROUND((INT($B875)-$P875)/$Q875,0)*$Q875,IF($R875&gt;0,EDATE($P875,ROUND((DATEDIF($P875,INT($B875),"m")+(INT($B875)-EDATE($P875,DATEDIF($P875,INT($B875),"m")))/(EDATE($P875,DATEDIF($P875,INT($B875),"m")+1)-EDATE($P875,DATEDIF($P875,INT($B875),"m"))))/$R875,0)*$R875),$P875))))),"")))</f>
      </c>
      <c r="M875" s="223">
        <f>IF(OR($C875="",N($L875)=0,N($B875)=0),"",IF(IF(MOD($L875,1)=0,INT($B875),$B875)&lt;=$L875,"Đúng hạn","Trễ hạn"))</f>
      </c>
      <c r="N875" s="225">
        <f>IF($C875="","",ROW())</f>
      </c>
      <c r="O875" s="225">
        <f>IF($I875="Công việc",MATCH($C875,'Kế hoạch'!$A$6:$A$305,0),"")</f>
      </c>
      <c r="P875" s="234">
        <f>IF($O875="","",INDEX('Kế hoạch'!$I$6:$I$305,$O875))</f>
      </c>
      <c r="Q875" s="225">
        <f>IF($O875="","",INDEX('Kế hoạch'!$AJ$6:$AJ$305,$O875))</f>
      </c>
      <c r="R875" s="225">
        <f>IF($O875="","",INDEX('Kế hoạch'!$AK$6:$AK$305,$O875))</f>
      </c>
    </row>
    <row r="876">
      <c r="A876" s="223">
        <f>IF($C876="","",COUNTIF($C$6:$C876,"?*"))</f>
      </c>
      <c r="B876" s="217"/>
      <c r="C876" s="216"/>
      <c r="D876" s="240"/>
      <c r="E876" s="218"/>
      <c r="F876" s="218"/>
      <c r="G876" s="218"/>
      <c r="H876" s="219"/>
      <c r="I876" s="223">
        <f>IF($C876="","",IF(ISNUMBER(MATCH($C876,'Phản ánh'!$A$6:$A$505,0)),"Phản ánh",IF(ISNUMBER(MATCH($C876,'Kế hoạch'!$A$6:$A$305,0)),"Công việc","Mã chưa có")))</f>
      </c>
      <c r="J876" s="221">
        <f>IF($I876="Phản ánh",INDEX('Phản ánh'!$C$6:$C$505,MATCH($C876,'Phản ánh'!$A$6:$A$505,0)),IF($I876="Công việc",INDEX('Kế hoạch'!$C$6:$C$305,$O876),""))</f>
      </c>
      <c r="K876" s="221">
        <f>IF($I876="Phản ánh",INDEX('Phản ánh'!$K$6:$K$505,MATCH($C876,'Phản ánh'!$A$6:$A$505,0))&amp;"",IF($I876="Công việc",INDEX('Kế hoạch'!$N$6:$N$305,$O876)&amp;"",""))</f>
      </c>
      <c r="L876" s="220">
        <f>IF(OR($C876="",N($B876)=0),"",IF(AND($I876="Phản ánh",$E876="Đã xử lý"),INDEX('Phản ánh'!$U$6:$U$505,MATCH($C876,'Phản ánh'!$A$6:$A$505,0)),IF(AND($I876="Công việc",OR($E876="Hoàn thành",$E876="Hoàn thành kỳ")),IF(INDEX('Kế hoạch'!$B$6:$B$305,$O876)="Đột xuất",INDEX('Kế hoạch'!$AY$6:$AY$305,$O876),IF(N($P876)=0,"",IF(INT($B876)&lt;$P876,$P876,IF($Q876&gt;0,$P876+ROUND((INT($B876)-$P876)/$Q876,0)*$Q876,IF($R876&gt;0,EDATE($P876,ROUND((DATEDIF($P876,INT($B876),"m")+(INT($B876)-EDATE($P876,DATEDIF($P876,INT($B876),"m")))/(EDATE($P876,DATEDIF($P876,INT($B876),"m")+1)-EDATE($P876,DATEDIF($P876,INT($B876),"m"))))/$R876,0)*$R876),$P876))))),"")))</f>
      </c>
      <c r="M876" s="223">
        <f>IF(OR($C876="",N($L876)=0,N($B876)=0),"",IF(IF(MOD($L876,1)=0,INT($B876),$B876)&lt;=$L876,"Đúng hạn","Trễ hạn"))</f>
      </c>
      <c r="N876" s="225">
        <f>IF($C876="","",ROW())</f>
      </c>
      <c r="O876" s="225">
        <f>IF($I876="Công việc",MATCH($C876,'Kế hoạch'!$A$6:$A$305,0),"")</f>
      </c>
      <c r="P876" s="234">
        <f>IF($O876="","",INDEX('Kế hoạch'!$I$6:$I$305,$O876))</f>
      </c>
      <c r="Q876" s="225">
        <f>IF($O876="","",INDEX('Kế hoạch'!$AJ$6:$AJ$305,$O876))</f>
      </c>
      <c r="R876" s="225">
        <f>IF($O876="","",INDEX('Kế hoạch'!$AK$6:$AK$305,$O876))</f>
      </c>
    </row>
    <row r="877">
      <c r="A877" s="223">
        <f>IF($C877="","",COUNTIF($C$6:$C877,"?*"))</f>
      </c>
      <c r="B877" s="217"/>
      <c r="C877" s="216"/>
      <c r="D877" s="240"/>
      <c r="E877" s="218"/>
      <c r="F877" s="218"/>
      <c r="G877" s="218"/>
      <c r="H877" s="219"/>
      <c r="I877" s="223">
        <f>IF($C877="","",IF(ISNUMBER(MATCH($C877,'Phản ánh'!$A$6:$A$505,0)),"Phản ánh",IF(ISNUMBER(MATCH($C877,'Kế hoạch'!$A$6:$A$305,0)),"Công việc","Mã chưa có")))</f>
      </c>
      <c r="J877" s="221">
        <f>IF($I877="Phản ánh",INDEX('Phản ánh'!$C$6:$C$505,MATCH($C877,'Phản ánh'!$A$6:$A$505,0)),IF($I877="Công việc",INDEX('Kế hoạch'!$C$6:$C$305,$O877),""))</f>
      </c>
      <c r="K877" s="221">
        <f>IF($I877="Phản ánh",INDEX('Phản ánh'!$K$6:$K$505,MATCH($C877,'Phản ánh'!$A$6:$A$505,0))&amp;"",IF($I877="Công việc",INDEX('Kế hoạch'!$N$6:$N$305,$O877)&amp;"",""))</f>
      </c>
      <c r="L877" s="220">
        <f>IF(OR($C877="",N($B877)=0),"",IF(AND($I877="Phản ánh",$E877="Đã xử lý"),INDEX('Phản ánh'!$U$6:$U$505,MATCH($C877,'Phản ánh'!$A$6:$A$505,0)),IF(AND($I877="Công việc",OR($E877="Hoàn thành",$E877="Hoàn thành kỳ")),IF(INDEX('Kế hoạch'!$B$6:$B$305,$O877)="Đột xuất",INDEX('Kế hoạch'!$AY$6:$AY$305,$O877),IF(N($P877)=0,"",IF(INT($B877)&lt;$P877,$P877,IF($Q877&gt;0,$P877+ROUND((INT($B877)-$P877)/$Q877,0)*$Q877,IF($R877&gt;0,EDATE($P877,ROUND((DATEDIF($P877,INT($B877),"m")+(INT($B877)-EDATE($P877,DATEDIF($P877,INT($B877),"m")))/(EDATE($P877,DATEDIF($P877,INT($B877),"m")+1)-EDATE($P877,DATEDIF($P877,INT($B877),"m"))))/$R877,0)*$R877),$P877))))),"")))</f>
      </c>
      <c r="M877" s="223">
        <f>IF(OR($C877="",N($L877)=0,N($B877)=0),"",IF(IF(MOD($L877,1)=0,INT($B877),$B877)&lt;=$L877,"Đúng hạn","Trễ hạn"))</f>
      </c>
      <c r="N877" s="225">
        <f>IF($C877="","",ROW())</f>
      </c>
      <c r="O877" s="225">
        <f>IF($I877="Công việc",MATCH($C877,'Kế hoạch'!$A$6:$A$305,0),"")</f>
      </c>
      <c r="P877" s="234">
        <f>IF($O877="","",INDEX('Kế hoạch'!$I$6:$I$305,$O877))</f>
      </c>
      <c r="Q877" s="225">
        <f>IF($O877="","",INDEX('Kế hoạch'!$AJ$6:$AJ$305,$O877))</f>
      </c>
      <c r="R877" s="225">
        <f>IF($O877="","",INDEX('Kế hoạch'!$AK$6:$AK$305,$O877))</f>
      </c>
    </row>
    <row r="878">
      <c r="A878" s="223">
        <f>IF($C878="","",COUNTIF($C$6:$C878,"?*"))</f>
      </c>
      <c r="B878" s="217"/>
      <c r="C878" s="216"/>
      <c r="D878" s="240"/>
      <c r="E878" s="218"/>
      <c r="F878" s="218"/>
      <c r="G878" s="218"/>
      <c r="H878" s="219"/>
      <c r="I878" s="223">
        <f>IF($C878="","",IF(ISNUMBER(MATCH($C878,'Phản ánh'!$A$6:$A$505,0)),"Phản ánh",IF(ISNUMBER(MATCH($C878,'Kế hoạch'!$A$6:$A$305,0)),"Công việc","Mã chưa có")))</f>
      </c>
      <c r="J878" s="221">
        <f>IF($I878="Phản ánh",INDEX('Phản ánh'!$C$6:$C$505,MATCH($C878,'Phản ánh'!$A$6:$A$505,0)),IF($I878="Công việc",INDEX('Kế hoạch'!$C$6:$C$305,$O878),""))</f>
      </c>
      <c r="K878" s="221">
        <f>IF($I878="Phản ánh",INDEX('Phản ánh'!$K$6:$K$505,MATCH($C878,'Phản ánh'!$A$6:$A$505,0))&amp;"",IF($I878="Công việc",INDEX('Kế hoạch'!$N$6:$N$305,$O878)&amp;"",""))</f>
      </c>
      <c r="L878" s="220">
        <f>IF(OR($C878="",N($B878)=0),"",IF(AND($I878="Phản ánh",$E878="Đã xử lý"),INDEX('Phản ánh'!$U$6:$U$505,MATCH($C878,'Phản ánh'!$A$6:$A$505,0)),IF(AND($I878="Công việc",OR($E878="Hoàn thành",$E878="Hoàn thành kỳ")),IF(INDEX('Kế hoạch'!$B$6:$B$305,$O878)="Đột xuất",INDEX('Kế hoạch'!$AY$6:$AY$305,$O878),IF(N($P878)=0,"",IF(INT($B878)&lt;$P878,$P878,IF($Q878&gt;0,$P878+ROUND((INT($B878)-$P878)/$Q878,0)*$Q878,IF($R878&gt;0,EDATE($P878,ROUND((DATEDIF($P878,INT($B878),"m")+(INT($B878)-EDATE($P878,DATEDIF($P878,INT($B878),"m")))/(EDATE($P878,DATEDIF($P878,INT($B878),"m")+1)-EDATE($P878,DATEDIF($P878,INT($B878),"m"))))/$R878,0)*$R878),$P878))))),"")))</f>
      </c>
      <c r="M878" s="223">
        <f>IF(OR($C878="",N($L878)=0,N($B878)=0),"",IF(IF(MOD($L878,1)=0,INT($B878),$B878)&lt;=$L878,"Đúng hạn","Trễ hạn"))</f>
      </c>
      <c r="N878" s="225">
        <f>IF($C878="","",ROW())</f>
      </c>
      <c r="O878" s="225">
        <f>IF($I878="Công việc",MATCH($C878,'Kế hoạch'!$A$6:$A$305,0),"")</f>
      </c>
      <c r="P878" s="234">
        <f>IF($O878="","",INDEX('Kế hoạch'!$I$6:$I$305,$O878))</f>
      </c>
      <c r="Q878" s="225">
        <f>IF($O878="","",INDEX('Kế hoạch'!$AJ$6:$AJ$305,$O878))</f>
      </c>
      <c r="R878" s="225">
        <f>IF($O878="","",INDEX('Kế hoạch'!$AK$6:$AK$305,$O878))</f>
      </c>
    </row>
    <row r="879">
      <c r="A879" s="223">
        <f>IF($C879="","",COUNTIF($C$6:$C879,"?*"))</f>
      </c>
      <c r="B879" s="217"/>
      <c r="C879" s="216"/>
      <c r="D879" s="240"/>
      <c r="E879" s="218"/>
      <c r="F879" s="218"/>
      <c r="G879" s="218"/>
      <c r="H879" s="219"/>
      <c r="I879" s="223">
        <f>IF($C879="","",IF(ISNUMBER(MATCH($C879,'Phản ánh'!$A$6:$A$505,0)),"Phản ánh",IF(ISNUMBER(MATCH($C879,'Kế hoạch'!$A$6:$A$305,0)),"Công việc","Mã chưa có")))</f>
      </c>
      <c r="J879" s="221">
        <f>IF($I879="Phản ánh",INDEX('Phản ánh'!$C$6:$C$505,MATCH($C879,'Phản ánh'!$A$6:$A$505,0)),IF($I879="Công việc",INDEX('Kế hoạch'!$C$6:$C$305,$O879),""))</f>
      </c>
      <c r="K879" s="221">
        <f>IF($I879="Phản ánh",INDEX('Phản ánh'!$K$6:$K$505,MATCH($C879,'Phản ánh'!$A$6:$A$505,0))&amp;"",IF($I879="Công việc",INDEX('Kế hoạch'!$N$6:$N$305,$O879)&amp;"",""))</f>
      </c>
      <c r="L879" s="220">
        <f>IF(OR($C879="",N($B879)=0),"",IF(AND($I879="Phản ánh",$E879="Đã xử lý"),INDEX('Phản ánh'!$U$6:$U$505,MATCH($C879,'Phản ánh'!$A$6:$A$505,0)),IF(AND($I879="Công việc",OR($E879="Hoàn thành",$E879="Hoàn thành kỳ")),IF(INDEX('Kế hoạch'!$B$6:$B$305,$O879)="Đột xuất",INDEX('Kế hoạch'!$AY$6:$AY$305,$O879),IF(N($P879)=0,"",IF(INT($B879)&lt;$P879,$P879,IF($Q879&gt;0,$P879+ROUND((INT($B879)-$P879)/$Q879,0)*$Q879,IF($R879&gt;0,EDATE($P879,ROUND((DATEDIF($P879,INT($B879),"m")+(INT($B879)-EDATE($P879,DATEDIF($P879,INT($B879),"m")))/(EDATE($P879,DATEDIF($P879,INT($B879),"m")+1)-EDATE($P879,DATEDIF($P879,INT($B879),"m"))))/$R879,0)*$R879),$P879))))),"")))</f>
      </c>
      <c r="M879" s="223">
        <f>IF(OR($C879="",N($L879)=0,N($B879)=0),"",IF(IF(MOD($L879,1)=0,INT($B879),$B879)&lt;=$L879,"Đúng hạn","Trễ hạn"))</f>
      </c>
      <c r="N879" s="225">
        <f>IF($C879="","",ROW())</f>
      </c>
      <c r="O879" s="225">
        <f>IF($I879="Công việc",MATCH($C879,'Kế hoạch'!$A$6:$A$305,0),"")</f>
      </c>
      <c r="P879" s="234">
        <f>IF($O879="","",INDEX('Kế hoạch'!$I$6:$I$305,$O879))</f>
      </c>
      <c r="Q879" s="225">
        <f>IF($O879="","",INDEX('Kế hoạch'!$AJ$6:$AJ$305,$O879))</f>
      </c>
      <c r="R879" s="225">
        <f>IF($O879="","",INDEX('Kế hoạch'!$AK$6:$AK$305,$O879))</f>
      </c>
    </row>
    <row r="880">
      <c r="A880" s="223">
        <f>IF($C880="","",COUNTIF($C$6:$C880,"?*"))</f>
      </c>
      <c r="B880" s="217"/>
      <c r="C880" s="216"/>
      <c r="D880" s="240"/>
      <c r="E880" s="218"/>
      <c r="F880" s="218"/>
      <c r="G880" s="218"/>
      <c r="H880" s="219"/>
      <c r="I880" s="223">
        <f>IF($C880="","",IF(ISNUMBER(MATCH($C880,'Phản ánh'!$A$6:$A$505,0)),"Phản ánh",IF(ISNUMBER(MATCH($C880,'Kế hoạch'!$A$6:$A$305,0)),"Công việc","Mã chưa có")))</f>
      </c>
      <c r="J880" s="221">
        <f>IF($I880="Phản ánh",INDEX('Phản ánh'!$C$6:$C$505,MATCH($C880,'Phản ánh'!$A$6:$A$505,0)),IF($I880="Công việc",INDEX('Kế hoạch'!$C$6:$C$305,$O880),""))</f>
      </c>
      <c r="K880" s="221">
        <f>IF($I880="Phản ánh",INDEX('Phản ánh'!$K$6:$K$505,MATCH($C880,'Phản ánh'!$A$6:$A$505,0))&amp;"",IF($I880="Công việc",INDEX('Kế hoạch'!$N$6:$N$305,$O880)&amp;"",""))</f>
      </c>
      <c r="L880" s="220">
        <f>IF(OR($C880="",N($B880)=0),"",IF(AND($I880="Phản ánh",$E880="Đã xử lý"),INDEX('Phản ánh'!$U$6:$U$505,MATCH($C880,'Phản ánh'!$A$6:$A$505,0)),IF(AND($I880="Công việc",OR($E880="Hoàn thành",$E880="Hoàn thành kỳ")),IF(INDEX('Kế hoạch'!$B$6:$B$305,$O880)="Đột xuất",INDEX('Kế hoạch'!$AY$6:$AY$305,$O880),IF(N($P880)=0,"",IF(INT($B880)&lt;$P880,$P880,IF($Q880&gt;0,$P880+ROUND((INT($B880)-$P880)/$Q880,0)*$Q880,IF($R880&gt;0,EDATE($P880,ROUND((DATEDIF($P880,INT($B880),"m")+(INT($B880)-EDATE($P880,DATEDIF($P880,INT($B880),"m")))/(EDATE($P880,DATEDIF($P880,INT($B880),"m")+1)-EDATE($P880,DATEDIF($P880,INT($B880),"m"))))/$R880,0)*$R880),$P880))))),"")))</f>
      </c>
      <c r="M880" s="223">
        <f>IF(OR($C880="",N($L880)=0,N($B880)=0),"",IF(IF(MOD($L880,1)=0,INT($B880),$B880)&lt;=$L880,"Đúng hạn","Trễ hạn"))</f>
      </c>
      <c r="N880" s="225">
        <f>IF($C880="","",ROW())</f>
      </c>
      <c r="O880" s="225">
        <f>IF($I880="Công việc",MATCH($C880,'Kế hoạch'!$A$6:$A$305,0),"")</f>
      </c>
      <c r="P880" s="234">
        <f>IF($O880="","",INDEX('Kế hoạch'!$I$6:$I$305,$O880))</f>
      </c>
      <c r="Q880" s="225">
        <f>IF($O880="","",INDEX('Kế hoạch'!$AJ$6:$AJ$305,$O880))</f>
      </c>
      <c r="R880" s="225">
        <f>IF($O880="","",INDEX('Kế hoạch'!$AK$6:$AK$305,$O880))</f>
      </c>
    </row>
    <row r="881">
      <c r="A881" s="223">
        <f>IF($C881="","",COUNTIF($C$6:$C881,"?*"))</f>
      </c>
      <c r="B881" s="217"/>
      <c r="C881" s="216"/>
      <c r="D881" s="240"/>
      <c r="E881" s="218"/>
      <c r="F881" s="218"/>
      <c r="G881" s="218"/>
      <c r="H881" s="219"/>
      <c r="I881" s="223">
        <f>IF($C881="","",IF(ISNUMBER(MATCH($C881,'Phản ánh'!$A$6:$A$505,0)),"Phản ánh",IF(ISNUMBER(MATCH($C881,'Kế hoạch'!$A$6:$A$305,0)),"Công việc","Mã chưa có")))</f>
      </c>
      <c r="J881" s="221">
        <f>IF($I881="Phản ánh",INDEX('Phản ánh'!$C$6:$C$505,MATCH($C881,'Phản ánh'!$A$6:$A$505,0)),IF($I881="Công việc",INDEX('Kế hoạch'!$C$6:$C$305,$O881),""))</f>
      </c>
      <c r="K881" s="221">
        <f>IF($I881="Phản ánh",INDEX('Phản ánh'!$K$6:$K$505,MATCH($C881,'Phản ánh'!$A$6:$A$505,0))&amp;"",IF($I881="Công việc",INDEX('Kế hoạch'!$N$6:$N$305,$O881)&amp;"",""))</f>
      </c>
      <c r="L881" s="220">
        <f>IF(OR($C881="",N($B881)=0),"",IF(AND($I881="Phản ánh",$E881="Đã xử lý"),INDEX('Phản ánh'!$U$6:$U$505,MATCH($C881,'Phản ánh'!$A$6:$A$505,0)),IF(AND($I881="Công việc",OR($E881="Hoàn thành",$E881="Hoàn thành kỳ")),IF(INDEX('Kế hoạch'!$B$6:$B$305,$O881)="Đột xuất",INDEX('Kế hoạch'!$AY$6:$AY$305,$O881),IF(N($P881)=0,"",IF(INT($B881)&lt;$P881,$P881,IF($Q881&gt;0,$P881+ROUND((INT($B881)-$P881)/$Q881,0)*$Q881,IF($R881&gt;0,EDATE($P881,ROUND((DATEDIF($P881,INT($B881),"m")+(INT($B881)-EDATE($P881,DATEDIF($P881,INT($B881),"m")))/(EDATE($P881,DATEDIF($P881,INT($B881),"m")+1)-EDATE($P881,DATEDIF($P881,INT($B881),"m"))))/$R881,0)*$R881),$P881))))),"")))</f>
      </c>
      <c r="M881" s="223">
        <f>IF(OR($C881="",N($L881)=0,N($B881)=0),"",IF(IF(MOD($L881,1)=0,INT($B881),$B881)&lt;=$L881,"Đúng hạn","Trễ hạn"))</f>
      </c>
      <c r="N881" s="225">
        <f>IF($C881="","",ROW())</f>
      </c>
      <c r="O881" s="225">
        <f>IF($I881="Công việc",MATCH($C881,'Kế hoạch'!$A$6:$A$305,0),"")</f>
      </c>
      <c r="P881" s="234">
        <f>IF($O881="","",INDEX('Kế hoạch'!$I$6:$I$305,$O881))</f>
      </c>
      <c r="Q881" s="225">
        <f>IF($O881="","",INDEX('Kế hoạch'!$AJ$6:$AJ$305,$O881))</f>
      </c>
      <c r="R881" s="225">
        <f>IF($O881="","",INDEX('Kế hoạch'!$AK$6:$AK$305,$O881))</f>
      </c>
    </row>
    <row r="882">
      <c r="A882" s="223">
        <f>IF($C882="","",COUNTIF($C$6:$C882,"?*"))</f>
      </c>
      <c r="B882" s="217"/>
      <c r="C882" s="216"/>
      <c r="D882" s="240"/>
      <c r="E882" s="218"/>
      <c r="F882" s="218"/>
      <c r="G882" s="218"/>
      <c r="H882" s="219"/>
      <c r="I882" s="223">
        <f>IF($C882="","",IF(ISNUMBER(MATCH($C882,'Phản ánh'!$A$6:$A$505,0)),"Phản ánh",IF(ISNUMBER(MATCH($C882,'Kế hoạch'!$A$6:$A$305,0)),"Công việc","Mã chưa có")))</f>
      </c>
      <c r="J882" s="221">
        <f>IF($I882="Phản ánh",INDEX('Phản ánh'!$C$6:$C$505,MATCH($C882,'Phản ánh'!$A$6:$A$505,0)),IF($I882="Công việc",INDEX('Kế hoạch'!$C$6:$C$305,$O882),""))</f>
      </c>
      <c r="K882" s="221">
        <f>IF($I882="Phản ánh",INDEX('Phản ánh'!$K$6:$K$505,MATCH($C882,'Phản ánh'!$A$6:$A$505,0))&amp;"",IF($I882="Công việc",INDEX('Kế hoạch'!$N$6:$N$305,$O882)&amp;"",""))</f>
      </c>
      <c r="L882" s="220">
        <f>IF(OR($C882="",N($B882)=0),"",IF(AND($I882="Phản ánh",$E882="Đã xử lý"),INDEX('Phản ánh'!$U$6:$U$505,MATCH($C882,'Phản ánh'!$A$6:$A$505,0)),IF(AND($I882="Công việc",OR($E882="Hoàn thành",$E882="Hoàn thành kỳ")),IF(INDEX('Kế hoạch'!$B$6:$B$305,$O882)="Đột xuất",INDEX('Kế hoạch'!$AY$6:$AY$305,$O882),IF(N($P882)=0,"",IF(INT($B882)&lt;$P882,$P882,IF($Q882&gt;0,$P882+ROUND((INT($B882)-$P882)/$Q882,0)*$Q882,IF($R882&gt;0,EDATE($P882,ROUND((DATEDIF($P882,INT($B882),"m")+(INT($B882)-EDATE($P882,DATEDIF($P882,INT($B882),"m")))/(EDATE($P882,DATEDIF($P882,INT($B882),"m")+1)-EDATE($P882,DATEDIF($P882,INT($B882),"m"))))/$R882,0)*$R882),$P882))))),"")))</f>
      </c>
      <c r="M882" s="223">
        <f>IF(OR($C882="",N($L882)=0,N($B882)=0),"",IF(IF(MOD($L882,1)=0,INT($B882),$B882)&lt;=$L882,"Đúng hạn","Trễ hạn"))</f>
      </c>
      <c r="N882" s="225">
        <f>IF($C882="","",ROW())</f>
      </c>
      <c r="O882" s="225">
        <f>IF($I882="Công việc",MATCH($C882,'Kế hoạch'!$A$6:$A$305,0),"")</f>
      </c>
      <c r="P882" s="234">
        <f>IF($O882="","",INDEX('Kế hoạch'!$I$6:$I$305,$O882))</f>
      </c>
      <c r="Q882" s="225">
        <f>IF($O882="","",INDEX('Kế hoạch'!$AJ$6:$AJ$305,$O882))</f>
      </c>
      <c r="R882" s="225">
        <f>IF($O882="","",INDEX('Kế hoạch'!$AK$6:$AK$305,$O882))</f>
      </c>
    </row>
    <row r="883">
      <c r="A883" s="223">
        <f>IF($C883="","",COUNTIF($C$6:$C883,"?*"))</f>
      </c>
      <c r="B883" s="217"/>
      <c r="C883" s="216"/>
      <c r="D883" s="240"/>
      <c r="E883" s="218"/>
      <c r="F883" s="218"/>
      <c r="G883" s="218"/>
      <c r="H883" s="219"/>
      <c r="I883" s="223">
        <f>IF($C883="","",IF(ISNUMBER(MATCH($C883,'Phản ánh'!$A$6:$A$505,0)),"Phản ánh",IF(ISNUMBER(MATCH($C883,'Kế hoạch'!$A$6:$A$305,0)),"Công việc","Mã chưa có")))</f>
      </c>
      <c r="J883" s="221">
        <f>IF($I883="Phản ánh",INDEX('Phản ánh'!$C$6:$C$505,MATCH($C883,'Phản ánh'!$A$6:$A$505,0)),IF($I883="Công việc",INDEX('Kế hoạch'!$C$6:$C$305,$O883),""))</f>
      </c>
      <c r="K883" s="221">
        <f>IF($I883="Phản ánh",INDEX('Phản ánh'!$K$6:$K$505,MATCH($C883,'Phản ánh'!$A$6:$A$505,0))&amp;"",IF($I883="Công việc",INDEX('Kế hoạch'!$N$6:$N$305,$O883)&amp;"",""))</f>
      </c>
      <c r="L883" s="220">
        <f>IF(OR($C883="",N($B883)=0),"",IF(AND($I883="Phản ánh",$E883="Đã xử lý"),INDEX('Phản ánh'!$U$6:$U$505,MATCH($C883,'Phản ánh'!$A$6:$A$505,0)),IF(AND($I883="Công việc",OR($E883="Hoàn thành",$E883="Hoàn thành kỳ")),IF(INDEX('Kế hoạch'!$B$6:$B$305,$O883)="Đột xuất",INDEX('Kế hoạch'!$AY$6:$AY$305,$O883),IF(N($P883)=0,"",IF(INT($B883)&lt;$P883,$P883,IF($Q883&gt;0,$P883+ROUND((INT($B883)-$P883)/$Q883,0)*$Q883,IF($R883&gt;0,EDATE($P883,ROUND((DATEDIF($P883,INT($B883),"m")+(INT($B883)-EDATE($P883,DATEDIF($P883,INT($B883),"m")))/(EDATE($P883,DATEDIF($P883,INT($B883),"m")+1)-EDATE($P883,DATEDIF($P883,INT($B883),"m"))))/$R883,0)*$R883),$P883))))),"")))</f>
      </c>
      <c r="M883" s="223">
        <f>IF(OR($C883="",N($L883)=0,N($B883)=0),"",IF(IF(MOD($L883,1)=0,INT($B883),$B883)&lt;=$L883,"Đúng hạn","Trễ hạn"))</f>
      </c>
      <c r="N883" s="225">
        <f>IF($C883="","",ROW())</f>
      </c>
      <c r="O883" s="225">
        <f>IF($I883="Công việc",MATCH($C883,'Kế hoạch'!$A$6:$A$305,0),"")</f>
      </c>
      <c r="P883" s="234">
        <f>IF($O883="","",INDEX('Kế hoạch'!$I$6:$I$305,$O883))</f>
      </c>
      <c r="Q883" s="225">
        <f>IF($O883="","",INDEX('Kế hoạch'!$AJ$6:$AJ$305,$O883))</f>
      </c>
      <c r="R883" s="225">
        <f>IF($O883="","",INDEX('Kế hoạch'!$AK$6:$AK$305,$O883))</f>
      </c>
    </row>
    <row r="884">
      <c r="A884" s="223">
        <f>IF($C884="","",COUNTIF($C$6:$C884,"?*"))</f>
      </c>
      <c r="B884" s="217"/>
      <c r="C884" s="216"/>
      <c r="D884" s="240"/>
      <c r="E884" s="218"/>
      <c r="F884" s="218"/>
      <c r="G884" s="218"/>
      <c r="H884" s="219"/>
      <c r="I884" s="223">
        <f>IF($C884="","",IF(ISNUMBER(MATCH($C884,'Phản ánh'!$A$6:$A$505,0)),"Phản ánh",IF(ISNUMBER(MATCH($C884,'Kế hoạch'!$A$6:$A$305,0)),"Công việc","Mã chưa có")))</f>
      </c>
      <c r="J884" s="221">
        <f>IF($I884="Phản ánh",INDEX('Phản ánh'!$C$6:$C$505,MATCH($C884,'Phản ánh'!$A$6:$A$505,0)),IF($I884="Công việc",INDEX('Kế hoạch'!$C$6:$C$305,$O884),""))</f>
      </c>
      <c r="K884" s="221">
        <f>IF($I884="Phản ánh",INDEX('Phản ánh'!$K$6:$K$505,MATCH($C884,'Phản ánh'!$A$6:$A$505,0))&amp;"",IF($I884="Công việc",INDEX('Kế hoạch'!$N$6:$N$305,$O884)&amp;"",""))</f>
      </c>
      <c r="L884" s="220">
        <f>IF(OR($C884="",N($B884)=0),"",IF(AND($I884="Phản ánh",$E884="Đã xử lý"),INDEX('Phản ánh'!$U$6:$U$505,MATCH($C884,'Phản ánh'!$A$6:$A$505,0)),IF(AND($I884="Công việc",OR($E884="Hoàn thành",$E884="Hoàn thành kỳ")),IF(INDEX('Kế hoạch'!$B$6:$B$305,$O884)="Đột xuất",INDEX('Kế hoạch'!$AY$6:$AY$305,$O884),IF(N($P884)=0,"",IF(INT($B884)&lt;$P884,$P884,IF($Q884&gt;0,$P884+ROUND((INT($B884)-$P884)/$Q884,0)*$Q884,IF($R884&gt;0,EDATE($P884,ROUND((DATEDIF($P884,INT($B884),"m")+(INT($B884)-EDATE($P884,DATEDIF($P884,INT($B884),"m")))/(EDATE($P884,DATEDIF($P884,INT($B884),"m")+1)-EDATE($P884,DATEDIF($P884,INT($B884),"m"))))/$R884,0)*$R884),$P884))))),"")))</f>
      </c>
      <c r="M884" s="223">
        <f>IF(OR($C884="",N($L884)=0,N($B884)=0),"",IF(IF(MOD($L884,1)=0,INT($B884),$B884)&lt;=$L884,"Đúng hạn","Trễ hạn"))</f>
      </c>
      <c r="N884" s="225">
        <f>IF($C884="","",ROW())</f>
      </c>
      <c r="O884" s="225">
        <f>IF($I884="Công việc",MATCH($C884,'Kế hoạch'!$A$6:$A$305,0),"")</f>
      </c>
      <c r="P884" s="234">
        <f>IF($O884="","",INDEX('Kế hoạch'!$I$6:$I$305,$O884))</f>
      </c>
      <c r="Q884" s="225">
        <f>IF($O884="","",INDEX('Kế hoạch'!$AJ$6:$AJ$305,$O884))</f>
      </c>
      <c r="R884" s="225">
        <f>IF($O884="","",INDEX('Kế hoạch'!$AK$6:$AK$305,$O884))</f>
      </c>
    </row>
    <row r="885">
      <c r="A885" s="223">
        <f>IF($C885="","",COUNTIF($C$6:$C885,"?*"))</f>
      </c>
      <c r="B885" s="217"/>
      <c r="C885" s="216"/>
      <c r="D885" s="240"/>
      <c r="E885" s="218"/>
      <c r="F885" s="218"/>
      <c r="G885" s="218"/>
      <c r="H885" s="219"/>
      <c r="I885" s="223">
        <f>IF($C885="","",IF(ISNUMBER(MATCH($C885,'Phản ánh'!$A$6:$A$505,0)),"Phản ánh",IF(ISNUMBER(MATCH($C885,'Kế hoạch'!$A$6:$A$305,0)),"Công việc","Mã chưa có")))</f>
      </c>
      <c r="J885" s="221">
        <f>IF($I885="Phản ánh",INDEX('Phản ánh'!$C$6:$C$505,MATCH($C885,'Phản ánh'!$A$6:$A$505,0)),IF($I885="Công việc",INDEX('Kế hoạch'!$C$6:$C$305,$O885),""))</f>
      </c>
      <c r="K885" s="221">
        <f>IF($I885="Phản ánh",INDEX('Phản ánh'!$K$6:$K$505,MATCH($C885,'Phản ánh'!$A$6:$A$505,0))&amp;"",IF($I885="Công việc",INDEX('Kế hoạch'!$N$6:$N$305,$O885)&amp;"",""))</f>
      </c>
      <c r="L885" s="220">
        <f>IF(OR($C885="",N($B885)=0),"",IF(AND($I885="Phản ánh",$E885="Đã xử lý"),INDEX('Phản ánh'!$U$6:$U$505,MATCH($C885,'Phản ánh'!$A$6:$A$505,0)),IF(AND($I885="Công việc",OR($E885="Hoàn thành",$E885="Hoàn thành kỳ")),IF(INDEX('Kế hoạch'!$B$6:$B$305,$O885)="Đột xuất",INDEX('Kế hoạch'!$AY$6:$AY$305,$O885),IF(N($P885)=0,"",IF(INT($B885)&lt;$P885,$P885,IF($Q885&gt;0,$P885+ROUND((INT($B885)-$P885)/$Q885,0)*$Q885,IF($R885&gt;0,EDATE($P885,ROUND((DATEDIF($P885,INT($B885),"m")+(INT($B885)-EDATE($P885,DATEDIF($P885,INT($B885),"m")))/(EDATE($P885,DATEDIF($P885,INT($B885),"m")+1)-EDATE($P885,DATEDIF($P885,INT($B885),"m"))))/$R885,0)*$R885),$P885))))),"")))</f>
      </c>
      <c r="M885" s="223">
        <f>IF(OR($C885="",N($L885)=0,N($B885)=0),"",IF(IF(MOD($L885,1)=0,INT($B885),$B885)&lt;=$L885,"Đúng hạn","Trễ hạn"))</f>
      </c>
      <c r="N885" s="225">
        <f>IF($C885="","",ROW())</f>
      </c>
      <c r="O885" s="225">
        <f>IF($I885="Công việc",MATCH($C885,'Kế hoạch'!$A$6:$A$305,0),"")</f>
      </c>
      <c r="P885" s="234">
        <f>IF($O885="","",INDEX('Kế hoạch'!$I$6:$I$305,$O885))</f>
      </c>
      <c r="Q885" s="225">
        <f>IF($O885="","",INDEX('Kế hoạch'!$AJ$6:$AJ$305,$O885))</f>
      </c>
      <c r="R885" s="225">
        <f>IF($O885="","",INDEX('Kế hoạch'!$AK$6:$AK$305,$O885))</f>
      </c>
    </row>
    <row r="886">
      <c r="A886" s="223">
        <f>IF($C886="","",COUNTIF($C$6:$C886,"?*"))</f>
      </c>
      <c r="B886" s="217"/>
      <c r="C886" s="216"/>
      <c r="D886" s="240"/>
      <c r="E886" s="218"/>
      <c r="F886" s="218"/>
      <c r="G886" s="218"/>
      <c r="H886" s="219"/>
      <c r="I886" s="223">
        <f>IF($C886="","",IF(ISNUMBER(MATCH($C886,'Phản ánh'!$A$6:$A$505,0)),"Phản ánh",IF(ISNUMBER(MATCH($C886,'Kế hoạch'!$A$6:$A$305,0)),"Công việc","Mã chưa có")))</f>
      </c>
      <c r="J886" s="221">
        <f>IF($I886="Phản ánh",INDEX('Phản ánh'!$C$6:$C$505,MATCH($C886,'Phản ánh'!$A$6:$A$505,0)),IF($I886="Công việc",INDEX('Kế hoạch'!$C$6:$C$305,$O886),""))</f>
      </c>
      <c r="K886" s="221">
        <f>IF($I886="Phản ánh",INDEX('Phản ánh'!$K$6:$K$505,MATCH($C886,'Phản ánh'!$A$6:$A$505,0))&amp;"",IF($I886="Công việc",INDEX('Kế hoạch'!$N$6:$N$305,$O886)&amp;"",""))</f>
      </c>
      <c r="L886" s="220">
        <f>IF(OR($C886="",N($B886)=0),"",IF(AND($I886="Phản ánh",$E886="Đã xử lý"),INDEX('Phản ánh'!$U$6:$U$505,MATCH($C886,'Phản ánh'!$A$6:$A$505,0)),IF(AND($I886="Công việc",OR($E886="Hoàn thành",$E886="Hoàn thành kỳ")),IF(INDEX('Kế hoạch'!$B$6:$B$305,$O886)="Đột xuất",INDEX('Kế hoạch'!$AY$6:$AY$305,$O886),IF(N($P886)=0,"",IF(INT($B886)&lt;$P886,$P886,IF($Q886&gt;0,$P886+ROUND((INT($B886)-$P886)/$Q886,0)*$Q886,IF($R886&gt;0,EDATE($P886,ROUND((DATEDIF($P886,INT($B886),"m")+(INT($B886)-EDATE($P886,DATEDIF($P886,INT($B886),"m")))/(EDATE($P886,DATEDIF($P886,INT($B886),"m")+1)-EDATE($P886,DATEDIF($P886,INT($B886),"m"))))/$R886,0)*$R886),$P886))))),"")))</f>
      </c>
      <c r="M886" s="223">
        <f>IF(OR($C886="",N($L886)=0,N($B886)=0),"",IF(IF(MOD($L886,1)=0,INT($B886),$B886)&lt;=$L886,"Đúng hạn","Trễ hạn"))</f>
      </c>
      <c r="N886" s="225">
        <f>IF($C886="","",ROW())</f>
      </c>
      <c r="O886" s="225">
        <f>IF($I886="Công việc",MATCH($C886,'Kế hoạch'!$A$6:$A$305,0),"")</f>
      </c>
      <c r="P886" s="234">
        <f>IF($O886="","",INDEX('Kế hoạch'!$I$6:$I$305,$O886))</f>
      </c>
      <c r="Q886" s="225">
        <f>IF($O886="","",INDEX('Kế hoạch'!$AJ$6:$AJ$305,$O886))</f>
      </c>
      <c r="R886" s="225">
        <f>IF($O886="","",INDEX('Kế hoạch'!$AK$6:$AK$305,$O886))</f>
      </c>
    </row>
    <row r="887">
      <c r="A887" s="223">
        <f>IF($C887="","",COUNTIF($C$6:$C887,"?*"))</f>
      </c>
      <c r="B887" s="217"/>
      <c r="C887" s="216"/>
      <c r="D887" s="240"/>
      <c r="E887" s="218"/>
      <c r="F887" s="218"/>
      <c r="G887" s="218"/>
      <c r="H887" s="219"/>
      <c r="I887" s="223">
        <f>IF($C887="","",IF(ISNUMBER(MATCH($C887,'Phản ánh'!$A$6:$A$505,0)),"Phản ánh",IF(ISNUMBER(MATCH($C887,'Kế hoạch'!$A$6:$A$305,0)),"Công việc","Mã chưa có")))</f>
      </c>
      <c r="J887" s="221">
        <f>IF($I887="Phản ánh",INDEX('Phản ánh'!$C$6:$C$505,MATCH($C887,'Phản ánh'!$A$6:$A$505,0)),IF($I887="Công việc",INDEX('Kế hoạch'!$C$6:$C$305,$O887),""))</f>
      </c>
      <c r="K887" s="221">
        <f>IF($I887="Phản ánh",INDEX('Phản ánh'!$K$6:$K$505,MATCH($C887,'Phản ánh'!$A$6:$A$505,0))&amp;"",IF($I887="Công việc",INDEX('Kế hoạch'!$N$6:$N$305,$O887)&amp;"",""))</f>
      </c>
      <c r="L887" s="220">
        <f>IF(OR($C887="",N($B887)=0),"",IF(AND($I887="Phản ánh",$E887="Đã xử lý"),INDEX('Phản ánh'!$U$6:$U$505,MATCH($C887,'Phản ánh'!$A$6:$A$505,0)),IF(AND($I887="Công việc",OR($E887="Hoàn thành",$E887="Hoàn thành kỳ")),IF(INDEX('Kế hoạch'!$B$6:$B$305,$O887)="Đột xuất",INDEX('Kế hoạch'!$AY$6:$AY$305,$O887),IF(N($P887)=0,"",IF(INT($B887)&lt;$P887,$P887,IF($Q887&gt;0,$P887+ROUND((INT($B887)-$P887)/$Q887,0)*$Q887,IF($R887&gt;0,EDATE($P887,ROUND((DATEDIF($P887,INT($B887),"m")+(INT($B887)-EDATE($P887,DATEDIF($P887,INT($B887),"m")))/(EDATE($P887,DATEDIF($P887,INT($B887),"m")+1)-EDATE($P887,DATEDIF($P887,INT($B887),"m"))))/$R887,0)*$R887),$P887))))),"")))</f>
      </c>
      <c r="M887" s="223">
        <f>IF(OR($C887="",N($L887)=0,N($B887)=0),"",IF(IF(MOD($L887,1)=0,INT($B887),$B887)&lt;=$L887,"Đúng hạn","Trễ hạn"))</f>
      </c>
      <c r="N887" s="225">
        <f>IF($C887="","",ROW())</f>
      </c>
      <c r="O887" s="225">
        <f>IF($I887="Công việc",MATCH($C887,'Kế hoạch'!$A$6:$A$305,0),"")</f>
      </c>
      <c r="P887" s="234">
        <f>IF($O887="","",INDEX('Kế hoạch'!$I$6:$I$305,$O887))</f>
      </c>
      <c r="Q887" s="225">
        <f>IF($O887="","",INDEX('Kế hoạch'!$AJ$6:$AJ$305,$O887))</f>
      </c>
      <c r="R887" s="225">
        <f>IF($O887="","",INDEX('Kế hoạch'!$AK$6:$AK$305,$O887))</f>
      </c>
    </row>
    <row r="888">
      <c r="A888" s="223">
        <f>IF($C888="","",COUNTIF($C$6:$C888,"?*"))</f>
      </c>
      <c r="B888" s="217"/>
      <c r="C888" s="216"/>
      <c r="D888" s="240"/>
      <c r="E888" s="218"/>
      <c r="F888" s="218"/>
      <c r="G888" s="218"/>
      <c r="H888" s="219"/>
      <c r="I888" s="223">
        <f>IF($C888="","",IF(ISNUMBER(MATCH($C888,'Phản ánh'!$A$6:$A$505,0)),"Phản ánh",IF(ISNUMBER(MATCH($C888,'Kế hoạch'!$A$6:$A$305,0)),"Công việc","Mã chưa có")))</f>
      </c>
      <c r="J888" s="221">
        <f>IF($I888="Phản ánh",INDEX('Phản ánh'!$C$6:$C$505,MATCH($C888,'Phản ánh'!$A$6:$A$505,0)),IF($I888="Công việc",INDEX('Kế hoạch'!$C$6:$C$305,$O888),""))</f>
      </c>
      <c r="K888" s="221">
        <f>IF($I888="Phản ánh",INDEX('Phản ánh'!$K$6:$K$505,MATCH($C888,'Phản ánh'!$A$6:$A$505,0))&amp;"",IF($I888="Công việc",INDEX('Kế hoạch'!$N$6:$N$305,$O888)&amp;"",""))</f>
      </c>
      <c r="L888" s="220">
        <f>IF(OR($C888="",N($B888)=0),"",IF(AND($I888="Phản ánh",$E888="Đã xử lý"),INDEX('Phản ánh'!$U$6:$U$505,MATCH($C888,'Phản ánh'!$A$6:$A$505,0)),IF(AND($I888="Công việc",OR($E888="Hoàn thành",$E888="Hoàn thành kỳ")),IF(INDEX('Kế hoạch'!$B$6:$B$305,$O888)="Đột xuất",INDEX('Kế hoạch'!$AY$6:$AY$305,$O888),IF(N($P888)=0,"",IF(INT($B888)&lt;$P888,$P888,IF($Q888&gt;0,$P888+ROUND((INT($B888)-$P888)/$Q888,0)*$Q888,IF($R888&gt;0,EDATE($P888,ROUND((DATEDIF($P888,INT($B888),"m")+(INT($B888)-EDATE($P888,DATEDIF($P888,INT($B888),"m")))/(EDATE($P888,DATEDIF($P888,INT($B888),"m")+1)-EDATE($P888,DATEDIF($P888,INT($B888),"m"))))/$R888,0)*$R888),$P888))))),"")))</f>
      </c>
      <c r="M888" s="223">
        <f>IF(OR($C888="",N($L888)=0,N($B888)=0),"",IF(IF(MOD($L888,1)=0,INT($B888),$B888)&lt;=$L888,"Đúng hạn","Trễ hạn"))</f>
      </c>
      <c r="N888" s="225">
        <f>IF($C888="","",ROW())</f>
      </c>
      <c r="O888" s="225">
        <f>IF($I888="Công việc",MATCH($C888,'Kế hoạch'!$A$6:$A$305,0),"")</f>
      </c>
      <c r="P888" s="234">
        <f>IF($O888="","",INDEX('Kế hoạch'!$I$6:$I$305,$O888))</f>
      </c>
      <c r="Q888" s="225">
        <f>IF($O888="","",INDEX('Kế hoạch'!$AJ$6:$AJ$305,$O888))</f>
      </c>
      <c r="R888" s="225">
        <f>IF($O888="","",INDEX('Kế hoạch'!$AK$6:$AK$305,$O888))</f>
      </c>
    </row>
    <row r="889">
      <c r="A889" s="223">
        <f>IF($C889="","",COUNTIF($C$6:$C889,"?*"))</f>
      </c>
      <c r="B889" s="217"/>
      <c r="C889" s="216"/>
      <c r="D889" s="240"/>
      <c r="E889" s="218"/>
      <c r="F889" s="218"/>
      <c r="G889" s="218"/>
      <c r="H889" s="219"/>
      <c r="I889" s="223">
        <f>IF($C889="","",IF(ISNUMBER(MATCH($C889,'Phản ánh'!$A$6:$A$505,0)),"Phản ánh",IF(ISNUMBER(MATCH($C889,'Kế hoạch'!$A$6:$A$305,0)),"Công việc","Mã chưa có")))</f>
      </c>
      <c r="J889" s="221">
        <f>IF($I889="Phản ánh",INDEX('Phản ánh'!$C$6:$C$505,MATCH($C889,'Phản ánh'!$A$6:$A$505,0)),IF($I889="Công việc",INDEX('Kế hoạch'!$C$6:$C$305,$O889),""))</f>
      </c>
      <c r="K889" s="221">
        <f>IF($I889="Phản ánh",INDEX('Phản ánh'!$K$6:$K$505,MATCH($C889,'Phản ánh'!$A$6:$A$505,0))&amp;"",IF($I889="Công việc",INDEX('Kế hoạch'!$N$6:$N$305,$O889)&amp;"",""))</f>
      </c>
      <c r="L889" s="220">
        <f>IF(OR($C889="",N($B889)=0),"",IF(AND($I889="Phản ánh",$E889="Đã xử lý"),INDEX('Phản ánh'!$U$6:$U$505,MATCH($C889,'Phản ánh'!$A$6:$A$505,0)),IF(AND($I889="Công việc",OR($E889="Hoàn thành",$E889="Hoàn thành kỳ")),IF(INDEX('Kế hoạch'!$B$6:$B$305,$O889)="Đột xuất",INDEX('Kế hoạch'!$AY$6:$AY$305,$O889),IF(N($P889)=0,"",IF(INT($B889)&lt;$P889,$P889,IF($Q889&gt;0,$P889+ROUND((INT($B889)-$P889)/$Q889,0)*$Q889,IF($R889&gt;0,EDATE($P889,ROUND((DATEDIF($P889,INT($B889),"m")+(INT($B889)-EDATE($P889,DATEDIF($P889,INT($B889),"m")))/(EDATE($P889,DATEDIF($P889,INT($B889),"m")+1)-EDATE($P889,DATEDIF($P889,INT($B889),"m"))))/$R889,0)*$R889),$P889))))),"")))</f>
      </c>
      <c r="M889" s="223">
        <f>IF(OR($C889="",N($L889)=0,N($B889)=0),"",IF(IF(MOD($L889,1)=0,INT($B889),$B889)&lt;=$L889,"Đúng hạn","Trễ hạn"))</f>
      </c>
      <c r="N889" s="225">
        <f>IF($C889="","",ROW())</f>
      </c>
      <c r="O889" s="225">
        <f>IF($I889="Công việc",MATCH($C889,'Kế hoạch'!$A$6:$A$305,0),"")</f>
      </c>
      <c r="P889" s="234">
        <f>IF($O889="","",INDEX('Kế hoạch'!$I$6:$I$305,$O889))</f>
      </c>
      <c r="Q889" s="225">
        <f>IF($O889="","",INDEX('Kế hoạch'!$AJ$6:$AJ$305,$O889))</f>
      </c>
      <c r="R889" s="225">
        <f>IF($O889="","",INDEX('Kế hoạch'!$AK$6:$AK$305,$O889))</f>
      </c>
    </row>
    <row r="890">
      <c r="A890" s="223">
        <f>IF($C890="","",COUNTIF($C$6:$C890,"?*"))</f>
      </c>
      <c r="B890" s="217"/>
      <c r="C890" s="216"/>
      <c r="D890" s="240"/>
      <c r="E890" s="218"/>
      <c r="F890" s="218"/>
      <c r="G890" s="218"/>
      <c r="H890" s="219"/>
      <c r="I890" s="223">
        <f>IF($C890="","",IF(ISNUMBER(MATCH($C890,'Phản ánh'!$A$6:$A$505,0)),"Phản ánh",IF(ISNUMBER(MATCH($C890,'Kế hoạch'!$A$6:$A$305,0)),"Công việc","Mã chưa có")))</f>
      </c>
      <c r="J890" s="221">
        <f>IF($I890="Phản ánh",INDEX('Phản ánh'!$C$6:$C$505,MATCH($C890,'Phản ánh'!$A$6:$A$505,0)),IF($I890="Công việc",INDEX('Kế hoạch'!$C$6:$C$305,$O890),""))</f>
      </c>
      <c r="K890" s="221">
        <f>IF($I890="Phản ánh",INDEX('Phản ánh'!$K$6:$K$505,MATCH($C890,'Phản ánh'!$A$6:$A$505,0))&amp;"",IF($I890="Công việc",INDEX('Kế hoạch'!$N$6:$N$305,$O890)&amp;"",""))</f>
      </c>
      <c r="L890" s="220">
        <f>IF(OR($C890="",N($B890)=0),"",IF(AND($I890="Phản ánh",$E890="Đã xử lý"),INDEX('Phản ánh'!$U$6:$U$505,MATCH($C890,'Phản ánh'!$A$6:$A$505,0)),IF(AND($I890="Công việc",OR($E890="Hoàn thành",$E890="Hoàn thành kỳ")),IF(INDEX('Kế hoạch'!$B$6:$B$305,$O890)="Đột xuất",INDEX('Kế hoạch'!$AY$6:$AY$305,$O890),IF(N($P890)=0,"",IF(INT($B890)&lt;$P890,$P890,IF($Q890&gt;0,$P890+ROUND((INT($B890)-$P890)/$Q890,0)*$Q890,IF($R890&gt;0,EDATE($P890,ROUND((DATEDIF($P890,INT($B890),"m")+(INT($B890)-EDATE($P890,DATEDIF($P890,INT($B890),"m")))/(EDATE($P890,DATEDIF($P890,INT($B890),"m")+1)-EDATE($P890,DATEDIF($P890,INT($B890),"m"))))/$R890,0)*$R890),$P890))))),"")))</f>
      </c>
      <c r="M890" s="223">
        <f>IF(OR($C890="",N($L890)=0,N($B890)=0),"",IF(IF(MOD($L890,1)=0,INT($B890),$B890)&lt;=$L890,"Đúng hạn","Trễ hạn"))</f>
      </c>
      <c r="N890" s="225">
        <f>IF($C890="","",ROW())</f>
      </c>
      <c r="O890" s="225">
        <f>IF($I890="Công việc",MATCH($C890,'Kế hoạch'!$A$6:$A$305,0),"")</f>
      </c>
      <c r="P890" s="234">
        <f>IF($O890="","",INDEX('Kế hoạch'!$I$6:$I$305,$O890))</f>
      </c>
      <c r="Q890" s="225">
        <f>IF($O890="","",INDEX('Kế hoạch'!$AJ$6:$AJ$305,$O890))</f>
      </c>
      <c r="R890" s="225">
        <f>IF($O890="","",INDEX('Kế hoạch'!$AK$6:$AK$305,$O890))</f>
      </c>
    </row>
    <row r="891">
      <c r="A891" s="223">
        <f>IF($C891="","",COUNTIF($C$6:$C891,"?*"))</f>
      </c>
      <c r="B891" s="217"/>
      <c r="C891" s="216"/>
      <c r="D891" s="240"/>
      <c r="E891" s="218"/>
      <c r="F891" s="218"/>
      <c r="G891" s="218"/>
      <c r="H891" s="219"/>
      <c r="I891" s="223">
        <f>IF($C891="","",IF(ISNUMBER(MATCH($C891,'Phản ánh'!$A$6:$A$505,0)),"Phản ánh",IF(ISNUMBER(MATCH($C891,'Kế hoạch'!$A$6:$A$305,0)),"Công việc","Mã chưa có")))</f>
      </c>
      <c r="J891" s="221">
        <f>IF($I891="Phản ánh",INDEX('Phản ánh'!$C$6:$C$505,MATCH($C891,'Phản ánh'!$A$6:$A$505,0)),IF($I891="Công việc",INDEX('Kế hoạch'!$C$6:$C$305,$O891),""))</f>
      </c>
      <c r="K891" s="221">
        <f>IF($I891="Phản ánh",INDEX('Phản ánh'!$K$6:$K$505,MATCH($C891,'Phản ánh'!$A$6:$A$505,0))&amp;"",IF($I891="Công việc",INDEX('Kế hoạch'!$N$6:$N$305,$O891)&amp;"",""))</f>
      </c>
      <c r="L891" s="220">
        <f>IF(OR($C891="",N($B891)=0),"",IF(AND($I891="Phản ánh",$E891="Đã xử lý"),INDEX('Phản ánh'!$U$6:$U$505,MATCH($C891,'Phản ánh'!$A$6:$A$505,0)),IF(AND($I891="Công việc",OR($E891="Hoàn thành",$E891="Hoàn thành kỳ")),IF(INDEX('Kế hoạch'!$B$6:$B$305,$O891)="Đột xuất",INDEX('Kế hoạch'!$AY$6:$AY$305,$O891),IF(N($P891)=0,"",IF(INT($B891)&lt;$P891,$P891,IF($Q891&gt;0,$P891+ROUND((INT($B891)-$P891)/$Q891,0)*$Q891,IF($R891&gt;0,EDATE($P891,ROUND((DATEDIF($P891,INT($B891),"m")+(INT($B891)-EDATE($P891,DATEDIF($P891,INT($B891),"m")))/(EDATE($P891,DATEDIF($P891,INT($B891),"m")+1)-EDATE($P891,DATEDIF($P891,INT($B891),"m"))))/$R891,0)*$R891),$P891))))),"")))</f>
      </c>
      <c r="M891" s="223">
        <f>IF(OR($C891="",N($L891)=0,N($B891)=0),"",IF(IF(MOD($L891,1)=0,INT($B891),$B891)&lt;=$L891,"Đúng hạn","Trễ hạn"))</f>
      </c>
      <c r="N891" s="225">
        <f>IF($C891="","",ROW())</f>
      </c>
      <c r="O891" s="225">
        <f>IF($I891="Công việc",MATCH($C891,'Kế hoạch'!$A$6:$A$305,0),"")</f>
      </c>
      <c r="P891" s="234">
        <f>IF($O891="","",INDEX('Kế hoạch'!$I$6:$I$305,$O891))</f>
      </c>
      <c r="Q891" s="225">
        <f>IF($O891="","",INDEX('Kế hoạch'!$AJ$6:$AJ$305,$O891))</f>
      </c>
      <c r="R891" s="225">
        <f>IF($O891="","",INDEX('Kế hoạch'!$AK$6:$AK$305,$O891))</f>
      </c>
    </row>
    <row r="892">
      <c r="A892" s="223">
        <f>IF($C892="","",COUNTIF($C$6:$C892,"?*"))</f>
      </c>
      <c r="B892" s="217"/>
      <c r="C892" s="216"/>
      <c r="D892" s="240"/>
      <c r="E892" s="218"/>
      <c r="F892" s="218"/>
      <c r="G892" s="218"/>
      <c r="H892" s="219"/>
      <c r="I892" s="223">
        <f>IF($C892="","",IF(ISNUMBER(MATCH($C892,'Phản ánh'!$A$6:$A$505,0)),"Phản ánh",IF(ISNUMBER(MATCH($C892,'Kế hoạch'!$A$6:$A$305,0)),"Công việc","Mã chưa có")))</f>
      </c>
      <c r="J892" s="221">
        <f>IF($I892="Phản ánh",INDEX('Phản ánh'!$C$6:$C$505,MATCH($C892,'Phản ánh'!$A$6:$A$505,0)),IF($I892="Công việc",INDEX('Kế hoạch'!$C$6:$C$305,$O892),""))</f>
      </c>
      <c r="K892" s="221">
        <f>IF($I892="Phản ánh",INDEX('Phản ánh'!$K$6:$K$505,MATCH($C892,'Phản ánh'!$A$6:$A$505,0))&amp;"",IF($I892="Công việc",INDEX('Kế hoạch'!$N$6:$N$305,$O892)&amp;"",""))</f>
      </c>
      <c r="L892" s="220">
        <f>IF(OR($C892="",N($B892)=0),"",IF(AND($I892="Phản ánh",$E892="Đã xử lý"),INDEX('Phản ánh'!$U$6:$U$505,MATCH($C892,'Phản ánh'!$A$6:$A$505,0)),IF(AND($I892="Công việc",OR($E892="Hoàn thành",$E892="Hoàn thành kỳ")),IF(INDEX('Kế hoạch'!$B$6:$B$305,$O892)="Đột xuất",INDEX('Kế hoạch'!$AY$6:$AY$305,$O892),IF(N($P892)=0,"",IF(INT($B892)&lt;$P892,$P892,IF($Q892&gt;0,$P892+ROUND((INT($B892)-$P892)/$Q892,0)*$Q892,IF($R892&gt;0,EDATE($P892,ROUND((DATEDIF($P892,INT($B892),"m")+(INT($B892)-EDATE($P892,DATEDIF($P892,INT($B892),"m")))/(EDATE($P892,DATEDIF($P892,INT($B892),"m")+1)-EDATE($P892,DATEDIF($P892,INT($B892),"m"))))/$R892,0)*$R892),$P892))))),"")))</f>
      </c>
      <c r="M892" s="223">
        <f>IF(OR($C892="",N($L892)=0,N($B892)=0),"",IF(IF(MOD($L892,1)=0,INT($B892),$B892)&lt;=$L892,"Đúng hạn","Trễ hạn"))</f>
      </c>
      <c r="N892" s="225">
        <f>IF($C892="","",ROW())</f>
      </c>
      <c r="O892" s="225">
        <f>IF($I892="Công việc",MATCH($C892,'Kế hoạch'!$A$6:$A$305,0),"")</f>
      </c>
      <c r="P892" s="234">
        <f>IF($O892="","",INDEX('Kế hoạch'!$I$6:$I$305,$O892))</f>
      </c>
      <c r="Q892" s="225">
        <f>IF($O892="","",INDEX('Kế hoạch'!$AJ$6:$AJ$305,$O892))</f>
      </c>
      <c r="R892" s="225">
        <f>IF($O892="","",INDEX('Kế hoạch'!$AK$6:$AK$305,$O892))</f>
      </c>
    </row>
    <row r="893">
      <c r="A893" s="223">
        <f>IF($C893="","",COUNTIF($C$6:$C893,"?*"))</f>
      </c>
      <c r="B893" s="217"/>
      <c r="C893" s="216"/>
      <c r="D893" s="240"/>
      <c r="E893" s="218"/>
      <c r="F893" s="218"/>
      <c r="G893" s="218"/>
      <c r="H893" s="219"/>
      <c r="I893" s="223">
        <f>IF($C893="","",IF(ISNUMBER(MATCH($C893,'Phản ánh'!$A$6:$A$505,0)),"Phản ánh",IF(ISNUMBER(MATCH($C893,'Kế hoạch'!$A$6:$A$305,0)),"Công việc","Mã chưa có")))</f>
      </c>
      <c r="J893" s="221">
        <f>IF($I893="Phản ánh",INDEX('Phản ánh'!$C$6:$C$505,MATCH($C893,'Phản ánh'!$A$6:$A$505,0)),IF($I893="Công việc",INDEX('Kế hoạch'!$C$6:$C$305,$O893),""))</f>
      </c>
      <c r="K893" s="221">
        <f>IF($I893="Phản ánh",INDEX('Phản ánh'!$K$6:$K$505,MATCH($C893,'Phản ánh'!$A$6:$A$505,0))&amp;"",IF($I893="Công việc",INDEX('Kế hoạch'!$N$6:$N$305,$O893)&amp;"",""))</f>
      </c>
      <c r="L893" s="220">
        <f>IF(OR($C893="",N($B893)=0),"",IF(AND($I893="Phản ánh",$E893="Đã xử lý"),INDEX('Phản ánh'!$U$6:$U$505,MATCH($C893,'Phản ánh'!$A$6:$A$505,0)),IF(AND($I893="Công việc",OR($E893="Hoàn thành",$E893="Hoàn thành kỳ")),IF(INDEX('Kế hoạch'!$B$6:$B$305,$O893)="Đột xuất",INDEX('Kế hoạch'!$AY$6:$AY$305,$O893),IF(N($P893)=0,"",IF(INT($B893)&lt;$P893,$P893,IF($Q893&gt;0,$P893+ROUND((INT($B893)-$P893)/$Q893,0)*$Q893,IF($R893&gt;0,EDATE($P893,ROUND((DATEDIF($P893,INT($B893),"m")+(INT($B893)-EDATE($P893,DATEDIF($P893,INT($B893),"m")))/(EDATE($P893,DATEDIF($P893,INT($B893),"m")+1)-EDATE($P893,DATEDIF($P893,INT($B893),"m"))))/$R893,0)*$R893),$P893))))),"")))</f>
      </c>
      <c r="M893" s="223">
        <f>IF(OR($C893="",N($L893)=0,N($B893)=0),"",IF(IF(MOD($L893,1)=0,INT($B893),$B893)&lt;=$L893,"Đúng hạn","Trễ hạn"))</f>
      </c>
      <c r="N893" s="225">
        <f>IF($C893="","",ROW())</f>
      </c>
      <c r="O893" s="225">
        <f>IF($I893="Công việc",MATCH($C893,'Kế hoạch'!$A$6:$A$305,0),"")</f>
      </c>
      <c r="P893" s="234">
        <f>IF($O893="","",INDEX('Kế hoạch'!$I$6:$I$305,$O893))</f>
      </c>
      <c r="Q893" s="225">
        <f>IF($O893="","",INDEX('Kế hoạch'!$AJ$6:$AJ$305,$O893))</f>
      </c>
      <c r="R893" s="225">
        <f>IF($O893="","",INDEX('Kế hoạch'!$AK$6:$AK$305,$O893))</f>
      </c>
    </row>
    <row r="894">
      <c r="A894" s="223">
        <f>IF($C894="","",COUNTIF($C$6:$C894,"?*"))</f>
      </c>
      <c r="B894" s="217"/>
      <c r="C894" s="216"/>
      <c r="D894" s="240"/>
      <c r="E894" s="218"/>
      <c r="F894" s="218"/>
      <c r="G894" s="218"/>
      <c r="H894" s="219"/>
      <c r="I894" s="223">
        <f>IF($C894="","",IF(ISNUMBER(MATCH($C894,'Phản ánh'!$A$6:$A$505,0)),"Phản ánh",IF(ISNUMBER(MATCH($C894,'Kế hoạch'!$A$6:$A$305,0)),"Công việc","Mã chưa có")))</f>
      </c>
      <c r="J894" s="221">
        <f>IF($I894="Phản ánh",INDEX('Phản ánh'!$C$6:$C$505,MATCH($C894,'Phản ánh'!$A$6:$A$505,0)),IF($I894="Công việc",INDEX('Kế hoạch'!$C$6:$C$305,$O894),""))</f>
      </c>
      <c r="K894" s="221">
        <f>IF($I894="Phản ánh",INDEX('Phản ánh'!$K$6:$K$505,MATCH($C894,'Phản ánh'!$A$6:$A$505,0))&amp;"",IF($I894="Công việc",INDEX('Kế hoạch'!$N$6:$N$305,$O894)&amp;"",""))</f>
      </c>
      <c r="L894" s="220">
        <f>IF(OR($C894="",N($B894)=0),"",IF(AND($I894="Phản ánh",$E894="Đã xử lý"),INDEX('Phản ánh'!$U$6:$U$505,MATCH($C894,'Phản ánh'!$A$6:$A$505,0)),IF(AND($I894="Công việc",OR($E894="Hoàn thành",$E894="Hoàn thành kỳ")),IF(INDEX('Kế hoạch'!$B$6:$B$305,$O894)="Đột xuất",INDEX('Kế hoạch'!$AY$6:$AY$305,$O894),IF(N($P894)=0,"",IF(INT($B894)&lt;$P894,$P894,IF($Q894&gt;0,$P894+ROUND((INT($B894)-$P894)/$Q894,0)*$Q894,IF($R894&gt;0,EDATE($P894,ROUND((DATEDIF($P894,INT($B894),"m")+(INT($B894)-EDATE($P894,DATEDIF($P894,INT($B894),"m")))/(EDATE($P894,DATEDIF($P894,INT($B894),"m")+1)-EDATE($P894,DATEDIF($P894,INT($B894),"m"))))/$R894,0)*$R894),$P894))))),"")))</f>
      </c>
      <c r="M894" s="223">
        <f>IF(OR($C894="",N($L894)=0,N($B894)=0),"",IF(IF(MOD($L894,1)=0,INT($B894),$B894)&lt;=$L894,"Đúng hạn","Trễ hạn"))</f>
      </c>
      <c r="N894" s="225">
        <f>IF($C894="","",ROW())</f>
      </c>
      <c r="O894" s="225">
        <f>IF($I894="Công việc",MATCH($C894,'Kế hoạch'!$A$6:$A$305,0),"")</f>
      </c>
      <c r="P894" s="234">
        <f>IF($O894="","",INDEX('Kế hoạch'!$I$6:$I$305,$O894))</f>
      </c>
      <c r="Q894" s="225">
        <f>IF($O894="","",INDEX('Kế hoạch'!$AJ$6:$AJ$305,$O894))</f>
      </c>
      <c r="R894" s="225">
        <f>IF($O894="","",INDEX('Kế hoạch'!$AK$6:$AK$305,$O894))</f>
      </c>
    </row>
    <row r="895">
      <c r="A895" s="223">
        <f>IF($C895="","",COUNTIF($C$6:$C895,"?*"))</f>
      </c>
      <c r="B895" s="217"/>
      <c r="C895" s="216"/>
      <c r="D895" s="240"/>
      <c r="E895" s="218"/>
      <c r="F895" s="218"/>
      <c r="G895" s="218"/>
      <c r="H895" s="219"/>
      <c r="I895" s="223">
        <f>IF($C895="","",IF(ISNUMBER(MATCH($C895,'Phản ánh'!$A$6:$A$505,0)),"Phản ánh",IF(ISNUMBER(MATCH($C895,'Kế hoạch'!$A$6:$A$305,0)),"Công việc","Mã chưa có")))</f>
      </c>
      <c r="J895" s="221">
        <f>IF($I895="Phản ánh",INDEX('Phản ánh'!$C$6:$C$505,MATCH($C895,'Phản ánh'!$A$6:$A$505,0)),IF($I895="Công việc",INDEX('Kế hoạch'!$C$6:$C$305,$O895),""))</f>
      </c>
      <c r="K895" s="221">
        <f>IF($I895="Phản ánh",INDEX('Phản ánh'!$K$6:$K$505,MATCH($C895,'Phản ánh'!$A$6:$A$505,0))&amp;"",IF($I895="Công việc",INDEX('Kế hoạch'!$N$6:$N$305,$O895)&amp;"",""))</f>
      </c>
      <c r="L895" s="220">
        <f>IF(OR($C895="",N($B895)=0),"",IF(AND($I895="Phản ánh",$E895="Đã xử lý"),INDEX('Phản ánh'!$U$6:$U$505,MATCH($C895,'Phản ánh'!$A$6:$A$505,0)),IF(AND($I895="Công việc",OR($E895="Hoàn thành",$E895="Hoàn thành kỳ")),IF(INDEX('Kế hoạch'!$B$6:$B$305,$O895)="Đột xuất",INDEX('Kế hoạch'!$AY$6:$AY$305,$O895),IF(N($P895)=0,"",IF(INT($B895)&lt;$P895,$P895,IF($Q895&gt;0,$P895+ROUND((INT($B895)-$P895)/$Q895,0)*$Q895,IF($R895&gt;0,EDATE($P895,ROUND((DATEDIF($P895,INT($B895),"m")+(INT($B895)-EDATE($P895,DATEDIF($P895,INT($B895),"m")))/(EDATE($P895,DATEDIF($P895,INT($B895),"m")+1)-EDATE($P895,DATEDIF($P895,INT($B895),"m"))))/$R895,0)*$R895),$P895))))),"")))</f>
      </c>
      <c r="M895" s="223">
        <f>IF(OR($C895="",N($L895)=0,N($B895)=0),"",IF(IF(MOD($L895,1)=0,INT($B895),$B895)&lt;=$L895,"Đúng hạn","Trễ hạn"))</f>
      </c>
      <c r="N895" s="225">
        <f>IF($C895="","",ROW())</f>
      </c>
      <c r="O895" s="225">
        <f>IF($I895="Công việc",MATCH($C895,'Kế hoạch'!$A$6:$A$305,0),"")</f>
      </c>
      <c r="P895" s="234">
        <f>IF($O895="","",INDEX('Kế hoạch'!$I$6:$I$305,$O895))</f>
      </c>
      <c r="Q895" s="225">
        <f>IF($O895="","",INDEX('Kế hoạch'!$AJ$6:$AJ$305,$O895))</f>
      </c>
      <c r="R895" s="225">
        <f>IF($O895="","",INDEX('Kế hoạch'!$AK$6:$AK$305,$O895))</f>
      </c>
    </row>
    <row r="896">
      <c r="A896" s="223">
        <f>IF($C896="","",COUNTIF($C$6:$C896,"?*"))</f>
      </c>
      <c r="B896" s="217"/>
      <c r="C896" s="216"/>
      <c r="D896" s="240"/>
      <c r="E896" s="218"/>
      <c r="F896" s="218"/>
      <c r="G896" s="218"/>
      <c r="H896" s="219"/>
      <c r="I896" s="223">
        <f>IF($C896="","",IF(ISNUMBER(MATCH($C896,'Phản ánh'!$A$6:$A$505,0)),"Phản ánh",IF(ISNUMBER(MATCH($C896,'Kế hoạch'!$A$6:$A$305,0)),"Công việc","Mã chưa có")))</f>
      </c>
      <c r="J896" s="221">
        <f>IF($I896="Phản ánh",INDEX('Phản ánh'!$C$6:$C$505,MATCH($C896,'Phản ánh'!$A$6:$A$505,0)),IF($I896="Công việc",INDEX('Kế hoạch'!$C$6:$C$305,$O896),""))</f>
      </c>
      <c r="K896" s="221">
        <f>IF($I896="Phản ánh",INDEX('Phản ánh'!$K$6:$K$505,MATCH($C896,'Phản ánh'!$A$6:$A$505,0))&amp;"",IF($I896="Công việc",INDEX('Kế hoạch'!$N$6:$N$305,$O896)&amp;"",""))</f>
      </c>
      <c r="L896" s="220">
        <f>IF(OR($C896="",N($B896)=0),"",IF(AND($I896="Phản ánh",$E896="Đã xử lý"),INDEX('Phản ánh'!$U$6:$U$505,MATCH($C896,'Phản ánh'!$A$6:$A$505,0)),IF(AND($I896="Công việc",OR($E896="Hoàn thành",$E896="Hoàn thành kỳ")),IF(INDEX('Kế hoạch'!$B$6:$B$305,$O896)="Đột xuất",INDEX('Kế hoạch'!$AY$6:$AY$305,$O896),IF(N($P896)=0,"",IF(INT($B896)&lt;$P896,$P896,IF($Q896&gt;0,$P896+ROUND((INT($B896)-$P896)/$Q896,0)*$Q896,IF($R896&gt;0,EDATE($P896,ROUND((DATEDIF($P896,INT($B896),"m")+(INT($B896)-EDATE($P896,DATEDIF($P896,INT($B896),"m")))/(EDATE($P896,DATEDIF($P896,INT($B896),"m")+1)-EDATE($P896,DATEDIF($P896,INT($B896),"m"))))/$R896,0)*$R896),$P896))))),"")))</f>
      </c>
      <c r="M896" s="223">
        <f>IF(OR($C896="",N($L896)=0,N($B896)=0),"",IF(IF(MOD($L896,1)=0,INT($B896),$B896)&lt;=$L896,"Đúng hạn","Trễ hạn"))</f>
      </c>
      <c r="N896" s="225">
        <f>IF($C896="","",ROW())</f>
      </c>
      <c r="O896" s="225">
        <f>IF($I896="Công việc",MATCH($C896,'Kế hoạch'!$A$6:$A$305,0),"")</f>
      </c>
      <c r="P896" s="234">
        <f>IF($O896="","",INDEX('Kế hoạch'!$I$6:$I$305,$O896))</f>
      </c>
      <c r="Q896" s="225">
        <f>IF($O896="","",INDEX('Kế hoạch'!$AJ$6:$AJ$305,$O896))</f>
      </c>
      <c r="R896" s="225">
        <f>IF($O896="","",INDEX('Kế hoạch'!$AK$6:$AK$305,$O896))</f>
      </c>
    </row>
    <row r="897">
      <c r="A897" s="223">
        <f>IF($C897="","",COUNTIF($C$6:$C897,"?*"))</f>
      </c>
      <c r="B897" s="217"/>
      <c r="C897" s="216"/>
      <c r="D897" s="240"/>
      <c r="E897" s="218"/>
      <c r="F897" s="218"/>
      <c r="G897" s="218"/>
      <c r="H897" s="219"/>
      <c r="I897" s="223">
        <f>IF($C897="","",IF(ISNUMBER(MATCH($C897,'Phản ánh'!$A$6:$A$505,0)),"Phản ánh",IF(ISNUMBER(MATCH($C897,'Kế hoạch'!$A$6:$A$305,0)),"Công việc","Mã chưa có")))</f>
      </c>
      <c r="J897" s="221">
        <f>IF($I897="Phản ánh",INDEX('Phản ánh'!$C$6:$C$505,MATCH($C897,'Phản ánh'!$A$6:$A$505,0)),IF($I897="Công việc",INDEX('Kế hoạch'!$C$6:$C$305,$O897),""))</f>
      </c>
      <c r="K897" s="221">
        <f>IF($I897="Phản ánh",INDEX('Phản ánh'!$K$6:$K$505,MATCH($C897,'Phản ánh'!$A$6:$A$505,0))&amp;"",IF($I897="Công việc",INDEX('Kế hoạch'!$N$6:$N$305,$O897)&amp;"",""))</f>
      </c>
      <c r="L897" s="220">
        <f>IF(OR($C897="",N($B897)=0),"",IF(AND($I897="Phản ánh",$E897="Đã xử lý"),INDEX('Phản ánh'!$U$6:$U$505,MATCH($C897,'Phản ánh'!$A$6:$A$505,0)),IF(AND($I897="Công việc",OR($E897="Hoàn thành",$E897="Hoàn thành kỳ")),IF(INDEX('Kế hoạch'!$B$6:$B$305,$O897)="Đột xuất",INDEX('Kế hoạch'!$AY$6:$AY$305,$O897),IF(N($P897)=0,"",IF(INT($B897)&lt;$P897,$P897,IF($Q897&gt;0,$P897+ROUND((INT($B897)-$P897)/$Q897,0)*$Q897,IF($R897&gt;0,EDATE($P897,ROUND((DATEDIF($P897,INT($B897),"m")+(INT($B897)-EDATE($P897,DATEDIF($P897,INT($B897),"m")))/(EDATE($P897,DATEDIF($P897,INT($B897),"m")+1)-EDATE($P897,DATEDIF($P897,INT($B897),"m"))))/$R897,0)*$R897),$P897))))),"")))</f>
      </c>
      <c r="M897" s="223">
        <f>IF(OR($C897="",N($L897)=0,N($B897)=0),"",IF(IF(MOD($L897,1)=0,INT($B897),$B897)&lt;=$L897,"Đúng hạn","Trễ hạn"))</f>
      </c>
      <c r="N897" s="225">
        <f>IF($C897="","",ROW())</f>
      </c>
      <c r="O897" s="225">
        <f>IF($I897="Công việc",MATCH($C897,'Kế hoạch'!$A$6:$A$305,0),"")</f>
      </c>
      <c r="P897" s="234">
        <f>IF($O897="","",INDEX('Kế hoạch'!$I$6:$I$305,$O897))</f>
      </c>
      <c r="Q897" s="225">
        <f>IF($O897="","",INDEX('Kế hoạch'!$AJ$6:$AJ$305,$O897))</f>
      </c>
      <c r="R897" s="225">
        <f>IF($O897="","",INDEX('Kế hoạch'!$AK$6:$AK$305,$O897))</f>
      </c>
    </row>
    <row r="898">
      <c r="A898" s="223">
        <f>IF($C898="","",COUNTIF($C$6:$C898,"?*"))</f>
      </c>
      <c r="B898" s="217"/>
      <c r="C898" s="216"/>
      <c r="D898" s="240"/>
      <c r="E898" s="218"/>
      <c r="F898" s="218"/>
      <c r="G898" s="218"/>
      <c r="H898" s="219"/>
      <c r="I898" s="223">
        <f>IF($C898="","",IF(ISNUMBER(MATCH($C898,'Phản ánh'!$A$6:$A$505,0)),"Phản ánh",IF(ISNUMBER(MATCH($C898,'Kế hoạch'!$A$6:$A$305,0)),"Công việc","Mã chưa có")))</f>
      </c>
      <c r="J898" s="221">
        <f>IF($I898="Phản ánh",INDEX('Phản ánh'!$C$6:$C$505,MATCH($C898,'Phản ánh'!$A$6:$A$505,0)),IF($I898="Công việc",INDEX('Kế hoạch'!$C$6:$C$305,$O898),""))</f>
      </c>
      <c r="K898" s="221">
        <f>IF($I898="Phản ánh",INDEX('Phản ánh'!$K$6:$K$505,MATCH($C898,'Phản ánh'!$A$6:$A$505,0))&amp;"",IF($I898="Công việc",INDEX('Kế hoạch'!$N$6:$N$305,$O898)&amp;"",""))</f>
      </c>
      <c r="L898" s="220">
        <f>IF(OR($C898="",N($B898)=0),"",IF(AND($I898="Phản ánh",$E898="Đã xử lý"),INDEX('Phản ánh'!$U$6:$U$505,MATCH($C898,'Phản ánh'!$A$6:$A$505,0)),IF(AND($I898="Công việc",OR($E898="Hoàn thành",$E898="Hoàn thành kỳ")),IF(INDEX('Kế hoạch'!$B$6:$B$305,$O898)="Đột xuất",INDEX('Kế hoạch'!$AY$6:$AY$305,$O898),IF(N($P898)=0,"",IF(INT($B898)&lt;$P898,$P898,IF($Q898&gt;0,$P898+ROUND((INT($B898)-$P898)/$Q898,0)*$Q898,IF($R898&gt;0,EDATE($P898,ROUND((DATEDIF($P898,INT($B898),"m")+(INT($B898)-EDATE($P898,DATEDIF($P898,INT($B898),"m")))/(EDATE($P898,DATEDIF($P898,INT($B898),"m")+1)-EDATE($P898,DATEDIF($P898,INT($B898),"m"))))/$R898,0)*$R898),$P898))))),"")))</f>
      </c>
      <c r="M898" s="223">
        <f>IF(OR($C898="",N($L898)=0,N($B898)=0),"",IF(IF(MOD($L898,1)=0,INT($B898),$B898)&lt;=$L898,"Đúng hạn","Trễ hạn"))</f>
      </c>
      <c r="N898" s="225">
        <f>IF($C898="","",ROW())</f>
      </c>
      <c r="O898" s="225">
        <f>IF($I898="Công việc",MATCH($C898,'Kế hoạch'!$A$6:$A$305,0),"")</f>
      </c>
      <c r="P898" s="234">
        <f>IF($O898="","",INDEX('Kế hoạch'!$I$6:$I$305,$O898))</f>
      </c>
      <c r="Q898" s="225">
        <f>IF($O898="","",INDEX('Kế hoạch'!$AJ$6:$AJ$305,$O898))</f>
      </c>
      <c r="R898" s="225">
        <f>IF($O898="","",INDEX('Kế hoạch'!$AK$6:$AK$305,$O898))</f>
      </c>
    </row>
    <row r="899">
      <c r="A899" s="223">
        <f>IF($C899="","",COUNTIF($C$6:$C899,"?*"))</f>
      </c>
      <c r="B899" s="217"/>
      <c r="C899" s="216"/>
      <c r="D899" s="240"/>
      <c r="E899" s="218"/>
      <c r="F899" s="218"/>
      <c r="G899" s="218"/>
      <c r="H899" s="219"/>
      <c r="I899" s="223">
        <f>IF($C899="","",IF(ISNUMBER(MATCH($C899,'Phản ánh'!$A$6:$A$505,0)),"Phản ánh",IF(ISNUMBER(MATCH($C899,'Kế hoạch'!$A$6:$A$305,0)),"Công việc","Mã chưa có")))</f>
      </c>
      <c r="J899" s="221">
        <f>IF($I899="Phản ánh",INDEX('Phản ánh'!$C$6:$C$505,MATCH($C899,'Phản ánh'!$A$6:$A$505,0)),IF($I899="Công việc",INDEX('Kế hoạch'!$C$6:$C$305,$O899),""))</f>
      </c>
      <c r="K899" s="221">
        <f>IF($I899="Phản ánh",INDEX('Phản ánh'!$K$6:$K$505,MATCH($C899,'Phản ánh'!$A$6:$A$505,0))&amp;"",IF($I899="Công việc",INDEX('Kế hoạch'!$N$6:$N$305,$O899)&amp;"",""))</f>
      </c>
      <c r="L899" s="220">
        <f>IF(OR($C899="",N($B899)=0),"",IF(AND($I899="Phản ánh",$E899="Đã xử lý"),INDEX('Phản ánh'!$U$6:$U$505,MATCH($C899,'Phản ánh'!$A$6:$A$505,0)),IF(AND($I899="Công việc",OR($E899="Hoàn thành",$E899="Hoàn thành kỳ")),IF(INDEX('Kế hoạch'!$B$6:$B$305,$O899)="Đột xuất",INDEX('Kế hoạch'!$AY$6:$AY$305,$O899),IF(N($P899)=0,"",IF(INT($B899)&lt;$P899,$P899,IF($Q899&gt;0,$P899+ROUND((INT($B899)-$P899)/$Q899,0)*$Q899,IF($R899&gt;0,EDATE($P899,ROUND((DATEDIF($P899,INT($B899),"m")+(INT($B899)-EDATE($P899,DATEDIF($P899,INT($B899),"m")))/(EDATE($P899,DATEDIF($P899,INT($B899),"m")+1)-EDATE($P899,DATEDIF($P899,INT($B899),"m"))))/$R899,0)*$R899),$P899))))),"")))</f>
      </c>
      <c r="M899" s="223">
        <f>IF(OR($C899="",N($L899)=0,N($B899)=0),"",IF(IF(MOD($L899,1)=0,INT($B899),$B899)&lt;=$L899,"Đúng hạn","Trễ hạn"))</f>
      </c>
      <c r="N899" s="225">
        <f>IF($C899="","",ROW())</f>
      </c>
      <c r="O899" s="225">
        <f>IF($I899="Công việc",MATCH($C899,'Kế hoạch'!$A$6:$A$305,0),"")</f>
      </c>
      <c r="P899" s="234">
        <f>IF($O899="","",INDEX('Kế hoạch'!$I$6:$I$305,$O899))</f>
      </c>
      <c r="Q899" s="225">
        <f>IF($O899="","",INDEX('Kế hoạch'!$AJ$6:$AJ$305,$O899))</f>
      </c>
      <c r="R899" s="225">
        <f>IF($O899="","",INDEX('Kế hoạch'!$AK$6:$AK$305,$O899))</f>
      </c>
    </row>
    <row r="900">
      <c r="A900" s="223">
        <f>IF($C900="","",COUNTIF($C$6:$C900,"?*"))</f>
      </c>
      <c r="B900" s="217"/>
      <c r="C900" s="216"/>
      <c r="D900" s="240"/>
      <c r="E900" s="218"/>
      <c r="F900" s="218"/>
      <c r="G900" s="218"/>
      <c r="H900" s="219"/>
      <c r="I900" s="223">
        <f>IF($C900="","",IF(ISNUMBER(MATCH($C900,'Phản ánh'!$A$6:$A$505,0)),"Phản ánh",IF(ISNUMBER(MATCH($C900,'Kế hoạch'!$A$6:$A$305,0)),"Công việc","Mã chưa có")))</f>
      </c>
      <c r="J900" s="221">
        <f>IF($I900="Phản ánh",INDEX('Phản ánh'!$C$6:$C$505,MATCH($C900,'Phản ánh'!$A$6:$A$505,0)),IF($I900="Công việc",INDEX('Kế hoạch'!$C$6:$C$305,$O900),""))</f>
      </c>
      <c r="K900" s="221">
        <f>IF($I900="Phản ánh",INDEX('Phản ánh'!$K$6:$K$505,MATCH($C900,'Phản ánh'!$A$6:$A$505,0))&amp;"",IF($I900="Công việc",INDEX('Kế hoạch'!$N$6:$N$305,$O900)&amp;"",""))</f>
      </c>
      <c r="L900" s="220">
        <f>IF(OR($C900="",N($B900)=0),"",IF(AND($I900="Phản ánh",$E900="Đã xử lý"),INDEX('Phản ánh'!$U$6:$U$505,MATCH($C900,'Phản ánh'!$A$6:$A$505,0)),IF(AND($I900="Công việc",OR($E900="Hoàn thành",$E900="Hoàn thành kỳ")),IF(INDEX('Kế hoạch'!$B$6:$B$305,$O900)="Đột xuất",INDEX('Kế hoạch'!$AY$6:$AY$305,$O900),IF(N($P900)=0,"",IF(INT($B900)&lt;$P900,$P900,IF($Q900&gt;0,$P900+ROUND((INT($B900)-$P900)/$Q900,0)*$Q900,IF($R900&gt;0,EDATE($P900,ROUND((DATEDIF($P900,INT($B900),"m")+(INT($B900)-EDATE($P900,DATEDIF($P900,INT($B900),"m")))/(EDATE($P900,DATEDIF($P900,INT($B900),"m")+1)-EDATE($P900,DATEDIF($P900,INT($B900),"m"))))/$R900,0)*$R900),$P900))))),"")))</f>
      </c>
      <c r="M900" s="223">
        <f>IF(OR($C900="",N($L900)=0,N($B900)=0),"",IF(IF(MOD($L900,1)=0,INT($B900),$B900)&lt;=$L900,"Đúng hạn","Trễ hạn"))</f>
      </c>
      <c r="N900" s="225">
        <f>IF($C900="","",ROW())</f>
      </c>
      <c r="O900" s="225">
        <f>IF($I900="Công việc",MATCH($C900,'Kế hoạch'!$A$6:$A$305,0),"")</f>
      </c>
      <c r="P900" s="234">
        <f>IF($O900="","",INDEX('Kế hoạch'!$I$6:$I$305,$O900))</f>
      </c>
      <c r="Q900" s="225">
        <f>IF($O900="","",INDEX('Kế hoạch'!$AJ$6:$AJ$305,$O900))</f>
      </c>
      <c r="R900" s="225">
        <f>IF($O900="","",INDEX('Kế hoạch'!$AK$6:$AK$305,$O900))</f>
      </c>
    </row>
    <row r="901">
      <c r="A901" s="223">
        <f>IF($C901="","",COUNTIF($C$6:$C901,"?*"))</f>
      </c>
      <c r="B901" s="217"/>
      <c r="C901" s="216"/>
      <c r="D901" s="240"/>
      <c r="E901" s="218"/>
      <c r="F901" s="218"/>
      <c r="G901" s="218"/>
      <c r="H901" s="219"/>
      <c r="I901" s="223">
        <f>IF($C901="","",IF(ISNUMBER(MATCH($C901,'Phản ánh'!$A$6:$A$505,0)),"Phản ánh",IF(ISNUMBER(MATCH($C901,'Kế hoạch'!$A$6:$A$305,0)),"Công việc","Mã chưa có")))</f>
      </c>
      <c r="J901" s="221">
        <f>IF($I901="Phản ánh",INDEX('Phản ánh'!$C$6:$C$505,MATCH($C901,'Phản ánh'!$A$6:$A$505,0)),IF($I901="Công việc",INDEX('Kế hoạch'!$C$6:$C$305,$O901),""))</f>
      </c>
      <c r="K901" s="221">
        <f>IF($I901="Phản ánh",INDEX('Phản ánh'!$K$6:$K$505,MATCH($C901,'Phản ánh'!$A$6:$A$505,0))&amp;"",IF($I901="Công việc",INDEX('Kế hoạch'!$N$6:$N$305,$O901)&amp;"",""))</f>
      </c>
      <c r="L901" s="220">
        <f>IF(OR($C901="",N($B901)=0),"",IF(AND($I901="Phản ánh",$E901="Đã xử lý"),INDEX('Phản ánh'!$U$6:$U$505,MATCH($C901,'Phản ánh'!$A$6:$A$505,0)),IF(AND($I901="Công việc",OR($E901="Hoàn thành",$E901="Hoàn thành kỳ")),IF(INDEX('Kế hoạch'!$B$6:$B$305,$O901)="Đột xuất",INDEX('Kế hoạch'!$AY$6:$AY$305,$O901),IF(N($P901)=0,"",IF(INT($B901)&lt;$P901,$P901,IF($Q901&gt;0,$P901+ROUND((INT($B901)-$P901)/$Q901,0)*$Q901,IF($R901&gt;0,EDATE($P901,ROUND((DATEDIF($P901,INT($B901),"m")+(INT($B901)-EDATE($P901,DATEDIF($P901,INT($B901),"m")))/(EDATE($P901,DATEDIF($P901,INT($B901),"m")+1)-EDATE($P901,DATEDIF($P901,INT($B901),"m"))))/$R901,0)*$R901),$P901))))),"")))</f>
      </c>
      <c r="M901" s="223">
        <f>IF(OR($C901="",N($L901)=0,N($B901)=0),"",IF(IF(MOD($L901,1)=0,INT($B901),$B901)&lt;=$L901,"Đúng hạn","Trễ hạn"))</f>
      </c>
      <c r="N901" s="225">
        <f>IF($C901="","",ROW())</f>
      </c>
      <c r="O901" s="225">
        <f>IF($I901="Công việc",MATCH($C901,'Kế hoạch'!$A$6:$A$305,0),"")</f>
      </c>
      <c r="P901" s="234">
        <f>IF($O901="","",INDEX('Kế hoạch'!$I$6:$I$305,$O901))</f>
      </c>
      <c r="Q901" s="225">
        <f>IF($O901="","",INDEX('Kế hoạch'!$AJ$6:$AJ$305,$O901))</f>
      </c>
      <c r="R901" s="225">
        <f>IF($O901="","",INDEX('Kế hoạch'!$AK$6:$AK$305,$O901))</f>
      </c>
    </row>
    <row r="902">
      <c r="A902" s="223">
        <f>IF($C902="","",COUNTIF($C$6:$C902,"?*"))</f>
      </c>
      <c r="B902" s="217"/>
      <c r="C902" s="216"/>
      <c r="D902" s="240"/>
      <c r="E902" s="218"/>
      <c r="F902" s="218"/>
      <c r="G902" s="218"/>
      <c r="H902" s="219"/>
      <c r="I902" s="223">
        <f>IF($C902="","",IF(ISNUMBER(MATCH($C902,'Phản ánh'!$A$6:$A$505,0)),"Phản ánh",IF(ISNUMBER(MATCH($C902,'Kế hoạch'!$A$6:$A$305,0)),"Công việc","Mã chưa có")))</f>
      </c>
      <c r="J902" s="221">
        <f>IF($I902="Phản ánh",INDEX('Phản ánh'!$C$6:$C$505,MATCH($C902,'Phản ánh'!$A$6:$A$505,0)),IF($I902="Công việc",INDEX('Kế hoạch'!$C$6:$C$305,$O902),""))</f>
      </c>
      <c r="K902" s="221">
        <f>IF($I902="Phản ánh",INDEX('Phản ánh'!$K$6:$K$505,MATCH($C902,'Phản ánh'!$A$6:$A$505,0))&amp;"",IF($I902="Công việc",INDEX('Kế hoạch'!$N$6:$N$305,$O902)&amp;"",""))</f>
      </c>
      <c r="L902" s="220">
        <f>IF(OR($C902="",N($B902)=0),"",IF(AND($I902="Phản ánh",$E902="Đã xử lý"),INDEX('Phản ánh'!$U$6:$U$505,MATCH($C902,'Phản ánh'!$A$6:$A$505,0)),IF(AND($I902="Công việc",OR($E902="Hoàn thành",$E902="Hoàn thành kỳ")),IF(INDEX('Kế hoạch'!$B$6:$B$305,$O902)="Đột xuất",INDEX('Kế hoạch'!$AY$6:$AY$305,$O902),IF(N($P902)=0,"",IF(INT($B902)&lt;$P902,$P902,IF($Q902&gt;0,$P902+ROUND((INT($B902)-$P902)/$Q902,0)*$Q902,IF($R902&gt;0,EDATE($P902,ROUND((DATEDIF($P902,INT($B902),"m")+(INT($B902)-EDATE($P902,DATEDIF($P902,INT($B902),"m")))/(EDATE($P902,DATEDIF($P902,INT($B902),"m")+1)-EDATE($P902,DATEDIF($P902,INT($B902),"m"))))/$R902,0)*$R902),$P902))))),"")))</f>
      </c>
      <c r="M902" s="223">
        <f>IF(OR($C902="",N($L902)=0,N($B902)=0),"",IF(IF(MOD($L902,1)=0,INT($B902),$B902)&lt;=$L902,"Đúng hạn","Trễ hạn"))</f>
      </c>
      <c r="N902" s="225">
        <f>IF($C902="","",ROW())</f>
      </c>
      <c r="O902" s="225">
        <f>IF($I902="Công việc",MATCH($C902,'Kế hoạch'!$A$6:$A$305,0),"")</f>
      </c>
      <c r="P902" s="234">
        <f>IF($O902="","",INDEX('Kế hoạch'!$I$6:$I$305,$O902))</f>
      </c>
      <c r="Q902" s="225">
        <f>IF($O902="","",INDEX('Kế hoạch'!$AJ$6:$AJ$305,$O902))</f>
      </c>
      <c r="R902" s="225">
        <f>IF($O902="","",INDEX('Kế hoạch'!$AK$6:$AK$305,$O902))</f>
      </c>
    </row>
    <row r="903">
      <c r="A903" s="223">
        <f>IF($C903="","",COUNTIF($C$6:$C903,"?*"))</f>
      </c>
      <c r="B903" s="217"/>
      <c r="C903" s="216"/>
      <c r="D903" s="240"/>
      <c r="E903" s="218"/>
      <c r="F903" s="218"/>
      <c r="G903" s="218"/>
      <c r="H903" s="219"/>
      <c r="I903" s="223">
        <f>IF($C903="","",IF(ISNUMBER(MATCH($C903,'Phản ánh'!$A$6:$A$505,0)),"Phản ánh",IF(ISNUMBER(MATCH($C903,'Kế hoạch'!$A$6:$A$305,0)),"Công việc","Mã chưa có")))</f>
      </c>
      <c r="J903" s="221">
        <f>IF($I903="Phản ánh",INDEX('Phản ánh'!$C$6:$C$505,MATCH($C903,'Phản ánh'!$A$6:$A$505,0)),IF($I903="Công việc",INDEX('Kế hoạch'!$C$6:$C$305,$O903),""))</f>
      </c>
      <c r="K903" s="221">
        <f>IF($I903="Phản ánh",INDEX('Phản ánh'!$K$6:$K$505,MATCH($C903,'Phản ánh'!$A$6:$A$505,0))&amp;"",IF($I903="Công việc",INDEX('Kế hoạch'!$N$6:$N$305,$O903)&amp;"",""))</f>
      </c>
      <c r="L903" s="220">
        <f>IF(OR($C903="",N($B903)=0),"",IF(AND($I903="Phản ánh",$E903="Đã xử lý"),INDEX('Phản ánh'!$U$6:$U$505,MATCH($C903,'Phản ánh'!$A$6:$A$505,0)),IF(AND($I903="Công việc",OR($E903="Hoàn thành",$E903="Hoàn thành kỳ")),IF(INDEX('Kế hoạch'!$B$6:$B$305,$O903)="Đột xuất",INDEX('Kế hoạch'!$AY$6:$AY$305,$O903),IF(N($P903)=0,"",IF(INT($B903)&lt;$P903,$P903,IF($Q903&gt;0,$P903+ROUND((INT($B903)-$P903)/$Q903,0)*$Q903,IF($R903&gt;0,EDATE($P903,ROUND((DATEDIF($P903,INT($B903),"m")+(INT($B903)-EDATE($P903,DATEDIF($P903,INT($B903),"m")))/(EDATE($P903,DATEDIF($P903,INT($B903),"m")+1)-EDATE($P903,DATEDIF($P903,INT($B903),"m"))))/$R903,0)*$R903),$P903))))),"")))</f>
      </c>
      <c r="M903" s="223">
        <f>IF(OR($C903="",N($L903)=0,N($B903)=0),"",IF(IF(MOD($L903,1)=0,INT($B903),$B903)&lt;=$L903,"Đúng hạn","Trễ hạn"))</f>
      </c>
      <c r="N903" s="225">
        <f>IF($C903="","",ROW())</f>
      </c>
      <c r="O903" s="225">
        <f>IF($I903="Công việc",MATCH($C903,'Kế hoạch'!$A$6:$A$305,0),"")</f>
      </c>
      <c r="P903" s="234">
        <f>IF($O903="","",INDEX('Kế hoạch'!$I$6:$I$305,$O903))</f>
      </c>
      <c r="Q903" s="225">
        <f>IF($O903="","",INDEX('Kế hoạch'!$AJ$6:$AJ$305,$O903))</f>
      </c>
      <c r="R903" s="225">
        <f>IF($O903="","",INDEX('Kế hoạch'!$AK$6:$AK$305,$O903))</f>
      </c>
    </row>
    <row r="904">
      <c r="A904" s="223">
        <f>IF($C904="","",COUNTIF($C$6:$C904,"?*"))</f>
      </c>
      <c r="B904" s="217"/>
      <c r="C904" s="216"/>
      <c r="D904" s="240"/>
      <c r="E904" s="218"/>
      <c r="F904" s="218"/>
      <c r="G904" s="218"/>
      <c r="H904" s="219"/>
      <c r="I904" s="223">
        <f>IF($C904="","",IF(ISNUMBER(MATCH($C904,'Phản ánh'!$A$6:$A$505,0)),"Phản ánh",IF(ISNUMBER(MATCH($C904,'Kế hoạch'!$A$6:$A$305,0)),"Công việc","Mã chưa có")))</f>
      </c>
      <c r="J904" s="221">
        <f>IF($I904="Phản ánh",INDEX('Phản ánh'!$C$6:$C$505,MATCH($C904,'Phản ánh'!$A$6:$A$505,0)),IF($I904="Công việc",INDEX('Kế hoạch'!$C$6:$C$305,$O904),""))</f>
      </c>
      <c r="K904" s="221">
        <f>IF($I904="Phản ánh",INDEX('Phản ánh'!$K$6:$K$505,MATCH($C904,'Phản ánh'!$A$6:$A$505,0))&amp;"",IF($I904="Công việc",INDEX('Kế hoạch'!$N$6:$N$305,$O904)&amp;"",""))</f>
      </c>
      <c r="L904" s="220">
        <f>IF(OR($C904="",N($B904)=0),"",IF(AND($I904="Phản ánh",$E904="Đã xử lý"),INDEX('Phản ánh'!$U$6:$U$505,MATCH($C904,'Phản ánh'!$A$6:$A$505,0)),IF(AND($I904="Công việc",OR($E904="Hoàn thành",$E904="Hoàn thành kỳ")),IF(INDEX('Kế hoạch'!$B$6:$B$305,$O904)="Đột xuất",INDEX('Kế hoạch'!$AY$6:$AY$305,$O904),IF(N($P904)=0,"",IF(INT($B904)&lt;$P904,$P904,IF($Q904&gt;0,$P904+ROUND((INT($B904)-$P904)/$Q904,0)*$Q904,IF($R904&gt;0,EDATE($P904,ROUND((DATEDIF($P904,INT($B904),"m")+(INT($B904)-EDATE($P904,DATEDIF($P904,INT($B904),"m")))/(EDATE($P904,DATEDIF($P904,INT($B904),"m")+1)-EDATE($P904,DATEDIF($P904,INT($B904),"m"))))/$R904,0)*$R904),$P904))))),"")))</f>
      </c>
      <c r="M904" s="223">
        <f>IF(OR($C904="",N($L904)=0,N($B904)=0),"",IF(IF(MOD($L904,1)=0,INT($B904),$B904)&lt;=$L904,"Đúng hạn","Trễ hạn"))</f>
      </c>
      <c r="N904" s="225">
        <f>IF($C904="","",ROW())</f>
      </c>
      <c r="O904" s="225">
        <f>IF($I904="Công việc",MATCH($C904,'Kế hoạch'!$A$6:$A$305,0),"")</f>
      </c>
      <c r="P904" s="234">
        <f>IF($O904="","",INDEX('Kế hoạch'!$I$6:$I$305,$O904))</f>
      </c>
      <c r="Q904" s="225">
        <f>IF($O904="","",INDEX('Kế hoạch'!$AJ$6:$AJ$305,$O904))</f>
      </c>
      <c r="R904" s="225">
        <f>IF($O904="","",INDEX('Kế hoạch'!$AK$6:$AK$305,$O904))</f>
      </c>
    </row>
    <row r="905">
      <c r="A905" s="223">
        <f>IF($C905="","",COUNTIF($C$6:$C905,"?*"))</f>
      </c>
      <c r="B905" s="217"/>
      <c r="C905" s="216"/>
      <c r="D905" s="240"/>
      <c r="E905" s="218"/>
      <c r="F905" s="218"/>
      <c r="G905" s="218"/>
      <c r="H905" s="219"/>
      <c r="I905" s="223">
        <f>IF($C905="","",IF(ISNUMBER(MATCH($C905,'Phản ánh'!$A$6:$A$505,0)),"Phản ánh",IF(ISNUMBER(MATCH($C905,'Kế hoạch'!$A$6:$A$305,0)),"Công việc","Mã chưa có")))</f>
      </c>
      <c r="J905" s="221">
        <f>IF($I905="Phản ánh",INDEX('Phản ánh'!$C$6:$C$505,MATCH($C905,'Phản ánh'!$A$6:$A$505,0)),IF($I905="Công việc",INDEX('Kế hoạch'!$C$6:$C$305,$O905),""))</f>
      </c>
      <c r="K905" s="221">
        <f>IF($I905="Phản ánh",INDEX('Phản ánh'!$K$6:$K$505,MATCH($C905,'Phản ánh'!$A$6:$A$505,0))&amp;"",IF($I905="Công việc",INDEX('Kế hoạch'!$N$6:$N$305,$O905)&amp;"",""))</f>
      </c>
      <c r="L905" s="220">
        <f>IF(OR($C905="",N($B905)=0),"",IF(AND($I905="Phản ánh",$E905="Đã xử lý"),INDEX('Phản ánh'!$U$6:$U$505,MATCH($C905,'Phản ánh'!$A$6:$A$505,0)),IF(AND($I905="Công việc",OR($E905="Hoàn thành",$E905="Hoàn thành kỳ")),IF(INDEX('Kế hoạch'!$B$6:$B$305,$O905)="Đột xuất",INDEX('Kế hoạch'!$AY$6:$AY$305,$O905),IF(N($P905)=0,"",IF(INT($B905)&lt;$P905,$P905,IF($Q905&gt;0,$P905+ROUND((INT($B905)-$P905)/$Q905,0)*$Q905,IF($R905&gt;0,EDATE($P905,ROUND((DATEDIF($P905,INT($B905),"m")+(INT($B905)-EDATE($P905,DATEDIF($P905,INT($B905),"m")))/(EDATE($P905,DATEDIF($P905,INT($B905),"m")+1)-EDATE($P905,DATEDIF($P905,INT($B905),"m"))))/$R905,0)*$R905),$P905))))),"")))</f>
      </c>
      <c r="M905" s="223">
        <f>IF(OR($C905="",N($L905)=0,N($B905)=0),"",IF(IF(MOD($L905,1)=0,INT($B905),$B905)&lt;=$L905,"Đúng hạn","Trễ hạn"))</f>
      </c>
      <c r="N905" s="225">
        <f>IF($C905="","",ROW())</f>
      </c>
      <c r="O905" s="225">
        <f>IF($I905="Công việc",MATCH($C905,'Kế hoạch'!$A$6:$A$305,0),"")</f>
      </c>
      <c r="P905" s="234">
        <f>IF($O905="","",INDEX('Kế hoạch'!$I$6:$I$305,$O905))</f>
      </c>
      <c r="Q905" s="225">
        <f>IF($O905="","",INDEX('Kế hoạch'!$AJ$6:$AJ$305,$O905))</f>
      </c>
      <c r="R905" s="225">
        <f>IF($O905="","",INDEX('Kế hoạch'!$AK$6:$AK$305,$O905))</f>
      </c>
    </row>
    <row r="906">
      <c r="A906" s="223">
        <f>IF($C906="","",COUNTIF($C$6:$C906,"?*"))</f>
      </c>
      <c r="B906" s="217"/>
      <c r="C906" s="216"/>
      <c r="D906" s="240"/>
      <c r="E906" s="218"/>
      <c r="F906" s="218"/>
      <c r="G906" s="218"/>
      <c r="H906" s="219"/>
      <c r="I906" s="223">
        <f>IF($C906="","",IF(ISNUMBER(MATCH($C906,'Phản ánh'!$A$6:$A$505,0)),"Phản ánh",IF(ISNUMBER(MATCH($C906,'Kế hoạch'!$A$6:$A$305,0)),"Công việc","Mã chưa có")))</f>
      </c>
      <c r="J906" s="221">
        <f>IF($I906="Phản ánh",INDEX('Phản ánh'!$C$6:$C$505,MATCH($C906,'Phản ánh'!$A$6:$A$505,0)),IF($I906="Công việc",INDEX('Kế hoạch'!$C$6:$C$305,$O906),""))</f>
      </c>
      <c r="K906" s="221">
        <f>IF($I906="Phản ánh",INDEX('Phản ánh'!$K$6:$K$505,MATCH($C906,'Phản ánh'!$A$6:$A$505,0))&amp;"",IF($I906="Công việc",INDEX('Kế hoạch'!$N$6:$N$305,$O906)&amp;"",""))</f>
      </c>
      <c r="L906" s="220">
        <f>IF(OR($C906="",N($B906)=0),"",IF(AND($I906="Phản ánh",$E906="Đã xử lý"),INDEX('Phản ánh'!$U$6:$U$505,MATCH($C906,'Phản ánh'!$A$6:$A$505,0)),IF(AND($I906="Công việc",OR($E906="Hoàn thành",$E906="Hoàn thành kỳ")),IF(INDEX('Kế hoạch'!$B$6:$B$305,$O906)="Đột xuất",INDEX('Kế hoạch'!$AY$6:$AY$305,$O906),IF(N($P906)=0,"",IF(INT($B906)&lt;$P906,$P906,IF($Q906&gt;0,$P906+ROUND((INT($B906)-$P906)/$Q906,0)*$Q906,IF($R906&gt;0,EDATE($P906,ROUND((DATEDIF($P906,INT($B906),"m")+(INT($B906)-EDATE($P906,DATEDIF($P906,INT($B906),"m")))/(EDATE($P906,DATEDIF($P906,INT($B906),"m")+1)-EDATE($P906,DATEDIF($P906,INT($B906),"m"))))/$R906,0)*$R906),$P906))))),"")))</f>
      </c>
      <c r="M906" s="223">
        <f>IF(OR($C906="",N($L906)=0,N($B906)=0),"",IF(IF(MOD($L906,1)=0,INT($B906),$B906)&lt;=$L906,"Đúng hạn","Trễ hạn"))</f>
      </c>
      <c r="N906" s="225">
        <f>IF($C906="","",ROW())</f>
      </c>
      <c r="O906" s="225">
        <f>IF($I906="Công việc",MATCH($C906,'Kế hoạch'!$A$6:$A$305,0),"")</f>
      </c>
      <c r="P906" s="234">
        <f>IF($O906="","",INDEX('Kế hoạch'!$I$6:$I$305,$O906))</f>
      </c>
      <c r="Q906" s="225">
        <f>IF($O906="","",INDEX('Kế hoạch'!$AJ$6:$AJ$305,$O906))</f>
      </c>
      <c r="R906" s="225">
        <f>IF($O906="","",INDEX('Kế hoạch'!$AK$6:$AK$305,$O906))</f>
      </c>
    </row>
    <row r="907">
      <c r="A907" s="223">
        <f>IF($C907="","",COUNTIF($C$6:$C907,"?*"))</f>
      </c>
      <c r="B907" s="217"/>
      <c r="C907" s="216"/>
      <c r="D907" s="240"/>
      <c r="E907" s="218"/>
      <c r="F907" s="218"/>
      <c r="G907" s="218"/>
      <c r="H907" s="219"/>
      <c r="I907" s="223">
        <f>IF($C907="","",IF(ISNUMBER(MATCH($C907,'Phản ánh'!$A$6:$A$505,0)),"Phản ánh",IF(ISNUMBER(MATCH($C907,'Kế hoạch'!$A$6:$A$305,0)),"Công việc","Mã chưa có")))</f>
      </c>
      <c r="J907" s="221">
        <f>IF($I907="Phản ánh",INDEX('Phản ánh'!$C$6:$C$505,MATCH($C907,'Phản ánh'!$A$6:$A$505,0)),IF($I907="Công việc",INDEX('Kế hoạch'!$C$6:$C$305,$O907),""))</f>
      </c>
      <c r="K907" s="221">
        <f>IF($I907="Phản ánh",INDEX('Phản ánh'!$K$6:$K$505,MATCH($C907,'Phản ánh'!$A$6:$A$505,0))&amp;"",IF($I907="Công việc",INDEX('Kế hoạch'!$N$6:$N$305,$O907)&amp;"",""))</f>
      </c>
      <c r="L907" s="220">
        <f>IF(OR($C907="",N($B907)=0),"",IF(AND($I907="Phản ánh",$E907="Đã xử lý"),INDEX('Phản ánh'!$U$6:$U$505,MATCH($C907,'Phản ánh'!$A$6:$A$505,0)),IF(AND($I907="Công việc",OR($E907="Hoàn thành",$E907="Hoàn thành kỳ")),IF(INDEX('Kế hoạch'!$B$6:$B$305,$O907)="Đột xuất",INDEX('Kế hoạch'!$AY$6:$AY$305,$O907),IF(N($P907)=0,"",IF(INT($B907)&lt;$P907,$P907,IF($Q907&gt;0,$P907+ROUND((INT($B907)-$P907)/$Q907,0)*$Q907,IF($R907&gt;0,EDATE($P907,ROUND((DATEDIF($P907,INT($B907),"m")+(INT($B907)-EDATE($P907,DATEDIF($P907,INT($B907),"m")))/(EDATE($P907,DATEDIF($P907,INT($B907),"m")+1)-EDATE($P907,DATEDIF($P907,INT($B907),"m"))))/$R907,0)*$R907),$P907))))),"")))</f>
      </c>
      <c r="M907" s="223">
        <f>IF(OR($C907="",N($L907)=0,N($B907)=0),"",IF(IF(MOD($L907,1)=0,INT($B907),$B907)&lt;=$L907,"Đúng hạn","Trễ hạn"))</f>
      </c>
      <c r="N907" s="225">
        <f>IF($C907="","",ROW())</f>
      </c>
      <c r="O907" s="225">
        <f>IF($I907="Công việc",MATCH($C907,'Kế hoạch'!$A$6:$A$305,0),"")</f>
      </c>
      <c r="P907" s="234">
        <f>IF($O907="","",INDEX('Kế hoạch'!$I$6:$I$305,$O907))</f>
      </c>
      <c r="Q907" s="225">
        <f>IF($O907="","",INDEX('Kế hoạch'!$AJ$6:$AJ$305,$O907))</f>
      </c>
      <c r="R907" s="225">
        <f>IF($O907="","",INDEX('Kế hoạch'!$AK$6:$AK$305,$O907))</f>
      </c>
    </row>
    <row r="908">
      <c r="A908" s="223">
        <f>IF($C908="","",COUNTIF($C$6:$C908,"?*"))</f>
      </c>
      <c r="B908" s="217"/>
      <c r="C908" s="216"/>
      <c r="D908" s="240"/>
      <c r="E908" s="218"/>
      <c r="F908" s="218"/>
      <c r="G908" s="218"/>
      <c r="H908" s="219"/>
      <c r="I908" s="223">
        <f>IF($C908="","",IF(ISNUMBER(MATCH($C908,'Phản ánh'!$A$6:$A$505,0)),"Phản ánh",IF(ISNUMBER(MATCH($C908,'Kế hoạch'!$A$6:$A$305,0)),"Công việc","Mã chưa có")))</f>
      </c>
      <c r="J908" s="221">
        <f>IF($I908="Phản ánh",INDEX('Phản ánh'!$C$6:$C$505,MATCH($C908,'Phản ánh'!$A$6:$A$505,0)),IF($I908="Công việc",INDEX('Kế hoạch'!$C$6:$C$305,$O908),""))</f>
      </c>
      <c r="K908" s="221">
        <f>IF($I908="Phản ánh",INDEX('Phản ánh'!$K$6:$K$505,MATCH($C908,'Phản ánh'!$A$6:$A$505,0))&amp;"",IF($I908="Công việc",INDEX('Kế hoạch'!$N$6:$N$305,$O908)&amp;"",""))</f>
      </c>
      <c r="L908" s="220">
        <f>IF(OR($C908="",N($B908)=0),"",IF(AND($I908="Phản ánh",$E908="Đã xử lý"),INDEX('Phản ánh'!$U$6:$U$505,MATCH($C908,'Phản ánh'!$A$6:$A$505,0)),IF(AND($I908="Công việc",OR($E908="Hoàn thành",$E908="Hoàn thành kỳ")),IF(INDEX('Kế hoạch'!$B$6:$B$305,$O908)="Đột xuất",INDEX('Kế hoạch'!$AY$6:$AY$305,$O908),IF(N($P908)=0,"",IF(INT($B908)&lt;$P908,$P908,IF($Q908&gt;0,$P908+ROUND((INT($B908)-$P908)/$Q908,0)*$Q908,IF($R908&gt;0,EDATE($P908,ROUND((DATEDIF($P908,INT($B908),"m")+(INT($B908)-EDATE($P908,DATEDIF($P908,INT($B908),"m")))/(EDATE($P908,DATEDIF($P908,INT($B908),"m")+1)-EDATE($P908,DATEDIF($P908,INT($B908),"m"))))/$R908,0)*$R908),$P908))))),"")))</f>
      </c>
      <c r="M908" s="223">
        <f>IF(OR($C908="",N($L908)=0,N($B908)=0),"",IF(IF(MOD($L908,1)=0,INT($B908),$B908)&lt;=$L908,"Đúng hạn","Trễ hạn"))</f>
      </c>
      <c r="N908" s="225">
        <f>IF($C908="","",ROW())</f>
      </c>
      <c r="O908" s="225">
        <f>IF($I908="Công việc",MATCH($C908,'Kế hoạch'!$A$6:$A$305,0),"")</f>
      </c>
      <c r="P908" s="234">
        <f>IF($O908="","",INDEX('Kế hoạch'!$I$6:$I$305,$O908))</f>
      </c>
      <c r="Q908" s="225">
        <f>IF($O908="","",INDEX('Kế hoạch'!$AJ$6:$AJ$305,$O908))</f>
      </c>
      <c r="R908" s="225">
        <f>IF($O908="","",INDEX('Kế hoạch'!$AK$6:$AK$305,$O908))</f>
      </c>
    </row>
    <row r="909">
      <c r="A909" s="223">
        <f>IF($C909="","",COUNTIF($C$6:$C909,"?*"))</f>
      </c>
      <c r="B909" s="217"/>
      <c r="C909" s="216"/>
      <c r="D909" s="240"/>
      <c r="E909" s="218"/>
      <c r="F909" s="218"/>
      <c r="G909" s="218"/>
      <c r="H909" s="219"/>
      <c r="I909" s="223">
        <f>IF($C909="","",IF(ISNUMBER(MATCH($C909,'Phản ánh'!$A$6:$A$505,0)),"Phản ánh",IF(ISNUMBER(MATCH($C909,'Kế hoạch'!$A$6:$A$305,0)),"Công việc","Mã chưa có")))</f>
      </c>
      <c r="J909" s="221">
        <f>IF($I909="Phản ánh",INDEX('Phản ánh'!$C$6:$C$505,MATCH($C909,'Phản ánh'!$A$6:$A$505,0)),IF($I909="Công việc",INDEX('Kế hoạch'!$C$6:$C$305,$O909),""))</f>
      </c>
      <c r="K909" s="221">
        <f>IF($I909="Phản ánh",INDEX('Phản ánh'!$K$6:$K$505,MATCH($C909,'Phản ánh'!$A$6:$A$505,0))&amp;"",IF($I909="Công việc",INDEX('Kế hoạch'!$N$6:$N$305,$O909)&amp;"",""))</f>
      </c>
      <c r="L909" s="220">
        <f>IF(OR($C909="",N($B909)=0),"",IF(AND($I909="Phản ánh",$E909="Đã xử lý"),INDEX('Phản ánh'!$U$6:$U$505,MATCH($C909,'Phản ánh'!$A$6:$A$505,0)),IF(AND($I909="Công việc",OR($E909="Hoàn thành",$E909="Hoàn thành kỳ")),IF(INDEX('Kế hoạch'!$B$6:$B$305,$O909)="Đột xuất",INDEX('Kế hoạch'!$AY$6:$AY$305,$O909),IF(N($P909)=0,"",IF(INT($B909)&lt;$P909,$P909,IF($Q909&gt;0,$P909+ROUND((INT($B909)-$P909)/$Q909,0)*$Q909,IF($R909&gt;0,EDATE($P909,ROUND((DATEDIF($P909,INT($B909),"m")+(INT($B909)-EDATE($P909,DATEDIF($P909,INT($B909),"m")))/(EDATE($P909,DATEDIF($P909,INT($B909),"m")+1)-EDATE($P909,DATEDIF($P909,INT($B909),"m"))))/$R909,0)*$R909),$P909))))),"")))</f>
      </c>
      <c r="M909" s="223">
        <f>IF(OR($C909="",N($L909)=0,N($B909)=0),"",IF(IF(MOD($L909,1)=0,INT($B909),$B909)&lt;=$L909,"Đúng hạn","Trễ hạn"))</f>
      </c>
      <c r="N909" s="225">
        <f>IF($C909="","",ROW())</f>
      </c>
      <c r="O909" s="225">
        <f>IF($I909="Công việc",MATCH($C909,'Kế hoạch'!$A$6:$A$305,0),"")</f>
      </c>
      <c r="P909" s="234">
        <f>IF($O909="","",INDEX('Kế hoạch'!$I$6:$I$305,$O909))</f>
      </c>
      <c r="Q909" s="225">
        <f>IF($O909="","",INDEX('Kế hoạch'!$AJ$6:$AJ$305,$O909))</f>
      </c>
      <c r="R909" s="225">
        <f>IF($O909="","",INDEX('Kế hoạch'!$AK$6:$AK$305,$O909))</f>
      </c>
    </row>
    <row r="910">
      <c r="A910" s="223">
        <f>IF($C910="","",COUNTIF($C$6:$C910,"?*"))</f>
      </c>
      <c r="B910" s="217"/>
      <c r="C910" s="216"/>
      <c r="D910" s="240"/>
      <c r="E910" s="218"/>
      <c r="F910" s="218"/>
      <c r="G910" s="218"/>
      <c r="H910" s="219"/>
      <c r="I910" s="223">
        <f>IF($C910="","",IF(ISNUMBER(MATCH($C910,'Phản ánh'!$A$6:$A$505,0)),"Phản ánh",IF(ISNUMBER(MATCH($C910,'Kế hoạch'!$A$6:$A$305,0)),"Công việc","Mã chưa có")))</f>
      </c>
      <c r="J910" s="221">
        <f>IF($I910="Phản ánh",INDEX('Phản ánh'!$C$6:$C$505,MATCH($C910,'Phản ánh'!$A$6:$A$505,0)),IF($I910="Công việc",INDEX('Kế hoạch'!$C$6:$C$305,$O910),""))</f>
      </c>
      <c r="K910" s="221">
        <f>IF($I910="Phản ánh",INDEX('Phản ánh'!$K$6:$K$505,MATCH($C910,'Phản ánh'!$A$6:$A$505,0))&amp;"",IF($I910="Công việc",INDEX('Kế hoạch'!$N$6:$N$305,$O910)&amp;"",""))</f>
      </c>
      <c r="L910" s="220">
        <f>IF(OR($C910="",N($B910)=0),"",IF(AND($I910="Phản ánh",$E910="Đã xử lý"),INDEX('Phản ánh'!$U$6:$U$505,MATCH($C910,'Phản ánh'!$A$6:$A$505,0)),IF(AND($I910="Công việc",OR($E910="Hoàn thành",$E910="Hoàn thành kỳ")),IF(INDEX('Kế hoạch'!$B$6:$B$305,$O910)="Đột xuất",INDEX('Kế hoạch'!$AY$6:$AY$305,$O910),IF(N($P910)=0,"",IF(INT($B910)&lt;$P910,$P910,IF($Q910&gt;0,$P910+ROUND((INT($B910)-$P910)/$Q910,0)*$Q910,IF($R910&gt;0,EDATE($P910,ROUND((DATEDIF($P910,INT($B910),"m")+(INT($B910)-EDATE($P910,DATEDIF($P910,INT($B910),"m")))/(EDATE($P910,DATEDIF($P910,INT($B910),"m")+1)-EDATE($P910,DATEDIF($P910,INT($B910),"m"))))/$R910,0)*$R910),$P910))))),"")))</f>
      </c>
      <c r="M910" s="223">
        <f>IF(OR($C910="",N($L910)=0,N($B910)=0),"",IF(IF(MOD($L910,1)=0,INT($B910),$B910)&lt;=$L910,"Đúng hạn","Trễ hạn"))</f>
      </c>
      <c r="N910" s="225">
        <f>IF($C910="","",ROW())</f>
      </c>
      <c r="O910" s="225">
        <f>IF($I910="Công việc",MATCH($C910,'Kế hoạch'!$A$6:$A$305,0),"")</f>
      </c>
      <c r="P910" s="234">
        <f>IF($O910="","",INDEX('Kế hoạch'!$I$6:$I$305,$O910))</f>
      </c>
      <c r="Q910" s="225">
        <f>IF($O910="","",INDEX('Kế hoạch'!$AJ$6:$AJ$305,$O910))</f>
      </c>
      <c r="R910" s="225">
        <f>IF($O910="","",INDEX('Kế hoạch'!$AK$6:$AK$305,$O910))</f>
      </c>
    </row>
    <row r="911">
      <c r="A911" s="223">
        <f>IF($C911="","",COUNTIF($C$6:$C911,"?*"))</f>
      </c>
      <c r="B911" s="217"/>
      <c r="C911" s="216"/>
      <c r="D911" s="240"/>
      <c r="E911" s="218"/>
      <c r="F911" s="218"/>
      <c r="G911" s="218"/>
      <c r="H911" s="219"/>
      <c r="I911" s="223">
        <f>IF($C911="","",IF(ISNUMBER(MATCH($C911,'Phản ánh'!$A$6:$A$505,0)),"Phản ánh",IF(ISNUMBER(MATCH($C911,'Kế hoạch'!$A$6:$A$305,0)),"Công việc","Mã chưa có")))</f>
      </c>
      <c r="J911" s="221">
        <f>IF($I911="Phản ánh",INDEX('Phản ánh'!$C$6:$C$505,MATCH($C911,'Phản ánh'!$A$6:$A$505,0)),IF($I911="Công việc",INDEX('Kế hoạch'!$C$6:$C$305,$O911),""))</f>
      </c>
      <c r="K911" s="221">
        <f>IF($I911="Phản ánh",INDEX('Phản ánh'!$K$6:$K$505,MATCH($C911,'Phản ánh'!$A$6:$A$505,0))&amp;"",IF($I911="Công việc",INDEX('Kế hoạch'!$N$6:$N$305,$O911)&amp;"",""))</f>
      </c>
      <c r="L911" s="220">
        <f>IF(OR($C911="",N($B911)=0),"",IF(AND($I911="Phản ánh",$E911="Đã xử lý"),INDEX('Phản ánh'!$U$6:$U$505,MATCH($C911,'Phản ánh'!$A$6:$A$505,0)),IF(AND($I911="Công việc",OR($E911="Hoàn thành",$E911="Hoàn thành kỳ")),IF(INDEX('Kế hoạch'!$B$6:$B$305,$O911)="Đột xuất",INDEX('Kế hoạch'!$AY$6:$AY$305,$O911),IF(N($P911)=0,"",IF(INT($B911)&lt;$P911,$P911,IF($Q911&gt;0,$P911+ROUND((INT($B911)-$P911)/$Q911,0)*$Q911,IF($R911&gt;0,EDATE($P911,ROUND((DATEDIF($P911,INT($B911),"m")+(INT($B911)-EDATE($P911,DATEDIF($P911,INT($B911),"m")))/(EDATE($P911,DATEDIF($P911,INT($B911),"m")+1)-EDATE($P911,DATEDIF($P911,INT($B911),"m"))))/$R911,0)*$R911),$P911))))),"")))</f>
      </c>
      <c r="M911" s="223">
        <f>IF(OR($C911="",N($L911)=0,N($B911)=0),"",IF(IF(MOD($L911,1)=0,INT($B911),$B911)&lt;=$L911,"Đúng hạn","Trễ hạn"))</f>
      </c>
      <c r="N911" s="225">
        <f>IF($C911="","",ROW())</f>
      </c>
      <c r="O911" s="225">
        <f>IF($I911="Công việc",MATCH($C911,'Kế hoạch'!$A$6:$A$305,0),"")</f>
      </c>
      <c r="P911" s="234">
        <f>IF($O911="","",INDEX('Kế hoạch'!$I$6:$I$305,$O911))</f>
      </c>
      <c r="Q911" s="225">
        <f>IF($O911="","",INDEX('Kế hoạch'!$AJ$6:$AJ$305,$O911))</f>
      </c>
      <c r="R911" s="225">
        <f>IF($O911="","",INDEX('Kế hoạch'!$AK$6:$AK$305,$O911))</f>
      </c>
    </row>
    <row r="912">
      <c r="A912" s="223">
        <f>IF($C912="","",COUNTIF($C$6:$C912,"?*"))</f>
      </c>
      <c r="B912" s="217"/>
      <c r="C912" s="216"/>
      <c r="D912" s="240"/>
      <c r="E912" s="218"/>
      <c r="F912" s="218"/>
      <c r="G912" s="218"/>
      <c r="H912" s="219"/>
      <c r="I912" s="223">
        <f>IF($C912="","",IF(ISNUMBER(MATCH($C912,'Phản ánh'!$A$6:$A$505,0)),"Phản ánh",IF(ISNUMBER(MATCH($C912,'Kế hoạch'!$A$6:$A$305,0)),"Công việc","Mã chưa có")))</f>
      </c>
      <c r="J912" s="221">
        <f>IF($I912="Phản ánh",INDEX('Phản ánh'!$C$6:$C$505,MATCH($C912,'Phản ánh'!$A$6:$A$505,0)),IF($I912="Công việc",INDEX('Kế hoạch'!$C$6:$C$305,$O912),""))</f>
      </c>
      <c r="K912" s="221">
        <f>IF($I912="Phản ánh",INDEX('Phản ánh'!$K$6:$K$505,MATCH($C912,'Phản ánh'!$A$6:$A$505,0))&amp;"",IF($I912="Công việc",INDEX('Kế hoạch'!$N$6:$N$305,$O912)&amp;"",""))</f>
      </c>
      <c r="L912" s="220">
        <f>IF(OR($C912="",N($B912)=0),"",IF(AND($I912="Phản ánh",$E912="Đã xử lý"),INDEX('Phản ánh'!$U$6:$U$505,MATCH($C912,'Phản ánh'!$A$6:$A$505,0)),IF(AND($I912="Công việc",OR($E912="Hoàn thành",$E912="Hoàn thành kỳ")),IF(INDEX('Kế hoạch'!$B$6:$B$305,$O912)="Đột xuất",INDEX('Kế hoạch'!$AY$6:$AY$305,$O912),IF(N($P912)=0,"",IF(INT($B912)&lt;$P912,$P912,IF($Q912&gt;0,$P912+ROUND((INT($B912)-$P912)/$Q912,0)*$Q912,IF($R912&gt;0,EDATE($P912,ROUND((DATEDIF($P912,INT($B912),"m")+(INT($B912)-EDATE($P912,DATEDIF($P912,INT($B912),"m")))/(EDATE($P912,DATEDIF($P912,INT($B912),"m")+1)-EDATE($P912,DATEDIF($P912,INT($B912),"m"))))/$R912,0)*$R912),$P912))))),"")))</f>
      </c>
      <c r="M912" s="223">
        <f>IF(OR($C912="",N($L912)=0,N($B912)=0),"",IF(IF(MOD($L912,1)=0,INT($B912),$B912)&lt;=$L912,"Đúng hạn","Trễ hạn"))</f>
      </c>
      <c r="N912" s="225">
        <f>IF($C912="","",ROW())</f>
      </c>
      <c r="O912" s="225">
        <f>IF($I912="Công việc",MATCH($C912,'Kế hoạch'!$A$6:$A$305,0),"")</f>
      </c>
      <c r="P912" s="234">
        <f>IF($O912="","",INDEX('Kế hoạch'!$I$6:$I$305,$O912))</f>
      </c>
      <c r="Q912" s="225">
        <f>IF($O912="","",INDEX('Kế hoạch'!$AJ$6:$AJ$305,$O912))</f>
      </c>
      <c r="R912" s="225">
        <f>IF($O912="","",INDEX('Kế hoạch'!$AK$6:$AK$305,$O912))</f>
      </c>
    </row>
    <row r="913">
      <c r="A913" s="223">
        <f>IF($C913="","",COUNTIF($C$6:$C913,"?*"))</f>
      </c>
      <c r="B913" s="217"/>
      <c r="C913" s="216"/>
      <c r="D913" s="240"/>
      <c r="E913" s="218"/>
      <c r="F913" s="218"/>
      <c r="G913" s="218"/>
      <c r="H913" s="219"/>
      <c r="I913" s="223">
        <f>IF($C913="","",IF(ISNUMBER(MATCH($C913,'Phản ánh'!$A$6:$A$505,0)),"Phản ánh",IF(ISNUMBER(MATCH($C913,'Kế hoạch'!$A$6:$A$305,0)),"Công việc","Mã chưa có")))</f>
      </c>
      <c r="J913" s="221">
        <f>IF($I913="Phản ánh",INDEX('Phản ánh'!$C$6:$C$505,MATCH($C913,'Phản ánh'!$A$6:$A$505,0)),IF($I913="Công việc",INDEX('Kế hoạch'!$C$6:$C$305,$O913),""))</f>
      </c>
      <c r="K913" s="221">
        <f>IF($I913="Phản ánh",INDEX('Phản ánh'!$K$6:$K$505,MATCH($C913,'Phản ánh'!$A$6:$A$505,0))&amp;"",IF($I913="Công việc",INDEX('Kế hoạch'!$N$6:$N$305,$O913)&amp;"",""))</f>
      </c>
      <c r="L913" s="220">
        <f>IF(OR($C913="",N($B913)=0),"",IF(AND($I913="Phản ánh",$E913="Đã xử lý"),INDEX('Phản ánh'!$U$6:$U$505,MATCH($C913,'Phản ánh'!$A$6:$A$505,0)),IF(AND($I913="Công việc",OR($E913="Hoàn thành",$E913="Hoàn thành kỳ")),IF(INDEX('Kế hoạch'!$B$6:$B$305,$O913)="Đột xuất",INDEX('Kế hoạch'!$AY$6:$AY$305,$O913),IF(N($P913)=0,"",IF(INT($B913)&lt;$P913,$P913,IF($Q913&gt;0,$P913+ROUND((INT($B913)-$P913)/$Q913,0)*$Q913,IF($R913&gt;0,EDATE($P913,ROUND((DATEDIF($P913,INT($B913),"m")+(INT($B913)-EDATE($P913,DATEDIF($P913,INT($B913),"m")))/(EDATE($P913,DATEDIF($P913,INT($B913),"m")+1)-EDATE($P913,DATEDIF($P913,INT($B913),"m"))))/$R913,0)*$R913),$P913))))),"")))</f>
      </c>
      <c r="M913" s="223">
        <f>IF(OR($C913="",N($L913)=0,N($B913)=0),"",IF(IF(MOD($L913,1)=0,INT($B913),$B913)&lt;=$L913,"Đúng hạn","Trễ hạn"))</f>
      </c>
      <c r="N913" s="225">
        <f>IF($C913="","",ROW())</f>
      </c>
      <c r="O913" s="225">
        <f>IF($I913="Công việc",MATCH($C913,'Kế hoạch'!$A$6:$A$305,0),"")</f>
      </c>
      <c r="P913" s="234">
        <f>IF($O913="","",INDEX('Kế hoạch'!$I$6:$I$305,$O913))</f>
      </c>
      <c r="Q913" s="225">
        <f>IF($O913="","",INDEX('Kế hoạch'!$AJ$6:$AJ$305,$O913))</f>
      </c>
      <c r="R913" s="225">
        <f>IF($O913="","",INDEX('Kế hoạch'!$AK$6:$AK$305,$O913))</f>
      </c>
    </row>
    <row r="914">
      <c r="A914" s="223">
        <f>IF($C914="","",COUNTIF($C$6:$C914,"?*"))</f>
      </c>
      <c r="B914" s="217"/>
      <c r="C914" s="216"/>
      <c r="D914" s="240"/>
      <c r="E914" s="218"/>
      <c r="F914" s="218"/>
      <c r="G914" s="218"/>
      <c r="H914" s="219"/>
      <c r="I914" s="223">
        <f>IF($C914="","",IF(ISNUMBER(MATCH($C914,'Phản ánh'!$A$6:$A$505,0)),"Phản ánh",IF(ISNUMBER(MATCH($C914,'Kế hoạch'!$A$6:$A$305,0)),"Công việc","Mã chưa có")))</f>
      </c>
      <c r="J914" s="221">
        <f>IF($I914="Phản ánh",INDEX('Phản ánh'!$C$6:$C$505,MATCH($C914,'Phản ánh'!$A$6:$A$505,0)),IF($I914="Công việc",INDEX('Kế hoạch'!$C$6:$C$305,$O914),""))</f>
      </c>
      <c r="K914" s="221">
        <f>IF($I914="Phản ánh",INDEX('Phản ánh'!$K$6:$K$505,MATCH($C914,'Phản ánh'!$A$6:$A$505,0))&amp;"",IF($I914="Công việc",INDEX('Kế hoạch'!$N$6:$N$305,$O914)&amp;"",""))</f>
      </c>
      <c r="L914" s="220">
        <f>IF(OR($C914="",N($B914)=0),"",IF(AND($I914="Phản ánh",$E914="Đã xử lý"),INDEX('Phản ánh'!$U$6:$U$505,MATCH($C914,'Phản ánh'!$A$6:$A$505,0)),IF(AND($I914="Công việc",OR($E914="Hoàn thành",$E914="Hoàn thành kỳ")),IF(INDEX('Kế hoạch'!$B$6:$B$305,$O914)="Đột xuất",INDEX('Kế hoạch'!$AY$6:$AY$305,$O914),IF(N($P914)=0,"",IF(INT($B914)&lt;$P914,$P914,IF($Q914&gt;0,$P914+ROUND((INT($B914)-$P914)/$Q914,0)*$Q914,IF($R914&gt;0,EDATE($P914,ROUND((DATEDIF($P914,INT($B914),"m")+(INT($B914)-EDATE($P914,DATEDIF($P914,INT($B914),"m")))/(EDATE($P914,DATEDIF($P914,INT($B914),"m")+1)-EDATE($P914,DATEDIF($P914,INT($B914),"m"))))/$R914,0)*$R914),$P914))))),"")))</f>
      </c>
      <c r="M914" s="223">
        <f>IF(OR($C914="",N($L914)=0,N($B914)=0),"",IF(IF(MOD($L914,1)=0,INT($B914),$B914)&lt;=$L914,"Đúng hạn","Trễ hạn"))</f>
      </c>
      <c r="N914" s="225">
        <f>IF($C914="","",ROW())</f>
      </c>
      <c r="O914" s="225">
        <f>IF($I914="Công việc",MATCH($C914,'Kế hoạch'!$A$6:$A$305,0),"")</f>
      </c>
      <c r="P914" s="234">
        <f>IF($O914="","",INDEX('Kế hoạch'!$I$6:$I$305,$O914))</f>
      </c>
      <c r="Q914" s="225">
        <f>IF($O914="","",INDEX('Kế hoạch'!$AJ$6:$AJ$305,$O914))</f>
      </c>
      <c r="R914" s="225">
        <f>IF($O914="","",INDEX('Kế hoạch'!$AK$6:$AK$305,$O914))</f>
      </c>
    </row>
    <row r="915">
      <c r="A915" s="223">
        <f>IF($C915="","",COUNTIF($C$6:$C915,"?*"))</f>
      </c>
      <c r="B915" s="217"/>
      <c r="C915" s="216"/>
      <c r="D915" s="240"/>
      <c r="E915" s="218"/>
      <c r="F915" s="218"/>
      <c r="G915" s="218"/>
      <c r="H915" s="219"/>
      <c r="I915" s="223">
        <f>IF($C915="","",IF(ISNUMBER(MATCH($C915,'Phản ánh'!$A$6:$A$505,0)),"Phản ánh",IF(ISNUMBER(MATCH($C915,'Kế hoạch'!$A$6:$A$305,0)),"Công việc","Mã chưa có")))</f>
      </c>
      <c r="J915" s="221">
        <f>IF($I915="Phản ánh",INDEX('Phản ánh'!$C$6:$C$505,MATCH($C915,'Phản ánh'!$A$6:$A$505,0)),IF($I915="Công việc",INDEX('Kế hoạch'!$C$6:$C$305,$O915),""))</f>
      </c>
      <c r="K915" s="221">
        <f>IF($I915="Phản ánh",INDEX('Phản ánh'!$K$6:$K$505,MATCH($C915,'Phản ánh'!$A$6:$A$505,0))&amp;"",IF($I915="Công việc",INDEX('Kế hoạch'!$N$6:$N$305,$O915)&amp;"",""))</f>
      </c>
      <c r="L915" s="220">
        <f>IF(OR($C915="",N($B915)=0),"",IF(AND($I915="Phản ánh",$E915="Đã xử lý"),INDEX('Phản ánh'!$U$6:$U$505,MATCH($C915,'Phản ánh'!$A$6:$A$505,0)),IF(AND($I915="Công việc",OR($E915="Hoàn thành",$E915="Hoàn thành kỳ")),IF(INDEX('Kế hoạch'!$B$6:$B$305,$O915)="Đột xuất",INDEX('Kế hoạch'!$AY$6:$AY$305,$O915),IF(N($P915)=0,"",IF(INT($B915)&lt;$P915,$P915,IF($Q915&gt;0,$P915+ROUND((INT($B915)-$P915)/$Q915,0)*$Q915,IF($R915&gt;0,EDATE($P915,ROUND((DATEDIF($P915,INT($B915),"m")+(INT($B915)-EDATE($P915,DATEDIF($P915,INT($B915),"m")))/(EDATE($P915,DATEDIF($P915,INT($B915),"m")+1)-EDATE($P915,DATEDIF($P915,INT($B915),"m"))))/$R915,0)*$R915),$P915))))),"")))</f>
      </c>
      <c r="M915" s="223">
        <f>IF(OR($C915="",N($L915)=0,N($B915)=0),"",IF(IF(MOD($L915,1)=0,INT($B915),$B915)&lt;=$L915,"Đúng hạn","Trễ hạn"))</f>
      </c>
      <c r="N915" s="225">
        <f>IF($C915="","",ROW())</f>
      </c>
      <c r="O915" s="225">
        <f>IF($I915="Công việc",MATCH($C915,'Kế hoạch'!$A$6:$A$305,0),"")</f>
      </c>
      <c r="P915" s="234">
        <f>IF($O915="","",INDEX('Kế hoạch'!$I$6:$I$305,$O915))</f>
      </c>
      <c r="Q915" s="225">
        <f>IF($O915="","",INDEX('Kế hoạch'!$AJ$6:$AJ$305,$O915))</f>
      </c>
      <c r="R915" s="225">
        <f>IF($O915="","",INDEX('Kế hoạch'!$AK$6:$AK$305,$O915))</f>
      </c>
    </row>
    <row r="916">
      <c r="A916" s="223">
        <f>IF($C916="","",COUNTIF($C$6:$C916,"?*"))</f>
      </c>
      <c r="B916" s="217"/>
      <c r="C916" s="216"/>
      <c r="D916" s="240"/>
      <c r="E916" s="218"/>
      <c r="F916" s="218"/>
      <c r="G916" s="218"/>
      <c r="H916" s="219"/>
      <c r="I916" s="223">
        <f>IF($C916="","",IF(ISNUMBER(MATCH($C916,'Phản ánh'!$A$6:$A$505,0)),"Phản ánh",IF(ISNUMBER(MATCH($C916,'Kế hoạch'!$A$6:$A$305,0)),"Công việc","Mã chưa có")))</f>
      </c>
      <c r="J916" s="221">
        <f>IF($I916="Phản ánh",INDEX('Phản ánh'!$C$6:$C$505,MATCH($C916,'Phản ánh'!$A$6:$A$505,0)),IF($I916="Công việc",INDEX('Kế hoạch'!$C$6:$C$305,$O916),""))</f>
      </c>
      <c r="K916" s="221">
        <f>IF($I916="Phản ánh",INDEX('Phản ánh'!$K$6:$K$505,MATCH($C916,'Phản ánh'!$A$6:$A$505,0))&amp;"",IF($I916="Công việc",INDEX('Kế hoạch'!$N$6:$N$305,$O916)&amp;"",""))</f>
      </c>
      <c r="L916" s="220">
        <f>IF(OR($C916="",N($B916)=0),"",IF(AND($I916="Phản ánh",$E916="Đã xử lý"),INDEX('Phản ánh'!$U$6:$U$505,MATCH($C916,'Phản ánh'!$A$6:$A$505,0)),IF(AND($I916="Công việc",OR($E916="Hoàn thành",$E916="Hoàn thành kỳ")),IF(INDEX('Kế hoạch'!$B$6:$B$305,$O916)="Đột xuất",INDEX('Kế hoạch'!$AY$6:$AY$305,$O916),IF(N($P916)=0,"",IF(INT($B916)&lt;$P916,$P916,IF($Q916&gt;0,$P916+ROUND((INT($B916)-$P916)/$Q916,0)*$Q916,IF($R916&gt;0,EDATE($P916,ROUND((DATEDIF($P916,INT($B916),"m")+(INT($B916)-EDATE($P916,DATEDIF($P916,INT($B916),"m")))/(EDATE($P916,DATEDIF($P916,INT($B916),"m")+1)-EDATE($P916,DATEDIF($P916,INT($B916),"m"))))/$R916,0)*$R916),$P916))))),"")))</f>
      </c>
      <c r="M916" s="223">
        <f>IF(OR($C916="",N($L916)=0,N($B916)=0),"",IF(IF(MOD($L916,1)=0,INT($B916),$B916)&lt;=$L916,"Đúng hạn","Trễ hạn"))</f>
      </c>
      <c r="N916" s="225">
        <f>IF($C916="","",ROW())</f>
      </c>
      <c r="O916" s="225">
        <f>IF($I916="Công việc",MATCH($C916,'Kế hoạch'!$A$6:$A$305,0),"")</f>
      </c>
      <c r="P916" s="234">
        <f>IF($O916="","",INDEX('Kế hoạch'!$I$6:$I$305,$O916))</f>
      </c>
      <c r="Q916" s="225">
        <f>IF($O916="","",INDEX('Kế hoạch'!$AJ$6:$AJ$305,$O916))</f>
      </c>
      <c r="R916" s="225">
        <f>IF($O916="","",INDEX('Kế hoạch'!$AK$6:$AK$305,$O916))</f>
      </c>
    </row>
    <row r="917">
      <c r="A917" s="223">
        <f>IF($C917="","",COUNTIF($C$6:$C917,"?*"))</f>
      </c>
      <c r="B917" s="217"/>
      <c r="C917" s="216"/>
      <c r="D917" s="240"/>
      <c r="E917" s="218"/>
      <c r="F917" s="218"/>
      <c r="G917" s="218"/>
      <c r="H917" s="219"/>
      <c r="I917" s="223">
        <f>IF($C917="","",IF(ISNUMBER(MATCH($C917,'Phản ánh'!$A$6:$A$505,0)),"Phản ánh",IF(ISNUMBER(MATCH($C917,'Kế hoạch'!$A$6:$A$305,0)),"Công việc","Mã chưa có")))</f>
      </c>
      <c r="J917" s="221">
        <f>IF($I917="Phản ánh",INDEX('Phản ánh'!$C$6:$C$505,MATCH($C917,'Phản ánh'!$A$6:$A$505,0)),IF($I917="Công việc",INDEX('Kế hoạch'!$C$6:$C$305,$O917),""))</f>
      </c>
      <c r="K917" s="221">
        <f>IF($I917="Phản ánh",INDEX('Phản ánh'!$K$6:$K$505,MATCH($C917,'Phản ánh'!$A$6:$A$505,0))&amp;"",IF($I917="Công việc",INDEX('Kế hoạch'!$N$6:$N$305,$O917)&amp;"",""))</f>
      </c>
      <c r="L917" s="220">
        <f>IF(OR($C917="",N($B917)=0),"",IF(AND($I917="Phản ánh",$E917="Đã xử lý"),INDEX('Phản ánh'!$U$6:$U$505,MATCH($C917,'Phản ánh'!$A$6:$A$505,0)),IF(AND($I917="Công việc",OR($E917="Hoàn thành",$E917="Hoàn thành kỳ")),IF(INDEX('Kế hoạch'!$B$6:$B$305,$O917)="Đột xuất",INDEX('Kế hoạch'!$AY$6:$AY$305,$O917),IF(N($P917)=0,"",IF(INT($B917)&lt;$P917,$P917,IF($Q917&gt;0,$P917+ROUND((INT($B917)-$P917)/$Q917,0)*$Q917,IF($R917&gt;0,EDATE($P917,ROUND((DATEDIF($P917,INT($B917),"m")+(INT($B917)-EDATE($P917,DATEDIF($P917,INT($B917),"m")))/(EDATE($P917,DATEDIF($P917,INT($B917),"m")+1)-EDATE($P917,DATEDIF($P917,INT($B917),"m"))))/$R917,0)*$R917),$P917))))),"")))</f>
      </c>
      <c r="M917" s="223">
        <f>IF(OR($C917="",N($L917)=0,N($B917)=0),"",IF(IF(MOD($L917,1)=0,INT($B917),$B917)&lt;=$L917,"Đúng hạn","Trễ hạn"))</f>
      </c>
      <c r="N917" s="225">
        <f>IF($C917="","",ROW())</f>
      </c>
      <c r="O917" s="225">
        <f>IF($I917="Công việc",MATCH($C917,'Kế hoạch'!$A$6:$A$305,0),"")</f>
      </c>
      <c r="P917" s="234">
        <f>IF($O917="","",INDEX('Kế hoạch'!$I$6:$I$305,$O917))</f>
      </c>
      <c r="Q917" s="225">
        <f>IF($O917="","",INDEX('Kế hoạch'!$AJ$6:$AJ$305,$O917))</f>
      </c>
      <c r="R917" s="225">
        <f>IF($O917="","",INDEX('Kế hoạch'!$AK$6:$AK$305,$O917))</f>
      </c>
    </row>
    <row r="918">
      <c r="A918" s="223">
        <f>IF($C918="","",COUNTIF($C$6:$C918,"?*"))</f>
      </c>
      <c r="B918" s="217"/>
      <c r="C918" s="216"/>
      <c r="D918" s="240"/>
      <c r="E918" s="218"/>
      <c r="F918" s="218"/>
      <c r="G918" s="218"/>
      <c r="H918" s="219"/>
      <c r="I918" s="223">
        <f>IF($C918="","",IF(ISNUMBER(MATCH($C918,'Phản ánh'!$A$6:$A$505,0)),"Phản ánh",IF(ISNUMBER(MATCH($C918,'Kế hoạch'!$A$6:$A$305,0)),"Công việc","Mã chưa có")))</f>
      </c>
      <c r="J918" s="221">
        <f>IF($I918="Phản ánh",INDEX('Phản ánh'!$C$6:$C$505,MATCH($C918,'Phản ánh'!$A$6:$A$505,0)),IF($I918="Công việc",INDEX('Kế hoạch'!$C$6:$C$305,$O918),""))</f>
      </c>
      <c r="K918" s="221">
        <f>IF($I918="Phản ánh",INDEX('Phản ánh'!$K$6:$K$505,MATCH($C918,'Phản ánh'!$A$6:$A$505,0))&amp;"",IF($I918="Công việc",INDEX('Kế hoạch'!$N$6:$N$305,$O918)&amp;"",""))</f>
      </c>
      <c r="L918" s="220">
        <f>IF(OR($C918="",N($B918)=0),"",IF(AND($I918="Phản ánh",$E918="Đã xử lý"),INDEX('Phản ánh'!$U$6:$U$505,MATCH($C918,'Phản ánh'!$A$6:$A$505,0)),IF(AND($I918="Công việc",OR($E918="Hoàn thành",$E918="Hoàn thành kỳ")),IF(INDEX('Kế hoạch'!$B$6:$B$305,$O918)="Đột xuất",INDEX('Kế hoạch'!$AY$6:$AY$305,$O918),IF(N($P918)=0,"",IF(INT($B918)&lt;$P918,$P918,IF($Q918&gt;0,$P918+ROUND((INT($B918)-$P918)/$Q918,0)*$Q918,IF($R918&gt;0,EDATE($P918,ROUND((DATEDIF($P918,INT($B918),"m")+(INT($B918)-EDATE($P918,DATEDIF($P918,INT($B918),"m")))/(EDATE($P918,DATEDIF($P918,INT($B918),"m")+1)-EDATE($P918,DATEDIF($P918,INT($B918),"m"))))/$R918,0)*$R918),$P918))))),"")))</f>
      </c>
      <c r="M918" s="223">
        <f>IF(OR($C918="",N($L918)=0,N($B918)=0),"",IF(IF(MOD($L918,1)=0,INT($B918),$B918)&lt;=$L918,"Đúng hạn","Trễ hạn"))</f>
      </c>
      <c r="N918" s="225">
        <f>IF($C918="","",ROW())</f>
      </c>
      <c r="O918" s="225">
        <f>IF($I918="Công việc",MATCH($C918,'Kế hoạch'!$A$6:$A$305,0),"")</f>
      </c>
      <c r="P918" s="234">
        <f>IF($O918="","",INDEX('Kế hoạch'!$I$6:$I$305,$O918))</f>
      </c>
      <c r="Q918" s="225">
        <f>IF($O918="","",INDEX('Kế hoạch'!$AJ$6:$AJ$305,$O918))</f>
      </c>
      <c r="R918" s="225">
        <f>IF($O918="","",INDEX('Kế hoạch'!$AK$6:$AK$305,$O918))</f>
      </c>
    </row>
    <row r="919">
      <c r="A919" s="223">
        <f>IF($C919="","",COUNTIF($C$6:$C919,"?*"))</f>
      </c>
      <c r="B919" s="217"/>
      <c r="C919" s="216"/>
      <c r="D919" s="240"/>
      <c r="E919" s="218"/>
      <c r="F919" s="218"/>
      <c r="G919" s="218"/>
      <c r="H919" s="219"/>
      <c r="I919" s="223">
        <f>IF($C919="","",IF(ISNUMBER(MATCH($C919,'Phản ánh'!$A$6:$A$505,0)),"Phản ánh",IF(ISNUMBER(MATCH($C919,'Kế hoạch'!$A$6:$A$305,0)),"Công việc","Mã chưa có")))</f>
      </c>
      <c r="J919" s="221">
        <f>IF($I919="Phản ánh",INDEX('Phản ánh'!$C$6:$C$505,MATCH($C919,'Phản ánh'!$A$6:$A$505,0)),IF($I919="Công việc",INDEX('Kế hoạch'!$C$6:$C$305,$O919),""))</f>
      </c>
      <c r="K919" s="221">
        <f>IF($I919="Phản ánh",INDEX('Phản ánh'!$K$6:$K$505,MATCH($C919,'Phản ánh'!$A$6:$A$505,0))&amp;"",IF($I919="Công việc",INDEX('Kế hoạch'!$N$6:$N$305,$O919)&amp;"",""))</f>
      </c>
      <c r="L919" s="220">
        <f>IF(OR($C919="",N($B919)=0),"",IF(AND($I919="Phản ánh",$E919="Đã xử lý"),INDEX('Phản ánh'!$U$6:$U$505,MATCH($C919,'Phản ánh'!$A$6:$A$505,0)),IF(AND($I919="Công việc",OR($E919="Hoàn thành",$E919="Hoàn thành kỳ")),IF(INDEX('Kế hoạch'!$B$6:$B$305,$O919)="Đột xuất",INDEX('Kế hoạch'!$AY$6:$AY$305,$O919),IF(N($P919)=0,"",IF(INT($B919)&lt;$P919,$P919,IF($Q919&gt;0,$P919+ROUND((INT($B919)-$P919)/$Q919,0)*$Q919,IF($R919&gt;0,EDATE($P919,ROUND((DATEDIF($P919,INT($B919),"m")+(INT($B919)-EDATE($P919,DATEDIF($P919,INT($B919),"m")))/(EDATE($P919,DATEDIF($P919,INT($B919),"m")+1)-EDATE($P919,DATEDIF($P919,INT($B919),"m"))))/$R919,0)*$R919),$P919))))),"")))</f>
      </c>
      <c r="M919" s="223">
        <f>IF(OR($C919="",N($L919)=0,N($B919)=0),"",IF(IF(MOD($L919,1)=0,INT($B919),$B919)&lt;=$L919,"Đúng hạn","Trễ hạn"))</f>
      </c>
      <c r="N919" s="225">
        <f>IF($C919="","",ROW())</f>
      </c>
      <c r="O919" s="225">
        <f>IF($I919="Công việc",MATCH($C919,'Kế hoạch'!$A$6:$A$305,0),"")</f>
      </c>
      <c r="P919" s="234">
        <f>IF($O919="","",INDEX('Kế hoạch'!$I$6:$I$305,$O919))</f>
      </c>
      <c r="Q919" s="225">
        <f>IF($O919="","",INDEX('Kế hoạch'!$AJ$6:$AJ$305,$O919))</f>
      </c>
      <c r="R919" s="225">
        <f>IF($O919="","",INDEX('Kế hoạch'!$AK$6:$AK$305,$O919))</f>
      </c>
    </row>
    <row r="920">
      <c r="A920" s="223">
        <f>IF($C920="","",COUNTIF($C$6:$C920,"?*"))</f>
      </c>
      <c r="B920" s="217"/>
      <c r="C920" s="216"/>
      <c r="D920" s="240"/>
      <c r="E920" s="218"/>
      <c r="F920" s="218"/>
      <c r="G920" s="218"/>
      <c r="H920" s="219"/>
      <c r="I920" s="223">
        <f>IF($C920="","",IF(ISNUMBER(MATCH($C920,'Phản ánh'!$A$6:$A$505,0)),"Phản ánh",IF(ISNUMBER(MATCH($C920,'Kế hoạch'!$A$6:$A$305,0)),"Công việc","Mã chưa có")))</f>
      </c>
      <c r="J920" s="221">
        <f>IF($I920="Phản ánh",INDEX('Phản ánh'!$C$6:$C$505,MATCH($C920,'Phản ánh'!$A$6:$A$505,0)),IF($I920="Công việc",INDEX('Kế hoạch'!$C$6:$C$305,$O920),""))</f>
      </c>
      <c r="K920" s="221">
        <f>IF($I920="Phản ánh",INDEX('Phản ánh'!$K$6:$K$505,MATCH($C920,'Phản ánh'!$A$6:$A$505,0))&amp;"",IF($I920="Công việc",INDEX('Kế hoạch'!$N$6:$N$305,$O920)&amp;"",""))</f>
      </c>
      <c r="L920" s="220">
        <f>IF(OR($C920="",N($B920)=0),"",IF(AND($I920="Phản ánh",$E920="Đã xử lý"),INDEX('Phản ánh'!$U$6:$U$505,MATCH($C920,'Phản ánh'!$A$6:$A$505,0)),IF(AND($I920="Công việc",OR($E920="Hoàn thành",$E920="Hoàn thành kỳ")),IF(INDEX('Kế hoạch'!$B$6:$B$305,$O920)="Đột xuất",INDEX('Kế hoạch'!$AY$6:$AY$305,$O920),IF(N($P920)=0,"",IF(INT($B920)&lt;$P920,$P920,IF($Q920&gt;0,$P920+ROUND((INT($B920)-$P920)/$Q920,0)*$Q920,IF($R920&gt;0,EDATE($P920,ROUND((DATEDIF($P920,INT($B920),"m")+(INT($B920)-EDATE($P920,DATEDIF($P920,INT($B920),"m")))/(EDATE($P920,DATEDIF($P920,INT($B920),"m")+1)-EDATE($P920,DATEDIF($P920,INT($B920),"m"))))/$R920,0)*$R920),$P920))))),"")))</f>
      </c>
      <c r="M920" s="223">
        <f>IF(OR($C920="",N($L920)=0,N($B920)=0),"",IF(IF(MOD($L920,1)=0,INT($B920),$B920)&lt;=$L920,"Đúng hạn","Trễ hạn"))</f>
      </c>
      <c r="N920" s="225">
        <f>IF($C920="","",ROW())</f>
      </c>
      <c r="O920" s="225">
        <f>IF($I920="Công việc",MATCH($C920,'Kế hoạch'!$A$6:$A$305,0),"")</f>
      </c>
      <c r="P920" s="234">
        <f>IF($O920="","",INDEX('Kế hoạch'!$I$6:$I$305,$O920))</f>
      </c>
      <c r="Q920" s="225">
        <f>IF($O920="","",INDEX('Kế hoạch'!$AJ$6:$AJ$305,$O920))</f>
      </c>
      <c r="R920" s="225">
        <f>IF($O920="","",INDEX('Kế hoạch'!$AK$6:$AK$305,$O920))</f>
      </c>
    </row>
    <row r="921">
      <c r="A921" s="223">
        <f>IF($C921="","",COUNTIF($C$6:$C921,"?*"))</f>
      </c>
      <c r="B921" s="217"/>
      <c r="C921" s="216"/>
      <c r="D921" s="240"/>
      <c r="E921" s="218"/>
      <c r="F921" s="218"/>
      <c r="G921" s="218"/>
      <c r="H921" s="219"/>
      <c r="I921" s="223">
        <f>IF($C921="","",IF(ISNUMBER(MATCH($C921,'Phản ánh'!$A$6:$A$505,0)),"Phản ánh",IF(ISNUMBER(MATCH($C921,'Kế hoạch'!$A$6:$A$305,0)),"Công việc","Mã chưa có")))</f>
      </c>
      <c r="J921" s="221">
        <f>IF($I921="Phản ánh",INDEX('Phản ánh'!$C$6:$C$505,MATCH($C921,'Phản ánh'!$A$6:$A$505,0)),IF($I921="Công việc",INDEX('Kế hoạch'!$C$6:$C$305,$O921),""))</f>
      </c>
      <c r="K921" s="221">
        <f>IF($I921="Phản ánh",INDEX('Phản ánh'!$K$6:$K$505,MATCH($C921,'Phản ánh'!$A$6:$A$505,0))&amp;"",IF($I921="Công việc",INDEX('Kế hoạch'!$N$6:$N$305,$O921)&amp;"",""))</f>
      </c>
      <c r="L921" s="220">
        <f>IF(OR($C921="",N($B921)=0),"",IF(AND($I921="Phản ánh",$E921="Đã xử lý"),INDEX('Phản ánh'!$U$6:$U$505,MATCH($C921,'Phản ánh'!$A$6:$A$505,0)),IF(AND($I921="Công việc",OR($E921="Hoàn thành",$E921="Hoàn thành kỳ")),IF(INDEX('Kế hoạch'!$B$6:$B$305,$O921)="Đột xuất",INDEX('Kế hoạch'!$AY$6:$AY$305,$O921),IF(N($P921)=0,"",IF(INT($B921)&lt;$P921,$P921,IF($Q921&gt;0,$P921+ROUND((INT($B921)-$P921)/$Q921,0)*$Q921,IF($R921&gt;0,EDATE($P921,ROUND((DATEDIF($P921,INT($B921),"m")+(INT($B921)-EDATE($P921,DATEDIF($P921,INT($B921),"m")))/(EDATE($P921,DATEDIF($P921,INT($B921),"m")+1)-EDATE($P921,DATEDIF($P921,INT($B921),"m"))))/$R921,0)*$R921),$P921))))),"")))</f>
      </c>
      <c r="M921" s="223">
        <f>IF(OR($C921="",N($L921)=0,N($B921)=0),"",IF(IF(MOD($L921,1)=0,INT($B921),$B921)&lt;=$L921,"Đúng hạn","Trễ hạn"))</f>
      </c>
      <c r="N921" s="225">
        <f>IF($C921="","",ROW())</f>
      </c>
      <c r="O921" s="225">
        <f>IF($I921="Công việc",MATCH($C921,'Kế hoạch'!$A$6:$A$305,0),"")</f>
      </c>
      <c r="P921" s="234">
        <f>IF($O921="","",INDEX('Kế hoạch'!$I$6:$I$305,$O921))</f>
      </c>
      <c r="Q921" s="225">
        <f>IF($O921="","",INDEX('Kế hoạch'!$AJ$6:$AJ$305,$O921))</f>
      </c>
      <c r="R921" s="225">
        <f>IF($O921="","",INDEX('Kế hoạch'!$AK$6:$AK$305,$O921))</f>
      </c>
    </row>
    <row r="922">
      <c r="A922" s="223">
        <f>IF($C922="","",COUNTIF($C$6:$C922,"?*"))</f>
      </c>
      <c r="B922" s="217"/>
      <c r="C922" s="216"/>
      <c r="D922" s="240"/>
      <c r="E922" s="218"/>
      <c r="F922" s="218"/>
      <c r="G922" s="218"/>
      <c r="H922" s="219"/>
      <c r="I922" s="223">
        <f>IF($C922="","",IF(ISNUMBER(MATCH($C922,'Phản ánh'!$A$6:$A$505,0)),"Phản ánh",IF(ISNUMBER(MATCH($C922,'Kế hoạch'!$A$6:$A$305,0)),"Công việc","Mã chưa có")))</f>
      </c>
      <c r="J922" s="221">
        <f>IF($I922="Phản ánh",INDEX('Phản ánh'!$C$6:$C$505,MATCH($C922,'Phản ánh'!$A$6:$A$505,0)),IF($I922="Công việc",INDEX('Kế hoạch'!$C$6:$C$305,$O922),""))</f>
      </c>
      <c r="K922" s="221">
        <f>IF($I922="Phản ánh",INDEX('Phản ánh'!$K$6:$K$505,MATCH($C922,'Phản ánh'!$A$6:$A$505,0))&amp;"",IF($I922="Công việc",INDEX('Kế hoạch'!$N$6:$N$305,$O922)&amp;"",""))</f>
      </c>
      <c r="L922" s="220">
        <f>IF(OR($C922="",N($B922)=0),"",IF(AND($I922="Phản ánh",$E922="Đã xử lý"),INDEX('Phản ánh'!$U$6:$U$505,MATCH($C922,'Phản ánh'!$A$6:$A$505,0)),IF(AND($I922="Công việc",OR($E922="Hoàn thành",$E922="Hoàn thành kỳ")),IF(INDEX('Kế hoạch'!$B$6:$B$305,$O922)="Đột xuất",INDEX('Kế hoạch'!$AY$6:$AY$305,$O922),IF(N($P922)=0,"",IF(INT($B922)&lt;$P922,$P922,IF($Q922&gt;0,$P922+ROUND((INT($B922)-$P922)/$Q922,0)*$Q922,IF($R922&gt;0,EDATE($P922,ROUND((DATEDIF($P922,INT($B922),"m")+(INT($B922)-EDATE($P922,DATEDIF($P922,INT($B922),"m")))/(EDATE($P922,DATEDIF($P922,INT($B922),"m")+1)-EDATE($P922,DATEDIF($P922,INT($B922),"m"))))/$R922,0)*$R922),$P922))))),"")))</f>
      </c>
      <c r="M922" s="223">
        <f>IF(OR($C922="",N($L922)=0,N($B922)=0),"",IF(IF(MOD($L922,1)=0,INT($B922),$B922)&lt;=$L922,"Đúng hạn","Trễ hạn"))</f>
      </c>
      <c r="N922" s="225">
        <f>IF($C922="","",ROW())</f>
      </c>
      <c r="O922" s="225">
        <f>IF($I922="Công việc",MATCH($C922,'Kế hoạch'!$A$6:$A$305,0),"")</f>
      </c>
      <c r="P922" s="234">
        <f>IF($O922="","",INDEX('Kế hoạch'!$I$6:$I$305,$O922))</f>
      </c>
      <c r="Q922" s="225">
        <f>IF($O922="","",INDEX('Kế hoạch'!$AJ$6:$AJ$305,$O922))</f>
      </c>
      <c r="R922" s="225">
        <f>IF($O922="","",INDEX('Kế hoạch'!$AK$6:$AK$305,$O922))</f>
      </c>
    </row>
    <row r="923">
      <c r="A923" s="223">
        <f>IF($C923="","",COUNTIF($C$6:$C923,"?*"))</f>
      </c>
      <c r="B923" s="217"/>
      <c r="C923" s="216"/>
      <c r="D923" s="240"/>
      <c r="E923" s="218"/>
      <c r="F923" s="218"/>
      <c r="G923" s="218"/>
      <c r="H923" s="219"/>
      <c r="I923" s="223">
        <f>IF($C923="","",IF(ISNUMBER(MATCH($C923,'Phản ánh'!$A$6:$A$505,0)),"Phản ánh",IF(ISNUMBER(MATCH($C923,'Kế hoạch'!$A$6:$A$305,0)),"Công việc","Mã chưa có")))</f>
      </c>
      <c r="J923" s="221">
        <f>IF($I923="Phản ánh",INDEX('Phản ánh'!$C$6:$C$505,MATCH($C923,'Phản ánh'!$A$6:$A$505,0)),IF($I923="Công việc",INDEX('Kế hoạch'!$C$6:$C$305,$O923),""))</f>
      </c>
      <c r="K923" s="221">
        <f>IF($I923="Phản ánh",INDEX('Phản ánh'!$K$6:$K$505,MATCH($C923,'Phản ánh'!$A$6:$A$505,0))&amp;"",IF($I923="Công việc",INDEX('Kế hoạch'!$N$6:$N$305,$O923)&amp;"",""))</f>
      </c>
      <c r="L923" s="220">
        <f>IF(OR($C923="",N($B923)=0),"",IF(AND($I923="Phản ánh",$E923="Đã xử lý"),INDEX('Phản ánh'!$U$6:$U$505,MATCH($C923,'Phản ánh'!$A$6:$A$505,0)),IF(AND($I923="Công việc",OR($E923="Hoàn thành",$E923="Hoàn thành kỳ")),IF(INDEX('Kế hoạch'!$B$6:$B$305,$O923)="Đột xuất",INDEX('Kế hoạch'!$AY$6:$AY$305,$O923),IF(N($P923)=0,"",IF(INT($B923)&lt;$P923,$P923,IF($Q923&gt;0,$P923+ROUND((INT($B923)-$P923)/$Q923,0)*$Q923,IF($R923&gt;0,EDATE($P923,ROUND((DATEDIF($P923,INT($B923),"m")+(INT($B923)-EDATE($P923,DATEDIF($P923,INT($B923),"m")))/(EDATE($P923,DATEDIF($P923,INT($B923),"m")+1)-EDATE($P923,DATEDIF($P923,INT($B923),"m"))))/$R923,0)*$R923),$P923))))),"")))</f>
      </c>
      <c r="M923" s="223">
        <f>IF(OR($C923="",N($L923)=0,N($B923)=0),"",IF(IF(MOD($L923,1)=0,INT($B923),$B923)&lt;=$L923,"Đúng hạn","Trễ hạn"))</f>
      </c>
      <c r="N923" s="225">
        <f>IF($C923="","",ROW())</f>
      </c>
      <c r="O923" s="225">
        <f>IF($I923="Công việc",MATCH($C923,'Kế hoạch'!$A$6:$A$305,0),"")</f>
      </c>
      <c r="P923" s="234">
        <f>IF($O923="","",INDEX('Kế hoạch'!$I$6:$I$305,$O923))</f>
      </c>
      <c r="Q923" s="225">
        <f>IF($O923="","",INDEX('Kế hoạch'!$AJ$6:$AJ$305,$O923))</f>
      </c>
      <c r="R923" s="225">
        <f>IF($O923="","",INDEX('Kế hoạch'!$AK$6:$AK$305,$O923))</f>
      </c>
    </row>
    <row r="924">
      <c r="A924" s="223">
        <f>IF($C924="","",COUNTIF($C$6:$C924,"?*"))</f>
      </c>
      <c r="B924" s="217"/>
      <c r="C924" s="216"/>
      <c r="D924" s="240"/>
      <c r="E924" s="218"/>
      <c r="F924" s="218"/>
      <c r="G924" s="218"/>
      <c r="H924" s="219"/>
      <c r="I924" s="223">
        <f>IF($C924="","",IF(ISNUMBER(MATCH($C924,'Phản ánh'!$A$6:$A$505,0)),"Phản ánh",IF(ISNUMBER(MATCH($C924,'Kế hoạch'!$A$6:$A$305,0)),"Công việc","Mã chưa có")))</f>
      </c>
      <c r="J924" s="221">
        <f>IF($I924="Phản ánh",INDEX('Phản ánh'!$C$6:$C$505,MATCH($C924,'Phản ánh'!$A$6:$A$505,0)),IF($I924="Công việc",INDEX('Kế hoạch'!$C$6:$C$305,$O924),""))</f>
      </c>
      <c r="K924" s="221">
        <f>IF($I924="Phản ánh",INDEX('Phản ánh'!$K$6:$K$505,MATCH($C924,'Phản ánh'!$A$6:$A$505,0))&amp;"",IF($I924="Công việc",INDEX('Kế hoạch'!$N$6:$N$305,$O924)&amp;"",""))</f>
      </c>
      <c r="L924" s="220">
        <f>IF(OR($C924="",N($B924)=0),"",IF(AND($I924="Phản ánh",$E924="Đã xử lý"),INDEX('Phản ánh'!$U$6:$U$505,MATCH($C924,'Phản ánh'!$A$6:$A$505,0)),IF(AND($I924="Công việc",OR($E924="Hoàn thành",$E924="Hoàn thành kỳ")),IF(INDEX('Kế hoạch'!$B$6:$B$305,$O924)="Đột xuất",INDEX('Kế hoạch'!$AY$6:$AY$305,$O924),IF(N($P924)=0,"",IF(INT($B924)&lt;$P924,$P924,IF($Q924&gt;0,$P924+ROUND((INT($B924)-$P924)/$Q924,0)*$Q924,IF($R924&gt;0,EDATE($P924,ROUND((DATEDIF($P924,INT($B924),"m")+(INT($B924)-EDATE($P924,DATEDIF($P924,INT($B924),"m")))/(EDATE($P924,DATEDIF($P924,INT($B924),"m")+1)-EDATE($P924,DATEDIF($P924,INT($B924),"m"))))/$R924,0)*$R924),$P924))))),"")))</f>
      </c>
      <c r="M924" s="223">
        <f>IF(OR($C924="",N($L924)=0,N($B924)=0),"",IF(IF(MOD($L924,1)=0,INT($B924),$B924)&lt;=$L924,"Đúng hạn","Trễ hạn"))</f>
      </c>
      <c r="N924" s="225">
        <f>IF($C924="","",ROW())</f>
      </c>
      <c r="O924" s="225">
        <f>IF($I924="Công việc",MATCH($C924,'Kế hoạch'!$A$6:$A$305,0),"")</f>
      </c>
      <c r="P924" s="234">
        <f>IF($O924="","",INDEX('Kế hoạch'!$I$6:$I$305,$O924))</f>
      </c>
      <c r="Q924" s="225">
        <f>IF($O924="","",INDEX('Kế hoạch'!$AJ$6:$AJ$305,$O924))</f>
      </c>
      <c r="R924" s="225">
        <f>IF($O924="","",INDEX('Kế hoạch'!$AK$6:$AK$305,$O924))</f>
      </c>
    </row>
    <row r="925">
      <c r="A925" s="223">
        <f>IF($C925="","",COUNTIF($C$6:$C925,"?*"))</f>
      </c>
      <c r="B925" s="217"/>
      <c r="C925" s="216"/>
      <c r="D925" s="240"/>
      <c r="E925" s="218"/>
      <c r="F925" s="218"/>
      <c r="G925" s="218"/>
      <c r="H925" s="219"/>
      <c r="I925" s="223">
        <f>IF($C925="","",IF(ISNUMBER(MATCH($C925,'Phản ánh'!$A$6:$A$505,0)),"Phản ánh",IF(ISNUMBER(MATCH($C925,'Kế hoạch'!$A$6:$A$305,0)),"Công việc","Mã chưa có")))</f>
      </c>
      <c r="J925" s="221">
        <f>IF($I925="Phản ánh",INDEX('Phản ánh'!$C$6:$C$505,MATCH($C925,'Phản ánh'!$A$6:$A$505,0)),IF($I925="Công việc",INDEX('Kế hoạch'!$C$6:$C$305,$O925),""))</f>
      </c>
      <c r="K925" s="221">
        <f>IF($I925="Phản ánh",INDEX('Phản ánh'!$K$6:$K$505,MATCH($C925,'Phản ánh'!$A$6:$A$505,0))&amp;"",IF($I925="Công việc",INDEX('Kế hoạch'!$N$6:$N$305,$O925)&amp;"",""))</f>
      </c>
      <c r="L925" s="220">
        <f>IF(OR($C925="",N($B925)=0),"",IF(AND($I925="Phản ánh",$E925="Đã xử lý"),INDEX('Phản ánh'!$U$6:$U$505,MATCH($C925,'Phản ánh'!$A$6:$A$505,0)),IF(AND($I925="Công việc",OR($E925="Hoàn thành",$E925="Hoàn thành kỳ")),IF(INDEX('Kế hoạch'!$B$6:$B$305,$O925)="Đột xuất",INDEX('Kế hoạch'!$AY$6:$AY$305,$O925),IF(N($P925)=0,"",IF(INT($B925)&lt;$P925,$P925,IF($Q925&gt;0,$P925+ROUND((INT($B925)-$P925)/$Q925,0)*$Q925,IF($R925&gt;0,EDATE($P925,ROUND((DATEDIF($P925,INT($B925),"m")+(INT($B925)-EDATE($P925,DATEDIF($P925,INT($B925),"m")))/(EDATE($P925,DATEDIF($P925,INT($B925),"m")+1)-EDATE($P925,DATEDIF($P925,INT($B925),"m"))))/$R925,0)*$R925),$P925))))),"")))</f>
      </c>
      <c r="M925" s="223">
        <f>IF(OR($C925="",N($L925)=0,N($B925)=0),"",IF(IF(MOD($L925,1)=0,INT($B925),$B925)&lt;=$L925,"Đúng hạn","Trễ hạn"))</f>
      </c>
      <c r="N925" s="225">
        <f>IF($C925="","",ROW())</f>
      </c>
      <c r="O925" s="225">
        <f>IF($I925="Công việc",MATCH($C925,'Kế hoạch'!$A$6:$A$305,0),"")</f>
      </c>
      <c r="P925" s="234">
        <f>IF($O925="","",INDEX('Kế hoạch'!$I$6:$I$305,$O925))</f>
      </c>
      <c r="Q925" s="225">
        <f>IF($O925="","",INDEX('Kế hoạch'!$AJ$6:$AJ$305,$O925))</f>
      </c>
      <c r="R925" s="225">
        <f>IF($O925="","",INDEX('Kế hoạch'!$AK$6:$AK$305,$O925))</f>
      </c>
    </row>
    <row r="926">
      <c r="A926" s="223">
        <f>IF($C926="","",COUNTIF($C$6:$C926,"?*"))</f>
      </c>
      <c r="B926" s="217"/>
      <c r="C926" s="216"/>
      <c r="D926" s="240"/>
      <c r="E926" s="218"/>
      <c r="F926" s="218"/>
      <c r="G926" s="218"/>
      <c r="H926" s="219"/>
      <c r="I926" s="223">
        <f>IF($C926="","",IF(ISNUMBER(MATCH($C926,'Phản ánh'!$A$6:$A$505,0)),"Phản ánh",IF(ISNUMBER(MATCH($C926,'Kế hoạch'!$A$6:$A$305,0)),"Công việc","Mã chưa có")))</f>
      </c>
      <c r="J926" s="221">
        <f>IF($I926="Phản ánh",INDEX('Phản ánh'!$C$6:$C$505,MATCH($C926,'Phản ánh'!$A$6:$A$505,0)),IF($I926="Công việc",INDEX('Kế hoạch'!$C$6:$C$305,$O926),""))</f>
      </c>
      <c r="K926" s="221">
        <f>IF($I926="Phản ánh",INDEX('Phản ánh'!$K$6:$K$505,MATCH($C926,'Phản ánh'!$A$6:$A$505,0))&amp;"",IF($I926="Công việc",INDEX('Kế hoạch'!$N$6:$N$305,$O926)&amp;"",""))</f>
      </c>
      <c r="L926" s="220">
        <f>IF(OR($C926="",N($B926)=0),"",IF(AND($I926="Phản ánh",$E926="Đã xử lý"),INDEX('Phản ánh'!$U$6:$U$505,MATCH($C926,'Phản ánh'!$A$6:$A$505,0)),IF(AND($I926="Công việc",OR($E926="Hoàn thành",$E926="Hoàn thành kỳ")),IF(INDEX('Kế hoạch'!$B$6:$B$305,$O926)="Đột xuất",INDEX('Kế hoạch'!$AY$6:$AY$305,$O926),IF(N($P926)=0,"",IF(INT($B926)&lt;$P926,$P926,IF($Q926&gt;0,$P926+ROUND((INT($B926)-$P926)/$Q926,0)*$Q926,IF($R926&gt;0,EDATE($P926,ROUND((DATEDIF($P926,INT($B926),"m")+(INT($B926)-EDATE($P926,DATEDIF($P926,INT($B926),"m")))/(EDATE($P926,DATEDIF($P926,INT($B926),"m")+1)-EDATE($P926,DATEDIF($P926,INT($B926),"m"))))/$R926,0)*$R926),$P926))))),"")))</f>
      </c>
      <c r="M926" s="223">
        <f>IF(OR($C926="",N($L926)=0,N($B926)=0),"",IF(IF(MOD($L926,1)=0,INT($B926),$B926)&lt;=$L926,"Đúng hạn","Trễ hạn"))</f>
      </c>
      <c r="N926" s="225">
        <f>IF($C926="","",ROW())</f>
      </c>
      <c r="O926" s="225">
        <f>IF($I926="Công việc",MATCH($C926,'Kế hoạch'!$A$6:$A$305,0),"")</f>
      </c>
      <c r="P926" s="234">
        <f>IF($O926="","",INDEX('Kế hoạch'!$I$6:$I$305,$O926))</f>
      </c>
      <c r="Q926" s="225">
        <f>IF($O926="","",INDEX('Kế hoạch'!$AJ$6:$AJ$305,$O926))</f>
      </c>
      <c r="R926" s="225">
        <f>IF($O926="","",INDEX('Kế hoạch'!$AK$6:$AK$305,$O926))</f>
      </c>
    </row>
    <row r="927">
      <c r="A927" s="223">
        <f>IF($C927="","",COUNTIF($C$6:$C927,"?*"))</f>
      </c>
      <c r="B927" s="217"/>
      <c r="C927" s="216"/>
      <c r="D927" s="240"/>
      <c r="E927" s="218"/>
      <c r="F927" s="218"/>
      <c r="G927" s="218"/>
      <c r="H927" s="219"/>
      <c r="I927" s="223">
        <f>IF($C927="","",IF(ISNUMBER(MATCH($C927,'Phản ánh'!$A$6:$A$505,0)),"Phản ánh",IF(ISNUMBER(MATCH($C927,'Kế hoạch'!$A$6:$A$305,0)),"Công việc","Mã chưa có")))</f>
      </c>
      <c r="J927" s="221">
        <f>IF($I927="Phản ánh",INDEX('Phản ánh'!$C$6:$C$505,MATCH($C927,'Phản ánh'!$A$6:$A$505,0)),IF($I927="Công việc",INDEX('Kế hoạch'!$C$6:$C$305,$O927),""))</f>
      </c>
      <c r="K927" s="221">
        <f>IF($I927="Phản ánh",INDEX('Phản ánh'!$K$6:$K$505,MATCH($C927,'Phản ánh'!$A$6:$A$505,0))&amp;"",IF($I927="Công việc",INDEX('Kế hoạch'!$N$6:$N$305,$O927)&amp;"",""))</f>
      </c>
      <c r="L927" s="220">
        <f>IF(OR($C927="",N($B927)=0),"",IF(AND($I927="Phản ánh",$E927="Đã xử lý"),INDEX('Phản ánh'!$U$6:$U$505,MATCH($C927,'Phản ánh'!$A$6:$A$505,0)),IF(AND($I927="Công việc",OR($E927="Hoàn thành",$E927="Hoàn thành kỳ")),IF(INDEX('Kế hoạch'!$B$6:$B$305,$O927)="Đột xuất",INDEX('Kế hoạch'!$AY$6:$AY$305,$O927),IF(N($P927)=0,"",IF(INT($B927)&lt;$P927,$P927,IF($Q927&gt;0,$P927+ROUND((INT($B927)-$P927)/$Q927,0)*$Q927,IF($R927&gt;0,EDATE($P927,ROUND((DATEDIF($P927,INT($B927),"m")+(INT($B927)-EDATE($P927,DATEDIF($P927,INT($B927),"m")))/(EDATE($P927,DATEDIF($P927,INT($B927),"m")+1)-EDATE($P927,DATEDIF($P927,INT($B927),"m"))))/$R927,0)*$R927),$P927))))),"")))</f>
      </c>
      <c r="M927" s="223">
        <f>IF(OR($C927="",N($L927)=0,N($B927)=0),"",IF(IF(MOD($L927,1)=0,INT($B927),$B927)&lt;=$L927,"Đúng hạn","Trễ hạn"))</f>
      </c>
      <c r="N927" s="225">
        <f>IF($C927="","",ROW())</f>
      </c>
      <c r="O927" s="225">
        <f>IF($I927="Công việc",MATCH($C927,'Kế hoạch'!$A$6:$A$305,0),"")</f>
      </c>
      <c r="P927" s="234">
        <f>IF($O927="","",INDEX('Kế hoạch'!$I$6:$I$305,$O927))</f>
      </c>
      <c r="Q927" s="225">
        <f>IF($O927="","",INDEX('Kế hoạch'!$AJ$6:$AJ$305,$O927))</f>
      </c>
      <c r="R927" s="225">
        <f>IF($O927="","",INDEX('Kế hoạch'!$AK$6:$AK$305,$O927))</f>
      </c>
    </row>
    <row r="928">
      <c r="A928" s="223">
        <f>IF($C928="","",COUNTIF($C$6:$C928,"?*"))</f>
      </c>
      <c r="B928" s="217"/>
      <c r="C928" s="216"/>
      <c r="D928" s="240"/>
      <c r="E928" s="218"/>
      <c r="F928" s="218"/>
      <c r="G928" s="218"/>
      <c r="H928" s="219"/>
      <c r="I928" s="223">
        <f>IF($C928="","",IF(ISNUMBER(MATCH($C928,'Phản ánh'!$A$6:$A$505,0)),"Phản ánh",IF(ISNUMBER(MATCH($C928,'Kế hoạch'!$A$6:$A$305,0)),"Công việc","Mã chưa có")))</f>
      </c>
      <c r="J928" s="221">
        <f>IF($I928="Phản ánh",INDEX('Phản ánh'!$C$6:$C$505,MATCH($C928,'Phản ánh'!$A$6:$A$505,0)),IF($I928="Công việc",INDEX('Kế hoạch'!$C$6:$C$305,$O928),""))</f>
      </c>
      <c r="K928" s="221">
        <f>IF($I928="Phản ánh",INDEX('Phản ánh'!$K$6:$K$505,MATCH($C928,'Phản ánh'!$A$6:$A$505,0))&amp;"",IF($I928="Công việc",INDEX('Kế hoạch'!$N$6:$N$305,$O928)&amp;"",""))</f>
      </c>
      <c r="L928" s="220">
        <f>IF(OR($C928="",N($B928)=0),"",IF(AND($I928="Phản ánh",$E928="Đã xử lý"),INDEX('Phản ánh'!$U$6:$U$505,MATCH($C928,'Phản ánh'!$A$6:$A$505,0)),IF(AND($I928="Công việc",OR($E928="Hoàn thành",$E928="Hoàn thành kỳ")),IF(INDEX('Kế hoạch'!$B$6:$B$305,$O928)="Đột xuất",INDEX('Kế hoạch'!$AY$6:$AY$305,$O928),IF(N($P928)=0,"",IF(INT($B928)&lt;$P928,$P928,IF($Q928&gt;0,$P928+ROUND((INT($B928)-$P928)/$Q928,0)*$Q928,IF($R928&gt;0,EDATE($P928,ROUND((DATEDIF($P928,INT($B928),"m")+(INT($B928)-EDATE($P928,DATEDIF($P928,INT($B928),"m")))/(EDATE($P928,DATEDIF($P928,INT($B928),"m")+1)-EDATE($P928,DATEDIF($P928,INT($B928),"m"))))/$R928,0)*$R928),$P928))))),"")))</f>
      </c>
      <c r="M928" s="223">
        <f>IF(OR($C928="",N($L928)=0,N($B928)=0),"",IF(IF(MOD($L928,1)=0,INT($B928),$B928)&lt;=$L928,"Đúng hạn","Trễ hạn"))</f>
      </c>
      <c r="N928" s="225">
        <f>IF($C928="","",ROW())</f>
      </c>
      <c r="O928" s="225">
        <f>IF($I928="Công việc",MATCH($C928,'Kế hoạch'!$A$6:$A$305,0),"")</f>
      </c>
      <c r="P928" s="234">
        <f>IF($O928="","",INDEX('Kế hoạch'!$I$6:$I$305,$O928))</f>
      </c>
      <c r="Q928" s="225">
        <f>IF($O928="","",INDEX('Kế hoạch'!$AJ$6:$AJ$305,$O928))</f>
      </c>
      <c r="R928" s="225">
        <f>IF($O928="","",INDEX('Kế hoạch'!$AK$6:$AK$305,$O928))</f>
      </c>
    </row>
    <row r="929">
      <c r="A929" s="223">
        <f>IF($C929="","",COUNTIF($C$6:$C929,"?*"))</f>
      </c>
      <c r="B929" s="217"/>
      <c r="C929" s="216"/>
      <c r="D929" s="240"/>
      <c r="E929" s="218"/>
      <c r="F929" s="218"/>
      <c r="G929" s="218"/>
      <c r="H929" s="219"/>
      <c r="I929" s="223">
        <f>IF($C929="","",IF(ISNUMBER(MATCH($C929,'Phản ánh'!$A$6:$A$505,0)),"Phản ánh",IF(ISNUMBER(MATCH($C929,'Kế hoạch'!$A$6:$A$305,0)),"Công việc","Mã chưa có")))</f>
      </c>
      <c r="J929" s="221">
        <f>IF($I929="Phản ánh",INDEX('Phản ánh'!$C$6:$C$505,MATCH($C929,'Phản ánh'!$A$6:$A$505,0)),IF($I929="Công việc",INDEX('Kế hoạch'!$C$6:$C$305,$O929),""))</f>
      </c>
      <c r="K929" s="221">
        <f>IF($I929="Phản ánh",INDEX('Phản ánh'!$K$6:$K$505,MATCH($C929,'Phản ánh'!$A$6:$A$505,0))&amp;"",IF($I929="Công việc",INDEX('Kế hoạch'!$N$6:$N$305,$O929)&amp;"",""))</f>
      </c>
      <c r="L929" s="220">
        <f>IF(OR($C929="",N($B929)=0),"",IF(AND($I929="Phản ánh",$E929="Đã xử lý"),INDEX('Phản ánh'!$U$6:$U$505,MATCH($C929,'Phản ánh'!$A$6:$A$505,0)),IF(AND($I929="Công việc",OR($E929="Hoàn thành",$E929="Hoàn thành kỳ")),IF(INDEX('Kế hoạch'!$B$6:$B$305,$O929)="Đột xuất",INDEX('Kế hoạch'!$AY$6:$AY$305,$O929),IF(N($P929)=0,"",IF(INT($B929)&lt;$P929,$P929,IF($Q929&gt;0,$P929+ROUND((INT($B929)-$P929)/$Q929,0)*$Q929,IF($R929&gt;0,EDATE($P929,ROUND((DATEDIF($P929,INT($B929),"m")+(INT($B929)-EDATE($P929,DATEDIF($P929,INT($B929),"m")))/(EDATE($P929,DATEDIF($P929,INT($B929),"m")+1)-EDATE($P929,DATEDIF($P929,INT($B929),"m"))))/$R929,0)*$R929),$P929))))),"")))</f>
      </c>
      <c r="M929" s="223">
        <f>IF(OR($C929="",N($L929)=0,N($B929)=0),"",IF(IF(MOD($L929,1)=0,INT($B929),$B929)&lt;=$L929,"Đúng hạn","Trễ hạn"))</f>
      </c>
      <c r="N929" s="225">
        <f>IF($C929="","",ROW())</f>
      </c>
      <c r="O929" s="225">
        <f>IF($I929="Công việc",MATCH($C929,'Kế hoạch'!$A$6:$A$305,0),"")</f>
      </c>
      <c r="P929" s="234">
        <f>IF($O929="","",INDEX('Kế hoạch'!$I$6:$I$305,$O929))</f>
      </c>
      <c r="Q929" s="225">
        <f>IF($O929="","",INDEX('Kế hoạch'!$AJ$6:$AJ$305,$O929))</f>
      </c>
      <c r="R929" s="225">
        <f>IF($O929="","",INDEX('Kế hoạch'!$AK$6:$AK$305,$O929))</f>
      </c>
    </row>
    <row r="930">
      <c r="A930" s="223">
        <f>IF($C930="","",COUNTIF($C$6:$C930,"?*"))</f>
      </c>
      <c r="B930" s="217"/>
      <c r="C930" s="216"/>
      <c r="D930" s="240"/>
      <c r="E930" s="218"/>
      <c r="F930" s="218"/>
      <c r="G930" s="218"/>
      <c r="H930" s="219"/>
      <c r="I930" s="223">
        <f>IF($C930="","",IF(ISNUMBER(MATCH($C930,'Phản ánh'!$A$6:$A$505,0)),"Phản ánh",IF(ISNUMBER(MATCH($C930,'Kế hoạch'!$A$6:$A$305,0)),"Công việc","Mã chưa có")))</f>
      </c>
      <c r="J930" s="221">
        <f>IF($I930="Phản ánh",INDEX('Phản ánh'!$C$6:$C$505,MATCH($C930,'Phản ánh'!$A$6:$A$505,0)),IF($I930="Công việc",INDEX('Kế hoạch'!$C$6:$C$305,$O930),""))</f>
      </c>
      <c r="K930" s="221">
        <f>IF($I930="Phản ánh",INDEX('Phản ánh'!$K$6:$K$505,MATCH($C930,'Phản ánh'!$A$6:$A$505,0))&amp;"",IF($I930="Công việc",INDEX('Kế hoạch'!$N$6:$N$305,$O930)&amp;"",""))</f>
      </c>
      <c r="L930" s="220">
        <f>IF(OR($C930="",N($B930)=0),"",IF(AND($I930="Phản ánh",$E930="Đã xử lý"),INDEX('Phản ánh'!$U$6:$U$505,MATCH($C930,'Phản ánh'!$A$6:$A$505,0)),IF(AND($I930="Công việc",OR($E930="Hoàn thành",$E930="Hoàn thành kỳ")),IF(INDEX('Kế hoạch'!$B$6:$B$305,$O930)="Đột xuất",INDEX('Kế hoạch'!$AY$6:$AY$305,$O930),IF(N($P930)=0,"",IF(INT($B930)&lt;$P930,$P930,IF($Q930&gt;0,$P930+ROUND((INT($B930)-$P930)/$Q930,0)*$Q930,IF($R930&gt;0,EDATE($P930,ROUND((DATEDIF($P930,INT($B930),"m")+(INT($B930)-EDATE($P930,DATEDIF($P930,INT($B930),"m")))/(EDATE($P930,DATEDIF($P930,INT($B930),"m")+1)-EDATE($P930,DATEDIF($P930,INT($B930),"m"))))/$R930,0)*$R930),$P930))))),"")))</f>
      </c>
      <c r="M930" s="223">
        <f>IF(OR($C930="",N($L930)=0,N($B930)=0),"",IF(IF(MOD($L930,1)=0,INT($B930),$B930)&lt;=$L930,"Đúng hạn","Trễ hạn"))</f>
      </c>
      <c r="N930" s="225">
        <f>IF($C930="","",ROW())</f>
      </c>
      <c r="O930" s="225">
        <f>IF($I930="Công việc",MATCH($C930,'Kế hoạch'!$A$6:$A$305,0),"")</f>
      </c>
      <c r="P930" s="234">
        <f>IF($O930="","",INDEX('Kế hoạch'!$I$6:$I$305,$O930))</f>
      </c>
      <c r="Q930" s="225">
        <f>IF($O930="","",INDEX('Kế hoạch'!$AJ$6:$AJ$305,$O930))</f>
      </c>
      <c r="R930" s="225">
        <f>IF($O930="","",INDEX('Kế hoạch'!$AK$6:$AK$305,$O930))</f>
      </c>
    </row>
    <row r="931">
      <c r="A931" s="223">
        <f>IF($C931="","",COUNTIF($C$6:$C931,"?*"))</f>
      </c>
      <c r="B931" s="217"/>
      <c r="C931" s="216"/>
      <c r="D931" s="240"/>
      <c r="E931" s="218"/>
      <c r="F931" s="218"/>
      <c r="G931" s="218"/>
      <c r="H931" s="219"/>
      <c r="I931" s="223">
        <f>IF($C931="","",IF(ISNUMBER(MATCH($C931,'Phản ánh'!$A$6:$A$505,0)),"Phản ánh",IF(ISNUMBER(MATCH($C931,'Kế hoạch'!$A$6:$A$305,0)),"Công việc","Mã chưa có")))</f>
      </c>
      <c r="J931" s="221">
        <f>IF($I931="Phản ánh",INDEX('Phản ánh'!$C$6:$C$505,MATCH($C931,'Phản ánh'!$A$6:$A$505,0)),IF($I931="Công việc",INDEX('Kế hoạch'!$C$6:$C$305,$O931),""))</f>
      </c>
      <c r="K931" s="221">
        <f>IF($I931="Phản ánh",INDEX('Phản ánh'!$K$6:$K$505,MATCH($C931,'Phản ánh'!$A$6:$A$505,0))&amp;"",IF($I931="Công việc",INDEX('Kế hoạch'!$N$6:$N$305,$O931)&amp;"",""))</f>
      </c>
      <c r="L931" s="220">
        <f>IF(OR($C931="",N($B931)=0),"",IF(AND($I931="Phản ánh",$E931="Đã xử lý"),INDEX('Phản ánh'!$U$6:$U$505,MATCH($C931,'Phản ánh'!$A$6:$A$505,0)),IF(AND($I931="Công việc",OR($E931="Hoàn thành",$E931="Hoàn thành kỳ")),IF(INDEX('Kế hoạch'!$B$6:$B$305,$O931)="Đột xuất",INDEX('Kế hoạch'!$AY$6:$AY$305,$O931),IF(N($P931)=0,"",IF(INT($B931)&lt;$P931,$P931,IF($Q931&gt;0,$P931+ROUND((INT($B931)-$P931)/$Q931,0)*$Q931,IF($R931&gt;0,EDATE($P931,ROUND((DATEDIF($P931,INT($B931),"m")+(INT($B931)-EDATE($P931,DATEDIF($P931,INT($B931),"m")))/(EDATE($P931,DATEDIF($P931,INT($B931),"m")+1)-EDATE($P931,DATEDIF($P931,INT($B931),"m"))))/$R931,0)*$R931),$P931))))),"")))</f>
      </c>
      <c r="M931" s="223">
        <f>IF(OR($C931="",N($L931)=0,N($B931)=0),"",IF(IF(MOD($L931,1)=0,INT($B931),$B931)&lt;=$L931,"Đúng hạn","Trễ hạn"))</f>
      </c>
      <c r="N931" s="225">
        <f>IF($C931="","",ROW())</f>
      </c>
      <c r="O931" s="225">
        <f>IF($I931="Công việc",MATCH($C931,'Kế hoạch'!$A$6:$A$305,0),"")</f>
      </c>
      <c r="P931" s="234">
        <f>IF($O931="","",INDEX('Kế hoạch'!$I$6:$I$305,$O931))</f>
      </c>
      <c r="Q931" s="225">
        <f>IF($O931="","",INDEX('Kế hoạch'!$AJ$6:$AJ$305,$O931))</f>
      </c>
      <c r="R931" s="225">
        <f>IF($O931="","",INDEX('Kế hoạch'!$AK$6:$AK$305,$O931))</f>
      </c>
    </row>
    <row r="932">
      <c r="A932" s="223">
        <f>IF($C932="","",COUNTIF($C$6:$C932,"?*"))</f>
      </c>
      <c r="B932" s="217"/>
      <c r="C932" s="216"/>
      <c r="D932" s="240"/>
      <c r="E932" s="218"/>
      <c r="F932" s="218"/>
      <c r="G932" s="218"/>
      <c r="H932" s="219"/>
      <c r="I932" s="223">
        <f>IF($C932="","",IF(ISNUMBER(MATCH($C932,'Phản ánh'!$A$6:$A$505,0)),"Phản ánh",IF(ISNUMBER(MATCH($C932,'Kế hoạch'!$A$6:$A$305,0)),"Công việc","Mã chưa có")))</f>
      </c>
      <c r="J932" s="221">
        <f>IF($I932="Phản ánh",INDEX('Phản ánh'!$C$6:$C$505,MATCH($C932,'Phản ánh'!$A$6:$A$505,0)),IF($I932="Công việc",INDEX('Kế hoạch'!$C$6:$C$305,$O932),""))</f>
      </c>
      <c r="K932" s="221">
        <f>IF($I932="Phản ánh",INDEX('Phản ánh'!$K$6:$K$505,MATCH($C932,'Phản ánh'!$A$6:$A$505,0))&amp;"",IF($I932="Công việc",INDEX('Kế hoạch'!$N$6:$N$305,$O932)&amp;"",""))</f>
      </c>
      <c r="L932" s="220">
        <f>IF(OR($C932="",N($B932)=0),"",IF(AND($I932="Phản ánh",$E932="Đã xử lý"),INDEX('Phản ánh'!$U$6:$U$505,MATCH($C932,'Phản ánh'!$A$6:$A$505,0)),IF(AND($I932="Công việc",OR($E932="Hoàn thành",$E932="Hoàn thành kỳ")),IF(INDEX('Kế hoạch'!$B$6:$B$305,$O932)="Đột xuất",INDEX('Kế hoạch'!$AY$6:$AY$305,$O932),IF(N($P932)=0,"",IF(INT($B932)&lt;$P932,$P932,IF($Q932&gt;0,$P932+ROUND((INT($B932)-$P932)/$Q932,0)*$Q932,IF($R932&gt;0,EDATE($P932,ROUND((DATEDIF($P932,INT($B932),"m")+(INT($B932)-EDATE($P932,DATEDIF($P932,INT($B932),"m")))/(EDATE($P932,DATEDIF($P932,INT($B932),"m")+1)-EDATE($P932,DATEDIF($P932,INT($B932),"m"))))/$R932,0)*$R932),$P932))))),"")))</f>
      </c>
      <c r="M932" s="223">
        <f>IF(OR($C932="",N($L932)=0,N($B932)=0),"",IF(IF(MOD($L932,1)=0,INT($B932),$B932)&lt;=$L932,"Đúng hạn","Trễ hạn"))</f>
      </c>
      <c r="N932" s="225">
        <f>IF($C932="","",ROW())</f>
      </c>
      <c r="O932" s="225">
        <f>IF($I932="Công việc",MATCH($C932,'Kế hoạch'!$A$6:$A$305,0),"")</f>
      </c>
      <c r="P932" s="234">
        <f>IF($O932="","",INDEX('Kế hoạch'!$I$6:$I$305,$O932))</f>
      </c>
      <c r="Q932" s="225">
        <f>IF($O932="","",INDEX('Kế hoạch'!$AJ$6:$AJ$305,$O932))</f>
      </c>
      <c r="R932" s="225">
        <f>IF($O932="","",INDEX('Kế hoạch'!$AK$6:$AK$305,$O932))</f>
      </c>
    </row>
    <row r="933">
      <c r="A933" s="223">
        <f>IF($C933="","",COUNTIF($C$6:$C933,"?*"))</f>
      </c>
      <c r="B933" s="217"/>
      <c r="C933" s="216"/>
      <c r="D933" s="240"/>
      <c r="E933" s="218"/>
      <c r="F933" s="218"/>
      <c r="G933" s="218"/>
      <c r="H933" s="219"/>
      <c r="I933" s="223">
        <f>IF($C933="","",IF(ISNUMBER(MATCH($C933,'Phản ánh'!$A$6:$A$505,0)),"Phản ánh",IF(ISNUMBER(MATCH($C933,'Kế hoạch'!$A$6:$A$305,0)),"Công việc","Mã chưa có")))</f>
      </c>
      <c r="J933" s="221">
        <f>IF($I933="Phản ánh",INDEX('Phản ánh'!$C$6:$C$505,MATCH($C933,'Phản ánh'!$A$6:$A$505,0)),IF($I933="Công việc",INDEX('Kế hoạch'!$C$6:$C$305,$O933),""))</f>
      </c>
      <c r="K933" s="221">
        <f>IF($I933="Phản ánh",INDEX('Phản ánh'!$K$6:$K$505,MATCH($C933,'Phản ánh'!$A$6:$A$505,0))&amp;"",IF($I933="Công việc",INDEX('Kế hoạch'!$N$6:$N$305,$O933)&amp;"",""))</f>
      </c>
      <c r="L933" s="220">
        <f>IF(OR($C933="",N($B933)=0),"",IF(AND($I933="Phản ánh",$E933="Đã xử lý"),INDEX('Phản ánh'!$U$6:$U$505,MATCH($C933,'Phản ánh'!$A$6:$A$505,0)),IF(AND($I933="Công việc",OR($E933="Hoàn thành",$E933="Hoàn thành kỳ")),IF(INDEX('Kế hoạch'!$B$6:$B$305,$O933)="Đột xuất",INDEX('Kế hoạch'!$AY$6:$AY$305,$O933),IF(N($P933)=0,"",IF(INT($B933)&lt;$P933,$P933,IF($Q933&gt;0,$P933+ROUND((INT($B933)-$P933)/$Q933,0)*$Q933,IF($R933&gt;0,EDATE($P933,ROUND((DATEDIF($P933,INT($B933),"m")+(INT($B933)-EDATE($P933,DATEDIF($P933,INT($B933),"m")))/(EDATE($P933,DATEDIF($P933,INT($B933),"m")+1)-EDATE($P933,DATEDIF($P933,INT($B933),"m"))))/$R933,0)*$R933),$P933))))),"")))</f>
      </c>
      <c r="M933" s="223">
        <f>IF(OR($C933="",N($L933)=0,N($B933)=0),"",IF(IF(MOD($L933,1)=0,INT($B933),$B933)&lt;=$L933,"Đúng hạn","Trễ hạn"))</f>
      </c>
      <c r="N933" s="225">
        <f>IF($C933="","",ROW())</f>
      </c>
      <c r="O933" s="225">
        <f>IF($I933="Công việc",MATCH($C933,'Kế hoạch'!$A$6:$A$305,0),"")</f>
      </c>
      <c r="P933" s="234">
        <f>IF($O933="","",INDEX('Kế hoạch'!$I$6:$I$305,$O933))</f>
      </c>
      <c r="Q933" s="225">
        <f>IF($O933="","",INDEX('Kế hoạch'!$AJ$6:$AJ$305,$O933))</f>
      </c>
      <c r="R933" s="225">
        <f>IF($O933="","",INDEX('Kế hoạch'!$AK$6:$AK$305,$O933))</f>
      </c>
    </row>
    <row r="934">
      <c r="A934" s="223">
        <f>IF($C934="","",COUNTIF($C$6:$C934,"?*"))</f>
      </c>
      <c r="B934" s="217"/>
      <c r="C934" s="216"/>
      <c r="D934" s="240"/>
      <c r="E934" s="218"/>
      <c r="F934" s="218"/>
      <c r="G934" s="218"/>
      <c r="H934" s="219"/>
      <c r="I934" s="223">
        <f>IF($C934="","",IF(ISNUMBER(MATCH($C934,'Phản ánh'!$A$6:$A$505,0)),"Phản ánh",IF(ISNUMBER(MATCH($C934,'Kế hoạch'!$A$6:$A$305,0)),"Công việc","Mã chưa có")))</f>
      </c>
      <c r="J934" s="221">
        <f>IF($I934="Phản ánh",INDEX('Phản ánh'!$C$6:$C$505,MATCH($C934,'Phản ánh'!$A$6:$A$505,0)),IF($I934="Công việc",INDEX('Kế hoạch'!$C$6:$C$305,$O934),""))</f>
      </c>
      <c r="K934" s="221">
        <f>IF($I934="Phản ánh",INDEX('Phản ánh'!$K$6:$K$505,MATCH($C934,'Phản ánh'!$A$6:$A$505,0))&amp;"",IF($I934="Công việc",INDEX('Kế hoạch'!$N$6:$N$305,$O934)&amp;"",""))</f>
      </c>
      <c r="L934" s="220">
        <f>IF(OR($C934="",N($B934)=0),"",IF(AND($I934="Phản ánh",$E934="Đã xử lý"),INDEX('Phản ánh'!$U$6:$U$505,MATCH($C934,'Phản ánh'!$A$6:$A$505,0)),IF(AND($I934="Công việc",OR($E934="Hoàn thành",$E934="Hoàn thành kỳ")),IF(INDEX('Kế hoạch'!$B$6:$B$305,$O934)="Đột xuất",INDEX('Kế hoạch'!$AY$6:$AY$305,$O934),IF(N($P934)=0,"",IF(INT($B934)&lt;$P934,$P934,IF($Q934&gt;0,$P934+ROUND((INT($B934)-$P934)/$Q934,0)*$Q934,IF($R934&gt;0,EDATE($P934,ROUND((DATEDIF($P934,INT($B934),"m")+(INT($B934)-EDATE($P934,DATEDIF($P934,INT($B934),"m")))/(EDATE($P934,DATEDIF($P934,INT($B934),"m")+1)-EDATE($P934,DATEDIF($P934,INT($B934),"m"))))/$R934,0)*$R934),$P934))))),"")))</f>
      </c>
      <c r="M934" s="223">
        <f>IF(OR($C934="",N($L934)=0,N($B934)=0),"",IF(IF(MOD($L934,1)=0,INT($B934),$B934)&lt;=$L934,"Đúng hạn","Trễ hạn"))</f>
      </c>
      <c r="N934" s="225">
        <f>IF($C934="","",ROW())</f>
      </c>
      <c r="O934" s="225">
        <f>IF($I934="Công việc",MATCH($C934,'Kế hoạch'!$A$6:$A$305,0),"")</f>
      </c>
      <c r="P934" s="234">
        <f>IF($O934="","",INDEX('Kế hoạch'!$I$6:$I$305,$O934))</f>
      </c>
      <c r="Q934" s="225">
        <f>IF($O934="","",INDEX('Kế hoạch'!$AJ$6:$AJ$305,$O934))</f>
      </c>
      <c r="R934" s="225">
        <f>IF($O934="","",INDEX('Kế hoạch'!$AK$6:$AK$305,$O934))</f>
      </c>
    </row>
    <row r="935">
      <c r="A935" s="223">
        <f>IF($C935="","",COUNTIF($C$6:$C935,"?*"))</f>
      </c>
      <c r="B935" s="217"/>
      <c r="C935" s="216"/>
      <c r="D935" s="240"/>
      <c r="E935" s="218"/>
      <c r="F935" s="218"/>
      <c r="G935" s="218"/>
      <c r="H935" s="219"/>
      <c r="I935" s="223">
        <f>IF($C935="","",IF(ISNUMBER(MATCH($C935,'Phản ánh'!$A$6:$A$505,0)),"Phản ánh",IF(ISNUMBER(MATCH($C935,'Kế hoạch'!$A$6:$A$305,0)),"Công việc","Mã chưa có")))</f>
      </c>
      <c r="J935" s="221">
        <f>IF($I935="Phản ánh",INDEX('Phản ánh'!$C$6:$C$505,MATCH($C935,'Phản ánh'!$A$6:$A$505,0)),IF($I935="Công việc",INDEX('Kế hoạch'!$C$6:$C$305,$O935),""))</f>
      </c>
      <c r="K935" s="221">
        <f>IF($I935="Phản ánh",INDEX('Phản ánh'!$K$6:$K$505,MATCH($C935,'Phản ánh'!$A$6:$A$505,0))&amp;"",IF($I935="Công việc",INDEX('Kế hoạch'!$N$6:$N$305,$O935)&amp;"",""))</f>
      </c>
      <c r="L935" s="220">
        <f>IF(OR($C935="",N($B935)=0),"",IF(AND($I935="Phản ánh",$E935="Đã xử lý"),INDEX('Phản ánh'!$U$6:$U$505,MATCH($C935,'Phản ánh'!$A$6:$A$505,0)),IF(AND($I935="Công việc",OR($E935="Hoàn thành",$E935="Hoàn thành kỳ")),IF(INDEX('Kế hoạch'!$B$6:$B$305,$O935)="Đột xuất",INDEX('Kế hoạch'!$AY$6:$AY$305,$O935),IF(N($P935)=0,"",IF(INT($B935)&lt;$P935,$P935,IF($Q935&gt;0,$P935+ROUND((INT($B935)-$P935)/$Q935,0)*$Q935,IF($R935&gt;0,EDATE($P935,ROUND((DATEDIF($P935,INT($B935),"m")+(INT($B935)-EDATE($P935,DATEDIF($P935,INT($B935),"m")))/(EDATE($P935,DATEDIF($P935,INT($B935),"m")+1)-EDATE($P935,DATEDIF($P935,INT($B935),"m"))))/$R935,0)*$R935),$P935))))),"")))</f>
      </c>
      <c r="M935" s="223">
        <f>IF(OR($C935="",N($L935)=0,N($B935)=0),"",IF(IF(MOD($L935,1)=0,INT($B935),$B935)&lt;=$L935,"Đúng hạn","Trễ hạn"))</f>
      </c>
      <c r="N935" s="225">
        <f>IF($C935="","",ROW())</f>
      </c>
      <c r="O935" s="225">
        <f>IF($I935="Công việc",MATCH($C935,'Kế hoạch'!$A$6:$A$305,0),"")</f>
      </c>
      <c r="P935" s="234">
        <f>IF($O935="","",INDEX('Kế hoạch'!$I$6:$I$305,$O935))</f>
      </c>
      <c r="Q935" s="225">
        <f>IF($O935="","",INDEX('Kế hoạch'!$AJ$6:$AJ$305,$O935))</f>
      </c>
      <c r="R935" s="225">
        <f>IF($O935="","",INDEX('Kế hoạch'!$AK$6:$AK$305,$O935))</f>
      </c>
    </row>
    <row r="936">
      <c r="A936" s="223">
        <f>IF($C936="","",COUNTIF($C$6:$C936,"?*"))</f>
      </c>
      <c r="B936" s="217"/>
      <c r="C936" s="216"/>
      <c r="D936" s="240"/>
      <c r="E936" s="218"/>
      <c r="F936" s="218"/>
      <c r="G936" s="218"/>
      <c r="H936" s="219"/>
      <c r="I936" s="223">
        <f>IF($C936="","",IF(ISNUMBER(MATCH($C936,'Phản ánh'!$A$6:$A$505,0)),"Phản ánh",IF(ISNUMBER(MATCH($C936,'Kế hoạch'!$A$6:$A$305,0)),"Công việc","Mã chưa có")))</f>
      </c>
      <c r="J936" s="221">
        <f>IF($I936="Phản ánh",INDEX('Phản ánh'!$C$6:$C$505,MATCH($C936,'Phản ánh'!$A$6:$A$505,0)),IF($I936="Công việc",INDEX('Kế hoạch'!$C$6:$C$305,$O936),""))</f>
      </c>
      <c r="K936" s="221">
        <f>IF($I936="Phản ánh",INDEX('Phản ánh'!$K$6:$K$505,MATCH($C936,'Phản ánh'!$A$6:$A$505,0))&amp;"",IF($I936="Công việc",INDEX('Kế hoạch'!$N$6:$N$305,$O936)&amp;"",""))</f>
      </c>
      <c r="L936" s="220">
        <f>IF(OR($C936="",N($B936)=0),"",IF(AND($I936="Phản ánh",$E936="Đã xử lý"),INDEX('Phản ánh'!$U$6:$U$505,MATCH($C936,'Phản ánh'!$A$6:$A$505,0)),IF(AND($I936="Công việc",OR($E936="Hoàn thành",$E936="Hoàn thành kỳ")),IF(INDEX('Kế hoạch'!$B$6:$B$305,$O936)="Đột xuất",INDEX('Kế hoạch'!$AY$6:$AY$305,$O936),IF(N($P936)=0,"",IF(INT($B936)&lt;$P936,$P936,IF($Q936&gt;0,$P936+ROUND((INT($B936)-$P936)/$Q936,0)*$Q936,IF($R936&gt;0,EDATE($P936,ROUND((DATEDIF($P936,INT($B936),"m")+(INT($B936)-EDATE($P936,DATEDIF($P936,INT($B936),"m")))/(EDATE($P936,DATEDIF($P936,INT($B936),"m")+1)-EDATE($P936,DATEDIF($P936,INT($B936),"m"))))/$R936,0)*$R936),$P936))))),"")))</f>
      </c>
      <c r="M936" s="223">
        <f>IF(OR($C936="",N($L936)=0,N($B936)=0),"",IF(IF(MOD($L936,1)=0,INT($B936),$B936)&lt;=$L936,"Đúng hạn","Trễ hạn"))</f>
      </c>
      <c r="N936" s="225">
        <f>IF($C936="","",ROW())</f>
      </c>
      <c r="O936" s="225">
        <f>IF($I936="Công việc",MATCH($C936,'Kế hoạch'!$A$6:$A$305,0),"")</f>
      </c>
      <c r="P936" s="234">
        <f>IF($O936="","",INDEX('Kế hoạch'!$I$6:$I$305,$O936))</f>
      </c>
      <c r="Q936" s="225">
        <f>IF($O936="","",INDEX('Kế hoạch'!$AJ$6:$AJ$305,$O936))</f>
      </c>
      <c r="R936" s="225">
        <f>IF($O936="","",INDEX('Kế hoạch'!$AK$6:$AK$305,$O936))</f>
      </c>
    </row>
    <row r="937">
      <c r="A937" s="223">
        <f>IF($C937="","",COUNTIF($C$6:$C937,"?*"))</f>
      </c>
      <c r="B937" s="217"/>
      <c r="C937" s="216"/>
      <c r="D937" s="240"/>
      <c r="E937" s="218"/>
      <c r="F937" s="218"/>
      <c r="G937" s="218"/>
      <c r="H937" s="219"/>
      <c r="I937" s="223">
        <f>IF($C937="","",IF(ISNUMBER(MATCH($C937,'Phản ánh'!$A$6:$A$505,0)),"Phản ánh",IF(ISNUMBER(MATCH($C937,'Kế hoạch'!$A$6:$A$305,0)),"Công việc","Mã chưa có")))</f>
      </c>
      <c r="J937" s="221">
        <f>IF($I937="Phản ánh",INDEX('Phản ánh'!$C$6:$C$505,MATCH($C937,'Phản ánh'!$A$6:$A$505,0)),IF($I937="Công việc",INDEX('Kế hoạch'!$C$6:$C$305,$O937),""))</f>
      </c>
      <c r="K937" s="221">
        <f>IF($I937="Phản ánh",INDEX('Phản ánh'!$K$6:$K$505,MATCH($C937,'Phản ánh'!$A$6:$A$505,0))&amp;"",IF($I937="Công việc",INDEX('Kế hoạch'!$N$6:$N$305,$O937)&amp;"",""))</f>
      </c>
      <c r="L937" s="220">
        <f>IF(OR($C937="",N($B937)=0),"",IF(AND($I937="Phản ánh",$E937="Đã xử lý"),INDEX('Phản ánh'!$U$6:$U$505,MATCH($C937,'Phản ánh'!$A$6:$A$505,0)),IF(AND($I937="Công việc",OR($E937="Hoàn thành",$E937="Hoàn thành kỳ")),IF(INDEX('Kế hoạch'!$B$6:$B$305,$O937)="Đột xuất",INDEX('Kế hoạch'!$AY$6:$AY$305,$O937),IF(N($P937)=0,"",IF(INT($B937)&lt;$P937,$P937,IF($Q937&gt;0,$P937+ROUND((INT($B937)-$P937)/$Q937,0)*$Q937,IF($R937&gt;0,EDATE($P937,ROUND((DATEDIF($P937,INT($B937),"m")+(INT($B937)-EDATE($P937,DATEDIF($P937,INT($B937),"m")))/(EDATE($P937,DATEDIF($P937,INT($B937),"m")+1)-EDATE($P937,DATEDIF($P937,INT($B937),"m"))))/$R937,0)*$R937),$P937))))),"")))</f>
      </c>
      <c r="M937" s="223">
        <f>IF(OR($C937="",N($L937)=0,N($B937)=0),"",IF(IF(MOD($L937,1)=0,INT($B937),$B937)&lt;=$L937,"Đúng hạn","Trễ hạn"))</f>
      </c>
      <c r="N937" s="225">
        <f>IF($C937="","",ROW())</f>
      </c>
      <c r="O937" s="225">
        <f>IF($I937="Công việc",MATCH($C937,'Kế hoạch'!$A$6:$A$305,0),"")</f>
      </c>
      <c r="P937" s="234">
        <f>IF($O937="","",INDEX('Kế hoạch'!$I$6:$I$305,$O937))</f>
      </c>
      <c r="Q937" s="225">
        <f>IF($O937="","",INDEX('Kế hoạch'!$AJ$6:$AJ$305,$O937))</f>
      </c>
      <c r="R937" s="225">
        <f>IF($O937="","",INDEX('Kế hoạch'!$AK$6:$AK$305,$O937))</f>
      </c>
    </row>
    <row r="938">
      <c r="A938" s="223">
        <f>IF($C938="","",COUNTIF($C$6:$C938,"?*"))</f>
      </c>
      <c r="B938" s="217"/>
      <c r="C938" s="216"/>
      <c r="D938" s="240"/>
      <c r="E938" s="218"/>
      <c r="F938" s="218"/>
      <c r="G938" s="218"/>
      <c r="H938" s="219"/>
      <c r="I938" s="223">
        <f>IF($C938="","",IF(ISNUMBER(MATCH($C938,'Phản ánh'!$A$6:$A$505,0)),"Phản ánh",IF(ISNUMBER(MATCH($C938,'Kế hoạch'!$A$6:$A$305,0)),"Công việc","Mã chưa có")))</f>
      </c>
      <c r="J938" s="221">
        <f>IF($I938="Phản ánh",INDEX('Phản ánh'!$C$6:$C$505,MATCH($C938,'Phản ánh'!$A$6:$A$505,0)),IF($I938="Công việc",INDEX('Kế hoạch'!$C$6:$C$305,$O938),""))</f>
      </c>
      <c r="K938" s="221">
        <f>IF($I938="Phản ánh",INDEX('Phản ánh'!$K$6:$K$505,MATCH($C938,'Phản ánh'!$A$6:$A$505,0))&amp;"",IF($I938="Công việc",INDEX('Kế hoạch'!$N$6:$N$305,$O938)&amp;"",""))</f>
      </c>
      <c r="L938" s="220">
        <f>IF(OR($C938="",N($B938)=0),"",IF(AND($I938="Phản ánh",$E938="Đã xử lý"),INDEX('Phản ánh'!$U$6:$U$505,MATCH($C938,'Phản ánh'!$A$6:$A$505,0)),IF(AND($I938="Công việc",OR($E938="Hoàn thành",$E938="Hoàn thành kỳ")),IF(INDEX('Kế hoạch'!$B$6:$B$305,$O938)="Đột xuất",INDEX('Kế hoạch'!$AY$6:$AY$305,$O938),IF(N($P938)=0,"",IF(INT($B938)&lt;$P938,$P938,IF($Q938&gt;0,$P938+ROUND((INT($B938)-$P938)/$Q938,0)*$Q938,IF($R938&gt;0,EDATE($P938,ROUND((DATEDIF($P938,INT($B938),"m")+(INT($B938)-EDATE($P938,DATEDIF($P938,INT($B938),"m")))/(EDATE($P938,DATEDIF($P938,INT($B938),"m")+1)-EDATE($P938,DATEDIF($P938,INT($B938),"m"))))/$R938,0)*$R938),$P938))))),"")))</f>
      </c>
      <c r="M938" s="223">
        <f>IF(OR($C938="",N($L938)=0,N($B938)=0),"",IF(IF(MOD($L938,1)=0,INT($B938),$B938)&lt;=$L938,"Đúng hạn","Trễ hạn"))</f>
      </c>
      <c r="N938" s="225">
        <f>IF($C938="","",ROW())</f>
      </c>
      <c r="O938" s="225">
        <f>IF($I938="Công việc",MATCH($C938,'Kế hoạch'!$A$6:$A$305,0),"")</f>
      </c>
      <c r="P938" s="234">
        <f>IF($O938="","",INDEX('Kế hoạch'!$I$6:$I$305,$O938))</f>
      </c>
      <c r="Q938" s="225">
        <f>IF($O938="","",INDEX('Kế hoạch'!$AJ$6:$AJ$305,$O938))</f>
      </c>
      <c r="R938" s="225">
        <f>IF($O938="","",INDEX('Kế hoạch'!$AK$6:$AK$305,$O938))</f>
      </c>
    </row>
    <row r="939">
      <c r="A939" s="223">
        <f>IF($C939="","",COUNTIF($C$6:$C939,"?*"))</f>
      </c>
      <c r="B939" s="217"/>
      <c r="C939" s="216"/>
      <c r="D939" s="240"/>
      <c r="E939" s="218"/>
      <c r="F939" s="218"/>
      <c r="G939" s="218"/>
      <c r="H939" s="219"/>
      <c r="I939" s="223">
        <f>IF($C939="","",IF(ISNUMBER(MATCH($C939,'Phản ánh'!$A$6:$A$505,0)),"Phản ánh",IF(ISNUMBER(MATCH($C939,'Kế hoạch'!$A$6:$A$305,0)),"Công việc","Mã chưa có")))</f>
      </c>
      <c r="J939" s="221">
        <f>IF($I939="Phản ánh",INDEX('Phản ánh'!$C$6:$C$505,MATCH($C939,'Phản ánh'!$A$6:$A$505,0)),IF($I939="Công việc",INDEX('Kế hoạch'!$C$6:$C$305,$O939),""))</f>
      </c>
      <c r="K939" s="221">
        <f>IF($I939="Phản ánh",INDEX('Phản ánh'!$K$6:$K$505,MATCH($C939,'Phản ánh'!$A$6:$A$505,0))&amp;"",IF($I939="Công việc",INDEX('Kế hoạch'!$N$6:$N$305,$O939)&amp;"",""))</f>
      </c>
      <c r="L939" s="220">
        <f>IF(OR($C939="",N($B939)=0),"",IF(AND($I939="Phản ánh",$E939="Đã xử lý"),INDEX('Phản ánh'!$U$6:$U$505,MATCH($C939,'Phản ánh'!$A$6:$A$505,0)),IF(AND($I939="Công việc",OR($E939="Hoàn thành",$E939="Hoàn thành kỳ")),IF(INDEX('Kế hoạch'!$B$6:$B$305,$O939)="Đột xuất",INDEX('Kế hoạch'!$AY$6:$AY$305,$O939),IF(N($P939)=0,"",IF(INT($B939)&lt;$P939,$P939,IF($Q939&gt;0,$P939+ROUND((INT($B939)-$P939)/$Q939,0)*$Q939,IF($R939&gt;0,EDATE($P939,ROUND((DATEDIF($P939,INT($B939),"m")+(INT($B939)-EDATE($P939,DATEDIF($P939,INT($B939),"m")))/(EDATE($P939,DATEDIF($P939,INT($B939),"m")+1)-EDATE($P939,DATEDIF($P939,INT($B939),"m"))))/$R939,0)*$R939),$P939))))),"")))</f>
      </c>
      <c r="M939" s="223">
        <f>IF(OR($C939="",N($L939)=0,N($B939)=0),"",IF(IF(MOD($L939,1)=0,INT($B939),$B939)&lt;=$L939,"Đúng hạn","Trễ hạn"))</f>
      </c>
      <c r="N939" s="225">
        <f>IF($C939="","",ROW())</f>
      </c>
      <c r="O939" s="225">
        <f>IF($I939="Công việc",MATCH($C939,'Kế hoạch'!$A$6:$A$305,0),"")</f>
      </c>
      <c r="P939" s="234">
        <f>IF($O939="","",INDEX('Kế hoạch'!$I$6:$I$305,$O939))</f>
      </c>
      <c r="Q939" s="225">
        <f>IF($O939="","",INDEX('Kế hoạch'!$AJ$6:$AJ$305,$O939))</f>
      </c>
      <c r="R939" s="225">
        <f>IF($O939="","",INDEX('Kế hoạch'!$AK$6:$AK$305,$O939))</f>
      </c>
    </row>
    <row r="940">
      <c r="A940" s="223">
        <f>IF($C940="","",COUNTIF($C$6:$C940,"?*"))</f>
      </c>
      <c r="B940" s="217"/>
      <c r="C940" s="216"/>
      <c r="D940" s="240"/>
      <c r="E940" s="218"/>
      <c r="F940" s="218"/>
      <c r="G940" s="218"/>
      <c r="H940" s="219"/>
      <c r="I940" s="223">
        <f>IF($C940="","",IF(ISNUMBER(MATCH($C940,'Phản ánh'!$A$6:$A$505,0)),"Phản ánh",IF(ISNUMBER(MATCH($C940,'Kế hoạch'!$A$6:$A$305,0)),"Công việc","Mã chưa có")))</f>
      </c>
      <c r="J940" s="221">
        <f>IF($I940="Phản ánh",INDEX('Phản ánh'!$C$6:$C$505,MATCH($C940,'Phản ánh'!$A$6:$A$505,0)),IF($I940="Công việc",INDEX('Kế hoạch'!$C$6:$C$305,$O940),""))</f>
      </c>
      <c r="K940" s="221">
        <f>IF($I940="Phản ánh",INDEX('Phản ánh'!$K$6:$K$505,MATCH($C940,'Phản ánh'!$A$6:$A$505,0))&amp;"",IF($I940="Công việc",INDEX('Kế hoạch'!$N$6:$N$305,$O940)&amp;"",""))</f>
      </c>
      <c r="L940" s="220">
        <f>IF(OR($C940="",N($B940)=0),"",IF(AND($I940="Phản ánh",$E940="Đã xử lý"),INDEX('Phản ánh'!$U$6:$U$505,MATCH($C940,'Phản ánh'!$A$6:$A$505,0)),IF(AND($I940="Công việc",OR($E940="Hoàn thành",$E940="Hoàn thành kỳ")),IF(INDEX('Kế hoạch'!$B$6:$B$305,$O940)="Đột xuất",INDEX('Kế hoạch'!$AY$6:$AY$305,$O940),IF(N($P940)=0,"",IF(INT($B940)&lt;$P940,$P940,IF($Q940&gt;0,$P940+ROUND((INT($B940)-$P940)/$Q940,0)*$Q940,IF($R940&gt;0,EDATE($P940,ROUND((DATEDIF($P940,INT($B940),"m")+(INT($B940)-EDATE($P940,DATEDIF($P940,INT($B940),"m")))/(EDATE($P940,DATEDIF($P940,INT($B940),"m")+1)-EDATE($P940,DATEDIF($P940,INT($B940),"m"))))/$R940,0)*$R940),$P940))))),"")))</f>
      </c>
      <c r="M940" s="223">
        <f>IF(OR($C940="",N($L940)=0,N($B940)=0),"",IF(IF(MOD($L940,1)=0,INT($B940),$B940)&lt;=$L940,"Đúng hạn","Trễ hạn"))</f>
      </c>
      <c r="N940" s="225">
        <f>IF($C940="","",ROW())</f>
      </c>
      <c r="O940" s="225">
        <f>IF($I940="Công việc",MATCH($C940,'Kế hoạch'!$A$6:$A$305,0),"")</f>
      </c>
      <c r="P940" s="234">
        <f>IF($O940="","",INDEX('Kế hoạch'!$I$6:$I$305,$O940))</f>
      </c>
      <c r="Q940" s="225">
        <f>IF($O940="","",INDEX('Kế hoạch'!$AJ$6:$AJ$305,$O940))</f>
      </c>
      <c r="R940" s="225">
        <f>IF($O940="","",INDEX('Kế hoạch'!$AK$6:$AK$305,$O940))</f>
      </c>
    </row>
    <row r="941">
      <c r="A941" s="223">
        <f>IF($C941="","",COUNTIF($C$6:$C941,"?*"))</f>
      </c>
      <c r="B941" s="217"/>
      <c r="C941" s="216"/>
      <c r="D941" s="240"/>
      <c r="E941" s="218"/>
      <c r="F941" s="218"/>
      <c r="G941" s="218"/>
      <c r="H941" s="219"/>
      <c r="I941" s="223">
        <f>IF($C941="","",IF(ISNUMBER(MATCH($C941,'Phản ánh'!$A$6:$A$505,0)),"Phản ánh",IF(ISNUMBER(MATCH($C941,'Kế hoạch'!$A$6:$A$305,0)),"Công việc","Mã chưa có")))</f>
      </c>
      <c r="J941" s="221">
        <f>IF($I941="Phản ánh",INDEX('Phản ánh'!$C$6:$C$505,MATCH($C941,'Phản ánh'!$A$6:$A$505,0)),IF($I941="Công việc",INDEX('Kế hoạch'!$C$6:$C$305,$O941),""))</f>
      </c>
      <c r="K941" s="221">
        <f>IF($I941="Phản ánh",INDEX('Phản ánh'!$K$6:$K$505,MATCH($C941,'Phản ánh'!$A$6:$A$505,0))&amp;"",IF($I941="Công việc",INDEX('Kế hoạch'!$N$6:$N$305,$O941)&amp;"",""))</f>
      </c>
      <c r="L941" s="220">
        <f>IF(OR($C941="",N($B941)=0),"",IF(AND($I941="Phản ánh",$E941="Đã xử lý"),INDEX('Phản ánh'!$U$6:$U$505,MATCH($C941,'Phản ánh'!$A$6:$A$505,0)),IF(AND($I941="Công việc",OR($E941="Hoàn thành",$E941="Hoàn thành kỳ")),IF(INDEX('Kế hoạch'!$B$6:$B$305,$O941)="Đột xuất",INDEX('Kế hoạch'!$AY$6:$AY$305,$O941),IF(N($P941)=0,"",IF(INT($B941)&lt;$P941,$P941,IF($Q941&gt;0,$P941+ROUND((INT($B941)-$P941)/$Q941,0)*$Q941,IF($R941&gt;0,EDATE($P941,ROUND((DATEDIF($P941,INT($B941),"m")+(INT($B941)-EDATE($P941,DATEDIF($P941,INT($B941),"m")))/(EDATE($P941,DATEDIF($P941,INT($B941),"m")+1)-EDATE($P941,DATEDIF($P941,INT($B941),"m"))))/$R941,0)*$R941),$P941))))),"")))</f>
      </c>
      <c r="M941" s="223">
        <f>IF(OR($C941="",N($L941)=0,N($B941)=0),"",IF(IF(MOD($L941,1)=0,INT($B941),$B941)&lt;=$L941,"Đúng hạn","Trễ hạn"))</f>
      </c>
      <c r="N941" s="225">
        <f>IF($C941="","",ROW())</f>
      </c>
      <c r="O941" s="225">
        <f>IF($I941="Công việc",MATCH($C941,'Kế hoạch'!$A$6:$A$305,0),"")</f>
      </c>
      <c r="P941" s="234">
        <f>IF($O941="","",INDEX('Kế hoạch'!$I$6:$I$305,$O941))</f>
      </c>
      <c r="Q941" s="225">
        <f>IF($O941="","",INDEX('Kế hoạch'!$AJ$6:$AJ$305,$O941))</f>
      </c>
      <c r="R941" s="225">
        <f>IF($O941="","",INDEX('Kế hoạch'!$AK$6:$AK$305,$O941))</f>
      </c>
    </row>
    <row r="942">
      <c r="A942" s="223">
        <f>IF($C942="","",COUNTIF($C$6:$C942,"?*"))</f>
      </c>
      <c r="B942" s="217"/>
      <c r="C942" s="216"/>
      <c r="D942" s="240"/>
      <c r="E942" s="218"/>
      <c r="F942" s="218"/>
      <c r="G942" s="218"/>
      <c r="H942" s="219"/>
      <c r="I942" s="223">
        <f>IF($C942="","",IF(ISNUMBER(MATCH($C942,'Phản ánh'!$A$6:$A$505,0)),"Phản ánh",IF(ISNUMBER(MATCH($C942,'Kế hoạch'!$A$6:$A$305,0)),"Công việc","Mã chưa có")))</f>
      </c>
      <c r="J942" s="221">
        <f>IF($I942="Phản ánh",INDEX('Phản ánh'!$C$6:$C$505,MATCH($C942,'Phản ánh'!$A$6:$A$505,0)),IF($I942="Công việc",INDEX('Kế hoạch'!$C$6:$C$305,$O942),""))</f>
      </c>
      <c r="K942" s="221">
        <f>IF($I942="Phản ánh",INDEX('Phản ánh'!$K$6:$K$505,MATCH($C942,'Phản ánh'!$A$6:$A$505,0))&amp;"",IF($I942="Công việc",INDEX('Kế hoạch'!$N$6:$N$305,$O942)&amp;"",""))</f>
      </c>
      <c r="L942" s="220">
        <f>IF(OR($C942="",N($B942)=0),"",IF(AND($I942="Phản ánh",$E942="Đã xử lý"),INDEX('Phản ánh'!$U$6:$U$505,MATCH($C942,'Phản ánh'!$A$6:$A$505,0)),IF(AND($I942="Công việc",OR($E942="Hoàn thành",$E942="Hoàn thành kỳ")),IF(INDEX('Kế hoạch'!$B$6:$B$305,$O942)="Đột xuất",INDEX('Kế hoạch'!$AY$6:$AY$305,$O942),IF(N($P942)=0,"",IF(INT($B942)&lt;$P942,$P942,IF($Q942&gt;0,$P942+ROUND((INT($B942)-$P942)/$Q942,0)*$Q942,IF($R942&gt;0,EDATE($P942,ROUND((DATEDIF($P942,INT($B942),"m")+(INT($B942)-EDATE($P942,DATEDIF($P942,INT($B942),"m")))/(EDATE($P942,DATEDIF($P942,INT($B942),"m")+1)-EDATE($P942,DATEDIF($P942,INT($B942),"m"))))/$R942,0)*$R942),$P942))))),"")))</f>
      </c>
      <c r="M942" s="223">
        <f>IF(OR($C942="",N($L942)=0,N($B942)=0),"",IF(IF(MOD($L942,1)=0,INT($B942),$B942)&lt;=$L942,"Đúng hạn","Trễ hạn"))</f>
      </c>
      <c r="N942" s="225">
        <f>IF($C942="","",ROW())</f>
      </c>
      <c r="O942" s="225">
        <f>IF($I942="Công việc",MATCH($C942,'Kế hoạch'!$A$6:$A$305,0),"")</f>
      </c>
      <c r="P942" s="234">
        <f>IF($O942="","",INDEX('Kế hoạch'!$I$6:$I$305,$O942))</f>
      </c>
      <c r="Q942" s="225">
        <f>IF($O942="","",INDEX('Kế hoạch'!$AJ$6:$AJ$305,$O942))</f>
      </c>
      <c r="R942" s="225">
        <f>IF($O942="","",INDEX('Kế hoạch'!$AK$6:$AK$305,$O942))</f>
      </c>
    </row>
    <row r="943">
      <c r="A943" s="223">
        <f>IF($C943="","",COUNTIF($C$6:$C943,"?*"))</f>
      </c>
      <c r="B943" s="217"/>
      <c r="C943" s="216"/>
      <c r="D943" s="240"/>
      <c r="E943" s="218"/>
      <c r="F943" s="218"/>
      <c r="G943" s="218"/>
      <c r="H943" s="219"/>
      <c r="I943" s="223">
        <f>IF($C943="","",IF(ISNUMBER(MATCH($C943,'Phản ánh'!$A$6:$A$505,0)),"Phản ánh",IF(ISNUMBER(MATCH($C943,'Kế hoạch'!$A$6:$A$305,0)),"Công việc","Mã chưa có")))</f>
      </c>
      <c r="J943" s="221">
        <f>IF($I943="Phản ánh",INDEX('Phản ánh'!$C$6:$C$505,MATCH($C943,'Phản ánh'!$A$6:$A$505,0)),IF($I943="Công việc",INDEX('Kế hoạch'!$C$6:$C$305,$O943),""))</f>
      </c>
      <c r="K943" s="221">
        <f>IF($I943="Phản ánh",INDEX('Phản ánh'!$K$6:$K$505,MATCH($C943,'Phản ánh'!$A$6:$A$505,0))&amp;"",IF($I943="Công việc",INDEX('Kế hoạch'!$N$6:$N$305,$O943)&amp;"",""))</f>
      </c>
      <c r="L943" s="220">
        <f>IF(OR($C943="",N($B943)=0),"",IF(AND($I943="Phản ánh",$E943="Đã xử lý"),INDEX('Phản ánh'!$U$6:$U$505,MATCH($C943,'Phản ánh'!$A$6:$A$505,0)),IF(AND($I943="Công việc",OR($E943="Hoàn thành",$E943="Hoàn thành kỳ")),IF(INDEX('Kế hoạch'!$B$6:$B$305,$O943)="Đột xuất",INDEX('Kế hoạch'!$AY$6:$AY$305,$O943),IF(N($P943)=0,"",IF(INT($B943)&lt;$P943,$P943,IF($Q943&gt;0,$P943+ROUND((INT($B943)-$P943)/$Q943,0)*$Q943,IF($R943&gt;0,EDATE($P943,ROUND((DATEDIF($P943,INT($B943),"m")+(INT($B943)-EDATE($P943,DATEDIF($P943,INT($B943),"m")))/(EDATE($P943,DATEDIF($P943,INT($B943),"m")+1)-EDATE($P943,DATEDIF($P943,INT($B943),"m"))))/$R943,0)*$R943),$P943))))),"")))</f>
      </c>
      <c r="M943" s="223">
        <f>IF(OR($C943="",N($L943)=0,N($B943)=0),"",IF(IF(MOD($L943,1)=0,INT($B943),$B943)&lt;=$L943,"Đúng hạn","Trễ hạn"))</f>
      </c>
      <c r="N943" s="225">
        <f>IF($C943="","",ROW())</f>
      </c>
      <c r="O943" s="225">
        <f>IF($I943="Công việc",MATCH($C943,'Kế hoạch'!$A$6:$A$305,0),"")</f>
      </c>
      <c r="P943" s="234">
        <f>IF($O943="","",INDEX('Kế hoạch'!$I$6:$I$305,$O943))</f>
      </c>
      <c r="Q943" s="225">
        <f>IF($O943="","",INDEX('Kế hoạch'!$AJ$6:$AJ$305,$O943))</f>
      </c>
      <c r="R943" s="225">
        <f>IF($O943="","",INDEX('Kế hoạch'!$AK$6:$AK$305,$O943))</f>
      </c>
    </row>
    <row r="944">
      <c r="A944" s="223">
        <f>IF($C944="","",COUNTIF($C$6:$C944,"?*"))</f>
      </c>
      <c r="B944" s="217"/>
      <c r="C944" s="216"/>
      <c r="D944" s="240"/>
      <c r="E944" s="218"/>
      <c r="F944" s="218"/>
      <c r="G944" s="218"/>
      <c r="H944" s="219"/>
      <c r="I944" s="223">
        <f>IF($C944="","",IF(ISNUMBER(MATCH($C944,'Phản ánh'!$A$6:$A$505,0)),"Phản ánh",IF(ISNUMBER(MATCH($C944,'Kế hoạch'!$A$6:$A$305,0)),"Công việc","Mã chưa có")))</f>
      </c>
      <c r="J944" s="221">
        <f>IF($I944="Phản ánh",INDEX('Phản ánh'!$C$6:$C$505,MATCH($C944,'Phản ánh'!$A$6:$A$505,0)),IF($I944="Công việc",INDEX('Kế hoạch'!$C$6:$C$305,$O944),""))</f>
      </c>
      <c r="K944" s="221">
        <f>IF($I944="Phản ánh",INDEX('Phản ánh'!$K$6:$K$505,MATCH($C944,'Phản ánh'!$A$6:$A$505,0))&amp;"",IF($I944="Công việc",INDEX('Kế hoạch'!$N$6:$N$305,$O944)&amp;"",""))</f>
      </c>
      <c r="L944" s="220">
        <f>IF(OR($C944="",N($B944)=0),"",IF(AND($I944="Phản ánh",$E944="Đã xử lý"),INDEX('Phản ánh'!$U$6:$U$505,MATCH($C944,'Phản ánh'!$A$6:$A$505,0)),IF(AND($I944="Công việc",OR($E944="Hoàn thành",$E944="Hoàn thành kỳ")),IF(INDEX('Kế hoạch'!$B$6:$B$305,$O944)="Đột xuất",INDEX('Kế hoạch'!$AY$6:$AY$305,$O944),IF(N($P944)=0,"",IF(INT($B944)&lt;$P944,$P944,IF($Q944&gt;0,$P944+ROUND((INT($B944)-$P944)/$Q944,0)*$Q944,IF($R944&gt;0,EDATE($P944,ROUND((DATEDIF($P944,INT($B944),"m")+(INT($B944)-EDATE($P944,DATEDIF($P944,INT($B944),"m")))/(EDATE($P944,DATEDIF($P944,INT($B944),"m")+1)-EDATE($P944,DATEDIF($P944,INT($B944),"m"))))/$R944,0)*$R944),$P944))))),"")))</f>
      </c>
      <c r="M944" s="223">
        <f>IF(OR($C944="",N($L944)=0,N($B944)=0),"",IF(IF(MOD($L944,1)=0,INT($B944),$B944)&lt;=$L944,"Đúng hạn","Trễ hạn"))</f>
      </c>
      <c r="N944" s="225">
        <f>IF($C944="","",ROW())</f>
      </c>
      <c r="O944" s="225">
        <f>IF($I944="Công việc",MATCH($C944,'Kế hoạch'!$A$6:$A$305,0),"")</f>
      </c>
      <c r="P944" s="234">
        <f>IF($O944="","",INDEX('Kế hoạch'!$I$6:$I$305,$O944))</f>
      </c>
      <c r="Q944" s="225">
        <f>IF($O944="","",INDEX('Kế hoạch'!$AJ$6:$AJ$305,$O944))</f>
      </c>
      <c r="R944" s="225">
        <f>IF($O944="","",INDEX('Kế hoạch'!$AK$6:$AK$305,$O944))</f>
      </c>
    </row>
    <row r="945">
      <c r="A945" s="223">
        <f>IF($C945="","",COUNTIF($C$6:$C945,"?*"))</f>
      </c>
      <c r="B945" s="217"/>
      <c r="C945" s="216"/>
      <c r="D945" s="240"/>
      <c r="E945" s="218"/>
      <c r="F945" s="218"/>
      <c r="G945" s="218"/>
      <c r="H945" s="219"/>
      <c r="I945" s="223">
        <f>IF($C945="","",IF(ISNUMBER(MATCH($C945,'Phản ánh'!$A$6:$A$505,0)),"Phản ánh",IF(ISNUMBER(MATCH($C945,'Kế hoạch'!$A$6:$A$305,0)),"Công việc","Mã chưa có")))</f>
      </c>
      <c r="J945" s="221">
        <f>IF($I945="Phản ánh",INDEX('Phản ánh'!$C$6:$C$505,MATCH($C945,'Phản ánh'!$A$6:$A$505,0)),IF($I945="Công việc",INDEX('Kế hoạch'!$C$6:$C$305,$O945),""))</f>
      </c>
      <c r="K945" s="221">
        <f>IF($I945="Phản ánh",INDEX('Phản ánh'!$K$6:$K$505,MATCH($C945,'Phản ánh'!$A$6:$A$505,0))&amp;"",IF($I945="Công việc",INDEX('Kế hoạch'!$N$6:$N$305,$O945)&amp;"",""))</f>
      </c>
      <c r="L945" s="220">
        <f>IF(OR($C945="",N($B945)=0),"",IF(AND($I945="Phản ánh",$E945="Đã xử lý"),INDEX('Phản ánh'!$U$6:$U$505,MATCH($C945,'Phản ánh'!$A$6:$A$505,0)),IF(AND($I945="Công việc",OR($E945="Hoàn thành",$E945="Hoàn thành kỳ")),IF(INDEX('Kế hoạch'!$B$6:$B$305,$O945)="Đột xuất",INDEX('Kế hoạch'!$AY$6:$AY$305,$O945),IF(N($P945)=0,"",IF(INT($B945)&lt;$P945,$P945,IF($Q945&gt;0,$P945+ROUND((INT($B945)-$P945)/$Q945,0)*$Q945,IF($R945&gt;0,EDATE($P945,ROUND((DATEDIF($P945,INT($B945),"m")+(INT($B945)-EDATE($P945,DATEDIF($P945,INT($B945),"m")))/(EDATE($P945,DATEDIF($P945,INT($B945),"m")+1)-EDATE($P945,DATEDIF($P945,INT($B945),"m"))))/$R945,0)*$R945),$P945))))),"")))</f>
      </c>
      <c r="M945" s="223">
        <f>IF(OR($C945="",N($L945)=0,N($B945)=0),"",IF(IF(MOD($L945,1)=0,INT($B945),$B945)&lt;=$L945,"Đúng hạn","Trễ hạn"))</f>
      </c>
      <c r="N945" s="225">
        <f>IF($C945="","",ROW())</f>
      </c>
      <c r="O945" s="225">
        <f>IF($I945="Công việc",MATCH($C945,'Kế hoạch'!$A$6:$A$305,0),"")</f>
      </c>
      <c r="P945" s="234">
        <f>IF($O945="","",INDEX('Kế hoạch'!$I$6:$I$305,$O945))</f>
      </c>
      <c r="Q945" s="225">
        <f>IF($O945="","",INDEX('Kế hoạch'!$AJ$6:$AJ$305,$O945))</f>
      </c>
      <c r="R945" s="225">
        <f>IF($O945="","",INDEX('Kế hoạch'!$AK$6:$AK$305,$O945))</f>
      </c>
    </row>
    <row r="946">
      <c r="A946" s="223">
        <f>IF($C946="","",COUNTIF($C$6:$C946,"?*"))</f>
      </c>
      <c r="B946" s="217"/>
      <c r="C946" s="216"/>
      <c r="D946" s="240"/>
      <c r="E946" s="218"/>
      <c r="F946" s="218"/>
      <c r="G946" s="218"/>
      <c r="H946" s="219"/>
      <c r="I946" s="223">
        <f>IF($C946="","",IF(ISNUMBER(MATCH($C946,'Phản ánh'!$A$6:$A$505,0)),"Phản ánh",IF(ISNUMBER(MATCH($C946,'Kế hoạch'!$A$6:$A$305,0)),"Công việc","Mã chưa có")))</f>
      </c>
      <c r="J946" s="221">
        <f>IF($I946="Phản ánh",INDEX('Phản ánh'!$C$6:$C$505,MATCH($C946,'Phản ánh'!$A$6:$A$505,0)),IF($I946="Công việc",INDEX('Kế hoạch'!$C$6:$C$305,$O946),""))</f>
      </c>
      <c r="K946" s="221">
        <f>IF($I946="Phản ánh",INDEX('Phản ánh'!$K$6:$K$505,MATCH($C946,'Phản ánh'!$A$6:$A$505,0))&amp;"",IF($I946="Công việc",INDEX('Kế hoạch'!$N$6:$N$305,$O946)&amp;"",""))</f>
      </c>
      <c r="L946" s="220">
        <f>IF(OR($C946="",N($B946)=0),"",IF(AND($I946="Phản ánh",$E946="Đã xử lý"),INDEX('Phản ánh'!$U$6:$U$505,MATCH($C946,'Phản ánh'!$A$6:$A$505,0)),IF(AND($I946="Công việc",OR($E946="Hoàn thành",$E946="Hoàn thành kỳ")),IF(INDEX('Kế hoạch'!$B$6:$B$305,$O946)="Đột xuất",INDEX('Kế hoạch'!$AY$6:$AY$305,$O946),IF(N($P946)=0,"",IF(INT($B946)&lt;$P946,$P946,IF($Q946&gt;0,$P946+ROUND((INT($B946)-$P946)/$Q946,0)*$Q946,IF($R946&gt;0,EDATE($P946,ROUND((DATEDIF($P946,INT($B946),"m")+(INT($B946)-EDATE($P946,DATEDIF($P946,INT($B946),"m")))/(EDATE($P946,DATEDIF($P946,INT($B946),"m")+1)-EDATE($P946,DATEDIF($P946,INT($B946),"m"))))/$R946,0)*$R946),$P946))))),"")))</f>
      </c>
      <c r="M946" s="223">
        <f>IF(OR($C946="",N($L946)=0,N($B946)=0),"",IF(IF(MOD($L946,1)=0,INT($B946),$B946)&lt;=$L946,"Đúng hạn","Trễ hạn"))</f>
      </c>
      <c r="N946" s="225">
        <f>IF($C946="","",ROW())</f>
      </c>
      <c r="O946" s="225">
        <f>IF($I946="Công việc",MATCH($C946,'Kế hoạch'!$A$6:$A$305,0),"")</f>
      </c>
      <c r="P946" s="234">
        <f>IF($O946="","",INDEX('Kế hoạch'!$I$6:$I$305,$O946))</f>
      </c>
      <c r="Q946" s="225">
        <f>IF($O946="","",INDEX('Kế hoạch'!$AJ$6:$AJ$305,$O946))</f>
      </c>
      <c r="R946" s="225">
        <f>IF($O946="","",INDEX('Kế hoạch'!$AK$6:$AK$305,$O946))</f>
      </c>
    </row>
    <row r="947">
      <c r="A947" s="223">
        <f>IF($C947="","",COUNTIF($C$6:$C947,"?*"))</f>
      </c>
      <c r="B947" s="217"/>
      <c r="C947" s="216"/>
      <c r="D947" s="240"/>
      <c r="E947" s="218"/>
      <c r="F947" s="218"/>
      <c r="G947" s="218"/>
      <c r="H947" s="219"/>
      <c r="I947" s="223">
        <f>IF($C947="","",IF(ISNUMBER(MATCH($C947,'Phản ánh'!$A$6:$A$505,0)),"Phản ánh",IF(ISNUMBER(MATCH($C947,'Kế hoạch'!$A$6:$A$305,0)),"Công việc","Mã chưa có")))</f>
      </c>
      <c r="J947" s="221">
        <f>IF($I947="Phản ánh",INDEX('Phản ánh'!$C$6:$C$505,MATCH($C947,'Phản ánh'!$A$6:$A$505,0)),IF($I947="Công việc",INDEX('Kế hoạch'!$C$6:$C$305,$O947),""))</f>
      </c>
      <c r="K947" s="221">
        <f>IF($I947="Phản ánh",INDEX('Phản ánh'!$K$6:$K$505,MATCH($C947,'Phản ánh'!$A$6:$A$505,0))&amp;"",IF($I947="Công việc",INDEX('Kế hoạch'!$N$6:$N$305,$O947)&amp;"",""))</f>
      </c>
      <c r="L947" s="220">
        <f>IF(OR($C947="",N($B947)=0),"",IF(AND($I947="Phản ánh",$E947="Đã xử lý"),INDEX('Phản ánh'!$U$6:$U$505,MATCH($C947,'Phản ánh'!$A$6:$A$505,0)),IF(AND($I947="Công việc",OR($E947="Hoàn thành",$E947="Hoàn thành kỳ")),IF(INDEX('Kế hoạch'!$B$6:$B$305,$O947)="Đột xuất",INDEX('Kế hoạch'!$AY$6:$AY$305,$O947),IF(N($P947)=0,"",IF(INT($B947)&lt;$P947,$P947,IF($Q947&gt;0,$P947+ROUND((INT($B947)-$P947)/$Q947,0)*$Q947,IF($R947&gt;0,EDATE($P947,ROUND((DATEDIF($P947,INT($B947),"m")+(INT($B947)-EDATE($P947,DATEDIF($P947,INT($B947),"m")))/(EDATE($P947,DATEDIF($P947,INT($B947),"m")+1)-EDATE($P947,DATEDIF($P947,INT($B947),"m"))))/$R947,0)*$R947),$P947))))),"")))</f>
      </c>
      <c r="M947" s="223">
        <f>IF(OR($C947="",N($L947)=0,N($B947)=0),"",IF(IF(MOD($L947,1)=0,INT($B947),$B947)&lt;=$L947,"Đúng hạn","Trễ hạn"))</f>
      </c>
      <c r="N947" s="225">
        <f>IF($C947="","",ROW())</f>
      </c>
      <c r="O947" s="225">
        <f>IF($I947="Công việc",MATCH($C947,'Kế hoạch'!$A$6:$A$305,0),"")</f>
      </c>
      <c r="P947" s="234">
        <f>IF($O947="","",INDEX('Kế hoạch'!$I$6:$I$305,$O947))</f>
      </c>
      <c r="Q947" s="225">
        <f>IF($O947="","",INDEX('Kế hoạch'!$AJ$6:$AJ$305,$O947))</f>
      </c>
      <c r="R947" s="225">
        <f>IF($O947="","",INDEX('Kế hoạch'!$AK$6:$AK$305,$O947))</f>
      </c>
    </row>
    <row r="948">
      <c r="A948" s="223">
        <f>IF($C948="","",COUNTIF($C$6:$C948,"?*"))</f>
      </c>
      <c r="B948" s="217"/>
      <c r="C948" s="216"/>
      <c r="D948" s="240"/>
      <c r="E948" s="218"/>
      <c r="F948" s="218"/>
      <c r="G948" s="218"/>
      <c r="H948" s="219"/>
      <c r="I948" s="223">
        <f>IF($C948="","",IF(ISNUMBER(MATCH($C948,'Phản ánh'!$A$6:$A$505,0)),"Phản ánh",IF(ISNUMBER(MATCH($C948,'Kế hoạch'!$A$6:$A$305,0)),"Công việc","Mã chưa có")))</f>
      </c>
      <c r="J948" s="221">
        <f>IF($I948="Phản ánh",INDEX('Phản ánh'!$C$6:$C$505,MATCH($C948,'Phản ánh'!$A$6:$A$505,0)),IF($I948="Công việc",INDEX('Kế hoạch'!$C$6:$C$305,$O948),""))</f>
      </c>
      <c r="K948" s="221">
        <f>IF($I948="Phản ánh",INDEX('Phản ánh'!$K$6:$K$505,MATCH($C948,'Phản ánh'!$A$6:$A$505,0))&amp;"",IF($I948="Công việc",INDEX('Kế hoạch'!$N$6:$N$305,$O948)&amp;"",""))</f>
      </c>
      <c r="L948" s="220">
        <f>IF(OR($C948="",N($B948)=0),"",IF(AND($I948="Phản ánh",$E948="Đã xử lý"),INDEX('Phản ánh'!$U$6:$U$505,MATCH($C948,'Phản ánh'!$A$6:$A$505,0)),IF(AND($I948="Công việc",OR($E948="Hoàn thành",$E948="Hoàn thành kỳ")),IF(INDEX('Kế hoạch'!$B$6:$B$305,$O948)="Đột xuất",INDEX('Kế hoạch'!$AY$6:$AY$305,$O948),IF(N($P948)=0,"",IF(INT($B948)&lt;$P948,$P948,IF($Q948&gt;0,$P948+ROUND((INT($B948)-$P948)/$Q948,0)*$Q948,IF($R948&gt;0,EDATE($P948,ROUND((DATEDIF($P948,INT($B948),"m")+(INT($B948)-EDATE($P948,DATEDIF($P948,INT($B948),"m")))/(EDATE($P948,DATEDIF($P948,INT($B948),"m")+1)-EDATE($P948,DATEDIF($P948,INT($B948),"m"))))/$R948,0)*$R948),$P948))))),"")))</f>
      </c>
      <c r="M948" s="223">
        <f>IF(OR($C948="",N($L948)=0,N($B948)=0),"",IF(IF(MOD($L948,1)=0,INT($B948),$B948)&lt;=$L948,"Đúng hạn","Trễ hạn"))</f>
      </c>
      <c r="N948" s="225">
        <f>IF($C948="","",ROW())</f>
      </c>
      <c r="O948" s="225">
        <f>IF($I948="Công việc",MATCH($C948,'Kế hoạch'!$A$6:$A$305,0),"")</f>
      </c>
      <c r="P948" s="234">
        <f>IF($O948="","",INDEX('Kế hoạch'!$I$6:$I$305,$O948))</f>
      </c>
      <c r="Q948" s="225">
        <f>IF($O948="","",INDEX('Kế hoạch'!$AJ$6:$AJ$305,$O948))</f>
      </c>
      <c r="R948" s="225">
        <f>IF($O948="","",INDEX('Kế hoạch'!$AK$6:$AK$305,$O948))</f>
      </c>
    </row>
    <row r="949">
      <c r="A949" s="223">
        <f>IF($C949="","",COUNTIF($C$6:$C949,"?*"))</f>
      </c>
      <c r="B949" s="217"/>
      <c r="C949" s="216"/>
      <c r="D949" s="240"/>
      <c r="E949" s="218"/>
      <c r="F949" s="218"/>
      <c r="G949" s="218"/>
      <c r="H949" s="219"/>
      <c r="I949" s="223">
        <f>IF($C949="","",IF(ISNUMBER(MATCH($C949,'Phản ánh'!$A$6:$A$505,0)),"Phản ánh",IF(ISNUMBER(MATCH($C949,'Kế hoạch'!$A$6:$A$305,0)),"Công việc","Mã chưa có")))</f>
      </c>
      <c r="J949" s="221">
        <f>IF($I949="Phản ánh",INDEX('Phản ánh'!$C$6:$C$505,MATCH($C949,'Phản ánh'!$A$6:$A$505,0)),IF($I949="Công việc",INDEX('Kế hoạch'!$C$6:$C$305,$O949),""))</f>
      </c>
      <c r="K949" s="221">
        <f>IF($I949="Phản ánh",INDEX('Phản ánh'!$K$6:$K$505,MATCH($C949,'Phản ánh'!$A$6:$A$505,0))&amp;"",IF($I949="Công việc",INDEX('Kế hoạch'!$N$6:$N$305,$O949)&amp;"",""))</f>
      </c>
      <c r="L949" s="220">
        <f>IF(OR($C949="",N($B949)=0),"",IF(AND($I949="Phản ánh",$E949="Đã xử lý"),INDEX('Phản ánh'!$U$6:$U$505,MATCH($C949,'Phản ánh'!$A$6:$A$505,0)),IF(AND($I949="Công việc",OR($E949="Hoàn thành",$E949="Hoàn thành kỳ")),IF(INDEX('Kế hoạch'!$B$6:$B$305,$O949)="Đột xuất",INDEX('Kế hoạch'!$AY$6:$AY$305,$O949),IF(N($P949)=0,"",IF(INT($B949)&lt;$P949,$P949,IF($Q949&gt;0,$P949+ROUND((INT($B949)-$P949)/$Q949,0)*$Q949,IF($R949&gt;0,EDATE($P949,ROUND((DATEDIF($P949,INT($B949),"m")+(INT($B949)-EDATE($P949,DATEDIF($P949,INT($B949),"m")))/(EDATE($P949,DATEDIF($P949,INT($B949),"m")+1)-EDATE($P949,DATEDIF($P949,INT($B949),"m"))))/$R949,0)*$R949),$P949))))),"")))</f>
      </c>
      <c r="M949" s="223">
        <f>IF(OR($C949="",N($L949)=0,N($B949)=0),"",IF(IF(MOD($L949,1)=0,INT($B949),$B949)&lt;=$L949,"Đúng hạn","Trễ hạn"))</f>
      </c>
      <c r="N949" s="225">
        <f>IF($C949="","",ROW())</f>
      </c>
      <c r="O949" s="225">
        <f>IF($I949="Công việc",MATCH($C949,'Kế hoạch'!$A$6:$A$305,0),"")</f>
      </c>
      <c r="P949" s="234">
        <f>IF($O949="","",INDEX('Kế hoạch'!$I$6:$I$305,$O949))</f>
      </c>
      <c r="Q949" s="225">
        <f>IF($O949="","",INDEX('Kế hoạch'!$AJ$6:$AJ$305,$O949))</f>
      </c>
      <c r="R949" s="225">
        <f>IF($O949="","",INDEX('Kế hoạch'!$AK$6:$AK$305,$O949))</f>
      </c>
    </row>
    <row r="950">
      <c r="A950" s="223">
        <f>IF($C950="","",COUNTIF($C$6:$C950,"?*"))</f>
      </c>
      <c r="B950" s="217"/>
      <c r="C950" s="216"/>
      <c r="D950" s="240"/>
      <c r="E950" s="218"/>
      <c r="F950" s="218"/>
      <c r="G950" s="218"/>
      <c r="H950" s="219"/>
      <c r="I950" s="223">
        <f>IF($C950="","",IF(ISNUMBER(MATCH($C950,'Phản ánh'!$A$6:$A$505,0)),"Phản ánh",IF(ISNUMBER(MATCH($C950,'Kế hoạch'!$A$6:$A$305,0)),"Công việc","Mã chưa có")))</f>
      </c>
      <c r="J950" s="221">
        <f>IF($I950="Phản ánh",INDEX('Phản ánh'!$C$6:$C$505,MATCH($C950,'Phản ánh'!$A$6:$A$505,0)),IF($I950="Công việc",INDEX('Kế hoạch'!$C$6:$C$305,$O950),""))</f>
      </c>
      <c r="K950" s="221">
        <f>IF($I950="Phản ánh",INDEX('Phản ánh'!$K$6:$K$505,MATCH($C950,'Phản ánh'!$A$6:$A$505,0))&amp;"",IF($I950="Công việc",INDEX('Kế hoạch'!$N$6:$N$305,$O950)&amp;"",""))</f>
      </c>
      <c r="L950" s="220">
        <f>IF(OR($C950="",N($B950)=0),"",IF(AND($I950="Phản ánh",$E950="Đã xử lý"),INDEX('Phản ánh'!$U$6:$U$505,MATCH($C950,'Phản ánh'!$A$6:$A$505,0)),IF(AND($I950="Công việc",OR($E950="Hoàn thành",$E950="Hoàn thành kỳ")),IF(INDEX('Kế hoạch'!$B$6:$B$305,$O950)="Đột xuất",INDEX('Kế hoạch'!$AY$6:$AY$305,$O950),IF(N($P950)=0,"",IF(INT($B950)&lt;$P950,$P950,IF($Q950&gt;0,$P950+ROUND((INT($B950)-$P950)/$Q950,0)*$Q950,IF($R950&gt;0,EDATE($P950,ROUND((DATEDIF($P950,INT($B950),"m")+(INT($B950)-EDATE($P950,DATEDIF($P950,INT($B950),"m")))/(EDATE($P950,DATEDIF($P950,INT($B950),"m")+1)-EDATE($P950,DATEDIF($P950,INT($B950),"m"))))/$R950,0)*$R950),$P950))))),"")))</f>
      </c>
      <c r="M950" s="223">
        <f>IF(OR($C950="",N($L950)=0,N($B950)=0),"",IF(IF(MOD($L950,1)=0,INT($B950),$B950)&lt;=$L950,"Đúng hạn","Trễ hạn"))</f>
      </c>
      <c r="N950" s="225">
        <f>IF($C950="","",ROW())</f>
      </c>
      <c r="O950" s="225">
        <f>IF($I950="Công việc",MATCH($C950,'Kế hoạch'!$A$6:$A$305,0),"")</f>
      </c>
      <c r="P950" s="234">
        <f>IF($O950="","",INDEX('Kế hoạch'!$I$6:$I$305,$O950))</f>
      </c>
      <c r="Q950" s="225">
        <f>IF($O950="","",INDEX('Kế hoạch'!$AJ$6:$AJ$305,$O950))</f>
      </c>
      <c r="R950" s="225">
        <f>IF($O950="","",INDEX('Kế hoạch'!$AK$6:$AK$305,$O950))</f>
      </c>
    </row>
    <row r="951">
      <c r="A951" s="223">
        <f>IF($C951="","",COUNTIF($C$6:$C951,"?*"))</f>
      </c>
      <c r="B951" s="217"/>
      <c r="C951" s="216"/>
      <c r="D951" s="240"/>
      <c r="E951" s="218"/>
      <c r="F951" s="218"/>
      <c r="G951" s="218"/>
      <c r="H951" s="219"/>
      <c r="I951" s="223">
        <f>IF($C951="","",IF(ISNUMBER(MATCH($C951,'Phản ánh'!$A$6:$A$505,0)),"Phản ánh",IF(ISNUMBER(MATCH($C951,'Kế hoạch'!$A$6:$A$305,0)),"Công việc","Mã chưa có")))</f>
      </c>
      <c r="J951" s="221">
        <f>IF($I951="Phản ánh",INDEX('Phản ánh'!$C$6:$C$505,MATCH($C951,'Phản ánh'!$A$6:$A$505,0)),IF($I951="Công việc",INDEX('Kế hoạch'!$C$6:$C$305,$O951),""))</f>
      </c>
      <c r="K951" s="221">
        <f>IF($I951="Phản ánh",INDEX('Phản ánh'!$K$6:$K$505,MATCH($C951,'Phản ánh'!$A$6:$A$505,0))&amp;"",IF($I951="Công việc",INDEX('Kế hoạch'!$N$6:$N$305,$O951)&amp;"",""))</f>
      </c>
      <c r="L951" s="220">
        <f>IF(OR($C951="",N($B951)=0),"",IF(AND($I951="Phản ánh",$E951="Đã xử lý"),INDEX('Phản ánh'!$U$6:$U$505,MATCH($C951,'Phản ánh'!$A$6:$A$505,0)),IF(AND($I951="Công việc",OR($E951="Hoàn thành",$E951="Hoàn thành kỳ")),IF(INDEX('Kế hoạch'!$B$6:$B$305,$O951)="Đột xuất",INDEX('Kế hoạch'!$AY$6:$AY$305,$O951),IF(N($P951)=0,"",IF(INT($B951)&lt;$P951,$P951,IF($Q951&gt;0,$P951+ROUND((INT($B951)-$P951)/$Q951,0)*$Q951,IF($R951&gt;0,EDATE($P951,ROUND((DATEDIF($P951,INT($B951),"m")+(INT($B951)-EDATE($P951,DATEDIF($P951,INT($B951),"m")))/(EDATE($P951,DATEDIF($P951,INT($B951),"m")+1)-EDATE($P951,DATEDIF($P951,INT($B951),"m"))))/$R951,0)*$R951),$P951))))),"")))</f>
      </c>
      <c r="M951" s="223">
        <f>IF(OR($C951="",N($L951)=0,N($B951)=0),"",IF(IF(MOD($L951,1)=0,INT($B951),$B951)&lt;=$L951,"Đúng hạn","Trễ hạn"))</f>
      </c>
      <c r="N951" s="225">
        <f>IF($C951="","",ROW())</f>
      </c>
      <c r="O951" s="225">
        <f>IF($I951="Công việc",MATCH($C951,'Kế hoạch'!$A$6:$A$305,0),"")</f>
      </c>
      <c r="P951" s="234">
        <f>IF($O951="","",INDEX('Kế hoạch'!$I$6:$I$305,$O951))</f>
      </c>
      <c r="Q951" s="225">
        <f>IF($O951="","",INDEX('Kế hoạch'!$AJ$6:$AJ$305,$O951))</f>
      </c>
      <c r="R951" s="225">
        <f>IF($O951="","",INDEX('Kế hoạch'!$AK$6:$AK$305,$O951))</f>
      </c>
    </row>
    <row r="952">
      <c r="A952" s="223">
        <f>IF($C952="","",COUNTIF($C$6:$C952,"?*"))</f>
      </c>
      <c r="B952" s="217"/>
      <c r="C952" s="216"/>
      <c r="D952" s="240"/>
      <c r="E952" s="218"/>
      <c r="F952" s="218"/>
      <c r="G952" s="218"/>
      <c r="H952" s="219"/>
      <c r="I952" s="223">
        <f>IF($C952="","",IF(ISNUMBER(MATCH($C952,'Phản ánh'!$A$6:$A$505,0)),"Phản ánh",IF(ISNUMBER(MATCH($C952,'Kế hoạch'!$A$6:$A$305,0)),"Công việc","Mã chưa có")))</f>
      </c>
      <c r="J952" s="221">
        <f>IF($I952="Phản ánh",INDEX('Phản ánh'!$C$6:$C$505,MATCH($C952,'Phản ánh'!$A$6:$A$505,0)),IF($I952="Công việc",INDEX('Kế hoạch'!$C$6:$C$305,$O952),""))</f>
      </c>
      <c r="K952" s="221">
        <f>IF($I952="Phản ánh",INDEX('Phản ánh'!$K$6:$K$505,MATCH($C952,'Phản ánh'!$A$6:$A$505,0))&amp;"",IF($I952="Công việc",INDEX('Kế hoạch'!$N$6:$N$305,$O952)&amp;"",""))</f>
      </c>
      <c r="L952" s="220">
        <f>IF(OR($C952="",N($B952)=0),"",IF(AND($I952="Phản ánh",$E952="Đã xử lý"),INDEX('Phản ánh'!$U$6:$U$505,MATCH($C952,'Phản ánh'!$A$6:$A$505,0)),IF(AND($I952="Công việc",OR($E952="Hoàn thành",$E952="Hoàn thành kỳ")),IF(INDEX('Kế hoạch'!$B$6:$B$305,$O952)="Đột xuất",INDEX('Kế hoạch'!$AY$6:$AY$305,$O952),IF(N($P952)=0,"",IF(INT($B952)&lt;$P952,$P952,IF($Q952&gt;0,$P952+ROUND((INT($B952)-$P952)/$Q952,0)*$Q952,IF($R952&gt;0,EDATE($P952,ROUND((DATEDIF($P952,INT($B952),"m")+(INT($B952)-EDATE($P952,DATEDIF($P952,INT($B952),"m")))/(EDATE($P952,DATEDIF($P952,INT($B952),"m")+1)-EDATE($P952,DATEDIF($P952,INT($B952),"m"))))/$R952,0)*$R952),$P952))))),"")))</f>
      </c>
      <c r="M952" s="223">
        <f>IF(OR($C952="",N($L952)=0,N($B952)=0),"",IF(IF(MOD($L952,1)=0,INT($B952),$B952)&lt;=$L952,"Đúng hạn","Trễ hạn"))</f>
      </c>
      <c r="N952" s="225">
        <f>IF($C952="","",ROW())</f>
      </c>
      <c r="O952" s="225">
        <f>IF($I952="Công việc",MATCH($C952,'Kế hoạch'!$A$6:$A$305,0),"")</f>
      </c>
      <c r="P952" s="234">
        <f>IF($O952="","",INDEX('Kế hoạch'!$I$6:$I$305,$O952))</f>
      </c>
      <c r="Q952" s="225">
        <f>IF($O952="","",INDEX('Kế hoạch'!$AJ$6:$AJ$305,$O952))</f>
      </c>
      <c r="R952" s="225">
        <f>IF($O952="","",INDEX('Kế hoạch'!$AK$6:$AK$305,$O952))</f>
      </c>
    </row>
    <row r="953">
      <c r="A953" s="223">
        <f>IF($C953="","",COUNTIF($C$6:$C953,"?*"))</f>
      </c>
      <c r="B953" s="217"/>
      <c r="C953" s="216"/>
      <c r="D953" s="240"/>
      <c r="E953" s="218"/>
      <c r="F953" s="218"/>
      <c r="G953" s="218"/>
      <c r="H953" s="219"/>
      <c r="I953" s="223">
        <f>IF($C953="","",IF(ISNUMBER(MATCH($C953,'Phản ánh'!$A$6:$A$505,0)),"Phản ánh",IF(ISNUMBER(MATCH($C953,'Kế hoạch'!$A$6:$A$305,0)),"Công việc","Mã chưa có")))</f>
      </c>
      <c r="J953" s="221">
        <f>IF($I953="Phản ánh",INDEX('Phản ánh'!$C$6:$C$505,MATCH($C953,'Phản ánh'!$A$6:$A$505,0)),IF($I953="Công việc",INDEX('Kế hoạch'!$C$6:$C$305,$O953),""))</f>
      </c>
      <c r="K953" s="221">
        <f>IF($I953="Phản ánh",INDEX('Phản ánh'!$K$6:$K$505,MATCH($C953,'Phản ánh'!$A$6:$A$505,0))&amp;"",IF($I953="Công việc",INDEX('Kế hoạch'!$N$6:$N$305,$O953)&amp;"",""))</f>
      </c>
      <c r="L953" s="220">
        <f>IF(OR($C953="",N($B953)=0),"",IF(AND($I953="Phản ánh",$E953="Đã xử lý"),INDEX('Phản ánh'!$U$6:$U$505,MATCH($C953,'Phản ánh'!$A$6:$A$505,0)),IF(AND($I953="Công việc",OR($E953="Hoàn thành",$E953="Hoàn thành kỳ")),IF(INDEX('Kế hoạch'!$B$6:$B$305,$O953)="Đột xuất",INDEX('Kế hoạch'!$AY$6:$AY$305,$O953),IF(N($P953)=0,"",IF(INT($B953)&lt;$P953,$P953,IF($Q953&gt;0,$P953+ROUND((INT($B953)-$P953)/$Q953,0)*$Q953,IF($R953&gt;0,EDATE($P953,ROUND((DATEDIF($P953,INT($B953),"m")+(INT($B953)-EDATE($P953,DATEDIF($P953,INT($B953),"m")))/(EDATE($P953,DATEDIF($P953,INT($B953),"m")+1)-EDATE($P953,DATEDIF($P953,INT($B953),"m"))))/$R953,0)*$R953),$P953))))),"")))</f>
      </c>
      <c r="M953" s="223">
        <f>IF(OR($C953="",N($L953)=0,N($B953)=0),"",IF(IF(MOD($L953,1)=0,INT($B953),$B953)&lt;=$L953,"Đúng hạn","Trễ hạn"))</f>
      </c>
      <c r="N953" s="225">
        <f>IF($C953="","",ROW())</f>
      </c>
      <c r="O953" s="225">
        <f>IF($I953="Công việc",MATCH($C953,'Kế hoạch'!$A$6:$A$305,0),"")</f>
      </c>
      <c r="P953" s="234">
        <f>IF($O953="","",INDEX('Kế hoạch'!$I$6:$I$305,$O953))</f>
      </c>
      <c r="Q953" s="225">
        <f>IF($O953="","",INDEX('Kế hoạch'!$AJ$6:$AJ$305,$O953))</f>
      </c>
      <c r="R953" s="225">
        <f>IF($O953="","",INDEX('Kế hoạch'!$AK$6:$AK$305,$O953))</f>
      </c>
    </row>
    <row r="954">
      <c r="A954" s="223">
        <f>IF($C954="","",COUNTIF($C$6:$C954,"?*"))</f>
      </c>
      <c r="B954" s="217"/>
      <c r="C954" s="216"/>
      <c r="D954" s="240"/>
      <c r="E954" s="218"/>
      <c r="F954" s="218"/>
      <c r="G954" s="218"/>
      <c r="H954" s="219"/>
      <c r="I954" s="223">
        <f>IF($C954="","",IF(ISNUMBER(MATCH($C954,'Phản ánh'!$A$6:$A$505,0)),"Phản ánh",IF(ISNUMBER(MATCH($C954,'Kế hoạch'!$A$6:$A$305,0)),"Công việc","Mã chưa có")))</f>
      </c>
      <c r="J954" s="221">
        <f>IF($I954="Phản ánh",INDEX('Phản ánh'!$C$6:$C$505,MATCH($C954,'Phản ánh'!$A$6:$A$505,0)),IF($I954="Công việc",INDEX('Kế hoạch'!$C$6:$C$305,$O954),""))</f>
      </c>
      <c r="K954" s="221">
        <f>IF($I954="Phản ánh",INDEX('Phản ánh'!$K$6:$K$505,MATCH($C954,'Phản ánh'!$A$6:$A$505,0))&amp;"",IF($I954="Công việc",INDEX('Kế hoạch'!$N$6:$N$305,$O954)&amp;"",""))</f>
      </c>
      <c r="L954" s="220">
        <f>IF(OR($C954="",N($B954)=0),"",IF(AND($I954="Phản ánh",$E954="Đã xử lý"),INDEX('Phản ánh'!$U$6:$U$505,MATCH($C954,'Phản ánh'!$A$6:$A$505,0)),IF(AND($I954="Công việc",OR($E954="Hoàn thành",$E954="Hoàn thành kỳ")),IF(INDEX('Kế hoạch'!$B$6:$B$305,$O954)="Đột xuất",INDEX('Kế hoạch'!$AY$6:$AY$305,$O954),IF(N($P954)=0,"",IF(INT($B954)&lt;$P954,$P954,IF($Q954&gt;0,$P954+ROUND((INT($B954)-$P954)/$Q954,0)*$Q954,IF($R954&gt;0,EDATE($P954,ROUND((DATEDIF($P954,INT($B954),"m")+(INT($B954)-EDATE($P954,DATEDIF($P954,INT($B954),"m")))/(EDATE($P954,DATEDIF($P954,INT($B954),"m")+1)-EDATE($P954,DATEDIF($P954,INT($B954),"m"))))/$R954,0)*$R954),$P954))))),"")))</f>
      </c>
      <c r="M954" s="223">
        <f>IF(OR($C954="",N($L954)=0,N($B954)=0),"",IF(IF(MOD($L954,1)=0,INT($B954),$B954)&lt;=$L954,"Đúng hạn","Trễ hạn"))</f>
      </c>
      <c r="N954" s="225">
        <f>IF($C954="","",ROW())</f>
      </c>
      <c r="O954" s="225">
        <f>IF($I954="Công việc",MATCH($C954,'Kế hoạch'!$A$6:$A$305,0),"")</f>
      </c>
      <c r="P954" s="234">
        <f>IF($O954="","",INDEX('Kế hoạch'!$I$6:$I$305,$O954))</f>
      </c>
      <c r="Q954" s="225">
        <f>IF($O954="","",INDEX('Kế hoạch'!$AJ$6:$AJ$305,$O954))</f>
      </c>
      <c r="R954" s="225">
        <f>IF($O954="","",INDEX('Kế hoạch'!$AK$6:$AK$305,$O954))</f>
      </c>
    </row>
    <row r="955">
      <c r="A955" s="223">
        <f>IF($C955="","",COUNTIF($C$6:$C955,"?*"))</f>
      </c>
      <c r="B955" s="217"/>
      <c r="C955" s="216"/>
      <c r="D955" s="240"/>
      <c r="E955" s="218"/>
      <c r="F955" s="218"/>
      <c r="G955" s="218"/>
      <c r="H955" s="219"/>
      <c r="I955" s="223">
        <f>IF($C955="","",IF(ISNUMBER(MATCH($C955,'Phản ánh'!$A$6:$A$505,0)),"Phản ánh",IF(ISNUMBER(MATCH($C955,'Kế hoạch'!$A$6:$A$305,0)),"Công việc","Mã chưa có")))</f>
      </c>
      <c r="J955" s="221">
        <f>IF($I955="Phản ánh",INDEX('Phản ánh'!$C$6:$C$505,MATCH($C955,'Phản ánh'!$A$6:$A$505,0)),IF($I955="Công việc",INDEX('Kế hoạch'!$C$6:$C$305,$O955),""))</f>
      </c>
      <c r="K955" s="221">
        <f>IF($I955="Phản ánh",INDEX('Phản ánh'!$K$6:$K$505,MATCH($C955,'Phản ánh'!$A$6:$A$505,0))&amp;"",IF($I955="Công việc",INDEX('Kế hoạch'!$N$6:$N$305,$O955)&amp;"",""))</f>
      </c>
      <c r="L955" s="220">
        <f>IF(OR($C955="",N($B955)=0),"",IF(AND($I955="Phản ánh",$E955="Đã xử lý"),INDEX('Phản ánh'!$U$6:$U$505,MATCH($C955,'Phản ánh'!$A$6:$A$505,0)),IF(AND($I955="Công việc",OR($E955="Hoàn thành",$E955="Hoàn thành kỳ")),IF(INDEX('Kế hoạch'!$B$6:$B$305,$O955)="Đột xuất",INDEX('Kế hoạch'!$AY$6:$AY$305,$O955),IF(N($P955)=0,"",IF(INT($B955)&lt;$P955,$P955,IF($Q955&gt;0,$P955+ROUND((INT($B955)-$P955)/$Q955,0)*$Q955,IF($R955&gt;0,EDATE($P955,ROUND((DATEDIF($P955,INT($B955),"m")+(INT($B955)-EDATE($P955,DATEDIF($P955,INT($B955),"m")))/(EDATE($P955,DATEDIF($P955,INT($B955),"m")+1)-EDATE($P955,DATEDIF($P955,INT($B955),"m"))))/$R955,0)*$R955),$P955))))),"")))</f>
      </c>
      <c r="M955" s="223">
        <f>IF(OR($C955="",N($L955)=0,N($B955)=0),"",IF(IF(MOD($L955,1)=0,INT($B955),$B955)&lt;=$L955,"Đúng hạn","Trễ hạn"))</f>
      </c>
      <c r="N955" s="225">
        <f>IF($C955="","",ROW())</f>
      </c>
      <c r="O955" s="225">
        <f>IF($I955="Công việc",MATCH($C955,'Kế hoạch'!$A$6:$A$305,0),"")</f>
      </c>
      <c r="P955" s="234">
        <f>IF($O955="","",INDEX('Kế hoạch'!$I$6:$I$305,$O955))</f>
      </c>
      <c r="Q955" s="225">
        <f>IF($O955="","",INDEX('Kế hoạch'!$AJ$6:$AJ$305,$O955))</f>
      </c>
      <c r="R955" s="225">
        <f>IF($O955="","",INDEX('Kế hoạch'!$AK$6:$AK$305,$O955))</f>
      </c>
    </row>
    <row r="956">
      <c r="A956" s="223">
        <f>IF($C956="","",COUNTIF($C$6:$C956,"?*"))</f>
      </c>
      <c r="B956" s="217"/>
      <c r="C956" s="216"/>
      <c r="D956" s="240"/>
      <c r="E956" s="218"/>
      <c r="F956" s="218"/>
      <c r="G956" s="218"/>
      <c r="H956" s="219"/>
      <c r="I956" s="223">
        <f>IF($C956="","",IF(ISNUMBER(MATCH($C956,'Phản ánh'!$A$6:$A$505,0)),"Phản ánh",IF(ISNUMBER(MATCH($C956,'Kế hoạch'!$A$6:$A$305,0)),"Công việc","Mã chưa có")))</f>
      </c>
      <c r="J956" s="221">
        <f>IF($I956="Phản ánh",INDEX('Phản ánh'!$C$6:$C$505,MATCH($C956,'Phản ánh'!$A$6:$A$505,0)),IF($I956="Công việc",INDEX('Kế hoạch'!$C$6:$C$305,$O956),""))</f>
      </c>
      <c r="K956" s="221">
        <f>IF($I956="Phản ánh",INDEX('Phản ánh'!$K$6:$K$505,MATCH($C956,'Phản ánh'!$A$6:$A$505,0))&amp;"",IF($I956="Công việc",INDEX('Kế hoạch'!$N$6:$N$305,$O956)&amp;"",""))</f>
      </c>
      <c r="L956" s="220">
        <f>IF(OR($C956="",N($B956)=0),"",IF(AND($I956="Phản ánh",$E956="Đã xử lý"),INDEX('Phản ánh'!$U$6:$U$505,MATCH($C956,'Phản ánh'!$A$6:$A$505,0)),IF(AND($I956="Công việc",OR($E956="Hoàn thành",$E956="Hoàn thành kỳ")),IF(INDEX('Kế hoạch'!$B$6:$B$305,$O956)="Đột xuất",INDEX('Kế hoạch'!$AY$6:$AY$305,$O956),IF(N($P956)=0,"",IF(INT($B956)&lt;$P956,$P956,IF($Q956&gt;0,$P956+ROUND((INT($B956)-$P956)/$Q956,0)*$Q956,IF($R956&gt;0,EDATE($P956,ROUND((DATEDIF($P956,INT($B956),"m")+(INT($B956)-EDATE($P956,DATEDIF($P956,INT($B956),"m")))/(EDATE($P956,DATEDIF($P956,INT($B956),"m")+1)-EDATE($P956,DATEDIF($P956,INT($B956),"m"))))/$R956,0)*$R956),$P956))))),"")))</f>
      </c>
      <c r="M956" s="223">
        <f>IF(OR($C956="",N($L956)=0,N($B956)=0),"",IF(IF(MOD($L956,1)=0,INT($B956),$B956)&lt;=$L956,"Đúng hạn","Trễ hạn"))</f>
      </c>
      <c r="N956" s="225">
        <f>IF($C956="","",ROW())</f>
      </c>
      <c r="O956" s="225">
        <f>IF($I956="Công việc",MATCH($C956,'Kế hoạch'!$A$6:$A$305,0),"")</f>
      </c>
      <c r="P956" s="234">
        <f>IF($O956="","",INDEX('Kế hoạch'!$I$6:$I$305,$O956))</f>
      </c>
      <c r="Q956" s="225">
        <f>IF($O956="","",INDEX('Kế hoạch'!$AJ$6:$AJ$305,$O956))</f>
      </c>
      <c r="R956" s="225">
        <f>IF($O956="","",INDEX('Kế hoạch'!$AK$6:$AK$305,$O956))</f>
      </c>
    </row>
    <row r="957">
      <c r="A957" s="223">
        <f>IF($C957="","",COUNTIF($C$6:$C957,"?*"))</f>
      </c>
      <c r="B957" s="217"/>
      <c r="C957" s="216"/>
      <c r="D957" s="240"/>
      <c r="E957" s="218"/>
      <c r="F957" s="218"/>
      <c r="G957" s="218"/>
      <c r="H957" s="219"/>
      <c r="I957" s="223">
        <f>IF($C957="","",IF(ISNUMBER(MATCH($C957,'Phản ánh'!$A$6:$A$505,0)),"Phản ánh",IF(ISNUMBER(MATCH($C957,'Kế hoạch'!$A$6:$A$305,0)),"Công việc","Mã chưa có")))</f>
      </c>
      <c r="J957" s="221">
        <f>IF($I957="Phản ánh",INDEX('Phản ánh'!$C$6:$C$505,MATCH($C957,'Phản ánh'!$A$6:$A$505,0)),IF($I957="Công việc",INDEX('Kế hoạch'!$C$6:$C$305,$O957),""))</f>
      </c>
      <c r="K957" s="221">
        <f>IF($I957="Phản ánh",INDEX('Phản ánh'!$K$6:$K$505,MATCH($C957,'Phản ánh'!$A$6:$A$505,0))&amp;"",IF($I957="Công việc",INDEX('Kế hoạch'!$N$6:$N$305,$O957)&amp;"",""))</f>
      </c>
      <c r="L957" s="220">
        <f>IF(OR($C957="",N($B957)=0),"",IF(AND($I957="Phản ánh",$E957="Đã xử lý"),INDEX('Phản ánh'!$U$6:$U$505,MATCH($C957,'Phản ánh'!$A$6:$A$505,0)),IF(AND($I957="Công việc",OR($E957="Hoàn thành",$E957="Hoàn thành kỳ")),IF(INDEX('Kế hoạch'!$B$6:$B$305,$O957)="Đột xuất",INDEX('Kế hoạch'!$AY$6:$AY$305,$O957),IF(N($P957)=0,"",IF(INT($B957)&lt;$P957,$P957,IF($Q957&gt;0,$P957+ROUND((INT($B957)-$P957)/$Q957,0)*$Q957,IF($R957&gt;0,EDATE($P957,ROUND((DATEDIF($P957,INT($B957),"m")+(INT($B957)-EDATE($P957,DATEDIF($P957,INT($B957),"m")))/(EDATE($P957,DATEDIF($P957,INT($B957),"m")+1)-EDATE($P957,DATEDIF($P957,INT($B957),"m"))))/$R957,0)*$R957),$P957))))),"")))</f>
      </c>
      <c r="M957" s="223">
        <f>IF(OR($C957="",N($L957)=0,N($B957)=0),"",IF(IF(MOD($L957,1)=0,INT($B957),$B957)&lt;=$L957,"Đúng hạn","Trễ hạn"))</f>
      </c>
      <c r="N957" s="225">
        <f>IF($C957="","",ROW())</f>
      </c>
      <c r="O957" s="225">
        <f>IF($I957="Công việc",MATCH($C957,'Kế hoạch'!$A$6:$A$305,0),"")</f>
      </c>
      <c r="P957" s="234">
        <f>IF($O957="","",INDEX('Kế hoạch'!$I$6:$I$305,$O957))</f>
      </c>
      <c r="Q957" s="225">
        <f>IF($O957="","",INDEX('Kế hoạch'!$AJ$6:$AJ$305,$O957))</f>
      </c>
      <c r="R957" s="225">
        <f>IF($O957="","",INDEX('Kế hoạch'!$AK$6:$AK$305,$O957))</f>
      </c>
    </row>
    <row r="958">
      <c r="A958" s="223">
        <f>IF($C958="","",COUNTIF($C$6:$C958,"?*"))</f>
      </c>
      <c r="B958" s="217"/>
      <c r="C958" s="216"/>
      <c r="D958" s="240"/>
      <c r="E958" s="218"/>
      <c r="F958" s="218"/>
      <c r="G958" s="218"/>
      <c r="H958" s="219"/>
      <c r="I958" s="223">
        <f>IF($C958="","",IF(ISNUMBER(MATCH($C958,'Phản ánh'!$A$6:$A$505,0)),"Phản ánh",IF(ISNUMBER(MATCH($C958,'Kế hoạch'!$A$6:$A$305,0)),"Công việc","Mã chưa có")))</f>
      </c>
      <c r="J958" s="221">
        <f>IF($I958="Phản ánh",INDEX('Phản ánh'!$C$6:$C$505,MATCH($C958,'Phản ánh'!$A$6:$A$505,0)),IF($I958="Công việc",INDEX('Kế hoạch'!$C$6:$C$305,$O958),""))</f>
      </c>
      <c r="K958" s="221">
        <f>IF($I958="Phản ánh",INDEX('Phản ánh'!$K$6:$K$505,MATCH($C958,'Phản ánh'!$A$6:$A$505,0))&amp;"",IF($I958="Công việc",INDEX('Kế hoạch'!$N$6:$N$305,$O958)&amp;"",""))</f>
      </c>
      <c r="L958" s="220">
        <f>IF(OR($C958="",N($B958)=0),"",IF(AND($I958="Phản ánh",$E958="Đã xử lý"),INDEX('Phản ánh'!$U$6:$U$505,MATCH($C958,'Phản ánh'!$A$6:$A$505,0)),IF(AND($I958="Công việc",OR($E958="Hoàn thành",$E958="Hoàn thành kỳ")),IF(INDEX('Kế hoạch'!$B$6:$B$305,$O958)="Đột xuất",INDEX('Kế hoạch'!$AY$6:$AY$305,$O958),IF(N($P958)=0,"",IF(INT($B958)&lt;$P958,$P958,IF($Q958&gt;0,$P958+ROUND((INT($B958)-$P958)/$Q958,0)*$Q958,IF($R958&gt;0,EDATE($P958,ROUND((DATEDIF($P958,INT($B958),"m")+(INT($B958)-EDATE($P958,DATEDIF($P958,INT($B958),"m")))/(EDATE($P958,DATEDIF($P958,INT($B958),"m")+1)-EDATE($P958,DATEDIF($P958,INT($B958),"m"))))/$R958,0)*$R958),$P958))))),"")))</f>
      </c>
      <c r="M958" s="223">
        <f>IF(OR($C958="",N($L958)=0,N($B958)=0),"",IF(IF(MOD($L958,1)=0,INT($B958),$B958)&lt;=$L958,"Đúng hạn","Trễ hạn"))</f>
      </c>
      <c r="N958" s="225">
        <f>IF($C958="","",ROW())</f>
      </c>
      <c r="O958" s="225">
        <f>IF($I958="Công việc",MATCH($C958,'Kế hoạch'!$A$6:$A$305,0),"")</f>
      </c>
      <c r="P958" s="234">
        <f>IF($O958="","",INDEX('Kế hoạch'!$I$6:$I$305,$O958))</f>
      </c>
      <c r="Q958" s="225">
        <f>IF($O958="","",INDEX('Kế hoạch'!$AJ$6:$AJ$305,$O958))</f>
      </c>
      <c r="R958" s="225">
        <f>IF($O958="","",INDEX('Kế hoạch'!$AK$6:$AK$305,$O958))</f>
      </c>
    </row>
    <row r="959">
      <c r="A959" s="223">
        <f>IF($C959="","",COUNTIF($C$6:$C959,"?*"))</f>
      </c>
      <c r="B959" s="217"/>
      <c r="C959" s="216"/>
      <c r="D959" s="240"/>
      <c r="E959" s="218"/>
      <c r="F959" s="218"/>
      <c r="G959" s="218"/>
      <c r="H959" s="219"/>
      <c r="I959" s="223">
        <f>IF($C959="","",IF(ISNUMBER(MATCH($C959,'Phản ánh'!$A$6:$A$505,0)),"Phản ánh",IF(ISNUMBER(MATCH($C959,'Kế hoạch'!$A$6:$A$305,0)),"Công việc","Mã chưa có")))</f>
      </c>
      <c r="J959" s="221">
        <f>IF($I959="Phản ánh",INDEX('Phản ánh'!$C$6:$C$505,MATCH($C959,'Phản ánh'!$A$6:$A$505,0)),IF($I959="Công việc",INDEX('Kế hoạch'!$C$6:$C$305,$O959),""))</f>
      </c>
      <c r="K959" s="221">
        <f>IF($I959="Phản ánh",INDEX('Phản ánh'!$K$6:$K$505,MATCH($C959,'Phản ánh'!$A$6:$A$505,0))&amp;"",IF($I959="Công việc",INDEX('Kế hoạch'!$N$6:$N$305,$O959)&amp;"",""))</f>
      </c>
      <c r="L959" s="220">
        <f>IF(OR($C959="",N($B959)=0),"",IF(AND($I959="Phản ánh",$E959="Đã xử lý"),INDEX('Phản ánh'!$U$6:$U$505,MATCH($C959,'Phản ánh'!$A$6:$A$505,0)),IF(AND($I959="Công việc",OR($E959="Hoàn thành",$E959="Hoàn thành kỳ")),IF(INDEX('Kế hoạch'!$B$6:$B$305,$O959)="Đột xuất",INDEX('Kế hoạch'!$AY$6:$AY$305,$O959),IF(N($P959)=0,"",IF(INT($B959)&lt;$P959,$P959,IF($Q959&gt;0,$P959+ROUND((INT($B959)-$P959)/$Q959,0)*$Q959,IF($R959&gt;0,EDATE($P959,ROUND((DATEDIF($P959,INT($B959),"m")+(INT($B959)-EDATE($P959,DATEDIF($P959,INT($B959),"m")))/(EDATE($P959,DATEDIF($P959,INT($B959),"m")+1)-EDATE($P959,DATEDIF($P959,INT($B959),"m"))))/$R959,0)*$R959),$P959))))),"")))</f>
      </c>
      <c r="M959" s="223">
        <f>IF(OR($C959="",N($L959)=0,N($B959)=0),"",IF(IF(MOD($L959,1)=0,INT($B959),$B959)&lt;=$L959,"Đúng hạn","Trễ hạn"))</f>
      </c>
      <c r="N959" s="225">
        <f>IF($C959="","",ROW())</f>
      </c>
      <c r="O959" s="225">
        <f>IF($I959="Công việc",MATCH($C959,'Kế hoạch'!$A$6:$A$305,0),"")</f>
      </c>
      <c r="P959" s="234">
        <f>IF($O959="","",INDEX('Kế hoạch'!$I$6:$I$305,$O959))</f>
      </c>
      <c r="Q959" s="225">
        <f>IF($O959="","",INDEX('Kế hoạch'!$AJ$6:$AJ$305,$O959))</f>
      </c>
      <c r="R959" s="225">
        <f>IF($O959="","",INDEX('Kế hoạch'!$AK$6:$AK$305,$O959))</f>
      </c>
    </row>
    <row r="960">
      <c r="A960" s="223">
        <f>IF($C960="","",COUNTIF($C$6:$C960,"?*"))</f>
      </c>
      <c r="B960" s="217"/>
      <c r="C960" s="216"/>
      <c r="D960" s="240"/>
      <c r="E960" s="218"/>
      <c r="F960" s="218"/>
      <c r="G960" s="218"/>
      <c r="H960" s="219"/>
      <c r="I960" s="223">
        <f>IF($C960="","",IF(ISNUMBER(MATCH($C960,'Phản ánh'!$A$6:$A$505,0)),"Phản ánh",IF(ISNUMBER(MATCH($C960,'Kế hoạch'!$A$6:$A$305,0)),"Công việc","Mã chưa có")))</f>
      </c>
      <c r="J960" s="221">
        <f>IF($I960="Phản ánh",INDEX('Phản ánh'!$C$6:$C$505,MATCH($C960,'Phản ánh'!$A$6:$A$505,0)),IF($I960="Công việc",INDEX('Kế hoạch'!$C$6:$C$305,$O960),""))</f>
      </c>
      <c r="K960" s="221">
        <f>IF($I960="Phản ánh",INDEX('Phản ánh'!$K$6:$K$505,MATCH($C960,'Phản ánh'!$A$6:$A$505,0))&amp;"",IF($I960="Công việc",INDEX('Kế hoạch'!$N$6:$N$305,$O960)&amp;"",""))</f>
      </c>
      <c r="L960" s="220">
        <f>IF(OR($C960="",N($B960)=0),"",IF(AND($I960="Phản ánh",$E960="Đã xử lý"),INDEX('Phản ánh'!$U$6:$U$505,MATCH($C960,'Phản ánh'!$A$6:$A$505,0)),IF(AND($I960="Công việc",OR($E960="Hoàn thành",$E960="Hoàn thành kỳ")),IF(INDEX('Kế hoạch'!$B$6:$B$305,$O960)="Đột xuất",INDEX('Kế hoạch'!$AY$6:$AY$305,$O960),IF(N($P960)=0,"",IF(INT($B960)&lt;$P960,$P960,IF($Q960&gt;0,$P960+ROUND((INT($B960)-$P960)/$Q960,0)*$Q960,IF($R960&gt;0,EDATE($P960,ROUND((DATEDIF($P960,INT($B960),"m")+(INT($B960)-EDATE($P960,DATEDIF($P960,INT($B960),"m")))/(EDATE($P960,DATEDIF($P960,INT($B960),"m")+1)-EDATE($P960,DATEDIF($P960,INT($B960),"m"))))/$R960,0)*$R960),$P960))))),"")))</f>
      </c>
      <c r="M960" s="223">
        <f>IF(OR($C960="",N($L960)=0,N($B960)=0),"",IF(IF(MOD($L960,1)=0,INT($B960),$B960)&lt;=$L960,"Đúng hạn","Trễ hạn"))</f>
      </c>
      <c r="N960" s="225">
        <f>IF($C960="","",ROW())</f>
      </c>
      <c r="O960" s="225">
        <f>IF($I960="Công việc",MATCH($C960,'Kế hoạch'!$A$6:$A$305,0),"")</f>
      </c>
      <c r="P960" s="234">
        <f>IF($O960="","",INDEX('Kế hoạch'!$I$6:$I$305,$O960))</f>
      </c>
      <c r="Q960" s="225">
        <f>IF($O960="","",INDEX('Kế hoạch'!$AJ$6:$AJ$305,$O960))</f>
      </c>
      <c r="R960" s="225">
        <f>IF($O960="","",INDEX('Kế hoạch'!$AK$6:$AK$305,$O960))</f>
      </c>
    </row>
    <row r="961">
      <c r="A961" s="223">
        <f>IF($C961="","",COUNTIF($C$6:$C961,"?*"))</f>
      </c>
      <c r="B961" s="217"/>
      <c r="C961" s="216"/>
      <c r="D961" s="240"/>
      <c r="E961" s="218"/>
      <c r="F961" s="218"/>
      <c r="G961" s="218"/>
      <c r="H961" s="219"/>
      <c r="I961" s="223">
        <f>IF($C961="","",IF(ISNUMBER(MATCH($C961,'Phản ánh'!$A$6:$A$505,0)),"Phản ánh",IF(ISNUMBER(MATCH($C961,'Kế hoạch'!$A$6:$A$305,0)),"Công việc","Mã chưa có")))</f>
      </c>
      <c r="J961" s="221">
        <f>IF($I961="Phản ánh",INDEX('Phản ánh'!$C$6:$C$505,MATCH($C961,'Phản ánh'!$A$6:$A$505,0)),IF($I961="Công việc",INDEX('Kế hoạch'!$C$6:$C$305,$O961),""))</f>
      </c>
      <c r="K961" s="221">
        <f>IF($I961="Phản ánh",INDEX('Phản ánh'!$K$6:$K$505,MATCH($C961,'Phản ánh'!$A$6:$A$505,0))&amp;"",IF($I961="Công việc",INDEX('Kế hoạch'!$N$6:$N$305,$O961)&amp;"",""))</f>
      </c>
      <c r="L961" s="220">
        <f>IF(OR($C961="",N($B961)=0),"",IF(AND($I961="Phản ánh",$E961="Đã xử lý"),INDEX('Phản ánh'!$U$6:$U$505,MATCH($C961,'Phản ánh'!$A$6:$A$505,0)),IF(AND($I961="Công việc",OR($E961="Hoàn thành",$E961="Hoàn thành kỳ")),IF(INDEX('Kế hoạch'!$B$6:$B$305,$O961)="Đột xuất",INDEX('Kế hoạch'!$AY$6:$AY$305,$O961),IF(N($P961)=0,"",IF(INT($B961)&lt;$P961,$P961,IF($Q961&gt;0,$P961+ROUND((INT($B961)-$P961)/$Q961,0)*$Q961,IF($R961&gt;0,EDATE($P961,ROUND((DATEDIF($P961,INT($B961),"m")+(INT($B961)-EDATE($P961,DATEDIF($P961,INT($B961),"m")))/(EDATE($P961,DATEDIF($P961,INT($B961),"m")+1)-EDATE($P961,DATEDIF($P961,INT($B961),"m"))))/$R961,0)*$R961),$P961))))),"")))</f>
      </c>
      <c r="M961" s="223">
        <f>IF(OR($C961="",N($L961)=0,N($B961)=0),"",IF(IF(MOD($L961,1)=0,INT($B961),$B961)&lt;=$L961,"Đúng hạn","Trễ hạn"))</f>
      </c>
      <c r="N961" s="225">
        <f>IF($C961="","",ROW())</f>
      </c>
      <c r="O961" s="225">
        <f>IF($I961="Công việc",MATCH($C961,'Kế hoạch'!$A$6:$A$305,0),"")</f>
      </c>
      <c r="P961" s="234">
        <f>IF($O961="","",INDEX('Kế hoạch'!$I$6:$I$305,$O961))</f>
      </c>
      <c r="Q961" s="225">
        <f>IF($O961="","",INDEX('Kế hoạch'!$AJ$6:$AJ$305,$O961))</f>
      </c>
      <c r="R961" s="225">
        <f>IF($O961="","",INDEX('Kế hoạch'!$AK$6:$AK$305,$O961))</f>
      </c>
    </row>
    <row r="962">
      <c r="A962" s="223">
        <f>IF($C962="","",COUNTIF($C$6:$C962,"?*"))</f>
      </c>
      <c r="B962" s="217"/>
      <c r="C962" s="216"/>
      <c r="D962" s="240"/>
      <c r="E962" s="218"/>
      <c r="F962" s="218"/>
      <c r="G962" s="218"/>
      <c r="H962" s="219"/>
      <c r="I962" s="223">
        <f>IF($C962="","",IF(ISNUMBER(MATCH($C962,'Phản ánh'!$A$6:$A$505,0)),"Phản ánh",IF(ISNUMBER(MATCH($C962,'Kế hoạch'!$A$6:$A$305,0)),"Công việc","Mã chưa có")))</f>
      </c>
      <c r="J962" s="221">
        <f>IF($I962="Phản ánh",INDEX('Phản ánh'!$C$6:$C$505,MATCH($C962,'Phản ánh'!$A$6:$A$505,0)),IF($I962="Công việc",INDEX('Kế hoạch'!$C$6:$C$305,$O962),""))</f>
      </c>
      <c r="K962" s="221">
        <f>IF($I962="Phản ánh",INDEX('Phản ánh'!$K$6:$K$505,MATCH($C962,'Phản ánh'!$A$6:$A$505,0))&amp;"",IF($I962="Công việc",INDEX('Kế hoạch'!$N$6:$N$305,$O962)&amp;"",""))</f>
      </c>
      <c r="L962" s="220">
        <f>IF(OR($C962="",N($B962)=0),"",IF(AND($I962="Phản ánh",$E962="Đã xử lý"),INDEX('Phản ánh'!$U$6:$U$505,MATCH($C962,'Phản ánh'!$A$6:$A$505,0)),IF(AND($I962="Công việc",OR($E962="Hoàn thành",$E962="Hoàn thành kỳ")),IF(INDEX('Kế hoạch'!$B$6:$B$305,$O962)="Đột xuất",INDEX('Kế hoạch'!$AY$6:$AY$305,$O962),IF(N($P962)=0,"",IF(INT($B962)&lt;$P962,$P962,IF($Q962&gt;0,$P962+ROUND((INT($B962)-$P962)/$Q962,0)*$Q962,IF($R962&gt;0,EDATE($P962,ROUND((DATEDIF($P962,INT($B962),"m")+(INT($B962)-EDATE($P962,DATEDIF($P962,INT($B962),"m")))/(EDATE($P962,DATEDIF($P962,INT($B962),"m")+1)-EDATE($P962,DATEDIF($P962,INT($B962),"m"))))/$R962,0)*$R962),$P962))))),"")))</f>
      </c>
      <c r="M962" s="223">
        <f>IF(OR($C962="",N($L962)=0,N($B962)=0),"",IF(IF(MOD($L962,1)=0,INT($B962),$B962)&lt;=$L962,"Đúng hạn","Trễ hạn"))</f>
      </c>
      <c r="N962" s="225">
        <f>IF($C962="","",ROW())</f>
      </c>
      <c r="O962" s="225">
        <f>IF($I962="Công việc",MATCH($C962,'Kế hoạch'!$A$6:$A$305,0),"")</f>
      </c>
      <c r="P962" s="234">
        <f>IF($O962="","",INDEX('Kế hoạch'!$I$6:$I$305,$O962))</f>
      </c>
      <c r="Q962" s="225">
        <f>IF($O962="","",INDEX('Kế hoạch'!$AJ$6:$AJ$305,$O962))</f>
      </c>
      <c r="R962" s="225">
        <f>IF($O962="","",INDEX('Kế hoạch'!$AK$6:$AK$305,$O962))</f>
      </c>
    </row>
    <row r="963">
      <c r="A963" s="223">
        <f>IF($C963="","",COUNTIF($C$6:$C963,"?*"))</f>
      </c>
      <c r="B963" s="217"/>
      <c r="C963" s="216"/>
      <c r="D963" s="240"/>
      <c r="E963" s="218"/>
      <c r="F963" s="218"/>
      <c r="G963" s="218"/>
      <c r="H963" s="219"/>
      <c r="I963" s="223">
        <f>IF($C963="","",IF(ISNUMBER(MATCH($C963,'Phản ánh'!$A$6:$A$505,0)),"Phản ánh",IF(ISNUMBER(MATCH($C963,'Kế hoạch'!$A$6:$A$305,0)),"Công việc","Mã chưa có")))</f>
      </c>
      <c r="J963" s="221">
        <f>IF($I963="Phản ánh",INDEX('Phản ánh'!$C$6:$C$505,MATCH($C963,'Phản ánh'!$A$6:$A$505,0)),IF($I963="Công việc",INDEX('Kế hoạch'!$C$6:$C$305,$O963),""))</f>
      </c>
      <c r="K963" s="221">
        <f>IF($I963="Phản ánh",INDEX('Phản ánh'!$K$6:$K$505,MATCH($C963,'Phản ánh'!$A$6:$A$505,0))&amp;"",IF($I963="Công việc",INDEX('Kế hoạch'!$N$6:$N$305,$O963)&amp;"",""))</f>
      </c>
      <c r="L963" s="220">
        <f>IF(OR($C963="",N($B963)=0),"",IF(AND($I963="Phản ánh",$E963="Đã xử lý"),INDEX('Phản ánh'!$U$6:$U$505,MATCH($C963,'Phản ánh'!$A$6:$A$505,0)),IF(AND($I963="Công việc",OR($E963="Hoàn thành",$E963="Hoàn thành kỳ")),IF(INDEX('Kế hoạch'!$B$6:$B$305,$O963)="Đột xuất",INDEX('Kế hoạch'!$AY$6:$AY$305,$O963),IF(N($P963)=0,"",IF(INT($B963)&lt;$P963,$P963,IF($Q963&gt;0,$P963+ROUND((INT($B963)-$P963)/$Q963,0)*$Q963,IF($R963&gt;0,EDATE($P963,ROUND((DATEDIF($P963,INT($B963),"m")+(INT($B963)-EDATE($P963,DATEDIF($P963,INT($B963),"m")))/(EDATE($P963,DATEDIF($P963,INT($B963),"m")+1)-EDATE($P963,DATEDIF($P963,INT($B963),"m"))))/$R963,0)*$R963),$P963))))),"")))</f>
      </c>
      <c r="M963" s="223">
        <f>IF(OR($C963="",N($L963)=0,N($B963)=0),"",IF(IF(MOD($L963,1)=0,INT($B963),$B963)&lt;=$L963,"Đúng hạn","Trễ hạn"))</f>
      </c>
      <c r="N963" s="225">
        <f>IF($C963="","",ROW())</f>
      </c>
      <c r="O963" s="225">
        <f>IF($I963="Công việc",MATCH($C963,'Kế hoạch'!$A$6:$A$305,0),"")</f>
      </c>
      <c r="P963" s="234">
        <f>IF($O963="","",INDEX('Kế hoạch'!$I$6:$I$305,$O963))</f>
      </c>
      <c r="Q963" s="225">
        <f>IF($O963="","",INDEX('Kế hoạch'!$AJ$6:$AJ$305,$O963))</f>
      </c>
      <c r="R963" s="225">
        <f>IF($O963="","",INDEX('Kế hoạch'!$AK$6:$AK$305,$O963))</f>
      </c>
    </row>
    <row r="964">
      <c r="A964" s="223">
        <f>IF($C964="","",COUNTIF($C$6:$C964,"?*"))</f>
      </c>
      <c r="B964" s="217"/>
      <c r="C964" s="216"/>
      <c r="D964" s="240"/>
      <c r="E964" s="218"/>
      <c r="F964" s="218"/>
      <c r="G964" s="218"/>
      <c r="H964" s="219"/>
      <c r="I964" s="223">
        <f>IF($C964="","",IF(ISNUMBER(MATCH($C964,'Phản ánh'!$A$6:$A$505,0)),"Phản ánh",IF(ISNUMBER(MATCH($C964,'Kế hoạch'!$A$6:$A$305,0)),"Công việc","Mã chưa có")))</f>
      </c>
      <c r="J964" s="221">
        <f>IF($I964="Phản ánh",INDEX('Phản ánh'!$C$6:$C$505,MATCH($C964,'Phản ánh'!$A$6:$A$505,0)),IF($I964="Công việc",INDEX('Kế hoạch'!$C$6:$C$305,$O964),""))</f>
      </c>
      <c r="K964" s="221">
        <f>IF($I964="Phản ánh",INDEX('Phản ánh'!$K$6:$K$505,MATCH($C964,'Phản ánh'!$A$6:$A$505,0))&amp;"",IF($I964="Công việc",INDEX('Kế hoạch'!$N$6:$N$305,$O964)&amp;"",""))</f>
      </c>
      <c r="L964" s="220">
        <f>IF(OR($C964="",N($B964)=0),"",IF(AND($I964="Phản ánh",$E964="Đã xử lý"),INDEX('Phản ánh'!$U$6:$U$505,MATCH($C964,'Phản ánh'!$A$6:$A$505,0)),IF(AND($I964="Công việc",OR($E964="Hoàn thành",$E964="Hoàn thành kỳ")),IF(INDEX('Kế hoạch'!$B$6:$B$305,$O964)="Đột xuất",INDEX('Kế hoạch'!$AY$6:$AY$305,$O964),IF(N($P964)=0,"",IF(INT($B964)&lt;$P964,$P964,IF($Q964&gt;0,$P964+ROUND((INT($B964)-$P964)/$Q964,0)*$Q964,IF($R964&gt;0,EDATE($P964,ROUND((DATEDIF($P964,INT($B964),"m")+(INT($B964)-EDATE($P964,DATEDIF($P964,INT($B964),"m")))/(EDATE($P964,DATEDIF($P964,INT($B964),"m")+1)-EDATE($P964,DATEDIF($P964,INT($B964),"m"))))/$R964,0)*$R964),$P964))))),"")))</f>
      </c>
      <c r="M964" s="223">
        <f>IF(OR($C964="",N($L964)=0,N($B964)=0),"",IF(IF(MOD($L964,1)=0,INT($B964),$B964)&lt;=$L964,"Đúng hạn","Trễ hạn"))</f>
      </c>
      <c r="N964" s="225">
        <f>IF($C964="","",ROW())</f>
      </c>
      <c r="O964" s="225">
        <f>IF($I964="Công việc",MATCH($C964,'Kế hoạch'!$A$6:$A$305,0),"")</f>
      </c>
      <c r="P964" s="234">
        <f>IF($O964="","",INDEX('Kế hoạch'!$I$6:$I$305,$O964))</f>
      </c>
      <c r="Q964" s="225">
        <f>IF($O964="","",INDEX('Kế hoạch'!$AJ$6:$AJ$305,$O964))</f>
      </c>
      <c r="R964" s="225">
        <f>IF($O964="","",INDEX('Kế hoạch'!$AK$6:$AK$305,$O964))</f>
      </c>
    </row>
    <row r="965">
      <c r="A965" s="223">
        <f>IF($C965="","",COUNTIF($C$6:$C965,"?*"))</f>
      </c>
      <c r="B965" s="217"/>
      <c r="C965" s="216"/>
      <c r="D965" s="240"/>
      <c r="E965" s="218"/>
      <c r="F965" s="218"/>
      <c r="G965" s="218"/>
      <c r="H965" s="219"/>
      <c r="I965" s="223">
        <f>IF($C965="","",IF(ISNUMBER(MATCH($C965,'Phản ánh'!$A$6:$A$505,0)),"Phản ánh",IF(ISNUMBER(MATCH($C965,'Kế hoạch'!$A$6:$A$305,0)),"Công việc","Mã chưa có")))</f>
      </c>
      <c r="J965" s="221">
        <f>IF($I965="Phản ánh",INDEX('Phản ánh'!$C$6:$C$505,MATCH($C965,'Phản ánh'!$A$6:$A$505,0)),IF($I965="Công việc",INDEX('Kế hoạch'!$C$6:$C$305,$O965),""))</f>
      </c>
      <c r="K965" s="221">
        <f>IF($I965="Phản ánh",INDEX('Phản ánh'!$K$6:$K$505,MATCH($C965,'Phản ánh'!$A$6:$A$505,0))&amp;"",IF($I965="Công việc",INDEX('Kế hoạch'!$N$6:$N$305,$O965)&amp;"",""))</f>
      </c>
      <c r="L965" s="220">
        <f>IF(OR($C965="",N($B965)=0),"",IF(AND($I965="Phản ánh",$E965="Đã xử lý"),INDEX('Phản ánh'!$U$6:$U$505,MATCH($C965,'Phản ánh'!$A$6:$A$505,0)),IF(AND($I965="Công việc",OR($E965="Hoàn thành",$E965="Hoàn thành kỳ")),IF(INDEX('Kế hoạch'!$B$6:$B$305,$O965)="Đột xuất",INDEX('Kế hoạch'!$AY$6:$AY$305,$O965),IF(N($P965)=0,"",IF(INT($B965)&lt;$P965,$P965,IF($Q965&gt;0,$P965+ROUND((INT($B965)-$P965)/$Q965,0)*$Q965,IF($R965&gt;0,EDATE($P965,ROUND((DATEDIF($P965,INT($B965),"m")+(INT($B965)-EDATE($P965,DATEDIF($P965,INT($B965),"m")))/(EDATE($P965,DATEDIF($P965,INT($B965),"m")+1)-EDATE($P965,DATEDIF($P965,INT($B965),"m"))))/$R965,0)*$R965),$P965))))),"")))</f>
      </c>
      <c r="M965" s="223">
        <f>IF(OR($C965="",N($L965)=0,N($B965)=0),"",IF(IF(MOD($L965,1)=0,INT($B965),$B965)&lt;=$L965,"Đúng hạn","Trễ hạn"))</f>
      </c>
      <c r="N965" s="225">
        <f>IF($C965="","",ROW())</f>
      </c>
      <c r="O965" s="225">
        <f>IF($I965="Công việc",MATCH($C965,'Kế hoạch'!$A$6:$A$305,0),"")</f>
      </c>
      <c r="P965" s="234">
        <f>IF($O965="","",INDEX('Kế hoạch'!$I$6:$I$305,$O965))</f>
      </c>
      <c r="Q965" s="225">
        <f>IF($O965="","",INDEX('Kế hoạch'!$AJ$6:$AJ$305,$O965))</f>
      </c>
      <c r="R965" s="225">
        <f>IF($O965="","",INDEX('Kế hoạch'!$AK$6:$AK$305,$O965))</f>
      </c>
    </row>
    <row r="966">
      <c r="A966" s="223">
        <f>IF($C966="","",COUNTIF($C$6:$C966,"?*"))</f>
      </c>
      <c r="B966" s="217"/>
      <c r="C966" s="216"/>
      <c r="D966" s="240"/>
      <c r="E966" s="218"/>
      <c r="F966" s="218"/>
      <c r="G966" s="218"/>
      <c r="H966" s="219"/>
      <c r="I966" s="223">
        <f>IF($C966="","",IF(ISNUMBER(MATCH($C966,'Phản ánh'!$A$6:$A$505,0)),"Phản ánh",IF(ISNUMBER(MATCH($C966,'Kế hoạch'!$A$6:$A$305,0)),"Công việc","Mã chưa có")))</f>
      </c>
      <c r="J966" s="221">
        <f>IF($I966="Phản ánh",INDEX('Phản ánh'!$C$6:$C$505,MATCH($C966,'Phản ánh'!$A$6:$A$505,0)),IF($I966="Công việc",INDEX('Kế hoạch'!$C$6:$C$305,$O966),""))</f>
      </c>
      <c r="K966" s="221">
        <f>IF($I966="Phản ánh",INDEX('Phản ánh'!$K$6:$K$505,MATCH($C966,'Phản ánh'!$A$6:$A$505,0))&amp;"",IF($I966="Công việc",INDEX('Kế hoạch'!$N$6:$N$305,$O966)&amp;"",""))</f>
      </c>
      <c r="L966" s="220">
        <f>IF(OR($C966="",N($B966)=0),"",IF(AND($I966="Phản ánh",$E966="Đã xử lý"),INDEX('Phản ánh'!$U$6:$U$505,MATCH($C966,'Phản ánh'!$A$6:$A$505,0)),IF(AND($I966="Công việc",OR($E966="Hoàn thành",$E966="Hoàn thành kỳ")),IF(INDEX('Kế hoạch'!$B$6:$B$305,$O966)="Đột xuất",INDEX('Kế hoạch'!$AY$6:$AY$305,$O966),IF(N($P966)=0,"",IF(INT($B966)&lt;$P966,$P966,IF($Q966&gt;0,$P966+ROUND((INT($B966)-$P966)/$Q966,0)*$Q966,IF($R966&gt;0,EDATE($P966,ROUND((DATEDIF($P966,INT($B966),"m")+(INT($B966)-EDATE($P966,DATEDIF($P966,INT($B966),"m")))/(EDATE($P966,DATEDIF($P966,INT($B966),"m")+1)-EDATE($P966,DATEDIF($P966,INT($B966),"m"))))/$R966,0)*$R966),$P966))))),"")))</f>
      </c>
      <c r="M966" s="223">
        <f>IF(OR($C966="",N($L966)=0,N($B966)=0),"",IF(IF(MOD($L966,1)=0,INT($B966),$B966)&lt;=$L966,"Đúng hạn","Trễ hạn"))</f>
      </c>
      <c r="N966" s="225">
        <f>IF($C966="","",ROW())</f>
      </c>
      <c r="O966" s="225">
        <f>IF($I966="Công việc",MATCH($C966,'Kế hoạch'!$A$6:$A$305,0),"")</f>
      </c>
      <c r="P966" s="234">
        <f>IF($O966="","",INDEX('Kế hoạch'!$I$6:$I$305,$O966))</f>
      </c>
      <c r="Q966" s="225">
        <f>IF($O966="","",INDEX('Kế hoạch'!$AJ$6:$AJ$305,$O966))</f>
      </c>
      <c r="R966" s="225">
        <f>IF($O966="","",INDEX('Kế hoạch'!$AK$6:$AK$305,$O966))</f>
      </c>
    </row>
    <row r="967">
      <c r="A967" s="223">
        <f>IF($C967="","",COUNTIF($C$6:$C967,"?*"))</f>
      </c>
      <c r="B967" s="217"/>
      <c r="C967" s="216"/>
      <c r="D967" s="240"/>
      <c r="E967" s="218"/>
      <c r="F967" s="218"/>
      <c r="G967" s="218"/>
      <c r="H967" s="219"/>
      <c r="I967" s="223">
        <f>IF($C967="","",IF(ISNUMBER(MATCH($C967,'Phản ánh'!$A$6:$A$505,0)),"Phản ánh",IF(ISNUMBER(MATCH($C967,'Kế hoạch'!$A$6:$A$305,0)),"Công việc","Mã chưa có")))</f>
      </c>
      <c r="J967" s="221">
        <f>IF($I967="Phản ánh",INDEX('Phản ánh'!$C$6:$C$505,MATCH($C967,'Phản ánh'!$A$6:$A$505,0)),IF($I967="Công việc",INDEX('Kế hoạch'!$C$6:$C$305,$O967),""))</f>
      </c>
      <c r="K967" s="221">
        <f>IF($I967="Phản ánh",INDEX('Phản ánh'!$K$6:$K$505,MATCH($C967,'Phản ánh'!$A$6:$A$505,0))&amp;"",IF($I967="Công việc",INDEX('Kế hoạch'!$N$6:$N$305,$O967)&amp;"",""))</f>
      </c>
      <c r="L967" s="220">
        <f>IF(OR($C967="",N($B967)=0),"",IF(AND($I967="Phản ánh",$E967="Đã xử lý"),INDEX('Phản ánh'!$U$6:$U$505,MATCH($C967,'Phản ánh'!$A$6:$A$505,0)),IF(AND($I967="Công việc",OR($E967="Hoàn thành",$E967="Hoàn thành kỳ")),IF(INDEX('Kế hoạch'!$B$6:$B$305,$O967)="Đột xuất",INDEX('Kế hoạch'!$AY$6:$AY$305,$O967),IF(N($P967)=0,"",IF(INT($B967)&lt;$P967,$P967,IF($Q967&gt;0,$P967+ROUND((INT($B967)-$P967)/$Q967,0)*$Q967,IF($R967&gt;0,EDATE($P967,ROUND((DATEDIF($P967,INT($B967),"m")+(INT($B967)-EDATE($P967,DATEDIF($P967,INT($B967),"m")))/(EDATE($P967,DATEDIF($P967,INT($B967),"m")+1)-EDATE($P967,DATEDIF($P967,INT($B967),"m"))))/$R967,0)*$R967),$P967))))),"")))</f>
      </c>
      <c r="M967" s="223">
        <f>IF(OR($C967="",N($L967)=0,N($B967)=0),"",IF(IF(MOD($L967,1)=0,INT($B967),$B967)&lt;=$L967,"Đúng hạn","Trễ hạn"))</f>
      </c>
      <c r="N967" s="225">
        <f>IF($C967="","",ROW())</f>
      </c>
      <c r="O967" s="225">
        <f>IF($I967="Công việc",MATCH($C967,'Kế hoạch'!$A$6:$A$305,0),"")</f>
      </c>
      <c r="P967" s="234">
        <f>IF($O967="","",INDEX('Kế hoạch'!$I$6:$I$305,$O967))</f>
      </c>
      <c r="Q967" s="225">
        <f>IF($O967="","",INDEX('Kế hoạch'!$AJ$6:$AJ$305,$O967))</f>
      </c>
      <c r="R967" s="225">
        <f>IF($O967="","",INDEX('Kế hoạch'!$AK$6:$AK$305,$O967))</f>
      </c>
    </row>
    <row r="968">
      <c r="A968" s="223">
        <f>IF($C968="","",COUNTIF($C$6:$C968,"?*"))</f>
      </c>
      <c r="B968" s="217"/>
      <c r="C968" s="216"/>
      <c r="D968" s="240"/>
      <c r="E968" s="218"/>
      <c r="F968" s="218"/>
      <c r="G968" s="218"/>
      <c r="H968" s="219"/>
      <c r="I968" s="223">
        <f>IF($C968="","",IF(ISNUMBER(MATCH($C968,'Phản ánh'!$A$6:$A$505,0)),"Phản ánh",IF(ISNUMBER(MATCH($C968,'Kế hoạch'!$A$6:$A$305,0)),"Công việc","Mã chưa có")))</f>
      </c>
      <c r="J968" s="221">
        <f>IF($I968="Phản ánh",INDEX('Phản ánh'!$C$6:$C$505,MATCH($C968,'Phản ánh'!$A$6:$A$505,0)),IF($I968="Công việc",INDEX('Kế hoạch'!$C$6:$C$305,$O968),""))</f>
      </c>
      <c r="K968" s="221">
        <f>IF($I968="Phản ánh",INDEX('Phản ánh'!$K$6:$K$505,MATCH($C968,'Phản ánh'!$A$6:$A$505,0))&amp;"",IF($I968="Công việc",INDEX('Kế hoạch'!$N$6:$N$305,$O968)&amp;"",""))</f>
      </c>
      <c r="L968" s="220">
        <f>IF(OR($C968="",N($B968)=0),"",IF(AND($I968="Phản ánh",$E968="Đã xử lý"),INDEX('Phản ánh'!$U$6:$U$505,MATCH($C968,'Phản ánh'!$A$6:$A$505,0)),IF(AND($I968="Công việc",OR($E968="Hoàn thành",$E968="Hoàn thành kỳ")),IF(INDEX('Kế hoạch'!$B$6:$B$305,$O968)="Đột xuất",INDEX('Kế hoạch'!$AY$6:$AY$305,$O968),IF(N($P968)=0,"",IF(INT($B968)&lt;$P968,$P968,IF($Q968&gt;0,$P968+ROUND((INT($B968)-$P968)/$Q968,0)*$Q968,IF($R968&gt;0,EDATE($P968,ROUND((DATEDIF($P968,INT($B968),"m")+(INT($B968)-EDATE($P968,DATEDIF($P968,INT($B968),"m")))/(EDATE($P968,DATEDIF($P968,INT($B968),"m")+1)-EDATE($P968,DATEDIF($P968,INT($B968),"m"))))/$R968,0)*$R968),$P968))))),"")))</f>
      </c>
      <c r="M968" s="223">
        <f>IF(OR($C968="",N($L968)=0,N($B968)=0),"",IF(IF(MOD($L968,1)=0,INT($B968),$B968)&lt;=$L968,"Đúng hạn","Trễ hạn"))</f>
      </c>
      <c r="N968" s="225">
        <f>IF($C968="","",ROW())</f>
      </c>
      <c r="O968" s="225">
        <f>IF($I968="Công việc",MATCH($C968,'Kế hoạch'!$A$6:$A$305,0),"")</f>
      </c>
      <c r="P968" s="234">
        <f>IF($O968="","",INDEX('Kế hoạch'!$I$6:$I$305,$O968))</f>
      </c>
      <c r="Q968" s="225">
        <f>IF($O968="","",INDEX('Kế hoạch'!$AJ$6:$AJ$305,$O968))</f>
      </c>
      <c r="R968" s="225">
        <f>IF($O968="","",INDEX('Kế hoạch'!$AK$6:$AK$305,$O968))</f>
      </c>
    </row>
    <row r="969">
      <c r="A969" s="223">
        <f>IF($C969="","",COUNTIF($C$6:$C969,"?*"))</f>
      </c>
      <c r="B969" s="217"/>
      <c r="C969" s="216"/>
      <c r="D969" s="240"/>
      <c r="E969" s="218"/>
      <c r="F969" s="218"/>
      <c r="G969" s="218"/>
      <c r="H969" s="219"/>
      <c r="I969" s="223">
        <f>IF($C969="","",IF(ISNUMBER(MATCH($C969,'Phản ánh'!$A$6:$A$505,0)),"Phản ánh",IF(ISNUMBER(MATCH($C969,'Kế hoạch'!$A$6:$A$305,0)),"Công việc","Mã chưa có")))</f>
      </c>
      <c r="J969" s="221">
        <f>IF($I969="Phản ánh",INDEX('Phản ánh'!$C$6:$C$505,MATCH($C969,'Phản ánh'!$A$6:$A$505,0)),IF($I969="Công việc",INDEX('Kế hoạch'!$C$6:$C$305,$O969),""))</f>
      </c>
      <c r="K969" s="221">
        <f>IF($I969="Phản ánh",INDEX('Phản ánh'!$K$6:$K$505,MATCH($C969,'Phản ánh'!$A$6:$A$505,0))&amp;"",IF($I969="Công việc",INDEX('Kế hoạch'!$N$6:$N$305,$O969)&amp;"",""))</f>
      </c>
      <c r="L969" s="220">
        <f>IF(OR($C969="",N($B969)=0),"",IF(AND($I969="Phản ánh",$E969="Đã xử lý"),INDEX('Phản ánh'!$U$6:$U$505,MATCH($C969,'Phản ánh'!$A$6:$A$505,0)),IF(AND($I969="Công việc",OR($E969="Hoàn thành",$E969="Hoàn thành kỳ")),IF(INDEX('Kế hoạch'!$B$6:$B$305,$O969)="Đột xuất",INDEX('Kế hoạch'!$AY$6:$AY$305,$O969),IF(N($P969)=0,"",IF(INT($B969)&lt;$P969,$P969,IF($Q969&gt;0,$P969+ROUND((INT($B969)-$P969)/$Q969,0)*$Q969,IF($R969&gt;0,EDATE($P969,ROUND((DATEDIF($P969,INT($B969),"m")+(INT($B969)-EDATE($P969,DATEDIF($P969,INT($B969),"m")))/(EDATE($P969,DATEDIF($P969,INT($B969),"m")+1)-EDATE($P969,DATEDIF($P969,INT($B969),"m"))))/$R969,0)*$R969),$P969))))),"")))</f>
      </c>
      <c r="M969" s="223">
        <f>IF(OR($C969="",N($L969)=0,N($B969)=0),"",IF(IF(MOD($L969,1)=0,INT($B969),$B969)&lt;=$L969,"Đúng hạn","Trễ hạn"))</f>
      </c>
      <c r="N969" s="225">
        <f>IF($C969="","",ROW())</f>
      </c>
      <c r="O969" s="225">
        <f>IF($I969="Công việc",MATCH($C969,'Kế hoạch'!$A$6:$A$305,0),"")</f>
      </c>
      <c r="P969" s="234">
        <f>IF($O969="","",INDEX('Kế hoạch'!$I$6:$I$305,$O969))</f>
      </c>
      <c r="Q969" s="225">
        <f>IF($O969="","",INDEX('Kế hoạch'!$AJ$6:$AJ$305,$O969))</f>
      </c>
      <c r="R969" s="225">
        <f>IF($O969="","",INDEX('Kế hoạch'!$AK$6:$AK$305,$O969))</f>
      </c>
    </row>
    <row r="970">
      <c r="A970" s="223">
        <f>IF($C970="","",COUNTIF($C$6:$C970,"?*"))</f>
      </c>
      <c r="B970" s="217"/>
      <c r="C970" s="216"/>
      <c r="D970" s="240"/>
      <c r="E970" s="218"/>
      <c r="F970" s="218"/>
      <c r="G970" s="218"/>
      <c r="H970" s="219"/>
      <c r="I970" s="223">
        <f>IF($C970="","",IF(ISNUMBER(MATCH($C970,'Phản ánh'!$A$6:$A$505,0)),"Phản ánh",IF(ISNUMBER(MATCH($C970,'Kế hoạch'!$A$6:$A$305,0)),"Công việc","Mã chưa có")))</f>
      </c>
      <c r="J970" s="221">
        <f>IF($I970="Phản ánh",INDEX('Phản ánh'!$C$6:$C$505,MATCH($C970,'Phản ánh'!$A$6:$A$505,0)),IF($I970="Công việc",INDEX('Kế hoạch'!$C$6:$C$305,$O970),""))</f>
      </c>
      <c r="K970" s="221">
        <f>IF($I970="Phản ánh",INDEX('Phản ánh'!$K$6:$K$505,MATCH($C970,'Phản ánh'!$A$6:$A$505,0))&amp;"",IF($I970="Công việc",INDEX('Kế hoạch'!$N$6:$N$305,$O970)&amp;"",""))</f>
      </c>
      <c r="L970" s="220">
        <f>IF(OR($C970="",N($B970)=0),"",IF(AND($I970="Phản ánh",$E970="Đã xử lý"),INDEX('Phản ánh'!$U$6:$U$505,MATCH($C970,'Phản ánh'!$A$6:$A$505,0)),IF(AND($I970="Công việc",OR($E970="Hoàn thành",$E970="Hoàn thành kỳ")),IF(INDEX('Kế hoạch'!$B$6:$B$305,$O970)="Đột xuất",INDEX('Kế hoạch'!$AY$6:$AY$305,$O970),IF(N($P970)=0,"",IF(INT($B970)&lt;$P970,$P970,IF($Q970&gt;0,$P970+ROUND((INT($B970)-$P970)/$Q970,0)*$Q970,IF($R970&gt;0,EDATE($P970,ROUND((DATEDIF($P970,INT($B970),"m")+(INT($B970)-EDATE($P970,DATEDIF($P970,INT($B970),"m")))/(EDATE($P970,DATEDIF($P970,INT($B970),"m")+1)-EDATE($P970,DATEDIF($P970,INT($B970),"m"))))/$R970,0)*$R970),$P970))))),"")))</f>
      </c>
      <c r="M970" s="223">
        <f>IF(OR($C970="",N($L970)=0,N($B970)=0),"",IF(IF(MOD($L970,1)=0,INT($B970),$B970)&lt;=$L970,"Đúng hạn","Trễ hạn"))</f>
      </c>
      <c r="N970" s="225">
        <f>IF($C970="","",ROW())</f>
      </c>
      <c r="O970" s="225">
        <f>IF($I970="Công việc",MATCH($C970,'Kế hoạch'!$A$6:$A$305,0),"")</f>
      </c>
      <c r="P970" s="234">
        <f>IF($O970="","",INDEX('Kế hoạch'!$I$6:$I$305,$O970))</f>
      </c>
      <c r="Q970" s="225">
        <f>IF($O970="","",INDEX('Kế hoạch'!$AJ$6:$AJ$305,$O970))</f>
      </c>
      <c r="R970" s="225">
        <f>IF($O970="","",INDEX('Kế hoạch'!$AK$6:$AK$305,$O970))</f>
      </c>
    </row>
    <row r="971">
      <c r="A971" s="223">
        <f>IF($C971="","",COUNTIF($C$6:$C971,"?*"))</f>
      </c>
      <c r="B971" s="217"/>
      <c r="C971" s="216"/>
      <c r="D971" s="240"/>
      <c r="E971" s="218"/>
      <c r="F971" s="218"/>
      <c r="G971" s="218"/>
      <c r="H971" s="219"/>
      <c r="I971" s="223">
        <f>IF($C971="","",IF(ISNUMBER(MATCH($C971,'Phản ánh'!$A$6:$A$505,0)),"Phản ánh",IF(ISNUMBER(MATCH($C971,'Kế hoạch'!$A$6:$A$305,0)),"Công việc","Mã chưa có")))</f>
      </c>
      <c r="J971" s="221">
        <f>IF($I971="Phản ánh",INDEX('Phản ánh'!$C$6:$C$505,MATCH($C971,'Phản ánh'!$A$6:$A$505,0)),IF($I971="Công việc",INDEX('Kế hoạch'!$C$6:$C$305,$O971),""))</f>
      </c>
      <c r="K971" s="221">
        <f>IF($I971="Phản ánh",INDEX('Phản ánh'!$K$6:$K$505,MATCH($C971,'Phản ánh'!$A$6:$A$505,0))&amp;"",IF($I971="Công việc",INDEX('Kế hoạch'!$N$6:$N$305,$O971)&amp;"",""))</f>
      </c>
      <c r="L971" s="220">
        <f>IF(OR($C971="",N($B971)=0),"",IF(AND($I971="Phản ánh",$E971="Đã xử lý"),INDEX('Phản ánh'!$U$6:$U$505,MATCH($C971,'Phản ánh'!$A$6:$A$505,0)),IF(AND($I971="Công việc",OR($E971="Hoàn thành",$E971="Hoàn thành kỳ")),IF(INDEX('Kế hoạch'!$B$6:$B$305,$O971)="Đột xuất",INDEX('Kế hoạch'!$AY$6:$AY$305,$O971),IF(N($P971)=0,"",IF(INT($B971)&lt;$P971,$P971,IF($Q971&gt;0,$P971+ROUND((INT($B971)-$P971)/$Q971,0)*$Q971,IF($R971&gt;0,EDATE($P971,ROUND((DATEDIF($P971,INT($B971),"m")+(INT($B971)-EDATE($P971,DATEDIF($P971,INT($B971),"m")))/(EDATE($P971,DATEDIF($P971,INT($B971),"m")+1)-EDATE($P971,DATEDIF($P971,INT($B971),"m"))))/$R971,0)*$R971),$P971))))),"")))</f>
      </c>
      <c r="M971" s="223">
        <f>IF(OR($C971="",N($L971)=0,N($B971)=0),"",IF(IF(MOD($L971,1)=0,INT($B971),$B971)&lt;=$L971,"Đúng hạn","Trễ hạn"))</f>
      </c>
      <c r="N971" s="225">
        <f>IF($C971="","",ROW())</f>
      </c>
      <c r="O971" s="225">
        <f>IF($I971="Công việc",MATCH($C971,'Kế hoạch'!$A$6:$A$305,0),"")</f>
      </c>
      <c r="P971" s="234">
        <f>IF($O971="","",INDEX('Kế hoạch'!$I$6:$I$305,$O971))</f>
      </c>
      <c r="Q971" s="225">
        <f>IF($O971="","",INDEX('Kế hoạch'!$AJ$6:$AJ$305,$O971))</f>
      </c>
      <c r="R971" s="225">
        <f>IF($O971="","",INDEX('Kế hoạch'!$AK$6:$AK$305,$O971))</f>
      </c>
    </row>
    <row r="972">
      <c r="A972" s="223">
        <f>IF($C972="","",COUNTIF($C$6:$C972,"?*"))</f>
      </c>
      <c r="B972" s="217"/>
      <c r="C972" s="216"/>
      <c r="D972" s="240"/>
      <c r="E972" s="218"/>
      <c r="F972" s="218"/>
      <c r="G972" s="218"/>
      <c r="H972" s="219"/>
      <c r="I972" s="223">
        <f>IF($C972="","",IF(ISNUMBER(MATCH($C972,'Phản ánh'!$A$6:$A$505,0)),"Phản ánh",IF(ISNUMBER(MATCH($C972,'Kế hoạch'!$A$6:$A$305,0)),"Công việc","Mã chưa có")))</f>
      </c>
      <c r="J972" s="221">
        <f>IF($I972="Phản ánh",INDEX('Phản ánh'!$C$6:$C$505,MATCH($C972,'Phản ánh'!$A$6:$A$505,0)),IF($I972="Công việc",INDEX('Kế hoạch'!$C$6:$C$305,$O972),""))</f>
      </c>
      <c r="K972" s="221">
        <f>IF($I972="Phản ánh",INDEX('Phản ánh'!$K$6:$K$505,MATCH($C972,'Phản ánh'!$A$6:$A$505,0))&amp;"",IF($I972="Công việc",INDEX('Kế hoạch'!$N$6:$N$305,$O972)&amp;"",""))</f>
      </c>
      <c r="L972" s="220">
        <f>IF(OR($C972="",N($B972)=0),"",IF(AND($I972="Phản ánh",$E972="Đã xử lý"),INDEX('Phản ánh'!$U$6:$U$505,MATCH($C972,'Phản ánh'!$A$6:$A$505,0)),IF(AND($I972="Công việc",OR($E972="Hoàn thành",$E972="Hoàn thành kỳ")),IF(INDEX('Kế hoạch'!$B$6:$B$305,$O972)="Đột xuất",INDEX('Kế hoạch'!$AY$6:$AY$305,$O972),IF(N($P972)=0,"",IF(INT($B972)&lt;$P972,$P972,IF($Q972&gt;0,$P972+ROUND((INT($B972)-$P972)/$Q972,0)*$Q972,IF($R972&gt;0,EDATE($P972,ROUND((DATEDIF($P972,INT($B972),"m")+(INT($B972)-EDATE($P972,DATEDIF($P972,INT($B972),"m")))/(EDATE($P972,DATEDIF($P972,INT($B972),"m")+1)-EDATE($P972,DATEDIF($P972,INT($B972),"m"))))/$R972,0)*$R972),$P972))))),"")))</f>
      </c>
      <c r="M972" s="223">
        <f>IF(OR($C972="",N($L972)=0,N($B972)=0),"",IF(IF(MOD($L972,1)=0,INT($B972),$B972)&lt;=$L972,"Đúng hạn","Trễ hạn"))</f>
      </c>
      <c r="N972" s="225">
        <f>IF($C972="","",ROW())</f>
      </c>
      <c r="O972" s="225">
        <f>IF($I972="Công việc",MATCH($C972,'Kế hoạch'!$A$6:$A$305,0),"")</f>
      </c>
      <c r="P972" s="234">
        <f>IF($O972="","",INDEX('Kế hoạch'!$I$6:$I$305,$O972))</f>
      </c>
      <c r="Q972" s="225">
        <f>IF($O972="","",INDEX('Kế hoạch'!$AJ$6:$AJ$305,$O972))</f>
      </c>
      <c r="R972" s="225">
        <f>IF($O972="","",INDEX('Kế hoạch'!$AK$6:$AK$305,$O972))</f>
      </c>
    </row>
    <row r="973">
      <c r="A973" s="223">
        <f>IF($C973="","",COUNTIF($C$6:$C973,"?*"))</f>
      </c>
      <c r="B973" s="217"/>
      <c r="C973" s="216"/>
      <c r="D973" s="240"/>
      <c r="E973" s="218"/>
      <c r="F973" s="218"/>
      <c r="G973" s="218"/>
      <c r="H973" s="219"/>
      <c r="I973" s="223">
        <f>IF($C973="","",IF(ISNUMBER(MATCH($C973,'Phản ánh'!$A$6:$A$505,0)),"Phản ánh",IF(ISNUMBER(MATCH($C973,'Kế hoạch'!$A$6:$A$305,0)),"Công việc","Mã chưa có")))</f>
      </c>
      <c r="J973" s="221">
        <f>IF($I973="Phản ánh",INDEX('Phản ánh'!$C$6:$C$505,MATCH($C973,'Phản ánh'!$A$6:$A$505,0)),IF($I973="Công việc",INDEX('Kế hoạch'!$C$6:$C$305,$O973),""))</f>
      </c>
      <c r="K973" s="221">
        <f>IF($I973="Phản ánh",INDEX('Phản ánh'!$K$6:$K$505,MATCH($C973,'Phản ánh'!$A$6:$A$505,0))&amp;"",IF($I973="Công việc",INDEX('Kế hoạch'!$N$6:$N$305,$O973)&amp;"",""))</f>
      </c>
      <c r="L973" s="220">
        <f>IF(OR($C973="",N($B973)=0),"",IF(AND($I973="Phản ánh",$E973="Đã xử lý"),INDEX('Phản ánh'!$U$6:$U$505,MATCH($C973,'Phản ánh'!$A$6:$A$505,0)),IF(AND($I973="Công việc",OR($E973="Hoàn thành",$E973="Hoàn thành kỳ")),IF(INDEX('Kế hoạch'!$B$6:$B$305,$O973)="Đột xuất",INDEX('Kế hoạch'!$AY$6:$AY$305,$O973),IF(N($P973)=0,"",IF(INT($B973)&lt;$P973,$P973,IF($Q973&gt;0,$P973+ROUND((INT($B973)-$P973)/$Q973,0)*$Q973,IF($R973&gt;0,EDATE($P973,ROUND((DATEDIF($P973,INT($B973),"m")+(INT($B973)-EDATE($P973,DATEDIF($P973,INT($B973),"m")))/(EDATE($P973,DATEDIF($P973,INT($B973),"m")+1)-EDATE($P973,DATEDIF($P973,INT($B973),"m"))))/$R973,0)*$R973),$P973))))),"")))</f>
      </c>
      <c r="M973" s="223">
        <f>IF(OR($C973="",N($L973)=0,N($B973)=0),"",IF(IF(MOD($L973,1)=0,INT($B973),$B973)&lt;=$L973,"Đúng hạn","Trễ hạn"))</f>
      </c>
      <c r="N973" s="225">
        <f>IF($C973="","",ROW())</f>
      </c>
      <c r="O973" s="225">
        <f>IF($I973="Công việc",MATCH($C973,'Kế hoạch'!$A$6:$A$305,0),"")</f>
      </c>
      <c r="P973" s="234">
        <f>IF($O973="","",INDEX('Kế hoạch'!$I$6:$I$305,$O973))</f>
      </c>
      <c r="Q973" s="225">
        <f>IF($O973="","",INDEX('Kế hoạch'!$AJ$6:$AJ$305,$O973))</f>
      </c>
      <c r="R973" s="225">
        <f>IF($O973="","",INDEX('Kế hoạch'!$AK$6:$AK$305,$O973))</f>
      </c>
    </row>
    <row r="974">
      <c r="A974" s="223">
        <f>IF($C974="","",COUNTIF($C$6:$C974,"?*"))</f>
      </c>
      <c r="B974" s="217"/>
      <c r="C974" s="216"/>
      <c r="D974" s="240"/>
      <c r="E974" s="218"/>
      <c r="F974" s="218"/>
      <c r="G974" s="218"/>
      <c r="H974" s="219"/>
      <c r="I974" s="223">
        <f>IF($C974="","",IF(ISNUMBER(MATCH($C974,'Phản ánh'!$A$6:$A$505,0)),"Phản ánh",IF(ISNUMBER(MATCH($C974,'Kế hoạch'!$A$6:$A$305,0)),"Công việc","Mã chưa có")))</f>
      </c>
      <c r="J974" s="221">
        <f>IF($I974="Phản ánh",INDEX('Phản ánh'!$C$6:$C$505,MATCH($C974,'Phản ánh'!$A$6:$A$505,0)),IF($I974="Công việc",INDEX('Kế hoạch'!$C$6:$C$305,$O974),""))</f>
      </c>
      <c r="K974" s="221">
        <f>IF($I974="Phản ánh",INDEX('Phản ánh'!$K$6:$K$505,MATCH($C974,'Phản ánh'!$A$6:$A$505,0))&amp;"",IF($I974="Công việc",INDEX('Kế hoạch'!$N$6:$N$305,$O974)&amp;"",""))</f>
      </c>
      <c r="L974" s="220">
        <f>IF(OR($C974="",N($B974)=0),"",IF(AND($I974="Phản ánh",$E974="Đã xử lý"),INDEX('Phản ánh'!$U$6:$U$505,MATCH($C974,'Phản ánh'!$A$6:$A$505,0)),IF(AND($I974="Công việc",OR($E974="Hoàn thành",$E974="Hoàn thành kỳ")),IF(INDEX('Kế hoạch'!$B$6:$B$305,$O974)="Đột xuất",INDEX('Kế hoạch'!$AY$6:$AY$305,$O974),IF(N($P974)=0,"",IF(INT($B974)&lt;$P974,$P974,IF($Q974&gt;0,$P974+ROUND((INT($B974)-$P974)/$Q974,0)*$Q974,IF($R974&gt;0,EDATE($P974,ROUND((DATEDIF($P974,INT($B974),"m")+(INT($B974)-EDATE($P974,DATEDIF($P974,INT($B974),"m")))/(EDATE($P974,DATEDIF($P974,INT($B974),"m")+1)-EDATE($P974,DATEDIF($P974,INT($B974),"m"))))/$R974,0)*$R974),$P974))))),"")))</f>
      </c>
      <c r="M974" s="223">
        <f>IF(OR($C974="",N($L974)=0,N($B974)=0),"",IF(IF(MOD($L974,1)=0,INT($B974),$B974)&lt;=$L974,"Đúng hạn","Trễ hạn"))</f>
      </c>
      <c r="N974" s="225">
        <f>IF($C974="","",ROW())</f>
      </c>
      <c r="O974" s="225">
        <f>IF($I974="Công việc",MATCH($C974,'Kế hoạch'!$A$6:$A$305,0),"")</f>
      </c>
      <c r="P974" s="234">
        <f>IF($O974="","",INDEX('Kế hoạch'!$I$6:$I$305,$O974))</f>
      </c>
      <c r="Q974" s="225">
        <f>IF($O974="","",INDEX('Kế hoạch'!$AJ$6:$AJ$305,$O974))</f>
      </c>
      <c r="R974" s="225">
        <f>IF($O974="","",INDEX('Kế hoạch'!$AK$6:$AK$305,$O974))</f>
      </c>
    </row>
    <row r="975">
      <c r="A975" s="223">
        <f>IF($C975="","",COUNTIF($C$6:$C975,"?*"))</f>
      </c>
      <c r="B975" s="217"/>
      <c r="C975" s="216"/>
      <c r="D975" s="240"/>
      <c r="E975" s="218"/>
      <c r="F975" s="218"/>
      <c r="G975" s="218"/>
      <c r="H975" s="219"/>
      <c r="I975" s="223">
        <f>IF($C975="","",IF(ISNUMBER(MATCH($C975,'Phản ánh'!$A$6:$A$505,0)),"Phản ánh",IF(ISNUMBER(MATCH($C975,'Kế hoạch'!$A$6:$A$305,0)),"Công việc","Mã chưa có")))</f>
      </c>
      <c r="J975" s="221">
        <f>IF($I975="Phản ánh",INDEX('Phản ánh'!$C$6:$C$505,MATCH($C975,'Phản ánh'!$A$6:$A$505,0)),IF($I975="Công việc",INDEX('Kế hoạch'!$C$6:$C$305,$O975),""))</f>
      </c>
      <c r="K975" s="221">
        <f>IF($I975="Phản ánh",INDEX('Phản ánh'!$K$6:$K$505,MATCH($C975,'Phản ánh'!$A$6:$A$505,0))&amp;"",IF($I975="Công việc",INDEX('Kế hoạch'!$N$6:$N$305,$O975)&amp;"",""))</f>
      </c>
      <c r="L975" s="220">
        <f>IF(OR($C975="",N($B975)=0),"",IF(AND($I975="Phản ánh",$E975="Đã xử lý"),INDEX('Phản ánh'!$U$6:$U$505,MATCH($C975,'Phản ánh'!$A$6:$A$505,0)),IF(AND($I975="Công việc",OR($E975="Hoàn thành",$E975="Hoàn thành kỳ")),IF(INDEX('Kế hoạch'!$B$6:$B$305,$O975)="Đột xuất",INDEX('Kế hoạch'!$AY$6:$AY$305,$O975),IF(N($P975)=0,"",IF(INT($B975)&lt;$P975,$P975,IF($Q975&gt;0,$P975+ROUND((INT($B975)-$P975)/$Q975,0)*$Q975,IF($R975&gt;0,EDATE($P975,ROUND((DATEDIF($P975,INT($B975),"m")+(INT($B975)-EDATE($P975,DATEDIF($P975,INT($B975),"m")))/(EDATE($P975,DATEDIF($P975,INT($B975),"m")+1)-EDATE($P975,DATEDIF($P975,INT($B975),"m"))))/$R975,0)*$R975),$P975))))),"")))</f>
      </c>
      <c r="M975" s="223">
        <f>IF(OR($C975="",N($L975)=0,N($B975)=0),"",IF(IF(MOD($L975,1)=0,INT($B975),$B975)&lt;=$L975,"Đúng hạn","Trễ hạn"))</f>
      </c>
      <c r="N975" s="225">
        <f>IF($C975="","",ROW())</f>
      </c>
      <c r="O975" s="225">
        <f>IF($I975="Công việc",MATCH($C975,'Kế hoạch'!$A$6:$A$305,0),"")</f>
      </c>
      <c r="P975" s="234">
        <f>IF($O975="","",INDEX('Kế hoạch'!$I$6:$I$305,$O975))</f>
      </c>
      <c r="Q975" s="225">
        <f>IF($O975="","",INDEX('Kế hoạch'!$AJ$6:$AJ$305,$O975))</f>
      </c>
      <c r="R975" s="225">
        <f>IF($O975="","",INDEX('Kế hoạch'!$AK$6:$AK$305,$O975))</f>
      </c>
    </row>
    <row r="976">
      <c r="A976" s="223">
        <f>IF($C976="","",COUNTIF($C$6:$C976,"?*"))</f>
      </c>
      <c r="B976" s="217"/>
      <c r="C976" s="216"/>
      <c r="D976" s="240"/>
      <c r="E976" s="218"/>
      <c r="F976" s="218"/>
      <c r="G976" s="218"/>
      <c r="H976" s="219"/>
      <c r="I976" s="223">
        <f>IF($C976="","",IF(ISNUMBER(MATCH($C976,'Phản ánh'!$A$6:$A$505,0)),"Phản ánh",IF(ISNUMBER(MATCH($C976,'Kế hoạch'!$A$6:$A$305,0)),"Công việc","Mã chưa có")))</f>
      </c>
      <c r="J976" s="221">
        <f>IF($I976="Phản ánh",INDEX('Phản ánh'!$C$6:$C$505,MATCH($C976,'Phản ánh'!$A$6:$A$505,0)),IF($I976="Công việc",INDEX('Kế hoạch'!$C$6:$C$305,$O976),""))</f>
      </c>
      <c r="K976" s="221">
        <f>IF($I976="Phản ánh",INDEX('Phản ánh'!$K$6:$K$505,MATCH($C976,'Phản ánh'!$A$6:$A$505,0))&amp;"",IF($I976="Công việc",INDEX('Kế hoạch'!$N$6:$N$305,$O976)&amp;"",""))</f>
      </c>
      <c r="L976" s="220">
        <f>IF(OR($C976="",N($B976)=0),"",IF(AND($I976="Phản ánh",$E976="Đã xử lý"),INDEX('Phản ánh'!$U$6:$U$505,MATCH($C976,'Phản ánh'!$A$6:$A$505,0)),IF(AND($I976="Công việc",OR($E976="Hoàn thành",$E976="Hoàn thành kỳ")),IF(INDEX('Kế hoạch'!$B$6:$B$305,$O976)="Đột xuất",INDEX('Kế hoạch'!$AY$6:$AY$305,$O976),IF(N($P976)=0,"",IF(INT($B976)&lt;$P976,$P976,IF($Q976&gt;0,$P976+ROUND((INT($B976)-$P976)/$Q976,0)*$Q976,IF($R976&gt;0,EDATE($P976,ROUND((DATEDIF($P976,INT($B976),"m")+(INT($B976)-EDATE($P976,DATEDIF($P976,INT($B976),"m")))/(EDATE($P976,DATEDIF($P976,INT($B976),"m")+1)-EDATE($P976,DATEDIF($P976,INT($B976),"m"))))/$R976,0)*$R976),$P976))))),"")))</f>
      </c>
      <c r="M976" s="223">
        <f>IF(OR($C976="",N($L976)=0,N($B976)=0),"",IF(IF(MOD($L976,1)=0,INT($B976),$B976)&lt;=$L976,"Đúng hạn","Trễ hạn"))</f>
      </c>
      <c r="N976" s="225">
        <f>IF($C976="","",ROW())</f>
      </c>
      <c r="O976" s="225">
        <f>IF($I976="Công việc",MATCH($C976,'Kế hoạch'!$A$6:$A$305,0),"")</f>
      </c>
      <c r="P976" s="234">
        <f>IF($O976="","",INDEX('Kế hoạch'!$I$6:$I$305,$O976))</f>
      </c>
      <c r="Q976" s="225">
        <f>IF($O976="","",INDEX('Kế hoạch'!$AJ$6:$AJ$305,$O976))</f>
      </c>
      <c r="R976" s="225">
        <f>IF($O976="","",INDEX('Kế hoạch'!$AK$6:$AK$305,$O976))</f>
      </c>
    </row>
    <row r="977">
      <c r="A977" s="223">
        <f>IF($C977="","",COUNTIF($C$6:$C977,"?*"))</f>
      </c>
      <c r="B977" s="217"/>
      <c r="C977" s="216"/>
      <c r="D977" s="240"/>
      <c r="E977" s="218"/>
      <c r="F977" s="218"/>
      <c r="G977" s="218"/>
      <c r="H977" s="219"/>
      <c r="I977" s="223">
        <f>IF($C977="","",IF(ISNUMBER(MATCH($C977,'Phản ánh'!$A$6:$A$505,0)),"Phản ánh",IF(ISNUMBER(MATCH($C977,'Kế hoạch'!$A$6:$A$305,0)),"Công việc","Mã chưa có")))</f>
      </c>
      <c r="J977" s="221">
        <f>IF($I977="Phản ánh",INDEX('Phản ánh'!$C$6:$C$505,MATCH($C977,'Phản ánh'!$A$6:$A$505,0)),IF($I977="Công việc",INDEX('Kế hoạch'!$C$6:$C$305,$O977),""))</f>
      </c>
      <c r="K977" s="221">
        <f>IF($I977="Phản ánh",INDEX('Phản ánh'!$K$6:$K$505,MATCH($C977,'Phản ánh'!$A$6:$A$505,0))&amp;"",IF($I977="Công việc",INDEX('Kế hoạch'!$N$6:$N$305,$O977)&amp;"",""))</f>
      </c>
      <c r="L977" s="220">
        <f>IF(OR($C977="",N($B977)=0),"",IF(AND($I977="Phản ánh",$E977="Đã xử lý"),INDEX('Phản ánh'!$U$6:$U$505,MATCH($C977,'Phản ánh'!$A$6:$A$505,0)),IF(AND($I977="Công việc",OR($E977="Hoàn thành",$E977="Hoàn thành kỳ")),IF(INDEX('Kế hoạch'!$B$6:$B$305,$O977)="Đột xuất",INDEX('Kế hoạch'!$AY$6:$AY$305,$O977),IF(N($P977)=0,"",IF(INT($B977)&lt;$P977,$P977,IF($Q977&gt;0,$P977+ROUND((INT($B977)-$P977)/$Q977,0)*$Q977,IF($R977&gt;0,EDATE($P977,ROUND((DATEDIF($P977,INT($B977),"m")+(INT($B977)-EDATE($P977,DATEDIF($P977,INT($B977),"m")))/(EDATE($P977,DATEDIF($P977,INT($B977),"m")+1)-EDATE($P977,DATEDIF($P977,INT($B977),"m"))))/$R977,0)*$R977),$P977))))),"")))</f>
      </c>
      <c r="M977" s="223">
        <f>IF(OR($C977="",N($L977)=0,N($B977)=0),"",IF(IF(MOD($L977,1)=0,INT($B977),$B977)&lt;=$L977,"Đúng hạn","Trễ hạn"))</f>
      </c>
      <c r="N977" s="225">
        <f>IF($C977="","",ROW())</f>
      </c>
      <c r="O977" s="225">
        <f>IF($I977="Công việc",MATCH($C977,'Kế hoạch'!$A$6:$A$305,0),"")</f>
      </c>
      <c r="P977" s="234">
        <f>IF($O977="","",INDEX('Kế hoạch'!$I$6:$I$305,$O977))</f>
      </c>
      <c r="Q977" s="225">
        <f>IF($O977="","",INDEX('Kế hoạch'!$AJ$6:$AJ$305,$O977))</f>
      </c>
      <c r="R977" s="225">
        <f>IF($O977="","",INDEX('Kế hoạch'!$AK$6:$AK$305,$O977))</f>
      </c>
    </row>
    <row r="978">
      <c r="A978" s="223">
        <f>IF($C978="","",COUNTIF($C$6:$C978,"?*"))</f>
      </c>
      <c r="B978" s="217"/>
      <c r="C978" s="216"/>
      <c r="D978" s="240"/>
      <c r="E978" s="218"/>
      <c r="F978" s="218"/>
      <c r="G978" s="218"/>
      <c r="H978" s="219"/>
      <c r="I978" s="223">
        <f>IF($C978="","",IF(ISNUMBER(MATCH($C978,'Phản ánh'!$A$6:$A$505,0)),"Phản ánh",IF(ISNUMBER(MATCH($C978,'Kế hoạch'!$A$6:$A$305,0)),"Công việc","Mã chưa có")))</f>
      </c>
      <c r="J978" s="221">
        <f>IF($I978="Phản ánh",INDEX('Phản ánh'!$C$6:$C$505,MATCH($C978,'Phản ánh'!$A$6:$A$505,0)),IF($I978="Công việc",INDEX('Kế hoạch'!$C$6:$C$305,$O978),""))</f>
      </c>
      <c r="K978" s="221">
        <f>IF($I978="Phản ánh",INDEX('Phản ánh'!$K$6:$K$505,MATCH($C978,'Phản ánh'!$A$6:$A$505,0))&amp;"",IF($I978="Công việc",INDEX('Kế hoạch'!$N$6:$N$305,$O978)&amp;"",""))</f>
      </c>
      <c r="L978" s="220">
        <f>IF(OR($C978="",N($B978)=0),"",IF(AND($I978="Phản ánh",$E978="Đã xử lý"),INDEX('Phản ánh'!$U$6:$U$505,MATCH($C978,'Phản ánh'!$A$6:$A$505,0)),IF(AND($I978="Công việc",OR($E978="Hoàn thành",$E978="Hoàn thành kỳ")),IF(INDEX('Kế hoạch'!$B$6:$B$305,$O978)="Đột xuất",INDEX('Kế hoạch'!$AY$6:$AY$305,$O978),IF(N($P978)=0,"",IF(INT($B978)&lt;$P978,$P978,IF($Q978&gt;0,$P978+ROUND((INT($B978)-$P978)/$Q978,0)*$Q978,IF($R978&gt;0,EDATE($P978,ROUND((DATEDIF($P978,INT($B978),"m")+(INT($B978)-EDATE($P978,DATEDIF($P978,INT($B978),"m")))/(EDATE($P978,DATEDIF($P978,INT($B978),"m")+1)-EDATE($P978,DATEDIF($P978,INT($B978),"m"))))/$R978,0)*$R978),$P978))))),"")))</f>
      </c>
      <c r="M978" s="223">
        <f>IF(OR($C978="",N($L978)=0,N($B978)=0),"",IF(IF(MOD($L978,1)=0,INT($B978),$B978)&lt;=$L978,"Đúng hạn","Trễ hạn"))</f>
      </c>
      <c r="N978" s="225">
        <f>IF($C978="","",ROW())</f>
      </c>
      <c r="O978" s="225">
        <f>IF($I978="Công việc",MATCH($C978,'Kế hoạch'!$A$6:$A$305,0),"")</f>
      </c>
      <c r="P978" s="234">
        <f>IF($O978="","",INDEX('Kế hoạch'!$I$6:$I$305,$O978))</f>
      </c>
      <c r="Q978" s="225">
        <f>IF($O978="","",INDEX('Kế hoạch'!$AJ$6:$AJ$305,$O978))</f>
      </c>
      <c r="R978" s="225">
        <f>IF($O978="","",INDEX('Kế hoạch'!$AK$6:$AK$305,$O978))</f>
      </c>
    </row>
    <row r="979">
      <c r="A979" s="223">
        <f>IF($C979="","",COUNTIF($C$6:$C979,"?*"))</f>
      </c>
      <c r="B979" s="217"/>
      <c r="C979" s="216"/>
      <c r="D979" s="240"/>
      <c r="E979" s="218"/>
      <c r="F979" s="218"/>
      <c r="G979" s="218"/>
      <c r="H979" s="219"/>
      <c r="I979" s="223">
        <f>IF($C979="","",IF(ISNUMBER(MATCH($C979,'Phản ánh'!$A$6:$A$505,0)),"Phản ánh",IF(ISNUMBER(MATCH($C979,'Kế hoạch'!$A$6:$A$305,0)),"Công việc","Mã chưa có")))</f>
      </c>
      <c r="J979" s="221">
        <f>IF($I979="Phản ánh",INDEX('Phản ánh'!$C$6:$C$505,MATCH($C979,'Phản ánh'!$A$6:$A$505,0)),IF($I979="Công việc",INDEX('Kế hoạch'!$C$6:$C$305,$O979),""))</f>
      </c>
      <c r="K979" s="221">
        <f>IF($I979="Phản ánh",INDEX('Phản ánh'!$K$6:$K$505,MATCH($C979,'Phản ánh'!$A$6:$A$505,0))&amp;"",IF($I979="Công việc",INDEX('Kế hoạch'!$N$6:$N$305,$O979)&amp;"",""))</f>
      </c>
      <c r="L979" s="220">
        <f>IF(OR($C979="",N($B979)=0),"",IF(AND($I979="Phản ánh",$E979="Đã xử lý"),INDEX('Phản ánh'!$U$6:$U$505,MATCH($C979,'Phản ánh'!$A$6:$A$505,0)),IF(AND($I979="Công việc",OR($E979="Hoàn thành",$E979="Hoàn thành kỳ")),IF(INDEX('Kế hoạch'!$B$6:$B$305,$O979)="Đột xuất",INDEX('Kế hoạch'!$AY$6:$AY$305,$O979),IF(N($P979)=0,"",IF(INT($B979)&lt;$P979,$P979,IF($Q979&gt;0,$P979+ROUND((INT($B979)-$P979)/$Q979,0)*$Q979,IF($R979&gt;0,EDATE($P979,ROUND((DATEDIF($P979,INT($B979),"m")+(INT($B979)-EDATE($P979,DATEDIF($P979,INT($B979),"m")))/(EDATE($P979,DATEDIF($P979,INT($B979),"m")+1)-EDATE($P979,DATEDIF($P979,INT($B979),"m"))))/$R979,0)*$R979),$P979))))),"")))</f>
      </c>
      <c r="M979" s="223">
        <f>IF(OR($C979="",N($L979)=0,N($B979)=0),"",IF(IF(MOD($L979,1)=0,INT($B979),$B979)&lt;=$L979,"Đúng hạn","Trễ hạn"))</f>
      </c>
      <c r="N979" s="225">
        <f>IF($C979="","",ROW())</f>
      </c>
      <c r="O979" s="225">
        <f>IF($I979="Công việc",MATCH($C979,'Kế hoạch'!$A$6:$A$305,0),"")</f>
      </c>
      <c r="P979" s="234">
        <f>IF($O979="","",INDEX('Kế hoạch'!$I$6:$I$305,$O979))</f>
      </c>
      <c r="Q979" s="225">
        <f>IF($O979="","",INDEX('Kế hoạch'!$AJ$6:$AJ$305,$O979))</f>
      </c>
      <c r="R979" s="225">
        <f>IF($O979="","",INDEX('Kế hoạch'!$AK$6:$AK$305,$O979))</f>
      </c>
    </row>
    <row r="980">
      <c r="A980" s="223">
        <f>IF($C980="","",COUNTIF($C$6:$C980,"?*"))</f>
      </c>
      <c r="B980" s="217"/>
      <c r="C980" s="216"/>
      <c r="D980" s="240"/>
      <c r="E980" s="218"/>
      <c r="F980" s="218"/>
      <c r="G980" s="218"/>
      <c r="H980" s="219"/>
      <c r="I980" s="223">
        <f>IF($C980="","",IF(ISNUMBER(MATCH($C980,'Phản ánh'!$A$6:$A$505,0)),"Phản ánh",IF(ISNUMBER(MATCH($C980,'Kế hoạch'!$A$6:$A$305,0)),"Công việc","Mã chưa có")))</f>
      </c>
      <c r="J980" s="221">
        <f>IF($I980="Phản ánh",INDEX('Phản ánh'!$C$6:$C$505,MATCH($C980,'Phản ánh'!$A$6:$A$505,0)),IF($I980="Công việc",INDEX('Kế hoạch'!$C$6:$C$305,$O980),""))</f>
      </c>
      <c r="K980" s="221">
        <f>IF($I980="Phản ánh",INDEX('Phản ánh'!$K$6:$K$505,MATCH($C980,'Phản ánh'!$A$6:$A$505,0))&amp;"",IF($I980="Công việc",INDEX('Kế hoạch'!$N$6:$N$305,$O980)&amp;"",""))</f>
      </c>
      <c r="L980" s="220">
        <f>IF(OR($C980="",N($B980)=0),"",IF(AND($I980="Phản ánh",$E980="Đã xử lý"),INDEX('Phản ánh'!$U$6:$U$505,MATCH($C980,'Phản ánh'!$A$6:$A$505,0)),IF(AND($I980="Công việc",OR($E980="Hoàn thành",$E980="Hoàn thành kỳ")),IF(INDEX('Kế hoạch'!$B$6:$B$305,$O980)="Đột xuất",INDEX('Kế hoạch'!$AY$6:$AY$305,$O980),IF(N($P980)=0,"",IF(INT($B980)&lt;$P980,$P980,IF($Q980&gt;0,$P980+ROUND((INT($B980)-$P980)/$Q980,0)*$Q980,IF($R980&gt;0,EDATE($P980,ROUND((DATEDIF($P980,INT($B980),"m")+(INT($B980)-EDATE($P980,DATEDIF($P980,INT($B980),"m")))/(EDATE($P980,DATEDIF($P980,INT($B980),"m")+1)-EDATE($P980,DATEDIF($P980,INT($B980),"m"))))/$R980,0)*$R980),$P980))))),"")))</f>
      </c>
      <c r="M980" s="223">
        <f>IF(OR($C980="",N($L980)=0,N($B980)=0),"",IF(IF(MOD($L980,1)=0,INT($B980),$B980)&lt;=$L980,"Đúng hạn","Trễ hạn"))</f>
      </c>
      <c r="N980" s="225">
        <f>IF($C980="","",ROW())</f>
      </c>
      <c r="O980" s="225">
        <f>IF($I980="Công việc",MATCH($C980,'Kế hoạch'!$A$6:$A$305,0),"")</f>
      </c>
      <c r="P980" s="234">
        <f>IF($O980="","",INDEX('Kế hoạch'!$I$6:$I$305,$O980))</f>
      </c>
      <c r="Q980" s="225">
        <f>IF($O980="","",INDEX('Kế hoạch'!$AJ$6:$AJ$305,$O980))</f>
      </c>
      <c r="R980" s="225">
        <f>IF($O980="","",INDEX('Kế hoạch'!$AK$6:$AK$305,$O980))</f>
      </c>
    </row>
    <row r="981">
      <c r="A981" s="223">
        <f>IF($C981="","",COUNTIF($C$6:$C981,"?*"))</f>
      </c>
      <c r="B981" s="217"/>
      <c r="C981" s="216"/>
      <c r="D981" s="240"/>
      <c r="E981" s="218"/>
      <c r="F981" s="218"/>
      <c r="G981" s="218"/>
      <c r="H981" s="219"/>
      <c r="I981" s="223">
        <f>IF($C981="","",IF(ISNUMBER(MATCH($C981,'Phản ánh'!$A$6:$A$505,0)),"Phản ánh",IF(ISNUMBER(MATCH($C981,'Kế hoạch'!$A$6:$A$305,0)),"Công việc","Mã chưa có")))</f>
      </c>
      <c r="J981" s="221">
        <f>IF($I981="Phản ánh",INDEX('Phản ánh'!$C$6:$C$505,MATCH($C981,'Phản ánh'!$A$6:$A$505,0)),IF($I981="Công việc",INDEX('Kế hoạch'!$C$6:$C$305,$O981),""))</f>
      </c>
      <c r="K981" s="221">
        <f>IF($I981="Phản ánh",INDEX('Phản ánh'!$K$6:$K$505,MATCH($C981,'Phản ánh'!$A$6:$A$505,0))&amp;"",IF($I981="Công việc",INDEX('Kế hoạch'!$N$6:$N$305,$O981)&amp;"",""))</f>
      </c>
      <c r="L981" s="220">
        <f>IF(OR($C981="",N($B981)=0),"",IF(AND($I981="Phản ánh",$E981="Đã xử lý"),INDEX('Phản ánh'!$U$6:$U$505,MATCH($C981,'Phản ánh'!$A$6:$A$505,0)),IF(AND($I981="Công việc",OR($E981="Hoàn thành",$E981="Hoàn thành kỳ")),IF(INDEX('Kế hoạch'!$B$6:$B$305,$O981)="Đột xuất",INDEX('Kế hoạch'!$AY$6:$AY$305,$O981),IF(N($P981)=0,"",IF(INT($B981)&lt;$P981,$P981,IF($Q981&gt;0,$P981+ROUND((INT($B981)-$P981)/$Q981,0)*$Q981,IF($R981&gt;0,EDATE($P981,ROUND((DATEDIF($P981,INT($B981),"m")+(INT($B981)-EDATE($P981,DATEDIF($P981,INT($B981),"m")))/(EDATE($P981,DATEDIF($P981,INT($B981),"m")+1)-EDATE($P981,DATEDIF($P981,INT($B981),"m"))))/$R981,0)*$R981),$P981))))),"")))</f>
      </c>
      <c r="M981" s="223">
        <f>IF(OR($C981="",N($L981)=0,N($B981)=0),"",IF(IF(MOD($L981,1)=0,INT($B981),$B981)&lt;=$L981,"Đúng hạn","Trễ hạn"))</f>
      </c>
      <c r="N981" s="225">
        <f>IF($C981="","",ROW())</f>
      </c>
      <c r="O981" s="225">
        <f>IF($I981="Công việc",MATCH($C981,'Kế hoạch'!$A$6:$A$305,0),"")</f>
      </c>
      <c r="P981" s="234">
        <f>IF($O981="","",INDEX('Kế hoạch'!$I$6:$I$305,$O981))</f>
      </c>
      <c r="Q981" s="225">
        <f>IF($O981="","",INDEX('Kế hoạch'!$AJ$6:$AJ$305,$O981))</f>
      </c>
      <c r="R981" s="225">
        <f>IF($O981="","",INDEX('Kế hoạch'!$AK$6:$AK$305,$O981))</f>
      </c>
    </row>
    <row r="982">
      <c r="A982" s="223">
        <f>IF($C982="","",COUNTIF($C$6:$C982,"?*"))</f>
      </c>
      <c r="B982" s="217"/>
      <c r="C982" s="216"/>
      <c r="D982" s="240"/>
      <c r="E982" s="218"/>
      <c r="F982" s="218"/>
      <c r="G982" s="218"/>
      <c r="H982" s="219"/>
      <c r="I982" s="223">
        <f>IF($C982="","",IF(ISNUMBER(MATCH($C982,'Phản ánh'!$A$6:$A$505,0)),"Phản ánh",IF(ISNUMBER(MATCH($C982,'Kế hoạch'!$A$6:$A$305,0)),"Công việc","Mã chưa có")))</f>
      </c>
      <c r="J982" s="221">
        <f>IF($I982="Phản ánh",INDEX('Phản ánh'!$C$6:$C$505,MATCH($C982,'Phản ánh'!$A$6:$A$505,0)),IF($I982="Công việc",INDEX('Kế hoạch'!$C$6:$C$305,$O982),""))</f>
      </c>
      <c r="K982" s="221">
        <f>IF($I982="Phản ánh",INDEX('Phản ánh'!$K$6:$K$505,MATCH($C982,'Phản ánh'!$A$6:$A$505,0))&amp;"",IF($I982="Công việc",INDEX('Kế hoạch'!$N$6:$N$305,$O982)&amp;"",""))</f>
      </c>
      <c r="L982" s="220">
        <f>IF(OR($C982="",N($B982)=0),"",IF(AND($I982="Phản ánh",$E982="Đã xử lý"),INDEX('Phản ánh'!$U$6:$U$505,MATCH($C982,'Phản ánh'!$A$6:$A$505,0)),IF(AND($I982="Công việc",OR($E982="Hoàn thành",$E982="Hoàn thành kỳ")),IF(INDEX('Kế hoạch'!$B$6:$B$305,$O982)="Đột xuất",INDEX('Kế hoạch'!$AY$6:$AY$305,$O982),IF(N($P982)=0,"",IF(INT($B982)&lt;$P982,$P982,IF($Q982&gt;0,$P982+ROUND((INT($B982)-$P982)/$Q982,0)*$Q982,IF($R982&gt;0,EDATE($P982,ROUND((DATEDIF($P982,INT($B982),"m")+(INT($B982)-EDATE($P982,DATEDIF($P982,INT($B982),"m")))/(EDATE($P982,DATEDIF($P982,INT($B982),"m")+1)-EDATE($P982,DATEDIF($P982,INT($B982),"m"))))/$R982,0)*$R982),$P982))))),"")))</f>
      </c>
      <c r="M982" s="223">
        <f>IF(OR($C982="",N($L982)=0,N($B982)=0),"",IF(IF(MOD($L982,1)=0,INT($B982),$B982)&lt;=$L982,"Đúng hạn","Trễ hạn"))</f>
      </c>
      <c r="N982" s="225">
        <f>IF($C982="","",ROW())</f>
      </c>
      <c r="O982" s="225">
        <f>IF($I982="Công việc",MATCH($C982,'Kế hoạch'!$A$6:$A$305,0),"")</f>
      </c>
      <c r="P982" s="234">
        <f>IF($O982="","",INDEX('Kế hoạch'!$I$6:$I$305,$O982))</f>
      </c>
      <c r="Q982" s="225">
        <f>IF($O982="","",INDEX('Kế hoạch'!$AJ$6:$AJ$305,$O982))</f>
      </c>
      <c r="R982" s="225">
        <f>IF($O982="","",INDEX('Kế hoạch'!$AK$6:$AK$305,$O982))</f>
      </c>
    </row>
    <row r="983">
      <c r="A983" s="223">
        <f>IF($C983="","",COUNTIF($C$6:$C983,"?*"))</f>
      </c>
      <c r="B983" s="217"/>
      <c r="C983" s="216"/>
      <c r="D983" s="240"/>
      <c r="E983" s="218"/>
      <c r="F983" s="218"/>
      <c r="G983" s="218"/>
      <c r="H983" s="219"/>
      <c r="I983" s="223">
        <f>IF($C983="","",IF(ISNUMBER(MATCH($C983,'Phản ánh'!$A$6:$A$505,0)),"Phản ánh",IF(ISNUMBER(MATCH($C983,'Kế hoạch'!$A$6:$A$305,0)),"Công việc","Mã chưa có")))</f>
      </c>
      <c r="J983" s="221">
        <f>IF($I983="Phản ánh",INDEX('Phản ánh'!$C$6:$C$505,MATCH($C983,'Phản ánh'!$A$6:$A$505,0)),IF($I983="Công việc",INDEX('Kế hoạch'!$C$6:$C$305,$O983),""))</f>
      </c>
      <c r="K983" s="221">
        <f>IF($I983="Phản ánh",INDEX('Phản ánh'!$K$6:$K$505,MATCH($C983,'Phản ánh'!$A$6:$A$505,0))&amp;"",IF($I983="Công việc",INDEX('Kế hoạch'!$N$6:$N$305,$O983)&amp;"",""))</f>
      </c>
      <c r="L983" s="220">
        <f>IF(OR($C983="",N($B983)=0),"",IF(AND($I983="Phản ánh",$E983="Đã xử lý"),INDEX('Phản ánh'!$U$6:$U$505,MATCH($C983,'Phản ánh'!$A$6:$A$505,0)),IF(AND($I983="Công việc",OR($E983="Hoàn thành",$E983="Hoàn thành kỳ")),IF(INDEX('Kế hoạch'!$B$6:$B$305,$O983)="Đột xuất",INDEX('Kế hoạch'!$AY$6:$AY$305,$O983),IF(N($P983)=0,"",IF(INT($B983)&lt;$P983,$P983,IF($Q983&gt;0,$P983+ROUND((INT($B983)-$P983)/$Q983,0)*$Q983,IF($R983&gt;0,EDATE($P983,ROUND((DATEDIF($P983,INT($B983),"m")+(INT($B983)-EDATE($P983,DATEDIF($P983,INT($B983),"m")))/(EDATE($P983,DATEDIF($P983,INT($B983),"m")+1)-EDATE($P983,DATEDIF($P983,INT($B983),"m"))))/$R983,0)*$R983),$P983))))),"")))</f>
      </c>
      <c r="M983" s="223">
        <f>IF(OR($C983="",N($L983)=0,N($B983)=0),"",IF(IF(MOD($L983,1)=0,INT($B983),$B983)&lt;=$L983,"Đúng hạn","Trễ hạn"))</f>
      </c>
      <c r="N983" s="225">
        <f>IF($C983="","",ROW())</f>
      </c>
      <c r="O983" s="225">
        <f>IF($I983="Công việc",MATCH($C983,'Kế hoạch'!$A$6:$A$305,0),"")</f>
      </c>
      <c r="P983" s="234">
        <f>IF($O983="","",INDEX('Kế hoạch'!$I$6:$I$305,$O983))</f>
      </c>
      <c r="Q983" s="225">
        <f>IF($O983="","",INDEX('Kế hoạch'!$AJ$6:$AJ$305,$O983))</f>
      </c>
      <c r="R983" s="225">
        <f>IF($O983="","",INDEX('Kế hoạch'!$AK$6:$AK$305,$O983))</f>
      </c>
    </row>
    <row r="984">
      <c r="A984" s="223">
        <f>IF($C984="","",COUNTIF($C$6:$C984,"?*"))</f>
      </c>
      <c r="B984" s="217"/>
      <c r="C984" s="216"/>
      <c r="D984" s="240"/>
      <c r="E984" s="218"/>
      <c r="F984" s="218"/>
      <c r="G984" s="218"/>
      <c r="H984" s="219"/>
      <c r="I984" s="223">
        <f>IF($C984="","",IF(ISNUMBER(MATCH($C984,'Phản ánh'!$A$6:$A$505,0)),"Phản ánh",IF(ISNUMBER(MATCH($C984,'Kế hoạch'!$A$6:$A$305,0)),"Công việc","Mã chưa có")))</f>
      </c>
      <c r="J984" s="221">
        <f>IF($I984="Phản ánh",INDEX('Phản ánh'!$C$6:$C$505,MATCH($C984,'Phản ánh'!$A$6:$A$505,0)),IF($I984="Công việc",INDEX('Kế hoạch'!$C$6:$C$305,$O984),""))</f>
      </c>
      <c r="K984" s="221">
        <f>IF($I984="Phản ánh",INDEX('Phản ánh'!$K$6:$K$505,MATCH($C984,'Phản ánh'!$A$6:$A$505,0))&amp;"",IF($I984="Công việc",INDEX('Kế hoạch'!$N$6:$N$305,$O984)&amp;"",""))</f>
      </c>
      <c r="L984" s="220">
        <f>IF(OR($C984="",N($B984)=0),"",IF(AND($I984="Phản ánh",$E984="Đã xử lý"),INDEX('Phản ánh'!$U$6:$U$505,MATCH($C984,'Phản ánh'!$A$6:$A$505,0)),IF(AND($I984="Công việc",OR($E984="Hoàn thành",$E984="Hoàn thành kỳ")),IF(INDEX('Kế hoạch'!$B$6:$B$305,$O984)="Đột xuất",INDEX('Kế hoạch'!$AY$6:$AY$305,$O984),IF(N($P984)=0,"",IF(INT($B984)&lt;$P984,$P984,IF($Q984&gt;0,$P984+ROUND((INT($B984)-$P984)/$Q984,0)*$Q984,IF($R984&gt;0,EDATE($P984,ROUND((DATEDIF($P984,INT($B984),"m")+(INT($B984)-EDATE($P984,DATEDIF($P984,INT($B984),"m")))/(EDATE($P984,DATEDIF($P984,INT($B984),"m")+1)-EDATE($P984,DATEDIF($P984,INT($B984),"m"))))/$R984,0)*$R984),$P984))))),"")))</f>
      </c>
      <c r="M984" s="223">
        <f>IF(OR($C984="",N($L984)=0,N($B984)=0),"",IF(IF(MOD($L984,1)=0,INT($B984),$B984)&lt;=$L984,"Đúng hạn","Trễ hạn"))</f>
      </c>
      <c r="N984" s="225">
        <f>IF($C984="","",ROW())</f>
      </c>
      <c r="O984" s="225">
        <f>IF($I984="Công việc",MATCH($C984,'Kế hoạch'!$A$6:$A$305,0),"")</f>
      </c>
      <c r="P984" s="234">
        <f>IF($O984="","",INDEX('Kế hoạch'!$I$6:$I$305,$O984))</f>
      </c>
      <c r="Q984" s="225">
        <f>IF($O984="","",INDEX('Kế hoạch'!$AJ$6:$AJ$305,$O984))</f>
      </c>
      <c r="R984" s="225">
        <f>IF($O984="","",INDEX('Kế hoạch'!$AK$6:$AK$305,$O984))</f>
      </c>
    </row>
    <row r="985">
      <c r="A985" s="223">
        <f>IF($C985="","",COUNTIF($C$6:$C985,"?*"))</f>
      </c>
      <c r="B985" s="217"/>
      <c r="C985" s="216"/>
      <c r="D985" s="240"/>
      <c r="E985" s="218"/>
      <c r="F985" s="218"/>
      <c r="G985" s="218"/>
      <c r="H985" s="219"/>
      <c r="I985" s="223">
        <f>IF($C985="","",IF(ISNUMBER(MATCH($C985,'Phản ánh'!$A$6:$A$505,0)),"Phản ánh",IF(ISNUMBER(MATCH($C985,'Kế hoạch'!$A$6:$A$305,0)),"Công việc","Mã chưa có")))</f>
      </c>
      <c r="J985" s="221">
        <f>IF($I985="Phản ánh",INDEX('Phản ánh'!$C$6:$C$505,MATCH($C985,'Phản ánh'!$A$6:$A$505,0)),IF($I985="Công việc",INDEX('Kế hoạch'!$C$6:$C$305,$O985),""))</f>
      </c>
      <c r="K985" s="221">
        <f>IF($I985="Phản ánh",INDEX('Phản ánh'!$K$6:$K$505,MATCH($C985,'Phản ánh'!$A$6:$A$505,0))&amp;"",IF($I985="Công việc",INDEX('Kế hoạch'!$N$6:$N$305,$O985)&amp;"",""))</f>
      </c>
      <c r="L985" s="220">
        <f>IF(OR($C985="",N($B985)=0),"",IF(AND($I985="Phản ánh",$E985="Đã xử lý"),INDEX('Phản ánh'!$U$6:$U$505,MATCH($C985,'Phản ánh'!$A$6:$A$505,0)),IF(AND($I985="Công việc",OR($E985="Hoàn thành",$E985="Hoàn thành kỳ")),IF(INDEX('Kế hoạch'!$B$6:$B$305,$O985)="Đột xuất",INDEX('Kế hoạch'!$AY$6:$AY$305,$O985),IF(N($P985)=0,"",IF(INT($B985)&lt;$P985,$P985,IF($Q985&gt;0,$P985+ROUND((INT($B985)-$P985)/$Q985,0)*$Q985,IF($R985&gt;0,EDATE($P985,ROUND((DATEDIF($P985,INT($B985),"m")+(INT($B985)-EDATE($P985,DATEDIF($P985,INT($B985),"m")))/(EDATE($P985,DATEDIF($P985,INT($B985),"m")+1)-EDATE($P985,DATEDIF($P985,INT($B985),"m"))))/$R985,0)*$R985),$P985))))),"")))</f>
      </c>
      <c r="M985" s="223">
        <f>IF(OR($C985="",N($L985)=0,N($B985)=0),"",IF(IF(MOD($L985,1)=0,INT($B985),$B985)&lt;=$L985,"Đúng hạn","Trễ hạn"))</f>
      </c>
      <c r="N985" s="225">
        <f>IF($C985="","",ROW())</f>
      </c>
      <c r="O985" s="225">
        <f>IF($I985="Công việc",MATCH($C985,'Kế hoạch'!$A$6:$A$305,0),"")</f>
      </c>
      <c r="P985" s="234">
        <f>IF($O985="","",INDEX('Kế hoạch'!$I$6:$I$305,$O985))</f>
      </c>
      <c r="Q985" s="225">
        <f>IF($O985="","",INDEX('Kế hoạch'!$AJ$6:$AJ$305,$O985))</f>
      </c>
      <c r="R985" s="225">
        <f>IF($O985="","",INDEX('Kế hoạch'!$AK$6:$AK$305,$O985))</f>
      </c>
    </row>
    <row r="986">
      <c r="A986" s="223">
        <f>IF($C986="","",COUNTIF($C$6:$C986,"?*"))</f>
      </c>
      <c r="B986" s="217"/>
      <c r="C986" s="216"/>
      <c r="D986" s="240"/>
      <c r="E986" s="218"/>
      <c r="F986" s="218"/>
      <c r="G986" s="218"/>
      <c r="H986" s="219"/>
      <c r="I986" s="223">
        <f>IF($C986="","",IF(ISNUMBER(MATCH($C986,'Phản ánh'!$A$6:$A$505,0)),"Phản ánh",IF(ISNUMBER(MATCH($C986,'Kế hoạch'!$A$6:$A$305,0)),"Công việc","Mã chưa có")))</f>
      </c>
      <c r="J986" s="221">
        <f>IF($I986="Phản ánh",INDEX('Phản ánh'!$C$6:$C$505,MATCH($C986,'Phản ánh'!$A$6:$A$505,0)),IF($I986="Công việc",INDEX('Kế hoạch'!$C$6:$C$305,$O986),""))</f>
      </c>
      <c r="K986" s="221">
        <f>IF($I986="Phản ánh",INDEX('Phản ánh'!$K$6:$K$505,MATCH($C986,'Phản ánh'!$A$6:$A$505,0))&amp;"",IF($I986="Công việc",INDEX('Kế hoạch'!$N$6:$N$305,$O986)&amp;"",""))</f>
      </c>
      <c r="L986" s="220">
        <f>IF(OR($C986="",N($B986)=0),"",IF(AND($I986="Phản ánh",$E986="Đã xử lý"),INDEX('Phản ánh'!$U$6:$U$505,MATCH($C986,'Phản ánh'!$A$6:$A$505,0)),IF(AND($I986="Công việc",OR($E986="Hoàn thành",$E986="Hoàn thành kỳ")),IF(INDEX('Kế hoạch'!$B$6:$B$305,$O986)="Đột xuất",INDEX('Kế hoạch'!$AY$6:$AY$305,$O986),IF(N($P986)=0,"",IF(INT($B986)&lt;$P986,$P986,IF($Q986&gt;0,$P986+ROUND((INT($B986)-$P986)/$Q986,0)*$Q986,IF($R986&gt;0,EDATE($P986,ROUND((DATEDIF($P986,INT($B986),"m")+(INT($B986)-EDATE($P986,DATEDIF($P986,INT($B986),"m")))/(EDATE($P986,DATEDIF($P986,INT($B986),"m")+1)-EDATE($P986,DATEDIF($P986,INT($B986),"m"))))/$R986,0)*$R986),$P986))))),"")))</f>
      </c>
      <c r="M986" s="223">
        <f>IF(OR($C986="",N($L986)=0,N($B986)=0),"",IF(IF(MOD($L986,1)=0,INT($B986),$B986)&lt;=$L986,"Đúng hạn","Trễ hạn"))</f>
      </c>
      <c r="N986" s="225">
        <f>IF($C986="","",ROW())</f>
      </c>
      <c r="O986" s="225">
        <f>IF($I986="Công việc",MATCH($C986,'Kế hoạch'!$A$6:$A$305,0),"")</f>
      </c>
      <c r="P986" s="234">
        <f>IF($O986="","",INDEX('Kế hoạch'!$I$6:$I$305,$O986))</f>
      </c>
      <c r="Q986" s="225">
        <f>IF($O986="","",INDEX('Kế hoạch'!$AJ$6:$AJ$305,$O986))</f>
      </c>
      <c r="R986" s="225">
        <f>IF($O986="","",INDEX('Kế hoạch'!$AK$6:$AK$305,$O986))</f>
      </c>
    </row>
    <row r="987">
      <c r="A987" s="223">
        <f>IF($C987="","",COUNTIF($C$6:$C987,"?*"))</f>
      </c>
      <c r="B987" s="217"/>
      <c r="C987" s="216"/>
      <c r="D987" s="240"/>
      <c r="E987" s="218"/>
      <c r="F987" s="218"/>
      <c r="G987" s="218"/>
      <c r="H987" s="219"/>
      <c r="I987" s="223">
        <f>IF($C987="","",IF(ISNUMBER(MATCH($C987,'Phản ánh'!$A$6:$A$505,0)),"Phản ánh",IF(ISNUMBER(MATCH($C987,'Kế hoạch'!$A$6:$A$305,0)),"Công việc","Mã chưa có")))</f>
      </c>
      <c r="J987" s="221">
        <f>IF($I987="Phản ánh",INDEX('Phản ánh'!$C$6:$C$505,MATCH($C987,'Phản ánh'!$A$6:$A$505,0)),IF($I987="Công việc",INDEX('Kế hoạch'!$C$6:$C$305,$O987),""))</f>
      </c>
      <c r="K987" s="221">
        <f>IF($I987="Phản ánh",INDEX('Phản ánh'!$K$6:$K$505,MATCH($C987,'Phản ánh'!$A$6:$A$505,0))&amp;"",IF($I987="Công việc",INDEX('Kế hoạch'!$N$6:$N$305,$O987)&amp;"",""))</f>
      </c>
      <c r="L987" s="220">
        <f>IF(OR($C987="",N($B987)=0),"",IF(AND($I987="Phản ánh",$E987="Đã xử lý"),INDEX('Phản ánh'!$U$6:$U$505,MATCH($C987,'Phản ánh'!$A$6:$A$505,0)),IF(AND($I987="Công việc",OR($E987="Hoàn thành",$E987="Hoàn thành kỳ")),IF(INDEX('Kế hoạch'!$B$6:$B$305,$O987)="Đột xuất",INDEX('Kế hoạch'!$AY$6:$AY$305,$O987),IF(N($P987)=0,"",IF(INT($B987)&lt;$P987,$P987,IF($Q987&gt;0,$P987+ROUND((INT($B987)-$P987)/$Q987,0)*$Q987,IF($R987&gt;0,EDATE($P987,ROUND((DATEDIF($P987,INT($B987),"m")+(INT($B987)-EDATE($P987,DATEDIF($P987,INT($B987),"m")))/(EDATE($P987,DATEDIF($P987,INT($B987),"m")+1)-EDATE($P987,DATEDIF($P987,INT($B987),"m"))))/$R987,0)*$R987),$P987))))),"")))</f>
      </c>
      <c r="M987" s="223">
        <f>IF(OR($C987="",N($L987)=0,N($B987)=0),"",IF(IF(MOD($L987,1)=0,INT($B987),$B987)&lt;=$L987,"Đúng hạn","Trễ hạn"))</f>
      </c>
      <c r="N987" s="225">
        <f>IF($C987="","",ROW())</f>
      </c>
      <c r="O987" s="225">
        <f>IF($I987="Công việc",MATCH($C987,'Kế hoạch'!$A$6:$A$305,0),"")</f>
      </c>
      <c r="P987" s="234">
        <f>IF($O987="","",INDEX('Kế hoạch'!$I$6:$I$305,$O987))</f>
      </c>
      <c r="Q987" s="225">
        <f>IF($O987="","",INDEX('Kế hoạch'!$AJ$6:$AJ$305,$O987))</f>
      </c>
      <c r="R987" s="225">
        <f>IF($O987="","",INDEX('Kế hoạch'!$AK$6:$AK$305,$O987))</f>
      </c>
    </row>
    <row r="988">
      <c r="A988" s="223">
        <f>IF($C988="","",COUNTIF($C$6:$C988,"?*"))</f>
      </c>
      <c r="B988" s="217"/>
      <c r="C988" s="216"/>
      <c r="D988" s="240"/>
      <c r="E988" s="218"/>
      <c r="F988" s="218"/>
      <c r="G988" s="218"/>
      <c r="H988" s="219"/>
      <c r="I988" s="223">
        <f>IF($C988="","",IF(ISNUMBER(MATCH($C988,'Phản ánh'!$A$6:$A$505,0)),"Phản ánh",IF(ISNUMBER(MATCH($C988,'Kế hoạch'!$A$6:$A$305,0)),"Công việc","Mã chưa có")))</f>
      </c>
      <c r="J988" s="221">
        <f>IF($I988="Phản ánh",INDEX('Phản ánh'!$C$6:$C$505,MATCH($C988,'Phản ánh'!$A$6:$A$505,0)),IF($I988="Công việc",INDEX('Kế hoạch'!$C$6:$C$305,$O988),""))</f>
      </c>
      <c r="K988" s="221">
        <f>IF($I988="Phản ánh",INDEX('Phản ánh'!$K$6:$K$505,MATCH($C988,'Phản ánh'!$A$6:$A$505,0))&amp;"",IF($I988="Công việc",INDEX('Kế hoạch'!$N$6:$N$305,$O988)&amp;"",""))</f>
      </c>
      <c r="L988" s="220">
        <f>IF(OR($C988="",N($B988)=0),"",IF(AND($I988="Phản ánh",$E988="Đã xử lý"),INDEX('Phản ánh'!$U$6:$U$505,MATCH($C988,'Phản ánh'!$A$6:$A$505,0)),IF(AND($I988="Công việc",OR($E988="Hoàn thành",$E988="Hoàn thành kỳ")),IF(INDEX('Kế hoạch'!$B$6:$B$305,$O988)="Đột xuất",INDEX('Kế hoạch'!$AY$6:$AY$305,$O988),IF(N($P988)=0,"",IF(INT($B988)&lt;$P988,$P988,IF($Q988&gt;0,$P988+ROUND((INT($B988)-$P988)/$Q988,0)*$Q988,IF($R988&gt;0,EDATE($P988,ROUND((DATEDIF($P988,INT($B988),"m")+(INT($B988)-EDATE($P988,DATEDIF($P988,INT($B988),"m")))/(EDATE($P988,DATEDIF($P988,INT($B988),"m")+1)-EDATE($P988,DATEDIF($P988,INT($B988),"m"))))/$R988,0)*$R988),$P988))))),"")))</f>
      </c>
      <c r="M988" s="223">
        <f>IF(OR($C988="",N($L988)=0,N($B988)=0),"",IF(IF(MOD($L988,1)=0,INT($B988),$B988)&lt;=$L988,"Đúng hạn","Trễ hạn"))</f>
      </c>
      <c r="N988" s="225">
        <f>IF($C988="","",ROW())</f>
      </c>
      <c r="O988" s="225">
        <f>IF($I988="Công việc",MATCH($C988,'Kế hoạch'!$A$6:$A$305,0),"")</f>
      </c>
      <c r="P988" s="234">
        <f>IF($O988="","",INDEX('Kế hoạch'!$I$6:$I$305,$O988))</f>
      </c>
      <c r="Q988" s="225">
        <f>IF($O988="","",INDEX('Kế hoạch'!$AJ$6:$AJ$305,$O988))</f>
      </c>
      <c r="R988" s="225">
        <f>IF($O988="","",INDEX('Kế hoạch'!$AK$6:$AK$305,$O988))</f>
      </c>
    </row>
    <row r="989">
      <c r="A989" s="223">
        <f>IF($C989="","",COUNTIF($C$6:$C989,"?*"))</f>
      </c>
      <c r="B989" s="217"/>
      <c r="C989" s="216"/>
      <c r="D989" s="240"/>
      <c r="E989" s="218"/>
      <c r="F989" s="218"/>
      <c r="G989" s="218"/>
      <c r="H989" s="219"/>
      <c r="I989" s="223">
        <f>IF($C989="","",IF(ISNUMBER(MATCH($C989,'Phản ánh'!$A$6:$A$505,0)),"Phản ánh",IF(ISNUMBER(MATCH($C989,'Kế hoạch'!$A$6:$A$305,0)),"Công việc","Mã chưa có")))</f>
      </c>
      <c r="J989" s="221">
        <f>IF($I989="Phản ánh",INDEX('Phản ánh'!$C$6:$C$505,MATCH($C989,'Phản ánh'!$A$6:$A$505,0)),IF($I989="Công việc",INDEX('Kế hoạch'!$C$6:$C$305,$O989),""))</f>
      </c>
      <c r="K989" s="221">
        <f>IF($I989="Phản ánh",INDEX('Phản ánh'!$K$6:$K$505,MATCH($C989,'Phản ánh'!$A$6:$A$505,0))&amp;"",IF($I989="Công việc",INDEX('Kế hoạch'!$N$6:$N$305,$O989)&amp;"",""))</f>
      </c>
      <c r="L989" s="220">
        <f>IF(OR($C989="",N($B989)=0),"",IF(AND($I989="Phản ánh",$E989="Đã xử lý"),INDEX('Phản ánh'!$U$6:$U$505,MATCH($C989,'Phản ánh'!$A$6:$A$505,0)),IF(AND($I989="Công việc",OR($E989="Hoàn thành",$E989="Hoàn thành kỳ")),IF(INDEX('Kế hoạch'!$B$6:$B$305,$O989)="Đột xuất",INDEX('Kế hoạch'!$AY$6:$AY$305,$O989),IF(N($P989)=0,"",IF(INT($B989)&lt;$P989,$P989,IF($Q989&gt;0,$P989+ROUND((INT($B989)-$P989)/$Q989,0)*$Q989,IF($R989&gt;0,EDATE($P989,ROUND((DATEDIF($P989,INT($B989),"m")+(INT($B989)-EDATE($P989,DATEDIF($P989,INT($B989),"m")))/(EDATE($P989,DATEDIF($P989,INT($B989),"m")+1)-EDATE($P989,DATEDIF($P989,INT($B989),"m"))))/$R989,0)*$R989),$P989))))),"")))</f>
      </c>
      <c r="M989" s="223">
        <f>IF(OR($C989="",N($L989)=0,N($B989)=0),"",IF(IF(MOD($L989,1)=0,INT($B989),$B989)&lt;=$L989,"Đúng hạn","Trễ hạn"))</f>
      </c>
      <c r="N989" s="225">
        <f>IF($C989="","",ROW())</f>
      </c>
      <c r="O989" s="225">
        <f>IF($I989="Công việc",MATCH($C989,'Kế hoạch'!$A$6:$A$305,0),"")</f>
      </c>
      <c r="P989" s="234">
        <f>IF($O989="","",INDEX('Kế hoạch'!$I$6:$I$305,$O989))</f>
      </c>
      <c r="Q989" s="225">
        <f>IF($O989="","",INDEX('Kế hoạch'!$AJ$6:$AJ$305,$O989))</f>
      </c>
      <c r="R989" s="225">
        <f>IF($O989="","",INDEX('Kế hoạch'!$AK$6:$AK$305,$O989))</f>
      </c>
    </row>
    <row r="990">
      <c r="A990" s="223">
        <f>IF($C990="","",COUNTIF($C$6:$C990,"?*"))</f>
      </c>
      <c r="B990" s="217"/>
      <c r="C990" s="216"/>
      <c r="D990" s="240"/>
      <c r="E990" s="218"/>
      <c r="F990" s="218"/>
      <c r="G990" s="218"/>
      <c r="H990" s="219"/>
      <c r="I990" s="223">
        <f>IF($C990="","",IF(ISNUMBER(MATCH($C990,'Phản ánh'!$A$6:$A$505,0)),"Phản ánh",IF(ISNUMBER(MATCH($C990,'Kế hoạch'!$A$6:$A$305,0)),"Công việc","Mã chưa có")))</f>
      </c>
      <c r="J990" s="221">
        <f>IF($I990="Phản ánh",INDEX('Phản ánh'!$C$6:$C$505,MATCH($C990,'Phản ánh'!$A$6:$A$505,0)),IF($I990="Công việc",INDEX('Kế hoạch'!$C$6:$C$305,$O990),""))</f>
      </c>
      <c r="K990" s="221">
        <f>IF($I990="Phản ánh",INDEX('Phản ánh'!$K$6:$K$505,MATCH($C990,'Phản ánh'!$A$6:$A$505,0))&amp;"",IF($I990="Công việc",INDEX('Kế hoạch'!$N$6:$N$305,$O990)&amp;"",""))</f>
      </c>
      <c r="L990" s="220">
        <f>IF(OR($C990="",N($B990)=0),"",IF(AND($I990="Phản ánh",$E990="Đã xử lý"),INDEX('Phản ánh'!$U$6:$U$505,MATCH($C990,'Phản ánh'!$A$6:$A$505,0)),IF(AND($I990="Công việc",OR($E990="Hoàn thành",$E990="Hoàn thành kỳ")),IF(INDEX('Kế hoạch'!$B$6:$B$305,$O990)="Đột xuất",INDEX('Kế hoạch'!$AY$6:$AY$305,$O990),IF(N($P990)=0,"",IF(INT($B990)&lt;$P990,$P990,IF($Q990&gt;0,$P990+ROUND((INT($B990)-$P990)/$Q990,0)*$Q990,IF($R990&gt;0,EDATE($P990,ROUND((DATEDIF($P990,INT($B990),"m")+(INT($B990)-EDATE($P990,DATEDIF($P990,INT($B990),"m")))/(EDATE($P990,DATEDIF($P990,INT($B990),"m")+1)-EDATE($P990,DATEDIF($P990,INT($B990),"m"))))/$R990,0)*$R990),$P990))))),"")))</f>
      </c>
      <c r="M990" s="223">
        <f>IF(OR($C990="",N($L990)=0,N($B990)=0),"",IF(IF(MOD($L990,1)=0,INT($B990),$B990)&lt;=$L990,"Đúng hạn","Trễ hạn"))</f>
      </c>
      <c r="N990" s="225">
        <f>IF($C990="","",ROW())</f>
      </c>
      <c r="O990" s="225">
        <f>IF($I990="Công việc",MATCH($C990,'Kế hoạch'!$A$6:$A$305,0),"")</f>
      </c>
      <c r="P990" s="234">
        <f>IF($O990="","",INDEX('Kế hoạch'!$I$6:$I$305,$O990))</f>
      </c>
      <c r="Q990" s="225">
        <f>IF($O990="","",INDEX('Kế hoạch'!$AJ$6:$AJ$305,$O990))</f>
      </c>
      <c r="R990" s="225">
        <f>IF($O990="","",INDEX('Kế hoạch'!$AK$6:$AK$305,$O990))</f>
      </c>
    </row>
    <row r="991">
      <c r="A991" s="223">
        <f>IF($C991="","",COUNTIF($C$6:$C991,"?*"))</f>
      </c>
      <c r="B991" s="217"/>
      <c r="C991" s="216"/>
      <c r="D991" s="240"/>
      <c r="E991" s="218"/>
      <c r="F991" s="218"/>
      <c r="G991" s="218"/>
      <c r="H991" s="219"/>
      <c r="I991" s="223">
        <f>IF($C991="","",IF(ISNUMBER(MATCH($C991,'Phản ánh'!$A$6:$A$505,0)),"Phản ánh",IF(ISNUMBER(MATCH($C991,'Kế hoạch'!$A$6:$A$305,0)),"Công việc","Mã chưa có")))</f>
      </c>
      <c r="J991" s="221">
        <f>IF($I991="Phản ánh",INDEX('Phản ánh'!$C$6:$C$505,MATCH($C991,'Phản ánh'!$A$6:$A$505,0)),IF($I991="Công việc",INDEX('Kế hoạch'!$C$6:$C$305,$O991),""))</f>
      </c>
      <c r="K991" s="221">
        <f>IF($I991="Phản ánh",INDEX('Phản ánh'!$K$6:$K$505,MATCH($C991,'Phản ánh'!$A$6:$A$505,0))&amp;"",IF($I991="Công việc",INDEX('Kế hoạch'!$N$6:$N$305,$O991)&amp;"",""))</f>
      </c>
      <c r="L991" s="220">
        <f>IF(OR($C991="",N($B991)=0),"",IF(AND($I991="Phản ánh",$E991="Đã xử lý"),INDEX('Phản ánh'!$U$6:$U$505,MATCH($C991,'Phản ánh'!$A$6:$A$505,0)),IF(AND($I991="Công việc",OR($E991="Hoàn thành",$E991="Hoàn thành kỳ")),IF(INDEX('Kế hoạch'!$B$6:$B$305,$O991)="Đột xuất",INDEX('Kế hoạch'!$AY$6:$AY$305,$O991),IF(N($P991)=0,"",IF(INT($B991)&lt;$P991,$P991,IF($Q991&gt;0,$P991+ROUND((INT($B991)-$P991)/$Q991,0)*$Q991,IF($R991&gt;0,EDATE($P991,ROUND((DATEDIF($P991,INT($B991),"m")+(INT($B991)-EDATE($P991,DATEDIF($P991,INT($B991),"m")))/(EDATE($P991,DATEDIF($P991,INT($B991),"m")+1)-EDATE($P991,DATEDIF($P991,INT($B991),"m"))))/$R991,0)*$R991),$P991))))),"")))</f>
      </c>
      <c r="M991" s="223">
        <f>IF(OR($C991="",N($L991)=0,N($B991)=0),"",IF(IF(MOD($L991,1)=0,INT($B991),$B991)&lt;=$L991,"Đúng hạn","Trễ hạn"))</f>
      </c>
      <c r="N991" s="225">
        <f>IF($C991="","",ROW())</f>
      </c>
      <c r="O991" s="225">
        <f>IF($I991="Công việc",MATCH($C991,'Kế hoạch'!$A$6:$A$305,0),"")</f>
      </c>
      <c r="P991" s="234">
        <f>IF($O991="","",INDEX('Kế hoạch'!$I$6:$I$305,$O991))</f>
      </c>
      <c r="Q991" s="225">
        <f>IF($O991="","",INDEX('Kế hoạch'!$AJ$6:$AJ$305,$O991))</f>
      </c>
      <c r="R991" s="225">
        <f>IF($O991="","",INDEX('Kế hoạch'!$AK$6:$AK$305,$O991))</f>
      </c>
    </row>
    <row r="992">
      <c r="A992" s="223">
        <f>IF($C992="","",COUNTIF($C$6:$C992,"?*"))</f>
      </c>
      <c r="B992" s="217"/>
      <c r="C992" s="216"/>
      <c r="D992" s="240"/>
      <c r="E992" s="218"/>
      <c r="F992" s="218"/>
      <c r="G992" s="218"/>
      <c r="H992" s="219"/>
      <c r="I992" s="223">
        <f>IF($C992="","",IF(ISNUMBER(MATCH($C992,'Phản ánh'!$A$6:$A$505,0)),"Phản ánh",IF(ISNUMBER(MATCH($C992,'Kế hoạch'!$A$6:$A$305,0)),"Công việc","Mã chưa có")))</f>
      </c>
      <c r="J992" s="221">
        <f>IF($I992="Phản ánh",INDEX('Phản ánh'!$C$6:$C$505,MATCH($C992,'Phản ánh'!$A$6:$A$505,0)),IF($I992="Công việc",INDEX('Kế hoạch'!$C$6:$C$305,$O992),""))</f>
      </c>
      <c r="K992" s="221">
        <f>IF($I992="Phản ánh",INDEX('Phản ánh'!$K$6:$K$505,MATCH($C992,'Phản ánh'!$A$6:$A$505,0))&amp;"",IF($I992="Công việc",INDEX('Kế hoạch'!$N$6:$N$305,$O992)&amp;"",""))</f>
      </c>
      <c r="L992" s="220">
        <f>IF(OR($C992="",N($B992)=0),"",IF(AND($I992="Phản ánh",$E992="Đã xử lý"),INDEX('Phản ánh'!$U$6:$U$505,MATCH($C992,'Phản ánh'!$A$6:$A$505,0)),IF(AND($I992="Công việc",OR($E992="Hoàn thành",$E992="Hoàn thành kỳ")),IF(INDEX('Kế hoạch'!$B$6:$B$305,$O992)="Đột xuất",INDEX('Kế hoạch'!$AY$6:$AY$305,$O992),IF(N($P992)=0,"",IF(INT($B992)&lt;$P992,$P992,IF($Q992&gt;0,$P992+ROUND((INT($B992)-$P992)/$Q992,0)*$Q992,IF($R992&gt;0,EDATE($P992,ROUND((DATEDIF($P992,INT($B992),"m")+(INT($B992)-EDATE($P992,DATEDIF($P992,INT($B992),"m")))/(EDATE($P992,DATEDIF($P992,INT($B992),"m")+1)-EDATE($P992,DATEDIF($P992,INT($B992),"m"))))/$R992,0)*$R992),$P992))))),"")))</f>
      </c>
      <c r="M992" s="223">
        <f>IF(OR($C992="",N($L992)=0,N($B992)=0),"",IF(IF(MOD($L992,1)=0,INT($B992),$B992)&lt;=$L992,"Đúng hạn","Trễ hạn"))</f>
      </c>
      <c r="N992" s="225">
        <f>IF($C992="","",ROW())</f>
      </c>
      <c r="O992" s="225">
        <f>IF($I992="Công việc",MATCH($C992,'Kế hoạch'!$A$6:$A$305,0),"")</f>
      </c>
      <c r="P992" s="234">
        <f>IF($O992="","",INDEX('Kế hoạch'!$I$6:$I$305,$O992))</f>
      </c>
      <c r="Q992" s="225">
        <f>IF($O992="","",INDEX('Kế hoạch'!$AJ$6:$AJ$305,$O992))</f>
      </c>
      <c r="R992" s="225">
        <f>IF($O992="","",INDEX('Kế hoạch'!$AK$6:$AK$305,$O992))</f>
      </c>
    </row>
    <row r="993">
      <c r="A993" s="223">
        <f>IF($C993="","",COUNTIF($C$6:$C993,"?*"))</f>
      </c>
      <c r="B993" s="217"/>
      <c r="C993" s="216"/>
      <c r="D993" s="240"/>
      <c r="E993" s="218"/>
      <c r="F993" s="218"/>
      <c r="G993" s="218"/>
      <c r="H993" s="219"/>
      <c r="I993" s="223">
        <f>IF($C993="","",IF(ISNUMBER(MATCH($C993,'Phản ánh'!$A$6:$A$505,0)),"Phản ánh",IF(ISNUMBER(MATCH($C993,'Kế hoạch'!$A$6:$A$305,0)),"Công việc","Mã chưa có")))</f>
      </c>
      <c r="J993" s="221">
        <f>IF($I993="Phản ánh",INDEX('Phản ánh'!$C$6:$C$505,MATCH($C993,'Phản ánh'!$A$6:$A$505,0)),IF($I993="Công việc",INDEX('Kế hoạch'!$C$6:$C$305,$O993),""))</f>
      </c>
      <c r="K993" s="221">
        <f>IF($I993="Phản ánh",INDEX('Phản ánh'!$K$6:$K$505,MATCH($C993,'Phản ánh'!$A$6:$A$505,0))&amp;"",IF($I993="Công việc",INDEX('Kế hoạch'!$N$6:$N$305,$O993)&amp;"",""))</f>
      </c>
      <c r="L993" s="220">
        <f>IF(OR($C993="",N($B993)=0),"",IF(AND($I993="Phản ánh",$E993="Đã xử lý"),INDEX('Phản ánh'!$U$6:$U$505,MATCH($C993,'Phản ánh'!$A$6:$A$505,0)),IF(AND($I993="Công việc",OR($E993="Hoàn thành",$E993="Hoàn thành kỳ")),IF(INDEX('Kế hoạch'!$B$6:$B$305,$O993)="Đột xuất",INDEX('Kế hoạch'!$AY$6:$AY$305,$O993),IF(N($P993)=0,"",IF(INT($B993)&lt;$P993,$P993,IF($Q993&gt;0,$P993+ROUND((INT($B993)-$P993)/$Q993,0)*$Q993,IF($R993&gt;0,EDATE($P993,ROUND((DATEDIF($P993,INT($B993),"m")+(INT($B993)-EDATE($P993,DATEDIF($P993,INT($B993),"m")))/(EDATE($P993,DATEDIF($P993,INT($B993),"m")+1)-EDATE($P993,DATEDIF($P993,INT($B993),"m"))))/$R993,0)*$R993),$P993))))),"")))</f>
      </c>
      <c r="M993" s="223">
        <f>IF(OR($C993="",N($L993)=0,N($B993)=0),"",IF(IF(MOD($L993,1)=0,INT($B993),$B993)&lt;=$L993,"Đúng hạn","Trễ hạn"))</f>
      </c>
      <c r="N993" s="225">
        <f>IF($C993="","",ROW())</f>
      </c>
      <c r="O993" s="225">
        <f>IF($I993="Công việc",MATCH($C993,'Kế hoạch'!$A$6:$A$305,0),"")</f>
      </c>
      <c r="P993" s="234">
        <f>IF($O993="","",INDEX('Kế hoạch'!$I$6:$I$305,$O993))</f>
      </c>
      <c r="Q993" s="225">
        <f>IF($O993="","",INDEX('Kế hoạch'!$AJ$6:$AJ$305,$O993))</f>
      </c>
      <c r="R993" s="225">
        <f>IF($O993="","",INDEX('Kế hoạch'!$AK$6:$AK$305,$O993))</f>
      </c>
    </row>
    <row r="994">
      <c r="A994" s="223">
        <f>IF($C994="","",COUNTIF($C$6:$C994,"?*"))</f>
      </c>
      <c r="B994" s="217"/>
      <c r="C994" s="216"/>
      <c r="D994" s="240"/>
      <c r="E994" s="218"/>
      <c r="F994" s="218"/>
      <c r="G994" s="218"/>
      <c r="H994" s="219"/>
      <c r="I994" s="223">
        <f>IF($C994="","",IF(ISNUMBER(MATCH($C994,'Phản ánh'!$A$6:$A$505,0)),"Phản ánh",IF(ISNUMBER(MATCH($C994,'Kế hoạch'!$A$6:$A$305,0)),"Công việc","Mã chưa có")))</f>
      </c>
      <c r="J994" s="221">
        <f>IF($I994="Phản ánh",INDEX('Phản ánh'!$C$6:$C$505,MATCH($C994,'Phản ánh'!$A$6:$A$505,0)),IF($I994="Công việc",INDEX('Kế hoạch'!$C$6:$C$305,$O994),""))</f>
      </c>
      <c r="K994" s="221">
        <f>IF($I994="Phản ánh",INDEX('Phản ánh'!$K$6:$K$505,MATCH($C994,'Phản ánh'!$A$6:$A$505,0))&amp;"",IF($I994="Công việc",INDEX('Kế hoạch'!$N$6:$N$305,$O994)&amp;"",""))</f>
      </c>
      <c r="L994" s="220">
        <f>IF(OR($C994="",N($B994)=0),"",IF(AND($I994="Phản ánh",$E994="Đã xử lý"),INDEX('Phản ánh'!$U$6:$U$505,MATCH($C994,'Phản ánh'!$A$6:$A$505,0)),IF(AND($I994="Công việc",OR($E994="Hoàn thành",$E994="Hoàn thành kỳ")),IF(INDEX('Kế hoạch'!$B$6:$B$305,$O994)="Đột xuất",INDEX('Kế hoạch'!$AY$6:$AY$305,$O994),IF(N($P994)=0,"",IF(INT($B994)&lt;$P994,$P994,IF($Q994&gt;0,$P994+ROUND((INT($B994)-$P994)/$Q994,0)*$Q994,IF($R994&gt;0,EDATE($P994,ROUND((DATEDIF($P994,INT($B994),"m")+(INT($B994)-EDATE($P994,DATEDIF($P994,INT($B994),"m")))/(EDATE($P994,DATEDIF($P994,INT($B994),"m")+1)-EDATE($P994,DATEDIF($P994,INT($B994),"m"))))/$R994,0)*$R994),$P994))))),"")))</f>
      </c>
      <c r="M994" s="223">
        <f>IF(OR($C994="",N($L994)=0,N($B994)=0),"",IF(IF(MOD($L994,1)=0,INT($B994),$B994)&lt;=$L994,"Đúng hạn","Trễ hạn"))</f>
      </c>
      <c r="N994" s="225">
        <f>IF($C994="","",ROW())</f>
      </c>
      <c r="O994" s="225">
        <f>IF($I994="Công việc",MATCH($C994,'Kế hoạch'!$A$6:$A$305,0),"")</f>
      </c>
      <c r="P994" s="234">
        <f>IF($O994="","",INDEX('Kế hoạch'!$I$6:$I$305,$O994))</f>
      </c>
      <c r="Q994" s="225">
        <f>IF($O994="","",INDEX('Kế hoạch'!$AJ$6:$AJ$305,$O994))</f>
      </c>
      <c r="R994" s="225">
        <f>IF($O994="","",INDEX('Kế hoạch'!$AK$6:$AK$305,$O994))</f>
      </c>
    </row>
    <row r="995">
      <c r="A995" s="223">
        <f>IF($C995="","",COUNTIF($C$6:$C995,"?*"))</f>
      </c>
      <c r="B995" s="217"/>
      <c r="C995" s="216"/>
      <c r="D995" s="240"/>
      <c r="E995" s="218"/>
      <c r="F995" s="218"/>
      <c r="G995" s="218"/>
      <c r="H995" s="219"/>
      <c r="I995" s="223">
        <f>IF($C995="","",IF(ISNUMBER(MATCH($C995,'Phản ánh'!$A$6:$A$505,0)),"Phản ánh",IF(ISNUMBER(MATCH($C995,'Kế hoạch'!$A$6:$A$305,0)),"Công việc","Mã chưa có")))</f>
      </c>
      <c r="J995" s="221">
        <f>IF($I995="Phản ánh",INDEX('Phản ánh'!$C$6:$C$505,MATCH($C995,'Phản ánh'!$A$6:$A$505,0)),IF($I995="Công việc",INDEX('Kế hoạch'!$C$6:$C$305,$O995),""))</f>
      </c>
      <c r="K995" s="221">
        <f>IF($I995="Phản ánh",INDEX('Phản ánh'!$K$6:$K$505,MATCH($C995,'Phản ánh'!$A$6:$A$505,0))&amp;"",IF($I995="Công việc",INDEX('Kế hoạch'!$N$6:$N$305,$O995)&amp;"",""))</f>
      </c>
      <c r="L995" s="220">
        <f>IF(OR($C995="",N($B995)=0),"",IF(AND($I995="Phản ánh",$E995="Đã xử lý"),INDEX('Phản ánh'!$U$6:$U$505,MATCH($C995,'Phản ánh'!$A$6:$A$505,0)),IF(AND($I995="Công việc",OR($E995="Hoàn thành",$E995="Hoàn thành kỳ")),IF(INDEX('Kế hoạch'!$B$6:$B$305,$O995)="Đột xuất",INDEX('Kế hoạch'!$AY$6:$AY$305,$O995),IF(N($P995)=0,"",IF(INT($B995)&lt;$P995,$P995,IF($Q995&gt;0,$P995+ROUND((INT($B995)-$P995)/$Q995,0)*$Q995,IF($R995&gt;0,EDATE($P995,ROUND((DATEDIF($P995,INT($B995),"m")+(INT($B995)-EDATE($P995,DATEDIF($P995,INT($B995),"m")))/(EDATE($P995,DATEDIF($P995,INT($B995),"m")+1)-EDATE($P995,DATEDIF($P995,INT($B995),"m"))))/$R995,0)*$R995),$P995))))),"")))</f>
      </c>
      <c r="M995" s="223">
        <f>IF(OR($C995="",N($L995)=0,N($B995)=0),"",IF(IF(MOD($L995,1)=0,INT($B995),$B995)&lt;=$L995,"Đúng hạn","Trễ hạn"))</f>
      </c>
      <c r="N995" s="225">
        <f>IF($C995="","",ROW())</f>
      </c>
      <c r="O995" s="225">
        <f>IF($I995="Công việc",MATCH($C995,'Kế hoạch'!$A$6:$A$305,0),"")</f>
      </c>
      <c r="P995" s="234">
        <f>IF($O995="","",INDEX('Kế hoạch'!$I$6:$I$305,$O995))</f>
      </c>
      <c r="Q995" s="225">
        <f>IF($O995="","",INDEX('Kế hoạch'!$AJ$6:$AJ$305,$O995))</f>
      </c>
      <c r="R995" s="225">
        <f>IF($O995="","",INDEX('Kế hoạch'!$AK$6:$AK$305,$O995))</f>
      </c>
    </row>
    <row r="996">
      <c r="A996" s="223">
        <f>IF($C996="","",COUNTIF($C$6:$C996,"?*"))</f>
      </c>
      <c r="B996" s="217"/>
      <c r="C996" s="216"/>
      <c r="D996" s="240"/>
      <c r="E996" s="218"/>
      <c r="F996" s="218"/>
      <c r="G996" s="218"/>
      <c r="H996" s="219"/>
      <c r="I996" s="223">
        <f>IF($C996="","",IF(ISNUMBER(MATCH($C996,'Phản ánh'!$A$6:$A$505,0)),"Phản ánh",IF(ISNUMBER(MATCH($C996,'Kế hoạch'!$A$6:$A$305,0)),"Công việc","Mã chưa có")))</f>
      </c>
      <c r="J996" s="221">
        <f>IF($I996="Phản ánh",INDEX('Phản ánh'!$C$6:$C$505,MATCH($C996,'Phản ánh'!$A$6:$A$505,0)),IF($I996="Công việc",INDEX('Kế hoạch'!$C$6:$C$305,$O996),""))</f>
      </c>
      <c r="K996" s="221">
        <f>IF($I996="Phản ánh",INDEX('Phản ánh'!$K$6:$K$505,MATCH($C996,'Phản ánh'!$A$6:$A$505,0))&amp;"",IF($I996="Công việc",INDEX('Kế hoạch'!$N$6:$N$305,$O996)&amp;"",""))</f>
      </c>
      <c r="L996" s="220">
        <f>IF(OR($C996="",N($B996)=0),"",IF(AND($I996="Phản ánh",$E996="Đã xử lý"),INDEX('Phản ánh'!$U$6:$U$505,MATCH($C996,'Phản ánh'!$A$6:$A$505,0)),IF(AND($I996="Công việc",OR($E996="Hoàn thành",$E996="Hoàn thành kỳ")),IF(INDEX('Kế hoạch'!$B$6:$B$305,$O996)="Đột xuất",INDEX('Kế hoạch'!$AY$6:$AY$305,$O996),IF(N($P996)=0,"",IF(INT($B996)&lt;$P996,$P996,IF($Q996&gt;0,$P996+ROUND((INT($B996)-$P996)/$Q996,0)*$Q996,IF($R996&gt;0,EDATE($P996,ROUND((DATEDIF($P996,INT($B996),"m")+(INT($B996)-EDATE($P996,DATEDIF($P996,INT($B996),"m")))/(EDATE($P996,DATEDIF($P996,INT($B996),"m")+1)-EDATE($P996,DATEDIF($P996,INT($B996),"m"))))/$R996,0)*$R996),$P996))))),"")))</f>
      </c>
      <c r="M996" s="223">
        <f>IF(OR($C996="",N($L996)=0,N($B996)=0),"",IF(IF(MOD($L996,1)=0,INT($B996),$B996)&lt;=$L996,"Đúng hạn","Trễ hạn"))</f>
      </c>
      <c r="N996" s="225">
        <f>IF($C996="","",ROW())</f>
      </c>
      <c r="O996" s="225">
        <f>IF($I996="Công việc",MATCH($C996,'Kế hoạch'!$A$6:$A$305,0),"")</f>
      </c>
      <c r="P996" s="234">
        <f>IF($O996="","",INDEX('Kế hoạch'!$I$6:$I$305,$O996))</f>
      </c>
      <c r="Q996" s="225">
        <f>IF($O996="","",INDEX('Kế hoạch'!$AJ$6:$AJ$305,$O996))</f>
      </c>
      <c r="R996" s="225">
        <f>IF($O996="","",INDEX('Kế hoạch'!$AK$6:$AK$305,$O996))</f>
      </c>
    </row>
    <row r="997">
      <c r="A997" s="223">
        <f>IF($C997="","",COUNTIF($C$6:$C997,"?*"))</f>
      </c>
      <c r="B997" s="217"/>
      <c r="C997" s="216"/>
      <c r="D997" s="240"/>
      <c r="E997" s="218"/>
      <c r="F997" s="218"/>
      <c r="G997" s="218"/>
      <c r="H997" s="219"/>
      <c r="I997" s="223">
        <f>IF($C997="","",IF(ISNUMBER(MATCH($C997,'Phản ánh'!$A$6:$A$505,0)),"Phản ánh",IF(ISNUMBER(MATCH($C997,'Kế hoạch'!$A$6:$A$305,0)),"Công việc","Mã chưa có")))</f>
      </c>
      <c r="J997" s="221">
        <f>IF($I997="Phản ánh",INDEX('Phản ánh'!$C$6:$C$505,MATCH($C997,'Phản ánh'!$A$6:$A$505,0)),IF($I997="Công việc",INDEX('Kế hoạch'!$C$6:$C$305,$O997),""))</f>
      </c>
      <c r="K997" s="221">
        <f>IF($I997="Phản ánh",INDEX('Phản ánh'!$K$6:$K$505,MATCH($C997,'Phản ánh'!$A$6:$A$505,0))&amp;"",IF($I997="Công việc",INDEX('Kế hoạch'!$N$6:$N$305,$O997)&amp;"",""))</f>
      </c>
      <c r="L997" s="220">
        <f>IF(OR($C997="",N($B997)=0),"",IF(AND($I997="Phản ánh",$E997="Đã xử lý"),INDEX('Phản ánh'!$U$6:$U$505,MATCH($C997,'Phản ánh'!$A$6:$A$505,0)),IF(AND($I997="Công việc",OR($E997="Hoàn thành",$E997="Hoàn thành kỳ")),IF(INDEX('Kế hoạch'!$B$6:$B$305,$O997)="Đột xuất",INDEX('Kế hoạch'!$AY$6:$AY$305,$O997),IF(N($P997)=0,"",IF(INT($B997)&lt;$P997,$P997,IF($Q997&gt;0,$P997+ROUND((INT($B997)-$P997)/$Q997,0)*$Q997,IF($R997&gt;0,EDATE($P997,ROUND((DATEDIF($P997,INT($B997),"m")+(INT($B997)-EDATE($P997,DATEDIF($P997,INT($B997),"m")))/(EDATE($P997,DATEDIF($P997,INT($B997),"m")+1)-EDATE($P997,DATEDIF($P997,INT($B997),"m"))))/$R997,0)*$R997),$P997))))),"")))</f>
      </c>
      <c r="M997" s="223">
        <f>IF(OR($C997="",N($L997)=0,N($B997)=0),"",IF(IF(MOD($L997,1)=0,INT($B997),$B997)&lt;=$L997,"Đúng hạn","Trễ hạn"))</f>
      </c>
      <c r="N997" s="225">
        <f>IF($C997="","",ROW())</f>
      </c>
      <c r="O997" s="225">
        <f>IF($I997="Công việc",MATCH($C997,'Kế hoạch'!$A$6:$A$305,0),"")</f>
      </c>
      <c r="P997" s="234">
        <f>IF($O997="","",INDEX('Kế hoạch'!$I$6:$I$305,$O997))</f>
      </c>
      <c r="Q997" s="225">
        <f>IF($O997="","",INDEX('Kế hoạch'!$AJ$6:$AJ$305,$O997))</f>
      </c>
      <c r="R997" s="225">
        <f>IF($O997="","",INDEX('Kế hoạch'!$AK$6:$AK$305,$O997))</f>
      </c>
    </row>
    <row r="998">
      <c r="A998" s="223">
        <f>IF($C998="","",COUNTIF($C$6:$C998,"?*"))</f>
      </c>
      <c r="B998" s="217"/>
      <c r="C998" s="216"/>
      <c r="D998" s="240"/>
      <c r="E998" s="218"/>
      <c r="F998" s="218"/>
      <c r="G998" s="218"/>
      <c r="H998" s="219"/>
      <c r="I998" s="223">
        <f>IF($C998="","",IF(ISNUMBER(MATCH($C998,'Phản ánh'!$A$6:$A$505,0)),"Phản ánh",IF(ISNUMBER(MATCH($C998,'Kế hoạch'!$A$6:$A$305,0)),"Công việc","Mã chưa có")))</f>
      </c>
      <c r="J998" s="221">
        <f>IF($I998="Phản ánh",INDEX('Phản ánh'!$C$6:$C$505,MATCH($C998,'Phản ánh'!$A$6:$A$505,0)),IF($I998="Công việc",INDEX('Kế hoạch'!$C$6:$C$305,$O998),""))</f>
      </c>
      <c r="K998" s="221">
        <f>IF($I998="Phản ánh",INDEX('Phản ánh'!$K$6:$K$505,MATCH($C998,'Phản ánh'!$A$6:$A$505,0))&amp;"",IF($I998="Công việc",INDEX('Kế hoạch'!$N$6:$N$305,$O998)&amp;"",""))</f>
      </c>
      <c r="L998" s="220">
        <f>IF(OR($C998="",N($B998)=0),"",IF(AND($I998="Phản ánh",$E998="Đã xử lý"),INDEX('Phản ánh'!$U$6:$U$505,MATCH($C998,'Phản ánh'!$A$6:$A$505,0)),IF(AND($I998="Công việc",OR($E998="Hoàn thành",$E998="Hoàn thành kỳ")),IF(INDEX('Kế hoạch'!$B$6:$B$305,$O998)="Đột xuất",INDEX('Kế hoạch'!$AY$6:$AY$305,$O998),IF(N($P998)=0,"",IF(INT($B998)&lt;$P998,$P998,IF($Q998&gt;0,$P998+ROUND((INT($B998)-$P998)/$Q998,0)*$Q998,IF($R998&gt;0,EDATE($P998,ROUND((DATEDIF($P998,INT($B998),"m")+(INT($B998)-EDATE($P998,DATEDIF($P998,INT($B998),"m")))/(EDATE($P998,DATEDIF($P998,INT($B998),"m")+1)-EDATE($P998,DATEDIF($P998,INT($B998),"m"))))/$R998,0)*$R998),$P998))))),"")))</f>
      </c>
      <c r="M998" s="223">
        <f>IF(OR($C998="",N($L998)=0,N($B998)=0),"",IF(IF(MOD($L998,1)=0,INT($B998),$B998)&lt;=$L998,"Đúng hạn","Trễ hạn"))</f>
      </c>
      <c r="N998" s="225">
        <f>IF($C998="","",ROW())</f>
      </c>
      <c r="O998" s="225">
        <f>IF($I998="Công việc",MATCH($C998,'Kế hoạch'!$A$6:$A$305,0),"")</f>
      </c>
      <c r="P998" s="234">
        <f>IF($O998="","",INDEX('Kế hoạch'!$I$6:$I$305,$O998))</f>
      </c>
      <c r="Q998" s="225">
        <f>IF($O998="","",INDEX('Kế hoạch'!$AJ$6:$AJ$305,$O998))</f>
      </c>
      <c r="R998" s="225">
        <f>IF($O998="","",INDEX('Kế hoạch'!$AK$6:$AK$305,$O998))</f>
      </c>
    </row>
    <row r="999">
      <c r="A999" s="223">
        <f>IF($C999="","",COUNTIF($C$6:$C999,"?*"))</f>
      </c>
      <c r="B999" s="217"/>
      <c r="C999" s="216"/>
      <c r="D999" s="240"/>
      <c r="E999" s="218"/>
      <c r="F999" s="218"/>
      <c r="G999" s="218"/>
      <c r="H999" s="219"/>
      <c r="I999" s="223">
        <f>IF($C999="","",IF(ISNUMBER(MATCH($C999,'Phản ánh'!$A$6:$A$505,0)),"Phản ánh",IF(ISNUMBER(MATCH($C999,'Kế hoạch'!$A$6:$A$305,0)),"Công việc","Mã chưa có")))</f>
      </c>
      <c r="J999" s="221">
        <f>IF($I999="Phản ánh",INDEX('Phản ánh'!$C$6:$C$505,MATCH($C999,'Phản ánh'!$A$6:$A$505,0)),IF($I999="Công việc",INDEX('Kế hoạch'!$C$6:$C$305,$O999),""))</f>
      </c>
      <c r="K999" s="221">
        <f>IF($I999="Phản ánh",INDEX('Phản ánh'!$K$6:$K$505,MATCH($C999,'Phản ánh'!$A$6:$A$505,0))&amp;"",IF($I999="Công việc",INDEX('Kế hoạch'!$N$6:$N$305,$O999)&amp;"",""))</f>
      </c>
      <c r="L999" s="220">
        <f>IF(OR($C999="",N($B999)=0),"",IF(AND($I999="Phản ánh",$E999="Đã xử lý"),INDEX('Phản ánh'!$U$6:$U$505,MATCH($C999,'Phản ánh'!$A$6:$A$505,0)),IF(AND($I999="Công việc",OR($E999="Hoàn thành",$E999="Hoàn thành kỳ")),IF(INDEX('Kế hoạch'!$B$6:$B$305,$O999)="Đột xuất",INDEX('Kế hoạch'!$AY$6:$AY$305,$O999),IF(N($P999)=0,"",IF(INT($B999)&lt;$P999,$P999,IF($Q999&gt;0,$P999+ROUND((INT($B999)-$P999)/$Q999,0)*$Q999,IF($R999&gt;0,EDATE($P999,ROUND((DATEDIF($P999,INT($B999),"m")+(INT($B999)-EDATE($P999,DATEDIF($P999,INT($B999),"m")))/(EDATE($P999,DATEDIF($P999,INT($B999),"m")+1)-EDATE($P999,DATEDIF($P999,INT($B999),"m"))))/$R999,0)*$R999),$P999))))),"")))</f>
      </c>
      <c r="M999" s="223">
        <f>IF(OR($C999="",N($L999)=0,N($B999)=0),"",IF(IF(MOD($L999,1)=0,INT($B999),$B999)&lt;=$L999,"Đúng hạn","Trễ hạn"))</f>
      </c>
      <c r="N999" s="225">
        <f>IF($C999="","",ROW())</f>
      </c>
      <c r="O999" s="225">
        <f>IF($I999="Công việc",MATCH($C999,'Kế hoạch'!$A$6:$A$305,0),"")</f>
      </c>
      <c r="P999" s="234">
        <f>IF($O999="","",INDEX('Kế hoạch'!$I$6:$I$305,$O999))</f>
      </c>
      <c r="Q999" s="225">
        <f>IF($O999="","",INDEX('Kế hoạch'!$AJ$6:$AJ$305,$O999))</f>
      </c>
      <c r="R999" s="225">
        <f>IF($O999="","",INDEX('Kế hoạch'!$AK$6:$AK$305,$O999))</f>
      </c>
    </row>
    <row r="1000">
      <c r="A1000" s="223">
        <f>IF($C1000="","",COUNTIF($C$6:$C1000,"?*"))</f>
      </c>
      <c r="B1000" s="217"/>
      <c r="C1000" s="216"/>
      <c r="D1000" s="240"/>
      <c r="E1000" s="218"/>
      <c r="F1000" s="218"/>
      <c r="G1000" s="218"/>
      <c r="H1000" s="219"/>
      <c r="I1000" s="223">
        <f>IF($C1000="","",IF(ISNUMBER(MATCH($C1000,'Phản ánh'!$A$6:$A$505,0)),"Phản ánh",IF(ISNUMBER(MATCH($C1000,'Kế hoạch'!$A$6:$A$305,0)),"Công việc","Mã chưa có")))</f>
      </c>
      <c r="J1000" s="221">
        <f>IF($I1000="Phản ánh",INDEX('Phản ánh'!$C$6:$C$505,MATCH($C1000,'Phản ánh'!$A$6:$A$505,0)),IF($I1000="Công việc",INDEX('Kế hoạch'!$C$6:$C$305,$O1000),""))</f>
      </c>
      <c r="K1000" s="221">
        <f>IF($I1000="Phản ánh",INDEX('Phản ánh'!$K$6:$K$505,MATCH($C1000,'Phản ánh'!$A$6:$A$505,0))&amp;"",IF($I1000="Công việc",INDEX('Kế hoạch'!$N$6:$N$305,$O1000)&amp;"",""))</f>
      </c>
      <c r="L1000" s="220">
        <f>IF(OR($C1000="",N($B1000)=0),"",IF(AND($I1000="Phản ánh",$E1000="Đã xử lý"),INDEX('Phản ánh'!$U$6:$U$505,MATCH($C1000,'Phản ánh'!$A$6:$A$505,0)),IF(AND($I1000="Công việc",OR($E1000="Hoàn thành",$E1000="Hoàn thành kỳ")),IF(INDEX('Kế hoạch'!$B$6:$B$305,$O1000)="Đột xuất",INDEX('Kế hoạch'!$AY$6:$AY$305,$O1000),IF(N($P1000)=0,"",IF(INT($B1000)&lt;$P1000,$P1000,IF($Q1000&gt;0,$P1000+ROUND((INT($B1000)-$P1000)/$Q1000,0)*$Q1000,IF($R1000&gt;0,EDATE($P1000,ROUND((DATEDIF($P1000,INT($B1000),"m")+(INT($B1000)-EDATE($P1000,DATEDIF($P1000,INT($B1000),"m")))/(EDATE($P1000,DATEDIF($P1000,INT($B1000),"m")+1)-EDATE($P1000,DATEDIF($P1000,INT($B1000),"m"))))/$R1000,0)*$R1000),$P1000))))),"")))</f>
      </c>
      <c r="M1000" s="223">
        <f>IF(OR($C1000="",N($L1000)=0,N($B1000)=0),"",IF(IF(MOD($L1000,1)=0,INT($B1000),$B1000)&lt;=$L1000,"Đúng hạn","Trễ hạn"))</f>
      </c>
      <c r="N1000" s="225">
        <f>IF($C1000="","",ROW())</f>
      </c>
      <c r="O1000" s="225">
        <f>IF($I1000="Công việc",MATCH($C1000,'Kế hoạch'!$A$6:$A$305,0),"")</f>
      </c>
      <c r="P1000" s="234">
        <f>IF($O1000="","",INDEX('Kế hoạch'!$I$6:$I$305,$O1000))</f>
      </c>
      <c r="Q1000" s="225">
        <f>IF($O1000="","",INDEX('Kế hoạch'!$AJ$6:$AJ$305,$O1000))</f>
      </c>
      <c r="R1000" s="225">
        <f>IF($O1000="","",INDEX('Kế hoạch'!$AK$6:$AK$305,$O1000))</f>
      </c>
    </row>
    <row r="1001">
      <c r="A1001" s="223">
        <f>IF($C1001="","",COUNTIF($C$6:$C1001,"?*"))</f>
      </c>
      <c r="B1001" s="217"/>
      <c r="C1001" s="216"/>
      <c r="D1001" s="240"/>
      <c r="E1001" s="218"/>
      <c r="F1001" s="218"/>
      <c r="G1001" s="218"/>
      <c r="H1001" s="219"/>
      <c r="I1001" s="223">
        <f>IF($C1001="","",IF(ISNUMBER(MATCH($C1001,'Phản ánh'!$A$6:$A$505,0)),"Phản ánh",IF(ISNUMBER(MATCH($C1001,'Kế hoạch'!$A$6:$A$305,0)),"Công việc","Mã chưa có")))</f>
      </c>
      <c r="J1001" s="221">
        <f>IF($I1001="Phản ánh",INDEX('Phản ánh'!$C$6:$C$505,MATCH($C1001,'Phản ánh'!$A$6:$A$505,0)),IF($I1001="Công việc",INDEX('Kế hoạch'!$C$6:$C$305,$O1001),""))</f>
      </c>
      <c r="K1001" s="221">
        <f>IF($I1001="Phản ánh",INDEX('Phản ánh'!$K$6:$K$505,MATCH($C1001,'Phản ánh'!$A$6:$A$505,0))&amp;"",IF($I1001="Công việc",INDEX('Kế hoạch'!$N$6:$N$305,$O1001)&amp;"",""))</f>
      </c>
      <c r="L1001" s="220">
        <f>IF(OR($C1001="",N($B1001)=0),"",IF(AND($I1001="Phản ánh",$E1001="Đã xử lý"),INDEX('Phản ánh'!$U$6:$U$505,MATCH($C1001,'Phản ánh'!$A$6:$A$505,0)),IF(AND($I1001="Công việc",OR($E1001="Hoàn thành",$E1001="Hoàn thành kỳ")),IF(INDEX('Kế hoạch'!$B$6:$B$305,$O1001)="Đột xuất",INDEX('Kế hoạch'!$AY$6:$AY$305,$O1001),IF(N($P1001)=0,"",IF(INT($B1001)&lt;$P1001,$P1001,IF($Q1001&gt;0,$P1001+ROUND((INT($B1001)-$P1001)/$Q1001,0)*$Q1001,IF($R1001&gt;0,EDATE($P1001,ROUND((DATEDIF($P1001,INT($B1001),"m")+(INT($B1001)-EDATE($P1001,DATEDIF($P1001,INT($B1001),"m")))/(EDATE($P1001,DATEDIF($P1001,INT($B1001),"m")+1)-EDATE($P1001,DATEDIF($P1001,INT($B1001),"m"))))/$R1001,0)*$R1001),$P1001))))),"")))</f>
      </c>
      <c r="M1001" s="223">
        <f>IF(OR($C1001="",N($L1001)=0,N($B1001)=0),"",IF(IF(MOD($L1001,1)=0,INT($B1001),$B1001)&lt;=$L1001,"Đúng hạn","Trễ hạn"))</f>
      </c>
      <c r="N1001" s="225">
        <f>IF($C1001="","",ROW())</f>
      </c>
      <c r="O1001" s="225">
        <f>IF($I1001="Công việc",MATCH($C1001,'Kế hoạch'!$A$6:$A$305,0),"")</f>
      </c>
      <c r="P1001" s="234">
        <f>IF($O1001="","",INDEX('Kế hoạch'!$I$6:$I$305,$O1001))</f>
      </c>
      <c r="Q1001" s="225">
        <f>IF($O1001="","",INDEX('Kế hoạch'!$AJ$6:$AJ$305,$O1001))</f>
      </c>
      <c r="R1001" s="225">
        <f>IF($O1001="","",INDEX('Kế hoạch'!$AK$6:$AK$305,$O1001))</f>
      </c>
    </row>
    <row r="1002">
      <c r="A1002" s="223">
        <f>IF($C1002="","",COUNTIF($C$6:$C1002,"?*"))</f>
      </c>
      <c r="B1002" s="217"/>
      <c r="C1002" s="216"/>
      <c r="D1002" s="240"/>
      <c r="E1002" s="218"/>
      <c r="F1002" s="218"/>
      <c r="G1002" s="218"/>
      <c r="H1002" s="219"/>
      <c r="I1002" s="223">
        <f>IF($C1002="","",IF(ISNUMBER(MATCH($C1002,'Phản ánh'!$A$6:$A$505,0)),"Phản ánh",IF(ISNUMBER(MATCH($C1002,'Kế hoạch'!$A$6:$A$305,0)),"Công việc","Mã chưa có")))</f>
      </c>
      <c r="J1002" s="221">
        <f>IF($I1002="Phản ánh",INDEX('Phản ánh'!$C$6:$C$505,MATCH($C1002,'Phản ánh'!$A$6:$A$505,0)),IF($I1002="Công việc",INDEX('Kế hoạch'!$C$6:$C$305,$O1002),""))</f>
      </c>
      <c r="K1002" s="221">
        <f>IF($I1002="Phản ánh",INDEX('Phản ánh'!$K$6:$K$505,MATCH($C1002,'Phản ánh'!$A$6:$A$505,0))&amp;"",IF($I1002="Công việc",INDEX('Kế hoạch'!$N$6:$N$305,$O1002)&amp;"",""))</f>
      </c>
      <c r="L1002" s="220">
        <f>IF(OR($C1002="",N($B1002)=0),"",IF(AND($I1002="Phản ánh",$E1002="Đã xử lý"),INDEX('Phản ánh'!$U$6:$U$505,MATCH($C1002,'Phản ánh'!$A$6:$A$505,0)),IF(AND($I1002="Công việc",OR($E1002="Hoàn thành",$E1002="Hoàn thành kỳ")),IF(INDEX('Kế hoạch'!$B$6:$B$305,$O1002)="Đột xuất",INDEX('Kế hoạch'!$AY$6:$AY$305,$O1002),IF(N($P1002)=0,"",IF(INT($B1002)&lt;$P1002,$P1002,IF($Q1002&gt;0,$P1002+ROUND((INT($B1002)-$P1002)/$Q1002,0)*$Q1002,IF($R1002&gt;0,EDATE($P1002,ROUND((DATEDIF($P1002,INT($B1002),"m")+(INT($B1002)-EDATE($P1002,DATEDIF($P1002,INT($B1002),"m")))/(EDATE($P1002,DATEDIF($P1002,INT($B1002),"m")+1)-EDATE($P1002,DATEDIF($P1002,INT($B1002),"m"))))/$R1002,0)*$R1002),$P1002))))),"")))</f>
      </c>
      <c r="M1002" s="223">
        <f>IF(OR($C1002="",N($L1002)=0,N($B1002)=0),"",IF(IF(MOD($L1002,1)=0,INT($B1002),$B1002)&lt;=$L1002,"Đúng hạn","Trễ hạn"))</f>
      </c>
      <c r="N1002" s="225">
        <f>IF($C1002="","",ROW())</f>
      </c>
      <c r="O1002" s="225">
        <f>IF($I1002="Công việc",MATCH($C1002,'Kế hoạch'!$A$6:$A$305,0),"")</f>
      </c>
      <c r="P1002" s="234">
        <f>IF($O1002="","",INDEX('Kế hoạch'!$I$6:$I$305,$O1002))</f>
      </c>
      <c r="Q1002" s="225">
        <f>IF($O1002="","",INDEX('Kế hoạch'!$AJ$6:$AJ$305,$O1002))</f>
      </c>
      <c r="R1002" s="225">
        <f>IF($O1002="","",INDEX('Kế hoạch'!$AK$6:$AK$305,$O1002))</f>
      </c>
    </row>
    <row r="1003">
      <c r="A1003" s="223">
        <f>IF($C1003="","",COUNTIF($C$6:$C1003,"?*"))</f>
      </c>
      <c r="B1003" s="217"/>
      <c r="C1003" s="216"/>
      <c r="D1003" s="240"/>
      <c r="E1003" s="218"/>
      <c r="F1003" s="218"/>
      <c r="G1003" s="218"/>
      <c r="H1003" s="219"/>
      <c r="I1003" s="223">
        <f>IF($C1003="","",IF(ISNUMBER(MATCH($C1003,'Phản ánh'!$A$6:$A$505,0)),"Phản ánh",IF(ISNUMBER(MATCH($C1003,'Kế hoạch'!$A$6:$A$305,0)),"Công việc","Mã chưa có")))</f>
      </c>
      <c r="J1003" s="221">
        <f>IF($I1003="Phản ánh",INDEX('Phản ánh'!$C$6:$C$505,MATCH($C1003,'Phản ánh'!$A$6:$A$505,0)),IF($I1003="Công việc",INDEX('Kế hoạch'!$C$6:$C$305,$O1003),""))</f>
      </c>
      <c r="K1003" s="221">
        <f>IF($I1003="Phản ánh",INDEX('Phản ánh'!$K$6:$K$505,MATCH($C1003,'Phản ánh'!$A$6:$A$505,0))&amp;"",IF($I1003="Công việc",INDEX('Kế hoạch'!$N$6:$N$305,$O1003)&amp;"",""))</f>
      </c>
      <c r="L1003" s="220">
        <f>IF(OR($C1003="",N($B1003)=0),"",IF(AND($I1003="Phản ánh",$E1003="Đã xử lý"),INDEX('Phản ánh'!$U$6:$U$505,MATCH($C1003,'Phản ánh'!$A$6:$A$505,0)),IF(AND($I1003="Công việc",OR($E1003="Hoàn thành",$E1003="Hoàn thành kỳ")),IF(INDEX('Kế hoạch'!$B$6:$B$305,$O1003)="Đột xuất",INDEX('Kế hoạch'!$AY$6:$AY$305,$O1003),IF(N($P1003)=0,"",IF(INT($B1003)&lt;$P1003,$P1003,IF($Q1003&gt;0,$P1003+ROUND((INT($B1003)-$P1003)/$Q1003,0)*$Q1003,IF($R1003&gt;0,EDATE($P1003,ROUND((DATEDIF($P1003,INT($B1003),"m")+(INT($B1003)-EDATE($P1003,DATEDIF($P1003,INT($B1003),"m")))/(EDATE($P1003,DATEDIF($P1003,INT($B1003),"m")+1)-EDATE($P1003,DATEDIF($P1003,INT($B1003),"m"))))/$R1003,0)*$R1003),$P1003))))),"")))</f>
      </c>
      <c r="M1003" s="223">
        <f>IF(OR($C1003="",N($L1003)=0,N($B1003)=0),"",IF(IF(MOD($L1003,1)=0,INT($B1003),$B1003)&lt;=$L1003,"Đúng hạn","Trễ hạn"))</f>
      </c>
      <c r="N1003" s="225">
        <f>IF($C1003="","",ROW())</f>
      </c>
      <c r="O1003" s="225">
        <f>IF($I1003="Công việc",MATCH($C1003,'Kế hoạch'!$A$6:$A$305,0),"")</f>
      </c>
      <c r="P1003" s="234">
        <f>IF($O1003="","",INDEX('Kế hoạch'!$I$6:$I$305,$O1003))</f>
      </c>
      <c r="Q1003" s="225">
        <f>IF($O1003="","",INDEX('Kế hoạch'!$AJ$6:$AJ$305,$O1003))</f>
      </c>
      <c r="R1003" s="225">
        <f>IF($O1003="","",INDEX('Kế hoạch'!$AK$6:$AK$305,$O1003))</f>
      </c>
    </row>
    <row r="1004">
      <c r="A1004" s="223">
        <f>IF($C1004="","",COUNTIF($C$6:$C1004,"?*"))</f>
      </c>
      <c r="B1004" s="217"/>
      <c r="C1004" s="216"/>
      <c r="D1004" s="240"/>
      <c r="E1004" s="218"/>
      <c r="F1004" s="218"/>
      <c r="G1004" s="218"/>
      <c r="H1004" s="219"/>
      <c r="I1004" s="223">
        <f>IF($C1004="","",IF(ISNUMBER(MATCH($C1004,'Phản ánh'!$A$6:$A$505,0)),"Phản ánh",IF(ISNUMBER(MATCH($C1004,'Kế hoạch'!$A$6:$A$305,0)),"Công việc","Mã chưa có")))</f>
      </c>
      <c r="J1004" s="221">
        <f>IF($I1004="Phản ánh",INDEX('Phản ánh'!$C$6:$C$505,MATCH($C1004,'Phản ánh'!$A$6:$A$505,0)),IF($I1004="Công việc",INDEX('Kế hoạch'!$C$6:$C$305,$O1004),""))</f>
      </c>
      <c r="K1004" s="221">
        <f>IF($I1004="Phản ánh",INDEX('Phản ánh'!$K$6:$K$505,MATCH($C1004,'Phản ánh'!$A$6:$A$505,0))&amp;"",IF($I1004="Công việc",INDEX('Kế hoạch'!$N$6:$N$305,$O1004)&amp;"",""))</f>
      </c>
      <c r="L1004" s="220">
        <f>IF(OR($C1004="",N($B1004)=0),"",IF(AND($I1004="Phản ánh",$E1004="Đã xử lý"),INDEX('Phản ánh'!$U$6:$U$505,MATCH($C1004,'Phản ánh'!$A$6:$A$505,0)),IF(AND($I1004="Công việc",OR($E1004="Hoàn thành",$E1004="Hoàn thành kỳ")),IF(INDEX('Kế hoạch'!$B$6:$B$305,$O1004)="Đột xuất",INDEX('Kế hoạch'!$AY$6:$AY$305,$O1004),IF(N($P1004)=0,"",IF(INT($B1004)&lt;$P1004,$P1004,IF($Q1004&gt;0,$P1004+ROUND((INT($B1004)-$P1004)/$Q1004,0)*$Q1004,IF($R1004&gt;0,EDATE($P1004,ROUND((DATEDIF($P1004,INT($B1004),"m")+(INT($B1004)-EDATE($P1004,DATEDIF($P1004,INT($B1004),"m")))/(EDATE($P1004,DATEDIF($P1004,INT($B1004),"m")+1)-EDATE($P1004,DATEDIF($P1004,INT($B1004),"m"))))/$R1004,0)*$R1004),$P1004))))),"")))</f>
      </c>
      <c r="M1004" s="223">
        <f>IF(OR($C1004="",N($L1004)=0,N($B1004)=0),"",IF(IF(MOD($L1004,1)=0,INT($B1004),$B1004)&lt;=$L1004,"Đúng hạn","Trễ hạn"))</f>
      </c>
      <c r="N1004" s="225">
        <f>IF($C1004="","",ROW())</f>
      </c>
      <c r="O1004" s="225">
        <f>IF($I1004="Công việc",MATCH($C1004,'Kế hoạch'!$A$6:$A$305,0),"")</f>
      </c>
      <c r="P1004" s="234">
        <f>IF($O1004="","",INDEX('Kế hoạch'!$I$6:$I$305,$O1004))</f>
      </c>
      <c r="Q1004" s="225">
        <f>IF($O1004="","",INDEX('Kế hoạch'!$AJ$6:$AJ$305,$O1004))</f>
      </c>
      <c r="R1004" s="225">
        <f>IF($O1004="","",INDEX('Kế hoạch'!$AK$6:$AK$305,$O1004))</f>
      </c>
    </row>
    <row r="1005">
      <c r="A1005" s="223">
        <f>IF($C1005="","",COUNTIF($C$6:$C1005,"?*"))</f>
      </c>
      <c r="B1005" s="217"/>
      <c r="C1005" s="216"/>
      <c r="D1005" s="240"/>
      <c r="E1005" s="218"/>
      <c r="F1005" s="218"/>
      <c r="G1005" s="218"/>
      <c r="H1005" s="219"/>
      <c r="I1005" s="223">
        <f>IF($C1005="","",IF(ISNUMBER(MATCH($C1005,'Phản ánh'!$A$6:$A$505,0)),"Phản ánh",IF(ISNUMBER(MATCH($C1005,'Kế hoạch'!$A$6:$A$305,0)),"Công việc","Mã chưa có")))</f>
      </c>
      <c r="J1005" s="221">
        <f>IF($I1005="Phản ánh",INDEX('Phản ánh'!$C$6:$C$505,MATCH($C1005,'Phản ánh'!$A$6:$A$505,0)),IF($I1005="Công việc",INDEX('Kế hoạch'!$C$6:$C$305,$O1005),""))</f>
      </c>
      <c r="K1005" s="221">
        <f>IF($I1005="Phản ánh",INDEX('Phản ánh'!$K$6:$K$505,MATCH($C1005,'Phản ánh'!$A$6:$A$505,0))&amp;"",IF($I1005="Công việc",INDEX('Kế hoạch'!$N$6:$N$305,$O1005)&amp;"",""))</f>
      </c>
      <c r="L1005" s="220">
        <f>IF(OR($C1005="",N($B1005)=0),"",IF(AND($I1005="Phản ánh",$E1005="Đã xử lý"),INDEX('Phản ánh'!$U$6:$U$505,MATCH($C1005,'Phản ánh'!$A$6:$A$505,0)),IF(AND($I1005="Công việc",OR($E1005="Hoàn thành",$E1005="Hoàn thành kỳ")),IF(INDEX('Kế hoạch'!$B$6:$B$305,$O1005)="Đột xuất",INDEX('Kế hoạch'!$AY$6:$AY$305,$O1005),IF(N($P1005)=0,"",IF(INT($B1005)&lt;$P1005,$P1005,IF($Q1005&gt;0,$P1005+ROUND((INT($B1005)-$P1005)/$Q1005,0)*$Q1005,IF($R1005&gt;0,EDATE($P1005,ROUND((DATEDIF($P1005,INT($B1005),"m")+(INT($B1005)-EDATE($P1005,DATEDIF($P1005,INT($B1005),"m")))/(EDATE($P1005,DATEDIF($P1005,INT($B1005),"m")+1)-EDATE($P1005,DATEDIF($P1005,INT($B1005),"m"))))/$R1005,0)*$R1005),$P1005))))),"")))</f>
      </c>
      <c r="M1005" s="223">
        <f>IF(OR($C1005="",N($L1005)=0,N($B1005)=0),"",IF(IF(MOD($L1005,1)=0,INT($B1005),$B1005)&lt;=$L1005,"Đúng hạn","Trễ hạn"))</f>
      </c>
      <c r="N1005" s="225">
        <f>IF($C1005="","",ROW())</f>
      </c>
      <c r="O1005" s="225">
        <f>IF($I1005="Công việc",MATCH($C1005,'Kế hoạch'!$A$6:$A$305,0),"")</f>
      </c>
      <c r="P1005" s="234">
        <f>IF($O1005="","",INDEX('Kế hoạch'!$I$6:$I$305,$O1005))</f>
      </c>
      <c r="Q1005" s="225">
        <f>IF($O1005="","",INDEX('Kế hoạch'!$AJ$6:$AJ$305,$O1005))</f>
      </c>
      <c r="R1005" s="225">
        <f>IF($O1005="","",INDEX('Kế hoạch'!$AK$6:$AK$305,$O1005))</f>
      </c>
    </row>
    <row r="1006">
      <c r="A1006" s="223">
        <f>IF($C1006="","",COUNTIF($C$6:$C1006,"?*"))</f>
      </c>
      <c r="B1006" s="217"/>
      <c r="C1006" s="216"/>
      <c r="D1006" s="240"/>
      <c r="E1006" s="218"/>
      <c r="F1006" s="218"/>
      <c r="G1006" s="218"/>
      <c r="H1006" s="219"/>
      <c r="I1006" s="223">
        <f>IF($C1006="","",IF(ISNUMBER(MATCH($C1006,'Phản ánh'!$A$6:$A$505,0)),"Phản ánh",IF(ISNUMBER(MATCH($C1006,'Kế hoạch'!$A$6:$A$305,0)),"Công việc","Mã chưa có")))</f>
      </c>
      <c r="J1006" s="221">
        <f>IF($I1006="Phản ánh",INDEX('Phản ánh'!$C$6:$C$505,MATCH($C1006,'Phản ánh'!$A$6:$A$505,0)),IF($I1006="Công việc",INDEX('Kế hoạch'!$C$6:$C$305,$O1006),""))</f>
      </c>
      <c r="K1006" s="221">
        <f>IF($I1006="Phản ánh",INDEX('Phản ánh'!$K$6:$K$505,MATCH($C1006,'Phản ánh'!$A$6:$A$505,0))&amp;"",IF($I1006="Công việc",INDEX('Kế hoạch'!$N$6:$N$305,$O1006)&amp;"",""))</f>
      </c>
      <c r="L1006" s="220">
        <f>IF(OR($C1006="",N($B1006)=0),"",IF(AND($I1006="Phản ánh",$E1006="Đã xử lý"),INDEX('Phản ánh'!$U$6:$U$505,MATCH($C1006,'Phản ánh'!$A$6:$A$505,0)),IF(AND($I1006="Công việc",OR($E1006="Hoàn thành",$E1006="Hoàn thành kỳ")),IF(INDEX('Kế hoạch'!$B$6:$B$305,$O1006)="Đột xuất",INDEX('Kế hoạch'!$AY$6:$AY$305,$O1006),IF(N($P1006)=0,"",IF(INT($B1006)&lt;$P1006,$P1006,IF($Q1006&gt;0,$P1006+ROUND((INT($B1006)-$P1006)/$Q1006,0)*$Q1006,IF($R1006&gt;0,EDATE($P1006,ROUND((DATEDIF($P1006,INT($B1006),"m")+(INT($B1006)-EDATE($P1006,DATEDIF($P1006,INT($B1006),"m")))/(EDATE($P1006,DATEDIF($P1006,INT($B1006),"m")+1)-EDATE($P1006,DATEDIF($P1006,INT($B1006),"m"))))/$R1006,0)*$R1006),$P1006))))),"")))</f>
      </c>
      <c r="M1006" s="223">
        <f>IF(OR($C1006="",N($L1006)=0,N($B1006)=0),"",IF(IF(MOD($L1006,1)=0,INT($B1006),$B1006)&lt;=$L1006,"Đúng hạn","Trễ hạn"))</f>
      </c>
      <c r="N1006" s="225">
        <f>IF($C1006="","",ROW())</f>
      </c>
      <c r="O1006" s="225">
        <f>IF($I1006="Công việc",MATCH($C1006,'Kế hoạch'!$A$6:$A$305,0),"")</f>
      </c>
      <c r="P1006" s="234">
        <f>IF($O1006="","",INDEX('Kế hoạch'!$I$6:$I$305,$O1006))</f>
      </c>
      <c r="Q1006" s="225">
        <f>IF($O1006="","",INDEX('Kế hoạch'!$AJ$6:$AJ$305,$O1006))</f>
      </c>
      <c r="R1006" s="225">
        <f>IF($O1006="","",INDEX('Kế hoạch'!$AK$6:$AK$305,$O1006))</f>
      </c>
    </row>
    <row r="1007">
      <c r="A1007" s="223">
        <f>IF($C1007="","",COUNTIF($C$6:$C1007,"?*"))</f>
      </c>
      <c r="B1007" s="217"/>
      <c r="C1007" s="216"/>
      <c r="D1007" s="240"/>
      <c r="E1007" s="218"/>
      <c r="F1007" s="218"/>
      <c r="G1007" s="218"/>
      <c r="H1007" s="219"/>
      <c r="I1007" s="223">
        <f>IF($C1007="","",IF(ISNUMBER(MATCH($C1007,'Phản ánh'!$A$6:$A$505,0)),"Phản ánh",IF(ISNUMBER(MATCH($C1007,'Kế hoạch'!$A$6:$A$305,0)),"Công việc","Mã chưa có")))</f>
      </c>
      <c r="J1007" s="221">
        <f>IF($I1007="Phản ánh",INDEX('Phản ánh'!$C$6:$C$505,MATCH($C1007,'Phản ánh'!$A$6:$A$505,0)),IF($I1007="Công việc",INDEX('Kế hoạch'!$C$6:$C$305,$O1007),""))</f>
      </c>
      <c r="K1007" s="221">
        <f>IF($I1007="Phản ánh",INDEX('Phản ánh'!$K$6:$K$505,MATCH($C1007,'Phản ánh'!$A$6:$A$505,0))&amp;"",IF($I1007="Công việc",INDEX('Kế hoạch'!$N$6:$N$305,$O1007)&amp;"",""))</f>
      </c>
      <c r="L1007" s="220">
        <f>IF(OR($C1007="",N($B1007)=0),"",IF(AND($I1007="Phản ánh",$E1007="Đã xử lý"),INDEX('Phản ánh'!$U$6:$U$505,MATCH($C1007,'Phản ánh'!$A$6:$A$505,0)),IF(AND($I1007="Công việc",OR($E1007="Hoàn thành",$E1007="Hoàn thành kỳ")),IF(INDEX('Kế hoạch'!$B$6:$B$305,$O1007)="Đột xuất",INDEX('Kế hoạch'!$AY$6:$AY$305,$O1007),IF(N($P1007)=0,"",IF(INT($B1007)&lt;$P1007,$P1007,IF($Q1007&gt;0,$P1007+ROUND((INT($B1007)-$P1007)/$Q1007,0)*$Q1007,IF($R1007&gt;0,EDATE($P1007,ROUND((DATEDIF($P1007,INT($B1007),"m")+(INT($B1007)-EDATE($P1007,DATEDIF($P1007,INT($B1007),"m")))/(EDATE($P1007,DATEDIF($P1007,INT($B1007),"m")+1)-EDATE($P1007,DATEDIF($P1007,INT($B1007),"m"))))/$R1007,0)*$R1007),$P1007))))),"")))</f>
      </c>
      <c r="M1007" s="223">
        <f>IF(OR($C1007="",N($L1007)=0,N($B1007)=0),"",IF(IF(MOD($L1007,1)=0,INT($B1007),$B1007)&lt;=$L1007,"Đúng hạn","Trễ hạn"))</f>
      </c>
      <c r="N1007" s="225">
        <f>IF($C1007="","",ROW())</f>
      </c>
      <c r="O1007" s="225">
        <f>IF($I1007="Công việc",MATCH($C1007,'Kế hoạch'!$A$6:$A$305,0),"")</f>
      </c>
      <c r="P1007" s="234">
        <f>IF($O1007="","",INDEX('Kế hoạch'!$I$6:$I$305,$O1007))</f>
      </c>
      <c r="Q1007" s="225">
        <f>IF($O1007="","",INDEX('Kế hoạch'!$AJ$6:$AJ$305,$O1007))</f>
      </c>
      <c r="R1007" s="225">
        <f>IF($O1007="","",INDEX('Kế hoạch'!$AK$6:$AK$305,$O1007))</f>
      </c>
    </row>
    <row r="1008">
      <c r="A1008" s="223">
        <f>IF($C1008="","",COUNTIF($C$6:$C1008,"?*"))</f>
      </c>
      <c r="B1008" s="217"/>
      <c r="C1008" s="216"/>
      <c r="D1008" s="240"/>
      <c r="E1008" s="218"/>
      <c r="F1008" s="218"/>
      <c r="G1008" s="218"/>
      <c r="H1008" s="219"/>
      <c r="I1008" s="223">
        <f>IF($C1008="","",IF(ISNUMBER(MATCH($C1008,'Phản ánh'!$A$6:$A$505,0)),"Phản ánh",IF(ISNUMBER(MATCH($C1008,'Kế hoạch'!$A$6:$A$305,0)),"Công việc","Mã chưa có")))</f>
      </c>
      <c r="J1008" s="221">
        <f>IF($I1008="Phản ánh",INDEX('Phản ánh'!$C$6:$C$505,MATCH($C1008,'Phản ánh'!$A$6:$A$505,0)),IF($I1008="Công việc",INDEX('Kế hoạch'!$C$6:$C$305,$O1008),""))</f>
      </c>
      <c r="K1008" s="221">
        <f>IF($I1008="Phản ánh",INDEX('Phản ánh'!$K$6:$K$505,MATCH($C1008,'Phản ánh'!$A$6:$A$505,0))&amp;"",IF($I1008="Công việc",INDEX('Kế hoạch'!$N$6:$N$305,$O1008)&amp;"",""))</f>
      </c>
      <c r="L1008" s="220">
        <f>IF(OR($C1008="",N($B1008)=0),"",IF(AND($I1008="Phản ánh",$E1008="Đã xử lý"),INDEX('Phản ánh'!$U$6:$U$505,MATCH($C1008,'Phản ánh'!$A$6:$A$505,0)),IF(AND($I1008="Công việc",OR($E1008="Hoàn thành",$E1008="Hoàn thành kỳ")),IF(INDEX('Kế hoạch'!$B$6:$B$305,$O1008)="Đột xuất",INDEX('Kế hoạch'!$AY$6:$AY$305,$O1008),IF(N($P1008)=0,"",IF(INT($B1008)&lt;$P1008,$P1008,IF($Q1008&gt;0,$P1008+ROUND((INT($B1008)-$P1008)/$Q1008,0)*$Q1008,IF($R1008&gt;0,EDATE($P1008,ROUND((DATEDIF($P1008,INT($B1008),"m")+(INT($B1008)-EDATE($P1008,DATEDIF($P1008,INT($B1008),"m")))/(EDATE($P1008,DATEDIF($P1008,INT($B1008),"m")+1)-EDATE($P1008,DATEDIF($P1008,INT($B1008),"m"))))/$R1008,0)*$R1008),$P1008))))),"")))</f>
      </c>
      <c r="M1008" s="223">
        <f>IF(OR($C1008="",N($L1008)=0,N($B1008)=0),"",IF(IF(MOD($L1008,1)=0,INT($B1008),$B1008)&lt;=$L1008,"Đúng hạn","Trễ hạn"))</f>
      </c>
      <c r="N1008" s="225">
        <f>IF($C1008="","",ROW())</f>
      </c>
      <c r="O1008" s="225">
        <f>IF($I1008="Công việc",MATCH($C1008,'Kế hoạch'!$A$6:$A$305,0),"")</f>
      </c>
      <c r="P1008" s="234">
        <f>IF($O1008="","",INDEX('Kế hoạch'!$I$6:$I$305,$O1008))</f>
      </c>
      <c r="Q1008" s="225">
        <f>IF($O1008="","",INDEX('Kế hoạch'!$AJ$6:$AJ$305,$O1008))</f>
      </c>
      <c r="R1008" s="225">
        <f>IF($O1008="","",INDEX('Kế hoạch'!$AK$6:$AK$305,$O1008))</f>
      </c>
    </row>
    <row r="1009">
      <c r="A1009" s="223">
        <f>IF($C1009="","",COUNTIF($C$6:$C1009,"?*"))</f>
      </c>
      <c r="B1009" s="217"/>
      <c r="C1009" s="216"/>
      <c r="D1009" s="240"/>
      <c r="E1009" s="218"/>
      <c r="F1009" s="218"/>
      <c r="G1009" s="218"/>
      <c r="H1009" s="219"/>
      <c r="I1009" s="223">
        <f>IF($C1009="","",IF(ISNUMBER(MATCH($C1009,'Phản ánh'!$A$6:$A$505,0)),"Phản ánh",IF(ISNUMBER(MATCH($C1009,'Kế hoạch'!$A$6:$A$305,0)),"Công việc","Mã chưa có")))</f>
      </c>
      <c r="J1009" s="221">
        <f>IF($I1009="Phản ánh",INDEX('Phản ánh'!$C$6:$C$505,MATCH($C1009,'Phản ánh'!$A$6:$A$505,0)),IF($I1009="Công việc",INDEX('Kế hoạch'!$C$6:$C$305,$O1009),""))</f>
      </c>
      <c r="K1009" s="221">
        <f>IF($I1009="Phản ánh",INDEX('Phản ánh'!$K$6:$K$505,MATCH($C1009,'Phản ánh'!$A$6:$A$505,0))&amp;"",IF($I1009="Công việc",INDEX('Kế hoạch'!$N$6:$N$305,$O1009)&amp;"",""))</f>
      </c>
      <c r="L1009" s="220">
        <f>IF(OR($C1009="",N($B1009)=0),"",IF(AND($I1009="Phản ánh",$E1009="Đã xử lý"),INDEX('Phản ánh'!$U$6:$U$505,MATCH($C1009,'Phản ánh'!$A$6:$A$505,0)),IF(AND($I1009="Công việc",OR($E1009="Hoàn thành",$E1009="Hoàn thành kỳ")),IF(INDEX('Kế hoạch'!$B$6:$B$305,$O1009)="Đột xuất",INDEX('Kế hoạch'!$AY$6:$AY$305,$O1009),IF(N($P1009)=0,"",IF(INT($B1009)&lt;$P1009,$P1009,IF($Q1009&gt;0,$P1009+ROUND((INT($B1009)-$P1009)/$Q1009,0)*$Q1009,IF($R1009&gt;0,EDATE($P1009,ROUND((DATEDIF($P1009,INT($B1009),"m")+(INT($B1009)-EDATE($P1009,DATEDIF($P1009,INT($B1009),"m")))/(EDATE($P1009,DATEDIF($P1009,INT($B1009),"m")+1)-EDATE($P1009,DATEDIF($P1009,INT($B1009),"m"))))/$R1009,0)*$R1009),$P1009))))),"")))</f>
      </c>
      <c r="M1009" s="223">
        <f>IF(OR($C1009="",N($L1009)=0,N($B1009)=0),"",IF(IF(MOD($L1009,1)=0,INT($B1009),$B1009)&lt;=$L1009,"Đúng hạn","Trễ hạn"))</f>
      </c>
      <c r="N1009" s="225">
        <f>IF($C1009="","",ROW())</f>
      </c>
      <c r="O1009" s="225">
        <f>IF($I1009="Công việc",MATCH($C1009,'Kế hoạch'!$A$6:$A$305,0),"")</f>
      </c>
      <c r="P1009" s="234">
        <f>IF($O1009="","",INDEX('Kế hoạch'!$I$6:$I$305,$O1009))</f>
      </c>
      <c r="Q1009" s="225">
        <f>IF($O1009="","",INDEX('Kế hoạch'!$AJ$6:$AJ$305,$O1009))</f>
      </c>
      <c r="R1009" s="225">
        <f>IF($O1009="","",INDEX('Kế hoạch'!$AK$6:$AK$305,$O1009))</f>
      </c>
    </row>
    <row r="1010">
      <c r="A1010" s="223">
        <f>IF($C1010="","",COUNTIF($C$6:$C1010,"?*"))</f>
      </c>
      <c r="B1010" s="217"/>
      <c r="C1010" s="216"/>
      <c r="D1010" s="240"/>
      <c r="E1010" s="218"/>
      <c r="F1010" s="218"/>
      <c r="G1010" s="218"/>
      <c r="H1010" s="219"/>
      <c r="I1010" s="223">
        <f>IF($C1010="","",IF(ISNUMBER(MATCH($C1010,'Phản ánh'!$A$6:$A$505,0)),"Phản ánh",IF(ISNUMBER(MATCH($C1010,'Kế hoạch'!$A$6:$A$305,0)),"Công việc","Mã chưa có")))</f>
      </c>
      <c r="J1010" s="221">
        <f>IF($I1010="Phản ánh",INDEX('Phản ánh'!$C$6:$C$505,MATCH($C1010,'Phản ánh'!$A$6:$A$505,0)),IF($I1010="Công việc",INDEX('Kế hoạch'!$C$6:$C$305,$O1010),""))</f>
      </c>
      <c r="K1010" s="221">
        <f>IF($I1010="Phản ánh",INDEX('Phản ánh'!$K$6:$K$505,MATCH($C1010,'Phản ánh'!$A$6:$A$505,0))&amp;"",IF($I1010="Công việc",INDEX('Kế hoạch'!$N$6:$N$305,$O1010)&amp;"",""))</f>
      </c>
      <c r="L1010" s="220">
        <f>IF(OR($C1010="",N($B1010)=0),"",IF(AND($I1010="Phản ánh",$E1010="Đã xử lý"),INDEX('Phản ánh'!$U$6:$U$505,MATCH($C1010,'Phản ánh'!$A$6:$A$505,0)),IF(AND($I1010="Công việc",OR($E1010="Hoàn thành",$E1010="Hoàn thành kỳ")),IF(INDEX('Kế hoạch'!$B$6:$B$305,$O1010)="Đột xuất",INDEX('Kế hoạch'!$AY$6:$AY$305,$O1010),IF(N($P1010)=0,"",IF(INT($B1010)&lt;$P1010,$P1010,IF($Q1010&gt;0,$P1010+ROUND((INT($B1010)-$P1010)/$Q1010,0)*$Q1010,IF($R1010&gt;0,EDATE($P1010,ROUND((DATEDIF($P1010,INT($B1010),"m")+(INT($B1010)-EDATE($P1010,DATEDIF($P1010,INT($B1010),"m")))/(EDATE($P1010,DATEDIF($P1010,INT($B1010),"m")+1)-EDATE($P1010,DATEDIF($P1010,INT($B1010),"m"))))/$R1010,0)*$R1010),$P1010))))),"")))</f>
      </c>
      <c r="M1010" s="223">
        <f>IF(OR($C1010="",N($L1010)=0,N($B1010)=0),"",IF(IF(MOD($L1010,1)=0,INT($B1010),$B1010)&lt;=$L1010,"Đúng hạn","Trễ hạn"))</f>
      </c>
      <c r="N1010" s="225">
        <f>IF($C1010="","",ROW())</f>
      </c>
      <c r="O1010" s="225">
        <f>IF($I1010="Công việc",MATCH($C1010,'Kế hoạch'!$A$6:$A$305,0),"")</f>
      </c>
      <c r="P1010" s="234">
        <f>IF($O1010="","",INDEX('Kế hoạch'!$I$6:$I$305,$O1010))</f>
      </c>
      <c r="Q1010" s="225">
        <f>IF($O1010="","",INDEX('Kế hoạch'!$AJ$6:$AJ$305,$O1010))</f>
      </c>
      <c r="R1010" s="225">
        <f>IF($O1010="","",INDEX('Kế hoạch'!$AK$6:$AK$305,$O1010))</f>
      </c>
    </row>
    <row r="1011">
      <c r="A1011" s="223">
        <f>IF($C1011="","",COUNTIF($C$6:$C1011,"?*"))</f>
      </c>
      <c r="B1011" s="217"/>
      <c r="C1011" s="216"/>
      <c r="D1011" s="240"/>
      <c r="E1011" s="218"/>
      <c r="F1011" s="218"/>
      <c r="G1011" s="218"/>
      <c r="H1011" s="219"/>
      <c r="I1011" s="223">
        <f>IF($C1011="","",IF(ISNUMBER(MATCH($C1011,'Phản ánh'!$A$6:$A$505,0)),"Phản ánh",IF(ISNUMBER(MATCH($C1011,'Kế hoạch'!$A$6:$A$305,0)),"Công việc","Mã chưa có")))</f>
      </c>
      <c r="J1011" s="221">
        <f>IF($I1011="Phản ánh",INDEX('Phản ánh'!$C$6:$C$505,MATCH($C1011,'Phản ánh'!$A$6:$A$505,0)),IF($I1011="Công việc",INDEX('Kế hoạch'!$C$6:$C$305,$O1011),""))</f>
      </c>
      <c r="K1011" s="221">
        <f>IF($I1011="Phản ánh",INDEX('Phản ánh'!$K$6:$K$505,MATCH($C1011,'Phản ánh'!$A$6:$A$505,0))&amp;"",IF($I1011="Công việc",INDEX('Kế hoạch'!$N$6:$N$305,$O1011)&amp;"",""))</f>
      </c>
      <c r="L1011" s="220">
        <f>IF(OR($C1011="",N($B1011)=0),"",IF(AND($I1011="Phản ánh",$E1011="Đã xử lý"),INDEX('Phản ánh'!$U$6:$U$505,MATCH($C1011,'Phản ánh'!$A$6:$A$505,0)),IF(AND($I1011="Công việc",OR($E1011="Hoàn thành",$E1011="Hoàn thành kỳ")),IF(INDEX('Kế hoạch'!$B$6:$B$305,$O1011)="Đột xuất",INDEX('Kế hoạch'!$AY$6:$AY$305,$O1011),IF(N($P1011)=0,"",IF(INT($B1011)&lt;$P1011,$P1011,IF($Q1011&gt;0,$P1011+ROUND((INT($B1011)-$P1011)/$Q1011,0)*$Q1011,IF($R1011&gt;0,EDATE($P1011,ROUND((DATEDIF($P1011,INT($B1011),"m")+(INT($B1011)-EDATE($P1011,DATEDIF($P1011,INT($B1011),"m")))/(EDATE($P1011,DATEDIF($P1011,INT($B1011),"m")+1)-EDATE($P1011,DATEDIF($P1011,INT($B1011),"m"))))/$R1011,0)*$R1011),$P1011))))),"")))</f>
      </c>
      <c r="M1011" s="223">
        <f>IF(OR($C1011="",N($L1011)=0,N($B1011)=0),"",IF(IF(MOD($L1011,1)=0,INT($B1011),$B1011)&lt;=$L1011,"Đúng hạn","Trễ hạn"))</f>
      </c>
      <c r="N1011" s="225">
        <f>IF($C1011="","",ROW())</f>
      </c>
      <c r="O1011" s="225">
        <f>IF($I1011="Công việc",MATCH($C1011,'Kế hoạch'!$A$6:$A$305,0),"")</f>
      </c>
      <c r="P1011" s="234">
        <f>IF($O1011="","",INDEX('Kế hoạch'!$I$6:$I$305,$O1011))</f>
      </c>
      <c r="Q1011" s="225">
        <f>IF($O1011="","",INDEX('Kế hoạch'!$AJ$6:$AJ$305,$O1011))</f>
      </c>
      <c r="R1011" s="225">
        <f>IF($O1011="","",INDEX('Kế hoạch'!$AK$6:$AK$305,$O1011))</f>
      </c>
    </row>
    <row r="1012">
      <c r="A1012" s="223">
        <f>IF($C1012="","",COUNTIF($C$6:$C1012,"?*"))</f>
      </c>
      <c r="B1012" s="217"/>
      <c r="C1012" s="216"/>
      <c r="D1012" s="240"/>
      <c r="E1012" s="218"/>
      <c r="F1012" s="218"/>
      <c r="G1012" s="218"/>
      <c r="H1012" s="219"/>
      <c r="I1012" s="223">
        <f>IF($C1012="","",IF(ISNUMBER(MATCH($C1012,'Phản ánh'!$A$6:$A$505,0)),"Phản ánh",IF(ISNUMBER(MATCH($C1012,'Kế hoạch'!$A$6:$A$305,0)),"Công việc","Mã chưa có")))</f>
      </c>
      <c r="J1012" s="221">
        <f>IF($I1012="Phản ánh",INDEX('Phản ánh'!$C$6:$C$505,MATCH($C1012,'Phản ánh'!$A$6:$A$505,0)),IF($I1012="Công việc",INDEX('Kế hoạch'!$C$6:$C$305,$O1012),""))</f>
      </c>
      <c r="K1012" s="221">
        <f>IF($I1012="Phản ánh",INDEX('Phản ánh'!$K$6:$K$505,MATCH($C1012,'Phản ánh'!$A$6:$A$505,0))&amp;"",IF($I1012="Công việc",INDEX('Kế hoạch'!$N$6:$N$305,$O1012)&amp;"",""))</f>
      </c>
      <c r="L1012" s="220">
        <f>IF(OR($C1012="",N($B1012)=0),"",IF(AND($I1012="Phản ánh",$E1012="Đã xử lý"),INDEX('Phản ánh'!$U$6:$U$505,MATCH($C1012,'Phản ánh'!$A$6:$A$505,0)),IF(AND($I1012="Công việc",OR($E1012="Hoàn thành",$E1012="Hoàn thành kỳ")),IF(INDEX('Kế hoạch'!$B$6:$B$305,$O1012)="Đột xuất",INDEX('Kế hoạch'!$AY$6:$AY$305,$O1012),IF(N($P1012)=0,"",IF(INT($B1012)&lt;$P1012,$P1012,IF($Q1012&gt;0,$P1012+ROUND((INT($B1012)-$P1012)/$Q1012,0)*$Q1012,IF($R1012&gt;0,EDATE($P1012,ROUND((DATEDIF($P1012,INT($B1012),"m")+(INT($B1012)-EDATE($P1012,DATEDIF($P1012,INT($B1012),"m")))/(EDATE($P1012,DATEDIF($P1012,INT($B1012),"m")+1)-EDATE($P1012,DATEDIF($P1012,INT($B1012),"m"))))/$R1012,0)*$R1012),$P1012))))),"")))</f>
      </c>
      <c r="M1012" s="223">
        <f>IF(OR($C1012="",N($L1012)=0,N($B1012)=0),"",IF(IF(MOD($L1012,1)=0,INT($B1012),$B1012)&lt;=$L1012,"Đúng hạn","Trễ hạn"))</f>
      </c>
      <c r="N1012" s="225">
        <f>IF($C1012="","",ROW())</f>
      </c>
      <c r="O1012" s="225">
        <f>IF($I1012="Công việc",MATCH($C1012,'Kế hoạch'!$A$6:$A$305,0),"")</f>
      </c>
      <c r="P1012" s="234">
        <f>IF($O1012="","",INDEX('Kế hoạch'!$I$6:$I$305,$O1012))</f>
      </c>
      <c r="Q1012" s="225">
        <f>IF($O1012="","",INDEX('Kế hoạch'!$AJ$6:$AJ$305,$O1012))</f>
      </c>
      <c r="R1012" s="225">
        <f>IF($O1012="","",INDEX('Kế hoạch'!$AK$6:$AK$305,$O1012))</f>
      </c>
    </row>
    <row r="1013">
      <c r="A1013" s="223">
        <f>IF($C1013="","",COUNTIF($C$6:$C1013,"?*"))</f>
      </c>
      <c r="B1013" s="217"/>
      <c r="C1013" s="216"/>
      <c r="D1013" s="240"/>
      <c r="E1013" s="218"/>
      <c r="F1013" s="218"/>
      <c r="G1013" s="218"/>
      <c r="H1013" s="219"/>
      <c r="I1013" s="223">
        <f>IF($C1013="","",IF(ISNUMBER(MATCH($C1013,'Phản ánh'!$A$6:$A$505,0)),"Phản ánh",IF(ISNUMBER(MATCH($C1013,'Kế hoạch'!$A$6:$A$305,0)),"Công việc","Mã chưa có")))</f>
      </c>
      <c r="J1013" s="221">
        <f>IF($I1013="Phản ánh",INDEX('Phản ánh'!$C$6:$C$505,MATCH($C1013,'Phản ánh'!$A$6:$A$505,0)),IF($I1013="Công việc",INDEX('Kế hoạch'!$C$6:$C$305,$O1013),""))</f>
      </c>
      <c r="K1013" s="221">
        <f>IF($I1013="Phản ánh",INDEX('Phản ánh'!$K$6:$K$505,MATCH($C1013,'Phản ánh'!$A$6:$A$505,0))&amp;"",IF($I1013="Công việc",INDEX('Kế hoạch'!$N$6:$N$305,$O1013)&amp;"",""))</f>
      </c>
      <c r="L1013" s="220">
        <f>IF(OR($C1013="",N($B1013)=0),"",IF(AND($I1013="Phản ánh",$E1013="Đã xử lý"),INDEX('Phản ánh'!$U$6:$U$505,MATCH($C1013,'Phản ánh'!$A$6:$A$505,0)),IF(AND($I1013="Công việc",OR($E1013="Hoàn thành",$E1013="Hoàn thành kỳ")),IF(INDEX('Kế hoạch'!$B$6:$B$305,$O1013)="Đột xuất",INDEX('Kế hoạch'!$AY$6:$AY$305,$O1013),IF(N($P1013)=0,"",IF(INT($B1013)&lt;$P1013,$P1013,IF($Q1013&gt;0,$P1013+ROUND((INT($B1013)-$P1013)/$Q1013,0)*$Q1013,IF($R1013&gt;0,EDATE($P1013,ROUND((DATEDIF($P1013,INT($B1013),"m")+(INT($B1013)-EDATE($P1013,DATEDIF($P1013,INT($B1013),"m")))/(EDATE($P1013,DATEDIF($P1013,INT($B1013),"m")+1)-EDATE($P1013,DATEDIF($P1013,INT($B1013),"m"))))/$R1013,0)*$R1013),$P1013))))),"")))</f>
      </c>
      <c r="M1013" s="223">
        <f>IF(OR($C1013="",N($L1013)=0,N($B1013)=0),"",IF(IF(MOD($L1013,1)=0,INT($B1013),$B1013)&lt;=$L1013,"Đúng hạn","Trễ hạn"))</f>
      </c>
      <c r="N1013" s="225">
        <f>IF($C1013="","",ROW())</f>
      </c>
      <c r="O1013" s="225">
        <f>IF($I1013="Công việc",MATCH($C1013,'Kế hoạch'!$A$6:$A$305,0),"")</f>
      </c>
      <c r="P1013" s="234">
        <f>IF($O1013="","",INDEX('Kế hoạch'!$I$6:$I$305,$O1013))</f>
      </c>
      <c r="Q1013" s="225">
        <f>IF($O1013="","",INDEX('Kế hoạch'!$AJ$6:$AJ$305,$O1013))</f>
      </c>
      <c r="R1013" s="225">
        <f>IF($O1013="","",INDEX('Kế hoạch'!$AK$6:$AK$305,$O1013))</f>
      </c>
    </row>
    <row r="1014">
      <c r="A1014" s="223">
        <f>IF($C1014="","",COUNTIF($C$6:$C1014,"?*"))</f>
      </c>
      <c r="B1014" s="217"/>
      <c r="C1014" s="216"/>
      <c r="D1014" s="240"/>
      <c r="E1014" s="218"/>
      <c r="F1014" s="218"/>
      <c r="G1014" s="218"/>
      <c r="H1014" s="219"/>
      <c r="I1014" s="223">
        <f>IF($C1014="","",IF(ISNUMBER(MATCH($C1014,'Phản ánh'!$A$6:$A$505,0)),"Phản ánh",IF(ISNUMBER(MATCH($C1014,'Kế hoạch'!$A$6:$A$305,0)),"Công việc","Mã chưa có")))</f>
      </c>
      <c r="J1014" s="221">
        <f>IF($I1014="Phản ánh",INDEX('Phản ánh'!$C$6:$C$505,MATCH($C1014,'Phản ánh'!$A$6:$A$505,0)),IF($I1014="Công việc",INDEX('Kế hoạch'!$C$6:$C$305,$O1014),""))</f>
      </c>
      <c r="K1014" s="221">
        <f>IF($I1014="Phản ánh",INDEX('Phản ánh'!$K$6:$K$505,MATCH($C1014,'Phản ánh'!$A$6:$A$505,0))&amp;"",IF($I1014="Công việc",INDEX('Kế hoạch'!$N$6:$N$305,$O1014)&amp;"",""))</f>
      </c>
      <c r="L1014" s="220">
        <f>IF(OR($C1014="",N($B1014)=0),"",IF(AND($I1014="Phản ánh",$E1014="Đã xử lý"),INDEX('Phản ánh'!$U$6:$U$505,MATCH($C1014,'Phản ánh'!$A$6:$A$505,0)),IF(AND($I1014="Công việc",OR($E1014="Hoàn thành",$E1014="Hoàn thành kỳ")),IF(INDEX('Kế hoạch'!$B$6:$B$305,$O1014)="Đột xuất",INDEX('Kế hoạch'!$AY$6:$AY$305,$O1014),IF(N($P1014)=0,"",IF(INT($B1014)&lt;$P1014,$P1014,IF($Q1014&gt;0,$P1014+ROUND((INT($B1014)-$P1014)/$Q1014,0)*$Q1014,IF($R1014&gt;0,EDATE($P1014,ROUND((DATEDIF($P1014,INT($B1014),"m")+(INT($B1014)-EDATE($P1014,DATEDIF($P1014,INT($B1014),"m")))/(EDATE($P1014,DATEDIF($P1014,INT($B1014),"m")+1)-EDATE($P1014,DATEDIF($P1014,INT($B1014),"m"))))/$R1014,0)*$R1014),$P1014))))),"")))</f>
      </c>
      <c r="M1014" s="223">
        <f>IF(OR($C1014="",N($L1014)=0,N($B1014)=0),"",IF(IF(MOD($L1014,1)=0,INT($B1014),$B1014)&lt;=$L1014,"Đúng hạn","Trễ hạn"))</f>
      </c>
      <c r="N1014" s="225">
        <f>IF($C1014="","",ROW())</f>
      </c>
      <c r="O1014" s="225">
        <f>IF($I1014="Công việc",MATCH($C1014,'Kế hoạch'!$A$6:$A$305,0),"")</f>
      </c>
      <c r="P1014" s="234">
        <f>IF($O1014="","",INDEX('Kế hoạch'!$I$6:$I$305,$O1014))</f>
      </c>
      <c r="Q1014" s="225">
        <f>IF($O1014="","",INDEX('Kế hoạch'!$AJ$6:$AJ$305,$O1014))</f>
      </c>
      <c r="R1014" s="225">
        <f>IF($O1014="","",INDEX('Kế hoạch'!$AK$6:$AK$305,$O1014))</f>
      </c>
    </row>
    <row r="1015">
      <c r="A1015" s="223">
        <f>IF($C1015="","",COUNTIF($C$6:$C1015,"?*"))</f>
      </c>
      <c r="B1015" s="217"/>
      <c r="C1015" s="216"/>
      <c r="D1015" s="240"/>
      <c r="E1015" s="218"/>
      <c r="F1015" s="218"/>
      <c r="G1015" s="218"/>
      <c r="H1015" s="219"/>
      <c r="I1015" s="223">
        <f>IF($C1015="","",IF(ISNUMBER(MATCH($C1015,'Phản ánh'!$A$6:$A$505,0)),"Phản ánh",IF(ISNUMBER(MATCH($C1015,'Kế hoạch'!$A$6:$A$305,0)),"Công việc","Mã chưa có")))</f>
      </c>
      <c r="J1015" s="221">
        <f>IF($I1015="Phản ánh",INDEX('Phản ánh'!$C$6:$C$505,MATCH($C1015,'Phản ánh'!$A$6:$A$505,0)),IF($I1015="Công việc",INDEX('Kế hoạch'!$C$6:$C$305,$O1015),""))</f>
      </c>
      <c r="K1015" s="221">
        <f>IF($I1015="Phản ánh",INDEX('Phản ánh'!$K$6:$K$505,MATCH($C1015,'Phản ánh'!$A$6:$A$505,0))&amp;"",IF($I1015="Công việc",INDEX('Kế hoạch'!$N$6:$N$305,$O1015)&amp;"",""))</f>
      </c>
      <c r="L1015" s="220">
        <f>IF(OR($C1015="",N($B1015)=0),"",IF(AND($I1015="Phản ánh",$E1015="Đã xử lý"),INDEX('Phản ánh'!$U$6:$U$505,MATCH($C1015,'Phản ánh'!$A$6:$A$505,0)),IF(AND($I1015="Công việc",OR($E1015="Hoàn thành",$E1015="Hoàn thành kỳ")),IF(INDEX('Kế hoạch'!$B$6:$B$305,$O1015)="Đột xuất",INDEX('Kế hoạch'!$AY$6:$AY$305,$O1015),IF(N($P1015)=0,"",IF(INT($B1015)&lt;$P1015,$P1015,IF($Q1015&gt;0,$P1015+ROUND((INT($B1015)-$P1015)/$Q1015,0)*$Q1015,IF($R1015&gt;0,EDATE($P1015,ROUND((DATEDIF($P1015,INT($B1015),"m")+(INT($B1015)-EDATE($P1015,DATEDIF($P1015,INT($B1015),"m")))/(EDATE($P1015,DATEDIF($P1015,INT($B1015),"m")+1)-EDATE($P1015,DATEDIF($P1015,INT($B1015),"m"))))/$R1015,0)*$R1015),$P1015))))),"")))</f>
      </c>
      <c r="M1015" s="223">
        <f>IF(OR($C1015="",N($L1015)=0,N($B1015)=0),"",IF(IF(MOD($L1015,1)=0,INT($B1015),$B1015)&lt;=$L1015,"Đúng hạn","Trễ hạn"))</f>
      </c>
      <c r="N1015" s="225">
        <f>IF($C1015="","",ROW())</f>
      </c>
      <c r="O1015" s="225">
        <f>IF($I1015="Công việc",MATCH($C1015,'Kế hoạch'!$A$6:$A$305,0),"")</f>
      </c>
      <c r="P1015" s="234">
        <f>IF($O1015="","",INDEX('Kế hoạch'!$I$6:$I$305,$O1015))</f>
      </c>
      <c r="Q1015" s="225">
        <f>IF($O1015="","",INDEX('Kế hoạch'!$AJ$6:$AJ$305,$O1015))</f>
      </c>
      <c r="R1015" s="225">
        <f>IF($O1015="","",INDEX('Kế hoạch'!$AK$6:$AK$305,$O1015))</f>
      </c>
    </row>
    <row r="1016">
      <c r="A1016" s="223">
        <f>IF($C1016="","",COUNTIF($C$6:$C1016,"?*"))</f>
      </c>
      <c r="B1016" s="217"/>
      <c r="C1016" s="216"/>
      <c r="D1016" s="240"/>
      <c r="E1016" s="218"/>
      <c r="F1016" s="218"/>
      <c r="G1016" s="218"/>
      <c r="H1016" s="219"/>
      <c r="I1016" s="223">
        <f>IF($C1016="","",IF(ISNUMBER(MATCH($C1016,'Phản ánh'!$A$6:$A$505,0)),"Phản ánh",IF(ISNUMBER(MATCH($C1016,'Kế hoạch'!$A$6:$A$305,0)),"Công việc","Mã chưa có")))</f>
      </c>
      <c r="J1016" s="221">
        <f>IF($I1016="Phản ánh",INDEX('Phản ánh'!$C$6:$C$505,MATCH($C1016,'Phản ánh'!$A$6:$A$505,0)),IF($I1016="Công việc",INDEX('Kế hoạch'!$C$6:$C$305,$O1016),""))</f>
      </c>
      <c r="K1016" s="221">
        <f>IF($I1016="Phản ánh",INDEX('Phản ánh'!$K$6:$K$505,MATCH($C1016,'Phản ánh'!$A$6:$A$505,0))&amp;"",IF($I1016="Công việc",INDEX('Kế hoạch'!$N$6:$N$305,$O1016)&amp;"",""))</f>
      </c>
      <c r="L1016" s="220">
        <f>IF(OR($C1016="",N($B1016)=0),"",IF(AND($I1016="Phản ánh",$E1016="Đã xử lý"),INDEX('Phản ánh'!$U$6:$U$505,MATCH($C1016,'Phản ánh'!$A$6:$A$505,0)),IF(AND($I1016="Công việc",OR($E1016="Hoàn thành",$E1016="Hoàn thành kỳ")),IF(INDEX('Kế hoạch'!$B$6:$B$305,$O1016)="Đột xuất",INDEX('Kế hoạch'!$AY$6:$AY$305,$O1016),IF(N($P1016)=0,"",IF(INT($B1016)&lt;$P1016,$P1016,IF($Q1016&gt;0,$P1016+ROUND((INT($B1016)-$P1016)/$Q1016,0)*$Q1016,IF($R1016&gt;0,EDATE($P1016,ROUND((DATEDIF($P1016,INT($B1016),"m")+(INT($B1016)-EDATE($P1016,DATEDIF($P1016,INT($B1016),"m")))/(EDATE($P1016,DATEDIF($P1016,INT($B1016),"m")+1)-EDATE($P1016,DATEDIF($P1016,INT($B1016),"m"))))/$R1016,0)*$R1016),$P1016))))),"")))</f>
      </c>
      <c r="M1016" s="223">
        <f>IF(OR($C1016="",N($L1016)=0,N($B1016)=0),"",IF(IF(MOD($L1016,1)=0,INT($B1016),$B1016)&lt;=$L1016,"Đúng hạn","Trễ hạn"))</f>
      </c>
      <c r="N1016" s="225">
        <f>IF($C1016="","",ROW())</f>
      </c>
      <c r="O1016" s="225">
        <f>IF($I1016="Công việc",MATCH($C1016,'Kế hoạch'!$A$6:$A$305,0),"")</f>
      </c>
      <c r="P1016" s="234">
        <f>IF($O1016="","",INDEX('Kế hoạch'!$I$6:$I$305,$O1016))</f>
      </c>
      <c r="Q1016" s="225">
        <f>IF($O1016="","",INDEX('Kế hoạch'!$AJ$6:$AJ$305,$O1016))</f>
      </c>
      <c r="R1016" s="225">
        <f>IF($O1016="","",INDEX('Kế hoạch'!$AK$6:$AK$305,$O1016))</f>
      </c>
    </row>
    <row r="1017">
      <c r="A1017" s="223">
        <f>IF($C1017="","",COUNTIF($C$6:$C1017,"?*"))</f>
      </c>
      <c r="B1017" s="217"/>
      <c r="C1017" s="216"/>
      <c r="D1017" s="240"/>
      <c r="E1017" s="218"/>
      <c r="F1017" s="218"/>
      <c r="G1017" s="218"/>
      <c r="H1017" s="219"/>
      <c r="I1017" s="223">
        <f>IF($C1017="","",IF(ISNUMBER(MATCH($C1017,'Phản ánh'!$A$6:$A$505,0)),"Phản ánh",IF(ISNUMBER(MATCH($C1017,'Kế hoạch'!$A$6:$A$305,0)),"Công việc","Mã chưa có")))</f>
      </c>
      <c r="J1017" s="221">
        <f>IF($I1017="Phản ánh",INDEX('Phản ánh'!$C$6:$C$505,MATCH($C1017,'Phản ánh'!$A$6:$A$505,0)),IF($I1017="Công việc",INDEX('Kế hoạch'!$C$6:$C$305,$O1017),""))</f>
      </c>
      <c r="K1017" s="221">
        <f>IF($I1017="Phản ánh",INDEX('Phản ánh'!$K$6:$K$505,MATCH($C1017,'Phản ánh'!$A$6:$A$505,0))&amp;"",IF($I1017="Công việc",INDEX('Kế hoạch'!$N$6:$N$305,$O1017)&amp;"",""))</f>
      </c>
      <c r="L1017" s="220">
        <f>IF(OR($C1017="",N($B1017)=0),"",IF(AND($I1017="Phản ánh",$E1017="Đã xử lý"),INDEX('Phản ánh'!$U$6:$U$505,MATCH($C1017,'Phản ánh'!$A$6:$A$505,0)),IF(AND($I1017="Công việc",OR($E1017="Hoàn thành",$E1017="Hoàn thành kỳ")),IF(INDEX('Kế hoạch'!$B$6:$B$305,$O1017)="Đột xuất",INDEX('Kế hoạch'!$AY$6:$AY$305,$O1017),IF(N($P1017)=0,"",IF(INT($B1017)&lt;$P1017,$P1017,IF($Q1017&gt;0,$P1017+ROUND((INT($B1017)-$P1017)/$Q1017,0)*$Q1017,IF($R1017&gt;0,EDATE($P1017,ROUND((DATEDIF($P1017,INT($B1017),"m")+(INT($B1017)-EDATE($P1017,DATEDIF($P1017,INT($B1017),"m")))/(EDATE($P1017,DATEDIF($P1017,INT($B1017),"m")+1)-EDATE($P1017,DATEDIF($P1017,INT($B1017),"m"))))/$R1017,0)*$R1017),$P1017))))),"")))</f>
      </c>
      <c r="M1017" s="223">
        <f>IF(OR($C1017="",N($L1017)=0,N($B1017)=0),"",IF(IF(MOD($L1017,1)=0,INT($B1017),$B1017)&lt;=$L1017,"Đúng hạn","Trễ hạn"))</f>
      </c>
      <c r="N1017" s="225">
        <f>IF($C1017="","",ROW())</f>
      </c>
      <c r="O1017" s="225">
        <f>IF($I1017="Công việc",MATCH($C1017,'Kế hoạch'!$A$6:$A$305,0),"")</f>
      </c>
      <c r="P1017" s="234">
        <f>IF($O1017="","",INDEX('Kế hoạch'!$I$6:$I$305,$O1017))</f>
      </c>
      <c r="Q1017" s="225">
        <f>IF($O1017="","",INDEX('Kế hoạch'!$AJ$6:$AJ$305,$O1017))</f>
      </c>
      <c r="R1017" s="225">
        <f>IF($O1017="","",INDEX('Kế hoạch'!$AK$6:$AK$305,$O1017))</f>
      </c>
    </row>
    <row r="1018">
      <c r="A1018" s="223">
        <f>IF($C1018="","",COUNTIF($C$6:$C1018,"?*"))</f>
      </c>
      <c r="B1018" s="217"/>
      <c r="C1018" s="216"/>
      <c r="D1018" s="240"/>
      <c r="E1018" s="218"/>
      <c r="F1018" s="218"/>
      <c r="G1018" s="218"/>
      <c r="H1018" s="219"/>
      <c r="I1018" s="223">
        <f>IF($C1018="","",IF(ISNUMBER(MATCH($C1018,'Phản ánh'!$A$6:$A$505,0)),"Phản ánh",IF(ISNUMBER(MATCH($C1018,'Kế hoạch'!$A$6:$A$305,0)),"Công việc","Mã chưa có")))</f>
      </c>
      <c r="J1018" s="221">
        <f>IF($I1018="Phản ánh",INDEX('Phản ánh'!$C$6:$C$505,MATCH($C1018,'Phản ánh'!$A$6:$A$505,0)),IF($I1018="Công việc",INDEX('Kế hoạch'!$C$6:$C$305,$O1018),""))</f>
      </c>
      <c r="K1018" s="221">
        <f>IF($I1018="Phản ánh",INDEX('Phản ánh'!$K$6:$K$505,MATCH($C1018,'Phản ánh'!$A$6:$A$505,0))&amp;"",IF($I1018="Công việc",INDEX('Kế hoạch'!$N$6:$N$305,$O1018)&amp;"",""))</f>
      </c>
      <c r="L1018" s="220">
        <f>IF(OR($C1018="",N($B1018)=0),"",IF(AND($I1018="Phản ánh",$E1018="Đã xử lý"),INDEX('Phản ánh'!$U$6:$U$505,MATCH($C1018,'Phản ánh'!$A$6:$A$505,0)),IF(AND($I1018="Công việc",OR($E1018="Hoàn thành",$E1018="Hoàn thành kỳ")),IF(INDEX('Kế hoạch'!$B$6:$B$305,$O1018)="Đột xuất",INDEX('Kế hoạch'!$AY$6:$AY$305,$O1018),IF(N($P1018)=0,"",IF(INT($B1018)&lt;$P1018,$P1018,IF($Q1018&gt;0,$P1018+ROUND((INT($B1018)-$P1018)/$Q1018,0)*$Q1018,IF($R1018&gt;0,EDATE($P1018,ROUND((DATEDIF($P1018,INT($B1018),"m")+(INT($B1018)-EDATE($P1018,DATEDIF($P1018,INT($B1018),"m")))/(EDATE($P1018,DATEDIF($P1018,INT($B1018),"m")+1)-EDATE($P1018,DATEDIF($P1018,INT($B1018),"m"))))/$R1018,0)*$R1018),$P1018))))),"")))</f>
      </c>
      <c r="M1018" s="223">
        <f>IF(OR($C1018="",N($L1018)=0,N($B1018)=0),"",IF(IF(MOD($L1018,1)=0,INT($B1018),$B1018)&lt;=$L1018,"Đúng hạn","Trễ hạn"))</f>
      </c>
      <c r="N1018" s="225">
        <f>IF($C1018="","",ROW())</f>
      </c>
      <c r="O1018" s="225">
        <f>IF($I1018="Công việc",MATCH($C1018,'Kế hoạch'!$A$6:$A$305,0),"")</f>
      </c>
      <c r="P1018" s="234">
        <f>IF($O1018="","",INDEX('Kế hoạch'!$I$6:$I$305,$O1018))</f>
      </c>
      <c r="Q1018" s="225">
        <f>IF($O1018="","",INDEX('Kế hoạch'!$AJ$6:$AJ$305,$O1018))</f>
      </c>
      <c r="R1018" s="225">
        <f>IF($O1018="","",INDEX('Kế hoạch'!$AK$6:$AK$305,$O1018))</f>
      </c>
    </row>
    <row r="1019">
      <c r="A1019" s="223">
        <f>IF($C1019="","",COUNTIF($C$6:$C1019,"?*"))</f>
      </c>
      <c r="B1019" s="217"/>
      <c r="C1019" s="216"/>
      <c r="D1019" s="240"/>
      <c r="E1019" s="218"/>
      <c r="F1019" s="218"/>
      <c r="G1019" s="218"/>
      <c r="H1019" s="219"/>
      <c r="I1019" s="223">
        <f>IF($C1019="","",IF(ISNUMBER(MATCH($C1019,'Phản ánh'!$A$6:$A$505,0)),"Phản ánh",IF(ISNUMBER(MATCH($C1019,'Kế hoạch'!$A$6:$A$305,0)),"Công việc","Mã chưa có")))</f>
      </c>
      <c r="J1019" s="221">
        <f>IF($I1019="Phản ánh",INDEX('Phản ánh'!$C$6:$C$505,MATCH($C1019,'Phản ánh'!$A$6:$A$505,0)),IF($I1019="Công việc",INDEX('Kế hoạch'!$C$6:$C$305,$O1019),""))</f>
      </c>
      <c r="K1019" s="221">
        <f>IF($I1019="Phản ánh",INDEX('Phản ánh'!$K$6:$K$505,MATCH($C1019,'Phản ánh'!$A$6:$A$505,0))&amp;"",IF($I1019="Công việc",INDEX('Kế hoạch'!$N$6:$N$305,$O1019)&amp;"",""))</f>
      </c>
      <c r="L1019" s="220">
        <f>IF(OR($C1019="",N($B1019)=0),"",IF(AND($I1019="Phản ánh",$E1019="Đã xử lý"),INDEX('Phản ánh'!$U$6:$U$505,MATCH($C1019,'Phản ánh'!$A$6:$A$505,0)),IF(AND($I1019="Công việc",OR($E1019="Hoàn thành",$E1019="Hoàn thành kỳ")),IF(INDEX('Kế hoạch'!$B$6:$B$305,$O1019)="Đột xuất",INDEX('Kế hoạch'!$AY$6:$AY$305,$O1019),IF(N($P1019)=0,"",IF(INT($B1019)&lt;$P1019,$P1019,IF($Q1019&gt;0,$P1019+ROUND((INT($B1019)-$P1019)/$Q1019,0)*$Q1019,IF($R1019&gt;0,EDATE($P1019,ROUND((DATEDIF($P1019,INT($B1019),"m")+(INT($B1019)-EDATE($P1019,DATEDIF($P1019,INT($B1019),"m")))/(EDATE($P1019,DATEDIF($P1019,INT($B1019),"m")+1)-EDATE($P1019,DATEDIF($P1019,INT($B1019),"m"))))/$R1019,0)*$R1019),$P1019))))),"")))</f>
      </c>
      <c r="M1019" s="223">
        <f>IF(OR($C1019="",N($L1019)=0,N($B1019)=0),"",IF(IF(MOD($L1019,1)=0,INT($B1019),$B1019)&lt;=$L1019,"Đúng hạn","Trễ hạn"))</f>
      </c>
      <c r="N1019" s="225">
        <f>IF($C1019="","",ROW())</f>
      </c>
      <c r="O1019" s="225">
        <f>IF($I1019="Công việc",MATCH($C1019,'Kế hoạch'!$A$6:$A$305,0),"")</f>
      </c>
      <c r="P1019" s="234">
        <f>IF($O1019="","",INDEX('Kế hoạch'!$I$6:$I$305,$O1019))</f>
      </c>
      <c r="Q1019" s="225">
        <f>IF($O1019="","",INDEX('Kế hoạch'!$AJ$6:$AJ$305,$O1019))</f>
      </c>
      <c r="R1019" s="225">
        <f>IF($O1019="","",INDEX('Kế hoạch'!$AK$6:$AK$305,$O1019))</f>
      </c>
    </row>
    <row r="1020">
      <c r="A1020" s="223">
        <f>IF($C1020="","",COUNTIF($C$6:$C1020,"?*"))</f>
      </c>
      <c r="B1020" s="217"/>
      <c r="C1020" s="216"/>
      <c r="D1020" s="240"/>
      <c r="E1020" s="218"/>
      <c r="F1020" s="218"/>
      <c r="G1020" s="218"/>
      <c r="H1020" s="219"/>
      <c r="I1020" s="223">
        <f>IF($C1020="","",IF(ISNUMBER(MATCH($C1020,'Phản ánh'!$A$6:$A$505,0)),"Phản ánh",IF(ISNUMBER(MATCH($C1020,'Kế hoạch'!$A$6:$A$305,0)),"Công việc","Mã chưa có")))</f>
      </c>
      <c r="J1020" s="221">
        <f>IF($I1020="Phản ánh",INDEX('Phản ánh'!$C$6:$C$505,MATCH($C1020,'Phản ánh'!$A$6:$A$505,0)),IF($I1020="Công việc",INDEX('Kế hoạch'!$C$6:$C$305,$O1020),""))</f>
      </c>
      <c r="K1020" s="221">
        <f>IF($I1020="Phản ánh",INDEX('Phản ánh'!$K$6:$K$505,MATCH($C1020,'Phản ánh'!$A$6:$A$505,0))&amp;"",IF($I1020="Công việc",INDEX('Kế hoạch'!$N$6:$N$305,$O1020)&amp;"",""))</f>
      </c>
      <c r="L1020" s="220">
        <f>IF(OR($C1020="",N($B1020)=0),"",IF(AND($I1020="Phản ánh",$E1020="Đã xử lý"),INDEX('Phản ánh'!$U$6:$U$505,MATCH($C1020,'Phản ánh'!$A$6:$A$505,0)),IF(AND($I1020="Công việc",OR($E1020="Hoàn thành",$E1020="Hoàn thành kỳ")),IF(INDEX('Kế hoạch'!$B$6:$B$305,$O1020)="Đột xuất",INDEX('Kế hoạch'!$AY$6:$AY$305,$O1020),IF(N($P1020)=0,"",IF(INT($B1020)&lt;$P1020,$P1020,IF($Q1020&gt;0,$P1020+ROUND((INT($B1020)-$P1020)/$Q1020,0)*$Q1020,IF($R1020&gt;0,EDATE($P1020,ROUND((DATEDIF($P1020,INT($B1020),"m")+(INT($B1020)-EDATE($P1020,DATEDIF($P1020,INT($B1020),"m")))/(EDATE($P1020,DATEDIF($P1020,INT($B1020),"m")+1)-EDATE($P1020,DATEDIF($P1020,INT($B1020),"m"))))/$R1020,0)*$R1020),$P1020))))),"")))</f>
      </c>
      <c r="M1020" s="223">
        <f>IF(OR($C1020="",N($L1020)=0,N($B1020)=0),"",IF(IF(MOD($L1020,1)=0,INT($B1020),$B1020)&lt;=$L1020,"Đúng hạn","Trễ hạn"))</f>
      </c>
      <c r="N1020" s="225">
        <f>IF($C1020="","",ROW())</f>
      </c>
      <c r="O1020" s="225">
        <f>IF($I1020="Công việc",MATCH($C1020,'Kế hoạch'!$A$6:$A$305,0),"")</f>
      </c>
      <c r="P1020" s="234">
        <f>IF($O1020="","",INDEX('Kế hoạch'!$I$6:$I$305,$O1020))</f>
      </c>
      <c r="Q1020" s="225">
        <f>IF($O1020="","",INDEX('Kế hoạch'!$AJ$6:$AJ$305,$O1020))</f>
      </c>
      <c r="R1020" s="225">
        <f>IF($O1020="","",INDEX('Kế hoạch'!$AK$6:$AK$305,$O1020))</f>
      </c>
    </row>
    <row r="1021">
      <c r="A1021" s="223">
        <f>IF($C1021="","",COUNTIF($C$6:$C1021,"?*"))</f>
      </c>
      <c r="B1021" s="217"/>
      <c r="C1021" s="216"/>
      <c r="D1021" s="240"/>
      <c r="E1021" s="218"/>
      <c r="F1021" s="218"/>
      <c r="G1021" s="218"/>
      <c r="H1021" s="219"/>
      <c r="I1021" s="223">
        <f>IF($C1021="","",IF(ISNUMBER(MATCH($C1021,'Phản ánh'!$A$6:$A$505,0)),"Phản ánh",IF(ISNUMBER(MATCH($C1021,'Kế hoạch'!$A$6:$A$305,0)),"Công việc","Mã chưa có")))</f>
      </c>
      <c r="J1021" s="221">
        <f>IF($I1021="Phản ánh",INDEX('Phản ánh'!$C$6:$C$505,MATCH($C1021,'Phản ánh'!$A$6:$A$505,0)),IF($I1021="Công việc",INDEX('Kế hoạch'!$C$6:$C$305,$O1021),""))</f>
      </c>
      <c r="K1021" s="221">
        <f>IF($I1021="Phản ánh",INDEX('Phản ánh'!$K$6:$K$505,MATCH($C1021,'Phản ánh'!$A$6:$A$505,0))&amp;"",IF($I1021="Công việc",INDEX('Kế hoạch'!$N$6:$N$305,$O1021)&amp;"",""))</f>
      </c>
      <c r="L1021" s="220">
        <f>IF(OR($C1021="",N($B1021)=0),"",IF(AND($I1021="Phản ánh",$E1021="Đã xử lý"),INDEX('Phản ánh'!$U$6:$U$505,MATCH($C1021,'Phản ánh'!$A$6:$A$505,0)),IF(AND($I1021="Công việc",OR($E1021="Hoàn thành",$E1021="Hoàn thành kỳ")),IF(INDEX('Kế hoạch'!$B$6:$B$305,$O1021)="Đột xuất",INDEX('Kế hoạch'!$AY$6:$AY$305,$O1021),IF(N($P1021)=0,"",IF(INT($B1021)&lt;$P1021,$P1021,IF($Q1021&gt;0,$P1021+ROUND((INT($B1021)-$P1021)/$Q1021,0)*$Q1021,IF($R1021&gt;0,EDATE($P1021,ROUND((DATEDIF($P1021,INT($B1021),"m")+(INT($B1021)-EDATE($P1021,DATEDIF($P1021,INT($B1021),"m")))/(EDATE($P1021,DATEDIF($P1021,INT($B1021),"m")+1)-EDATE($P1021,DATEDIF($P1021,INT($B1021),"m"))))/$R1021,0)*$R1021),$P1021))))),"")))</f>
      </c>
      <c r="M1021" s="223">
        <f>IF(OR($C1021="",N($L1021)=0,N($B1021)=0),"",IF(IF(MOD($L1021,1)=0,INT($B1021),$B1021)&lt;=$L1021,"Đúng hạn","Trễ hạn"))</f>
      </c>
      <c r="N1021" s="225">
        <f>IF($C1021="","",ROW())</f>
      </c>
      <c r="O1021" s="225">
        <f>IF($I1021="Công việc",MATCH($C1021,'Kế hoạch'!$A$6:$A$305,0),"")</f>
      </c>
      <c r="P1021" s="234">
        <f>IF($O1021="","",INDEX('Kế hoạch'!$I$6:$I$305,$O1021))</f>
      </c>
      <c r="Q1021" s="225">
        <f>IF($O1021="","",INDEX('Kế hoạch'!$AJ$6:$AJ$305,$O1021))</f>
      </c>
      <c r="R1021" s="225">
        <f>IF($O1021="","",INDEX('Kế hoạch'!$AK$6:$AK$305,$O1021))</f>
      </c>
    </row>
    <row r="1022">
      <c r="A1022" s="223">
        <f>IF($C1022="","",COUNTIF($C$6:$C1022,"?*"))</f>
      </c>
      <c r="B1022" s="217"/>
      <c r="C1022" s="216"/>
      <c r="D1022" s="240"/>
      <c r="E1022" s="218"/>
      <c r="F1022" s="218"/>
      <c r="G1022" s="218"/>
      <c r="H1022" s="219"/>
      <c r="I1022" s="223">
        <f>IF($C1022="","",IF(ISNUMBER(MATCH($C1022,'Phản ánh'!$A$6:$A$505,0)),"Phản ánh",IF(ISNUMBER(MATCH($C1022,'Kế hoạch'!$A$6:$A$305,0)),"Công việc","Mã chưa có")))</f>
      </c>
      <c r="J1022" s="221">
        <f>IF($I1022="Phản ánh",INDEX('Phản ánh'!$C$6:$C$505,MATCH($C1022,'Phản ánh'!$A$6:$A$505,0)),IF($I1022="Công việc",INDEX('Kế hoạch'!$C$6:$C$305,$O1022),""))</f>
      </c>
      <c r="K1022" s="221">
        <f>IF($I1022="Phản ánh",INDEX('Phản ánh'!$K$6:$K$505,MATCH($C1022,'Phản ánh'!$A$6:$A$505,0))&amp;"",IF($I1022="Công việc",INDEX('Kế hoạch'!$N$6:$N$305,$O1022)&amp;"",""))</f>
      </c>
      <c r="L1022" s="220">
        <f>IF(OR($C1022="",N($B1022)=0),"",IF(AND($I1022="Phản ánh",$E1022="Đã xử lý"),INDEX('Phản ánh'!$U$6:$U$505,MATCH($C1022,'Phản ánh'!$A$6:$A$505,0)),IF(AND($I1022="Công việc",OR($E1022="Hoàn thành",$E1022="Hoàn thành kỳ")),IF(INDEX('Kế hoạch'!$B$6:$B$305,$O1022)="Đột xuất",INDEX('Kế hoạch'!$AY$6:$AY$305,$O1022),IF(N($P1022)=0,"",IF(INT($B1022)&lt;$P1022,$P1022,IF($Q1022&gt;0,$P1022+ROUND((INT($B1022)-$P1022)/$Q1022,0)*$Q1022,IF($R1022&gt;0,EDATE($P1022,ROUND((DATEDIF($P1022,INT($B1022),"m")+(INT($B1022)-EDATE($P1022,DATEDIF($P1022,INT($B1022),"m")))/(EDATE($P1022,DATEDIF($P1022,INT($B1022),"m")+1)-EDATE($P1022,DATEDIF($P1022,INT($B1022),"m"))))/$R1022,0)*$R1022),$P1022))))),"")))</f>
      </c>
      <c r="M1022" s="223">
        <f>IF(OR($C1022="",N($L1022)=0,N($B1022)=0),"",IF(IF(MOD($L1022,1)=0,INT($B1022),$B1022)&lt;=$L1022,"Đúng hạn","Trễ hạn"))</f>
      </c>
      <c r="N1022" s="225">
        <f>IF($C1022="","",ROW())</f>
      </c>
      <c r="O1022" s="225">
        <f>IF($I1022="Công việc",MATCH($C1022,'Kế hoạch'!$A$6:$A$305,0),"")</f>
      </c>
      <c r="P1022" s="234">
        <f>IF($O1022="","",INDEX('Kế hoạch'!$I$6:$I$305,$O1022))</f>
      </c>
      <c r="Q1022" s="225">
        <f>IF($O1022="","",INDEX('Kế hoạch'!$AJ$6:$AJ$305,$O1022))</f>
      </c>
      <c r="R1022" s="225">
        <f>IF($O1022="","",INDEX('Kế hoạch'!$AK$6:$AK$305,$O1022))</f>
      </c>
    </row>
    <row r="1023">
      <c r="A1023" s="223">
        <f>IF($C1023="","",COUNTIF($C$6:$C1023,"?*"))</f>
      </c>
      <c r="B1023" s="217"/>
      <c r="C1023" s="216"/>
      <c r="D1023" s="240"/>
      <c r="E1023" s="218"/>
      <c r="F1023" s="218"/>
      <c r="G1023" s="218"/>
      <c r="H1023" s="219"/>
      <c r="I1023" s="223">
        <f>IF($C1023="","",IF(ISNUMBER(MATCH($C1023,'Phản ánh'!$A$6:$A$505,0)),"Phản ánh",IF(ISNUMBER(MATCH($C1023,'Kế hoạch'!$A$6:$A$305,0)),"Công việc","Mã chưa có")))</f>
      </c>
      <c r="J1023" s="221">
        <f>IF($I1023="Phản ánh",INDEX('Phản ánh'!$C$6:$C$505,MATCH($C1023,'Phản ánh'!$A$6:$A$505,0)),IF($I1023="Công việc",INDEX('Kế hoạch'!$C$6:$C$305,$O1023),""))</f>
      </c>
      <c r="K1023" s="221">
        <f>IF($I1023="Phản ánh",INDEX('Phản ánh'!$K$6:$K$505,MATCH($C1023,'Phản ánh'!$A$6:$A$505,0))&amp;"",IF($I1023="Công việc",INDEX('Kế hoạch'!$N$6:$N$305,$O1023)&amp;"",""))</f>
      </c>
      <c r="L1023" s="220">
        <f>IF(OR($C1023="",N($B1023)=0),"",IF(AND($I1023="Phản ánh",$E1023="Đã xử lý"),INDEX('Phản ánh'!$U$6:$U$505,MATCH($C1023,'Phản ánh'!$A$6:$A$505,0)),IF(AND($I1023="Công việc",OR($E1023="Hoàn thành",$E1023="Hoàn thành kỳ")),IF(INDEX('Kế hoạch'!$B$6:$B$305,$O1023)="Đột xuất",INDEX('Kế hoạch'!$AY$6:$AY$305,$O1023),IF(N($P1023)=0,"",IF(INT($B1023)&lt;$P1023,$P1023,IF($Q1023&gt;0,$P1023+ROUND((INT($B1023)-$P1023)/$Q1023,0)*$Q1023,IF($R1023&gt;0,EDATE($P1023,ROUND((DATEDIF($P1023,INT($B1023),"m")+(INT($B1023)-EDATE($P1023,DATEDIF($P1023,INT($B1023),"m")))/(EDATE($P1023,DATEDIF($P1023,INT($B1023),"m")+1)-EDATE($P1023,DATEDIF($P1023,INT($B1023),"m"))))/$R1023,0)*$R1023),$P1023))))),"")))</f>
      </c>
      <c r="M1023" s="223">
        <f>IF(OR($C1023="",N($L1023)=0,N($B1023)=0),"",IF(IF(MOD($L1023,1)=0,INT($B1023),$B1023)&lt;=$L1023,"Đúng hạn","Trễ hạn"))</f>
      </c>
      <c r="N1023" s="225">
        <f>IF($C1023="","",ROW())</f>
      </c>
      <c r="O1023" s="225">
        <f>IF($I1023="Công việc",MATCH($C1023,'Kế hoạch'!$A$6:$A$305,0),"")</f>
      </c>
      <c r="P1023" s="234">
        <f>IF($O1023="","",INDEX('Kế hoạch'!$I$6:$I$305,$O1023))</f>
      </c>
      <c r="Q1023" s="225">
        <f>IF($O1023="","",INDEX('Kế hoạch'!$AJ$6:$AJ$305,$O1023))</f>
      </c>
      <c r="R1023" s="225">
        <f>IF($O1023="","",INDEX('Kế hoạch'!$AK$6:$AK$305,$O1023))</f>
      </c>
    </row>
    <row r="1024">
      <c r="A1024" s="223">
        <f>IF($C1024="","",COUNTIF($C$6:$C1024,"?*"))</f>
      </c>
      <c r="B1024" s="217"/>
      <c r="C1024" s="216"/>
      <c r="D1024" s="240"/>
      <c r="E1024" s="218"/>
      <c r="F1024" s="218"/>
      <c r="G1024" s="218"/>
      <c r="H1024" s="219"/>
      <c r="I1024" s="223">
        <f>IF($C1024="","",IF(ISNUMBER(MATCH($C1024,'Phản ánh'!$A$6:$A$505,0)),"Phản ánh",IF(ISNUMBER(MATCH($C1024,'Kế hoạch'!$A$6:$A$305,0)),"Công việc","Mã chưa có")))</f>
      </c>
      <c r="J1024" s="221">
        <f>IF($I1024="Phản ánh",INDEX('Phản ánh'!$C$6:$C$505,MATCH($C1024,'Phản ánh'!$A$6:$A$505,0)),IF($I1024="Công việc",INDEX('Kế hoạch'!$C$6:$C$305,$O1024),""))</f>
      </c>
      <c r="K1024" s="221">
        <f>IF($I1024="Phản ánh",INDEX('Phản ánh'!$K$6:$K$505,MATCH($C1024,'Phản ánh'!$A$6:$A$505,0))&amp;"",IF($I1024="Công việc",INDEX('Kế hoạch'!$N$6:$N$305,$O1024)&amp;"",""))</f>
      </c>
      <c r="L1024" s="220">
        <f>IF(OR($C1024="",N($B1024)=0),"",IF(AND($I1024="Phản ánh",$E1024="Đã xử lý"),INDEX('Phản ánh'!$U$6:$U$505,MATCH($C1024,'Phản ánh'!$A$6:$A$505,0)),IF(AND($I1024="Công việc",OR($E1024="Hoàn thành",$E1024="Hoàn thành kỳ")),IF(INDEX('Kế hoạch'!$B$6:$B$305,$O1024)="Đột xuất",INDEX('Kế hoạch'!$AY$6:$AY$305,$O1024),IF(N($P1024)=0,"",IF(INT($B1024)&lt;$P1024,$P1024,IF($Q1024&gt;0,$P1024+ROUND((INT($B1024)-$P1024)/$Q1024,0)*$Q1024,IF($R1024&gt;0,EDATE($P1024,ROUND((DATEDIF($P1024,INT($B1024),"m")+(INT($B1024)-EDATE($P1024,DATEDIF($P1024,INT($B1024),"m")))/(EDATE($P1024,DATEDIF($P1024,INT($B1024),"m")+1)-EDATE($P1024,DATEDIF($P1024,INT($B1024),"m"))))/$R1024,0)*$R1024),$P1024))))),"")))</f>
      </c>
      <c r="M1024" s="223">
        <f>IF(OR($C1024="",N($L1024)=0,N($B1024)=0),"",IF(IF(MOD($L1024,1)=0,INT($B1024),$B1024)&lt;=$L1024,"Đúng hạn","Trễ hạn"))</f>
      </c>
      <c r="N1024" s="225">
        <f>IF($C1024="","",ROW())</f>
      </c>
      <c r="O1024" s="225">
        <f>IF($I1024="Công việc",MATCH($C1024,'Kế hoạch'!$A$6:$A$305,0),"")</f>
      </c>
      <c r="P1024" s="234">
        <f>IF($O1024="","",INDEX('Kế hoạch'!$I$6:$I$305,$O1024))</f>
      </c>
      <c r="Q1024" s="225">
        <f>IF($O1024="","",INDEX('Kế hoạch'!$AJ$6:$AJ$305,$O1024))</f>
      </c>
      <c r="R1024" s="225">
        <f>IF($O1024="","",INDEX('Kế hoạch'!$AK$6:$AK$305,$O1024))</f>
      </c>
    </row>
    <row r="1025">
      <c r="A1025" s="223">
        <f>IF($C1025="","",COUNTIF($C$6:$C1025,"?*"))</f>
      </c>
      <c r="B1025" s="217"/>
      <c r="C1025" s="216"/>
      <c r="D1025" s="240"/>
      <c r="E1025" s="218"/>
      <c r="F1025" s="218"/>
      <c r="G1025" s="218"/>
      <c r="H1025" s="219"/>
      <c r="I1025" s="223">
        <f>IF($C1025="","",IF(ISNUMBER(MATCH($C1025,'Phản ánh'!$A$6:$A$505,0)),"Phản ánh",IF(ISNUMBER(MATCH($C1025,'Kế hoạch'!$A$6:$A$305,0)),"Công việc","Mã chưa có")))</f>
      </c>
      <c r="J1025" s="221">
        <f>IF($I1025="Phản ánh",INDEX('Phản ánh'!$C$6:$C$505,MATCH($C1025,'Phản ánh'!$A$6:$A$505,0)),IF($I1025="Công việc",INDEX('Kế hoạch'!$C$6:$C$305,$O1025),""))</f>
      </c>
      <c r="K1025" s="221">
        <f>IF($I1025="Phản ánh",INDEX('Phản ánh'!$K$6:$K$505,MATCH($C1025,'Phản ánh'!$A$6:$A$505,0))&amp;"",IF($I1025="Công việc",INDEX('Kế hoạch'!$N$6:$N$305,$O1025)&amp;"",""))</f>
      </c>
      <c r="L1025" s="220">
        <f>IF(OR($C1025="",N($B1025)=0),"",IF(AND($I1025="Phản ánh",$E1025="Đã xử lý"),INDEX('Phản ánh'!$U$6:$U$505,MATCH($C1025,'Phản ánh'!$A$6:$A$505,0)),IF(AND($I1025="Công việc",OR($E1025="Hoàn thành",$E1025="Hoàn thành kỳ")),IF(INDEX('Kế hoạch'!$B$6:$B$305,$O1025)="Đột xuất",INDEX('Kế hoạch'!$AY$6:$AY$305,$O1025),IF(N($P1025)=0,"",IF(INT($B1025)&lt;$P1025,$P1025,IF($Q1025&gt;0,$P1025+ROUND((INT($B1025)-$P1025)/$Q1025,0)*$Q1025,IF($R1025&gt;0,EDATE($P1025,ROUND((DATEDIF($P1025,INT($B1025),"m")+(INT($B1025)-EDATE($P1025,DATEDIF($P1025,INT($B1025),"m")))/(EDATE($P1025,DATEDIF($P1025,INT($B1025),"m")+1)-EDATE($P1025,DATEDIF($P1025,INT($B1025),"m"))))/$R1025,0)*$R1025),$P1025))))),"")))</f>
      </c>
      <c r="M1025" s="223">
        <f>IF(OR($C1025="",N($L1025)=0,N($B1025)=0),"",IF(IF(MOD($L1025,1)=0,INT($B1025),$B1025)&lt;=$L1025,"Đúng hạn","Trễ hạn"))</f>
      </c>
      <c r="N1025" s="225">
        <f>IF($C1025="","",ROW())</f>
      </c>
      <c r="O1025" s="225">
        <f>IF($I1025="Công việc",MATCH($C1025,'Kế hoạch'!$A$6:$A$305,0),"")</f>
      </c>
      <c r="P1025" s="234">
        <f>IF($O1025="","",INDEX('Kế hoạch'!$I$6:$I$305,$O1025))</f>
      </c>
      <c r="Q1025" s="225">
        <f>IF($O1025="","",INDEX('Kế hoạch'!$AJ$6:$AJ$305,$O1025))</f>
      </c>
      <c r="R1025" s="225">
        <f>IF($O1025="","",INDEX('Kế hoạch'!$AK$6:$AK$305,$O1025))</f>
      </c>
    </row>
    <row r="1026">
      <c r="A1026" s="223">
        <f>IF($C1026="","",COUNTIF($C$6:$C1026,"?*"))</f>
      </c>
      <c r="B1026" s="217"/>
      <c r="C1026" s="216"/>
      <c r="D1026" s="240"/>
      <c r="E1026" s="218"/>
      <c r="F1026" s="218"/>
      <c r="G1026" s="218"/>
      <c r="H1026" s="219"/>
      <c r="I1026" s="223">
        <f>IF($C1026="","",IF(ISNUMBER(MATCH($C1026,'Phản ánh'!$A$6:$A$505,0)),"Phản ánh",IF(ISNUMBER(MATCH($C1026,'Kế hoạch'!$A$6:$A$305,0)),"Công việc","Mã chưa có")))</f>
      </c>
      <c r="J1026" s="221">
        <f>IF($I1026="Phản ánh",INDEX('Phản ánh'!$C$6:$C$505,MATCH($C1026,'Phản ánh'!$A$6:$A$505,0)),IF($I1026="Công việc",INDEX('Kế hoạch'!$C$6:$C$305,$O1026),""))</f>
      </c>
      <c r="K1026" s="221">
        <f>IF($I1026="Phản ánh",INDEX('Phản ánh'!$K$6:$K$505,MATCH($C1026,'Phản ánh'!$A$6:$A$505,0))&amp;"",IF($I1026="Công việc",INDEX('Kế hoạch'!$N$6:$N$305,$O1026)&amp;"",""))</f>
      </c>
      <c r="L1026" s="220">
        <f>IF(OR($C1026="",N($B1026)=0),"",IF(AND($I1026="Phản ánh",$E1026="Đã xử lý"),INDEX('Phản ánh'!$U$6:$U$505,MATCH($C1026,'Phản ánh'!$A$6:$A$505,0)),IF(AND($I1026="Công việc",OR($E1026="Hoàn thành",$E1026="Hoàn thành kỳ")),IF(INDEX('Kế hoạch'!$B$6:$B$305,$O1026)="Đột xuất",INDEX('Kế hoạch'!$AY$6:$AY$305,$O1026),IF(N($P1026)=0,"",IF(INT($B1026)&lt;$P1026,$P1026,IF($Q1026&gt;0,$P1026+ROUND((INT($B1026)-$P1026)/$Q1026,0)*$Q1026,IF($R1026&gt;0,EDATE($P1026,ROUND((DATEDIF($P1026,INT($B1026),"m")+(INT($B1026)-EDATE($P1026,DATEDIF($P1026,INT($B1026),"m")))/(EDATE($P1026,DATEDIF($P1026,INT($B1026),"m")+1)-EDATE($P1026,DATEDIF($P1026,INT($B1026),"m"))))/$R1026,0)*$R1026),$P1026))))),"")))</f>
      </c>
      <c r="M1026" s="223">
        <f>IF(OR($C1026="",N($L1026)=0,N($B1026)=0),"",IF(IF(MOD($L1026,1)=0,INT($B1026),$B1026)&lt;=$L1026,"Đúng hạn","Trễ hạn"))</f>
      </c>
      <c r="N1026" s="225">
        <f>IF($C1026="","",ROW())</f>
      </c>
      <c r="O1026" s="225">
        <f>IF($I1026="Công việc",MATCH($C1026,'Kế hoạch'!$A$6:$A$305,0),"")</f>
      </c>
      <c r="P1026" s="234">
        <f>IF($O1026="","",INDEX('Kế hoạch'!$I$6:$I$305,$O1026))</f>
      </c>
      <c r="Q1026" s="225">
        <f>IF($O1026="","",INDEX('Kế hoạch'!$AJ$6:$AJ$305,$O1026))</f>
      </c>
      <c r="R1026" s="225">
        <f>IF($O1026="","",INDEX('Kế hoạch'!$AK$6:$AK$305,$O1026))</f>
      </c>
    </row>
    <row r="1027">
      <c r="A1027" s="223">
        <f>IF($C1027="","",COUNTIF($C$6:$C1027,"?*"))</f>
      </c>
      <c r="B1027" s="217"/>
      <c r="C1027" s="216"/>
      <c r="D1027" s="240"/>
      <c r="E1027" s="218"/>
      <c r="F1027" s="218"/>
      <c r="G1027" s="218"/>
      <c r="H1027" s="219"/>
      <c r="I1027" s="223">
        <f>IF($C1027="","",IF(ISNUMBER(MATCH($C1027,'Phản ánh'!$A$6:$A$505,0)),"Phản ánh",IF(ISNUMBER(MATCH($C1027,'Kế hoạch'!$A$6:$A$305,0)),"Công việc","Mã chưa có")))</f>
      </c>
      <c r="J1027" s="221">
        <f>IF($I1027="Phản ánh",INDEX('Phản ánh'!$C$6:$C$505,MATCH($C1027,'Phản ánh'!$A$6:$A$505,0)),IF($I1027="Công việc",INDEX('Kế hoạch'!$C$6:$C$305,$O1027),""))</f>
      </c>
      <c r="K1027" s="221">
        <f>IF($I1027="Phản ánh",INDEX('Phản ánh'!$K$6:$K$505,MATCH($C1027,'Phản ánh'!$A$6:$A$505,0))&amp;"",IF($I1027="Công việc",INDEX('Kế hoạch'!$N$6:$N$305,$O1027)&amp;"",""))</f>
      </c>
      <c r="L1027" s="220">
        <f>IF(OR($C1027="",N($B1027)=0),"",IF(AND($I1027="Phản ánh",$E1027="Đã xử lý"),INDEX('Phản ánh'!$U$6:$U$505,MATCH($C1027,'Phản ánh'!$A$6:$A$505,0)),IF(AND($I1027="Công việc",OR($E1027="Hoàn thành",$E1027="Hoàn thành kỳ")),IF(INDEX('Kế hoạch'!$B$6:$B$305,$O1027)="Đột xuất",INDEX('Kế hoạch'!$AY$6:$AY$305,$O1027),IF(N($P1027)=0,"",IF(INT($B1027)&lt;$P1027,$P1027,IF($Q1027&gt;0,$P1027+ROUND((INT($B1027)-$P1027)/$Q1027,0)*$Q1027,IF($R1027&gt;0,EDATE($P1027,ROUND((DATEDIF($P1027,INT($B1027),"m")+(INT($B1027)-EDATE($P1027,DATEDIF($P1027,INT($B1027),"m")))/(EDATE($P1027,DATEDIF($P1027,INT($B1027),"m")+1)-EDATE($P1027,DATEDIF($P1027,INT($B1027),"m"))))/$R1027,0)*$R1027),$P1027))))),"")))</f>
      </c>
      <c r="M1027" s="223">
        <f>IF(OR($C1027="",N($L1027)=0,N($B1027)=0),"",IF(IF(MOD($L1027,1)=0,INT($B1027),$B1027)&lt;=$L1027,"Đúng hạn","Trễ hạn"))</f>
      </c>
      <c r="N1027" s="225">
        <f>IF($C1027="","",ROW())</f>
      </c>
      <c r="O1027" s="225">
        <f>IF($I1027="Công việc",MATCH($C1027,'Kế hoạch'!$A$6:$A$305,0),"")</f>
      </c>
      <c r="P1027" s="234">
        <f>IF($O1027="","",INDEX('Kế hoạch'!$I$6:$I$305,$O1027))</f>
      </c>
      <c r="Q1027" s="225">
        <f>IF($O1027="","",INDEX('Kế hoạch'!$AJ$6:$AJ$305,$O1027))</f>
      </c>
      <c r="R1027" s="225">
        <f>IF($O1027="","",INDEX('Kế hoạch'!$AK$6:$AK$305,$O1027))</f>
      </c>
    </row>
    <row r="1028">
      <c r="A1028" s="223">
        <f>IF($C1028="","",COUNTIF($C$6:$C1028,"?*"))</f>
      </c>
      <c r="B1028" s="217"/>
      <c r="C1028" s="216"/>
      <c r="D1028" s="240"/>
      <c r="E1028" s="218"/>
      <c r="F1028" s="218"/>
      <c r="G1028" s="218"/>
      <c r="H1028" s="219"/>
      <c r="I1028" s="223">
        <f>IF($C1028="","",IF(ISNUMBER(MATCH($C1028,'Phản ánh'!$A$6:$A$505,0)),"Phản ánh",IF(ISNUMBER(MATCH($C1028,'Kế hoạch'!$A$6:$A$305,0)),"Công việc","Mã chưa có")))</f>
      </c>
      <c r="J1028" s="221">
        <f>IF($I1028="Phản ánh",INDEX('Phản ánh'!$C$6:$C$505,MATCH($C1028,'Phản ánh'!$A$6:$A$505,0)),IF($I1028="Công việc",INDEX('Kế hoạch'!$C$6:$C$305,$O1028),""))</f>
      </c>
      <c r="K1028" s="221">
        <f>IF($I1028="Phản ánh",INDEX('Phản ánh'!$K$6:$K$505,MATCH($C1028,'Phản ánh'!$A$6:$A$505,0))&amp;"",IF($I1028="Công việc",INDEX('Kế hoạch'!$N$6:$N$305,$O1028)&amp;"",""))</f>
      </c>
      <c r="L1028" s="220">
        <f>IF(OR($C1028="",N($B1028)=0),"",IF(AND($I1028="Phản ánh",$E1028="Đã xử lý"),INDEX('Phản ánh'!$U$6:$U$505,MATCH($C1028,'Phản ánh'!$A$6:$A$505,0)),IF(AND($I1028="Công việc",OR($E1028="Hoàn thành",$E1028="Hoàn thành kỳ")),IF(INDEX('Kế hoạch'!$B$6:$B$305,$O1028)="Đột xuất",INDEX('Kế hoạch'!$AY$6:$AY$305,$O1028),IF(N($P1028)=0,"",IF(INT($B1028)&lt;$P1028,$P1028,IF($Q1028&gt;0,$P1028+ROUND((INT($B1028)-$P1028)/$Q1028,0)*$Q1028,IF($R1028&gt;0,EDATE($P1028,ROUND((DATEDIF($P1028,INT($B1028),"m")+(INT($B1028)-EDATE($P1028,DATEDIF($P1028,INT($B1028),"m")))/(EDATE($P1028,DATEDIF($P1028,INT($B1028),"m")+1)-EDATE($P1028,DATEDIF($P1028,INT($B1028),"m"))))/$R1028,0)*$R1028),$P1028))))),"")))</f>
      </c>
      <c r="M1028" s="223">
        <f>IF(OR($C1028="",N($L1028)=0,N($B1028)=0),"",IF(IF(MOD($L1028,1)=0,INT($B1028),$B1028)&lt;=$L1028,"Đúng hạn","Trễ hạn"))</f>
      </c>
      <c r="N1028" s="225">
        <f>IF($C1028="","",ROW())</f>
      </c>
      <c r="O1028" s="225">
        <f>IF($I1028="Công việc",MATCH($C1028,'Kế hoạch'!$A$6:$A$305,0),"")</f>
      </c>
      <c r="P1028" s="234">
        <f>IF($O1028="","",INDEX('Kế hoạch'!$I$6:$I$305,$O1028))</f>
      </c>
      <c r="Q1028" s="225">
        <f>IF($O1028="","",INDEX('Kế hoạch'!$AJ$6:$AJ$305,$O1028))</f>
      </c>
      <c r="R1028" s="225">
        <f>IF($O1028="","",INDEX('Kế hoạch'!$AK$6:$AK$305,$O1028))</f>
      </c>
    </row>
    <row r="1029">
      <c r="A1029" s="223">
        <f>IF($C1029="","",COUNTIF($C$6:$C1029,"?*"))</f>
      </c>
      <c r="B1029" s="217"/>
      <c r="C1029" s="216"/>
      <c r="D1029" s="240"/>
      <c r="E1029" s="218"/>
      <c r="F1029" s="218"/>
      <c r="G1029" s="218"/>
      <c r="H1029" s="219"/>
      <c r="I1029" s="223">
        <f>IF($C1029="","",IF(ISNUMBER(MATCH($C1029,'Phản ánh'!$A$6:$A$505,0)),"Phản ánh",IF(ISNUMBER(MATCH($C1029,'Kế hoạch'!$A$6:$A$305,0)),"Công việc","Mã chưa có")))</f>
      </c>
      <c r="J1029" s="221">
        <f>IF($I1029="Phản ánh",INDEX('Phản ánh'!$C$6:$C$505,MATCH($C1029,'Phản ánh'!$A$6:$A$505,0)),IF($I1029="Công việc",INDEX('Kế hoạch'!$C$6:$C$305,$O1029),""))</f>
      </c>
      <c r="K1029" s="221">
        <f>IF($I1029="Phản ánh",INDEX('Phản ánh'!$K$6:$K$505,MATCH($C1029,'Phản ánh'!$A$6:$A$505,0))&amp;"",IF($I1029="Công việc",INDEX('Kế hoạch'!$N$6:$N$305,$O1029)&amp;"",""))</f>
      </c>
      <c r="L1029" s="220">
        <f>IF(OR($C1029="",N($B1029)=0),"",IF(AND($I1029="Phản ánh",$E1029="Đã xử lý"),INDEX('Phản ánh'!$U$6:$U$505,MATCH($C1029,'Phản ánh'!$A$6:$A$505,0)),IF(AND($I1029="Công việc",OR($E1029="Hoàn thành",$E1029="Hoàn thành kỳ")),IF(INDEX('Kế hoạch'!$B$6:$B$305,$O1029)="Đột xuất",INDEX('Kế hoạch'!$AY$6:$AY$305,$O1029),IF(N($P1029)=0,"",IF(INT($B1029)&lt;$P1029,$P1029,IF($Q1029&gt;0,$P1029+ROUND((INT($B1029)-$P1029)/$Q1029,0)*$Q1029,IF($R1029&gt;0,EDATE($P1029,ROUND((DATEDIF($P1029,INT($B1029),"m")+(INT($B1029)-EDATE($P1029,DATEDIF($P1029,INT($B1029),"m")))/(EDATE($P1029,DATEDIF($P1029,INT($B1029),"m")+1)-EDATE($P1029,DATEDIF($P1029,INT($B1029),"m"))))/$R1029,0)*$R1029),$P1029))))),"")))</f>
      </c>
      <c r="M1029" s="223">
        <f>IF(OR($C1029="",N($L1029)=0,N($B1029)=0),"",IF(IF(MOD($L1029,1)=0,INT($B1029),$B1029)&lt;=$L1029,"Đúng hạn","Trễ hạn"))</f>
      </c>
      <c r="N1029" s="225">
        <f>IF($C1029="","",ROW())</f>
      </c>
      <c r="O1029" s="225">
        <f>IF($I1029="Công việc",MATCH($C1029,'Kế hoạch'!$A$6:$A$305,0),"")</f>
      </c>
      <c r="P1029" s="234">
        <f>IF($O1029="","",INDEX('Kế hoạch'!$I$6:$I$305,$O1029))</f>
      </c>
      <c r="Q1029" s="225">
        <f>IF($O1029="","",INDEX('Kế hoạch'!$AJ$6:$AJ$305,$O1029))</f>
      </c>
      <c r="R1029" s="225">
        <f>IF($O1029="","",INDEX('Kế hoạch'!$AK$6:$AK$305,$O1029))</f>
      </c>
    </row>
    <row r="1030">
      <c r="A1030" s="223">
        <f>IF($C1030="","",COUNTIF($C$6:$C1030,"?*"))</f>
      </c>
      <c r="B1030" s="217"/>
      <c r="C1030" s="216"/>
      <c r="D1030" s="240"/>
      <c r="E1030" s="218"/>
      <c r="F1030" s="218"/>
      <c r="G1030" s="218"/>
      <c r="H1030" s="219"/>
      <c r="I1030" s="223">
        <f>IF($C1030="","",IF(ISNUMBER(MATCH($C1030,'Phản ánh'!$A$6:$A$505,0)),"Phản ánh",IF(ISNUMBER(MATCH($C1030,'Kế hoạch'!$A$6:$A$305,0)),"Công việc","Mã chưa có")))</f>
      </c>
      <c r="J1030" s="221">
        <f>IF($I1030="Phản ánh",INDEX('Phản ánh'!$C$6:$C$505,MATCH($C1030,'Phản ánh'!$A$6:$A$505,0)),IF($I1030="Công việc",INDEX('Kế hoạch'!$C$6:$C$305,$O1030),""))</f>
      </c>
      <c r="K1030" s="221">
        <f>IF($I1030="Phản ánh",INDEX('Phản ánh'!$K$6:$K$505,MATCH($C1030,'Phản ánh'!$A$6:$A$505,0))&amp;"",IF($I1030="Công việc",INDEX('Kế hoạch'!$N$6:$N$305,$O1030)&amp;"",""))</f>
      </c>
      <c r="L1030" s="220">
        <f>IF(OR($C1030="",N($B1030)=0),"",IF(AND($I1030="Phản ánh",$E1030="Đã xử lý"),INDEX('Phản ánh'!$U$6:$U$505,MATCH($C1030,'Phản ánh'!$A$6:$A$505,0)),IF(AND($I1030="Công việc",OR($E1030="Hoàn thành",$E1030="Hoàn thành kỳ")),IF(INDEX('Kế hoạch'!$B$6:$B$305,$O1030)="Đột xuất",INDEX('Kế hoạch'!$AY$6:$AY$305,$O1030),IF(N($P1030)=0,"",IF(INT($B1030)&lt;$P1030,$P1030,IF($Q1030&gt;0,$P1030+ROUND((INT($B1030)-$P1030)/$Q1030,0)*$Q1030,IF($R1030&gt;0,EDATE($P1030,ROUND((DATEDIF($P1030,INT($B1030),"m")+(INT($B1030)-EDATE($P1030,DATEDIF($P1030,INT($B1030),"m")))/(EDATE($P1030,DATEDIF($P1030,INT($B1030),"m")+1)-EDATE($P1030,DATEDIF($P1030,INT($B1030),"m"))))/$R1030,0)*$R1030),$P1030))))),"")))</f>
      </c>
      <c r="M1030" s="223">
        <f>IF(OR($C1030="",N($L1030)=0,N($B1030)=0),"",IF(IF(MOD($L1030,1)=0,INT($B1030),$B1030)&lt;=$L1030,"Đúng hạn","Trễ hạn"))</f>
      </c>
      <c r="N1030" s="225">
        <f>IF($C1030="","",ROW())</f>
      </c>
      <c r="O1030" s="225">
        <f>IF($I1030="Công việc",MATCH($C1030,'Kế hoạch'!$A$6:$A$305,0),"")</f>
      </c>
      <c r="P1030" s="234">
        <f>IF($O1030="","",INDEX('Kế hoạch'!$I$6:$I$305,$O1030))</f>
      </c>
      <c r="Q1030" s="225">
        <f>IF($O1030="","",INDEX('Kế hoạch'!$AJ$6:$AJ$305,$O1030))</f>
      </c>
      <c r="R1030" s="225">
        <f>IF($O1030="","",INDEX('Kế hoạch'!$AK$6:$AK$305,$O1030))</f>
      </c>
    </row>
    <row r="1031">
      <c r="A1031" s="223">
        <f>IF($C1031="","",COUNTIF($C$6:$C1031,"?*"))</f>
      </c>
      <c r="B1031" s="217"/>
      <c r="C1031" s="216"/>
      <c r="D1031" s="240"/>
      <c r="E1031" s="218"/>
      <c r="F1031" s="218"/>
      <c r="G1031" s="218"/>
      <c r="H1031" s="219"/>
      <c r="I1031" s="223">
        <f>IF($C1031="","",IF(ISNUMBER(MATCH($C1031,'Phản ánh'!$A$6:$A$505,0)),"Phản ánh",IF(ISNUMBER(MATCH($C1031,'Kế hoạch'!$A$6:$A$305,0)),"Công việc","Mã chưa có")))</f>
      </c>
      <c r="J1031" s="221">
        <f>IF($I1031="Phản ánh",INDEX('Phản ánh'!$C$6:$C$505,MATCH($C1031,'Phản ánh'!$A$6:$A$505,0)),IF($I1031="Công việc",INDEX('Kế hoạch'!$C$6:$C$305,$O1031),""))</f>
      </c>
      <c r="K1031" s="221">
        <f>IF($I1031="Phản ánh",INDEX('Phản ánh'!$K$6:$K$505,MATCH($C1031,'Phản ánh'!$A$6:$A$505,0))&amp;"",IF($I1031="Công việc",INDEX('Kế hoạch'!$N$6:$N$305,$O1031)&amp;"",""))</f>
      </c>
      <c r="L1031" s="220">
        <f>IF(OR($C1031="",N($B1031)=0),"",IF(AND($I1031="Phản ánh",$E1031="Đã xử lý"),INDEX('Phản ánh'!$U$6:$U$505,MATCH($C1031,'Phản ánh'!$A$6:$A$505,0)),IF(AND($I1031="Công việc",OR($E1031="Hoàn thành",$E1031="Hoàn thành kỳ")),IF(INDEX('Kế hoạch'!$B$6:$B$305,$O1031)="Đột xuất",INDEX('Kế hoạch'!$AY$6:$AY$305,$O1031),IF(N($P1031)=0,"",IF(INT($B1031)&lt;$P1031,$P1031,IF($Q1031&gt;0,$P1031+ROUND((INT($B1031)-$P1031)/$Q1031,0)*$Q1031,IF($R1031&gt;0,EDATE($P1031,ROUND((DATEDIF($P1031,INT($B1031),"m")+(INT($B1031)-EDATE($P1031,DATEDIF($P1031,INT($B1031),"m")))/(EDATE($P1031,DATEDIF($P1031,INT($B1031),"m")+1)-EDATE($P1031,DATEDIF($P1031,INT($B1031),"m"))))/$R1031,0)*$R1031),$P1031))))),"")))</f>
      </c>
      <c r="M1031" s="223">
        <f>IF(OR($C1031="",N($L1031)=0,N($B1031)=0),"",IF(IF(MOD($L1031,1)=0,INT($B1031),$B1031)&lt;=$L1031,"Đúng hạn","Trễ hạn"))</f>
      </c>
      <c r="N1031" s="225">
        <f>IF($C1031="","",ROW())</f>
      </c>
      <c r="O1031" s="225">
        <f>IF($I1031="Công việc",MATCH($C1031,'Kế hoạch'!$A$6:$A$305,0),"")</f>
      </c>
      <c r="P1031" s="234">
        <f>IF($O1031="","",INDEX('Kế hoạch'!$I$6:$I$305,$O1031))</f>
      </c>
      <c r="Q1031" s="225">
        <f>IF($O1031="","",INDEX('Kế hoạch'!$AJ$6:$AJ$305,$O1031))</f>
      </c>
      <c r="R1031" s="225">
        <f>IF($O1031="","",INDEX('Kế hoạch'!$AK$6:$AK$305,$O1031))</f>
      </c>
    </row>
    <row r="1032">
      <c r="A1032" s="223">
        <f>IF($C1032="","",COUNTIF($C$6:$C1032,"?*"))</f>
      </c>
      <c r="B1032" s="217"/>
      <c r="C1032" s="216"/>
      <c r="D1032" s="240"/>
      <c r="E1032" s="218"/>
      <c r="F1032" s="218"/>
      <c r="G1032" s="218"/>
      <c r="H1032" s="219"/>
      <c r="I1032" s="223">
        <f>IF($C1032="","",IF(ISNUMBER(MATCH($C1032,'Phản ánh'!$A$6:$A$505,0)),"Phản ánh",IF(ISNUMBER(MATCH($C1032,'Kế hoạch'!$A$6:$A$305,0)),"Công việc","Mã chưa có")))</f>
      </c>
      <c r="J1032" s="221">
        <f>IF($I1032="Phản ánh",INDEX('Phản ánh'!$C$6:$C$505,MATCH($C1032,'Phản ánh'!$A$6:$A$505,0)),IF($I1032="Công việc",INDEX('Kế hoạch'!$C$6:$C$305,$O1032),""))</f>
      </c>
      <c r="K1032" s="221">
        <f>IF($I1032="Phản ánh",INDEX('Phản ánh'!$K$6:$K$505,MATCH($C1032,'Phản ánh'!$A$6:$A$505,0))&amp;"",IF($I1032="Công việc",INDEX('Kế hoạch'!$N$6:$N$305,$O1032)&amp;"",""))</f>
      </c>
      <c r="L1032" s="220">
        <f>IF(OR($C1032="",N($B1032)=0),"",IF(AND($I1032="Phản ánh",$E1032="Đã xử lý"),INDEX('Phản ánh'!$U$6:$U$505,MATCH($C1032,'Phản ánh'!$A$6:$A$505,0)),IF(AND($I1032="Công việc",OR($E1032="Hoàn thành",$E1032="Hoàn thành kỳ")),IF(INDEX('Kế hoạch'!$B$6:$B$305,$O1032)="Đột xuất",INDEX('Kế hoạch'!$AY$6:$AY$305,$O1032),IF(N($P1032)=0,"",IF(INT($B1032)&lt;$P1032,$P1032,IF($Q1032&gt;0,$P1032+ROUND((INT($B1032)-$P1032)/$Q1032,0)*$Q1032,IF($R1032&gt;0,EDATE($P1032,ROUND((DATEDIF($P1032,INT($B1032),"m")+(INT($B1032)-EDATE($P1032,DATEDIF($P1032,INT($B1032),"m")))/(EDATE($P1032,DATEDIF($P1032,INT($B1032),"m")+1)-EDATE($P1032,DATEDIF($P1032,INT($B1032),"m"))))/$R1032,0)*$R1032),$P1032))))),"")))</f>
      </c>
      <c r="M1032" s="223">
        <f>IF(OR($C1032="",N($L1032)=0,N($B1032)=0),"",IF(IF(MOD($L1032,1)=0,INT($B1032),$B1032)&lt;=$L1032,"Đúng hạn","Trễ hạn"))</f>
      </c>
      <c r="N1032" s="225">
        <f>IF($C1032="","",ROW())</f>
      </c>
      <c r="O1032" s="225">
        <f>IF($I1032="Công việc",MATCH($C1032,'Kế hoạch'!$A$6:$A$305,0),"")</f>
      </c>
      <c r="P1032" s="234">
        <f>IF($O1032="","",INDEX('Kế hoạch'!$I$6:$I$305,$O1032))</f>
      </c>
      <c r="Q1032" s="225">
        <f>IF($O1032="","",INDEX('Kế hoạch'!$AJ$6:$AJ$305,$O1032))</f>
      </c>
      <c r="R1032" s="225">
        <f>IF($O1032="","",INDEX('Kế hoạch'!$AK$6:$AK$305,$O1032))</f>
      </c>
    </row>
    <row r="1033">
      <c r="A1033" s="223">
        <f>IF($C1033="","",COUNTIF($C$6:$C1033,"?*"))</f>
      </c>
      <c r="B1033" s="217"/>
      <c r="C1033" s="216"/>
      <c r="D1033" s="240"/>
      <c r="E1033" s="218"/>
      <c r="F1033" s="218"/>
      <c r="G1033" s="218"/>
      <c r="H1033" s="219"/>
      <c r="I1033" s="223">
        <f>IF($C1033="","",IF(ISNUMBER(MATCH($C1033,'Phản ánh'!$A$6:$A$505,0)),"Phản ánh",IF(ISNUMBER(MATCH($C1033,'Kế hoạch'!$A$6:$A$305,0)),"Công việc","Mã chưa có")))</f>
      </c>
      <c r="J1033" s="221">
        <f>IF($I1033="Phản ánh",INDEX('Phản ánh'!$C$6:$C$505,MATCH($C1033,'Phản ánh'!$A$6:$A$505,0)),IF($I1033="Công việc",INDEX('Kế hoạch'!$C$6:$C$305,$O1033),""))</f>
      </c>
      <c r="K1033" s="221">
        <f>IF($I1033="Phản ánh",INDEX('Phản ánh'!$K$6:$K$505,MATCH($C1033,'Phản ánh'!$A$6:$A$505,0))&amp;"",IF($I1033="Công việc",INDEX('Kế hoạch'!$N$6:$N$305,$O1033)&amp;"",""))</f>
      </c>
      <c r="L1033" s="220">
        <f>IF(OR($C1033="",N($B1033)=0),"",IF(AND($I1033="Phản ánh",$E1033="Đã xử lý"),INDEX('Phản ánh'!$U$6:$U$505,MATCH($C1033,'Phản ánh'!$A$6:$A$505,0)),IF(AND($I1033="Công việc",OR($E1033="Hoàn thành",$E1033="Hoàn thành kỳ")),IF(INDEX('Kế hoạch'!$B$6:$B$305,$O1033)="Đột xuất",INDEX('Kế hoạch'!$AY$6:$AY$305,$O1033),IF(N($P1033)=0,"",IF(INT($B1033)&lt;$P1033,$P1033,IF($Q1033&gt;0,$P1033+ROUND((INT($B1033)-$P1033)/$Q1033,0)*$Q1033,IF($R1033&gt;0,EDATE($P1033,ROUND((DATEDIF($P1033,INT($B1033),"m")+(INT($B1033)-EDATE($P1033,DATEDIF($P1033,INT($B1033),"m")))/(EDATE($P1033,DATEDIF($P1033,INT($B1033),"m")+1)-EDATE($P1033,DATEDIF($P1033,INT($B1033),"m"))))/$R1033,0)*$R1033),$P1033))))),"")))</f>
      </c>
      <c r="M1033" s="223">
        <f>IF(OR($C1033="",N($L1033)=0,N($B1033)=0),"",IF(IF(MOD($L1033,1)=0,INT($B1033),$B1033)&lt;=$L1033,"Đúng hạn","Trễ hạn"))</f>
      </c>
      <c r="N1033" s="225">
        <f>IF($C1033="","",ROW())</f>
      </c>
      <c r="O1033" s="225">
        <f>IF($I1033="Công việc",MATCH($C1033,'Kế hoạch'!$A$6:$A$305,0),"")</f>
      </c>
      <c r="P1033" s="234">
        <f>IF($O1033="","",INDEX('Kế hoạch'!$I$6:$I$305,$O1033))</f>
      </c>
      <c r="Q1033" s="225">
        <f>IF($O1033="","",INDEX('Kế hoạch'!$AJ$6:$AJ$305,$O1033))</f>
      </c>
      <c r="R1033" s="225">
        <f>IF($O1033="","",INDEX('Kế hoạch'!$AK$6:$AK$305,$O1033))</f>
      </c>
    </row>
    <row r="1034">
      <c r="A1034" s="223">
        <f>IF($C1034="","",COUNTIF($C$6:$C1034,"?*"))</f>
      </c>
      <c r="B1034" s="217"/>
      <c r="C1034" s="216"/>
      <c r="D1034" s="240"/>
      <c r="E1034" s="218"/>
      <c r="F1034" s="218"/>
      <c r="G1034" s="218"/>
      <c r="H1034" s="219"/>
      <c r="I1034" s="223">
        <f>IF($C1034="","",IF(ISNUMBER(MATCH($C1034,'Phản ánh'!$A$6:$A$505,0)),"Phản ánh",IF(ISNUMBER(MATCH($C1034,'Kế hoạch'!$A$6:$A$305,0)),"Công việc","Mã chưa có")))</f>
      </c>
      <c r="J1034" s="221">
        <f>IF($I1034="Phản ánh",INDEX('Phản ánh'!$C$6:$C$505,MATCH($C1034,'Phản ánh'!$A$6:$A$505,0)),IF($I1034="Công việc",INDEX('Kế hoạch'!$C$6:$C$305,$O1034),""))</f>
      </c>
      <c r="K1034" s="221">
        <f>IF($I1034="Phản ánh",INDEX('Phản ánh'!$K$6:$K$505,MATCH($C1034,'Phản ánh'!$A$6:$A$505,0))&amp;"",IF($I1034="Công việc",INDEX('Kế hoạch'!$N$6:$N$305,$O1034)&amp;"",""))</f>
      </c>
      <c r="L1034" s="220">
        <f>IF(OR($C1034="",N($B1034)=0),"",IF(AND($I1034="Phản ánh",$E1034="Đã xử lý"),INDEX('Phản ánh'!$U$6:$U$505,MATCH($C1034,'Phản ánh'!$A$6:$A$505,0)),IF(AND($I1034="Công việc",OR($E1034="Hoàn thành",$E1034="Hoàn thành kỳ")),IF(INDEX('Kế hoạch'!$B$6:$B$305,$O1034)="Đột xuất",INDEX('Kế hoạch'!$AY$6:$AY$305,$O1034),IF(N($P1034)=0,"",IF(INT($B1034)&lt;$P1034,$P1034,IF($Q1034&gt;0,$P1034+ROUND((INT($B1034)-$P1034)/$Q1034,0)*$Q1034,IF($R1034&gt;0,EDATE($P1034,ROUND((DATEDIF($P1034,INT($B1034),"m")+(INT($B1034)-EDATE($P1034,DATEDIF($P1034,INT($B1034),"m")))/(EDATE($P1034,DATEDIF($P1034,INT($B1034),"m")+1)-EDATE($P1034,DATEDIF($P1034,INT($B1034),"m"))))/$R1034,0)*$R1034),$P1034))))),"")))</f>
      </c>
      <c r="M1034" s="223">
        <f>IF(OR($C1034="",N($L1034)=0,N($B1034)=0),"",IF(IF(MOD($L1034,1)=0,INT($B1034),$B1034)&lt;=$L1034,"Đúng hạn","Trễ hạn"))</f>
      </c>
      <c r="N1034" s="225">
        <f>IF($C1034="","",ROW())</f>
      </c>
      <c r="O1034" s="225">
        <f>IF($I1034="Công việc",MATCH($C1034,'Kế hoạch'!$A$6:$A$305,0),"")</f>
      </c>
      <c r="P1034" s="234">
        <f>IF($O1034="","",INDEX('Kế hoạch'!$I$6:$I$305,$O1034))</f>
      </c>
      <c r="Q1034" s="225">
        <f>IF($O1034="","",INDEX('Kế hoạch'!$AJ$6:$AJ$305,$O1034))</f>
      </c>
      <c r="R1034" s="225">
        <f>IF($O1034="","",INDEX('Kế hoạch'!$AK$6:$AK$305,$O1034))</f>
      </c>
    </row>
    <row r="1035">
      <c r="A1035" s="223">
        <f>IF($C1035="","",COUNTIF($C$6:$C1035,"?*"))</f>
      </c>
      <c r="B1035" s="217"/>
      <c r="C1035" s="216"/>
      <c r="D1035" s="240"/>
      <c r="E1035" s="218"/>
      <c r="F1035" s="218"/>
      <c r="G1035" s="218"/>
      <c r="H1035" s="219"/>
      <c r="I1035" s="223">
        <f>IF($C1035="","",IF(ISNUMBER(MATCH($C1035,'Phản ánh'!$A$6:$A$505,0)),"Phản ánh",IF(ISNUMBER(MATCH($C1035,'Kế hoạch'!$A$6:$A$305,0)),"Công việc","Mã chưa có")))</f>
      </c>
      <c r="J1035" s="221">
        <f>IF($I1035="Phản ánh",INDEX('Phản ánh'!$C$6:$C$505,MATCH($C1035,'Phản ánh'!$A$6:$A$505,0)),IF($I1035="Công việc",INDEX('Kế hoạch'!$C$6:$C$305,$O1035),""))</f>
      </c>
      <c r="K1035" s="221">
        <f>IF($I1035="Phản ánh",INDEX('Phản ánh'!$K$6:$K$505,MATCH($C1035,'Phản ánh'!$A$6:$A$505,0))&amp;"",IF($I1035="Công việc",INDEX('Kế hoạch'!$N$6:$N$305,$O1035)&amp;"",""))</f>
      </c>
      <c r="L1035" s="220">
        <f>IF(OR($C1035="",N($B1035)=0),"",IF(AND($I1035="Phản ánh",$E1035="Đã xử lý"),INDEX('Phản ánh'!$U$6:$U$505,MATCH($C1035,'Phản ánh'!$A$6:$A$505,0)),IF(AND($I1035="Công việc",OR($E1035="Hoàn thành",$E1035="Hoàn thành kỳ")),IF(INDEX('Kế hoạch'!$B$6:$B$305,$O1035)="Đột xuất",INDEX('Kế hoạch'!$AY$6:$AY$305,$O1035),IF(N($P1035)=0,"",IF(INT($B1035)&lt;$P1035,$P1035,IF($Q1035&gt;0,$P1035+ROUND((INT($B1035)-$P1035)/$Q1035,0)*$Q1035,IF($R1035&gt;0,EDATE($P1035,ROUND((DATEDIF($P1035,INT($B1035),"m")+(INT($B1035)-EDATE($P1035,DATEDIF($P1035,INT($B1035),"m")))/(EDATE($P1035,DATEDIF($P1035,INT($B1035),"m")+1)-EDATE($P1035,DATEDIF($P1035,INT($B1035),"m"))))/$R1035,0)*$R1035),$P1035))))),"")))</f>
      </c>
      <c r="M1035" s="223">
        <f>IF(OR($C1035="",N($L1035)=0,N($B1035)=0),"",IF(IF(MOD($L1035,1)=0,INT($B1035),$B1035)&lt;=$L1035,"Đúng hạn","Trễ hạn"))</f>
      </c>
      <c r="N1035" s="225">
        <f>IF($C1035="","",ROW())</f>
      </c>
      <c r="O1035" s="225">
        <f>IF($I1035="Công việc",MATCH($C1035,'Kế hoạch'!$A$6:$A$305,0),"")</f>
      </c>
      <c r="P1035" s="234">
        <f>IF($O1035="","",INDEX('Kế hoạch'!$I$6:$I$305,$O1035))</f>
      </c>
      <c r="Q1035" s="225">
        <f>IF($O1035="","",INDEX('Kế hoạch'!$AJ$6:$AJ$305,$O1035))</f>
      </c>
      <c r="R1035" s="225">
        <f>IF($O1035="","",INDEX('Kế hoạch'!$AK$6:$AK$305,$O1035))</f>
      </c>
    </row>
    <row r="1036">
      <c r="A1036" s="223">
        <f>IF($C1036="","",COUNTIF($C$6:$C1036,"?*"))</f>
      </c>
      <c r="B1036" s="217"/>
      <c r="C1036" s="216"/>
      <c r="D1036" s="240"/>
      <c r="E1036" s="218"/>
      <c r="F1036" s="218"/>
      <c r="G1036" s="218"/>
      <c r="H1036" s="219"/>
      <c r="I1036" s="223">
        <f>IF($C1036="","",IF(ISNUMBER(MATCH($C1036,'Phản ánh'!$A$6:$A$505,0)),"Phản ánh",IF(ISNUMBER(MATCH($C1036,'Kế hoạch'!$A$6:$A$305,0)),"Công việc","Mã chưa có")))</f>
      </c>
      <c r="J1036" s="221">
        <f>IF($I1036="Phản ánh",INDEX('Phản ánh'!$C$6:$C$505,MATCH($C1036,'Phản ánh'!$A$6:$A$505,0)),IF($I1036="Công việc",INDEX('Kế hoạch'!$C$6:$C$305,$O1036),""))</f>
      </c>
      <c r="K1036" s="221">
        <f>IF($I1036="Phản ánh",INDEX('Phản ánh'!$K$6:$K$505,MATCH($C1036,'Phản ánh'!$A$6:$A$505,0))&amp;"",IF($I1036="Công việc",INDEX('Kế hoạch'!$N$6:$N$305,$O1036)&amp;"",""))</f>
      </c>
      <c r="L1036" s="220">
        <f>IF(OR($C1036="",N($B1036)=0),"",IF(AND($I1036="Phản ánh",$E1036="Đã xử lý"),INDEX('Phản ánh'!$U$6:$U$505,MATCH($C1036,'Phản ánh'!$A$6:$A$505,0)),IF(AND($I1036="Công việc",OR($E1036="Hoàn thành",$E1036="Hoàn thành kỳ")),IF(INDEX('Kế hoạch'!$B$6:$B$305,$O1036)="Đột xuất",INDEX('Kế hoạch'!$AY$6:$AY$305,$O1036),IF(N($P1036)=0,"",IF(INT($B1036)&lt;$P1036,$P1036,IF($Q1036&gt;0,$P1036+ROUND((INT($B1036)-$P1036)/$Q1036,0)*$Q1036,IF($R1036&gt;0,EDATE($P1036,ROUND((DATEDIF($P1036,INT($B1036),"m")+(INT($B1036)-EDATE($P1036,DATEDIF($P1036,INT($B1036),"m")))/(EDATE($P1036,DATEDIF($P1036,INT($B1036),"m")+1)-EDATE($P1036,DATEDIF($P1036,INT($B1036),"m"))))/$R1036,0)*$R1036),$P1036))))),"")))</f>
      </c>
      <c r="M1036" s="223">
        <f>IF(OR($C1036="",N($L1036)=0,N($B1036)=0),"",IF(IF(MOD($L1036,1)=0,INT($B1036),$B1036)&lt;=$L1036,"Đúng hạn","Trễ hạn"))</f>
      </c>
      <c r="N1036" s="225">
        <f>IF($C1036="","",ROW())</f>
      </c>
      <c r="O1036" s="225">
        <f>IF($I1036="Công việc",MATCH($C1036,'Kế hoạch'!$A$6:$A$305,0),"")</f>
      </c>
      <c r="P1036" s="234">
        <f>IF($O1036="","",INDEX('Kế hoạch'!$I$6:$I$305,$O1036))</f>
      </c>
      <c r="Q1036" s="225">
        <f>IF($O1036="","",INDEX('Kế hoạch'!$AJ$6:$AJ$305,$O1036))</f>
      </c>
      <c r="R1036" s="225">
        <f>IF($O1036="","",INDEX('Kế hoạch'!$AK$6:$AK$305,$O1036))</f>
      </c>
    </row>
    <row r="1037">
      <c r="A1037" s="223">
        <f>IF($C1037="","",COUNTIF($C$6:$C1037,"?*"))</f>
      </c>
      <c r="B1037" s="217"/>
      <c r="C1037" s="216"/>
      <c r="D1037" s="240"/>
      <c r="E1037" s="218"/>
      <c r="F1037" s="218"/>
      <c r="G1037" s="218"/>
      <c r="H1037" s="219"/>
      <c r="I1037" s="223">
        <f>IF($C1037="","",IF(ISNUMBER(MATCH($C1037,'Phản ánh'!$A$6:$A$505,0)),"Phản ánh",IF(ISNUMBER(MATCH($C1037,'Kế hoạch'!$A$6:$A$305,0)),"Công việc","Mã chưa có")))</f>
      </c>
      <c r="J1037" s="221">
        <f>IF($I1037="Phản ánh",INDEX('Phản ánh'!$C$6:$C$505,MATCH($C1037,'Phản ánh'!$A$6:$A$505,0)),IF($I1037="Công việc",INDEX('Kế hoạch'!$C$6:$C$305,$O1037),""))</f>
      </c>
      <c r="K1037" s="221">
        <f>IF($I1037="Phản ánh",INDEX('Phản ánh'!$K$6:$K$505,MATCH($C1037,'Phản ánh'!$A$6:$A$505,0))&amp;"",IF($I1037="Công việc",INDEX('Kế hoạch'!$N$6:$N$305,$O1037)&amp;"",""))</f>
      </c>
      <c r="L1037" s="220">
        <f>IF(OR($C1037="",N($B1037)=0),"",IF(AND($I1037="Phản ánh",$E1037="Đã xử lý"),INDEX('Phản ánh'!$U$6:$U$505,MATCH($C1037,'Phản ánh'!$A$6:$A$505,0)),IF(AND($I1037="Công việc",OR($E1037="Hoàn thành",$E1037="Hoàn thành kỳ")),IF(INDEX('Kế hoạch'!$B$6:$B$305,$O1037)="Đột xuất",INDEX('Kế hoạch'!$AY$6:$AY$305,$O1037),IF(N($P1037)=0,"",IF(INT($B1037)&lt;$P1037,$P1037,IF($Q1037&gt;0,$P1037+ROUND((INT($B1037)-$P1037)/$Q1037,0)*$Q1037,IF($R1037&gt;0,EDATE($P1037,ROUND((DATEDIF($P1037,INT($B1037),"m")+(INT($B1037)-EDATE($P1037,DATEDIF($P1037,INT($B1037),"m")))/(EDATE($P1037,DATEDIF($P1037,INT($B1037),"m")+1)-EDATE($P1037,DATEDIF($P1037,INT($B1037),"m"))))/$R1037,0)*$R1037),$P1037))))),"")))</f>
      </c>
      <c r="M1037" s="223">
        <f>IF(OR($C1037="",N($L1037)=0,N($B1037)=0),"",IF(IF(MOD($L1037,1)=0,INT($B1037),$B1037)&lt;=$L1037,"Đúng hạn","Trễ hạn"))</f>
      </c>
      <c r="N1037" s="225">
        <f>IF($C1037="","",ROW())</f>
      </c>
      <c r="O1037" s="225">
        <f>IF($I1037="Công việc",MATCH($C1037,'Kế hoạch'!$A$6:$A$305,0),"")</f>
      </c>
      <c r="P1037" s="234">
        <f>IF($O1037="","",INDEX('Kế hoạch'!$I$6:$I$305,$O1037))</f>
      </c>
      <c r="Q1037" s="225">
        <f>IF($O1037="","",INDEX('Kế hoạch'!$AJ$6:$AJ$305,$O1037))</f>
      </c>
      <c r="R1037" s="225">
        <f>IF($O1037="","",INDEX('Kế hoạch'!$AK$6:$AK$305,$O1037))</f>
      </c>
    </row>
    <row r="1038">
      <c r="A1038" s="223">
        <f>IF($C1038="","",COUNTIF($C$6:$C1038,"?*"))</f>
      </c>
      <c r="B1038" s="217"/>
      <c r="C1038" s="216"/>
      <c r="D1038" s="240"/>
      <c r="E1038" s="218"/>
      <c r="F1038" s="218"/>
      <c r="G1038" s="218"/>
      <c r="H1038" s="219"/>
      <c r="I1038" s="223">
        <f>IF($C1038="","",IF(ISNUMBER(MATCH($C1038,'Phản ánh'!$A$6:$A$505,0)),"Phản ánh",IF(ISNUMBER(MATCH($C1038,'Kế hoạch'!$A$6:$A$305,0)),"Công việc","Mã chưa có")))</f>
      </c>
      <c r="J1038" s="221">
        <f>IF($I1038="Phản ánh",INDEX('Phản ánh'!$C$6:$C$505,MATCH($C1038,'Phản ánh'!$A$6:$A$505,0)),IF($I1038="Công việc",INDEX('Kế hoạch'!$C$6:$C$305,$O1038),""))</f>
      </c>
      <c r="K1038" s="221">
        <f>IF($I1038="Phản ánh",INDEX('Phản ánh'!$K$6:$K$505,MATCH($C1038,'Phản ánh'!$A$6:$A$505,0))&amp;"",IF($I1038="Công việc",INDEX('Kế hoạch'!$N$6:$N$305,$O1038)&amp;"",""))</f>
      </c>
      <c r="L1038" s="220">
        <f>IF(OR($C1038="",N($B1038)=0),"",IF(AND($I1038="Phản ánh",$E1038="Đã xử lý"),INDEX('Phản ánh'!$U$6:$U$505,MATCH($C1038,'Phản ánh'!$A$6:$A$505,0)),IF(AND($I1038="Công việc",OR($E1038="Hoàn thành",$E1038="Hoàn thành kỳ")),IF(INDEX('Kế hoạch'!$B$6:$B$305,$O1038)="Đột xuất",INDEX('Kế hoạch'!$AY$6:$AY$305,$O1038),IF(N($P1038)=0,"",IF(INT($B1038)&lt;$P1038,$P1038,IF($Q1038&gt;0,$P1038+ROUND((INT($B1038)-$P1038)/$Q1038,0)*$Q1038,IF($R1038&gt;0,EDATE($P1038,ROUND((DATEDIF($P1038,INT($B1038),"m")+(INT($B1038)-EDATE($P1038,DATEDIF($P1038,INT($B1038),"m")))/(EDATE($P1038,DATEDIF($P1038,INT($B1038),"m")+1)-EDATE($P1038,DATEDIF($P1038,INT($B1038),"m"))))/$R1038,0)*$R1038),$P1038))))),"")))</f>
      </c>
      <c r="M1038" s="223">
        <f>IF(OR($C1038="",N($L1038)=0,N($B1038)=0),"",IF(IF(MOD($L1038,1)=0,INT($B1038),$B1038)&lt;=$L1038,"Đúng hạn","Trễ hạn"))</f>
      </c>
      <c r="N1038" s="225">
        <f>IF($C1038="","",ROW())</f>
      </c>
      <c r="O1038" s="225">
        <f>IF($I1038="Công việc",MATCH($C1038,'Kế hoạch'!$A$6:$A$305,0),"")</f>
      </c>
      <c r="P1038" s="234">
        <f>IF($O1038="","",INDEX('Kế hoạch'!$I$6:$I$305,$O1038))</f>
      </c>
      <c r="Q1038" s="225">
        <f>IF($O1038="","",INDEX('Kế hoạch'!$AJ$6:$AJ$305,$O1038))</f>
      </c>
      <c r="R1038" s="225">
        <f>IF($O1038="","",INDEX('Kế hoạch'!$AK$6:$AK$305,$O1038))</f>
      </c>
    </row>
    <row r="1039">
      <c r="A1039" s="223">
        <f>IF($C1039="","",COUNTIF($C$6:$C1039,"?*"))</f>
      </c>
      <c r="B1039" s="217"/>
      <c r="C1039" s="216"/>
      <c r="D1039" s="240"/>
      <c r="E1039" s="218"/>
      <c r="F1039" s="218"/>
      <c r="G1039" s="218"/>
      <c r="H1039" s="219"/>
      <c r="I1039" s="223">
        <f>IF($C1039="","",IF(ISNUMBER(MATCH($C1039,'Phản ánh'!$A$6:$A$505,0)),"Phản ánh",IF(ISNUMBER(MATCH($C1039,'Kế hoạch'!$A$6:$A$305,0)),"Công việc","Mã chưa có")))</f>
      </c>
      <c r="J1039" s="221">
        <f>IF($I1039="Phản ánh",INDEX('Phản ánh'!$C$6:$C$505,MATCH($C1039,'Phản ánh'!$A$6:$A$505,0)),IF($I1039="Công việc",INDEX('Kế hoạch'!$C$6:$C$305,$O1039),""))</f>
      </c>
      <c r="K1039" s="221">
        <f>IF($I1039="Phản ánh",INDEX('Phản ánh'!$K$6:$K$505,MATCH($C1039,'Phản ánh'!$A$6:$A$505,0))&amp;"",IF($I1039="Công việc",INDEX('Kế hoạch'!$N$6:$N$305,$O1039)&amp;"",""))</f>
      </c>
      <c r="L1039" s="220">
        <f>IF(OR($C1039="",N($B1039)=0),"",IF(AND($I1039="Phản ánh",$E1039="Đã xử lý"),INDEX('Phản ánh'!$U$6:$U$505,MATCH($C1039,'Phản ánh'!$A$6:$A$505,0)),IF(AND($I1039="Công việc",OR($E1039="Hoàn thành",$E1039="Hoàn thành kỳ")),IF(INDEX('Kế hoạch'!$B$6:$B$305,$O1039)="Đột xuất",INDEX('Kế hoạch'!$AY$6:$AY$305,$O1039),IF(N($P1039)=0,"",IF(INT($B1039)&lt;$P1039,$P1039,IF($Q1039&gt;0,$P1039+ROUND((INT($B1039)-$P1039)/$Q1039,0)*$Q1039,IF($R1039&gt;0,EDATE($P1039,ROUND((DATEDIF($P1039,INT($B1039),"m")+(INT($B1039)-EDATE($P1039,DATEDIF($P1039,INT($B1039),"m")))/(EDATE($P1039,DATEDIF($P1039,INT($B1039),"m")+1)-EDATE($P1039,DATEDIF($P1039,INT($B1039),"m"))))/$R1039,0)*$R1039),$P1039))))),"")))</f>
      </c>
      <c r="M1039" s="223">
        <f>IF(OR($C1039="",N($L1039)=0,N($B1039)=0),"",IF(IF(MOD($L1039,1)=0,INT($B1039),$B1039)&lt;=$L1039,"Đúng hạn","Trễ hạn"))</f>
      </c>
      <c r="N1039" s="225">
        <f>IF($C1039="","",ROW())</f>
      </c>
      <c r="O1039" s="225">
        <f>IF($I1039="Công việc",MATCH($C1039,'Kế hoạch'!$A$6:$A$305,0),"")</f>
      </c>
      <c r="P1039" s="234">
        <f>IF($O1039="","",INDEX('Kế hoạch'!$I$6:$I$305,$O1039))</f>
      </c>
      <c r="Q1039" s="225">
        <f>IF($O1039="","",INDEX('Kế hoạch'!$AJ$6:$AJ$305,$O1039))</f>
      </c>
      <c r="R1039" s="225">
        <f>IF($O1039="","",INDEX('Kế hoạch'!$AK$6:$AK$305,$O1039))</f>
      </c>
    </row>
    <row r="1040">
      <c r="A1040" s="223">
        <f>IF($C1040="","",COUNTIF($C$6:$C1040,"?*"))</f>
      </c>
      <c r="B1040" s="217"/>
      <c r="C1040" s="216"/>
      <c r="D1040" s="240"/>
      <c r="E1040" s="218"/>
      <c r="F1040" s="218"/>
      <c r="G1040" s="218"/>
      <c r="H1040" s="219"/>
      <c r="I1040" s="223">
        <f>IF($C1040="","",IF(ISNUMBER(MATCH($C1040,'Phản ánh'!$A$6:$A$505,0)),"Phản ánh",IF(ISNUMBER(MATCH($C1040,'Kế hoạch'!$A$6:$A$305,0)),"Công việc","Mã chưa có")))</f>
      </c>
      <c r="J1040" s="221">
        <f>IF($I1040="Phản ánh",INDEX('Phản ánh'!$C$6:$C$505,MATCH($C1040,'Phản ánh'!$A$6:$A$505,0)),IF($I1040="Công việc",INDEX('Kế hoạch'!$C$6:$C$305,$O1040),""))</f>
      </c>
      <c r="K1040" s="221">
        <f>IF($I1040="Phản ánh",INDEX('Phản ánh'!$K$6:$K$505,MATCH($C1040,'Phản ánh'!$A$6:$A$505,0))&amp;"",IF($I1040="Công việc",INDEX('Kế hoạch'!$N$6:$N$305,$O1040)&amp;"",""))</f>
      </c>
      <c r="L1040" s="220">
        <f>IF(OR($C1040="",N($B1040)=0),"",IF(AND($I1040="Phản ánh",$E1040="Đã xử lý"),INDEX('Phản ánh'!$U$6:$U$505,MATCH($C1040,'Phản ánh'!$A$6:$A$505,0)),IF(AND($I1040="Công việc",OR($E1040="Hoàn thành",$E1040="Hoàn thành kỳ")),IF(INDEX('Kế hoạch'!$B$6:$B$305,$O1040)="Đột xuất",INDEX('Kế hoạch'!$AY$6:$AY$305,$O1040),IF(N($P1040)=0,"",IF(INT($B1040)&lt;$P1040,$P1040,IF($Q1040&gt;0,$P1040+ROUND((INT($B1040)-$P1040)/$Q1040,0)*$Q1040,IF($R1040&gt;0,EDATE($P1040,ROUND((DATEDIF($P1040,INT($B1040),"m")+(INT($B1040)-EDATE($P1040,DATEDIF($P1040,INT($B1040),"m")))/(EDATE($P1040,DATEDIF($P1040,INT($B1040),"m")+1)-EDATE($P1040,DATEDIF($P1040,INT($B1040),"m"))))/$R1040,0)*$R1040),$P1040))))),"")))</f>
      </c>
      <c r="M1040" s="223">
        <f>IF(OR($C1040="",N($L1040)=0,N($B1040)=0),"",IF(IF(MOD($L1040,1)=0,INT($B1040),$B1040)&lt;=$L1040,"Đúng hạn","Trễ hạn"))</f>
      </c>
      <c r="N1040" s="225">
        <f>IF($C1040="","",ROW())</f>
      </c>
      <c r="O1040" s="225">
        <f>IF($I1040="Công việc",MATCH($C1040,'Kế hoạch'!$A$6:$A$305,0),"")</f>
      </c>
      <c r="P1040" s="234">
        <f>IF($O1040="","",INDEX('Kế hoạch'!$I$6:$I$305,$O1040))</f>
      </c>
      <c r="Q1040" s="225">
        <f>IF($O1040="","",INDEX('Kế hoạch'!$AJ$6:$AJ$305,$O1040))</f>
      </c>
      <c r="R1040" s="225">
        <f>IF($O1040="","",INDEX('Kế hoạch'!$AK$6:$AK$305,$O1040))</f>
      </c>
    </row>
    <row r="1041">
      <c r="A1041" s="223">
        <f>IF($C1041="","",COUNTIF($C$6:$C1041,"?*"))</f>
      </c>
      <c r="B1041" s="217"/>
      <c r="C1041" s="216"/>
      <c r="D1041" s="240"/>
      <c r="E1041" s="218"/>
      <c r="F1041" s="218"/>
      <c r="G1041" s="218"/>
      <c r="H1041" s="219"/>
      <c r="I1041" s="223">
        <f>IF($C1041="","",IF(ISNUMBER(MATCH($C1041,'Phản ánh'!$A$6:$A$505,0)),"Phản ánh",IF(ISNUMBER(MATCH($C1041,'Kế hoạch'!$A$6:$A$305,0)),"Công việc","Mã chưa có")))</f>
      </c>
      <c r="J1041" s="221">
        <f>IF($I1041="Phản ánh",INDEX('Phản ánh'!$C$6:$C$505,MATCH($C1041,'Phản ánh'!$A$6:$A$505,0)),IF($I1041="Công việc",INDEX('Kế hoạch'!$C$6:$C$305,$O1041),""))</f>
      </c>
      <c r="K1041" s="221">
        <f>IF($I1041="Phản ánh",INDEX('Phản ánh'!$K$6:$K$505,MATCH($C1041,'Phản ánh'!$A$6:$A$505,0))&amp;"",IF($I1041="Công việc",INDEX('Kế hoạch'!$N$6:$N$305,$O1041)&amp;"",""))</f>
      </c>
      <c r="L1041" s="220">
        <f>IF(OR($C1041="",N($B1041)=0),"",IF(AND($I1041="Phản ánh",$E1041="Đã xử lý"),INDEX('Phản ánh'!$U$6:$U$505,MATCH($C1041,'Phản ánh'!$A$6:$A$505,0)),IF(AND($I1041="Công việc",OR($E1041="Hoàn thành",$E1041="Hoàn thành kỳ")),IF(INDEX('Kế hoạch'!$B$6:$B$305,$O1041)="Đột xuất",INDEX('Kế hoạch'!$AY$6:$AY$305,$O1041),IF(N($P1041)=0,"",IF(INT($B1041)&lt;$P1041,$P1041,IF($Q1041&gt;0,$P1041+ROUND((INT($B1041)-$P1041)/$Q1041,0)*$Q1041,IF($R1041&gt;0,EDATE($P1041,ROUND((DATEDIF($P1041,INT($B1041),"m")+(INT($B1041)-EDATE($P1041,DATEDIF($P1041,INT($B1041),"m")))/(EDATE($P1041,DATEDIF($P1041,INT($B1041),"m")+1)-EDATE($P1041,DATEDIF($P1041,INT($B1041),"m"))))/$R1041,0)*$R1041),$P1041))))),"")))</f>
      </c>
      <c r="M1041" s="223">
        <f>IF(OR($C1041="",N($L1041)=0,N($B1041)=0),"",IF(IF(MOD($L1041,1)=0,INT($B1041),$B1041)&lt;=$L1041,"Đúng hạn","Trễ hạn"))</f>
      </c>
      <c r="N1041" s="225">
        <f>IF($C1041="","",ROW())</f>
      </c>
      <c r="O1041" s="225">
        <f>IF($I1041="Công việc",MATCH($C1041,'Kế hoạch'!$A$6:$A$305,0),"")</f>
      </c>
      <c r="P1041" s="234">
        <f>IF($O1041="","",INDEX('Kế hoạch'!$I$6:$I$305,$O1041))</f>
      </c>
      <c r="Q1041" s="225">
        <f>IF($O1041="","",INDEX('Kế hoạch'!$AJ$6:$AJ$305,$O1041))</f>
      </c>
      <c r="R1041" s="225">
        <f>IF($O1041="","",INDEX('Kế hoạch'!$AK$6:$AK$305,$O1041))</f>
      </c>
    </row>
    <row r="1042">
      <c r="A1042" s="223">
        <f>IF($C1042="","",COUNTIF($C$6:$C1042,"?*"))</f>
      </c>
      <c r="B1042" s="217"/>
      <c r="C1042" s="216"/>
      <c r="D1042" s="240"/>
      <c r="E1042" s="218"/>
      <c r="F1042" s="218"/>
      <c r="G1042" s="218"/>
      <c r="H1042" s="219"/>
      <c r="I1042" s="223">
        <f>IF($C1042="","",IF(ISNUMBER(MATCH($C1042,'Phản ánh'!$A$6:$A$505,0)),"Phản ánh",IF(ISNUMBER(MATCH($C1042,'Kế hoạch'!$A$6:$A$305,0)),"Công việc","Mã chưa có")))</f>
      </c>
      <c r="J1042" s="221">
        <f>IF($I1042="Phản ánh",INDEX('Phản ánh'!$C$6:$C$505,MATCH($C1042,'Phản ánh'!$A$6:$A$505,0)),IF($I1042="Công việc",INDEX('Kế hoạch'!$C$6:$C$305,$O1042),""))</f>
      </c>
      <c r="K1042" s="221">
        <f>IF($I1042="Phản ánh",INDEX('Phản ánh'!$K$6:$K$505,MATCH($C1042,'Phản ánh'!$A$6:$A$505,0))&amp;"",IF($I1042="Công việc",INDEX('Kế hoạch'!$N$6:$N$305,$O1042)&amp;"",""))</f>
      </c>
      <c r="L1042" s="220">
        <f>IF(OR($C1042="",N($B1042)=0),"",IF(AND($I1042="Phản ánh",$E1042="Đã xử lý"),INDEX('Phản ánh'!$U$6:$U$505,MATCH($C1042,'Phản ánh'!$A$6:$A$505,0)),IF(AND($I1042="Công việc",OR($E1042="Hoàn thành",$E1042="Hoàn thành kỳ")),IF(INDEX('Kế hoạch'!$B$6:$B$305,$O1042)="Đột xuất",INDEX('Kế hoạch'!$AY$6:$AY$305,$O1042),IF(N($P1042)=0,"",IF(INT($B1042)&lt;$P1042,$P1042,IF($Q1042&gt;0,$P1042+ROUND((INT($B1042)-$P1042)/$Q1042,0)*$Q1042,IF($R1042&gt;0,EDATE($P1042,ROUND((DATEDIF($P1042,INT($B1042),"m")+(INT($B1042)-EDATE($P1042,DATEDIF($P1042,INT($B1042),"m")))/(EDATE($P1042,DATEDIF($P1042,INT($B1042),"m")+1)-EDATE($P1042,DATEDIF($P1042,INT($B1042),"m"))))/$R1042,0)*$R1042),$P1042))))),"")))</f>
      </c>
      <c r="M1042" s="223">
        <f>IF(OR($C1042="",N($L1042)=0,N($B1042)=0),"",IF(IF(MOD($L1042,1)=0,INT($B1042),$B1042)&lt;=$L1042,"Đúng hạn","Trễ hạn"))</f>
      </c>
      <c r="N1042" s="225">
        <f>IF($C1042="","",ROW())</f>
      </c>
      <c r="O1042" s="225">
        <f>IF($I1042="Công việc",MATCH($C1042,'Kế hoạch'!$A$6:$A$305,0),"")</f>
      </c>
      <c r="P1042" s="234">
        <f>IF($O1042="","",INDEX('Kế hoạch'!$I$6:$I$305,$O1042))</f>
      </c>
      <c r="Q1042" s="225">
        <f>IF($O1042="","",INDEX('Kế hoạch'!$AJ$6:$AJ$305,$O1042))</f>
      </c>
      <c r="R1042" s="225">
        <f>IF($O1042="","",INDEX('Kế hoạch'!$AK$6:$AK$305,$O1042))</f>
      </c>
    </row>
    <row r="1043">
      <c r="A1043" s="223">
        <f>IF($C1043="","",COUNTIF($C$6:$C1043,"?*"))</f>
      </c>
      <c r="B1043" s="217"/>
      <c r="C1043" s="216"/>
      <c r="D1043" s="240"/>
      <c r="E1043" s="218"/>
      <c r="F1043" s="218"/>
      <c r="G1043" s="218"/>
      <c r="H1043" s="219"/>
      <c r="I1043" s="223">
        <f>IF($C1043="","",IF(ISNUMBER(MATCH($C1043,'Phản ánh'!$A$6:$A$505,0)),"Phản ánh",IF(ISNUMBER(MATCH($C1043,'Kế hoạch'!$A$6:$A$305,0)),"Công việc","Mã chưa có")))</f>
      </c>
      <c r="J1043" s="221">
        <f>IF($I1043="Phản ánh",INDEX('Phản ánh'!$C$6:$C$505,MATCH($C1043,'Phản ánh'!$A$6:$A$505,0)),IF($I1043="Công việc",INDEX('Kế hoạch'!$C$6:$C$305,$O1043),""))</f>
      </c>
      <c r="K1043" s="221">
        <f>IF($I1043="Phản ánh",INDEX('Phản ánh'!$K$6:$K$505,MATCH($C1043,'Phản ánh'!$A$6:$A$505,0))&amp;"",IF($I1043="Công việc",INDEX('Kế hoạch'!$N$6:$N$305,$O1043)&amp;"",""))</f>
      </c>
      <c r="L1043" s="220">
        <f>IF(OR($C1043="",N($B1043)=0),"",IF(AND($I1043="Phản ánh",$E1043="Đã xử lý"),INDEX('Phản ánh'!$U$6:$U$505,MATCH($C1043,'Phản ánh'!$A$6:$A$505,0)),IF(AND($I1043="Công việc",OR($E1043="Hoàn thành",$E1043="Hoàn thành kỳ")),IF(INDEX('Kế hoạch'!$B$6:$B$305,$O1043)="Đột xuất",INDEX('Kế hoạch'!$AY$6:$AY$305,$O1043),IF(N($P1043)=0,"",IF(INT($B1043)&lt;$P1043,$P1043,IF($Q1043&gt;0,$P1043+ROUND((INT($B1043)-$P1043)/$Q1043,0)*$Q1043,IF($R1043&gt;0,EDATE($P1043,ROUND((DATEDIF($P1043,INT($B1043),"m")+(INT($B1043)-EDATE($P1043,DATEDIF($P1043,INT($B1043),"m")))/(EDATE($P1043,DATEDIF($P1043,INT($B1043),"m")+1)-EDATE($P1043,DATEDIF($P1043,INT($B1043),"m"))))/$R1043,0)*$R1043),$P1043))))),"")))</f>
      </c>
      <c r="M1043" s="223">
        <f>IF(OR($C1043="",N($L1043)=0,N($B1043)=0),"",IF(IF(MOD($L1043,1)=0,INT($B1043),$B1043)&lt;=$L1043,"Đúng hạn","Trễ hạn"))</f>
      </c>
      <c r="N1043" s="225">
        <f>IF($C1043="","",ROW())</f>
      </c>
      <c r="O1043" s="225">
        <f>IF($I1043="Công việc",MATCH($C1043,'Kế hoạch'!$A$6:$A$305,0),"")</f>
      </c>
      <c r="P1043" s="234">
        <f>IF($O1043="","",INDEX('Kế hoạch'!$I$6:$I$305,$O1043))</f>
      </c>
      <c r="Q1043" s="225">
        <f>IF($O1043="","",INDEX('Kế hoạch'!$AJ$6:$AJ$305,$O1043))</f>
      </c>
      <c r="R1043" s="225">
        <f>IF($O1043="","",INDEX('Kế hoạch'!$AK$6:$AK$305,$O1043))</f>
      </c>
    </row>
    <row r="1044">
      <c r="A1044" s="223">
        <f>IF($C1044="","",COUNTIF($C$6:$C1044,"?*"))</f>
      </c>
      <c r="B1044" s="217"/>
      <c r="C1044" s="216"/>
      <c r="D1044" s="240"/>
      <c r="E1044" s="218"/>
      <c r="F1044" s="218"/>
      <c r="G1044" s="218"/>
      <c r="H1044" s="219"/>
      <c r="I1044" s="223">
        <f>IF($C1044="","",IF(ISNUMBER(MATCH($C1044,'Phản ánh'!$A$6:$A$505,0)),"Phản ánh",IF(ISNUMBER(MATCH($C1044,'Kế hoạch'!$A$6:$A$305,0)),"Công việc","Mã chưa có")))</f>
      </c>
      <c r="J1044" s="221">
        <f>IF($I1044="Phản ánh",INDEX('Phản ánh'!$C$6:$C$505,MATCH($C1044,'Phản ánh'!$A$6:$A$505,0)),IF($I1044="Công việc",INDEX('Kế hoạch'!$C$6:$C$305,$O1044),""))</f>
      </c>
      <c r="K1044" s="221">
        <f>IF($I1044="Phản ánh",INDEX('Phản ánh'!$K$6:$K$505,MATCH($C1044,'Phản ánh'!$A$6:$A$505,0))&amp;"",IF($I1044="Công việc",INDEX('Kế hoạch'!$N$6:$N$305,$O1044)&amp;"",""))</f>
      </c>
      <c r="L1044" s="220">
        <f>IF(OR($C1044="",N($B1044)=0),"",IF(AND($I1044="Phản ánh",$E1044="Đã xử lý"),INDEX('Phản ánh'!$U$6:$U$505,MATCH($C1044,'Phản ánh'!$A$6:$A$505,0)),IF(AND($I1044="Công việc",OR($E1044="Hoàn thành",$E1044="Hoàn thành kỳ")),IF(INDEX('Kế hoạch'!$B$6:$B$305,$O1044)="Đột xuất",INDEX('Kế hoạch'!$AY$6:$AY$305,$O1044),IF(N($P1044)=0,"",IF(INT($B1044)&lt;$P1044,$P1044,IF($Q1044&gt;0,$P1044+ROUND((INT($B1044)-$P1044)/$Q1044,0)*$Q1044,IF($R1044&gt;0,EDATE($P1044,ROUND((DATEDIF($P1044,INT($B1044),"m")+(INT($B1044)-EDATE($P1044,DATEDIF($P1044,INT($B1044),"m")))/(EDATE($P1044,DATEDIF($P1044,INT($B1044),"m")+1)-EDATE($P1044,DATEDIF($P1044,INT($B1044),"m"))))/$R1044,0)*$R1044),$P1044))))),"")))</f>
      </c>
      <c r="M1044" s="223">
        <f>IF(OR($C1044="",N($L1044)=0,N($B1044)=0),"",IF(IF(MOD($L1044,1)=0,INT($B1044),$B1044)&lt;=$L1044,"Đúng hạn","Trễ hạn"))</f>
      </c>
      <c r="N1044" s="225">
        <f>IF($C1044="","",ROW())</f>
      </c>
      <c r="O1044" s="225">
        <f>IF($I1044="Công việc",MATCH($C1044,'Kế hoạch'!$A$6:$A$305,0),"")</f>
      </c>
      <c r="P1044" s="234">
        <f>IF($O1044="","",INDEX('Kế hoạch'!$I$6:$I$305,$O1044))</f>
      </c>
      <c r="Q1044" s="225">
        <f>IF($O1044="","",INDEX('Kế hoạch'!$AJ$6:$AJ$305,$O1044))</f>
      </c>
      <c r="R1044" s="225">
        <f>IF($O1044="","",INDEX('Kế hoạch'!$AK$6:$AK$305,$O1044))</f>
      </c>
    </row>
    <row r="1045">
      <c r="A1045" s="223">
        <f>IF($C1045="","",COUNTIF($C$6:$C1045,"?*"))</f>
      </c>
      <c r="B1045" s="217"/>
      <c r="C1045" s="216"/>
      <c r="D1045" s="240"/>
      <c r="E1045" s="218"/>
      <c r="F1045" s="218"/>
      <c r="G1045" s="218"/>
      <c r="H1045" s="219"/>
      <c r="I1045" s="223">
        <f>IF($C1045="","",IF(ISNUMBER(MATCH($C1045,'Phản ánh'!$A$6:$A$505,0)),"Phản ánh",IF(ISNUMBER(MATCH($C1045,'Kế hoạch'!$A$6:$A$305,0)),"Công việc","Mã chưa có")))</f>
      </c>
      <c r="J1045" s="221">
        <f>IF($I1045="Phản ánh",INDEX('Phản ánh'!$C$6:$C$505,MATCH($C1045,'Phản ánh'!$A$6:$A$505,0)),IF($I1045="Công việc",INDEX('Kế hoạch'!$C$6:$C$305,$O1045),""))</f>
      </c>
      <c r="K1045" s="221">
        <f>IF($I1045="Phản ánh",INDEX('Phản ánh'!$K$6:$K$505,MATCH($C1045,'Phản ánh'!$A$6:$A$505,0))&amp;"",IF($I1045="Công việc",INDEX('Kế hoạch'!$N$6:$N$305,$O1045)&amp;"",""))</f>
      </c>
      <c r="L1045" s="220">
        <f>IF(OR($C1045="",N($B1045)=0),"",IF(AND($I1045="Phản ánh",$E1045="Đã xử lý"),INDEX('Phản ánh'!$U$6:$U$505,MATCH($C1045,'Phản ánh'!$A$6:$A$505,0)),IF(AND($I1045="Công việc",OR($E1045="Hoàn thành",$E1045="Hoàn thành kỳ")),IF(INDEX('Kế hoạch'!$B$6:$B$305,$O1045)="Đột xuất",INDEX('Kế hoạch'!$AY$6:$AY$305,$O1045),IF(N($P1045)=0,"",IF(INT($B1045)&lt;$P1045,$P1045,IF($Q1045&gt;0,$P1045+ROUND((INT($B1045)-$P1045)/$Q1045,0)*$Q1045,IF($R1045&gt;0,EDATE($P1045,ROUND((DATEDIF($P1045,INT($B1045),"m")+(INT($B1045)-EDATE($P1045,DATEDIF($P1045,INT($B1045),"m")))/(EDATE($P1045,DATEDIF($P1045,INT($B1045),"m")+1)-EDATE($P1045,DATEDIF($P1045,INT($B1045),"m"))))/$R1045,0)*$R1045),$P1045))))),"")))</f>
      </c>
      <c r="M1045" s="223">
        <f>IF(OR($C1045="",N($L1045)=0,N($B1045)=0),"",IF(IF(MOD($L1045,1)=0,INT($B1045),$B1045)&lt;=$L1045,"Đúng hạn","Trễ hạn"))</f>
      </c>
      <c r="N1045" s="225">
        <f>IF($C1045="","",ROW())</f>
      </c>
      <c r="O1045" s="225">
        <f>IF($I1045="Công việc",MATCH($C1045,'Kế hoạch'!$A$6:$A$305,0),"")</f>
      </c>
      <c r="P1045" s="234">
        <f>IF($O1045="","",INDEX('Kế hoạch'!$I$6:$I$305,$O1045))</f>
      </c>
      <c r="Q1045" s="225">
        <f>IF($O1045="","",INDEX('Kế hoạch'!$AJ$6:$AJ$305,$O1045))</f>
      </c>
      <c r="R1045" s="225">
        <f>IF($O1045="","",INDEX('Kế hoạch'!$AK$6:$AK$305,$O1045))</f>
      </c>
    </row>
    <row r="1046">
      <c r="A1046" s="223">
        <f>IF($C1046="","",COUNTIF($C$6:$C1046,"?*"))</f>
      </c>
      <c r="B1046" s="217"/>
      <c r="C1046" s="216"/>
      <c r="D1046" s="240"/>
      <c r="E1046" s="218"/>
      <c r="F1046" s="218"/>
      <c r="G1046" s="218"/>
      <c r="H1046" s="219"/>
      <c r="I1046" s="223">
        <f>IF($C1046="","",IF(ISNUMBER(MATCH($C1046,'Phản ánh'!$A$6:$A$505,0)),"Phản ánh",IF(ISNUMBER(MATCH($C1046,'Kế hoạch'!$A$6:$A$305,0)),"Công việc","Mã chưa có")))</f>
      </c>
      <c r="J1046" s="221">
        <f>IF($I1046="Phản ánh",INDEX('Phản ánh'!$C$6:$C$505,MATCH($C1046,'Phản ánh'!$A$6:$A$505,0)),IF($I1046="Công việc",INDEX('Kế hoạch'!$C$6:$C$305,$O1046),""))</f>
      </c>
      <c r="K1046" s="221">
        <f>IF($I1046="Phản ánh",INDEX('Phản ánh'!$K$6:$K$505,MATCH($C1046,'Phản ánh'!$A$6:$A$505,0))&amp;"",IF($I1046="Công việc",INDEX('Kế hoạch'!$N$6:$N$305,$O1046)&amp;"",""))</f>
      </c>
      <c r="L1046" s="220">
        <f>IF(OR($C1046="",N($B1046)=0),"",IF(AND($I1046="Phản ánh",$E1046="Đã xử lý"),INDEX('Phản ánh'!$U$6:$U$505,MATCH($C1046,'Phản ánh'!$A$6:$A$505,0)),IF(AND($I1046="Công việc",OR($E1046="Hoàn thành",$E1046="Hoàn thành kỳ")),IF(INDEX('Kế hoạch'!$B$6:$B$305,$O1046)="Đột xuất",INDEX('Kế hoạch'!$AY$6:$AY$305,$O1046),IF(N($P1046)=0,"",IF(INT($B1046)&lt;$P1046,$P1046,IF($Q1046&gt;0,$P1046+ROUND((INT($B1046)-$P1046)/$Q1046,0)*$Q1046,IF($R1046&gt;0,EDATE($P1046,ROUND((DATEDIF($P1046,INT($B1046),"m")+(INT($B1046)-EDATE($P1046,DATEDIF($P1046,INT($B1046),"m")))/(EDATE($P1046,DATEDIF($P1046,INT($B1046),"m")+1)-EDATE($P1046,DATEDIF($P1046,INT($B1046),"m"))))/$R1046,0)*$R1046),$P1046))))),"")))</f>
      </c>
      <c r="M1046" s="223">
        <f>IF(OR($C1046="",N($L1046)=0,N($B1046)=0),"",IF(IF(MOD($L1046,1)=0,INT($B1046),$B1046)&lt;=$L1046,"Đúng hạn","Trễ hạn"))</f>
      </c>
      <c r="N1046" s="225">
        <f>IF($C1046="","",ROW())</f>
      </c>
      <c r="O1046" s="225">
        <f>IF($I1046="Công việc",MATCH($C1046,'Kế hoạch'!$A$6:$A$305,0),"")</f>
      </c>
      <c r="P1046" s="234">
        <f>IF($O1046="","",INDEX('Kế hoạch'!$I$6:$I$305,$O1046))</f>
      </c>
      <c r="Q1046" s="225">
        <f>IF($O1046="","",INDEX('Kế hoạch'!$AJ$6:$AJ$305,$O1046))</f>
      </c>
      <c r="R1046" s="225">
        <f>IF($O1046="","",INDEX('Kế hoạch'!$AK$6:$AK$305,$O1046))</f>
      </c>
    </row>
    <row r="1047">
      <c r="A1047" s="223">
        <f>IF($C1047="","",COUNTIF($C$6:$C1047,"?*"))</f>
      </c>
      <c r="B1047" s="217"/>
      <c r="C1047" s="216"/>
      <c r="D1047" s="240"/>
      <c r="E1047" s="218"/>
      <c r="F1047" s="218"/>
      <c r="G1047" s="218"/>
      <c r="H1047" s="219"/>
      <c r="I1047" s="223">
        <f>IF($C1047="","",IF(ISNUMBER(MATCH($C1047,'Phản ánh'!$A$6:$A$505,0)),"Phản ánh",IF(ISNUMBER(MATCH($C1047,'Kế hoạch'!$A$6:$A$305,0)),"Công việc","Mã chưa có")))</f>
      </c>
      <c r="J1047" s="221">
        <f>IF($I1047="Phản ánh",INDEX('Phản ánh'!$C$6:$C$505,MATCH($C1047,'Phản ánh'!$A$6:$A$505,0)),IF($I1047="Công việc",INDEX('Kế hoạch'!$C$6:$C$305,$O1047),""))</f>
      </c>
      <c r="K1047" s="221">
        <f>IF($I1047="Phản ánh",INDEX('Phản ánh'!$K$6:$K$505,MATCH($C1047,'Phản ánh'!$A$6:$A$505,0))&amp;"",IF($I1047="Công việc",INDEX('Kế hoạch'!$N$6:$N$305,$O1047)&amp;"",""))</f>
      </c>
      <c r="L1047" s="220">
        <f>IF(OR($C1047="",N($B1047)=0),"",IF(AND($I1047="Phản ánh",$E1047="Đã xử lý"),INDEX('Phản ánh'!$U$6:$U$505,MATCH($C1047,'Phản ánh'!$A$6:$A$505,0)),IF(AND($I1047="Công việc",OR($E1047="Hoàn thành",$E1047="Hoàn thành kỳ")),IF(INDEX('Kế hoạch'!$B$6:$B$305,$O1047)="Đột xuất",INDEX('Kế hoạch'!$AY$6:$AY$305,$O1047),IF(N($P1047)=0,"",IF(INT($B1047)&lt;$P1047,$P1047,IF($Q1047&gt;0,$P1047+ROUND((INT($B1047)-$P1047)/$Q1047,0)*$Q1047,IF($R1047&gt;0,EDATE($P1047,ROUND((DATEDIF($P1047,INT($B1047),"m")+(INT($B1047)-EDATE($P1047,DATEDIF($P1047,INT($B1047),"m")))/(EDATE($P1047,DATEDIF($P1047,INT($B1047),"m")+1)-EDATE($P1047,DATEDIF($P1047,INT($B1047),"m"))))/$R1047,0)*$R1047),$P1047))))),"")))</f>
      </c>
      <c r="M1047" s="223">
        <f>IF(OR($C1047="",N($L1047)=0,N($B1047)=0),"",IF(IF(MOD($L1047,1)=0,INT($B1047),$B1047)&lt;=$L1047,"Đúng hạn","Trễ hạn"))</f>
      </c>
      <c r="N1047" s="225">
        <f>IF($C1047="","",ROW())</f>
      </c>
      <c r="O1047" s="225">
        <f>IF($I1047="Công việc",MATCH($C1047,'Kế hoạch'!$A$6:$A$305,0),"")</f>
      </c>
      <c r="P1047" s="234">
        <f>IF($O1047="","",INDEX('Kế hoạch'!$I$6:$I$305,$O1047))</f>
      </c>
      <c r="Q1047" s="225">
        <f>IF($O1047="","",INDEX('Kế hoạch'!$AJ$6:$AJ$305,$O1047))</f>
      </c>
      <c r="R1047" s="225">
        <f>IF($O1047="","",INDEX('Kế hoạch'!$AK$6:$AK$305,$O1047))</f>
      </c>
    </row>
    <row r="1048">
      <c r="A1048" s="223">
        <f>IF($C1048="","",COUNTIF($C$6:$C1048,"?*"))</f>
      </c>
      <c r="B1048" s="217"/>
      <c r="C1048" s="216"/>
      <c r="D1048" s="240"/>
      <c r="E1048" s="218"/>
      <c r="F1048" s="218"/>
      <c r="G1048" s="218"/>
      <c r="H1048" s="219"/>
      <c r="I1048" s="223">
        <f>IF($C1048="","",IF(ISNUMBER(MATCH($C1048,'Phản ánh'!$A$6:$A$505,0)),"Phản ánh",IF(ISNUMBER(MATCH($C1048,'Kế hoạch'!$A$6:$A$305,0)),"Công việc","Mã chưa có")))</f>
      </c>
      <c r="J1048" s="221">
        <f>IF($I1048="Phản ánh",INDEX('Phản ánh'!$C$6:$C$505,MATCH($C1048,'Phản ánh'!$A$6:$A$505,0)),IF($I1048="Công việc",INDEX('Kế hoạch'!$C$6:$C$305,$O1048),""))</f>
      </c>
      <c r="K1048" s="221">
        <f>IF($I1048="Phản ánh",INDEX('Phản ánh'!$K$6:$K$505,MATCH($C1048,'Phản ánh'!$A$6:$A$505,0))&amp;"",IF($I1048="Công việc",INDEX('Kế hoạch'!$N$6:$N$305,$O1048)&amp;"",""))</f>
      </c>
      <c r="L1048" s="220">
        <f>IF(OR($C1048="",N($B1048)=0),"",IF(AND($I1048="Phản ánh",$E1048="Đã xử lý"),INDEX('Phản ánh'!$U$6:$U$505,MATCH($C1048,'Phản ánh'!$A$6:$A$505,0)),IF(AND($I1048="Công việc",OR($E1048="Hoàn thành",$E1048="Hoàn thành kỳ")),IF(INDEX('Kế hoạch'!$B$6:$B$305,$O1048)="Đột xuất",INDEX('Kế hoạch'!$AY$6:$AY$305,$O1048),IF(N($P1048)=0,"",IF(INT($B1048)&lt;$P1048,$P1048,IF($Q1048&gt;0,$P1048+ROUND((INT($B1048)-$P1048)/$Q1048,0)*$Q1048,IF($R1048&gt;0,EDATE($P1048,ROUND((DATEDIF($P1048,INT($B1048),"m")+(INT($B1048)-EDATE($P1048,DATEDIF($P1048,INT($B1048),"m")))/(EDATE($P1048,DATEDIF($P1048,INT($B1048),"m")+1)-EDATE($P1048,DATEDIF($P1048,INT($B1048),"m"))))/$R1048,0)*$R1048),$P1048))))),"")))</f>
      </c>
      <c r="M1048" s="223">
        <f>IF(OR($C1048="",N($L1048)=0,N($B1048)=0),"",IF(IF(MOD($L1048,1)=0,INT($B1048),$B1048)&lt;=$L1048,"Đúng hạn","Trễ hạn"))</f>
      </c>
      <c r="N1048" s="225">
        <f>IF($C1048="","",ROW())</f>
      </c>
      <c r="O1048" s="225">
        <f>IF($I1048="Công việc",MATCH($C1048,'Kế hoạch'!$A$6:$A$305,0),"")</f>
      </c>
      <c r="P1048" s="234">
        <f>IF($O1048="","",INDEX('Kế hoạch'!$I$6:$I$305,$O1048))</f>
      </c>
      <c r="Q1048" s="225">
        <f>IF($O1048="","",INDEX('Kế hoạch'!$AJ$6:$AJ$305,$O1048))</f>
      </c>
      <c r="R1048" s="225">
        <f>IF($O1048="","",INDEX('Kế hoạch'!$AK$6:$AK$305,$O1048))</f>
      </c>
    </row>
    <row r="1049">
      <c r="A1049" s="223">
        <f>IF($C1049="","",COUNTIF($C$6:$C1049,"?*"))</f>
      </c>
      <c r="B1049" s="217"/>
      <c r="C1049" s="216"/>
      <c r="D1049" s="240"/>
      <c r="E1049" s="218"/>
      <c r="F1049" s="218"/>
      <c r="G1049" s="218"/>
      <c r="H1049" s="219"/>
      <c r="I1049" s="223">
        <f>IF($C1049="","",IF(ISNUMBER(MATCH($C1049,'Phản ánh'!$A$6:$A$505,0)),"Phản ánh",IF(ISNUMBER(MATCH($C1049,'Kế hoạch'!$A$6:$A$305,0)),"Công việc","Mã chưa có")))</f>
      </c>
      <c r="J1049" s="221">
        <f>IF($I1049="Phản ánh",INDEX('Phản ánh'!$C$6:$C$505,MATCH($C1049,'Phản ánh'!$A$6:$A$505,0)),IF($I1049="Công việc",INDEX('Kế hoạch'!$C$6:$C$305,$O1049),""))</f>
      </c>
      <c r="K1049" s="221">
        <f>IF($I1049="Phản ánh",INDEX('Phản ánh'!$K$6:$K$505,MATCH($C1049,'Phản ánh'!$A$6:$A$505,0))&amp;"",IF($I1049="Công việc",INDEX('Kế hoạch'!$N$6:$N$305,$O1049)&amp;"",""))</f>
      </c>
      <c r="L1049" s="220">
        <f>IF(OR($C1049="",N($B1049)=0),"",IF(AND($I1049="Phản ánh",$E1049="Đã xử lý"),INDEX('Phản ánh'!$U$6:$U$505,MATCH($C1049,'Phản ánh'!$A$6:$A$505,0)),IF(AND($I1049="Công việc",OR($E1049="Hoàn thành",$E1049="Hoàn thành kỳ")),IF(INDEX('Kế hoạch'!$B$6:$B$305,$O1049)="Đột xuất",INDEX('Kế hoạch'!$AY$6:$AY$305,$O1049),IF(N($P1049)=0,"",IF(INT($B1049)&lt;$P1049,$P1049,IF($Q1049&gt;0,$P1049+ROUND((INT($B1049)-$P1049)/$Q1049,0)*$Q1049,IF($R1049&gt;0,EDATE($P1049,ROUND((DATEDIF($P1049,INT($B1049),"m")+(INT($B1049)-EDATE($P1049,DATEDIF($P1049,INT($B1049),"m")))/(EDATE($P1049,DATEDIF($P1049,INT($B1049),"m")+1)-EDATE($P1049,DATEDIF($P1049,INT($B1049),"m"))))/$R1049,0)*$R1049),$P1049))))),"")))</f>
      </c>
      <c r="M1049" s="223">
        <f>IF(OR($C1049="",N($L1049)=0,N($B1049)=0),"",IF(IF(MOD($L1049,1)=0,INT($B1049),$B1049)&lt;=$L1049,"Đúng hạn","Trễ hạn"))</f>
      </c>
      <c r="N1049" s="225">
        <f>IF($C1049="","",ROW())</f>
      </c>
      <c r="O1049" s="225">
        <f>IF($I1049="Công việc",MATCH($C1049,'Kế hoạch'!$A$6:$A$305,0),"")</f>
      </c>
      <c r="P1049" s="234">
        <f>IF($O1049="","",INDEX('Kế hoạch'!$I$6:$I$305,$O1049))</f>
      </c>
      <c r="Q1049" s="225">
        <f>IF($O1049="","",INDEX('Kế hoạch'!$AJ$6:$AJ$305,$O1049))</f>
      </c>
      <c r="R1049" s="225">
        <f>IF($O1049="","",INDEX('Kế hoạch'!$AK$6:$AK$305,$O1049))</f>
      </c>
    </row>
    <row r="1050">
      <c r="A1050" s="223">
        <f>IF($C1050="","",COUNTIF($C$6:$C1050,"?*"))</f>
      </c>
      <c r="B1050" s="217"/>
      <c r="C1050" s="216"/>
      <c r="D1050" s="240"/>
      <c r="E1050" s="218"/>
      <c r="F1050" s="218"/>
      <c r="G1050" s="218"/>
      <c r="H1050" s="219"/>
      <c r="I1050" s="223">
        <f>IF($C1050="","",IF(ISNUMBER(MATCH($C1050,'Phản ánh'!$A$6:$A$505,0)),"Phản ánh",IF(ISNUMBER(MATCH($C1050,'Kế hoạch'!$A$6:$A$305,0)),"Công việc","Mã chưa có")))</f>
      </c>
      <c r="J1050" s="221">
        <f>IF($I1050="Phản ánh",INDEX('Phản ánh'!$C$6:$C$505,MATCH($C1050,'Phản ánh'!$A$6:$A$505,0)),IF($I1050="Công việc",INDEX('Kế hoạch'!$C$6:$C$305,$O1050),""))</f>
      </c>
      <c r="K1050" s="221">
        <f>IF($I1050="Phản ánh",INDEX('Phản ánh'!$K$6:$K$505,MATCH($C1050,'Phản ánh'!$A$6:$A$505,0))&amp;"",IF($I1050="Công việc",INDEX('Kế hoạch'!$N$6:$N$305,$O1050)&amp;"",""))</f>
      </c>
      <c r="L1050" s="220">
        <f>IF(OR($C1050="",N($B1050)=0),"",IF(AND($I1050="Phản ánh",$E1050="Đã xử lý"),INDEX('Phản ánh'!$U$6:$U$505,MATCH($C1050,'Phản ánh'!$A$6:$A$505,0)),IF(AND($I1050="Công việc",OR($E1050="Hoàn thành",$E1050="Hoàn thành kỳ")),IF(INDEX('Kế hoạch'!$B$6:$B$305,$O1050)="Đột xuất",INDEX('Kế hoạch'!$AY$6:$AY$305,$O1050),IF(N($P1050)=0,"",IF(INT($B1050)&lt;$P1050,$P1050,IF($Q1050&gt;0,$P1050+ROUND((INT($B1050)-$P1050)/$Q1050,0)*$Q1050,IF($R1050&gt;0,EDATE($P1050,ROUND((DATEDIF($P1050,INT($B1050),"m")+(INT($B1050)-EDATE($P1050,DATEDIF($P1050,INT($B1050),"m")))/(EDATE($P1050,DATEDIF($P1050,INT($B1050),"m")+1)-EDATE($P1050,DATEDIF($P1050,INT($B1050),"m"))))/$R1050,0)*$R1050),$P1050))))),"")))</f>
      </c>
      <c r="M1050" s="223">
        <f>IF(OR($C1050="",N($L1050)=0,N($B1050)=0),"",IF(IF(MOD($L1050,1)=0,INT($B1050),$B1050)&lt;=$L1050,"Đúng hạn","Trễ hạn"))</f>
      </c>
      <c r="N1050" s="225">
        <f>IF($C1050="","",ROW())</f>
      </c>
      <c r="O1050" s="225">
        <f>IF($I1050="Công việc",MATCH($C1050,'Kế hoạch'!$A$6:$A$305,0),"")</f>
      </c>
      <c r="P1050" s="234">
        <f>IF($O1050="","",INDEX('Kế hoạch'!$I$6:$I$305,$O1050))</f>
      </c>
      <c r="Q1050" s="225">
        <f>IF($O1050="","",INDEX('Kế hoạch'!$AJ$6:$AJ$305,$O1050))</f>
      </c>
      <c r="R1050" s="225">
        <f>IF($O1050="","",INDEX('Kế hoạch'!$AK$6:$AK$305,$O1050))</f>
      </c>
    </row>
    <row r="1051">
      <c r="A1051" s="223">
        <f>IF($C1051="","",COUNTIF($C$6:$C1051,"?*"))</f>
      </c>
      <c r="B1051" s="217"/>
      <c r="C1051" s="216"/>
      <c r="D1051" s="240"/>
      <c r="E1051" s="218"/>
      <c r="F1051" s="218"/>
      <c r="G1051" s="218"/>
      <c r="H1051" s="219"/>
      <c r="I1051" s="223">
        <f>IF($C1051="","",IF(ISNUMBER(MATCH($C1051,'Phản ánh'!$A$6:$A$505,0)),"Phản ánh",IF(ISNUMBER(MATCH($C1051,'Kế hoạch'!$A$6:$A$305,0)),"Công việc","Mã chưa có")))</f>
      </c>
      <c r="J1051" s="221">
        <f>IF($I1051="Phản ánh",INDEX('Phản ánh'!$C$6:$C$505,MATCH($C1051,'Phản ánh'!$A$6:$A$505,0)),IF($I1051="Công việc",INDEX('Kế hoạch'!$C$6:$C$305,$O1051),""))</f>
      </c>
      <c r="K1051" s="221">
        <f>IF($I1051="Phản ánh",INDEX('Phản ánh'!$K$6:$K$505,MATCH($C1051,'Phản ánh'!$A$6:$A$505,0))&amp;"",IF($I1051="Công việc",INDEX('Kế hoạch'!$N$6:$N$305,$O1051)&amp;"",""))</f>
      </c>
      <c r="L1051" s="220">
        <f>IF(OR($C1051="",N($B1051)=0),"",IF(AND($I1051="Phản ánh",$E1051="Đã xử lý"),INDEX('Phản ánh'!$U$6:$U$505,MATCH($C1051,'Phản ánh'!$A$6:$A$505,0)),IF(AND($I1051="Công việc",OR($E1051="Hoàn thành",$E1051="Hoàn thành kỳ")),IF(INDEX('Kế hoạch'!$B$6:$B$305,$O1051)="Đột xuất",INDEX('Kế hoạch'!$AY$6:$AY$305,$O1051),IF(N($P1051)=0,"",IF(INT($B1051)&lt;$P1051,$P1051,IF($Q1051&gt;0,$P1051+ROUND((INT($B1051)-$P1051)/$Q1051,0)*$Q1051,IF($R1051&gt;0,EDATE($P1051,ROUND((DATEDIF($P1051,INT($B1051),"m")+(INT($B1051)-EDATE($P1051,DATEDIF($P1051,INT($B1051),"m")))/(EDATE($P1051,DATEDIF($P1051,INT($B1051),"m")+1)-EDATE($P1051,DATEDIF($P1051,INT($B1051),"m"))))/$R1051,0)*$R1051),$P1051))))),"")))</f>
      </c>
      <c r="M1051" s="223">
        <f>IF(OR($C1051="",N($L1051)=0,N($B1051)=0),"",IF(IF(MOD($L1051,1)=0,INT($B1051),$B1051)&lt;=$L1051,"Đúng hạn","Trễ hạn"))</f>
      </c>
      <c r="N1051" s="225">
        <f>IF($C1051="","",ROW())</f>
      </c>
      <c r="O1051" s="225">
        <f>IF($I1051="Công việc",MATCH($C1051,'Kế hoạch'!$A$6:$A$305,0),"")</f>
      </c>
      <c r="P1051" s="234">
        <f>IF($O1051="","",INDEX('Kế hoạch'!$I$6:$I$305,$O1051))</f>
      </c>
      <c r="Q1051" s="225">
        <f>IF($O1051="","",INDEX('Kế hoạch'!$AJ$6:$AJ$305,$O1051))</f>
      </c>
      <c r="R1051" s="225">
        <f>IF($O1051="","",INDEX('Kế hoạch'!$AK$6:$AK$305,$O1051))</f>
      </c>
    </row>
    <row r="1052">
      <c r="A1052" s="223">
        <f>IF($C1052="","",COUNTIF($C$6:$C1052,"?*"))</f>
      </c>
      <c r="B1052" s="217"/>
      <c r="C1052" s="216"/>
      <c r="D1052" s="240"/>
      <c r="E1052" s="218"/>
      <c r="F1052" s="218"/>
      <c r="G1052" s="218"/>
      <c r="H1052" s="219"/>
      <c r="I1052" s="223">
        <f>IF($C1052="","",IF(ISNUMBER(MATCH($C1052,'Phản ánh'!$A$6:$A$505,0)),"Phản ánh",IF(ISNUMBER(MATCH($C1052,'Kế hoạch'!$A$6:$A$305,0)),"Công việc","Mã chưa có")))</f>
      </c>
      <c r="J1052" s="221">
        <f>IF($I1052="Phản ánh",INDEX('Phản ánh'!$C$6:$C$505,MATCH($C1052,'Phản ánh'!$A$6:$A$505,0)),IF($I1052="Công việc",INDEX('Kế hoạch'!$C$6:$C$305,$O1052),""))</f>
      </c>
      <c r="K1052" s="221">
        <f>IF($I1052="Phản ánh",INDEX('Phản ánh'!$K$6:$K$505,MATCH($C1052,'Phản ánh'!$A$6:$A$505,0))&amp;"",IF($I1052="Công việc",INDEX('Kế hoạch'!$N$6:$N$305,$O1052)&amp;"",""))</f>
      </c>
      <c r="L1052" s="220">
        <f>IF(OR($C1052="",N($B1052)=0),"",IF(AND($I1052="Phản ánh",$E1052="Đã xử lý"),INDEX('Phản ánh'!$U$6:$U$505,MATCH($C1052,'Phản ánh'!$A$6:$A$505,0)),IF(AND($I1052="Công việc",OR($E1052="Hoàn thành",$E1052="Hoàn thành kỳ")),IF(INDEX('Kế hoạch'!$B$6:$B$305,$O1052)="Đột xuất",INDEX('Kế hoạch'!$AY$6:$AY$305,$O1052),IF(N($P1052)=0,"",IF(INT($B1052)&lt;$P1052,$P1052,IF($Q1052&gt;0,$P1052+ROUND((INT($B1052)-$P1052)/$Q1052,0)*$Q1052,IF($R1052&gt;0,EDATE($P1052,ROUND((DATEDIF($P1052,INT($B1052),"m")+(INT($B1052)-EDATE($P1052,DATEDIF($P1052,INT($B1052),"m")))/(EDATE($P1052,DATEDIF($P1052,INT($B1052),"m")+1)-EDATE($P1052,DATEDIF($P1052,INT($B1052),"m"))))/$R1052,0)*$R1052),$P1052))))),"")))</f>
      </c>
      <c r="M1052" s="223">
        <f>IF(OR($C1052="",N($L1052)=0,N($B1052)=0),"",IF(IF(MOD($L1052,1)=0,INT($B1052),$B1052)&lt;=$L1052,"Đúng hạn","Trễ hạn"))</f>
      </c>
      <c r="N1052" s="225">
        <f>IF($C1052="","",ROW())</f>
      </c>
      <c r="O1052" s="225">
        <f>IF($I1052="Công việc",MATCH($C1052,'Kế hoạch'!$A$6:$A$305,0),"")</f>
      </c>
      <c r="P1052" s="234">
        <f>IF($O1052="","",INDEX('Kế hoạch'!$I$6:$I$305,$O1052))</f>
      </c>
      <c r="Q1052" s="225">
        <f>IF($O1052="","",INDEX('Kế hoạch'!$AJ$6:$AJ$305,$O1052))</f>
      </c>
      <c r="R1052" s="225">
        <f>IF($O1052="","",INDEX('Kế hoạch'!$AK$6:$AK$305,$O1052))</f>
      </c>
    </row>
    <row r="1053">
      <c r="A1053" s="223">
        <f>IF($C1053="","",COUNTIF($C$6:$C1053,"?*"))</f>
      </c>
      <c r="B1053" s="217"/>
      <c r="C1053" s="216"/>
      <c r="D1053" s="240"/>
      <c r="E1053" s="218"/>
      <c r="F1053" s="218"/>
      <c r="G1053" s="218"/>
      <c r="H1053" s="219"/>
      <c r="I1053" s="223">
        <f>IF($C1053="","",IF(ISNUMBER(MATCH($C1053,'Phản ánh'!$A$6:$A$505,0)),"Phản ánh",IF(ISNUMBER(MATCH($C1053,'Kế hoạch'!$A$6:$A$305,0)),"Công việc","Mã chưa có")))</f>
      </c>
      <c r="J1053" s="221">
        <f>IF($I1053="Phản ánh",INDEX('Phản ánh'!$C$6:$C$505,MATCH($C1053,'Phản ánh'!$A$6:$A$505,0)),IF($I1053="Công việc",INDEX('Kế hoạch'!$C$6:$C$305,$O1053),""))</f>
      </c>
      <c r="K1053" s="221">
        <f>IF($I1053="Phản ánh",INDEX('Phản ánh'!$K$6:$K$505,MATCH($C1053,'Phản ánh'!$A$6:$A$505,0))&amp;"",IF($I1053="Công việc",INDEX('Kế hoạch'!$N$6:$N$305,$O1053)&amp;"",""))</f>
      </c>
      <c r="L1053" s="220">
        <f>IF(OR($C1053="",N($B1053)=0),"",IF(AND($I1053="Phản ánh",$E1053="Đã xử lý"),INDEX('Phản ánh'!$U$6:$U$505,MATCH($C1053,'Phản ánh'!$A$6:$A$505,0)),IF(AND($I1053="Công việc",OR($E1053="Hoàn thành",$E1053="Hoàn thành kỳ")),IF(INDEX('Kế hoạch'!$B$6:$B$305,$O1053)="Đột xuất",INDEX('Kế hoạch'!$AY$6:$AY$305,$O1053),IF(N($P1053)=0,"",IF(INT($B1053)&lt;$P1053,$P1053,IF($Q1053&gt;0,$P1053+ROUND((INT($B1053)-$P1053)/$Q1053,0)*$Q1053,IF($R1053&gt;0,EDATE($P1053,ROUND((DATEDIF($P1053,INT($B1053),"m")+(INT($B1053)-EDATE($P1053,DATEDIF($P1053,INT($B1053),"m")))/(EDATE($P1053,DATEDIF($P1053,INT($B1053),"m")+1)-EDATE($P1053,DATEDIF($P1053,INT($B1053),"m"))))/$R1053,0)*$R1053),$P1053))))),"")))</f>
      </c>
      <c r="M1053" s="223">
        <f>IF(OR($C1053="",N($L1053)=0,N($B1053)=0),"",IF(IF(MOD($L1053,1)=0,INT($B1053),$B1053)&lt;=$L1053,"Đúng hạn","Trễ hạn"))</f>
      </c>
      <c r="N1053" s="225">
        <f>IF($C1053="","",ROW())</f>
      </c>
      <c r="O1053" s="225">
        <f>IF($I1053="Công việc",MATCH($C1053,'Kế hoạch'!$A$6:$A$305,0),"")</f>
      </c>
      <c r="P1053" s="234">
        <f>IF($O1053="","",INDEX('Kế hoạch'!$I$6:$I$305,$O1053))</f>
      </c>
      <c r="Q1053" s="225">
        <f>IF($O1053="","",INDEX('Kế hoạch'!$AJ$6:$AJ$305,$O1053))</f>
      </c>
      <c r="R1053" s="225">
        <f>IF($O1053="","",INDEX('Kế hoạch'!$AK$6:$AK$305,$O1053))</f>
      </c>
    </row>
    <row r="1054">
      <c r="A1054" s="223">
        <f>IF($C1054="","",COUNTIF($C$6:$C1054,"?*"))</f>
      </c>
      <c r="B1054" s="217"/>
      <c r="C1054" s="216"/>
      <c r="D1054" s="240"/>
      <c r="E1054" s="218"/>
      <c r="F1054" s="218"/>
      <c r="G1054" s="218"/>
      <c r="H1054" s="219"/>
      <c r="I1054" s="223">
        <f>IF($C1054="","",IF(ISNUMBER(MATCH($C1054,'Phản ánh'!$A$6:$A$505,0)),"Phản ánh",IF(ISNUMBER(MATCH($C1054,'Kế hoạch'!$A$6:$A$305,0)),"Công việc","Mã chưa có")))</f>
      </c>
      <c r="J1054" s="221">
        <f>IF($I1054="Phản ánh",INDEX('Phản ánh'!$C$6:$C$505,MATCH($C1054,'Phản ánh'!$A$6:$A$505,0)),IF($I1054="Công việc",INDEX('Kế hoạch'!$C$6:$C$305,$O1054),""))</f>
      </c>
      <c r="K1054" s="221">
        <f>IF($I1054="Phản ánh",INDEX('Phản ánh'!$K$6:$K$505,MATCH($C1054,'Phản ánh'!$A$6:$A$505,0))&amp;"",IF($I1054="Công việc",INDEX('Kế hoạch'!$N$6:$N$305,$O1054)&amp;"",""))</f>
      </c>
      <c r="L1054" s="220">
        <f>IF(OR($C1054="",N($B1054)=0),"",IF(AND($I1054="Phản ánh",$E1054="Đã xử lý"),INDEX('Phản ánh'!$U$6:$U$505,MATCH($C1054,'Phản ánh'!$A$6:$A$505,0)),IF(AND($I1054="Công việc",OR($E1054="Hoàn thành",$E1054="Hoàn thành kỳ")),IF(INDEX('Kế hoạch'!$B$6:$B$305,$O1054)="Đột xuất",INDEX('Kế hoạch'!$AY$6:$AY$305,$O1054),IF(N($P1054)=0,"",IF(INT($B1054)&lt;$P1054,$P1054,IF($Q1054&gt;0,$P1054+ROUND((INT($B1054)-$P1054)/$Q1054,0)*$Q1054,IF($R1054&gt;0,EDATE($P1054,ROUND((DATEDIF($P1054,INT($B1054),"m")+(INT($B1054)-EDATE($P1054,DATEDIF($P1054,INT($B1054),"m")))/(EDATE($P1054,DATEDIF($P1054,INT($B1054),"m")+1)-EDATE($P1054,DATEDIF($P1054,INT($B1054),"m"))))/$R1054,0)*$R1054),$P1054))))),"")))</f>
      </c>
      <c r="M1054" s="223">
        <f>IF(OR($C1054="",N($L1054)=0,N($B1054)=0),"",IF(IF(MOD($L1054,1)=0,INT($B1054),$B1054)&lt;=$L1054,"Đúng hạn","Trễ hạn"))</f>
      </c>
      <c r="N1054" s="225">
        <f>IF($C1054="","",ROW())</f>
      </c>
      <c r="O1054" s="225">
        <f>IF($I1054="Công việc",MATCH($C1054,'Kế hoạch'!$A$6:$A$305,0),"")</f>
      </c>
      <c r="P1054" s="234">
        <f>IF($O1054="","",INDEX('Kế hoạch'!$I$6:$I$305,$O1054))</f>
      </c>
      <c r="Q1054" s="225">
        <f>IF($O1054="","",INDEX('Kế hoạch'!$AJ$6:$AJ$305,$O1054))</f>
      </c>
      <c r="R1054" s="225">
        <f>IF($O1054="","",INDEX('Kế hoạch'!$AK$6:$AK$305,$O1054))</f>
      </c>
    </row>
    <row r="1055">
      <c r="A1055" s="223">
        <f>IF($C1055="","",COUNTIF($C$6:$C1055,"?*"))</f>
      </c>
      <c r="B1055" s="217"/>
      <c r="C1055" s="216"/>
      <c r="D1055" s="240"/>
      <c r="E1055" s="218"/>
      <c r="F1055" s="218"/>
      <c r="G1055" s="218"/>
      <c r="H1055" s="219"/>
      <c r="I1055" s="223">
        <f>IF($C1055="","",IF(ISNUMBER(MATCH($C1055,'Phản ánh'!$A$6:$A$505,0)),"Phản ánh",IF(ISNUMBER(MATCH($C1055,'Kế hoạch'!$A$6:$A$305,0)),"Công việc","Mã chưa có")))</f>
      </c>
      <c r="J1055" s="221">
        <f>IF($I1055="Phản ánh",INDEX('Phản ánh'!$C$6:$C$505,MATCH($C1055,'Phản ánh'!$A$6:$A$505,0)),IF($I1055="Công việc",INDEX('Kế hoạch'!$C$6:$C$305,$O1055),""))</f>
      </c>
      <c r="K1055" s="221">
        <f>IF($I1055="Phản ánh",INDEX('Phản ánh'!$K$6:$K$505,MATCH($C1055,'Phản ánh'!$A$6:$A$505,0))&amp;"",IF($I1055="Công việc",INDEX('Kế hoạch'!$N$6:$N$305,$O1055)&amp;"",""))</f>
      </c>
      <c r="L1055" s="220">
        <f>IF(OR($C1055="",N($B1055)=0),"",IF(AND($I1055="Phản ánh",$E1055="Đã xử lý"),INDEX('Phản ánh'!$U$6:$U$505,MATCH($C1055,'Phản ánh'!$A$6:$A$505,0)),IF(AND($I1055="Công việc",OR($E1055="Hoàn thành",$E1055="Hoàn thành kỳ")),IF(INDEX('Kế hoạch'!$B$6:$B$305,$O1055)="Đột xuất",INDEX('Kế hoạch'!$AY$6:$AY$305,$O1055),IF(N($P1055)=0,"",IF(INT($B1055)&lt;$P1055,$P1055,IF($Q1055&gt;0,$P1055+ROUND((INT($B1055)-$P1055)/$Q1055,0)*$Q1055,IF($R1055&gt;0,EDATE($P1055,ROUND((DATEDIF($P1055,INT($B1055),"m")+(INT($B1055)-EDATE($P1055,DATEDIF($P1055,INT($B1055),"m")))/(EDATE($P1055,DATEDIF($P1055,INT($B1055),"m")+1)-EDATE($P1055,DATEDIF($P1055,INT($B1055),"m"))))/$R1055,0)*$R1055),$P1055))))),"")))</f>
      </c>
      <c r="M1055" s="223">
        <f>IF(OR($C1055="",N($L1055)=0,N($B1055)=0),"",IF(IF(MOD($L1055,1)=0,INT($B1055),$B1055)&lt;=$L1055,"Đúng hạn","Trễ hạn"))</f>
      </c>
      <c r="N1055" s="225">
        <f>IF($C1055="","",ROW())</f>
      </c>
      <c r="O1055" s="225">
        <f>IF($I1055="Công việc",MATCH($C1055,'Kế hoạch'!$A$6:$A$305,0),"")</f>
      </c>
      <c r="P1055" s="234">
        <f>IF($O1055="","",INDEX('Kế hoạch'!$I$6:$I$305,$O1055))</f>
      </c>
      <c r="Q1055" s="225">
        <f>IF($O1055="","",INDEX('Kế hoạch'!$AJ$6:$AJ$305,$O1055))</f>
      </c>
      <c r="R1055" s="225">
        <f>IF($O1055="","",INDEX('Kế hoạch'!$AK$6:$AK$305,$O1055))</f>
      </c>
    </row>
    <row r="1056">
      <c r="A1056" s="223">
        <f>IF($C1056="","",COUNTIF($C$6:$C1056,"?*"))</f>
      </c>
      <c r="B1056" s="217"/>
      <c r="C1056" s="216"/>
      <c r="D1056" s="240"/>
      <c r="E1056" s="218"/>
      <c r="F1056" s="218"/>
      <c r="G1056" s="218"/>
      <c r="H1056" s="219"/>
      <c r="I1056" s="223">
        <f>IF($C1056="","",IF(ISNUMBER(MATCH($C1056,'Phản ánh'!$A$6:$A$505,0)),"Phản ánh",IF(ISNUMBER(MATCH($C1056,'Kế hoạch'!$A$6:$A$305,0)),"Công việc","Mã chưa có")))</f>
      </c>
      <c r="J1056" s="221">
        <f>IF($I1056="Phản ánh",INDEX('Phản ánh'!$C$6:$C$505,MATCH($C1056,'Phản ánh'!$A$6:$A$505,0)),IF($I1056="Công việc",INDEX('Kế hoạch'!$C$6:$C$305,$O1056),""))</f>
      </c>
      <c r="K1056" s="221">
        <f>IF($I1056="Phản ánh",INDEX('Phản ánh'!$K$6:$K$505,MATCH($C1056,'Phản ánh'!$A$6:$A$505,0))&amp;"",IF($I1056="Công việc",INDEX('Kế hoạch'!$N$6:$N$305,$O1056)&amp;"",""))</f>
      </c>
      <c r="L1056" s="220">
        <f>IF(OR($C1056="",N($B1056)=0),"",IF(AND($I1056="Phản ánh",$E1056="Đã xử lý"),INDEX('Phản ánh'!$U$6:$U$505,MATCH($C1056,'Phản ánh'!$A$6:$A$505,0)),IF(AND($I1056="Công việc",OR($E1056="Hoàn thành",$E1056="Hoàn thành kỳ")),IF(INDEX('Kế hoạch'!$B$6:$B$305,$O1056)="Đột xuất",INDEX('Kế hoạch'!$AY$6:$AY$305,$O1056),IF(N($P1056)=0,"",IF(INT($B1056)&lt;$P1056,$P1056,IF($Q1056&gt;0,$P1056+ROUND((INT($B1056)-$P1056)/$Q1056,0)*$Q1056,IF($R1056&gt;0,EDATE($P1056,ROUND((DATEDIF($P1056,INT($B1056),"m")+(INT($B1056)-EDATE($P1056,DATEDIF($P1056,INT($B1056),"m")))/(EDATE($P1056,DATEDIF($P1056,INT($B1056),"m")+1)-EDATE($P1056,DATEDIF($P1056,INT($B1056),"m"))))/$R1056,0)*$R1056),$P1056))))),"")))</f>
      </c>
      <c r="M1056" s="223">
        <f>IF(OR($C1056="",N($L1056)=0,N($B1056)=0),"",IF(IF(MOD($L1056,1)=0,INT($B1056),$B1056)&lt;=$L1056,"Đúng hạn","Trễ hạn"))</f>
      </c>
      <c r="N1056" s="225">
        <f>IF($C1056="","",ROW())</f>
      </c>
      <c r="O1056" s="225">
        <f>IF($I1056="Công việc",MATCH($C1056,'Kế hoạch'!$A$6:$A$305,0),"")</f>
      </c>
      <c r="P1056" s="234">
        <f>IF($O1056="","",INDEX('Kế hoạch'!$I$6:$I$305,$O1056))</f>
      </c>
      <c r="Q1056" s="225">
        <f>IF($O1056="","",INDEX('Kế hoạch'!$AJ$6:$AJ$305,$O1056))</f>
      </c>
      <c r="R1056" s="225">
        <f>IF($O1056="","",INDEX('Kế hoạch'!$AK$6:$AK$305,$O1056))</f>
      </c>
    </row>
    <row r="1057">
      <c r="A1057" s="223">
        <f>IF($C1057="","",COUNTIF($C$6:$C1057,"?*"))</f>
      </c>
      <c r="B1057" s="217"/>
      <c r="C1057" s="216"/>
      <c r="D1057" s="240"/>
      <c r="E1057" s="218"/>
      <c r="F1057" s="218"/>
      <c r="G1057" s="218"/>
      <c r="H1057" s="219"/>
      <c r="I1057" s="223">
        <f>IF($C1057="","",IF(ISNUMBER(MATCH($C1057,'Phản ánh'!$A$6:$A$505,0)),"Phản ánh",IF(ISNUMBER(MATCH($C1057,'Kế hoạch'!$A$6:$A$305,0)),"Công việc","Mã chưa có")))</f>
      </c>
      <c r="J1057" s="221">
        <f>IF($I1057="Phản ánh",INDEX('Phản ánh'!$C$6:$C$505,MATCH($C1057,'Phản ánh'!$A$6:$A$505,0)),IF($I1057="Công việc",INDEX('Kế hoạch'!$C$6:$C$305,$O1057),""))</f>
      </c>
      <c r="K1057" s="221">
        <f>IF($I1057="Phản ánh",INDEX('Phản ánh'!$K$6:$K$505,MATCH($C1057,'Phản ánh'!$A$6:$A$505,0))&amp;"",IF($I1057="Công việc",INDEX('Kế hoạch'!$N$6:$N$305,$O1057)&amp;"",""))</f>
      </c>
      <c r="L1057" s="220">
        <f>IF(OR($C1057="",N($B1057)=0),"",IF(AND($I1057="Phản ánh",$E1057="Đã xử lý"),INDEX('Phản ánh'!$U$6:$U$505,MATCH($C1057,'Phản ánh'!$A$6:$A$505,0)),IF(AND($I1057="Công việc",OR($E1057="Hoàn thành",$E1057="Hoàn thành kỳ")),IF(INDEX('Kế hoạch'!$B$6:$B$305,$O1057)="Đột xuất",INDEX('Kế hoạch'!$AY$6:$AY$305,$O1057),IF(N($P1057)=0,"",IF(INT($B1057)&lt;$P1057,$P1057,IF($Q1057&gt;0,$P1057+ROUND((INT($B1057)-$P1057)/$Q1057,0)*$Q1057,IF($R1057&gt;0,EDATE($P1057,ROUND((DATEDIF($P1057,INT($B1057),"m")+(INT($B1057)-EDATE($P1057,DATEDIF($P1057,INT($B1057),"m")))/(EDATE($P1057,DATEDIF($P1057,INT($B1057),"m")+1)-EDATE($P1057,DATEDIF($P1057,INT($B1057),"m"))))/$R1057,0)*$R1057),$P1057))))),"")))</f>
      </c>
      <c r="M1057" s="223">
        <f>IF(OR($C1057="",N($L1057)=0,N($B1057)=0),"",IF(IF(MOD($L1057,1)=0,INT($B1057),$B1057)&lt;=$L1057,"Đúng hạn","Trễ hạn"))</f>
      </c>
      <c r="N1057" s="225">
        <f>IF($C1057="","",ROW())</f>
      </c>
      <c r="O1057" s="225">
        <f>IF($I1057="Công việc",MATCH($C1057,'Kế hoạch'!$A$6:$A$305,0),"")</f>
      </c>
      <c r="P1057" s="234">
        <f>IF($O1057="","",INDEX('Kế hoạch'!$I$6:$I$305,$O1057))</f>
      </c>
      <c r="Q1057" s="225">
        <f>IF($O1057="","",INDEX('Kế hoạch'!$AJ$6:$AJ$305,$O1057))</f>
      </c>
      <c r="R1057" s="225">
        <f>IF($O1057="","",INDEX('Kế hoạch'!$AK$6:$AK$305,$O1057))</f>
      </c>
    </row>
    <row r="1058">
      <c r="A1058" s="223">
        <f>IF($C1058="","",COUNTIF($C$6:$C1058,"?*"))</f>
      </c>
      <c r="B1058" s="217"/>
      <c r="C1058" s="216"/>
      <c r="D1058" s="240"/>
      <c r="E1058" s="218"/>
      <c r="F1058" s="218"/>
      <c r="G1058" s="218"/>
      <c r="H1058" s="219"/>
      <c r="I1058" s="223">
        <f>IF($C1058="","",IF(ISNUMBER(MATCH($C1058,'Phản ánh'!$A$6:$A$505,0)),"Phản ánh",IF(ISNUMBER(MATCH($C1058,'Kế hoạch'!$A$6:$A$305,0)),"Công việc","Mã chưa có")))</f>
      </c>
      <c r="J1058" s="221">
        <f>IF($I1058="Phản ánh",INDEX('Phản ánh'!$C$6:$C$505,MATCH($C1058,'Phản ánh'!$A$6:$A$505,0)),IF($I1058="Công việc",INDEX('Kế hoạch'!$C$6:$C$305,$O1058),""))</f>
      </c>
      <c r="K1058" s="221">
        <f>IF($I1058="Phản ánh",INDEX('Phản ánh'!$K$6:$K$505,MATCH($C1058,'Phản ánh'!$A$6:$A$505,0))&amp;"",IF($I1058="Công việc",INDEX('Kế hoạch'!$N$6:$N$305,$O1058)&amp;"",""))</f>
      </c>
      <c r="L1058" s="220">
        <f>IF(OR($C1058="",N($B1058)=0),"",IF(AND($I1058="Phản ánh",$E1058="Đã xử lý"),INDEX('Phản ánh'!$U$6:$U$505,MATCH($C1058,'Phản ánh'!$A$6:$A$505,0)),IF(AND($I1058="Công việc",OR($E1058="Hoàn thành",$E1058="Hoàn thành kỳ")),IF(INDEX('Kế hoạch'!$B$6:$B$305,$O1058)="Đột xuất",INDEX('Kế hoạch'!$AY$6:$AY$305,$O1058),IF(N($P1058)=0,"",IF(INT($B1058)&lt;$P1058,$P1058,IF($Q1058&gt;0,$P1058+ROUND((INT($B1058)-$P1058)/$Q1058,0)*$Q1058,IF($R1058&gt;0,EDATE($P1058,ROUND((DATEDIF($P1058,INT($B1058),"m")+(INT($B1058)-EDATE($P1058,DATEDIF($P1058,INT($B1058),"m")))/(EDATE($P1058,DATEDIF($P1058,INT($B1058),"m")+1)-EDATE($P1058,DATEDIF($P1058,INT($B1058),"m"))))/$R1058,0)*$R1058),$P1058))))),"")))</f>
      </c>
      <c r="M1058" s="223">
        <f>IF(OR($C1058="",N($L1058)=0,N($B1058)=0),"",IF(IF(MOD($L1058,1)=0,INT($B1058),$B1058)&lt;=$L1058,"Đúng hạn","Trễ hạn"))</f>
      </c>
      <c r="N1058" s="225">
        <f>IF($C1058="","",ROW())</f>
      </c>
      <c r="O1058" s="225">
        <f>IF($I1058="Công việc",MATCH($C1058,'Kế hoạch'!$A$6:$A$305,0),"")</f>
      </c>
      <c r="P1058" s="234">
        <f>IF($O1058="","",INDEX('Kế hoạch'!$I$6:$I$305,$O1058))</f>
      </c>
      <c r="Q1058" s="225">
        <f>IF($O1058="","",INDEX('Kế hoạch'!$AJ$6:$AJ$305,$O1058))</f>
      </c>
      <c r="R1058" s="225">
        <f>IF($O1058="","",INDEX('Kế hoạch'!$AK$6:$AK$305,$O1058))</f>
      </c>
    </row>
    <row r="1059">
      <c r="A1059" s="223">
        <f>IF($C1059="","",COUNTIF($C$6:$C1059,"?*"))</f>
      </c>
      <c r="B1059" s="217"/>
      <c r="C1059" s="216"/>
      <c r="D1059" s="240"/>
      <c r="E1059" s="218"/>
      <c r="F1059" s="218"/>
      <c r="G1059" s="218"/>
      <c r="H1059" s="219"/>
      <c r="I1059" s="223">
        <f>IF($C1059="","",IF(ISNUMBER(MATCH($C1059,'Phản ánh'!$A$6:$A$505,0)),"Phản ánh",IF(ISNUMBER(MATCH($C1059,'Kế hoạch'!$A$6:$A$305,0)),"Công việc","Mã chưa có")))</f>
      </c>
      <c r="J1059" s="221">
        <f>IF($I1059="Phản ánh",INDEX('Phản ánh'!$C$6:$C$505,MATCH($C1059,'Phản ánh'!$A$6:$A$505,0)),IF($I1059="Công việc",INDEX('Kế hoạch'!$C$6:$C$305,$O1059),""))</f>
      </c>
      <c r="K1059" s="221">
        <f>IF($I1059="Phản ánh",INDEX('Phản ánh'!$K$6:$K$505,MATCH($C1059,'Phản ánh'!$A$6:$A$505,0))&amp;"",IF($I1059="Công việc",INDEX('Kế hoạch'!$N$6:$N$305,$O1059)&amp;"",""))</f>
      </c>
      <c r="L1059" s="220">
        <f>IF(OR($C1059="",N($B1059)=0),"",IF(AND($I1059="Phản ánh",$E1059="Đã xử lý"),INDEX('Phản ánh'!$U$6:$U$505,MATCH($C1059,'Phản ánh'!$A$6:$A$505,0)),IF(AND($I1059="Công việc",OR($E1059="Hoàn thành",$E1059="Hoàn thành kỳ")),IF(INDEX('Kế hoạch'!$B$6:$B$305,$O1059)="Đột xuất",INDEX('Kế hoạch'!$AY$6:$AY$305,$O1059),IF(N($P1059)=0,"",IF(INT($B1059)&lt;$P1059,$P1059,IF($Q1059&gt;0,$P1059+ROUND((INT($B1059)-$P1059)/$Q1059,0)*$Q1059,IF($R1059&gt;0,EDATE($P1059,ROUND((DATEDIF($P1059,INT($B1059),"m")+(INT($B1059)-EDATE($P1059,DATEDIF($P1059,INT($B1059),"m")))/(EDATE($P1059,DATEDIF($P1059,INT($B1059),"m")+1)-EDATE($P1059,DATEDIF($P1059,INT($B1059),"m"))))/$R1059,0)*$R1059),$P1059))))),"")))</f>
      </c>
      <c r="M1059" s="223">
        <f>IF(OR($C1059="",N($L1059)=0,N($B1059)=0),"",IF(IF(MOD($L1059,1)=0,INT($B1059),$B1059)&lt;=$L1059,"Đúng hạn","Trễ hạn"))</f>
      </c>
      <c r="N1059" s="225">
        <f>IF($C1059="","",ROW())</f>
      </c>
      <c r="O1059" s="225">
        <f>IF($I1059="Công việc",MATCH($C1059,'Kế hoạch'!$A$6:$A$305,0),"")</f>
      </c>
      <c r="P1059" s="234">
        <f>IF($O1059="","",INDEX('Kế hoạch'!$I$6:$I$305,$O1059))</f>
      </c>
      <c r="Q1059" s="225">
        <f>IF($O1059="","",INDEX('Kế hoạch'!$AJ$6:$AJ$305,$O1059))</f>
      </c>
      <c r="R1059" s="225">
        <f>IF($O1059="","",INDEX('Kế hoạch'!$AK$6:$AK$305,$O1059))</f>
      </c>
    </row>
    <row r="1060">
      <c r="A1060" s="223">
        <f>IF($C1060="","",COUNTIF($C$6:$C1060,"?*"))</f>
      </c>
      <c r="B1060" s="217"/>
      <c r="C1060" s="216"/>
      <c r="D1060" s="240"/>
      <c r="E1060" s="218"/>
      <c r="F1060" s="218"/>
      <c r="G1060" s="218"/>
      <c r="H1060" s="219"/>
      <c r="I1060" s="223">
        <f>IF($C1060="","",IF(ISNUMBER(MATCH($C1060,'Phản ánh'!$A$6:$A$505,0)),"Phản ánh",IF(ISNUMBER(MATCH($C1060,'Kế hoạch'!$A$6:$A$305,0)),"Công việc","Mã chưa có")))</f>
      </c>
      <c r="J1060" s="221">
        <f>IF($I1060="Phản ánh",INDEX('Phản ánh'!$C$6:$C$505,MATCH($C1060,'Phản ánh'!$A$6:$A$505,0)),IF($I1060="Công việc",INDEX('Kế hoạch'!$C$6:$C$305,$O1060),""))</f>
      </c>
      <c r="K1060" s="221">
        <f>IF($I1060="Phản ánh",INDEX('Phản ánh'!$K$6:$K$505,MATCH($C1060,'Phản ánh'!$A$6:$A$505,0))&amp;"",IF($I1060="Công việc",INDEX('Kế hoạch'!$N$6:$N$305,$O1060)&amp;"",""))</f>
      </c>
      <c r="L1060" s="220">
        <f>IF(OR($C1060="",N($B1060)=0),"",IF(AND($I1060="Phản ánh",$E1060="Đã xử lý"),INDEX('Phản ánh'!$U$6:$U$505,MATCH($C1060,'Phản ánh'!$A$6:$A$505,0)),IF(AND($I1060="Công việc",OR($E1060="Hoàn thành",$E1060="Hoàn thành kỳ")),IF(INDEX('Kế hoạch'!$B$6:$B$305,$O1060)="Đột xuất",INDEX('Kế hoạch'!$AY$6:$AY$305,$O1060),IF(N($P1060)=0,"",IF(INT($B1060)&lt;$P1060,$P1060,IF($Q1060&gt;0,$P1060+ROUND((INT($B1060)-$P1060)/$Q1060,0)*$Q1060,IF($R1060&gt;0,EDATE($P1060,ROUND((DATEDIF($P1060,INT($B1060),"m")+(INT($B1060)-EDATE($P1060,DATEDIF($P1060,INT($B1060),"m")))/(EDATE($P1060,DATEDIF($P1060,INT($B1060),"m")+1)-EDATE($P1060,DATEDIF($P1060,INT($B1060),"m"))))/$R1060,0)*$R1060),$P1060))))),"")))</f>
      </c>
      <c r="M1060" s="223">
        <f>IF(OR($C1060="",N($L1060)=0,N($B1060)=0),"",IF(IF(MOD($L1060,1)=0,INT($B1060),$B1060)&lt;=$L1060,"Đúng hạn","Trễ hạn"))</f>
      </c>
      <c r="N1060" s="225">
        <f>IF($C1060="","",ROW())</f>
      </c>
      <c r="O1060" s="225">
        <f>IF($I1060="Công việc",MATCH($C1060,'Kế hoạch'!$A$6:$A$305,0),"")</f>
      </c>
      <c r="P1060" s="234">
        <f>IF($O1060="","",INDEX('Kế hoạch'!$I$6:$I$305,$O1060))</f>
      </c>
      <c r="Q1060" s="225">
        <f>IF($O1060="","",INDEX('Kế hoạch'!$AJ$6:$AJ$305,$O1060))</f>
      </c>
      <c r="R1060" s="225">
        <f>IF($O1060="","",INDEX('Kế hoạch'!$AK$6:$AK$305,$O1060))</f>
      </c>
    </row>
    <row r="1061">
      <c r="A1061" s="223">
        <f>IF($C1061="","",COUNTIF($C$6:$C1061,"?*"))</f>
      </c>
      <c r="B1061" s="217"/>
      <c r="C1061" s="216"/>
      <c r="D1061" s="240"/>
      <c r="E1061" s="218"/>
      <c r="F1061" s="218"/>
      <c r="G1061" s="218"/>
      <c r="H1061" s="219"/>
      <c r="I1061" s="223">
        <f>IF($C1061="","",IF(ISNUMBER(MATCH($C1061,'Phản ánh'!$A$6:$A$505,0)),"Phản ánh",IF(ISNUMBER(MATCH($C1061,'Kế hoạch'!$A$6:$A$305,0)),"Công việc","Mã chưa có")))</f>
      </c>
      <c r="J1061" s="221">
        <f>IF($I1061="Phản ánh",INDEX('Phản ánh'!$C$6:$C$505,MATCH($C1061,'Phản ánh'!$A$6:$A$505,0)),IF($I1061="Công việc",INDEX('Kế hoạch'!$C$6:$C$305,$O1061),""))</f>
      </c>
      <c r="K1061" s="221">
        <f>IF($I1061="Phản ánh",INDEX('Phản ánh'!$K$6:$K$505,MATCH($C1061,'Phản ánh'!$A$6:$A$505,0))&amp;"",IF($I1061="Công việc",INDEX('Kế hoạch'!$N$6:$N$305,$O1061)&amp;"",""))</f>
      </c>
      <c r="L1061" s="220">
        <f>IF(OR($C1061="",N($B1061)=0),"",IF(AND($I1061="Phản ánh",$E1061="Đã xử lý"),INDEX('Phản ánh'!$U$6:$U$505,MATCH($C1061,'Phản ánh'!$A$6:$A$505,0)),IF(AND($I1061="Công việc",OR($E1061="Hoàn thành",$E1061="Hoàn thành kỳ")),IF(INDEX('Kế hoạch'!$B$6:$B$305,$O1061)="Đột xuất",INDEX('Kế hoạch'!$AY$6:$AY$305,$O1061),IF(N($P1061)=0,"",IF(INT($B1061)&lt;$P1061,$P1061,IF($Q1061&gt;0,$P1061+ROUND((INT($B1061)-$P1061)/$Q1061,0)*$Q1061,IF($R1061&gt;0,EDATE($P1061,ROUND((DATEDIF($P1061,INT($B1061),"m")+(INT($B1061)-EDATE($P1061,DATEDIF($P1061,INT($B1061),"m")))/(EDATE($P1061,DATEDIF($P1061,INT($B1061),"m")+1)-EDATE($P1061,DATEDIF($P1061,INT($B1061),"m"))))/$R1061,0)*$R1061),$P1061))))),"")))</f>
      </c>
      <c r="M1061" s="223">
        <f>IF(OR($C1061="",N($L1061)=0,N($B1061)=0),"",IF(IF(MOD($L1061,1)=0,INT($B1061),$B1061)&lt;=$L1061,"Đúng hạn","Trễ hạn"))</f>
      </c>
      <c r="N1061" s="225">
        <f>IF($C1061="","",ROW())</f>
      </c>
      <c r="O1061" s="225">
        <f>IF($I1061="Công việc",MATCH($C1061,'Kế hoạch'!$A$6:$A$305,0),"")</f>
      </c>
      <c r="P1061" s="234">
        <f>IF($O1061="","",INDEX('Kế hoạch'!$I$6:$I$305,$O1061))</f>
      </c>
      <c r="Q1061" s="225">
        <f>IF($O1061="","",INDEX('Kế hoạch'!$AJ$6:$AJ$305,$O1061))</f>
      </c>
      <c r="R1061" s="225">
        <f>IF($O1061="","",INDEX('Kế hoạch'!$AK$6:$AK$305,$O1061))</f>
      </c>
    </row>
    <row r="1062">
      <c r="A1062" s="223">
        <f>IF($C1062="","",COUNTIF($C$6:$C1062,"?*"))</f>
      </c>
      <c r="B1062" s="217"/>
      <c r="C1062" s="216"/>
      <c r="D1062" s="240"/>
      <c r="E1062" s="218"/>
      <c r="F1062" s="218"/>
      <c r="G1062" s="218"/>
      <c r="H1062" s="219"/>
      <c r="I1062" s="223">
        <f>IF($C1062="","",IF(ISNUMBER(MATCH($C1062,'Phản ánh'!$A$6:$A$505,0)),"Phản ánh",IF(ISNUMBER(MATCH($C1062,'Kế hoạch'!$A$6:$A$305,0)),"Công việc","Mã chưa có")))</f>
      </c>
      <c r="J1062" s="221">
        <f>IF($I1062="Phản ánh",INDEX('Phản ánh'!$C$6:$C$505,MATCH($C1062,'Phản ánh'!$A$6:$A$505,0)),IF($I1062="Công việc",INDEX('Kế hoạch'!$C$6:$C$305,$O1062),""))</f>
      </c>
      <c r="K1062" s="221">
        <f>IF($I1062="Phản ánh",INDEX('Phản ánh'!$K$6:$K$505,MATCH($C1062,'Phản ánh'!$A$6:$A$505,0))&amp;"",IF($I1062="Công việc",INDEX('Kế hoạch'!$N$6:$N$305,$O1062)&amp;"",""))</f>
      </c>
      <c r="L1062" s="220">
        <f>IF(OR($C1062="",N($B1062)=0),"",IF(AND($I1062="Phản ánh",$E1062="Đã xử lý"),INDEX('Phản ánh'!$U$6:$U$505,MATCH($C1062,'Phản ánh'!$A$6:$A$505,0)),IF(AND($I1062="Công việc",OR($E1062="Hoàn thành",$E1062="Hoàn thành kỳ")),IF(INDEX('Kế hoạch'!$B$6:$B$305,$O1062)="Đột xuất",INDEX('Kế hoạch'!$AY$6:$AY$305,$O1062),IF(N($P1062)=0,"",IF(INT($B1062)&lt;$P1062,$P1062,IF($Q1062&gt;0,$P1062+ROUND((INT($B1062)-$P1062)/$Q1062,0)*$Q1062,IF($R1062&gt;0,EDATE($P1062,ROUND((DATEDIF($P1062,INT($B1062),"m")+(INT($B1062)-EDATE($P1062,DATEDIF($P1062,INT($B1062),"m")))/(EDATE($P1062,DATEDIF($P1062,INT($B1062),"m")+1)-EDATE($P1062,DATEDIF($P1062,INT($B1062),"m"))))/$R1062,0)*$R1062),$P1062))))),"")))</f>
      </c>
      <c r="M1062" s="223">
        <f>IF(OR($C1062="",N($L1062)=0,N($B1062)=0),"",IF(IF(MOD($L1062,1)=0,INT($B1062),$B1062)&lt;=$L1062,"Đúng hạn","Trễ hạn"))</f>
      </c>
      <c r="N1062" s="225">
        <f>IF($C1062="","",ROW())</f>
      </c>
      <c r="O1062" s="225">
        <f>IF($I1062="Công việc",MATCH($C1062,'Kế hoạch'!$A$6:$A$305,0),"")</f>
      </c>
      <c r="P1062" s="234">
        <f>IF($O1062="","",INDEX('Kế hoạch'!$I$6:$I$305,$O1062))</f>
      </c>
      <c r="Q1062" s="225">
        <f>IF($O1062="","",INDEX('Kế hoạch'!$AJ$6:$AJ$305,$O1062))</f>
      </c>
      <c r="R1062" s="225">
        <f>IF($O1062="","",INDEX('Kế hoạch'!$AK$6:$AK$305,$O1062))</f>
      </c>
    </row>
    <row r="1063">
      <c r="A1063" s="223">
        <f>IF($C1063="","",COUNTIF($C$6:$C1063,"?*"))</f>
      </c>
      <c r="B1063" s="217"/>
      <c r="C1063" s="216"/>
      <c r="D1063" s="240"/>
      <c r="E1063" s="218"/>
      <c r="F1063" s="218"/>
      <c r="G1063" s="218"/>
      <c r="H1063" s="219"/>
      <c r="I1063" s="223">
        <f>IF($C1063="","",IF(ISNUMBER(MATCH($C1063,'Phản ánh'!$A$6:$A$505,0)),"Phản ánh",IF(ISNUMBER(MATCH($C1063,'Kế hoạch'!$A$6:$A$305,0)),"Công việc","Mã chưa có")))</f>
      </c>
      <c r="J1063" s="221">
        <f>IF($I1063="Phản ánh",INDEX('Phản ánh'!$C$6:$C$505,MATCH($C1063,'Phản ánh'!$A$6:$A$505,0)),IF($I1063="Công việc",INDEX('Kế hoạch'!$C$6:$C$305,$O1063),""))</f>
      </c>
      <c r="K1063" s="221">
        <f>IF($I1063="Phản ánh",INDEX('Phản ánh'!$K$6:$K$505,MATCH($C1063,'Phản ánh'!$A$6:$A$505,0))&amp;"",IF($I1063="Công việc",INDEX('Kế hoạch'!$N$6:$N$305,$O1063)&amp;"",""))</f>
      </c>
      <c r="L1063" s="220">
        <f>IF(OR($C1063="",N($B1063)=0),"",IF(AND($I1063="Phản ánh",$E1063="Đã xử lý"),INDEX('Phản ánh'!$U$6:$U$505,MATCH($C1063,'Phản ánh'!$A$6:$A$505,0)),IF(AND($I1063="Công việc",OR($E1063="Hoàn thành",$E1063="Hoàn thành kỳ")),IF(INDEX('Kế hoạch'!$B$6:$B$305,$O1063)="Đột xuất",INDEX('Kế hoạch'!$AY$6:$AY$305,$O1063),IF(N($P1063)=0,"",IF(INT($B1063)&lt;$P1063,$P1063,IF($Q1063&gt;0,$P1063+ROUND((INT($B1063)-$P1063)/$Q1063,0)*$Q1063,IF($R1063&gt;0,EDATE($P1063,ROUND((DATEDIF($P1063,INT($B1063),"m")+(INT($B1063)-EDATE($P1063,DATEDIF($P1063,INT($B1063),"m")))/(EDATE($P1063,DATEDIF($P1063,INT($B1063),"m")+1)-EDATE($P1063,DATEDIF($P1063,INT($B1063),"m"))))/$R1063,0)*$R1063),$P1063))))),"")))</f>
      </c>
      <c r="M1063" s="223">
        <f>IF(OR($C1063="",N($L1063)=0,N($B1063)=0),"",IF(IF(MOD($L1063,1)=0,INT($B1063),$B1063)&lt;=$L1063,"Đúng hạn","Trễ hạn"))</f>
      </c>
      <c r="N1063" s="225">
        <f>IF($C1063="","",ROW())</f>
      </c>
      <c r="O1063" s="225">
        <f>IF($I1063="Công việc",MATCH($C1063,'Kế hoạch'!$A$6:$A$305,0),"")</f>
      </c>
      <c r="P1063" s="234">
        <f>IF($O1063="","",INDEX('Kế hoạch'!$I$6:$I$305,$O1063))</f>
      </c>
      <c r="Q1063" s="225">
        <f>IF($O1063="","",INDEX('Kế hoạch'!$AJ$6:$AJ$305,$O1063))</f>
      </c>
      <c r="R1063" s="225">
        <f>IF($O1063="","",INDEX('Kế hoạch'!$AK$6:$AK$305,$O1063))</f>
      </c>
    </row>
    <row r="1064">
      <c r="A1064" s="223">
        <f>IF($C1064="","",COUNTIF($C$6:$C1064,"?*"))</f>
      </c>
      <c r="B1064" s="217"/>
      <c r="C1064" s="216"/>
      <c r="D1064" s="240"/>
      <c r="E1064" s="218"/>
      <c r="F1064" s="218"/>
      <c r="G1064" s="218"/>
      <c r="H1064" s="219"/>
      <c r="I1064" s="223">
        <f>IF($C1064="","",IF(ISNUMBER(MATCH($C1064,'Phản ánh'!$A$6:$A$505,0)),"Phản ánh",IF(ISNUMBER(MATCH($C1064,'Kế hoạch'!$A$6:$A$305,0)),"Công việc","Mã chưa có")))</f>
      </c>
      <c r="J1064" s="221">
        <f>IF($I1064="Phản ánh",INDEX('Phản ánh'!$C$6:$C$505,MATCH($C1064,'Phản ánh'!$A$6:$A$505,0)),IF($I1064="Công việc",INDEX('Kế hoạch'!$C$6:$C$305,$O1064),""))</f>
      </c>
      <c r="K1064" s="221">
        <f>IF($I1064="Phản ánh",INDEX('Phản ánh'!$K$6:$K$505,MATCH($C1064,'Phản ánh'!$A$6:$A$505,0))&amp;"",IF($I1064="Công việc",INDEX('Kế hoạch'!$N$6:$N$305,$O1064)&amp;"",""))</f>
      </c>
      <c r="L1064" s="220">
        <f>IF(OR($C1064="",N($B1064)=0),"",IF(AND($I1064="Phản ánh",$E1064="Đã xử lý"),INDEX('Phản ánh'!$U$6:$U$505,MATCH($C1064,'Phản ánh'!$A$6:$A$505,0)),IF(AND($I1064="Công việc",OR($E1064="Hoàn thành",$E1064="Hoàn thành kỳ")),IF(INDEX('Kế hoạch'!$B$6:$B$305,$O1064)="Đột xuất",INDEX('Kế hoạch'!$AY$6:$AY$305,$O1064),IF(N($P1064)=0,"",IF(INT($B1064)&lt;$P1064,$P1064,IF($Q1064&gt;0,$P1064+ROUND((INT($B1064)-$P1064)/$Q1064,0)*$Q1064,IF($R1064&gt;0,EDATE($P1064,ROUND((DATEDIF($P1064,INT($B1064),"m")+(INT($B1064)-EDATE($P1064,DATEDIF($P1064,INT($B1064),"m")))/(EDATE($P1064,DATEDIF($P1064,INT($B1064),"m")+1)-EDATE($P1064,DATEDIF($P1064,INT($B1064),"m"))))/$R1064,0)*$R1064),$P1064))))),"")))</f>
      </c>
      <c r="M1064" s="223">
        <f>IF(OR($C1064="",N($L1064)=0,N($B1064)=0),"",IF(IF(MOD($L1064,1)=0,INT($B1064),$B1064)&lt;=$L1064,"Đúng hạn","Trễ hạn"))</f>
      </c>
      <c r="N1064" s="225">
        <f>IF($C1064="","",ROW())</f>
      </c>
      <c r="O1064" s="225">
        <f>IF($I1064="Công việc",MATCH($C1064,'Kế hoạch'!$A$6:$A$305,0),"")</f>
      </c>
      <c r="P1064" s="234">
        <f>IF($O1064="","",INDEX('Kế hoạch'!$I$6:$I$305,$O1064))</f>
      </c>
      <c r="Q1064" s="225">
        <f>IF($O1064="","",INDEX('Kế hoạch'!$AJ$6:$AJ$305,$O1064))</f>
      </c>
      <c r="R1064" s="225">
        <f>IF($O1064="","",INDEX('Kế hoạch'!$AK$6:$AK$305,$O1064))</f>
      </c>
    </row>
    <row r="1065">
      <c r="A1065" s="223">
        <f>IF($C1065="","",COUNTIF($C$6:$C1065,"?*"))</f>
      </c>
      <c r="B1065" s="217"/>
      <c r="C1065" s="216"/>
      <c r="D1065" s="240"/>
      <c r="E1065" s="218"/>
      <c r="F1065" s="218"/>
      <c r="G1065" s="218"/>
      <c r="H1065" s="219"/>
      <c r="I1065" s="223">
        <f>IF($C1065="","",IF(ISNUMBER(MATCH($C1065,'Phản ánh'!$A$6:$A$505,0)),"Phản ánh",IF(ISNUMBER(MATCH($C1065,'Kế hoạch'!$A$6:$A$305,0)),"Công việc","Mã chưa có")))</f>
      </c>
      <c r="J1065" s="221">
        <f>IF($I1065="Phản ánh",INDEX('Phản ánh'!$C$6:$C$505,MATCH($C1065,'Phản ánh'!$A$6:$A$505,0)),IF($I1065="Công việc",INDEX('Kế hoạch'!$C$6:$C$305,$O1065),""))</f>
      </c>
      <c r="K1065" s="221">
        <f>IF($I1065="Phản ánh",INDEX('Phản ánh'!$K$6:$K$505,MATCH($C1065,'Phản ánh'!$A$6:$A$505,0))&amp;"",IF($I1065="Công việc",INDEX('Kế hoạch'!$N$6:$N$305,$O1065)&amp;"",""))</f>
      </c>
      <c r="L1065" s="220">
        <f>IF(OR($C1065="",N($B1065)=0),"",IF(AND($I1065="Phản ánh",$E1065="Đã xử lý"),INDEX('Phản ánh'!$U$6:$U$505,MATCH($C1065,'Phản ánh'!$A$6:$A$505,0)),IF(AND($I1065="Công việc",OR($E1065="Hoàn thành",$E1065="Hoàn thành kỳ")),IF(INDEX('Kế hoạch'!$B$6:$B$305,$O1065)="Đột xuất",INDEX('Kế hoạch'!$AY$6:$AY$305,$O1065),IF(N($P1065)=0,"",IF(INT($B1065)&lt;$P1065,$P1065,IF($Q1065&gt;0,$P1065+ROUND((INT($B1065)-$P1065)/$Q1065,0)*$Q1065,IF($R1065&gt;0,EDATE($P1065,ROUND((DATEDIF($P1065,INT($B1065),"m")+(INT($B1065)-EDATE($P1065,DATEDIF($P1065,INT($B1065),"m")))/(EDATE($P1065,DATEDIF($P1065,INT($B1065),"m")+1)-EDATE($P1065,DATEDIF($P1065,INT($B1065),"m"))))/$R1065,0)*$R1065),$P1065))))),"")))</f>
      </c>
      <c r="M1065" s="223">
        <f>IF(OR($C1065="",N($L1065)=0,N($B1065)=0),"",IF(IF(MOD($L1065,1)=0,INT($B1065),$B1065)&lt;=$L1065,"Đúng hạn","Trễ hạn"))</f>
      </c>
      <c r="N1065" s="225">
        <f>IF($C1065="","",ROW())</f>
      </c>
      <c r="O1065" s="225">
        <f>IF($I1065="Công việc",MATCH($C1065,'Kế hoạch'!$A$6:$A$305,0),"")</f>
      </c>
      <c r="P1065" s="234">
        <f>IF($O1065="","",INDEX('Kế hoạch'!$I$6:$I$305,$O1065))</f>
      </c>
      <c r="Q1065" s="225">
        <f>IF($O1065="","",INDEX('Kế hoạch'!$AJ$6:$AJ$305,$O1065))</f>
      </c>
      <c r="R1065" s="225">
        <f>IF($O1065="","",INDEX('Kế hoạch'!$AK$6:$AK$305,$O1065))</f>
      </c>
    </row>
    <row r="1066">
      <c r="A1066" s="223">
        <f>IF($C1066="","",COUNTIF($C$6:$C1066,"?*"))</f>
      </c>
      <c r="B1066" s="217"/>
      <c r="C1066" s="216"/>
      <c r="D1066" s="240"/>
      <c r="E1066" s="218"/>
      <c r="F1066" s="218"/>
      <c r="G1066" s="218"/>
      <c r="H1066" s="219"/>
      <c r="I1066" s="223">
        <f>IF($C1066="","",IF(ISNUMBER(MATCH($C1066,'Phản ánh'!$A$6:$A$505,0)),"Phản ánh",IF(ISNUMBER(MATCH($C1066,'Kế hoạch'!$A$6:$A$305,0)),"Công việc","Mã chưa có")))</f>
      </c>
      <c r="J1066" s="221">
        <f>IF($I1066="Phản ánh",INDEX('Phản ánh'!$C$6:$C$505,MATCH($C1066,'Phản ánh'!$A$6:$A$505,0)),IF($I1066="Công việc",INDEX('Kế hoạch'!$C$6:$C$305,$O1066),""))</f>
      </c>
      <c r="K1066" s="221">
        <f>IF($I1066="Phản ánh",INDEX('Phản ánh'!$K$6:$K$505,MATCH($C1066,'Phản ánh'!$A$6:$A$505,0))&amp;"",IF($I1066="Công việc",INDEX('Kế hoạch'!$N$6:$N$305,$O1066)&amp;"",""))</f>
      </c>
      <c r="L1066" s="220">
        <f>IF(OR($C1066="",N($B1066)=0),"",IF(AND($I1066="Phản ánh",$E1066="Đã xử lý"),INDEX('Phản ánh'!$U$6:$U$505,MATCH($C1066,'Phản ánh'!$A$6:$A$505,0)),IF(AND($I1066="Công việc",OR($E1066="Hoàn thành",$E1066="Hoàn thành kỳ")),IF(INDEX('Kế hoạch'!$B$6:$B$305,$O1066)="Đột xuất",INDEX('Kế hoạch'!$AY$6:$AY$305,$O1066),IF(N($P1066)=0,"",IF(INT($B1066)&lt;$P1066,$P1066,IF($Q1066&gt;0,$P1066+ROUND((INT($B1066)-$P1066)/$Q1066,0)*$Q1066,IF($R1066&gt;0,EDATE($P1066,ROUND((DATEDIF($P1066,INT($B1066),"m")+(INT($B1066)-EDATE($P1066,DATEDIF($P1066,INT($B1066),"m")))/(EDATE($P1066,DATEDIF($P1066,INT($B1066),"m")+1)-EDATE($P1066,DATEDIF($P1066,INT($B1066),"m"))))/$R1066,0)*$R1066),$P1066))))),"")))</f>
      </c>
      <c r="M1066" s="223">
        <f>IF(OR($C1066="",N($L1066)=0,N($B1066)=0),"",IF(IF(MOD($L1066,1)=0,INT($B1066),$B1066)&lt;=$L1066,"Đúng hạn","Trễ hạn"))</f>
      </c>
      <c r="N1066" s="225">
        <f>IF($C1066="","",ROW())</f>
      </c>
      <c r="O1066" s="225">
        <f>IF($I1066="Công việc",MATCH($C1066,'Kế hoạch'!$A$6:$A$305,0),"")</f>
      </c>
      <c r="P1066" s="234">
        <f>IF($O1066="","",INDEX('Kế hoạch'!$I$6:$I$305,$O1066))</f>
      </c>
      <c r="Q1066" s="225">
        <f>IF($O1066="","",INDEX('Kế hoạch'!$AJ$6:$AJ$305,$O1066))</f>
      </c>
      <c r="R1066" s="225">
        <f>IF($O1066="","",INDEX('Kế hoạch'!$AK$6:$AK$305,$O1066))</f>
      </c>
    </row>
    <row r="1067">
      <c r="A1067" s="223">
        <f>IF($C1067="","",COUNTIF($C$6:$C1067,"?*"))</f>
      </c>
      <c r="B1067" s="217"/>
      <c r="C1067" s="216"/>
      <c r="D1067" s="240"/>
      <c r="E1067" s="218"/>
      <c r="F1067" s="218"/>
      <c r="G1067" s="218"/>
      <c r="H1067" s="219"/>
      <c r="I1067" s="223">
        <f>IF($C1067="","",IF(ISNUMBER(MATCH($C1067,'Phản ánh'!$A$6:$A$505,0)),"Phản ánh",IF(ISNUMBER(MATCH($C1067,'Kế hoạch'!$A$6:$A$305,0)),"Công việc","Mã chưa có")))</f>
      </c>
      <c r="J1067" s="221">
        <f>IF($I1067="Phản ánh",INDEX('Phản ánh'!$C$6:$C$505,MATCH($C1067,'Phản ánh'!$A$6:$A$505,0)),IF($I1067="Công việc",INDEX('Kế hoạch'!$C$6:$C$305,$O1067),""))</f>
      </c>
      <c r="K1067" s="221">
        <f>IF($I1067="Phản ánh",INDEX('Phản ánh'!$K$6:$K$505,MATCH($C1067,'Phản ánh'!$A$6:$A$505,0))&amp;"",IF($I1067="Công việc",INDEX('Kế hoạch'!$N$6:$N$305,$O1067)&amp;"",""))</f>
      </c>
      <c r="L1067" s="220">
        <f>IF(OR($C1067="",N($B1067)=0),"",IF(AND($I1067="Phản ánh",$E1067="Đã xử lý"),INDEX('Phản ánh'!$U$6:$U$505,MATCH($C1067,'Phản ánh'!$A$6:$A$505,0)),IF(AND($I1067="Công việc",OR($E1067="Hoàn thành",$E1067="Hoàn thành kỳ")),IF(INDEX('Kế hoạch'!$B$6:$B$305,$O1067)="Đột xuất",INDEX('Kế hoạch'!$AY$6:$AY$305,$O1067),IF(N($P1067)=0,"",IF(INT($B1067)&lt;$P1067,$P1067,IF($Q1067&gt;0,$P1067+ROUND((INT($B1067)-$P1067)/$Q1067,0)*$Q1067,IF($R1067&gt;0,EDATE($P1067,ROUND((DATEDIF($P1067,INT($B1067),"m")+(INT($B1067)-EDATE($P1067,DATEDIF($P1067,INT($B1067),"m")))/(EDATE($P1067,DATEDIF($P1067,INT($B1067),"m")+1)-EDATE($P1067,DATEDIF($P1067,INT($B1067),"m"))))/$R1067,0)*$R1067),$P1067))))),"")))</f>
      </c>
      <c r="M1067" s="223">
        <f>IF(OR($C1067="",N($L1067)=0,N($B1067)=0),"",IF(IF(MOD($L1067,1)=0,INT($B1067),$B1067)&lt;=$L1067,"Đúng hạn","Trễ hạn"))</f>
      </c>
      <c r="N1067" s="225">
        <f>IF($C1067="","",ROW())</f>
      </c>
      <c r="O1067" s="225">
        <f>IF($I1067="Công việc",MATCH($C1067,'Kế hoạch'!$A$6:$A$305,0),"")</f>
      </c>
      <c r="P1067" s="234">
        <f>IF($O1067="","",INDEX('Kế hoạch'!$I$6:$I$305,$O1067))</f>
      </c>
      <c r="Q1067" s="225">
        <f>IF($O1067="","",INDEX('Kế hoạch'!$AJ$6:$AJ$305,$O1067))</f>
      </c>
      <c r="R1067" s="225">
        <f>IF($O1067="","",INDEX('Kế hoạch'!$AK$6:$AK$305,$O1067))</f>
      </c>
    </row>
    <row r="1068">
      <c r="A1068" s="223">
        <f>IF($C1068="","",COUNTIF($C$6:$C1068,"?*"))</f>
      </c>
      <c r="B1068" s="217"/>
      <c r="C1068" s="216"/>
      <c r="D1068" s="240"/>
      <c r="E1068" s="218"/>
      <c r="F1068" s="218"/>
      <c r="G1068" s="218"/>
      <c r="H1068" s="219"/>
      <c r="I1068" s="223">
        <f>IF($C1068="","",IF(ISNUMBER(MATCH($C1068,'Phản ánh'!$A$6:$A$505,0)),"Phản ánh",IF(ISNUMBER(MATCH($C1068,'Kế hoạch'!$A$6:$A$305,0)),"Công việc","Mã chưa có")))</f>
      </c>
      <c r="J1068" s="221">
        <f>IF($I1068="Phản ánh",INDEX('Phản ánh'!$C$6:$C$505,MATCH($C1068,'Phản ánh'!$A$6:$A$505,0)),IF($I1068="Công việc",INDEX('Kế hoạch'!$C$6:$C$305,$O1068),""))</f>
      </c>
      <c r="K1068" s="221">
        <f>IF($I1068="Phản ánh",INDEX('Phản ánh'!$K$6:$K$505,MATCH($C1068,'Phản ánh'!$A$6:$A$505,0))&amp;"",IF($I1068="Công việc",INDEX('Kế hoạch'!$N$6:$N$305,$O1068)&amp;"",""))</f>
      </c>
      <c r="L1068" s="220">
        <f>IF(OR($C1068="",N($B1068)=0),"",IF(AND($I1068="Phản ánh",$E1068="Đã xử lý"),INDEX('Phản ánh'!$U$6:$U$505,MATCH($C1068,'Phản ánh'!$A$6:$A$505,0)),IF(AND($I1068="Công việc",OR($E1068="Hoàn thành",$E1068="Hoàn thành kỳ")),IF(INDEX('Kế hoạch'!$B$6:$B$305,$O1068)="Đột xuất",INDEX('Kế hoạch'!$AY$6:$AY$305,$O1068),IF(N($P1068)=0,"",IF(INT($B1068)&lt;$P1068,$P1068,IF($Q1068&gt;0,$P1068+ROUND((INT($B1068)-$P1068)/$Q1068,0)*$Q1068,IF($R1068&gt;0,EDATE($P1068,ROUND((DATEDIF($P1068,INT($B1068),"m")+(INT($B1068)-EDATE($P1068,DATEDIF($P1068,INT($B1068),"m")))/(EDATE($P1068,DATEDIF($P1068,INT($B1068),"m")+1)-EDATE($P1068,DATEDIF($P1068,INT($B1068),"m"))))/$R1068,0)*$R1068),$P1068))))),"")))</f>
      </c>
      <c r="M1068" s="223">
        <f>IF(OR($C1068="",N($L1068)=0,N($B1068)=0),"",IF(IF(MOD($L1068,1)=0,INT($B1068),$B1068)&lt;=$L1068,"Đúng hạn","Trễ hạn"))</f>
      </c>
      <c r="N1068" s="225">
        <f>IF($C1068="","",ROW())</f>
      </c>
      <c r="O1068" s="225">
        <f>IF($I1068="Công việc",MATCH($C1068,'Kế hoạch'!$A$6:$A$305,0),"")</f>
      </c>
      <c r="P1068" s="234">
        <f>IF($O1068="","",INDEX('Kế hoạch'!$I$6:$I$305,$O1068))</f>
      </c>
      <c r="Q1068" s="225">
        <f>IF($O1068="","",INDEX('Kế hoạch'!$AJ$6:$AJ$305,$O1068))</f>
      </c>
      <c r="R1068" s="225">
        <f>IF($O1068="","",INDEX('Kế hoạch'!$AK$6:$AK$305,$O1068))</f>
      </c>
    </row>
    <row r="1069">
      <c r="A1069" s="223">
        <f>IF($C1069="","",COUNTIF($C$6:$C1069,"?*"))</f>
      </c>
      <c r="B1069" s="217"/>
      <c r="C1069" s="216"/>
      <c r="D1069" s="240"/>
      <c r="E1069" s="218"/>
      <c r="F1069" s="218"/>
      <c r="G1069" s="218"/>
      <c r="H1069" s="219"/>
      <c r="I1069" s="223">
        <f>IF($C1069="","",IF(ISNUMBER(MATCH($C1069,'Phản ánh'!$A$6:$A$505,0)),"Phản ánh",IF(ISNUMBER(MATCH($C1069,'Kế hoạch'!$A$6:$A$305,0)),"Công việc","Mã chưa có")))</f>
      </c>
      <c r="J1069" s="221">
        <f>IF($I1069="Phản ánh",INDEX('Phản ánh'!$C$6:$C$505,MATCH($C1069,'Phản ánh'!$A$6:$A$505,0)),IF($I1069="Công việc",INDEX('Kế hoạch'!$C$6:$C$305,$O1069),""))</f>
      </c>
      <c r="K1069" s="221">
        <f>IF($I1069="Phản ánh",INDEX('Phản ánh'!$K$6:$K$505,MATCH($C1069,'Phản ánh'!$A$6:$A$505,0))&amp;"",IF($I1069="Công việc",INDEX('Kế hoạch'!$N$6:$N$305,$O1069)&amp;"",""))</f>
      </c>
      <c r="L1069" s="220">
        <f>IF(OR($C1069="",N($B1069)=0),"",IF(AND($I1069="Phản ánh",$E1069="Đã xử lý"),INDEX('Phản ánh'!$U$6:$U$505,MATCH($C1069,'Phản ánh'!$A$6:$A$505,0)),IF(AND($I1069="Công việc",OR($E1069="Hoàn thành",$E1069="Hoàn thành kỳ")),IF(INDEX('Kế hoạch'!$B$6:$B$305,$O1069)="Đột xuất",INDEX('Kế hoạch'!$AY$6:$AY$305,$O1069),IF(N($P1069)=0,"",IF(INT($B1069)&lt;$P1069,$P1069,IF($Q1069&gt;0,$P1069+ROUND((INT($B1069)-$P1069)/$Q1069,0)*$Q1069,IF($R1069&gt;0,EDATE($P1069,ROUND((DATEDIF($P1069,INT($B1069),"m")+(INT($B1069)-EDATE($P1069,DATEDIF($P1069,INT($B1069),"m")))/(EDATE($P1069,DATEDIF($P1069,INT($B1069),"m")+1)-EDATE($P1069,DATEDIF($P1069,INT($B1069),"m"))))/$R1069,0)*$R1069),$P1069))))),"")))</f>
      </c>
      <c r="M1069" s="223">
        <f>IF(OR($C1069="",N($L1069)=0,N($B1069)=0),"",IF(IF(MOD($L1069,1)=0,INT($B1069),$B1069)&lt;=$L1069,"Đúng hạn","Trễ hạn"))</f>
      </c>
      <c r="N1069" s="225">
        <f>IF($C1069="","",ROW())</f>
      </c>
      <c r="O1069" s="225">
        <f>IF($I1069="Công việc",MATCH($C1069,'Kế hoạch'!$A$6:$A$305,0),"")</f>
      </c>
      <c r="P1069" s="234">
        <f>IF($O1069="","",INDEX('Kế hoạch'!$I$6:$I$305,$O1069))</f>
      </c>
      <c r="Q1069" s="225">
        <f>IF($O1069="","",INDEX('Kế hoạch'!$AJ$6:$AJ$305,$O1069))</f>
      </c>
      <c r="R1069" s="225">
        <f>IF($O1069="","",INDEX('Kế hoạch'!$AK$6:$AK$305,$O1069))</f>
      </c>
    </row>
    <row r="1070">
      <c r="A1070" s="223">
        <f>IF($C1070="","",COUNTIF($C$6:$C1070,"?*"))</f>
      </c>
      <c r="B1070" s="217"/>
      <c r="C1070" s="216"/>
      <c r="D1070" s="240"/>
      <c r="E1070" s="218"/>
      <c r="F1070" s="218"/>
      <c r="G1070" s="218"/>
      <c r="H1070" s="219"/>
      <c r="I1070" s="223">
        <f>IF($C1070="","",IF(ISNUMBER(MATCH($C1070,'Phản ánh'!$A$6:$A$505,0)),"Phản ánh",IF(ISNUMBER(MATCH($C1070,'Kế hoạch'!$A$6:$A$305,0)),"Công việc","Mã chưa có")))</f>
      </c>
      <c r="J1070" s="221">
        <f>IF($I1070="Phản ánh",INDEX('Phản ánh'!$C$6:$C$505,MATCH($C1070,'Phản ánh'!$A$6:$A$505,0)),IF($I1070="Công việc",INDEX('Kế hoạch'!$C$6:$C$305,$O1070),""))</f>
      </c>
      <c r="K1070" s="221">
        <f>IF($I1070="Phản ánh",INDEX('Phản ánh'!$K$6:$K$505,MATCH($C1070,'Phản ánh'!$A$6:$A$505,0))&amp;"",IF($I1070="Công việc",INDEX('Kế hoạch'!$N$6:$N$305,$O1070)&amp;"",""))</f>
      </c>
      <c r="L1070" s="220">
        <f>IF(OR($C1070="",N($B1070)=0),"",IF(AND($I1070="Phản ánh",$E1070="Đã xử lý"),INDEX('Phản ánh'!$U$6:$U$505,MATCH($C1070,'Phản ánh'!$A$6:$A$505,0)),IF(AND($I1070="Công việc",OR($E1070="Hoàn thành",$E1070="Hoàn thành kỳ")),IF(INDEX('Kế hoạch'!$B$6:$B$305,$O1070)="Đột xuất",INDEX('Kế hoạch'!$AY$6:$AY$305,$O1070),IF(N($P1070)=0,"",IF(INT($B1070)&lt;$P1070,$P1070,IF($Q1070&gt;0,$P1070+ROUND((INT($B1070)-$P1070)/$Q1070,0)*$Q1070,IF($R1070&gt;0,EDATE($P1070,ROUND((DATEDIF($P1070,INT($B1070),"m")+(INT($B1070)-EDATE($P1070,DATEDIF($P1070,INT($B1070),"m")))/(EDATE($P1070,DATEDIF($P1070,INT($B1070),"m")+1)-EDATE($P1070,DATEDIF($P1070,INT($B1070),"m"))))/$R1070,0)*$R1070),$P1070))))),"")))</f>
      </c>
      <c r="M1070" s="223">
        <f>IF(OR($C1070="",N($L1070)=0,N($B1070)=0),"",IF(IF(MOD($L1070,1)=0,INT($B1070),$B1070)&lt;=$L1070,"Đúng hạn","Trễ hạn"))</f>
      </c>
      <c r="N1070" s="225">
        <f>IF($C1070="","",ROW())</f>
      </c>
      <c r="O1070" s="225">
        <f>IF($I1070="Công việc",MATCH($C1070,'Kế hoạch'!$A$6:$A$305,0),"")</f>
      </c>
      <c r="P1070" s="234">
        <f>IF($O1070="","",INDEX('Kế hoạch'!$I$6:$I$305,$O1070))</f>
      </c>
      <c r="Q1070" s="225">
        <f>IF($O1070="","",INDEX('Kế hoạch'!$AJ$6:$AJ$305,$O1070))</f>
      </c>
      <c r="R1070" s="225">
        <f>IF($O1070="","",INDEX('Kế hoạch'!$AK$6:$AK$305,$O1070))</f>
      </c>
    </row>
    <row r="1071">
      <c r="A1071" s="223">
        <f>IF($C1071="","",COUNTIF($C$6:$C1071,"?*"))</f>
      </c>
      <c r="B1071" s="217"/>
      <c r="C1071" s="216"/>
      <c r="D1071" s="240"/>
      <c r="E1071" s="218"/>
      <c r="F1071" s="218"/>
      <c r="G1071" s="218"/>
      <c r="H1071" s="219"/>
      <c r="I1071" s="223">
        <f>IF($C1071="","",IF(ISNUMBER(MATCH($C1071,'Phản ánh'!$A$6:$A$505,0)),"Phản ánh",IF(ISNUMBER(MATCH($C1071,'Kế hoạch'!$A$6:$A$305,0)),"Công việc","Mã chưa có")))</f>
      </c>
      <c r="J1071" s="221">
        <f>IF($I1071="Phản ánh",INDEX('Phản ánh'!$C$6:$C$505,MATCH($C1071,'Phản ánh'!$A$6:$A$505,0)),IF($I1071="Công việc",INDEX('Kế hoạch'!$C$6:$C$305,$O1071),""))</f>
      </c>
      <c r="K1071" s="221">
        <f>IF($I1071="Phản ánh",INDEX('Phản ánh'!$K$6:$K$505,MATCH($C1071,'Phản ánh'!$A$6:$A$505,0))&amp;"",IF($I1071="Công việc",INDEX('Kế hoạch'!$N$6:$N$305,$O1071)&amp;"",""))</f>
      </c>
      <c r="L1071" s="220">
        <f>IF(OR($C1071="",N($B1071)=0),"",IF(AND($I1071="Phản ánh",$E1071="Đã xử lý"),INDEX('Phản ánh'!$U$6:$U$505,MATCH($C1071,'Phản ánh'!$A$6:$A$505,0)),IF(AND($I1071="Công việc",OR($E1071="Hoàn thành",$E1071="Hoàn thành kỳ")),IF(INDEX('Kế hoạch'!$B$6:$B$305,$O1071)="Đột xuất",INDEX('Kế hoạch'!$AY$6:$AY$305,$O1071),IF(N($P1071)=0,"",IF(INT($B1071)&lt;$P1071,$P1071,IF($Q1071&gt;0,$P1071+ROUND((INT($B1071)-$P1071)/$Q1071,0)*$Q1071,IF($R1071&gt;0,EDATE($P1071,ROUND((DATEDIF($P1071,INT($B1071),"m")+(INT($B1071)-EDATE($P1071,DATEDIF($P1071,INT($B1071),"m")))/(EDATE($P1071,DATEDIF($P1071,INT($B1071),"m")+1)-EDATE($P1071,DATEDIF($P1071,INT($B1071),"m"))))/$R1071,0)*$R1071),$P1071))))),"")))</f>
      </c>
      <c r="M1071" s="223">
        <f>IF(OR($C1071="",N($L1071)=0,N($B1071)=0),"",IF(IF(MOD($L1071,1)=0,INT($B1071),$B1071)&lt;=$L1071,"Đúng hạn","Trễ hạn"))</f>
      </c>
      <c r="N1071" s="225">
        <f>IF($C1071="","",ROW())</f>
      </c>
      <c r="O1071" s="225">
        <f>IF($I1071="Công việc",MATCH($C1071,'Kế hoạch'!$A$6:$A$305,0),"")</f>
      </c>
      <c r="P1071" s="234">
        <f>IF($O1071="","",INDEX('Kế hoạch'!$I$6:$I$305,$O1071))</f>
      </c>
      <c r="Q1071" s="225">
        <f>IF($O1071="","",INDEX('Kế hoạch'!$AJ$6:$AJ$305,$O1071))</f>
      </c>
      <c r="R1071" s="225">
        <f>IF($O1071="","",INDEX('Kế hoạch'!$AK$6:$AK$305,$O1071))</f>
      </c>
    </row>
    <row r="1072">
      <c r="A1072" s="223">
        <f>IF($C1072="","",COUNTIF($C$6:$C1072,"?*"))</f>
      </c>
      <c r="B1072" s="217"/>
      <c r="C1072" s="216"/>
      <c r="D1072" s="240"/>
      <c r="E1072" s="218"/>
      <c r="F1072" s="218"/>
      <c r="G1072" s="218"/>
      <c r="H1072" s="219"/>
      <c r="I1072" s="223">
        <f>IF($C1072="","",IF(ISNUMBER(MATCH($C1072,'Phản ánh'!$A$6:$A$505,0)),"Phản ánh",IF(ISNUMBER(MATCH($C1072,'Kế hoạch'!$A$6:$A$305,0)),"Công việc","Mã chưa có")))</f>
      </c>
      <c r="J1072" s="221">
        <f>IF($I1072="Phản ánh",INDEX('Phản ánh'!$C$6:$C$505,MATCH($C1072,'Phản ánh'!$A$6:$A$505,0)),IF($I1072="Công việc",INDEX('Kế hoạch'!$C$6:$C$305,$O1072),""))</f>
      </c>
      <c r="K1072" s="221">
        <f>IF($I1072="Phản ánh",INDEX('Phản ánh'!$K$6:$K$505,MATCH($C1072,'Phản ánh'!$A$6:$A$505,0))&amp;"",IF($I1072="Công việc",INDEX('Kế hoạch'!$N$6:$N$305,$O1072)&amp;"",""))</f>
      </c>
      <c r="L1072" s="220">
        <f>IF(OR($C1072="",N($B1072)=0),"",IF(AND($I1072="Phản ánh",$E1072="Đã xử lý"),INDEX('Phản ánh'!$U$6:$U$505,MATCH($C1072,'Phản ánh'!$A$6:$A$505,0)),IF(AND($I1072="Công việc",OR($E1072="Hoàn thành",$E1072="Hoàn thành kỳ")),IF(INDEX('Kế hoạch'!$B$6:$B$305,$O1072)="Đột xuất",INDEX('Kế hoạch'!$AY$6:$AY$305,$O1072),IF(N($P1072)=0,"",IF(INT($B1072)&lt;$P1072,$P1072,IF($Q1072&gt;0,$P1072+ROUND((INT($B1072)-$P1072)/$Q1072,0)*$Q1072,IF($R1072&gt;0,EDATE($P1072,ROUND((DATEDIF($P1072,INT($B1072),"m")+(INT($B1072)-EDATE($P1072,DATEDIF($P1072,INT($B1072),"m")))/(EDATE($P1072,DATEDIF($P1072,INT($B1072),"m")+1)-EDATE($P1072,DATEDIF($P1072,INT($B1072),"m"))))/$R1072,0)*$R1072),$P1072))))),"")))</f>
      </c>
      <c r="M1072" s="223">
        <f>IF(OR($C1072="",N($L1072)=0,N($B1072)=0),"",IF(IF(MOD($L1072,1)=0,INT($B1072),$B1072)&lt;=$L1072,"Đúng hạn","Trễ hạn"))</f>
      </c>
      <c r="N1072" s="225">
        <f>IF($C1072="","",ROW())</f>
      </c>
      <c r="O1072" s="225">
        <f>IF($I1072="Công việc",MATCH($C1072,'Kế hoạch'!$A$6:$A$305,0),"")</f>
      </c>
      <c r="P1072" s="234">
        <f>IF($O1072="","",INDEX('Kế hoạch'!$I$6:$I$305,$O1072))</f>
      </c>
      <c r="Q1072" s="225">
        <f>IF($O1072="","",INDEX('Kế hoạch'!$AJ$6:$AJ$305,$O1072))</f>
      </c>
      <c r="R1072" s="225">
        <f>IF($O1072="","",INDEX('Kế hoạch'!$AK$6:$AK$305,$O1072))</f>
      </c>
    </row>
    <row r="1073">
      <c r="A1073" s="223">
        <f>IF($C1073="","",COUNTIF($C$6:$C1073,"?*"))</f>
      </c>
      <c r="B1073" s="217"/>
      <c r="C1073" s="216"/>
      <c r="D1073" s="240"/>
      <c r="E1073" s="218"/>
      <c r="F1073" s="218"/>
      <c r="G1073" s="218"/>
      <c r="H1073" s="219"/>
      <c r="I1073" s="223">
        <f>IF($C1073="","",IF(ISNUMBER(MATCH($C1073,'Phản ánh'!$A$6:$A$505,0)),"Phản ánh",IF(ISNUMBER(MATCH($C1073,'Kế hoạch'!$A$6:$A$305,0)),"Công việc","Mã chưa có")))</f>
      </c>
      <c r="J1073" s="221">
        <f>IF($I1073="Phản ánh",INDEX('Phản ánh'!$C$6:$C$505,MATCH($C1073,'Phản ánh'!$A$6:$A$505,0)),IF($I1073="Công việc",INDEX('Kế hoạch'!$C$6:$C$305,$O1073),""))</f>
      </c>
      <c r="K1073" s="221">
        <f>IF($I1073="Phản ánh",INDEX('Phản ánh'!$K$6:$K$505,MATCH($C1073,'Phản ánh'!$A$6:$A$505,0))&amp;"",IF($I1073="Công việc",INDEX('Kế hoạch'!$N$6:$N$305,$O1073)&amp;"",""))</f>
      </c>
      <c r="L1073" s="220">
        <f>IF(OR($C1073="",N($B1073)=0),"",IF(AND($I1073="Phản ánh",$E1073="Đã xử lý"),INDEX('Phản ánh'!$U$6:$U$505,MATCH($C1073,'Phản ánh'!$A$6:$A$505,0)),IF(AND($I1073="Công việc",OR($E1073="Hoàn thành",$E1073="Hoàn thành kỳ")),IF(INDEX('Kế hoạch'!$B$6:$B$305,$O1073)="Đột xuất",INDEX('Kế hoạch'!$AY$6:$AY$305,$O1073),IF(N($P1073)=0,"",IF(INT($B1073)&lt;$P1073,$P1073,IF($Q1073&gt;0,$P1073+ROUND((INT($B1073)-$P1073)/$Q1073,0)*$Q1073,IF($R1073&gt;0,EDATE($P1073,ROUND((DATEDIF($P1073,INT($B1073),"m")+(INT($B1073)-EDATE($P1073,DATEDIF($P1073,INT($B1073),"m")))/(EDATE($P1073,DATEDIF($P1073,INT($B1073),"m")+1)-EDATE($P1073,DATEDIF($P1073,INT($B1073),"m"))))/$R1073,0)*$R1073),$P1073))))),"")))</f>
      </c>
      <c r="M1073" s="223">
        <f>IF(OR($C1073="",N($L1073)=0,N($B1073)=0),"",IF(IF(MOD($L1073,1)=0,INT($B1073),$B1073)&lt;=$L1073,"Đúng hạn","Trễ hạn"))</f>
      </c>
      <c r="N1073" s="225">
        <f>IF($C1073="","",ROW())</f>
      </c>
      <c r="O1073" s="225">
        <f>IF($I1073="Công việc",MATCH($C1073,'Kế hoạch'!$A$6:$A$305,0),"")</f>
      </c>
      <c r="P1073" s="234">
        <f>IF($O1073="","",INDEX('Kế hoạch'!$I$6:$I$305,$O1073))</f>
      </c>
      <c r="Q1073" s="225">
        <f>IF($O1073="","",INDEX('Kế hoạch'!$AJ$6:$AJ$305,$O1073))</f>
      </c>
      <c r="R1073" s="225">
        <f>IF($O1073="","",INDEX('Kế hoạch'!$AK$6:$AK$305,$O1073))</f>
      </c>
    </row>
    <row r="1074">
      <c r="A1074" s="223">
        <f>IF($C1074="","",COUNTIF($C$6:$C1074,"?*"))</f>
      </c>
      <c r="B1074" s="217"/>
      <c r="C1074" s="216"/>
      <c r="D1074" s="240"/>
      <c r="E1074" s="218"/>
      <c r="F1074" s="218"/>
      <c r="G1074" s="218"/>
      <c r="H1074" s="219"/>
      <c r="I1074" s="223">
        <f>IF($C1074="","",IF(ISNUMBER(MATCH($C1074,'Phản ánh'!$A$6:$A$505,0)),"Phản ánh",IF(ISNUMBER(MATCH($C1074,'Kế hoạch'!$A$6:$A$305,0)),"Công việc","Mã chưa có")))</f>
      </c>
      <c r="J1074" s="221">
        <f>IF($I1074="Phản ánh",INDEX('Phản ánh'!$C$6:$C$505,MATCH($C1074,'Phản ánh'!$A$6:$A$505,0)),IF($I1074="Công việc",INDEX('Kế hoạch'!$C$6:$C$305,$O1074),""))</f>
      </c>
      <c r="K1074" s="221">
        <f>IF($I1074="Phản ánh",INDEX('Phản ánh'!$K$6:$K$505,MATCH($C1074,'Phản ánh'!$A$6:$A$505,0))&amp;"",IF($I1074="Công việc",INDEX('Kế hoạch'!$N$6:$N$305,$O1074)&amp;"",""))</f>
      </c>
      <c r="L1074" s="220">
        <f>IF(OR($C1074="",N($B1074)=0),"",IF(AND($I1074="Phản ánh",$E1074="Đã xử lý"),INDEX('Phản ánh'!$U$6:$U$505,MATCH($C1074,'Phản ánh'!$A$6:$A$505,0)),IF(AND($I1074="Công việc",OR($E1074="Hoàn thành",$E1074="Hoàn thành kỳ")),IF(INDEX('Kế hoạch'!$B$6:$B$305,$O1074)="Đột xuất",INDEX('Kế hoạch'!$AY$6:$AY$305,$O1074),IF(N($P1074)=0,"",IF(INT($B1074)&lt;$P1074,$P1074,IF($Q1074&gt;0,$P1074+ROUND((INT($B1074)-$P1074)/$Q1074,0)*$Q1074,IF($R1074&gt;0,EDATE($P1074,ROUND((DATEDIF($P1074,INT($B1074),"m")+(INT($B1074)-EDATE($P1074,DATEDIF($P1074,INT($B1074),"m")))/(EDATE($P1074,DATEDIF($P1074,INT($B1074),"m")+1)-EDATE($P1074,DATEDIF($P1074,INT($B1074),"m"))))/$R1074,0)*$R1074),$P1074))))),"")))</f>
      </c>
      <c r="M1074" s="223">
        <f>IF(OR($C1074="",N($L1074)=0,N($B1074)=0),"",IF(IF(MOD($L1074,1)=0,INT($B1074),$B1074)&lt;=$L1074,"Đúng hạn","Trễ hạn"))</f>
      </c>
      <c r="N1074" s="225">
        <f>IF($C1074="","",ROW())</f>
      </c>
      <c r="O1074" s="225">
        <f>IF($I1074="Công việc",MATCH($C1074,'Kế hoạch'!$A$6:$A$305,0),"")</f>
      </c>
      <c r="P1074" s="234">
        <f>IF($O1074="","",INDEX('Kế hoạch'!$I$6:$I$305,$O1074))</f>
      </c>
      <c r="Q1074" s="225">
        <f>IF($O1074="","",INDEX('Kế hoạch'!$AJ$6:$AJ$305,$O1074))</f>
      </c>
      <c r="R1074" s="225">
        <f>IF($O1074="","",INDEX('Kế hoạch'!$AK$6:$AK$305,$O1074))</f>
      </c>
    </row>
    <row r="1075">
      <c r="A1075" s="223">
        <f>IF($C1075="","",COUNTIF($C$6:$C1075,"?*"))</f>
      </c>
      <c r="B1075" s="217"/>
      <c r="C1075" s="216"/>
      <c r="D1075" s="240"/>
      <c r="E1075" s="218"/>
      <c r="F1075" s="218"/>
      <c r="G1075" s="218"/>
      <c r="H1075" s="219"/>
      <c r="I1075" s="223">
        <f>IF($C1075="","",IF(ISNUMBER(MATCH($C1075,'Phản ánh'!$A$6:$A$505,0)),"Phản ánh",IF(ISNUMBER(MATCH($C1075,'Kế hoạch'!$A$6:$A$305,0)),"Công việc","Mã chưa có")))</f>
      </c>
      <c r="J1075" s="221">
        <f>IF($I1075="Phản ánh",INDEX('Phản ánh'!$C$6:$C$505,MATCH($C1075,'Phản ánh'!$A$6:$A$505,0)),IF($I1075="Công việc",INDEX('Kế hoạch'!$C$6:$C$305,$O1075),""))</f>
      </c>
      <c r="K1075" s="221">
        <f>IF($I1075="Phản ánh",INDEX('Phản ánh'!$K$6:$K$505,MATCH($C1075,'Phản ánh'!$A$6:$A$505,0))&amp;"",IF($I1075="Công việc",INDEX('Kế hoạch'!$N$6:$N$305,$O1075)&amp;"",""))</f>
      </c>
      <c r="L1075" s="220">
        <f>IF(OR($C1075="",N($B1075)=0),"",IF(AND($I1075="Phản ánh",$E1075="Đã xử lý"),INDEX('Phản ánh'!$U$6:$U$505,MATCH($C1075,'Phản ánh'!$A$6:$A$505,0)),IF(AND($I1075="Công việc",OR($E1075="Hoàn thành",$E1075="Hoàn thành kỳ")),IF(INDEX('Kế hoạch'!$B$6:$B$305,$O1075)="Đột xuất",INDEX('Kế hoạch'!$AY$6:$AY$305,$O1075),IF(N($P1075)=0,"",IF(INT($B1075)&lt;$P1075,$P1075,IF($Q1075&gt;0,$P1075+ROUND((INT($B1075)-$P1075)/$Q1075,0)*$Q1075,IF($R1075&gt;0,EDATE($P1075,ROUND((DATEDIF($P1075,INT($B1075),"m")+(INT($B1075)-EDATE($P1075,DATEDIF($P1075,INT($B1075),"m")))/(EDATE($P1075,DATEDIF($P1075,INT($B1075),"m")+1)-EDATE($P1075,DATEDIF($P1075,INT($B1075),"m"))))/$R1075,0)*$R1075),$P1075))))),"")))</f>
      </c>
      <c r="M1075" s="223">
        <f>IF(OR($C1075="",N($L1075)=0,N($B1075)=0),"",IF(IF(MOD($L1075,1)=0,INT($B1075),$B1075)&lt;=$L1075,"Đúng hạn","Trễ hạn"))</f>
      </c>
      <c r="N1075" s="225">
        <f>IF($C1075="","",ROW())</f>
      </c>
      <c r="O1075" s="225">
        <f>IF($I1075="Công việc",MATCH($C1075,'Kế hoạch'!$A$6:$A$305,0),"")</f>
      </c>
      <c r="P1075" s="234">
        <f>IF($O1075="","",INDEX('Kế hoạch'!$I$6:$I$305,$O1075))</f>
      </c>
      <c r="Q1075" s="225">
        <f>IF($O1075="","",INDEX('Kế hoạch'!$AJ$6:$AJ$305,$O1075))</f>
      </c>
      <c r="R1075" s="225">
        <f>IF($O1075="","",INDEX('Kế hoạch'!$AK$6:$AK$305,$O1075))</f>
      </c>
    </row>
    <row r="1076">
      <c r="A1076" s="223">
        <f>IF($C1076="","",COUNTIF($C$6:$C1076,"?*"))</f>
      </c>
      <c r="B1076" s="217"/>
      <c r="C1076" s="216"/>
      <c r="D1076" s="240"/>
      <c r="E1076" s="218"/>
      <c r="F1076" s="218"/>
      <c r="G1076" s="218"/>
      <c r="H1076" s="219"/>
      <c r="I1076" s="223">
        <f>IF($C1076="","",IF(ISNUMBER(MATCH($C1076,'Phản ánh'!$A$6:$A$505,0)),"Phản ánh",IF(ISNUMBER(MATCH($C1076,'Kế hoạch'!$A$6:$A$305,0)),"Công việc","Mã chưa có")))</f>
      </c>
      <c r="J1076" s="221">
        <f>IF($I1076="Phản ánh",INDEX('Phản ánh'!$C$6:$C$505,MATCH($C1076,'Phản ánh'!$A$6:$A$505,0)),IF($I1076="Công việc",INDEX('Kế hoạch'!$C$6:$C$305,$O1076),""))</f>
      </c>
      <c r="K1076" s="221">
        <f>IF($I1076="Phản ánh",INDEX('Phản ánh'!$K$6:$K$505,MATCH($C1076,'Phản ánh'!$A$6:$A$505,0))&amp;"",IF($I1076="Công việc",INDEX('Kế hoạch'!$N$6:$N$305,$O1076)&amp;"",""))</f>
      </c>
      <c r="L1076" s="220">
        <f>IF(OR($C1076="",N($B1076)=0),"",IF(AND($I1076="Phản ánh",$E1076="Đã xử lý"),INDEX('Phản ánh'!$U$6:$U$505,MATCH($C1076,'Phản ánh'!$A$6:$A$505,0)),IF(AND($I1076="Công việc",OR($E1076="Hoàn thành",$E1076="Hoàn thành kỳ")),IF(INDEX('Kế hoạch'!$B$6:$B$305,$O1076)="Đột xuất",INDEX('Kế hoạch'!$AY$6:$AY$305,$O1076),IF(N($P1076)=0,"",IF(INT($B1076)&lt;$P1076,$P1076,IF($Q1076&gt;0,$P1076+ROUND((INT($B1076)-$P1076)/$Q1076,0)*$Q1076,IF($R1076&gt;0,EDATE($P1076,ROUND((DATEDIF($P1076,INT($B1076),"m")+(INT($B1076)-EDATE($P1076,DATEDIF($P1076,INT($B1076),"m")))/(EDATE($P1076,DATEDIF($P1076,INT($B1076),"m")+1)-EDATE($P1076,DATEDIF($P1076,INT($B1076),"m"))))/$R1076,0)*$R1076),$P1076))))),"")))</f>
      </c>
      <c r="M1076" s="223">
        <f>IF(OR($C1076="",N($L1076)=0,N($B1076)=0),"",IF(IF(MOD($L1076,1)=0,INT($B1076),$B1076)&lt;=$L1076,"Đúng hạn","Trễ hạn"))</f>
      </c>
      <c r="N1076" s="225">
        <f>IF($C1076="","",ROW())</f>
      </c>
      <c r="O1076" s="225">
        <f>IF($I1076="Công việc",MATCH($C1076,'Kế hoạch'!$A$6:$A$305,0),"")</f>
      </c>
      <c r="P1076" s="234">
        <f>IF($O1076="","",INDEX('Kế hoạch'!$I$6:$I$305,$O1076))</f>
      </c>
      <c r="Q1076" s="225">
        <f>IF($O1076="","",INDEX('Kế hoạch'!$AJ$6:$AJ$305,$O1076))</f>
      </c>
      <c r="R1076" s="225">
        <f>IF($O1076="","",INDEX('Kế hoạch'!$AK$6:$AK$305,$O1076))</f>
      </c>
    </row>
    <row r="1077">
      <c r="A1077" s="223">
        <f>IF($C1077="","",COUNTIF($C$6:$C1077,"?*"))</f>
      </c>
      <c r="B1077" s="217"/>
      <c r="C1077" s="216"/>
      <c r="D1077" s="240"/>
      <c r="E1077" s="218"/>
      <c r="F1077" s="218"/>
      <c r="G1077" s="218"/>
      <c r="H1077" s="219"/>
      <c r="I1077" s="223">
        <f>IF($C1077="","",IF(ISNUMBER(MATCH($C1077,'Phản ánh'!$A$6:$A$505,0)),"Phản ánh",IF(ISNUMBER(MATCH($C1077,'Kế hoạch'!$A$6:$A$305,0)),"Công việc","Mã chưa có")))</f>
      </c>
      <c r="J1077" s="221">
        <f>IF($I1077="Phản ánh",INDEX('Phản ánh'!$C$6:$C$505,MATCH($C1077,'Phản ánh'!$A$6:$A$505,0)),IF($I1077="Công việc",INDEX('Kế hoạch'!$C$6:$C$305,$O1077),""))</f>
      </c>
      <c r="K1077" s="221">
        <f>IF($I1077="Phản ánh",INDEX('Phản ánh'!$K$6:$K$505,MATCH($C1077,'Phản ánh'!$A$6:$A$505,0))&amp;"",IF($I1077="Công việc",INDEX('Kế hoạch'!$N$6:$N$305,$O1077)&amp;"",""))</f>
      </c>
      <c r="L1077" s="220">
        <f>IF(OR($C1077="",N($B1077)=0),"",IF(AND($I1077="Phản ánh",$E1077="Đã xử lý"),INDEX('Phản ánh'!$U$6:$U$505,MATCH($C1077,'Phản ánh'!$A$6:$A$505,0)),IF(AND($I1077="Công việc",OR($E1077="Hoàn thành",$E1077="Hoàn thành kỳ")),IF(INDEX('Kế hoạch'!$B$6:$B$305,$O1077)="Đột xuất",INDEX('Kế hoạch'!$AY$6:$AY$305,$O1077),IF(N($P1077)=0,"",IF(INT($B1077)&lt;$P1077,$P1077,IF($Q1077&gt;0,$P1077+ROUND((INT($B1077)-$P1077)/$Q1077,0)*$Q1077,IF($R1077&gt;0,EDATE($P1077,ROUND((DATEDIF($P1077,INT($B1077),"m")+(INT($B1077)-EDATE($P1077,DATEDIF($P1077,INT($B1077),"m")))/(EDATE($P1077,DATEDIF($P1077,INT($B1077),"m")+1)-EDATE($P1077,DATEDIF($P1077,INT($B1077),"m"))))/$R1077,0)*$R1077),$P1077))))),"")))</f>
      </c>
      <c r="M1077" s="223">
        <f>IF(OR($C1077="",N($L1077)=0,N($B1077)=0),"",IF(IF(MOD($L1077,1)=0,INT($B1077),$B1077)&lt;=$L1077,"Đúng hạn","Trễ hạn"))</f>
      </c>
      <c r="N1077" s="225">
        <f>IF($C1077="","",ROW())</f>
      </c>
      <c r="O1077" s="225">
        <f>IF($I1077="Công việc",MATCH($C1077,'Kế hoạch'!$A$6:$A$305,0),"")</f>
      </c>
      <c r="P1077" s="234">
        <f>IF($O1077="","",INDEX('Kế hoạch'!$I$6:$I$305,$O1077))</f>
      </c>
      <c r="Q1077" s="225">
        <f>IF($O1077="","",INDEX('Kế hoạch'!$AJ$6:$AJ$305,$O1077))</f>
      </c>
      <c r="R1077" s="225">
        <f>IF($O1077="","",INDEX('Kế hoạch'!$AK$6:$AK$305,$O1077))</f>
      </c>
    </row>
    <row r="1078">
      <c r="A1078" s="223">
        <f>IF($C1078="","",COUNTIF($C$6:$C1078,"?*"))</f>
      </c>
      <c r="B1078" s="217"/>
      <c r="C1078" s="216"/>
      <c r="D1078" s="240"/>
      <c r="E1078" s="218"/>
      <c r="F1078" s="218"/>
      <c r="G1078" s="218"/>
      <c r="H1078" s="219"/>
      <c r="I1078" s="223">
        <f>IF($C1078="","",IF(ISNUMBER(MATCH($C1078,'Phản ánh'!$A$6:$A$505,0)),"Phản ánh",IF(ISNUMBER(MATCH($C1078,'Kế hoạch'!$A$6:$A$305,0)),"Công việc","Mã chưa có")))</f>
      </c>
      <c r="J1078" s="221">
        <f>IF($I1078="Phản ánh",INDEX('Phản ánh'!$C$6:$C$505,MATCH($C1078,'Phản ánh'!$A$6:$A$505,0)),IF($I1078="Công việc",INDEX('Kế hoạch'!$C$6:$C$305,$O1078),""))</f>
      </c>
      <c r="K1078" s="221">
        <f>IF($I1078="Phản ánh",INDEX('Phản ánh'!$K$6:$K$505,MATCH($C1078,'Phản ánh'!$A$6:$A$505,0))&amp;"",IF($I1078="Công việc",INDEX('Kế hoạch'!$N$6:$N$305,$O1078)&amp;"",""))</f>
      </c>
      <c r="L1078" s="220">
        <f>IF(OR($C1078="",N($B1078)=0),"",IF(AND($I1078="Phản ánh",$E1078="Đã xử lý"),INDEX('Phản ánh'!$U$6:$U$505,MATCH($C1078,'Phản ánh'!$A$6:$A$505,0)),IF(AND($I1078="Công việc",OR($E1078="Hoàn thành",$E1078="Hoàn thành kỳ")),IF(INDEX('Kế hoạch'!$B$6:$B$305,$O1078)="Đột xuất",INDEX('Kế hoạch'!$AY$6:$AY$305,$O1078),IF(N($P1078)=0,"",IF(INT($B1078)&lt;$P1078,$P1078,IF($Q1078&gt;0,$P1078+ROUND((INT($B1078)-$P1078)/$Q1078,0)*$Q1078,IF($R1078&gt;0,EDATE($P1078,ROUND((DATEDIF($P1078,INT($B1078),"m")+(INT($B1078)-EDATE($P1078,DATEDIF($P1078,INT($B1078),"m")))/(EDATE($P1078,DATEDIF($P1078,INT($B1078),"m")+1)-EDATE($P1078,DATEDIF($P1078,INT($B1078),"m"))))/$R1078,0)*$R1078),$P1078))))),"")))</f>
      </c>
      <c r="M1078" s="223">
        <f>IF(OR($C1078="",N($L1078)=0,N($B1078)=0),"",IF(IF(MOD($L1078,1)=0,INT($B1078),$B1078)&lt;=$L1078,"Đúng hạn","Trễ hạn"))</f>
      </c>
      <c r="N1078" s="225">
        <f>IF($C1078="","",ROW())</f>
      </c>
      <c r="O1078" s="225">
        <f>IF($I1078="Công việc",MATCH($C1078,'Kế hoạch'!$A$6:$A$305,0),"")</f>
      </c>
      <c r="P1078" s="234">
        <f>IF($O1078="","",INDEX('Kế hoạch'!$I$6:$I$305,$O1078))</f>
      </c>
      <c r="Q1078" s="225">
        <f>IF($O1078="","",INDEX('Kế hoạch'!$AJ$6:$AJ$305,$O1078))</f>
      </c>
      <c r="R1078" s="225">
        <f>IF($O1078="","",INDEX('Kế hoạch'!$AK$6:$AK$305,$O1078))</f>
      </c>
    </row>
    <row r="1079">
      <c r="A1079" s="223">
        <f>IF($C1079="","",COUNTIF($C$6:$C1079,"?*"))</f>
      </c>
      <c r="B1079" s="217"/>
      <c r="C1079" s="216"/>
      <c r="D1079" s="240"/>
      <c r="E1079" s="218"/>
      <c r="F1079" s="218"/>
      <c r="G1079" s="218"/>
      <c r="H1079" s="219"/>
      <c r="I1079" s="223">
        <f>IF($C1079="","",IF(ISNUMBER(MATCH($C1079,'Phản ánh'!$A$6:$A$505,0)),"Phản ánh",IF(ISNUMBER(MATCH($C1079,'Kế hoạch'!$A$6:$A$305,0)),"Công việc","Mã chưa có")))</f>
      </c>
      <c r="J1079" s="221">
        <f>IF($I1079="Phản ánh",INDEX('Phản ánh'!$C$6:$C$505,MATCH($C1079,'Phản ánh'!$A$6:$A$505,0)),IF($I1079="Công việc",INDEX('Kế hoạch'!$C$6:$C$305,$O1079),""))</f>
      </c>
      <c r="K1079" s="221">
        <f>IF($I1079="Phản ánh",INDEX('Phản ánh'!$K$6:$K$505,MATCH($C1079,'Phản ánh'!$A$6:$A$505,0))&amp;"",IF($I1079="Công việc",INDEX('Kế hoạch'!$N$6:$N$305,$O1079)&amp;"",""))</f>
      </c>
      <c r="L1079" s="220">
        <f>IF(OR($C1079="",N($B1079)=0),"",IF(AND($I1079="Phản ánh",$E1079="Đã xử lý"),INDEX('Phản ánh'!$U$6:$U$505,MATCH($C1079,'Phản ánh'!$A$6:$A$505,0)),IF(AND($I1079="Công việc",OR($E1079="Hoàn thành",$E1079="Hoàn thành kỳ")),IF(INDEX('Kế hoạch'!$B$6:$B$305,$O1079)="Đột xuất",INDEX('Kế hoạch'!$AY$6:$AY$305,$O1079),IF(N($P1079)=0,"",IF(INT($B1079)&lt;$P1079,$P1079,IF($Q1079&gt;0,$P1079+ROUND((INT($B1079)-$P1079)/$Q1079,0)*$Q1079,IF($R1079&gt;0,EDATE($P1079,ROUND((DATEDIF($P1079,INT($B1079),"m")+(INT($B1079)-EDATE($P1079,DATEDIF($P1079,INT($B1079),"m")))/(EDATE($P1079,DATEDIF($P1079,INT($B1079),"m")+1)-EDATE($P1079,DATEDIF($P1079,INT($B1079),"m"))))/$R1079,0)*$R1079),$P1079))))),"")))</f>
      </c>
      <c r="M1079" s="223">
        <f>IF(OR($C1079="",N($L1079)=0,N($B1079)=0),"",IF(IF(MOD($L1079,1)=0,INT($B1079),$B1079)&lt;=$L1079,"Đúng hạn","Trễ hạn"))</f>
      </c>
      <c r="N1079" s="225">
        <f>IF($C1079="","",ROW())</f>
      </c>
      <c r="O1079" s="225">
        <f>IF($I1079="Công việc",MATCH($C1079,'Kế hoạch'!$A$6:$A$305,0),"")</f>
      </c>
      <c r="P1079" s="234">
        <f>IF($O1079="","",INDEX('Kế hoạch'!$I$6:$I$305,$O1079))</f>
      </c>
      <c r="Q1079" s="225">
        <f>IF($O1079="","",INDEX('Kế hoạch'!$AJ$6:$AJ$305,$O1079))</f>
      </c>
      <c r="R1079" s="225">
        <f>IF($O1079="","",INDEX('Kế hoạch'!$AK$6:$AK$305,$O1079))</f>
      </c>
    </row>
    <row r="1080">
      <c r="A1080" s="223">
        <f>IF($C1080="","",COUNTIF($C$6:$C1080,"?*"))</f>
      </c>
      <c r="B1080" s="217"/>
      <c r="C1080" s="216"/>
      <c r="D1080" s="240"/>
      <c r="E1080" s="218"/>
      <c r="F1080" s="218"/>
      <c r="G1080" s="218"/>
      <c r="H1080" s="219"/>
      <c r="I1080" s="223">
        <f>IF($C1080="","",IF(ISNUMBER(MATCH($C1080,'Phản ánh'!$A$6:$A$505,0)),"Phản ánh",IF(ISNUMBER(MATCH($C1080,'Kế hoạch'!$A$6:$A$305,0)),"Công việc","Mã chưa có")))</f>
      </c>
      <c r="J1080" s="221">
        <f>IF($I1080="Phản ánh",INDEX('Phản ánh'!$C$6:$C$505,MATCH($C1080,'Phản ánh'!$A$6:$A$505,0)),IF($I1080="Công việc",INDEX('Kế hoạch'!$C$6:$C$305,$O1080),""))</f>
      </c>
      <c r="K1080" s="221">
        <f>IF($I1080="Phản ánh",INDEX('Phản ánh'!$K$6:$K$505,MATCH($C1080,'Phản ánh'!$A$6:$A$505,0))&amp;"",IF($I1080="Công việc",INDEX('Kế hoạch'!$N$6:$N$305,$O1080)&amp;"",""))</f>
      </c>
      <c r="L1080" s="220">
        <f>IF(OR($C1080="",N($B1080)=0),"",IF(AND($I1080="Phản ánh",$E1080="Đã xử lý"),INDEX('Phản ánh'!$U$6:$U$505,MATCH($C1080,'Phản ánh'!$A$6:$A$505,0)),IF(AND($I1080="Công việc",OR($E1080="Hoàn thành",$E1080="Hoàn thành kỳ")),IF(INDEX('Kế hoạch'!$B$6:$B$305,$O1080)="Đột xuất",INDEX('Kế hoạch'!$AY$6:$AY$305,$O1080),IF(N($P1080)=0,"",IF(INT($B1080)&lt;$P1080,$P1080,IF($Q1080&gt;0,$P1080+ROUND((INT($B1080)-$P1080)/$Q1080,0)*$Q1080,IF($R1080&gt;0,EDATE($P1080,ROUND((DATEDIF($P1080,INT($B1080),"m")+(INT($B1080)-EDATE($P1080,DATEDIF($P1080,INT($B1080),"m")))/(EDATE($P1080,DATEDIF($P1080,INT($B1080),"m")+1)-EDATE($P1080,DATEDIF($P1080,INT($B1080),"m"))))/$R1080,0)*$R1080),$P1080))))),"")))</f>
      </c>
      <c r="M1080" s="223">
        <f>IF(OR($C1080="",N($L1080)=0,N($B1080)=0),"",IF(IF(MOD($L1080,1)=0,INT($B1080),$B1080)&lt;=$L1080,"Đúng hạn","Trễ hạn"))</f>
      </c>
      <c r="N1080" s="225">
        <f>IF($C1080="","",ROW())</f>
      </c>
      <c r="O1080" s="225">
        <f>IF($I1080="Công việc",MATCH($C1080,'Kế hoạch'!$A$6:$A$305,0),"")</f>
      </c>
      <c r="P1080" s="234">
        <f>IF($O1080="","",INDEX('Kế hoạch'!$I$6:$I$305,$O1080))</f>
      </c>
      <c r="Q1080" s="225">
        <f>IF($O1080="","",INDEX('Kế hoạch'!$AJ$6:$AJ$305,$O1080))</f>
      </c>
      <c r="R1080" s="225">
        <f>IF($O1080="","",INDEX('Kế hoạch'!$AK$6:$AK$305,$O1080))</f>
      </c>
    </row>
    <row r="1081">
      <c r="A1081" s="223">
        <f>IF($C1081="","",COUNTIF($C$6:$C1081,"?*"))</f>
      </c>
      <c r="B1081" s="217"/>
      <c r="C1081" s="216"/>
      <c r="D1081" s="240"/>
      <c r="E1081" s="218"/>
      <c r="F1081" s="218"/>
      <c r="G1081" s="218"/>
      <c r="H1081" s="219"/>
      <c r="I1081" s="223">
        <f>IF($C1081="","",IF(ISNUMBER(MATCH($C1081,'Phản ánh'!$A$6:$A$505,0)),"Phản ánh",IF(ISNUMBER(MATCH($C1081,'Kế hoạch'!$A$6:$A$305,0)),"Công việc","Mã chưa có")))</f>
      </c>
      <c r="J1081" s="221">
        <f>IF($I1081="Phản ánh",INDEX('Phản ánh'!$C$6:$C$505,MATCH($C1081,'Phản ánh'!$A$6:$A$505,0)),IF($I1081="Công việc",INDEX('Kế hoạch'!$C$6:$C$305,$O1081),""))</f>
      </c>
      <c r="K1081" s="221">
        <f>IF($I1081="Phản ánh",INDEX('Phản ánh'!$K$6:$K$505,MATCH($C1081,'Phản ánh'!$A$6:$A$505,0))&amp;"",IF($I1081="Công việc",INDEX('Kế hoạch'!$N$6:$N$305,$O1081)&amp;"",""))</f>
      </c>
      <c r="L1081" s="220">
        <f>IF(OR($C1081="",N($B1081)=0),"",IF(AND($I1081="Phản ánh",$E1081="Đã xử lý"),INDEX('Phản ánh'!$U$6:$U$505,MATCH($C1081,'Phản ánh'!$A$6:$A$505,0)),IF(AND($I1081="Công việc",OR($E1081="Hoàn thành",$E1081="Hoàn thành kỳ")),IF(INDEX('Kế hoạch'!$B$6:$B$305,$O1081)="Đột xuất",INDEX('Kế hoạch'!$AY$6:$AY$305,$O1081),IF(N($P1081)=0,"",IF(INT($B1081)&lt;$P1081,$P1081,IF($Q1081&gt;0,$P1081+ROUND((INT($B1081)-$P1081)/$Q1081,0)*$Q1081,IF($R1081&gt;0,EDATE($P1081,ROUND((DATEDIF($P1081,INT($B1081),"m")+(INT($B1081)-EDATE($P1081,DATEDIF($P1081,INT($B1081),"m")))/(EDATE($P1081,DATEDIF($P1081,INT($B1081),"m")+1)-EDATE($P1081,DATEDIF($P1081,INT($B1081),"m"))))/$R1081,0)*$R1081),$P1081))))),"")))</f>
      </c>
      <c r="M1081" s="223">
        <f>IF(OR($C1081="",N($L1081)=0,N($B1081)=0),"",IF(IF(MOD($L1081,1)=0,INT($B1081),$B1081)&lt;=$L1081,"Đúng hạn","Trễ hạn"))</f>
      </c>
      <c r="N1081" s="225">
        <f>IF($C1081="","",ROW())</f>
      </c>
      <c r="O1081" s="225">
        <f>IF($I1081="Công việc",MATCH($C1081,'Kế hoạch'!$A$6:$A$305,0),"")</f>
      </c>
      <c r="P1081" s="234">
        <f>IF($O1081="","",INDEX('Kế hoạch'!$I$6:$I$305,$O1081))</f>
      </c>
      <c r="Q1081" s="225">
        <f>IF($O1081="","",INDEX('Kế hoạch'!$AJ$6:$AJ$305,$O1081))</f>
      </c>
      <c r="R1081" s="225">
        <f>IF($O1081="","",INDEX('Kế hoạch'!$AK$6:$AK$305,$O1081))</f>
      </c>
    </row>
    <row r="1082">
      <c r="A1082" s="223">
        <f>IF($C1082="","",COUNTIF($C$6:$C1082,"?*"))</f>
      </c>
      <c r="B1082" s="217"/>
      <c r="C1082" s="216"/>
      <c r="D1082" s="240"/>
      <c r="E1082" s="218"/>
      <c r="F1082" s="218"/>
      <c r="G1082" s="218"/>
      <c r="H1082" s="219"/>
      <c r="I1082" s="223">
        <f>IF($C1082="","",IF(ISNUMBER(MATCH($C1082,'Phản ánh'!$A$6:$A$505,0)),"Phản ánh",IF(ISNUMBER(MATCH($C1082,'Kế hoạch'!$A$6:$A$305,0)),"Công việc","Mã chưa có")))</f>
      </c>
      <c r="J1082" s="221">
        <f>IF($I1082="Phản ánh",INDEX('Phản ánh'!$C$6:$C$505,MATCH($C1082,'Phản ánh'!$A$6:$A$505,0)),IF($I1082="Công việc",INDEX('Kế hoạch'!$C$6:$C$305,$O1082),""))</f>
      </c>
      <c r="K1082" s="221">
        <f>IF($I1082="Phản ánh",INDEX('Phản ánh'!$K$6:$K$505,MATCH($C1082,'Phản ánh'!$A$6:$A$505,0))&amp;"",IF($I1082="Công việc",INDEX('Kế hoạch'!$N$6:$N$305,$O1082)&amp;"",""))</f>
      </c>
      <c r="L1082" s="220">
        <f>IF(OR($C1082="",N($B1082)=0),"",IF(AND($I1082="Phản ánh",$E1082="Đã xử lý"),INDEX('Phản ánh'!$U$6:$U$505,MATCH($C1082,'Phản ánh'!$A$6:$A$505,0)),IF(AND($I1082="Công việc",OR($E1082="Hoàn thành",$E1082="Hoàn thành kỳ")),IF(INDEX('Kế hoạch'!$B$6:$B$305,$O1082)="Đột xuất",INDEX('Kế hoạch'!$AY$6:$AY$305,$O1082),IF(N($P1082)=0,"",IF(INT($B1082)&lt;$P1082,$P1082,IF($Q1082&gt;0,$P1082+ROUND((INT($B1082)-$P1082)/$Q1082,0)*$Q1082,IF($R1082&gt;0,EDATE($P1082,ROUND((DATEDIF($P1082,INT($B1082),"m")+(INT($B1082)-EDATE($P1082,DATEDIF($P1082,INT($B1082),"m")))/(EDATE($P1082,DATEDIF($P1082,INT($B1082),"m")+1)-EDATE($P1082,DATEDIF($P1082,INT($B1082),"m"))))/$R1082,0)*$R1082),$P1082))))),"")))</f>
      </c>
      <c r="M1082" s="223">
        <f>IF(OR($C1082="",N($L1082)=0,N($B1082)=0),"",IF(IF(MOD($L1082,1)=0,INT($B1082),$B1082)&lt;=$L1082,"Đúng hạn","Trễ hạn"))</f>
      </c>
      <c r="N1082" s="225">
        <f>IF($C1082="","",ROW())</f>
      </c>
      <c r="O1082" s="225">
        <f>IF($I1082="Công việc",MATCH($C1082,'Kế hoạch'!$A$6:$A$305,0),"")</f>
      </c>
      <c r="P1082" s="234">
        <f>IF($O1082="","",INDEX('Kế hoạch'!$I$6:$I$305,$O1082))</f>
      </c>
      <c r="Q1082" s="225">
        <f>IF($O1082="","",INDEX('Kế hoạch'!$AJ$6:$AJ$305,$O1082))</f>
      </c>
      <c r="R1082" s="225">
        <f>IF($O1082="","",INDEX('Kế hoạch'!$AK$6:$AK$305,$O1082))</f>
      </c>
    </row>
    <row r="1083">
      <c r="A1083" s="223">
        <f>IF($C1083="","",COUNTIF($C$6:$C1083,"?*"))</f>
      </c>
      <c r="B1083" s="217"/>
      <c r="C1083" s="216"/>
      <c r="D1083" s="240"/>
      <c r="E1083" s="218"/>
      <c r="F1083" s="218"/>
      <c r="G1083" s="218"/>
      <c r="H1083" s="219"/>
      <c r="I1083" s="223">
        <f>IF($C1083="","",IF(ISNUMBER(MATCH($C1083,'Phản ánh'!$A$6:$A$505,0)),"Phản ánh",IF(ISNUMBER(MATCH($C1083,'Kế hoạch'!$A$6:$A$305,0)),"Công việc","Mã chưa có")))</f>
      </c>
      <c r="J1083" s="221">
        <f>IF($I1083="Phản ánh",INDEX('Phản ánh'!$C$6:$C$505,MATCH($C1083,'Phản ánh'!$A$6:$A$505,0)),IF($I1083="Công việc",INDEX('Kế hoạch'!$C$6:$C$305,$O1083),""))</f>
      </c>
      <c r="K1083" s="221">
        <f>IF($I1083="Phản ánh",INDEX('Phản ánh'!$K$6:$K$505,MATCH($C1083,'Phản ánh'!$A$6:$A$505,0))&amp;"",IF($I1083="Công việc",INDEX('Kế hoạch'!$N$6:$N$305,$O1083)&amp;"",""))</f>
      </c>
      <c r="L1083" s="220">
        <f>IF(OR($C1083="",N($B1083)=0),"",IF(AND($I1083="Phản ánh",$E1083="Đã xử lý"),INDEX('Phản ánh'!$U$6:$U$505,MATCH($C1083,'Phản ánh'!$A$6:$A$505,0)),IF(AND($I1083="Công việc",OR($E1083="Hoàn thành",$E1083="Hoàn thành kỳ")),IF(INDEX('Kế hoạch'!$B$6:$B$305,$O1083)="Đột xuất",INDEX('Kế hoạch'!$AY$6:$AY$305,$O1083),IF(N($P1083)=0,"",IF(INT($B1083)&lt;$P1083,$P1083,IF($Q1083&gt;0,$P1083+ROUND((INT($B1083)-$P1083)/$Q1083,0)*$Q1083,IF($R1083&gt;0,EDATE($P1083,ROUND((DATEDIF($P1083,INT($B1083),"m")+(INT($B1083)-EDATE($P1083,DATEDIF($P1083,INT($B1083),"m")))/(EDATE($P1083,DATEDIF($P1083,INT($B1083),"m")+1)-EDATE($P1083,DATEDIF($P1083,INT($B1083),"m"))))/$R1083,0)*$R1083),$P1083))))),"")))</f>
      </c>
      <c r="M1083" s="223">
        <f>IF(OR($C1083="",N($L1083)=0,N($B1083)=0),"",IF(IF(MOD($L1083,1)=0,INT($B1083),$B1083)&lt;=$L1083,"Đúng hạn","Trễ hạn"))</f>
      </c>
      <c r="N1083" s="225">
        <f>IF($C1083="","",ROW())</f>
      </c>
      <c r="O1083" s="225">
        <f>IF($I1083="Công việc",MATCH($C1083,'Kế hoạch'!$A$6:$A$305,0),"")</f>
      </c>
      <c r="P1083" s="234">
        <f>IF($O1083="","",INDEX('Kế hoạch'!$I$6:$I$305,$O1083))</f>
      </c>
      <c r="Q1083" s="225">
        <f>IF($O1083="","",INDEX('Kế hoạch'!$AJ$6:$AJ$305,$O1083))</f>
      </c>
      <c r="R1083" s="225">
        <f>IF($O1083="","",INDEX('Kế hoạch'!$AK$6:$AK$305,$O1083))</f>
      </c>
    </row>
    <row r="1084">
      <c r="A1084" s="223">
        <f>IF($C1084="","",COUNTIF($C$6:$C1084,"?*"))</f>
      </c>
      <c r="B1084" s="217"/>
      <c r="C1084" s="216"/>
      <c r="D1084" s="240"/>
      <c r="E1084" s="218"/>
      <c r="F1084" s="218"/>
      <c r="G1084" s="218"/>
      <c r="H1084" s="219"/>
      <c r="I1084" s="223">
        <f>IF($C1084="","",IF(ISNUMBER(MATCH($C1084,'Phản ánh'!$A$6:$A$505,0)),"Phản ánh",IF(ISNUMBER(MATCH($C1084,'Kế hoạch'!$A$6:$A$305,0)),"Công việc","Mã chưa có")))</f>
      </c>
      <c r="J1084" s="221">
        <f>IF($I1084="Phản ánh",INDEX('Phản ánh'!$C$6:$C$505,MATCH($C1084,'Phản ánh'!$A$6:$A$505,0)),IF($I1084="Công việc",INDEX('Kế hoạch'!$C$6:$C$305,$O1084),""))</f>
      </c>
      <c r="K1084" s="221">
        <f>IF($I1084="Phản ánh",INDEX('Phản ánh'!$K$6:$K$505,MATCH($C1084,'Phản ánh'!$A$6:$A$505,0))&amp;"",IF($I1084="Công việc",INDEX('Kế hoạch'!$N$6:$N$305,$O1084)&amp;"",""))</f>
      </c>
      <c r="L1084" s="220">
        <f>IF(OR($C1084="",N($B1084)=0),"",IF(AND($I1084="Phản ánh",$E1084="Đã xử lý"),INDEX('Phản ánh'!$U$6:$U$505,MATCH($C1084,'Phản ánh'!$A$6:$A$505,0)),IF(AND($I1084="Công việc",OR($E1084="Hoàn thành",$E1084="Hoàn thành kỳ")),IF(INDEX('Kế hoạch'!$B$6:$B$305,$O1084)="Đột xuất",INDEX('Kế hoạch'!$AY$6:$AY$305,$O1084),IF(N($P1084)=0,"",IF(INT($B1084)&lt;$P1084,$P1084,IF($Q1084&gt;0,$P1084+ROUND((INT($B1084)-$P1084)/$Q1084,0)*$Q1084,IF($R1084&gt;0,EDATE($P1084,ROUND((DATEDIF($P1084,INT($B1084),"m")+(INT($B1084)-EDATE($P1084,DATEDIF($P1084,INT($B1084),"m")))/(EDATE($P1084,DATEDIF($P1084,INT($B1084),"m")+1)-EDATE($P1084,DATEDIF($P1084,INT($B1084),"m"))))/$R1084,0)*$R1084),$P1084))))),"")))</f>
      </c>
      <c r="M1084" s="223">
        <f>IF(OR($C1084="",N($L1084)=0,N($B1084)=0),"",IF(IF(MOD($L1084,1)=0,INT($B1084),$B1084)&lt;=$L1084,"Đúng hạn","Trễ hạn"))</f>
      </c>
      <c r="N1084" s="225">
        <f>IF($C1084="","",ROW())</f>
      </c>
      <c r="O1084" s="225">
        <f>IF($I1084="Công việc",MATCH($C1084,'Kế hoạch'!$A$6:$A$305,0),"")</f>
      </c>
      <c r="P1084" s="234">
        <f>IF($O1084="","",INDEX('Kế hoạch'!$I$6:$I$305,$O1084))</f>
      </c>
      <c r="Q1084" s="225">
        <f>IF($O1084="","",INDEX('Kế hoạch'!$AJ$6:$AJ$305,$O1084))</f>
      </c>
      <c r="R1084" s="225">
        <f>IF($O1084="","",INDEX('Kế hoạch'!$AK$6:$AK$305,$O1084))</f>
      </c>
    </row>
    <row r="1085">
      <c r="A1085" s="223">
        <f>IF($C1085="","",COUNTIF($C$6:$C1085,"?*"))</f>
      </c>
      <c r="B1085" s="217"/>
      <c r="C1085" s="216"/>
      <c r="D1085" s="240"/>
      <c r="E1085" s="218"/>
      <c r="F1085" s="218"/>
      <c r="G1085" s="218"/>
      <c r="H1085" s="219"/>
      <c r="I1085" s="223">
        <f>IF($C1085="","",IF(ISNUMBER(MATCH($C1085,'Phản ánh'!$A$6:$A$505,0)),"Phản ánh",IF(ISNUMBER(MATCH($C1085,'Kế hoạch'!$A$6:$A$305,0)),"Công việc","Mã chưa có")))</f>
      </c>
      <c r="J1085" s="221">
        <f>IF($I1085="Phản ánh",INDEX('Phản ánh'!$C$6:$C$505,MATCH($C1085,'Phản ánh'!$A$6:$A$505,0)),IF($I1085="Công việc",INDEX('Kế hoạch'!$C$6:$C$305,$O1085),""))</f>
      </c>
      <c r="K1085" s="221">
        <f>IF($I1085="Phản ánh",INDEX('Phản ánh'!$K$6:$K$505,MATCH($C1085,'Phản ánh'!$A$6:$A$505,0))&amp;"",IF($I1085="Công việc",INDEX('Kế hoạch'!$N$6:$N$305,$O1085)&amp;"",""))</f>
      </c>
      <c r="L1085" s="220">
        <f>IF(OR($C1085="",N($B1085)=0),"",IF(AND($I1085="Phản ánh",$E1085="Đã xử lý"),INDEX('Phản ánh'!$U$6:$U$505,MATCH($C1085,'Phản ánh'!$A$6:$A$505,0)),IF(AND($I1085="Công việc",OR($E1085="Hoàn thành",$E1085="Hoàn thành kỳ")),IF(INDEX('Kế hoạch'!$B$6:$B$305,$O1085)="Đột xuất",INDEX('Kế hoạch'!$AY$6:$AY$305,$O1085),IF(N($P1085)=0,"",IF(INT($B1085)&lt;$P1085,$P1085,IF($Q1085&gt;0,$P1085+ROUND((INT($B1085)-$P1085)/$Q1085,0)*$Q1085,IF($R1085&gt;0,EDATE($P1085,ROUND((DATEDIF($P1085,INT($B1085),"m")+(INT($B1085)-EDATE($P1085,DATEDIF($P1085,INT($B1085),"m")))/(EDATE($P1085,DATEDIF($P1085,INT($B1085),"m")+1)-EDATE($P1085,DATEDIF($P1085,INT($B1085),"m"))))/$R1085,0)*$R1085),$P1085))))),"")))</f>
      </c>
      <c r="M1085" s="223">
        <f>IF(OR($C1085="",N($L1085)=0,N($B1085)=0),"",IF(IF(MOD($L1085,1)=0,INT($B1085),$B1085)&lt;=$L1085,"Đúng hạn","Trễ hạn"))</f>
      </c>
      <c r="N1085" s="225">
        <f>IF($C1085="","",ROW())</f>
      </c>
      <c r="O1085" s="225">
        <f>IF($I1085="Công việc",MATCH($C1085,'Kế hoạch'!$A$6:$A$305,0),"")</f>
      </c>
      <c r="P1085" s="234">
        <f>IF($O1085="","",INDEX('Kế hoạch'!$I$6:$I$305,$O1085))</f>
      </c>
      <c r="Q1085" s="225">
        <f>IF($O1085="","",INDEX('Kế hoạch'!$AJ$6:$AJ$305,$O1085))</f>
      </c>
      <c r="R1085" s="225">
        <f>IF($O1085="","",INDEX('Kế hoạch'!$AK$6:$AK$305,$O1085))</f>
      </c>
    </row>
    <row r="1086">
      <c r="A1086" s="223">
        <f>IF($C1086="","",COUNTIF($C$6:$C1086,"?*"))</f>
      </c>
      <c r="B1086" s="217"/>
      <c r="C1086" s="216"/>
      <c r="D1086" s="240"/>
      <c r="E1086" s="218"/>
      <c r="F1086" s="218"/>
      <c r="G1086" s="218"/>
      <c r="H1086" s="219"/>
      <c r="I1086" s="223">
        <f>IF($C1086="","",IF(ISNUMBER(MATCH($C1086,'Phản ánh'!$A$6:$A$505,0)),"Phản ánh",IF(ISNUMBER(MATCH($C1086,'Kế hoạch'!$A$6:$A$305,0)),"Công việc","Mã chưa có")))</f>
      </c>
      <c r="J1086" s="221">
        <f>IF($I1086="Phản ánh",INDEX('Phản ánh'!$C$6:$C$505,MATCH($C1086,'Phản ánh'!$A$6:$A$505,0)),IF($I1086="Công việc",INDEX('Kế hoạch'!$C$6:$C$305,$O1086),""))</f>
      </c>
      <c r="K1086" s="221">
        <f>IF($I1086="Phản ánh",INDEX('Phản ánh'!$K$6:$K$505,MATCH($C1086,'Phản ánh'!$A$6:$A$505,0))&amp;"",IF($I1086="Công việc",INDEX('Kế hoạch'!$N$6:$N$305,$O1086)&amp;"",""))</f>
      </c>
      <c r="L1086" s="220">
        <f>IF(OR($C1086="",N($B1086)=0),"",IF(AND($I1086="Phản ánh",$E1086="Đã xử lý"),INDEX('Phản ánh'!$U$6:$U$505,MATCH($C1086,'Phản ánh'!$A$6:$A$505,0)),IF(AND($I1086="Công việc",OR($E1086="Hoàn thành",$E1086="Hoàn thành kỳ")),IF(INDEX('Kế hoạch'!$B$6:$B$305,$O1086)="Đột xuất",INDEX('Kế hoạch'!$AY$6:$AY$305,$O1086),IF(N($P1086)=0,"",IF(INT($B1086)&lt;$P1086,$P1086,IF($Q1086&gt;0,$P1086+ROUND((INT($B1086)-$P1086)/$Q1086,0)*$Q1086,IF($R1086&gt;0,EDATE($P1086,ROUND((DATEDIF($P1086,INT($B1086),"m")+(INT($B1086)-EDATE($P1086,DATEDIF($P1086,INT($B1086),"m")))/(EDATE($P1086,DATEDIF($P1086,INT($B1086),"m")+1)-EDATE($P1086,DATEDIF($P1086,INT($B1086),"m"))))/$R1086,0)*$R1086),$P1086))))),"")))</f>
      </c>
      <c r="M1086" s="223">
        <f>IF(OR($C1086="",N($L1086)=0,N($B1086)=0),"",IF(IF(MOD($L1086,1)=0,INT($B1086),$B1086)&lt;=$L1086,"Đúng hạn","Trễ hạn"))</f>
      </c>
      <c r="N1086" s="225">
        <f>IF($C1086="","",ROW())</f>
      </c>
      <c r="O1086" s="225">
        <f>IF($I1086="Công việc",MATCH($C1086,'Kế hoạch'!$A$6:$A$305,0),"")</f>
      </c>
      <c r="P1086" s="234">
        <f>IF($O1086="","",INDEX('Kế hoạch'!$I$6:$I$305,$O1086))</f>
      </c>
      <c r="Q1086" s="225">
        <f>IF($O1086="","",INDEX('Kế hoạch'!$AJ$6:$AJ$305,$O1086))</f>
      </c>
      <c r="R1086" s="225">
        <f>IF($O1086="","",INDEX('Kế hoạch'!$AK$6:$AK$305,$O1086))</f>
      </c>
    </row>
    <row r="1087">
      <c r="A1087" s="223">
        <f>IF($C1087="","",COUNTIF($C$6:$C1087,"?*"))</f>
      </c>
      <c r="B1087" s="217"/>
      <c r="C1087" s="216"/>
      <c r="D1087" s="240"/>
      <c r="E1087" s="218"/>
      <c r="F1087" s="218"/>
      <c r="G1087" s="218"/>
      <c r="H1087" s="219"/>
      <c r="I1087" s="223">
        <f>IF($C1087="","",IF(ISNUMBER(MATCH($C1087,'Phản ánh'!$A$6:$A$505,0)),"Phản ánh",IF(ISNUMBER(MATCH($C1087,'Kế hoạch'!$A$6:$A$305,0)),"Công việc","Mã chưa có")))</f>
      </c>
      <c r="J1087" s="221">
        <f>IF($I1087="Phản ánh",INDEX('Phản ánh'!$C$6:$C$505,MATCH($C1087,'Phản ánh'!$A$6:$A$505,0)),IF($I1087="Công việc",INDEX('Kế hoạch'!$C$6:$C$305,$O1087),""))</f>
      </c>
      <c r="K1087" s="221">
        <f>IF($I1087="Phản ánh",INDEX('Phản ánh'!$K$6:$K$505,MATCH($C1087,'Phản ánh'!$A$6:$A$505,0))&amp;"",IF($I1087="Công việc",INDEX('Kế hoạch'!$N$6:$N$305,$O1087)&amp;"",""))</f>
      </c>
      <c r="L1087" s="220">
        <f>IF(OR($C1087="",N($B1087)=0),"",IF(AND($I1087="Phản ánh",$E1087="Đã xử lý"),INDEX('Phản ánh'!$U$6:$U$505,MATCH($C1087,'Phản ánh'!$A$6:$A$505,0)),IF(AND($I1087="Công việc",OR($E1087="Hoàn thành",$E1087="Hoàn thành kỳ")),IF(INDEX('Kế hoạch'!$B$6:$B$305,$O1087)="Đột xuất",INDEX('Kế hoạch'!$AY$6:$AY$305,$O1087),IF(N($P1087)=0,"",IF(INT($B1087)&lt;$P1087,$P1087,IF($Q1087&gt;0,$P1087+ROUND((INT($B1087)-$P1087)/$Q1087,0)*$Q1087,IF($R1087&gt;0,EDATE($P1087,ROUND((DATEDIF($P1087,INT($B1087),"m")+(INT($B1087)-EDATE($P1087,DATEDIF($P1087,INT($B1087),"m")))/(EDATE($P1087,DATEDIF($P1087,INT($B1087),"m")+1)-EDATE($P1087,DATEDIF($P1087,INT($B1087),"m"))))/$R1087,0)*$R1087),$P1087))))),"")))</f>
      </c>
      <c r="M1087" s="223">
        <f>IF(OR($C1087="",N($L1087)=0,N($B1087)=0),"",IF(IF(MOD($L1087,1)=0,INT($B1087),$B1087)&lt;=$L1087,"Đúng hạn","Trễ hạn"))</f>
      </c>
      <c r="N1087" s="225">
        <f>IF($C1087="","",ROW())</f>
      </c>
      <c r="O1087" s="225">
        <f>IF($I1087="Công việc",MATCH($C1087,'Kế hoạch'!$A$6:$A$305,0),"")</f>
      </c>
      <c r="P1087" s="234">
        <f>IF($O1087="","",INDEX('Kế hoạch'!$I$6:$I$305,$O1087))</f>
      </c>
      <c r="Q1087" s="225">
        <f>IF($O1087="","",INDEX('Kế hoạch'!$AJ$6:$AJ$305,$O1087))</f>
      </c>
      <c r="R1087" s="225">
        <f>IF($O1087="","",INDEX('Kế hoạch'!$AK$6:$AK$305,$O1087))</f>
      </c>
    </row>
    <row r="1088">
      <c r="A1088" s="223">
        <f>IF($C1088="","",COUNTIF($C$6:$C1088,"?*"))</f>
      </c>
      <c r="B1088" s="217"/>
      <c r="C1088" s="216"/>
      <c r="D1088" s="240"/>
      <c r="E1088" s="218"/>
      <c r="F1088" s="218"/>
      <c r="G1088" s="218"/>
      <c r="H1088" s="219"/>
      <c r="I1088" s="223">
        <f>IF($C1088="","",IF(ISNUMBER(MATCH($C1088,'Phản ánh'!$A$6:$A$505,0)),"Phản ánh",IF(ISNUMBER(MATCH($C1088,'Kế hoạch'!$A$6:$A$305,0)),"Công việc","Mã chưa có")))</f>
      </c>
      <c r="J1088" s="221">
        <f>IF($I1088="Phản ánh",INDEX('Phản ánh'!$C$6:$C$505,MATCH($C1088,'Phản ánh'!$A$6:$A$505,0)),IF($I1088="Công việc",INDEX('Kế hoạch'!$C$6:$C$305,$O1088),""))</f>
      </c>
      <c r="K1088" s="221">
        <f>IF($I1088="Phản ánh",INDEX('Phản ánh'!$K$6:$K$505,MATCH($C1088,'Phản ánh'!$A$6:$A$505,0))&amp;"",IF($I1088="Công việc",INDEX('Kế hoạch'!$N$6:$N$305,$O1088)&amp;"",""))</f>
      </c>
      <c r="L1088" s="220">
        <f>IF(OR($C1088="",N($B1088)=0),"",IF(AND($I1088="Phản ánh",$E1088="Đã xử lý"),INDEX('Phản ánh'!$U$6:$U$505,MATCH($C1088,'Phản ánh'!$A$6:$A$505,0)),IF(AND($I1088="Công việc",OR($E1088="Hoàn thành",$E1088="Hoàn thành kỳ")),IF(INDEX('Kế hoạch'!$B$6:$B$305,$O1088)="Đột xuất",INDEX('Kế hoạch'!$AY$6:$AY$305,$O1088),IF(N($P1088)=0,"",IF(INT($B1088)&lt;$P1088,$P1088,IF($Q1088&gt;0,$P1088+ROUND((INT($B1088)-$P1088)/$Q1088,0)*$Q1088,IF($R1088&gt;0,EDATE($P1088,ROUND((DATEDIF($P1088,INT($B1088),"m")+(INT($B1088)-EDATE($P1088,DATEDIF($P1088,INT($B1088),"m")))/(EDATE($P1088,DATEDIF($P1088,INT($B1088),"m")+1)-EDATE($P1088,DATEDIF($P1088,INT($B1088),"m"))))/$R1088,0)*$R1088),$P1088))))),"")))</f>
      </c>
      <c r="M1088" s="223">
        <f>IF(OR($C1088="",N($L1088)=0,N($B1088)=0),"",IF(IF(MOD($L1088,1)=0,INT($B1088),$B1088)&lt;=$L1088,"Đúng hạn","Trễ hạn"))</f>
      </c>
      <c r="N1088" s="225">
        <f>IF($C1088="","",ROW())</f>
      </c>
      <c r="O1088" s="225">
        <f>IF($I1088="Công việc",MATCH($C1088,'Kế hoạch'!$A$6:$A$305,0),"")</f>
      </c>
      <c r="P1088" s="234">
        <f>IF($O1088="","",INDEX('Kế hoạch'!$I$6:$I$305,$O1088))</f>
      </c>
      <c r="Q1088" s="225">
        <f>IF($O1088="","",INDEX('Kế hoạch'!$AJ$6:$AJ$305,$O1088))</f>
      </c>
      <c r="R1088" s="225">
        <f>IF($O1088="","",INDEX('Kế hoạch'!$AK$6:$AK$305,$O1088))</f>
      </c>
    </row>
    <row r="1089">
      <c r="A1089" s="223">
        <f>IF($C1089="","",COUNTIF($C$6:$C1089,"?*"))</f>
      </c>
      <c r="B1089" s="217"/>
      <c r="C1089" s="216"/>
      <c r="D1089" s="240"/>
      <c r="E1089" s="218"/>
      <c r="F1089" s="218"/>
      <c r="G1089" s="218"/>
      <c r="H1089" s="219"/>
      <c r="I1089" s="223">
        <f>IF($C1089="","",IF(ISNUMBER(MATCH($C1089,'Phản ánh'!$A$6:$A$505,0)),"Phản ánh",IF(ISNUMBER(MATCH($C1089,'Kế hoạch'!$A$6:$A$305,0)),"Công việc","Mã chưa có")))</f>
      </c>
      <c r="J1089" s="221">
        <f>IF($I1089="Phản ánh",INDEX('Phản ánh'!$C$6:$C$505,MATCH($C1089,'Phản ánh'!$A$6:$A$505,0)),IF($I1089="Công việc",INDEX('Kế hoạch'!$C$6:$C$305,$O1089),""))</f>
      </c>
      <c r="K1089" s="221">
        <f>IF($I1089="Phản ánh",INDEX('Phản ánh'!$K$6:$K$505,MATCH($C1089,'Phản ánh'!$A$6:$A$505,0))&amp;"",IF($I1089="Công việc",INDEX('Kế hoạch'!$N$6:$N$305,$O1089)&amp;"",""))</f>
      </c>
      <c r="L1089" s="220">
        <f>IF(OR($C1089="",N($B1089)=0),"",IF(AND($I1089="Phản ánh",$E1089="Đã xử lý"),INDEX('Phản ánh'!$U$6:$U$505,MATCH($C1089,'Phản ánh'!$A$6:$A$505,0)),IF(AND($I1089="Công việc",OR($E1089="Hoàn thành",$E1089="Hoàn thành kỳ")),IF(INDEX('Kế hoạch'!$B$6:$B$305,$O1089)="Đột xuất",INDEX('Kế hoạch'!$AY$6:$AY$305,$O1089),IF(N($P1089)=0,"",IF(INT($B1089)&lt;$P1089,$P1089,IF($Q1089&gt;0,$P1089+ROUND((INT($B1089)-$P1089)/$Q1089,0)*$Q1089,IF($R1089&gt;0,EDATE($P1089,ROUND((DATEDIF($P1089,INT($B1089),"m")+(INT($B1089)-EDATE($P1089,DATEDIF($P1089,INT($B1089),"m")))/(EDATE($P1089,DATEDIF($P1089,INT($B1089),"m")+1)-EDATE($P1089,DATEDIF($P1089,INT($B1089),"m"))))/$R1089,0)*$R1089),$P1089))))),"")))</f>
      </c>
      <c r="M1089" s="223">
        <f>IF(OR($C1089="",N($L1089)=0,N($B1089)=0),"",IF(IF(MOD($L1089,1)=0,INT($B1089),$B1089)&lt;=$L1089,"Đúng hạn","Trễ hạn"))</f>
      </c>
      <c r="N1089" s="225">
        <f>IF($C1089="","",ROW())</f>
      </c>
      <c r="O1089" s="225">
        <f>IF($I1089="Công việc",MATCH($C1089,'Kế hoạch'!$A$6:$A$305,0),"")</f>
      </c>
      <c r="P1089" s="234">
        <f>IF($O1089="","",INDEX('Kế hoạch'!$I$6:$I$305,$O1089))</f>
      </c>
      <c r="Q1089" s="225">
        <f>IF($O1089="","",INDEX('Kế hoạch'!$AJ$6:$AJ$305,$O1089))</f>
      </c>
      <c r="R1089" s="225">
        <f>IF($O1089="","",INDEX('Kế hoạch'!$AK$6:$AK$305,$O1089))</f>
      </c>
    </row>
    <row r="1090">
      <c r="A1090" s="223">
        <f>IF($C1090="","",COUNTIF($C$6:$C1090,"?*"))</f>
      </c>
      <c r="B1090" s="217"/>
      <c r="C1090" s="216"/>
      <c r="D1090" s="240"/>
      <c r="E1090" s="218"/>
      <c r="F1090" s="218"/>
      <c r="G1090" s="218"/>
      <c r="H1090" s="219"/>
      <c r="I1090" s="223">
        <f>IF($C1090="","",IF(ISNUMBER(MATCH($C1090,'Phản ánh'!$A$6:$A$505,0)),"Phản ánh",IF(ISNUMBER(MATCH($C1090,'Kế hoạch'!$A$6:$A$305,0)),"Công việc","Mã chưa có")))</f>
      </c>
      <c r="J1090" s="221">
        <f>IF($I1090="Phản ánh",INDEX('Phản ánh'!$C$6:$C$505,MATCH($C1090,'Phản ánh'!$A$6:$A$505,0)),IF($I1090="Công việc",INDEX('Kế hoạch'!$C$6:$C$305,$O1090),""))</f>
      </c>
      <c r="K1090" s="221">
        <f>IF($I1090="Phản ánh",INDEX('Phản ánh'!$K$6:$K$505,MATCH($C1090,'Phản ánh'!$A$6:$A$505,0))&amp;"",IF($I1090="Công việc",INDEX('Kế hoạch'!$N$6:$N$305,$O1090)&amp;"",""))</f>
      </c>
      <c r="L1090" s="220">
        <f>IF(OR($C1090="",N($B1090)=0),"",IF(AND($I1090="Phản ánh",$E1090="Đã xử lý"),INDEX('Phản ánh'!$U$6:$U$505,MATCH($C1090,'Phản ánh'!$A$6:$A$505,0)),IF(AND($I1090="Công việc",OR($E1090="Hoàn thành",$E1090="Hoàn thành kỳ")),IF(INDEX('Kế hoạch'!$B$6:$B$305,$O1090)="Đột xuất",INDEX('Kế hoạch'!$AY$6:$AY$305,$O1090),IF(N($P1090)=0,"",IF(INT($B1090)&lt;$P1090,$P1090,IF($Q1090&gt;0,$P1090+ROUND((INT($B1090)-$P1090)/$Q1090,0)*$Q1090,IF($R1090&gt;0,EDATE($P1090,ROUND((DATEDIF($P1090,INT($B1090),"m")+(INT($B1090)-EDATE($P1090,DATEDIF($P1090,INT($B1090),"m")))/(EDATE($P1090,DATEDIF($P1090,INT($B1090),"m")+1)-EDATE($P1090,DATEDIF($P1090,INT($B1090),"m"))))/$R1090,0)*$R1090),$P1090))))),"")))</f>
      </c>
      <c r="M1090" s="223">
        <f>IF(OR($C1090="",N($L1090)=0,N($B1090)=0),"",IF(IF(MOD($L1090,1)=0,INT($B1090),$B1090)&lt;=$L1090,"Đúng hạn","Trễ hạn"))</f>
      </c>
      <c r="N1090" s="225">
        <f>IF($C1090="","",ROW())</f>
      </c>
      <c r="O1090" s="225">
        <f>IF($I1090="Công việc",MATCH($C1090,'Kế hoạch'!$A$6:$A$305,0),"")</f>
      </c>
      <c r="P1090" s="234">
        <f>IF($O1090="","",INDEX('Kế hoạch'!$I$6:$I$305,$O1090))</f>
      </c>
      <c r="Q1090" s="225">
        <f>IF($O1090="","",INDEX('Kế hoạch'!$AJ$6:$AJ$305,$O1090))</f>
      </c>
      <c r="R1090" s="225">
        <f>IF($O1090="","",INDEX('Kế hoạch'!$AK$6:$AK$305,$O1090))</f>
      </c>
    </row>
    <row r="1091">
      <c r="A1091" s="223">
        <f>IF($C1091="","",COUNTIF($C$6:$C1091,"?*"))</f>
      </c>
      <c r="B1091" s="217"/>
      <c r="C1091" s="216"/>
      <c r="D1091" s="240"/>
      <c r="E1091" s="218"/>
      <c r="F1091" s="218"/>
      <c r="G1091" s="218"/>
      <c r="H1091" s="219"/>
      <c r="I1091" s="223">
        <f>IF($C1091="","",IF(ISNUMBER(MATCH($C1091,'Phản ánh'!$A$6:$A$505,0)),"Phản ánh",IF(ISNUMBER(MATCH($C1091,'Kế hoạch'!$A$6:$A$305,0)),"Công việc","Mã chưa có")))</f>
      </c>
      <c r="J1091" s="221">
        <f>IF($I1091="Phản ánh",INDEX('Phản ánh'!$C$6:$C$505,MATCH($C1091,'Phản ánh'!$A$6:$A$505,0)),IF($I1091="Công việc",INDEX('Kế hoạch'!$C$6:$C$305,$O1091),""))</f>
      </c>
      <c r="K1091" s="221">
        <f>IF($I1091="Phản ánh",INDEX('Phản ánh'!$K$6:$K$505,MATCH($C1091,'Phản ánh'!$A$6:$A$505,0))&amp;"",IF($I1091="Công việc",INDEX('Kế hoạch'!$N$6:$N$305,$O1091)&amp;"",""))</f>
      </c>
      <c r="L1091" s="220">
        <f>IF(OR($C1091="",N($B1091)=0),"",IF(AND($I1091="Phản ánh",$E1091="Đã xử lý"),INDEX('Phản ánh'!$U$6:$U$505,MATCH($C1091,'Phản ánh'!$A$6:$A$505,0)),IF(AND($I1091="Công việc",OR($E1091="Hoàn thành",$E1091="Hoàn thành kỳ")),IF(INDEX('Kế hoạch'!$B$6:$B$305,$O1091)="Đột xuất",INDEX('Kế hoạch'!$AY$6:$AY$305,$O1091),IF(N($P1091)=0,"",IF(INT($B1091)&lt;$P1091,$P1091,IF($Q1091&gt;0,$P1091+ROUND((INT($B1091)-$P1091)/$Q1091,0)*$Q1091,IF($R1091&gt;0,EDATE($P1091,ROUND((DATEDIF($P1091,INT($B1091),"m")+(INT($B1091)-EDATE($P1091,DATEDIF($P1091,INT($B1091),"m")))/(EDATE($P1091,DATEDIF($P1091,INT($B1091),"m")+1)-EDATE($P1091,DATEDIF($P1091,INT($B1091),"m"))))/$R1091,0)*$R1091),$P1091))))),"")))</f>
      </c>
      <c r="M1091" s="223">
        <f>IF(OR($C1091="",N($L1091)=0,N($B1091)=0),"",IF(IF(MOD($L1091,1)=0,INT($B1091),$B1091)&lt;=$L1091,"Đúng hạn","Trễ hạn"))</f>
      </c>
      <c r="N1091" s="225">
        <f>IF($C1091="","",ROW())</f>
      </c>
      <c r="O1091" s="225">
        <f>IF($I1091="Công việc",MATCH($C1091,'Kế hoạch'!$A$6:$A$305,0),"")</f>
      </c>
      <c r="P1091" s="234">
        <f>IF($O1091="","",INDEX('Kế hoạch'!$I$6:$I$305,$O1091))</f>
      </c>
      <c r="Q1091" s="225">
        <f>IF($O1091="","",INDEX('Kế hoạch'!$AJ$6:$AJ$305,$O1091))</f>
      </c>
      <c r="R1091" s="225">
        <f>IF($O1091="","",INDEX('Kế hoạch'!$AK$6:$AK$305,$O1091))</f>
      </c>
    </row>
    <row r="1092">
      <c r="A1092" s="223">
        <f>IF($C1092="","",COUNTIF($C$6:$C1092,"?*"))</f>
      </c>
      <c r="B1092" s="217"/>
      <c r="C1092" s="216"/>
      <c r="D1092" s="240"/>
      <c r="E1092" s="218"/>
      <c r="F1092" s="218"/>
      <c r="G1092" s="218"/>
      <c r="H1092" s="219"/>
      <c r="I1092" s="223">
        <f>IF($C1092="","",IF(ISNUMBER(MATCH($C1092,'Phản ánh'!$A$6:$A$505,0)),"Phản ánh",IF(ISNUMBER(MATCH($C1092,'Kế hoạch'!$A$6:$A$305,0)),"Công việc","Mã chưa có")))</f>
      </c>
      <c r="J1092" s="221">
        <f>IF($I1092="Phản ánh",INDEX('Phản ánh'!$C$6:$C$505,MATCH($C1092,'Phản ánh'!$A$6:$A$505,0)),IF($I1092="Công việc",INDEX('Kế hoạch'!$C$6:$C$305,$O1092),""))</f>
      </c>
      <c r="K1092" s="221">
        <f>IF($I1092="Phản ánh",INDEX('Phản ánh'!$K$6:$K$505,MATCH($C1092,'Phản ánh'!$A$6:$A$505,0))&amp;"",IF($I1092="Công việc",INDEX('Kế hoạch'!$N$6:$N$305,$O1092)&amp;"",""))</f>
      </c>
      <c r="L1092" s="220">
        <f>IF(OR($C1092="",N($B1092)=0),"",IF(AND($I1092="Phản ánh",$E1092="Đã xử lý"),INDEX('Phản ánh'!$U$6:$U$505,MATCH($C1092,'Phản ánh'!$A$6:$A$505,0)),IF(AND($I1092="Công việc",OR($E1092="Hoàn thành",$E1092="Hoàn thành kỳ")),IF(INDEX('Kế hoạch'!$B$6:$B$305,$O1092)="Đột xuất",INDEX('Kế hoạch'!$AY$6:$AY$305,$O1092),IF(N($P1092)=0,"",IF(INT($B1092)&lt;$P1092,$P1092,IF($Q1092&gt;0,$P1092+ROUND((INT($B1092)-$P1092)/$Q1092,0)*$Q1092,IF($R1092&gt;0,EDATE($P1092,ROUND((DATEDIF($P1092,INT($B1092),"m")+(INT($B1092)-EDATE($P1092,DATEDIF($P1092,INT($B1092),"m")))/(EDATE($P1092,DATEDIF($P1092,INT($B1092),"m")+1)-EDATE($P1092,DATEDIF($P1092,INT($B1092),"m"))))/$R1092,0)*$R1092),$P1092))))),"")))</f>
      </c>
      <c r="M1092" s="223">
        <f>IF(OR($C1092="",N($L1092)=0,N($B1092)=0),"",IF(IF(MOD($L1092,1)=0,INT($B1092),$B1092)&lt;=$L1092,"Đúng hạn","Trễ hạn"))</f>
      </c>
      <c r="N1092" s="225">
        <f>IF($C1092="","",ROW())</f>
      </c>
      <c r="O1092" s="225">
        <f>IF($I1092="Công việc",MATCH($C1092,'Kế hoạch'!$A$6:$A$305,0),"")</f>
      </c>
      <c r="P1092" s="234">
        <f>IF($O1092="","",INDEX('Kế hoạch'!$I$6:$I$305,$O1092))</f>
      </c>
      <c r="Q1092" s="225">
        <f>IF($O1092="","",INDEX('Kế hoạch'!$AJ$6:$AJ$305,$O1092))</f>
      </c>
      <c r="R1092" s="225">
        <f>IF($O1092="","",INDEX('Kế hoạch'!$AK$6:$AK$305,$O1092))</f>
      </c>
    </row>
    <row r="1093">
      <c r="A1093" s="223">
        <f>IF($C1093="","",COUNTIF($C$6:$C1093,"?*"))</f>
      </c>
      <c r="B1093" s="217"/>
      <c r="C1093" s="216"/>
      <c r="D1093" s="240"/>
      <c r="E1093" s="218"/>
      <c r="F1093" s="218"/>
      <c r="G1093" s="218"/>
      <c r="H1093" s="219"/>
      <c r="I1093" s="223">
        <f>IF($C1093="","",IF(ISNUMBER(MATCH($C1093,'Phản ánh'!$A$6:$A$505,0)),"Phản ánh",IF(ISNUMBER(MATCH($C1093,'Kế hoạch'!$A$6:$A$305,0)),"Công việc","Mã chưa có")))</f>
      </c>
      <c r="J1093" s="221">
        <f>IF($I1093="Phản ánh",INDEX('Phản ánh'!$C$6:$C$505,MATCH($C1093,'Phản ánh'!$A$6:$A$505,0)),IF($I1093="Công việc",INDEX('Kế hoạch'!$C$6:$C$305,$O1093),""))</f>
      </c>
      <c r="K1093" s="221">
        <f>IF($I1093="Phản ánh",INDEX('Phản ánh'!$K$6:$K$505,MATCH($C1093,'Phản ánh'!$A$6:$A$505,0))&amp;"",IF($I1093="Công việc",INDEX('Kế hoạch'!$N$6:$N$305,$O1093)&amp;"",""))</f>
      </c>
      <c r="L1093" s="220">
        <f>IF(OR($C1093="",N($B1093)=0),"",IF(AND($I1093="Phản ánh",$E1093="Đã xử lý"),INDEX('Phản ánh'!$U$6:$U$505,MATCH($C1093,'Phản ánh'!$A$6:$A$505,0)),IF(AND($I1093="Công việc",OR($E1093="Hoàn thành",$E1093="Hoàn thành kỳ")),IF(INDEX('Kế hoạch'!$B$6:$B$305,$O1093)="Đột xuất",INDEX('Kế hoạch'!$AY$6:$AY$305,$O1093),IF(N($P1093)=0,"",IF(INT($B1093)&lt;$P1093,$P1093,IF($Q1093&gt;0,$P1093+ROUND((INT($B1093)-$P1093)/$Q1093,0)*$Q1093,IF($R1093&gt;0,EDATE($P1093,ROUND((DATEDIF($P1093,INT($B1093),"m")+(INT($B1093)-EDATE($P1093,DATEDIF($P1093,INT($B1093),"m")))/(EDATE($P1093,DATEDIF($P1093,INT($B1093),"m")+1)-EDATE($P1093,DATEDIF($P1093,INT($B1093),"m"))))/$R1093,0)*$R1093),$P1093))))),"")))</f>
      </c>
      <c r="M1093" s="223">
        <f>IF(OR($C1093="",N($L1093)=0,N($B1093)=0),"",IF(IF(MOD($L1093,1)=0,INT($B1093),$B1093)&lt;=$L1093,"Đúng hạn","Trễ hạn"))</f>
      </c>
      <c r="N1093" s="225">
        <f>IF($C1093="","",ROW())</f>
      </c>
      <c r="O1093" s="225">
        <f>IF($I1093="Công việc",MATCH($C1093,'Kế hoạch'!$A$6:$A$305,0),"")</f>
      </c>
      <c r="P1093" s="234">
        <f>IF($O1093="","",INDEX('Kế hoạch'!$I$6:$I$305,$O1093))</f>
      </c>
      <c r="Q1093" s="225">
        <f>IF($O1093="","",INDEX('Kế hoạch'!$AJ$6:$AJ$305,$O1093))</f>
      </c>
      <c r="R1093" s="225">
        <f>IF($O1093="","",INDEX('Kế hoạch'!$AK$6:$AK$305,$O1093))</f>
      </c>
    </row>
    <row r="1094">
      <c r="A1094" s="223">
        <f>IF($C1094="","",COUNTIF($C$6:$C1094,"?*"))</f>
      </c>
      <c r="B1094" s="217"/>
      <c r="C1094" s="216"/>
      <c r="D1094" s="240"/>
      <c r="E1094" s="218"/>
      <c r="F1094" s="218"/>
      <c r="G1094" s="218"/>
      <c r="H1094" s="219"/>
      <c r="I1094" s="223">
        <f>IF($C1094="","",IF(ISNUMBER(MATCH($C1094,'Phản ánh'!$A$6:$A$505,0)),"Phản ánh",IF(ISNUMBER(MATCH($C1094,'Kế hoạch'!$A$6:$A$305,0)),"Công việc","Mã chưa có")))</f>
      </c>
      <c r="J1094" s="221">
        <f>IF($I1094="Phản ánh",INDEX('Phản ánh'!$C$6:$C$505,MATCH($C1094,'Phản ánh'!$A$6:$A$505,0)),IF($I1094="Công việc",INDEX('Kế hoạch'!$C$6:$C$305,$O1094),""))</f>
      </c>
      <c r="K1094" s="221">
        <f>IF($I1094="Phản ánh",INDEX('Phản ánh'!$K$6:$K$505,MATCH($C1094,'Phản ánh'!$A$6:$A$505,0))&amp;"",IF($I1094="Công việc",INDEX('Kế hoạch'!$N$6:$N$305,$O1094)&amp;"",""))</f>
      </c>
      <c r="L1094" s="220">
        <f>IF(OR($C1094="",N($B1094)=0),"",IF(AND($I1094="Phản ánh",$E1094="Đã xử lý"),INDEX('Phản ánh'!$U$6:$U$505,MATCH($C1094,'Phản ánh'!$A$6:$A$505,0)),IF(AND($I1094="Công việc",OR($E1094="Hoàn thành",$E1094="Hoàn thành kỳ")),IF(INDEX('Kế hoạch'!$B$6:$B$305,$O1094)="Đột xuất",INDEX('Kế hoạch'!$AY$6:$AY$305,$O1094),IF(N($P1094)=0,"",IF(INT($B1094)&lt;$P1094,$P1094,IF($Q1094&gt;0,$P1094+ROUND((INT($B1094)-$P1094)/$Q1094,0)*$Q1094,IF($R1094&gt;0,EDATE($P1094,ROUND((DATEDIF($P1094,INT($B1094),"m")+(INT($B1094)-EDATE($P1094,DATEDIF($P1094,INT($B1094),"m")))/(EDATE($P1094,DATEDIF($P1094,INT($B1094),"m")+1)-EDATE($P1094,DATEDIF($P1094,INT($B1094),"m"))))/$R1094,0)*$R1094),$P1094))))),"")))</f>
      </c>
      <c r="M1094" s="223">
        <f>IF(OR($C1094="",N($L1094)=0,N($B1094)=0),"",IF(IF(MOD($L1094,1)=0,INT($B1094),$B1094)&lt;=$L1094,"Đúng hạn","Trễ hạn"))</f>
      </c>
      <c r="N1094" s="225">
        <f>IF($C1094="","",ROW())</f>
      </c>
      <c r="O1094" s="225">
        <f>IF($I1094="Công việc",MATCH($C1094,'Kế hoạch'!$A$6:$A$305,0),"")</f>
      </c>
      <c r="P1094" s="234">
        <f>IF($O1094="","",INDEX('Kế hoạch'!$I$6:$I$305,$O1094))</f>
      </c>
      <c r="Q1094" s="225">
        <f>IF($O1094="","",INDEX('Kế hoạch'!$AJ$6:$AJ$305,$O1094))</f>
      </c>
      <c r="R1094" s="225">
        <f>IF($O1094="","",INDEX('Kế hoạch'!$AK$6:$AK$305,$O1094))</f>
      </c>
    </row>
    <row r="1095">
      <c r="A1095" s="223">
        <f>IF($C1095="","",COUNTIF($C$6:$C1095,"?*"))</f>
      </c>
      <c r="B1095" s="217"/>
      <c r="C1095" s="216"/>
      <c r="D1095" s="240"/>
      <c r="E1095" s="218"/>
      <c r="F1095" s="218"/>
      <c r="G1095" s="218"/>
      <c r="H1095" s="219"/>
      <c r="I1095" s="223">
        <f>IF($C1095="","",IF(ISNUMBER(MATCH($C1095,'Phản ánh'!$A$6:$A$505,0)),"Phản ánh",IF(ISNUMBER(MATCH($C1095,'Kế hoạch'!$A$6:$A$305,0)),"Công việc","Mã chưa có")))</f>
      </c>
      <c r="J1095" s="221">
        <f>IF($I1095="Phản ánh",INDEX('Phản ánh'!$C$6:$C$505,MATCH($C1095,'Phản ánh'!$A$6:$A$505,0)),IF($I1095="Công việc",INDEX('Kế hoạch'!$C$6:$C$305,$O1095),""))</f>
      </c>
      <c r="K1095" s="221">
        <f>IF($I1095="Phản ánh",INDEX('Phản ánh'!$K$6:$K$505,MATCH($C1095,'Phản ánh'!$A$6:$A$505,0))&amp;"",IF($I1095="Công việc",INDEX('Kế hoạch'!$N$6:$N$305,$O1095)&amp;"",""))</f>
      </c>
      <c r="L1095" s="220">
        <f>IF(OR($C1095="",N($B1095)=0),"",IF(AND($I1095="Phản ánh",$E1095="Đã xử lý"),INDEX('Phản ánh'!$U$6:$U$505,MATCH($C1095,'Phản ánh'!$A$6:$A$505,0)),IF(AND($I1095="Công việc",OR($E1095="Hoàn thành",$E1095="Hoàn thành kỳ")),IF(INDEX('Kế hoạch'!$B$6:$B$305,$O1095)="Đột xuất",INDEX('Kế hoạch'!$AY$6:$AY$305,$O1095),IF(N($P1095)=0,"",IF(INT($B1095)&lt;$P1095,$P1095,IF($Q1095&gt;0,$P1095+ROUND((INT($B1095)-$P1095)/$Q1095,0)*$Q1095,IF($R1095&gt;0,EDATE($P1095,ROUND((DATEDIF($P1095,INT($B1095),"m")+(INT($B1095)-EDATE($P1095,DATEDIF($P1095,INT($B1095),"m")))/(EDATE($P1095,DATEDIF($P1095,INT($B1095),"m")+1)-EDATE($P1095,DATEDIF($P1095,INT($B1095),"m"))))/$R1095,0)*$R1095),$P1095))))),"")))</f>
      </c>
      <c r="M1095" s="223">
        <f>IF(OR($C1095="",N($L1095)=0,N($B1095)=0),"",IF(IF(MOD($L1095,1)=0,INT($B1095),$B1095)&lt;=$L1095,"Đúng hạn","Trễ hạn"))</f>
      </c>
      <c r="N1095" s="225">
        <f>IF($C1095="","",ROW())</f>
      </c>
      <c r="O1095" s="225">
        <f>IF($I1095="Công việc",MATCH($C1095,'Kế hoạch'!$A$6:$A$305,0),"")</f>
      </c>
      <c r="P1095" s="234">
        <f>IF($O1095="","",INDEX('Kế hoạch'!$I$6:$I$305,$O1095))</f>
      </c>
      <c r="Q1095" s="225">
        <f>IF($O1095="","",INDEX('Kế hoạch'!$AJ$6:$AJ$305,$O1095))</f>
      </c>
      <c r="R1095" s="225">
        <f>IF($O1095="","",INDEX('Kế hoạch'!$AK$6:$AK$305,$O1095))</f>
      </c>
    </row>
    <row r="1096">
      <c r="A1096" s="223">
        <f>IF($C1096="","",COUNTIF($C$6:$C1096,"?*"))</f>
      </c>
      <c r="B1096" s="217"/>
      <c r="C1096" s="216"/>
      <c r="D1096" s="240"/>
      <c r="E1096" s="218"/>
      <c r="F1096" s="218"/>
      <c r="G1096" s="218"/>
      <c r="H1096" s="219"/>
      <c r="I1096" s="223">
        <f>IF($C1096="","",IF(ISNUMBER(MATCH($C1096,'Phản ánh'!$A$6:$A$505,0)),"Phản ánh",IF(ISNUMBER(MATCH($C1096,'Kế hoạch'!$A$6:$A$305,0)),"Công việc","Mã chưa có")))</f>
      </c>
      <c r="J1096" s="221">
        <f>IF($I1096="Phản ánh",INDEX('Phản ánh'!$C$6:$C$505,MATCH($C1096,'Phản ánh'!$A$6:$A$505,0)),IF($I1096="Công việc",INDEX('Kế hoạch'!$C$6:$C$305,$O1096),""))</f>
      </c>
      <c r="K1096" s="221">
        <f>IF($I1096="Phản ánh",INDEX('Phản ánh'!$K$6:$K$505,MATCH($C1096,'Phản ánh'!$A$6:$A$505,0))&amp;"",IF($I1096="Công việc",INDEX('Kế hoạch'!$N$6:$N$305,$O1096)&amp;"",""))</f>
      </c>
      <c r="L1096" s="220">
        <f>IF(OR($C1096="",N($B1096)=0),"",IF(AND($I1096="Phản ánh",$E1096="Đã xử lý"),INDEX('Phản ánh'!$U$6:$U$505,MATCH($C1096,'Phản ánh'!$A$6:$A$505,0)),IF(AND($I1096="Công việc",OR($E1096="Hoàn thành",$E1096="Hoàn thành kỳ")),IF(INDEX('Kế hoạch'!$B$6:$B$305,$O1096)="Đột xuất",INDEX('Kế hoạch'!$AY$6:$AY$305,$O1096),IF(N($P1096)=0,"",IF(INT($B1096)&lt;$P1096,$P1096,IF($Q1096&gt;0,$P1096+ROUND((INT($B1096)-$P1096)/$Q1096,0)*$Q1096,IF($R1096&gt;0,EDATE($P1096,ROUND((DATEDIF($P1096,INT($B1096),"m")+(INT($B1096)-EDATE($P1096,DATEDIF($P1096,INT($B1096),"m")))/(EDATE($P1096,DATEDIF($P1096,INT($B1096),"m")+1)-EDATE($P1096,DATEDIF($P1096,INT($B1096),"m"))))/$R1096,0)*$R1096),$P1096))))),"")))</f>
      </c>
      <c r="M1096" s="223">
        <f>IF(OR($C1096="",N($L1096)=0,N($B1096)=0),"",IF(IF(MOD($L1096,1)=0,INT($B1096),$B1096)&lt;=$L1096,"Đúng hạn","Trễ hạn"))</f>
      </c>
      <c r="N1096" s="225">
        <f>IF($C1096="","",ROW())</f>
      </c>
      <c r="O1096" s="225">
        <f>IF($I1096="Công việc",MATCH($C1096,'Kế hoạch'!$A$6:$A$305,0),"")</f>
      </c>
      <c r="P1096" s="234">
        <f>IF($O1096="","",INDEX('Kế hoạch'!$I$6:$I$305,$O1096))</f>
      </c>
      <c r="Q1096" s="225">
        <f>IF($O1096="","",INDEX('Kế hoạch'!$AJ$6:$AJ$305,$O1096))</f>
      </c>
      <c r="R1096" s="225">
        <f>IF($O1096="","",INDEX('Kế hoạch'!$AK$6:$AK$305,$O1096))</f>
      </c>
    </row>
    <row r="1097">
      <c r="A1097" s="223">
        <f>IF($C1097="","",COUNTIF($C$6:$C1097,"?*"))</f>
      </c>
      <c r="B1097" s="217"/>
      <c r="C1097" s="216"/>
      <c r="D1097" s="240"/>
      <c r="E1097" s="218"/>
      <c r="F1097" s="218"/>
      <c r="G1097" s="218"/>
      <c r="H1097" s="219"/>
      <c r="I1097" s="223">
        <f>IF($C1097="","",IF(ISNUMBER(MATCH($C1097,'Phản ánh'!$A$6:$A$505,0)),"Phản ánh",IF(ISNUMBER(MATCH($C1097,'Kế hoạch'!$A$6:$A$305,0)),"Công việc","Mã chưa có")))</f>
      </c>
      <c r="J1097" s="221">
        <f>IF($I1097="Phản ánh",INDEX('Phản ánh'!$C$6:$C$505,MATCH($C1097,'Phản ánh'!$A$6:$A$505,0)),IF($I1097="Công việc",INDEX('Kế hoạch'!$C$6:$C$305,$O1097),""))</f>
      </c>
      <c r="K1097" s="221">
        <f>IF($I1097="Phản ánh",INDEX('Phản ánh'!$K$6:$K$505,MATCH($C1097,'Phản ánh'!$A$6:$A$505,0))&amp;"",IF($I1097="Công việc",INDEX('Kế hoạch'!$N$6:$N$305,$O1097)&amp;"",""))</f>
      </c>
      <c r="L1097" s="220">
        <f>IF(OR($C1097="",N($B1097)=0),"",IF(AND($I1097="Phản ánh",$E1097="Đã xử lý"),INDEX('Phản ánh'!$U$6:$U$505,MATCH($C1097,'Phản ánh'!$A$6:$A$505,0)),IF(AND($I1097="Công việc",OR($E1097="Hoàn thành",$E1097="Hoàn thành kỳ")),IF(INDEX('Kế hoạch'!$B$6:$B$305,$O1097)="Đột xuất",INDEX('Kế hoạch'!$AY$6:$AY$305,$O1097),IF(N($P1097)=0,"",IF(INT($B1097)&lt;$P1097,$P1097,IF($Q1097&gt;0,$P1097+ROUND((INT($B1097)-$P1097)/$Q1097,0)*$Q1097,IF($R1097&gt;0,EDATE($P1097,ROUND((DATEDIF($P1097,INT($B1097),"m")+(INT($B1097)-EDATE($P1097,DATEDIF($P1097,INT($B1097),"m")))/(EDATE($P1097,DATEDIF($P1097,INT($B1097),"m")+1)-EDATE($P1097,DATEDIF($P1097,INT($B1097),"m"))))/$R1097,0)*$R1097),$P1097))))),"")))</f>
      </c>
      <c r="M1097" s="223">
        <f>IF(OR($C1097="",N($L1097)=0,N($B1097)=0),"",IF(IF(MOD($L1097,1)=0,INT($B1097),$B1097)&lt;=$L1097,"Đúng hạn","Trễ hạn"))</f>
      </c>
      <c r="N1097" s="225">
        <f>IF($C1097="","",ROW())</f>
      </c>
      <c r="O1097" s="225">
        <f>IF($I1097="Công việc",MATCH($C1097,'Kế hoạch'!$A$6:$A$305,0),"")</f>
      </c>
      <c r="P1097" s="234">
        <f>IF($O1097="","",INDEX('Kế hoạch'!$I$6:$I$305,$O1097))</f>
      </c>
      <c r="Q1097" s="225">
        <f>IF($O1097="","",INDEX('Kế hoạch'!$AJ$6:$AJ$305,$O1097))</f>
      </c>
      <c r="R1097" s="225">
        <f>IF($O1097="","",INDEX('Kế hoạch'!$AK$6:$AK$305,$O1097))</f>
      </c>
    </row>
    <row r="1098">
      <c r="A1098" s="223">
        <f>IF($C1098="","",COUNTIF($C$6:$C1098,"?*"))</f>
      </c>
      <c r="B1098" s="217"/>
      <c r="C1098" s="216"/>
      <c r="D1098" s="240"/>
      <c r="E1098" s="218"/>
      <c r="F1098" s="218"/>
      <c r="G1098" s="218"/>
      <c r="H1098" s="219"/>
      <c r="I1098" s="223">
        <f>IF($C1098="","",IF(ISNUMBER(MATCH($C1098,'Phản ánh'!$A$6:$A$505,0)),"Phản ánh",IF(ISNUMBER(MATCH($C1098,'Kế hoạch'!$A$6:$A$305,0)),"Công việc","Mã chưa có")))</f>
      </c>
      <c r="J1098" s="221">
        <f>IF($I1098="Phản ánh",INDEX('Phản ánh'!$C$6:$C$505,MATCH($C1098,'Phản ánh'!$A$6:$A$505,0)),IF($I1098="Công việc",INDEX('Kế hoạch'!$C$6:$C$305,$O1098),""))</f>
      </c>
      <c r="K1098" s="221">
        <f>IF($I1098="Phản ánh",INDEX('Phản ánh'!$K$6:$K$505,MATCH($C1098,'Phản ánh'!$A$6:$A$505,0))&amp;"",IF($I1098="Công việc",INDEX('Kế hoạch'!$N$6:$N$305,$O1098)&amp;"",""))</f>
      </c>
      <c r="L1098" s="220">
        <f>IF(OR($C1098="",N($B1098)=0),"",IF(AND($I1098="Phản ánh",$E1098="Đã xử lý"),INDEX('Phản ánh'!$U$6:$U$505,MATCH($C1098,'Phản ánh'!$A$6:$A$505,0)),IF(AND($I1098="Công việc",OR($E1098="Hoàn thành",$E1098="Hoàn thành kỳ")),IF(INDEX('Kế hoạch'!$B$6:$B$305,$O1098)="Đột xuất",INDEX('Kế hoạch'!$AY$6:$AY$305,$O1098),IF(N($P1098)=0,"",IF(INT($B1098)&lt;$P1098,$P1098,IF($Q1098&gt;0,$P1098+ROUND((INT($B1098)-$P1098)/$Q1098,0)*$Q1098,IF($R1098&gt;0,EDATE($P1098,ROUND((DATEDIF($P1098,INT($B1098),"m")+(INT($B1098)-EDATE($P1098,DATEDIF($P1098,INT($B1098),"m")))/(EDATE($P1098,DATEDIF($P1098,INT($B1098),"m")+1)-EDATE($P1098,DATEDIF($P1098,INT($B1098),"m"))))/$R1098,0)*$R1098),$P1098))))),"")))</f>
      </c>
      <c r="M1098" s="223">
        <f>IF(OR($C1098="",N($L1098)=0,N($B1098)=0),"",IF(IF(MOD($L1098,1)=0,INT($B1098),$B1098)&lt;=$L1098,"Đúng hạn","Trễ hạn"))</f>
      </c>
      <c r="N1098" s="225">
        <f>IF($C1098="","",ROW())</f>
      </c>
      <c r="O1098" s="225">
        <f>IF($I1098="Công việc",MATCH($C1098,'Kế hoạch'!$A$6:$A$305,0),"")</f>
      </c>
      <c r="P1098" s="234">
        <f>IF($O1098="","",INDEX('Kế hoạch'!$I$6:$I$305,$O1098))</f>
      </c>
      <c r="Q1098" s="225">
        <f>IF($O1098="","",INDEX('Kế hoạch'!$AJ$6:$AJ$305,$O1098))</f>
      </c>
      <c r="R1098" s="225">
        <f>IF($O1098="","",INDEX('Kế hoạch'!$AK$6:$AK$305,$O1098))</f>
      </c>
    </row>
    <row r="1099">
      <c r="A1099" s="223">
        <f>IF($C1099="","",COUNTIF($C$6:$C1099,"?*"))</f>
      </c>
      <c r="B1099" s="217"/>
      <c r="C1099" s="216"/>
      <c r="D1099" s="240"/>
      <c r="E1099" s="218"/>
      <c r="F1099" s="218"/>
      <c r="G1099" s="218"/>
      <c r="H1099" s="219"/>
      <c r="I1099" s="223">
        <f>IF($C1099="","",IF(ISNUMBER(MATCH($C1099,'Phản ánh'!$A$6:$A$505,0)),"Phản ánh",IF(ISNUMBER(MATCH($C1099,'Kế hoạch'!$A$6:$A$305,0)),"Công việc","Mã chưa có")))</f>
      </c>
      <c r="J1099" s="221">
        <f>IF($I1099="Phản ánh",INDEX('Phản ánh'!$C$6:$C$505,MATCH($C1099,'Phản ánh'!$A$6:$A$505,0)),IF($I1099="Công việc",INDEX('Kế hoạch'!$C$6:$C$305,$O1099),""))</f>
      </c>
      <c r="K1099" s="221">
        <f>IF($I1099="Phản ánh",INDEX('Phản ánh'!$K$6:$K$505,MATCH($C1099,'Phản ánh'!$A$6:$A$505,0))&amp;"",IF($I1099="Công việc",INDEX('Kế hoạch'!$N$6:$N$305,$O1099)&amp;"",""))</f>
      </c>
      <c r="L1099" s="220">
        <f>IF(OR($C1099="",N($B1099)=0),"",IF(AND($I1099="Phản ánh",$E1099="Đã xử lý"),INDEX('Phản ánh'!$U$6:$U$505,MATCH($C1099,'Phản ánh'!$A$6:$A$505,0)),IF(AND($I1099="Công việc",OR($E1099="Hoàn thành",$E1099="Hoàn thành kỳ")),IF(INDEX('Kế hoạch'!$B$6:$B$305,$O1099)="Đột xuất",INDEX('Kế hoạch'!$AY$6:$AY$305,$O1099),IF(N($P1099)=0,"",IF(INT($B1099)&lt;$P1099,$P1099,IF($Q1099&gt;0,$P1099+ROUND((INT($B1099)-$P1099)/$Q1099,0)*$Q1099,IF($R1099&gt;0,EDATE($P1099,ROUND((DATEDIF($P1099,INT($B1099),"m")+(INT($B1099)-EDATE($P1099,DATEDIF($P1099,INT($B1099),"m")))/(EDATE($P1099,DATEDIF($P1099,INT($B1099),"m")+1)-EDATE($P1099,DATEDIF($P1099,INT($B1099),"m"))))/$R1099,0)*$R1099),$P1099))))),"")))</f>
      </c>
      <c r="M1099" s="223">
        <f>IF(OR($C1099="",N($L1099)=0,N($B1099)=0),"",IF(IF(MOD($L1099,1)=0,INT($B1099),$B1099)&lt;=$L1099,"Đúng hạn","Trễ hạn"))</f>
      </c>
      <c r="N1099" s="225">
        <f>IF($C1099="","",ROW())</f>
      </c>
      <c r="O1099" s="225">
        <f>IF($I1099="Công việc",MATCH($C1099,'Kế hoạch'!$A$6:$A$305,0),"")</f>
      </c>
      <c r="P1099" s="234">
        <f>IF($O1099="","",INDEX('Kế hoạch'!$I$6:$I$305,$O1099))</f>
      </c>
      <c r="Q1099" s="225">
        <f>IF($O1099="","",INDEX('Kế hoạch'!$AJ$6:$AJ$305,$O1099))</f>
      </c>
      <c r="R1099" s="225">
        <f>IF($O1099="","",INDEX('Kế hoạch'!$AK$6:$AK$305,$O1099))</f>
      </c>
    </row>
    <row r="1100">
      <c r="A1100" s="223">
        <f>IF($C1100="","",COUNTIF($C$6:$C1100,"?*"))</f>
      </c>
      <c r="B1100" s="217"/>
      <c r="C1100" s="216"/>
      <c r="D1100" s="240"/>
      <c r="E1100" s="218"/>
      <c r="F1100" s="218"/>
      <c r="G1100" s="218"/>
      <c r="H1100" s="219"/>
      <c r="I1100" s="223">
        <f>IF($C1100="","",IF(ISNUMBER(MATCH($C1100,'Phản ánh'!$A$6:$A$505,0)),"Phản ánh",IF(ISNUMBER(MATCH($C1100,'Kế hoạch'!$A$6:$A$305,0)),"Công việc","Mã chưa có")))</f>
      </c>
      <c r="J1100" s="221">
        <f>IF($I1100="Phản ánh",INDEX('Phản ánh'!$C$6:$C$505,MATCH($C1100,'Phản ánh'!$A$6:$A$505,0)),IF($I1100="Công việc",INDEX('Kế hoạch'!$C$6:$C$305,$O1100),""))</f>
      </c>
      <c r="K1100" s="221">
        <f>IF($I1100="Phản ánh",INDEX('Phản ánh'!$K$6:$K$505,MATCH($C1100,'Phản ánh'!$A$6:$A$505,0))&amp;"",IF($I1100="Công việc",INDEX('Kế hoạch'!$N$6:$N$305,$O1100)&amp;"",""))</f>
      </c>
      <c r="L1100" s="220">
        <f>IF(OR($C1100="",N($B1100)=0),"",IF(AND($I1100="Phản ánh",$E1100="Đã xử lý"),INDEX('Phản ánh'!$U$6:$U$505,MATCH($C1100,'Phản ánh'!$A$6:$A$505,0)),IF(AND($I1100="Công việc",OR($E1100="Hoàn thành",$E1100="Hoàn thành kỳ")),IF(INDEX('Kế hoạch'!$B$6:$B$305,$O1100)="Đột xuất",INDEX('Kế hoạch'!$AY$6:$AY$305,$O1100),IF(N($P1100)=0,"",IF(INT($B1100)&lt;$P1100,$P1100,IF($Q1100&gt;0,$P1100+ROUND((INT($B1100)-$P1100)/$Q1100,0)*$Q1100,IF($R1100&gt;0,EDATE($P1100,ROUND((DATEDIF($P1100,INT($B1100),"m")+(INT($B1100)-EDATE($P1100,DATEDIF($P1100,INT($B1100),"m")))/(EDATE($P1100,DATEDIF($P1100,INT($B1100),"m")+1)-EDATE($P1100,DATEDIF($P1100,INT($B1100),"m"))))/$R1100,0)*$R1100),$P1100))))),"")))</f>
      </c>
      <c r="M1100" s="223">
        <f>IF(OR($C1100="",N($L1100)=0,N($B1100)=0),"",IF(IF(MOD($L1100,1)=0,INT($B1100),$B1100)&lt;=$L1100,"Đúng hạn","Trễ hạn"))</f>
      </c>
      <c r="N1100" s="225">
        <f>IF($C1100="","",ROW())</f>
      </c>
      <c r="O1100" s="225">
        <f>IF($I1100="Công việc",MATCH($C1100,'Kế hoạch'!$A$6:$A$305,0),"")</f>
      </c>
      <c r="P1100" s="234">
        <f>IF($O1100="","",INDEX('Kế hoạch'!$I$6:$I$305,$O1100))</f>
      </c>
      <c r="Q1100" s="225">
        <f>IF($O1100="","",INDEX('Kế hoạch'!$AJ$6:$AJ$305,$O1100))</f>
      </c>
      <c r="R1100" s="225">
        <f>IF($O1100="","",INDEX('Kế hoạch'!$AK$6:$AK$305,$O1100))</f>
      </c>
    </row>
    <row r="1101">
      <c r="A1101" s="223">
        <f>IF($C1101="","",COUNTIF($C$6:$C1101,"?*"))</f>
      </c>
      <c r="B1101" s="217"/>
      <c r="C1101" s="216"/>
      <c r="D1101" s="240"/>
      <c r="E1101" s="218"/>
      <c r="F1101" s="218"/>
      <c r="G1101" s="218"/>
      <c r="H1101" s="219"/>
      <c r="I1101" s="223">
        <f>IF($C1101="","",IF(ISNUMBER(MATCH($C1101,'Phản ánh'!$A$6:$A$505,0)),"Phản ánh",IF(ISNUMBER(MATCH($C1101,'Kế hoạch'!$A$6:$A$305,0)),"Công việc","Mã chưa có")))</f>
      </c>
      <c r="J1101" s="221">
        <f>IF($I1101="Phản ánh",INDEX('Phản ánh'!$C$6:$C$505,MATCH($C1101,'Phản ánh'!$A$6:$A$505,0)),IF($I1101="Công việc",INDEX('Kế hoạch'!$C$6:$C$305,$O1101),""))</f>
      </c>
      <c r="K1101" s="221">
        <f>IF($I1101="Phản ánh",INDEX('Phản ánh'!$K$6:$K$505,MATCH($C1101,'Phản ánh'!$A$6:$A$505,0))&amp;"",IF($I1101="Công việc",INDEX('Kế hoạch'!$N$6:$N$305,$O1101)&amp;"",""))</f>
      </c>
      <c r="L1101" s="220">
        <f>IF(OR($C1101="",N($B1101)=0),"",IF(AND($I1101="Phản ánh",$E1101="Đã xử lý"),INDEX('Phản ánh'!$U$6:$U$505,MATCH($C1101,'Phản ánh'!$A$6:$A$505,0)),IF(AND($I1101="Công việc",OR($E1101="Hoàn thành",$E1101="Hoàn thành kỳ")),IF(INDEX('Kế hoạch'!$B$6:$B$305,$O1101)="Đột xuất",INDEX('Kế hoạch'!$AY$6:$AY$305,$O1101),IF(N($P1101)=0,"",IF(INT($B1101)&lt;$P1101,$P1101,IF($Q1101&gt;0,$P1101+ROUND((INT($B1101)-$P1101)/$Q1101,0)*$Q1101,IF($R1101&gt;0,EDATE($P1101,ROUND((DATEDIF($P1101,INT($B1101),"m")+(INT($B1101)-EDATE($P1101,DATEDIF($P1101,INT($B1101),"m")))/(EDATE($P1101,DATEDIF($P1101,INT($B1101),"m")+1)-EDATE($P1101,DATEDIF($P1101,INT($B1101),"m"))))/$R1101,0)*$R1101),$P1101))))),"")))</f>
      </c>
      <c r="M1101" s="223">
        <f>IF(OR($C1101="",N($L1101)=0,N($B1101)=0),"",IF(IF(MOD($L1101,1)=0,INT($B1101),$B1101)&lt;=$L1101,"Đúng hạn","Trễ hạn"))</f>
      </c>
      <c r="N1101" s="225">
        <f>IF($C1101="","",ROW())</f>
      </c>
      <c r="O1101" s="225">
        <f>IF($I1101="Công việc",MATCH($C1101,'Kế hoạch'!$A$6:$A$305,0),"")</f>
      </c>
      <c r="P1101" s="234">
        <f>IF($O1101="","",INDEX('Kế hoạch'!$I$6:$I$305,$O1101))</f>
      </c>
      <c r="Q1101" s="225">
        <f>IF($O1101="","",INDEX('Kế hoạch'!$AJ$6:$AJ$305,$O1101))</f>
      </c>
      <c r="R1101" s="225">
        <f>IF($O1101="","",INDEX('Kế hoạch'!$AK$6:$AK$305,$O1101))</f>
      </c>
    </row>
    <row r="1102">
      <c r="A1102" s="223">
        <f>IF($C1102="","",COUNTIF($C$6:$C1102,"?*"))</f>
      </c>
      <c r="B1102" s="217"/>
      <c r="C1102" s="216"/>
      <c r="D1102" s="240"/>
      <c r="E1102" s="218"/>
      <c r="F1102" s="218"/>
      <c r="G1102" s="218"/>
      <c r="H1102" s="219"/>
      <c r="I1102" s="223">
        <f>IF($C1102="","",IF(ISNUMBER(MATCH($C1102,'Phản ánh'!$A$6:$A$505,0)),"Phản ánh",IF(ISNUMBER(MATCH($C1102,'Kế hoạch'!$A$6:$A$305,0)),"Công việc","Mã chưa có")))</f>
      </c>
      <c r="J1102" s="221">
        <f>IF($I1102="Phản ánh",INDEX('Phản ánh'!$C$6:$C$505,MATCH($C1102,'Phản ánh'!$A$6:$A$505,0)),IF($I1102="Công việc",INDEX('Kế hoạch'!$C$6:$C$305,$O1102),""))</f>
      </c>
      <c r="K1102" s="221">
        <f>IF($I1102="Phản ánh",INDEX('Phản ánh'!$K$6:$K$505,MATCH($C1102,'Phản ánh'!$A$6:$A$505,0))&amp;"",IF($I1102="Công việc",INDEX('Kế hoạch'!$N$6:$N$305,$O1102)&amp;"",""))</f>
      </c>
      <c r="L1102" s="220">
        <f>IF(OR($C1102="",N($B1102)=0),"",IF(AND($I1102="Phản ánh",$E1102="Đã xử lý"),INDEX('Phản ánh'!$U$6:$U$505,MATCH($C1102,'Phản ánh'!$A$6:$A$505,0)),IF(AND($I1102="Công việc",OR($E1102="Hoàn thành",$E1102="Hoàn thành kỳ")),IF(INDEX('Kế hoạch'!$B$6:$B$305,$O1102)="Đột xuất",INDEX('Kế hoạch'!$AY$6:$AY$305,$O1102),IF(N($P1102)=0,"",IF(INT($B1102)&lt;$P1102,$P1102,IF($Q1102&gt;0,$P1102+ROUND((INT($B1102)-$P1102)/$Q1102,0)*$Q1102,IF($R1102&gt;0,EDATE($P1102,ROUND((DATEDIF($P1102,INT($B1102),"m")+(INT($B1102)-EDATE($P1102,DATEDIF($P1102,INT($B1102),"m")))/(EDATE($P1102,DATEDIF($P1102,INT($B1102),"m")+1)-EDATE($P1102,DATEDIF($P1102,INT($B1102),"m"))))/$R1102,0)*$R1102),$P1102))))),"")))</f>
      </c>
      <c r="M1102" s="223">
        <f>IF(OR($C1102="",N($L1102)=0,N($B1102)=0),"",IF(IF(MOD($L1102,1)=0,INT($B1102),$B1102)&lt;=$L1102,"Đúng hạn","Trễ hạn"))</f>
      </c>
      <c r="N1102" s="225">
        <f>IF($C1102="","",ROW())</f>
      </c>
      <c r="O1102" s="225">
        <f>IF($I1102="Công việc",MATCH($C1102,'Kế hoạch'!$A$6:$A$305,0),"")</f>
      </c>
      <c r="P1102" s="234">
        <f>IF($O1102="","",INDEX('Kế hoạch'!$I$6:$I$305,$O1102))</f>
      </c>
      <c r="Q1102" s="225">
        <f>IF($O1102="","",INDEX('Kế hoạch'!$AJ$6:$AJ$305,$O1102))</f>
      </c>
      <c r="R1102" s="225">
        <f>IF($O1102="","",INDEX('Kế hoạch'!$AK$6:$AK$305,$O1102))</f>
      </c>
    </row>
    <row r="1103">
      <c r="A1103" s="223">
        <f>IF($C1103="","",COUNTIF($C$6:$C1103,"?*"))</f>
      </c>
      <c r="B1103" s="217"/>
      <c r="C1103" s="216"/>
      <c r="D1103" s="240"/>
      <c r="E1103" s="218"/>
      <c r="F1103" s="218"/>
      <c r="G1103" s="218"/>
      <c r="H1103" s="219"/>
      <c r="I1103" s="223">
        <f>IF($C1103="","",IF(ISNUMBER(MATCH($C1103,'Phản ánh'!$A$6:$A$505,0)),"Phản ánh",IF(ISNUMBER(MATCH($C1103,'Kế hoạch'!$A$6:$A$305,0)),"Công việc","Mã chưa có")))</f>
      </c>
      <c r="J1103" s="221">
        <f>IF($I1103="Phản ánh",INDEX('Phản ánh'!$C$6:$C$505,MATCH($C1103,'Phản ánh'!$A$6:$A$505,0)),IF($I1103="Công việc",INDEX('Kế hoạch'!$C$6:$C$305,$O1103),""))</f>
      </c>
      <c r="K1103" s="221">
        <f>IF($I1103="Phản ánh",INDEX('Phản ánh'!$K$6:$K$505,MATCH($C1103,'Phản ánh'!$A$6:$A$505,0))&amp;"",IF($I1103="Công việc",INDEX('Kế hoạch'!$N$6:$N$305,$O1103)&amp;"",""))</f>
      </c>
      <c r="L1103" s="220">
        <f>IF(OR($C1103="",N($B1103)=0),"",IF(AND($I1103="Phản ánh",$E1103="Đã xử lý"),INDEX('Phản ánh'!$U$6:$U$505,MATCH($C1103,'Phản ánh'!$A$6:$A$505,0)),IF(AND($I1103="Công việc",OR($E1103="Hoàn thành",$E1103="Hoàn thành kỳ")),IF(INDEX('Kế hoạch'!$B$6:$B$305,$O1103)="Đột xuất",INDEX('Kế hoạch'!$AY$6:$AY$305,$O1103),IF(N($P1103)=0,"",IF(INT($B1103)&lt;$P1103,$P1103,IF($Q1103&gt;0,$P1103+ROUND((INT($B1103)-$P1103)/$Q1103,0)*$Q1103,IF($R1103&gt;0,EDATE($P1103,ROUND((DATEDIF($P1103,INT($B1103),"m")+(INT($B1103)-EDATE($P1103,DATEDIF($P1103,INT($B1103),"m")))/(EDATE($P1103,DATEDIF($P1103,INT($B1103),"m")+1)-EDATE($P1103,DATEDIF($P1103,INT($B1103),"m"))))/$R1103,0)*$R1103),$P1103))))),"")))</f>
      </c>
      <c r="M1103" s="223">
        <f>IF(OR($C1103="",N($L1103)=0,N($B1103)=0),"",IF(IF(MOD($L1103,1)=0,INT($B1103),$B1103)&lt;=$L1103,"Đúng hạn","Trễ hạn"))</f>
      </c>
      <c r="N1103" s="225">
        <f>IF($C1103="","",ROW())</f>
      </c>
      <c r="O1103" s="225">
        <f>IF($I1103="Công việc",MATCH($C1103,'Kế hoạch'!$A$6:$A$305,0),"")</f>
      </c>
      <c r="P1103" s="234">
        <f>IF($O1103="","",INDEX('Kế hoạch'!$I$6:$I$305,$O1103))</f>
      </c>
      <c r="Q1103" s="225">
        <f>IF($O1103="","",INDEX('Kế hoạch'!$AJ$6:$AJ$305,$O1103))</f>
      </c>
      <c r="R1103" s="225">
        <f>IF($O1103="","",INDEX('Kế hoạch'!$AK$6:$AK$305,$O1103))</f>
      </c>
    </row>
    <row r="1104">
      <c r="A1104" s="223">
        <f>IF($C1104="","",COUNTIF($C$6:$C1104,"?*"))</f>
      </c>
      <c r="B1104" s="217"/>
      <c r="C1104" s="216"/>
      <c r="D1104" s="240"/>
      <c r="E1104" s="218"/>
      <c r="F1104" s="218"/>
      <c r="G1104" s="218"/>
      <c r="H1104" s="219"/>
      <c r="I1104" s="223">
        <f>IF($C1104="","",IF(ISNUMBER(MATCH($C1104,'Phản ánh'!$A$6:$A$505,0)),"Phản ánh",IF(ISNUMBER(MATCH($C1104,'Kế hoạch'!$A$6:$A$305,0)),"Công việc","Mã chưa có")))</f>
      </c>
      <c r="J1104" s="221">
        <f>IF($I1104="Phản ánh",INDEX('Phản ánh'!$C$6:$C$505,MATCH($C1104,'Phản ánh'!$A$6:$A$505,0)),IF($I1104="Công việc",INDEX('Kế hoạch'!$C$6:$C$305,$O1104),""))</f>
      </c>
      <c r="K1104" s="221">
        <f>IF($I1104="Phản ánh",INDEX('Phản ánh'!$K$6:$K$505,MATCH($C1104,'Phản ánh'!$A$6:$A$505,0))&amp;"",IF($I1104="Công việc",INDEX('Kế hoạch'!$N$6:$N$305,$O1104)&amp;"",""))</f>
      </c>
      <c r="L1104" s="220">
        <f>IF(OR($C1104="",N($B1104)=0),"",IF(AND($I1104="Phản ánh",$E1104="Đã xử lý"),INDEX('Phản ánh'!$U$6:$U$505,MATCH($C1104,'Phản ánh'!$A$6:$A$505,0)),IF(AND($I1104="Công việc",OR($E1104="Hoàn thành",$E1104="Hoàn thành kỳ")),IF(INDEX('Kế hoạch'!$B$6:$B$305,$O1104)="Đột xuất",INDEX('Kế hoạch'!$AY$6:$AY$305,$O1104),IF(N($P1104)=0,"",IF(INT($B1104)&lt;$P1104,$P1104,IF($Q1104&gt;0,$P1104+ROUND((INT($B1104)-$P1104)/$Q1104,0)*$Q1104,IF($R1104&gt;0,EDATE($P1104,ROUND((DATEDIF($P1104,INT($B1104),"m")+(INT($B1104)-EDATE($P1104,DATEDIF($P1104,INT($B1104),"m")))/(EDATE($P1104,DATEDIF($P1104,INT($B1104),"m")+1)-EDATE($P1104,DATEDIF($P1104,INT($B1104),"m"))))/$R1104,0)*$R1104),$P1104))))),"")))</f>
      </c>
      <c r="M1104" s="223">
        <f>IF(OR($C1104="",N($L1104)=0,N($B1104)=0),"",IF(IF(MOD($L1104,1)=0,INT($B1104),$B1104)&lt;=$L1104,"Đúng hạn","Trễ hạn"))</f>
      </c>
      <c r="N1104" s="225">
        <f>IF($C1104="","",ROW())</f>
      </c>
      <c r="O1104" s="225">
        <f>IF($I1104="Công việc",MATCH($C1104,'Kế hoạch'!$A$6:$A$305,0),"")</f>
      </c>
      <c r="P1104" s="234">
        <f>IF($O1104="","",INDEX('Kế hoạch'!$I$6:$I$305,$O1104))</f>
      </c>
      <c r="Q1104" s="225">
        <f>IF($O1104="","",INDEX('Kế hoạch'!$AJ$6:$AJ$305,$O1104))</f>
      </c>
      <c r="R1104" s="225">
        <f>IF($O1104="","",INDEX('Kế hoạch'!$AK$6:$AK$305,$O1104))</f>
      </c>
    </row>
    <row r="1105">
      <c r="A1105" s="223">
        <f>IF($C1105="","",COUNTIF($C$6:$C1105,"?*"))</f>
      </c>
      <c r="B1105" s="217"/>
      <c r="C1105" s="216"/>
      <c r="D1105" s="240"/>
      <c r="E1105" s="218"/>
      <c r="F1105" s="218"/>
      <c r="G1105" s="218"/>
      <c r="H1105" s="219"/>
      <c r="I1105" s="223">
        <f>IF($C1105="","",IF(ISNUMBER(MATCH($C1105,'Phản ánh'!$A$6:$A$505,0)),"Phản ánh",IF(ISNUMBER(MATCH($C1105,'Kế hoạch'!$A$6:$A$305,0)),"Công việc","Mã chưa có")))</f>
      </c>
      <c r="J1105" s="221">
        <f>IF($I1105="Phản ánh",INDEX('Phản ánh'!$C$6:$C$505,MATCH($C1105,'Phản ánh'!$A$6:$A$505,0)),IF($I1105="Công việc",INDEX('Kế hoạch'!$C$6:$C$305,$O1105),""))</f>
      </c>
      <c r="K1105" s="221">
        <f>IF($I1105="Phản ánh",INDEX('Phản ánh'!$K$6:$K$505,MATCH($C1105,'Phản ánh'!$A$6:$A$505,0))&amp;"",IF($I1105="Công việc",INDEX('Kế hoạch'!$N$6:$N$305,$O1105)&amp;"",""))</f>
      </c>
      <c r="L1105" s="220">
        <f>IF(OR($C1105="",N($B1105)=0),"",IF(AND($I1105="Phản ánh",$E1105="Đã xử lý"),INDEX('Phản ánh'!$U$6:$U$505,MATCH($C1105,'Phản ánh'!$A$6:$A$505,0)),IF(AND($I1105="Công việc",OR($E1105="Hoàn thành",$E1105="Hoàn thành kỳ")),IF(INDEX('Kế hoạch'!$B$6:$B$305,$O1105)="Đột xuất",INDEX('Kế hoạch'!$AY$6:$AY$305,$O1105),IF(N($P1105)=0,"",IF(INT($B1105)&lt;$P1105,$P1105,IF($Q1105&gt;0,$P1105+ROUND((INT($B1105)-$P1105)/$Q1105,0)*$Q1105,IF($R1105&gt;0,EDATE($P1105,ROUND((DATEDIF($P1105,INT($B1105),"m")+(INT($B1105)-EDATE($P1105,DATEDIF($P1105,INT($B1105),"m")))/(EDATE($P1105,DATEDIF($P1105,INT($B1105),"m")+1)-EDATE($P1105,DATEDIF($P1105,INT($B1105),"m"))))/$R1105,0)*$R1105),$P1105))))),"")))</f>
      </c>
      <c r="M1105" s="223">
        <f>IF(OR($C1105="",N($L1105)=0,N($B1105)=0),"",IF(IF(MOD($L1105,1)=0,INT($B1105),$B1105)&lt;=$L1105,"Đúng hạn","Trễ hạn"))</f>
      </c>
      <c r="N1105" s="225">
        <f>IF($C1105="","",ROW())</f>
      </c>
      <c r="O1105" s="225">
        <f>IF($I1105="Công việc",MATCH($C1105,'Kế hoạch'!$A$6:$A$305,0),"")</f>
      </c>
      <c r="P1105" s="234">
        <f>IF($O1105="","",INDEX('Kế hoạch'!$I$6:$I$305,$O1105))</f>
      </c>
      <c r="Q1105" s="225">
        <f>IF($O1105="","",INDEX('Kế hoạch'!$AJ$6:$AJ$305,$O1105))</f>
      </c>
      <c r="R1105" s="225">
        <f>IF($O1105="","",INDEX('Kế hoạch'!$AK$6:$AK$305,$O1105))</f>
      </c>
    </row>
    <row r="1106">
      <c r="A1106" s="223">
        <f>IF($C1106="","",COUNTIF($C$6:$C1106,"?*"))</f>
      </c>
      <c r="B1106" s="217"/>
      <c r="C1106" s="216"/>
      <c r="D1106" s="240"/>
      <c r="E1106" s="218"/>
      <c r="F1106" s="218"/>
      <c r="G1106" s="218"/>
      <c r="H1106" s="219"/>
      <c r="I1106" s="223">
        <f>IF($C1106="","",IF(ISNUMBER(MATCH($C1106,'Phản ánh'!$A$6:$A$505,0)),"Phản ánh",IF(ISNUMBER(MATCH($C1106,'Kế hoạch'!$A$6:$A$305,0)),"Công việc","Mã chưa có")))</f>
      </c>
      <c r="J1106" s="221">
        <f>IF($I1106="Phản ánh",INDEX('Phản ánh'!$C$6:$C$505,MATCH($C1106,'Phản ánh'!$A$6:$A$505,0)),IF($I1106="Công việc",INDEX('Kế hoạch'!$C$6:$C$305,$O1106),""))</f>
      </c>
      <c r="K1106" s="221">
        <f>IF($I1106="Phản ánh",INDEX('Phản ánh'!$K$6:$K$505,MATCH($C1106,'Phản ánh'!$A$6:$A$505,0))&amp;"",IF($I1106="Công việc",INDEX('Kế hoạch'!$N$6:$N$305,$O1106)&amp;"",""))</f>
      </c>
      <c r="L1106" s="220">
        <f>IF(OR($C1106="",N($B1106)=0),"",IF(AND($I1106="Phản ánh",$E1106="Đã xử lý"),INDEX('Phản ánh'!$U$6:$U$505,MATCH($C1106,'Phản ánh'!$A$6:$A$505,0)),IF(AND($I1106="Công việc",OR($E1106="Hoàn thành",$E1106="Hoàn thành kỳ")),IF(INDEX('Kế hoạch'!$B$6:$B$305,$O1106)="Đột xuất",INDEX('Kế hoạch'!$AY$6:$AY$305,$O1106),IF(N($P1106)=0,"",IF(INT($B1106)&lt;$P1106,$P1106,IF($Q1106&gt;0,$P1106+ROUND((INT($B1106)-$P1106)/$Q1106,0)*$Q1106,IF($R1106&gt;0,EDATE($P1106,ROUND((DATEDIF($P1106,INT($B1106),"m")+(INT($B1106)-EDATE($P1106,DATEDIF($P1106,INT($B1106),"m")))/(EDATE($P1106,DATEDIF($P1106,INT($B1106),"m")+1)-EDATE($P1106,DATEDIF($P1106,INT($B1106),"m"))))/$R1106,0)*$R1106),$P1106))))),"")))</f>
      </c>
      <c r="M1106" s="223">
        <f>IF(OR($C1106="",N($L1106)=0,N($B1106)=0),"",IF(IF(MOD($L1106,1)=0,INT($B1106),$B1106)&lt;=$L1106,"Đúng hạn","Trễ hạn"))</f>
      </c>
      <c r="N1106" s="225">
        <f>IF($C1106="","",ROW())</f>
      </c>
      <c r="O1106" s="225">
        <f>IF($I1106="Công việc",MATCH($C1106,'Kế hoạch'!$A$6:$A$305,0),"")</f>
      </c>
      <c r="P1106" s="234">
        <f>IF($O1106="","",INDEX('Kế hoạch'!$I$6:$I$305,$O1106))</f>
      </c>
      <c r="Q1106" s="225">
        <f>IF($O1106="","",INDEX('Kế hoạch'!$AJ$6:$AJ$305,$O1106))</f>
      </c>
      <c r="R1106" s="225">
        <f>IF($O1106="","",INDEX('Kế hoạch'!$AK$6:$AK$305,$O1106))</f>
      </c>
    </row>
    <row r="1107">
      <c r="A1107" s="223">
        <f>IF($C1107="","",COUNTIF($C$6:$C1107,"?*"))</f>
      </c>
      <c r="B1107" s="217"/>
      <c r="C1107" s="216"/>
      <c r="D1107" s="240"/>
      <c r="E1107" s="218"/>
      <c r="F1107" s="218"/>
      <c r="G1107" s="218"/>
      <c r="H1107" s="219"/>
      <c r="I1107" s="223">
        <f>IF($C1107="","",IF(ISNUMBER(MATCH($C1107,'Phản ánh'!$A$6:$A$505,0)),"Phản ánh",IF(ISNUMBER(MATCH($C1107,'Kế hoạch'!$A$6:$A$305,0)),"Công việc","Mã chưa có")))</f>
      </c>
      <c r="J1107" s="221">
        <f>IF($I1107="Phản ánh",INDEX('Phản ánh'!$C$6:$C$505,MATCH($C1107,'Phản ánh'!$A$6:$A$505,0)),IF($I1107="Công việc",INDEX('Kế hoạch'!$C$6:$C$305,$O1107),""))</f>
      </c>
      <c r="K1107" s="221">
        <f>IF($I1107="Phản ánh",INDEX('Phản ánh'!$K$6:$K$505,MATCH($C1107,'Phản ánh'!$A$6:$A$505,0))&amp;"",IF($I1107="Công việc",INDEX('Kế hoạch'!$N$6:$N$305,$O1107)&amp;"",""))</f>
      </c>
      <c r="L1107" s="220">
        <f>IF(OR($C1107="",N($B1107)=0),"",IF(AND($I1107="Phản ánh",$E1107="Đã xử lý"),INDEX('Phản ánh'!$U$6:$U$505,MATCH($C1107,'Phản ánh'!$A$6:$A$505,0)),IF(AND($I1107="Công việc",OR($E1107="Hoàn thành",$E1107="Hoàn thành kỳ")),IF(INDEX('Kế hoạch'!$B$6:$B$305,$O1107)="Đột xuất",INDEX('Kế hoạch'!$AY$6:$AY$305,$O1107),IF(N($P1107)=0,"",IF(INT($B1107)&lt;$P1107,$P1107,IF($Q1107&gt;0,$P1107+ROUND((INT($B1107)-$P1107)/$Q1107,0)*$Q1107,IF($R1107&gt;0,EDATE($P1107,ROUND((DATEDIF($P1107,INT($B1107),"m")+(INT($B1107)-EDATE($P1107,DATEDIF($P1107,INT($B1107),"m")))/(EDATE($P1107,DATEDIF($P1107,INT($B1107),"m")+1)-EDATE($P1107,DATEDIF($P1107,INT($B1107),"m"))))/$R1107,0)*$R1107),$P1107))))),"")))</f>
      </c>
      <c r="M1107" s="223">
        <f>IF(OR($C1107="",N($L1107)=0,N($B1107)=0),"",IF(IF(MOD($L1107,1)=0,INT($B1107),$B1107)&lt;=$L1107,"Đúng hạn","Trễ hạn"))</f>
      </c>
      <c r="N1107" s="225">
        <f>IF($C1107="","",ROW())</f>
      </c>
      <c r="O1107" s="225">
        <f>IF($I1107="Công việc",MATCH($C1107,'Kế hoạch'!$A$6:$A$305,0),"")</f>
      </c>
      <c r="P1107" s="234">
        <f>IF($O1107="","",INDEX('Kế hoạch'!$I$6:$I$305,$O1107))</f>
      </c>
      <c r="Q1107" s="225">
        <f>IF($O1107="","",INDEX('Kế hoạch'!$AJ$6:$AJ$305,$O1107))</f>
      </c>
      <c r="R1107" s="225">
        <f>IF($O1107="","",INDEX('Kế hoạch'!$AK$6:$AK$305,$O1107))</f>
      </c>
    </row>
    <row r="1108">
      <c r="A1108" s="223">
        <f>IF($C1108="","",COUNTIF($C$6:$C1108,"?*"))</f>
      </c>
      <c r="B1108" s="217"/>
      <c r="C1108" s="216"/>
      <c r="D1108" s="240"/>
      <c r="E1108" s="218"/>
      <c r="F1108" s="218"/>
      <c r="G1108" s="218"/>
      <c r="H1108" s="219"/>
      <c r="I1108" s="223">
        <f>IF($C1108="","",IF(ISNUMBER(MATCH($C1108,'Phản ánh'!$A$6:$A$505,0)),"Phản ánh",IF(ISNUMBER(MATCH($C1108,'Kế hoạch'!$A$6:$A$305,0)),"Công việc","Mã chưa có")))</f>
      </c>
      <c r="J1108" s="221">
        <f>IF($I1108="Phản ánh",INDEX('Phản ánh'!$C$6:$C$505,MATCH($C1108,'Phản ánh'!$A$6:$A$505,0)),IF($I1108="Công việc",INDEX('Kế hoạch'!$C$6:$C$305,$O1108),""))</f>
      </c>
      <c r="K1108" s="221">
        <f>IF($I1108="Phản ánh",INDEX('Phản ánh'!$K$6:$K$505,MATCH($C1108,'Phản ánh'!$A$6:$A$505,0))&amp;"",IF($I1108="Công việc",INDEX('Kế hoạch'!$N$6:$N$305,$O1108)&amp;"",""))</f>
      </c>
      <c r="L1108" s="220">
        <f>IF(OR($C1108="",N($B1108)=0),"",IF(AND($I1108="Phản ánh",$E1108="Đã xử lý"),INDEX('Phản ánh'!$U$6:$U$505,MATCH($C1108,'Phản ánh'!$A$6:$A$505,0)),IF(AND($I1108="Công việc",OR($E1108="Hoàn thành",$E1108="Hoàn thành kỳ")),IF(INDEX('Kế hoạch'!$B$6:$B$305,$O1108)="Đột xuất",INDEX('Kế hoạch'!$AY$6:$AY$305,$O1108),IF(N($P1108)=0,"",IF(INT($B1108)&lt;$P1108,$P1108,IF($Q1108&gt;0,$P1108+ROUND((INT($B1108)-$P1108)/$Q1108,0)*$Q1108,IF($R1108&gt;0,EDATE($P1108,ROUND((DATEDIF($P1108,INT($B1108),"m")+(INT($B1108)-EDATE($P1108,DATEDIF($P1108,INT($B1108),"m")))/(EDATE($P1108,DATEDIF($P1108,INT($B1108),"m")+1)-EDATE($P1108,DATEDIF($P1108,INT($B1108),"m"))))/$R1108,0)*$R1108),$P1108))))),"")))</f>
      </c>
      <c r="M1108" s="223">
        <f>IF(OR($C1108="",N($L1108)=0,N($B1108)=0),"",IF(IF(MOD($L1108,1)=0,INT($B1108),$B1108)&lt;=$L1108,"Đúng hạn","Trễ hạn"))</f>
      </c>
      <c r="N1108" s="225">
        <f>IF($C1108="","",ROW())</f>
      </c>
      <c r="O1108" s="225">
        <f>IF($I1108="Công việc",MATCH($C1108,'Kế hoạch'!$A$6:$A$305,0),"")</f>
      </c>
      <c r="P1108" s="234">
        <f>IF($O1108="","",INDEX('Kế hoạch'!$I$6:$I$305,$O1108))</f>
      </c>
      <c r="Q1108" s="225">
        <f>IF($O1108="","",INDEX('Kế hoạch'!$AJ$6:$AJ$305,$O1108))</f>
      </c>
      <c r="R1108" s="225">
        <f>IF($O1108="","",INDEX('Kế hoạch'!$AK$6:$AK$305,$O1108))</f>
      </c>
    </row>
    <row r="1109">
      <c r="A1109" s="223">
        <f>IF($C1109="","",COUNTIF($C$6:$C1109,"?*"))</f>
      </c>
      <c r="B1109" s="217"/>
      <c r="C1109" s="216"/>
      <c r="D1109" s="240"/>
      <c r="E1109" s="218"/>
      <c r="F1109" s="218"/>
      <c r="G1109" s="218"/>
      <c r="H1109" s="219"/>
      <c r="I1109" s="223">
        <f>IF($C1109="","",IF(ISNUMBER(MATCH($C1109,'Phản ánh'!$A$6:$A$505,0)),"Phản ánh",IF(ISNUMBER(MATCH($C1109,'Kế hoạch'!$A$6:$A$305,0)),"Công việc","Mã chưa có")))</f>
      </c>
      <c r="J1109" s="221">
        <f>IF($I1109="Phản ánh",INDEX('Phản ánh'!$C$6:$C$505,MATCH($C1109,'Phản ánh'!$A$6:$A$505,0)),IF($I1109="Công việc",INDEX('Kế hoạch'!$C$6:$C$305,$O1109),""))</f>
      </c>
      <c r="K1109" s="221">
        <f>IF($I1109="Phản ánh",INDEX('Phản ánh'!$K$6:$K$505,MATCH($C1109,'Phản ánh'!$A$6:$A$505,0))&amp;"",IF($I1109="Công việc",INDEX('Kế hoạch'!$N$6:$N$305,$O1109)&amp;"",""))</f>
      </c>
      <c r="L1109" s="220">
        <f>IF(OR($C1109="",N($B1109)=0),"",IF(AND($I1109="Phản ánh",$E1109="Đã xử lý"),INDEX('Phản ánh'!$U$6:$U$505,MATCH($C1109,'Phản ánh'!$A$6:$A$505,0)),IF(AND($I1109="Công việc",OR($E1109="Hoàn thành",$E1109="Hoàn thành kỳ")),IF(INDEX('Kế hoạch'!$B$6:$B$305,$O1109)="Đột xuất",INDEX('Kế hoạch'!$AY$6:$AY$305,$O1109),IF(N($P1109)=0,"",IF(INT($B1109)&lt;$P1109,$P1109,IF($Q1109&gt;0,$P1109+ROUND((INT($B1109)-$P1109)/$Q1109,0)*$Q1109,IF($R1109&gt;0,EDATE($P1109,ROUND((DATEDIF($P1109,INT($B1109),"m")+(INT($B1109)-EDATE($P1109,DATEDIF($P1109,INT($B1109),"m")))/(EDATE($P1109,DATEDIF($P1109,INT($B1109),"m")+1)-EDATE($P1109,DATEDIF($P1109,INT($B1109),"m"))))/$R1109,0)*$R1109),$P1109))))),"")))</f>
      </c>
      <c r="M1109" s="223">
        <f>IF(OR($C1109="",N($L1109)=0,N($B1109)=0),"",IF(IF(MOD($L1109,1)=0,INT($B1109),$B1109)&lt;=$L1109,"Đúng hạn","Trễ hạn"))</f>
      </c>
      <c r="N1109" s="225">
        <f>IF($C1109="","",ROW())</f>
      </c>
      <c r="O1109" s="225">
        <f>IF($I1109="Công việc",MATCH($C1109,'Kế hoạch'!$A$6:$A$305,0),"")</f>
      </c>
      <c r="P1109" s="234">
        <f>IF($O1109="","",INDEX('Kế hoạch'!$I$6:$I$305,$O1109))</f>
      </c>
      <c r="Q1109" s="225">
        <f>IF($O1109="","",INDEX('Kế hoạch'!$AJ$6:$AJ$305,$O1109))</f>
      </c>
      <c r="R1109" s="225">
        <f>IF($O1109="","",INDEX('Kế hoạch'!$AK$6:$AK$305,$O1109))</f>
      </c>
    </row>
    <row r="1110">
      <c r="A1110" s="223">
        <f>IF($C1110="","",COUNTIF($C$6:$C1110,"?*"))</f>
      </c>
      <c r="B1110" s="217"/>
      <c r="C1110" s="216"/>
      <c r="D1110" s="240"/>
      <c r="E1110" s="218"/>
      <c r="F1110" s="218"/>
      <c r="G1110" s="218"/>
      <c r="H1110" s="219"/>
      <c r="I1110" s="223">
        <f>IF($C1110="","",IF(ISNUMBER(MATCH($C1110,'Phản ánh'!$A$6:$A$505,0)),"Phản ánh",IF(ISNUMBER(MATCH($C1110,'Kế hoạch'!$A$6:$A$305,0)),"Công việc","Mã chưa có")))</f>
      </c>
      <c r="J1110" s="221">
        <f>IF($I1110="Phản ánh",INDEX('Phản ánh'!$C$6:$C$505,MATCH($C1110,'Phản ánh'!$A$6:$A$505,0)),IF($I1110="Công việc",INDEX('Kế hoạch'!$C$6:$C$305,$O1110),""))</f>
      </c>
      <c r="K1110" s="221">
        <f>IF($I1110="Phản ánh",INDEX('Phản ánh'!$K$6:$K$505,MATCH($C1110,'Phản ánh'!$A$6:$A$505,0))&amp;"",IF($I1110="Công việc",INDEX('Kế hoạch'!$N$6:$N$305,$O1110)&amp;"",""))</f>
      </c>
      <c r="L1110" s="220">
        <f>IF(OR($C1110="",N($B1110)=0),"",IF(AND($I1110="Phản ánh",$E1110="Đã xử lý"),INDEX('Phản ánh'!$U$6:$U$505,MATCH($C1110,'Phản ánh'!$A$6:$A$505,0)),IF(AND($I1110="Công việc",OR($E1110="Hoàn thành",$E1110="Hoàn thành kỳ")),IF(INDEX('Kế hoạch'!$B$6:$B$305,$O1110)="Đột xuất",INDEX('Kế hoạch'!$AY$6:$AY$305,$O1110),IF(N($P1110)=0,"",IF(INT($B1110)&lt;$P1110,$P1110,IF($Q1110&gt;0,$P1110+ROUND((INT($B1110)-$P1110)/$Q1110,0)*$Q1110,IF($R1110&gt;0,EDATE($P1110,ROUND((DATEDIF($P1110,INT($B1110),"m")+(INT($B1110)-EDATE($P1110,DATEDIF($P1110,INT($B1110),"m")))/(EDATE($P1110,DATEDIF($P1110,INT($B1110),"m")+1)-EDATE($P1110,DATEDIF($P1110,INT($B1110),"m"))))/$R1110,0)*$R1110),$P1110))))),"")))</f>
      </c>
      <c r="M1110" s="223">
        <f>IF(OR($C1110="",N($L1110)=0,N($B1110)=0),"",IF(IF(MOD($L1110,1)=0,INT($B1110),$B1110)&lt;=$L1110,"Đúng hạn","Trễ hạn"))</f>
      </c>
      <c r="N1110" s="225">
        <f>IF($C1110="","",ROW())</f>
      </c>
      <c r="O1110" s="225">
        <f>IF($I1110="Công việc",MATCH($C1110,'Kế hoạch'!$A$6:$A$305,0),"")</f>
      </c>
      <c r="P1110" s="234">
        <f>IF($O1110="","",INDEX('Kế hoạch'!$I$6:$I$305,$O1110))</f>
      </c>
      <c r="Q1110" s="225">
        <f>IF($O1110="","",INDEX('Kế hoạch'!$AJ$6:$AJ$305,$O1110))</f>
      </c>
      <c r="R1110" s="225">
        <f>IF($O1110="","",INDEX('Kế hoạch'!$AK$6:$AK$305,$O1110))</f>
      </c>
    </row>
    <row r="1111">
      <c r="A1111" s="223">
        <f>IF($C1111="","",COUNTIF($C$6:$C1111,"?*"))</f>
      </c>
      <c r="B1111" s="217"/>
      <c r="C1111" s="216"/>
      <c r="D1111" s="240"/>
      <c r="E1111" s="218"/>
      <c r="F1111" s="218"/>
      <c r="G1111" s="218"/>
      <c r="H1111" s="219"/>
      <c r="I1111" s="223">
        <f>IF($C1111="","",IF(ISNUMBER(MATCH($C1111,'Phản ánh'!$A$6:$A$505,0)),"Phản ánh",IF(ISNUMBER(MATCH($C1111,'Kế hoạch'!$A$6:$A$305,0)),"Công việc","Mã chưa có")))</f>
      </c>
      <c r="J1111" s="221">
        <f>IF($I1111="Phản ánh",INDEX('Phản ánh'!$C$6:$C$505,MATCH($C1111,'Phản ánh'!$A$6:$A$505,0)),IF($I1111="Công việc",INDEX('Kế hoạch'!$C$6:$C$305,$O1111),""))</f>
      </c>
      <c r="K1111" s="221">
        <f>IF($I1111="Phản ánh",INDEX('Phản ánh'!$K$6:$K$505,MATCH($C1111,'Phản ánh'!$A$6:$A$505,0))&amp;"",IF($I1111="Công việc",INDEX('Kế hoạch'!$N$6:$N$305,$O1111)&amp;"",""))</f>
      </c>
      <c r="L1111" s="220">
        <f>IF(OR($C1111="",N($B1111)=0),"",IF(AND($I1111="Phản ánh",$E1111="Đã xử lý"),INDEX('Phản ánh'!$U$6:$U$505,MATCH($C1111,'Phản ánh'!$A$6:$A$505,0)),IF(AND($I1111="Công việc",OR($E1111="Hoàn thành",$E1111="Hoàn thành kỳ")),IF(INDEX('Kế hoạch'!$B$6:$B$305,$O1111)="Đột xuất",INDEX('Kế hoạch'!$AY$6:$AY$305,$O1111),IF(N($P1111)=0,"",IF(INT($B1111)&lt;$P1111,$P1111,IF($Q1111&gt;0,$P1111+ROUND((INT($B1111)-$P1111)/$Q1111,0)*$Q1111,IF($R1111&gt;0,EDATE($P1111,ROUND((DATEDIF($P1111,INT($B1111),"m")+(INT($B1111)-EDATE($P1111,DATEDIF($P1111,INT($B1111),"m")))/(EDATE($P1111,DATEDIF($P1111,INT($B1111),"m")+1)-EDATE($P1111,DATEDIF($P1111,INT($B1111),"m"))))/$R1111,0)*$R1111),$P1111))))),"")))</f>
      </c>
      <c r="M1111" s="223">
        <f>IF(OR($C1111="",N($L1111)=0,N($B1111)=0),"",IF(IF(MOD($L1111,1)=0,INT($B1111),$B1111)&lt;=$L1111,"Đúng hạn","Trễ hạn"))</f>
      </c>
      <c r="N1111" s="225">
        <f>IF($C1111="","",ROW())</f>
      </c>
      <c r="O1111" s="225">
        <f>IF($I1111="Công việc",MATCH($C1111,'Kế hoạch'!$A$6:$A$305,0),"")</f>
      </c>
      <c r="P1111" s="234">
        <f>IF($O1111="","",INDEX('Kế hoạch'!$I$6:$I$305,$O1111))</f>
      </c>
      <c r="Q1111" s="225">
        <f>IF($O1111="","",INDEX('Kế hoạch'!$AJ$6:$AJ$305,$O1111))</f>
      </c>
      <c r="R1111" s="225">
        <f>IF($O1111="","",INDEX('Kế hoạch'!$AK$6:$AK$305,$O1111))</f>
      </c>
    </row>
    <row r="1112">
      <c r="A1112" s="223">
        <f>IF($C1112="","",COUNTIF($C$6:$C1112,"?*"))</f>
      </c>
      <c r="B1112" s="217"/>
      <c r="C1112" s="216"/>
      <c r="D1112" s="240"/>
      <c r="E1112" s="218"/>
      <c r="F1112" s="218"/>
      <c r="G1112" s="218"/>
      <c r="H1112" s="219"/>
      <c r="I1112" s="223">
        <f>IF($C1112="","",IF(ISNUMBER(MATCH($C1112,'Phản ánh'!$A$6:$A$505,0)),"Phản ánh",IF(ISNUMBER(MATCH($C1112,'Kế hoạch'!$A$6:$A$305,0)),"Công việc","Mã chưa có")))</f>
      </c>
      <c r="J1112" s="221">
        <f>IF($I1112="Phản ánh",INDEX('Phản ánh'!$C$6:$C$505,MATCH($C1112,'Phản ánh'!$A$6:$A$505,0)),IF($I1112="Công việc",INDEX('Kế hoạch'!$C$6:$C$305,$O1112),""))</f>
      </c>
      <c r="K1112" s="221">
        <f>IF($I1112="Phản ánh",INDEX('Phản ánh'!$K$6:$K$505,MATCH($C1112,'Phản ánh'!$A$6:$A$505,0))&amp;"",IF($I1112="Công việc",INDEX('Kế hoạch'!$N$6:$N$305,$O1112)&amp;"",""))</f>
      </c>
      <c r="L1112" s="220">
        <f>IF(OR($C1112="",N($B1112)=0),"",IF(AND($I1112="Phản ánh",$E1112="Đã xử lý"),INDEX('Phản ánh'!$U$6:$U$505,MATCH($C1112,'Phản ánh'!$A$6:$A$505,0)),IF(AND($I1112="Công việc",OR($E1112="Hoàn thành",$E1112="Hoàn thành kỳ")),IF(INDEX('Kế hoạch'!$B$6:$B$305,$O1112)="Đột xuất",INDEX('Kế hoạch'!$AY$6:$AY$305,$O1112),IF(N($P1112)=0,"",IF(INT($B1112)&lt;$P1112,$P1112,IF($Q1112&gt;0,$P1112+ROUND((INT($B1112)-$P1112)/$Q1112,0)*$Q1112,IF($R1112&gt;0,EDATE($P1112,ROUND((DATEDIF($P1112,INT($B1112),"m")+(INT($B1112)-EDATE($P1112,DATEDIF($P1112,INT($B1112),"m")))/(EDATE($P1112,DATEDIF($P1112,INT($B1112),"m")+1)-EDATE($P1112,DATEDIF($P1112,INT($B1112),"m"))))/$R1112,0)*$R1112),$P1112))))),"")))</f>
      </c>
      <c r="M1112" s="223">
        <f>IF(OR($C1112="",N($L1112)=0,N($B1112)=0),"",IF(IF(MOD($L1112,1)=0,INT($B1112),$B1112)&lt;=$L1112,"Đúng hạn","Trễ hạn"))</f>
      </c>
      <c r="N1112" s="225">
        <f>IF($C1112="","",ROW())</f>
      </c>
      <c r="O1112" s="225">
        <f>IF($I1112="Công việc",MATCH($C1112,'Kế hoạch'!$A$6:$A$305,0),"")</f>
      </c>
      <c r="P1112" s="234">
        <f>IF($O1112="","",INDEX('Kế hoạch'!$I$6:$I$305,$O1112))</f>
      </c>
      <c r="Q1112" s="225">
        <f>IF($O1112="","",INDEX('Kế hoạch'!$AJ$6:$AJ$305,$O1112))</f>
      </c>
      <c r="R1112" s="225">
        <f>IF($O1112="","",INDEX('Kế hoạch'!$AK$6:$AK$305,$O1112))</f>
      </c>
    </row>
    <row r="1113">
      <c r="A1113" s="223">
        <f>IF($C1113="","",COUNTIF($C$6:$C1113,"?*"))</f>
      </c>
      <c r="B1113" s="217"/>
      <c r="C1113" s="216"/>
      <c r="D1113" s="240"/>
      <c r="E1113" s="218"/>
      <c r="F1113" s="218"/>
      <c r="G1113" s="218"/>
      <c r="H1113" s="219"/>
      <c r="I1113" s="223">
        <f>IF($C1113="","",IF(ISNUMBER(MATCH($C1113,'Phản ánh'!$A$6:$A$505,0)),"Phản ánh",IF(ISNUMBER(MATCH($C1113,'Kế hoạch'!$A$6:$A$305,0)),"Công việc","Mã chưa có")))</f>
      </c>
      <c r="J1113" s="221">
        <f>IF($I1113="Phản ánh",INDEX('Phản ánh'!$C$6:$C$505,MATCH($C1113,'Phản ánh'!$A$6:$A$505,0)),IF($I1113="Công việc",INDEX('Kế hoạch'!$C$6:$C$305,$O1113),""))</f>
      </c>
      <c r="K1113" s="221">
        <f>IF($I1113="Phản ánh",INDEX('Phản ánh'!$K$6:$K$505,MATCH($C1113,'Phản ánh'!$A$6:$A$505,0))&amp;"",IF($I1113="Công việc",INDEX('Kế hoạch'!$N$6:$N$305,$O1113)&amp;"",""))</f>
      </c>
      <c r="L1113" s="220">
        <f>IF(OR($C1113="",N($B1113)=0),"",IF(AND($I1113="Phản ánh",$E1113="Đã xử lý"),INDEX('Phản ánh'!$U$6:$U$505,MATCH($C1113,'Phản ánh'!$A$6:$A$505,0)),IF(AND($I1113="Công việc",OR($E1113="Hoàn thành",$E1113="Hoàn thành kỳ")),IF(INDEX('Kế hoạch'!$B$6:$B$305,$O1113)="Đột xuất",INDEX('Kế hoạch'!$AY$6:$AY$305,$O1113),IF(N($P1113)=0,"",IF(INT($B1113)&lt;$P1113,$P1113,IF($Q1113&gt;0,$P1113+ROUND((INT($B1113)-$P1113)/$Q1113,0)*$Q1113,IF($R1113&gt;0,EDATE($P1113,ROUND((DATEDIF($P1113,INT($B1113),"m")+(INT($B1113)-EDATE($P1113,DATEDIF($P1113,INT($B1113),"m")))/(EDATE($P1113,DATEDIF($P1113,INT($B1113),"m")+1)-EDATE($P1113,DATEDIF($P1113,INT($B1113),"m"))))/$R1113,0)*$R1113),$P1113))))),"")))</f>
      </c>
      <c r="M1113" s="223">
        <f>IF(OR($C1113="",N($L1113)=0,N($B1113)=0),"",IF(IF(MOD($L1113,1)=0,INT($B1113),$B1113)&lt;=$L1113,"Đúng hạn","Trễ hạn"))</f>
      </c>
      <c r="N1113" s="225">
        <f>IF($C1113="","",ROW())</f>
      </c>
      <c r="O1113" s="225">
        <f>IF($I1113="Công việc",MATCH($C1113,'Kế hoạch'!$A$6:$A$305,0),"")</f>
      </c>
      <c r="P1113" s="234">
        <f>IF($O1113="","",INDEX('Kế hoạch'!$I$6:$I$305,$O1113))</f>
      </c>
      <c r="Q1113" s="225">
        <f>IF($O1113="","",INDEX('Kế hoạch'!$AJ$6:$AJ$305,$O1113))</f>
      </c>
      <c r="R1113" s="225">
        <f>IF($O1113="","",INDEX('Kế hoạch'!$AK$6:$AK$305,$O1113))</f>
      </c>
    </row>
    <row r="1114">
      <c r="A1114" s="223">
        <f>IF($C1114="","",COUNTIF($C$6:$C1114,"?*"))</f>
      </c>
      <c r="B1114" s="217"/>
      <c r="C1114" s="216"/>
      <c r="D1114" s="240"/>
      <c r="E1114" s="218"/>
      <c r="F1114" s="218"/>
      <c r="G1114" s="218"/>
      <c r="H1114" s="219"/>
      <c r="I1114" s="223">
        <f>IF($C1114="","",IF(ISNUMBER(MATCH($C1114,'Phản ánh'!$A$6:$A$505,0)),"Phản ánh",IF(ISNUMBER(MATCH($C1114,'Kế hoạch'!$A$6:$A$305,0)),"Công việc","Mã chưa có")))</f>
      </c>
      <c r="J1114" s="221">
        <f>IF($I1114="Phản ánh",INDEX('Phản ánh'!$C$6:$C$505,MATCH($C1114,'Phản ánh'!$A$6:$A$505,0)),IF($I1114="Công việc",INDEX('Kế hoạch'!$C$6:$C$305,$O1114),""))</f>
      </c>
      <c r="K1114" s="221">
        <f>IF($I1114="Phản ánh",INDEX('Phản ánh'!$K$6:$K$505,MATCH($C1114,'Phản ánh'!$A$6:$A$505,0))&amp;"",IF($I1114="Công việc",INDEX('Kế hoạch'!$N$6:$N$305,$O1114)&amp;"",""))</f>
      </c>
      <c r="L1114" s="220">
        <f>IF(OR($C1114="",N($B1114)=0),"",IF(AND($I1114="Phản ánh",$E1114="Đã xử lý"),INDEX('Phản ánh'!$U$6:$U$505,MATCH($C1114,'Phản ánh'!$A$6:$A$505,0)),IF(AND($I1114="Công việc",OR($E1114="Hoàn thành",$E1114="Hoàn thành kỳ")),IF(INDEX('Kế hoạch'!$B$6:$B$305,$O1114)="Đột xuất",INDEX('Kế hoạch'!$AY$6:$AY$305,$O1114),IF(N($P1114)=0,"",IF(INT($B1114)&lt;$P1114,$P1114,IF($Q1114&gt;0,$P1114+ROUND((INT($B1114)-$P1114)/$Q1114,0)*$Q1114,IF($R1114&gt;0,EDATE($P1114,ROUND((DATEDIF($P1114,INT($B1114),"m")+(INT($B1114)-EDATE($P1114,DATEDIF($P1114,INT($B1114),"m")))/(EDATE($P1114,DATEDIF($P1114,INT($B1114),"m")+1)-EDATE($P1114,DATEDIF($P1114,INT($B1114),"m"))))/$R1114,0)*$R1114),$P1114))))),"")))</f>
      </c>
      <c r="M1114" s="223">
        <f>IF(OR($C1114="",N($L1114)=0,N($B1114)=0),"",IF(IF(MOD($L1114,1)=0,INT($B1114),$B1114)&lt;=$L1114,"Đúng hạn","Trễ hạn"))</f>
      </c>
      <c r="N1114" s="225">
        <f>IF($C1114="","",ROW())</f>
      </c>
      <c r="O1114" s="225">
        <f>IF($I1114="Công việc",MATCH($C1114,'Kế hoạch'!$A$6:$A$305,0),"")</f>
      </c>
      <c r="P1114" s="234">
        <f>IF($O1114="","",INDEX('Kế hoạch'!$I$6:$I$305,$O1114))</f>
      </c>
      <c r="Q1114" s="225">
        <f>IF($O1114="","",INDEX('Kế hoạch'!$AJ$6:$AJ$305,$O1114))</f>
      </c>
      <c r="R1114" s="225">
        <f>IF($O1114="","",INDEX('Kế hoạch'!$AK$6:$AK$305,$O1114))</f>
      </c>
    </row>
    <row r="1115">
      <c r="A1115" s="223">
        <f>IF($C1115="","",COUNTIF($C$6:$C1115,"?*"))</f>
      </c>
      <c r="B1115" s="217"/>
      <c r="C1115" s="216"/>
      <c r="D1115" s="240"/>
      <c r="E1115" s="218"/>
      <c r="F1115" s="218"/>
      <c r="G1115" s="218"/>
      <c r="H1115" s="219"/>
      <c r="I1115" s="223">
        <f>IF($C1115="","",IF(ISNUMBER(MATCH($C1115,'Phản ánh'!$A$6:$A$505,0)),"Phản ánh",IF(ISNUMBER(MATCH($C1115,'Kế hoạch'!$A$6:$A$305,0)),"Công việc","Mã chưa có")))</f>
      </c>
      <c r="J1115" s="221">
        <f>IF($I1115="Phản ánh",INDEX('Phản ánh'!$C$6:$C$505,MATCH($C1115,'Phản ánh'!$A$6:$A$505,0)),IF($I1115="Công việc",INDEX('Kế hoạch'!$C$6:$C$305,$O1115),""))</f>
      </c>
      <c r="K1115" s="221">
        <f>IF($I1115="Phản ánh",INDEX('Phản ánh'!$K$6:$K$505,MATCH($C1115,'Phản ánh'!$A$6:$A$505,0))&amp;"",IF($I1115="Công việc",INDEX('Kế hoạch'!$N$6:$N$305,$O1115)&amp;"",""))</f>
      </c>
      <c r="L1115" s="220">
        <f>IF(OR($C1115="",N($B1115)=0),"",IF(AND($I1115="Phản ánh",$E1115="Đã xử lý"),INDEX('Phản ánh'!$U$6:$U$505,MATCH($C1115,'Phản ánh'!$A$6:$A$505,0)),IF(AND($I1115="Công việc",OR($E1115="Hoàn thành",$E1115="Hoàn thành kỳ")),IF(INDEX('Kế hoạch'!$B$6:$B$305,$O1115)="Đột xuất",INDEX('Kế hoạch'!$AY$6:$AY$305,$O1115),IF(N($P1115)=0,"",IF(INT($B1115)&lt;$P1115,$P1115,IF($Q1115&gt;0,$P1115+ROUND((INT($B1115)-$P1115)/$Q1115,0)*$Q1115,IF($R1115&gt;0,EDATE($P1115,ROUND((DATEDIF($P1115,INT($B1115),"m")+(INT($B1115)-EDATE($P1115,DATEDIF($P1115,INT($B1115),"m")))/(EDATE($P1115,DATEDIF($P1115,INT($B1115),"m")+1)-EDATE($P1115,DATEDIF($P1115,INT($B1115),"m"))))/$R1115,0)*$R1115),$P1115))))),"")))</f>
      </c>
      <c r="M1115" s="223">
        <f>IF(OR($C1115="",N($L1115)=0,N($B1115)=0),"",IF(IF(MOD($L1115,1)=0,INT($B1115),$B1115)&lt;=$L1115,"Đúng hạn","Trễ hạn"))</f>
      </c>
      <c r="N1115" s="225">
        <f>IF($C1115="","",ROW())</f>
      </c>
      <c r="O1115" s="225">
        <f>IF($I1115="Công việc",MATCH($C1115,'Kế hoạch'!$A$6:$A$305,0),"")</f>
      </c>
      <c r="P1115" s="234">
        <f>IF($O1115="","",INDEX('Kế hoạch'!$I$6:$I$305,$O1115))</f>
      </c>
      <c r="Q1115" s="225">
        <f>IF($O1115="","",INDEX('Kế hoạch'!$AJ$6:$AJ$305,$O1115))</f>
      </c>
      <c r="R1115" s="225">
        <f>IF($O1115="","",INDEX('Kế hoạch'!$AK$6:$AK$305,$O1115))</f>
      </c>
    </row>
    <row r="1116">
      <c r="A1116" s="223">
        <f>IF($C1116="","",COUNTIF($C$6:$C1116,"?*"))</f>
      </c>
      <c r="B1116" s="217"/>
      <c r="C1116" s="216"/>
      <c r="D1116" s="240"/>
      <c r="E1116" s="218"/>
      <c r="F1116" s="218"/>
      <c r="G1116" s="218"/>
      <c r="H1116" s="219"/>
      <c r="I1116" s="223">
        <f>IF($C1116="","",IF(ISNUMBER(MATCH($C1116,'Phản ánh'!$A$6:$A$505,0)),"Phản ánh",IF(ISNUMBER(MATCH($C1116,'Kế hoạch'!$A$6:$A$305,0)),"Công việc","Mã chưa có")))</f>
      </c>
      <c r="J1116" s="221">
        <f>IF($I1116="Phản ánh",INDEX('Phản ánh'!$C$6:$C$505,MATCH($C1116,'Phản ánh'!$A$6:$A$505,0)),IF($I1116="Công việc",INDEX('Kế hoạch'!$C$6:$C$305,$O1116),""))</f>
      </c>
      <c r="K1116" s="221">
        <f>IF($I1116="Phản ánh",INDEX('Phản ánh'!$K$6:$K$505,MATCH($C1116,'Phản ánh'!$A$6:$A$505,0))&amp;"",IF($I1116="Công việc",INDEX('Kế hoạch'!$N$6:$N$305,$O1116)&amp;"",""))</f>
      </c>
      <c r="L1116" s="220">
        <f>IF(OR($C1116="",N($B1116)=0),"",IF(AND($I1116="Phản ánh",$E1116="Đã xử lý"),INDEX('Phản ánh'!$U$6:$U$505,MATCH($C1116,'Phản ánh'!$A$6:$A$505,0)),IF(AND($I1116="Công việc",OR($E1116="Hoàn thành",$E1116="Hoàn thành kỳ")),IF(INDEX('Kế hoạch'!$B$6:$B$305,$O1116)="Đột xuất",INDEX('Kế hoạch'!$AY$6:$AY$305,$O1116),IF(N($P1116)=0,"",IF(INT($B1116)&lt;$P1116,$P1116,IF($Q1116&gt;0,$P1116+ROUND((INT($B1116)-$P1116)/$Q1116,0)*$Q1116,IF($R1116&gt;0,EDATE($P1116,ROUND((DATEDIF($P1116,INT($B1116),"m")+(INT($B1116)-EDATE($P1116,DATEDIF($P1116,INT($B1116),"m")))/(EDATE($P1116,DATEDIF($P1116,INT($B1116),"m")+1)-EDATE($P1116,DATEDIF($P1116,INT($B1116),"m"))))/$R1116,0)*$R1116),$P1116))))),"")))</f>
      </c>
      <c r="M1116" s="223">
        <f>IF(OR($C1116="",N($L1116)=0,N($B1116)=0),"",IF(IF(MOD($L1116,1)=0,INT($B1116),$B1116)&lt;=$L1116,"Đúng hạn","Trễ hạn"))</f>
      </c>
      <c r="N1116" s="225">
        <f>IF($C1116="","",ROW())</f>
      </c>
      <c r="O1116" s="225">
        <f>IF($I1116="Công việc",MATCH($C1116,'Kế hoạch'!$A$6:$A$305,0),"")</f>
      </c>
      <c r="P1116" s="234">
        <f>IF($O1116="","",INDEX('Kế hoạch'!$I$6:$I$305,$O1116))</f>
      </c>
      <c r="Q1116" s="225">
        <f>IF($O1116="","",INDEX('Kế hoạch'!$AJ$6:$AJ$305,$O1116))</f>
      </c>
      <c r="R1116" s="225">
        <f>IF($O1116="","",INDEX('Kế hoạch'!$AK$6:$AK$305,$O1116))</f>
      </c>
    </row>
    <row r="1117">
      <c r="A1117" s="223">
        <f>IF($C1117="","",COUNTIF($C$6:$C1117,"?*"))</f>
      </c>
      <c r="B1117" s="217"/>
      <c r="C1117" s="216"/>
      <c r="D1117" s="240"/>
      <c r="E1117" s="218"/>
      <c r="F1117" s="218"/>
      <c r="G1117" s="218"/>
      <c r="H1117" s="219"/>
      <c r="I1117" s="223">
        <f>IF($C1117="","",IF(ISNUMBER(MATCH($C1117,'Phản ánh'!$A$6:$A$505,0)),"Phản ánh",IF(ISNUMBER(MATCH($C1117,'Kế hoạch'!$A$6:$A$305,0)),"Công việc","Mã chưa có")))</f>
      </c>
      <c r="J1117" s="221">
        <f>IF($I1117="Phản ánh",INDEX('Phản ánh'!$C$6:$C$505,MATCH($C1117,'Phản ánh'!$A$6:$A$505,0)),IF($I1117="Công việc",INDEX('Kế hoạch'!$C$6:$C$305,$O1117),""))</f>
      </c>
      <c r="K1117" s="221">
        <f>IF($I1117="Phản ánh",INDEX('Phản ánh'!$K$6:$K$505,MATCH($C1117,'Phản ánh'!$A$6:$A$505,0))&amp;"",IF($I1117="Công việc",INDEX('Kế hoạch'!$N$6:$N$305,$O1117)&amp;"",""))</f>
      </c>
      <c r="L1117" s="220">
        <f>IF(OR($C1117="",N($B1117)=0),"",IF(AND($I1117="Phản ánh",$E1117="Đã xử lý"),INDEX('Phản ánh'!$U$6:$U$505,MATCH($C1117,'Phản ánh'!$A$6:$A$505,0)),IF(AND($I1117="Công việc",OR($E1117="Hoàn thành",$E1117="Hoàn thành kỳ")),IF(INDEX('Kế hoạch'!$B$6:$B$305,$O1117)="Đột xuất",INDEX('Kế hoạch'!$AY$6:$AY$305,$O1117),IF(N($P1117)=0,"",IF(INT($B1117)&lt;$P1117,$P1117,IF($Q1117&gt;0,$P1117+ROUND((INT($B1117)-$P1117)/$Q1117,0)*$Q1117,IF($R1117&gt;0,EDATE($P1117,ROUND((DATEDIF($P1117,INT($B1117),"m")+(INT($B1117)-EDATE($P1117,DATEDIF($P1117,INT($B1117),"m")))/(EDATE($P1117,DATEDIF($P1117,INT($B1117),"m")+1)-EDATE($P1117,DATEDIF($P1117,INT($B1117),"m"))))/$R1117,0)*$R1117),$P1117))))),"")))</f>
      </c>
      <c r="M1117" s="223">
        <f>IF(OR($C1117="",N($L1117)=0,N($B1117)=0),"",IF(IF(MOD($L1117,1)=0,INT($B1117),$B1117)&lt;=$L1117,"Đúng hạn","Trễ hạn"))</f>
      </c>
      <c r="N1117" s="225">
        <f>IF($C1117="","",ROW())</f>
      </c>
      <c r="O1117" s="225">
        <f>IF($I1117="Công việc",MATCH($C1117,'Kế hoạch'!$A$6:$A$305,0),"")</f>
      </c>
      <c r="P1117" s="234">
        <f>IF($O1117="","",INDEX('Kế hoạch'!$I$6:$I$305,$O1117))</f>
      </c>
      <c r="Q1117" s="225">
        <f>IF($O1117="","",INDEX('Kế hoạch'!$AJ$6:$AJ$305,$O1117))</f>
      </c>
      <c r="R1117" s="225">
        <f>IF($O1117="","",INDEX('Kế hoạch'!$AK$6:$AK$305,$O1117))</f>
      </c>
    </row>
    <row r="1118">
      <c r="A1118" s="223">
        <f>IF($C1118="","",COUNTIF($C$6:$C1118,"?*"))</f>
      </c>
      <c r="B1118" s="217"/>
      <c r="C1118" s="216"/>
      <c r="D1118" s="240"/>
      <c r="E1118" s="218"/>
      <c r="F1118" s="218"/>
      <c r="G1118" s="218"/>
      <c r="H1118" s="219"/>
      <c r="I1118" s="223">
        <f>IF($C1118="","",IF(ISNUMBER(MATCH($C1118,'Phản ánh'!$A$6:$A$505,0)),"Phản ánh",IF(ISNUMBER(MATCH($C1118,'Kế hoạch'!$A$6:$A$305,0)),"Công việc","Mã chưa có")))</f>
      </c>
      <c r="J1118" s="221">
        <f>IF($I1118="Phản ánh",INDEX('Phản ánh'!$C$6:$C$505,MATCH($C1118,'Phản ánh'!$A$6:$A$505,0)),IF($I1118="Công việc",INDEX('Kế hoạch'!$C$6:$C$305,$O1118),""))</f>
      </c>
      <c r="K1118" s="221">
        <f>IF($I1118="Phản ánh",INDEX('Phản ánh'!$K$6:$K$505,MATCH($C1118,'Phản ánh'!$A$6:$A$505,0))&amp;"",IF($I1118="Công việc",INDEX('Kế hoạch'!$N$6:$N$305,$O1118)&amp;"",""))</f>
      </c>
      <c r="L1118" s="220">
        <f>IF(OR($C1118="",N($B1118)=0),"",IF(AND($I1118="Phản ánh",$E1118="Đã xử lý"),INDEX('Phản ánh'!$U$6:$U$505,MATCH($C1118,'Phản ánh'!$A$6:$A$505,0)),IF(AND($I1118="Công việc",OR($E1118="Hoàn thành",$E1118="Hoàn thành kỳ")),IF(INDEX('Kế hoạch'!$B$6:$B$305,$O1118)="Đột xuất",INDEX('Kế hoạch'!$AY$6:$AY$305,$O1118),IF(N($P1118)=0,"",IF(INT($B1118)&lt;$P1118,$P1118,IF($Q1118&gt;0,$P1118+ROUND((INT($B1118)-$P1118)/$Q1118,0)*$Q1118,IF($R1118&gt;0,EDATE($P1118,ROUND((DATEDIF($P1118,INT($B1118),"m")+(INT($B1118)-EDATE($P1118,DATEDIF($P1118,INT($B1118),"m")))/(EDATE($P1118,DATEDIF($P1118,INT($B1118),"m")+1)-EDATE($P1118,DATEDIF($P1118,INT($B1118),"m"))))/$R1118,0)*$R1118),$P1118))))),"")))</f>
      </c>
      <c r="M1118" s="223">
        <f>IF(OR($C1118="",N($L1118)=0,N($B1118)=0),"",IF(IF(MOD($L1118,1)=0,INT($B1118),$B1118)&lt;=$L1118,"Đúng hạn","Trễ hạn"))</f>
      </c>
      <c r="N1118" s="225">
        <f>IF($C1118="","",ROW())</f>
      </c>
      <c r="O1118" s="225">
        <f>IF($I1118="Công việc",MATCH($C1118,'Kế hoạch'!$A$6:$A$305,0),"")</f>
      </c>
      <c r="P1118" s="234">
        <f>IF($O1118="","",INDEX('Kế hoạch'!$I$6:$I$305,$O1118))</f>
      </c>
      <c r="Q1118" s="225">
        <f>IF($O1118="","",INDEX('Kế hoạch'!$AJ$6:$AJ$305,$O1118))</f>
      </c>
      <c r="R1118" s="225">
        <f>IF($O1118="","",INDEX('Kế hoạch'!$AK$6:$AK$305,$O1118))</f>
      </c>
    </row>
    <row r="1119">
      <c r="A1119" s="223">
        <f>IF($C1119="","",COUNTIF($C$6:$C1119,"?*"))</f>
      </c>
      <c r="B1119" s="217"/>
      <c r="C1119" s="216"/>
      <c r="D1119" s="240"/>
      <c r="E1119" s="218"/>
      <c r="F1119" s="218"/>
      <c r="G1119" s="218"/>
      <c r="H1119" s="219"/>
      <c r="I1119" s="223">
        <f>IF($C1119="","",IF(ISNUMBER(MATCH($C1119,'Phản ánh'!$A$6:$A$505,0)),"Phản ánh",IF(ISNUMBER(MATCH($C1119,'Kế hoạch'!$A$6:$A$305,0)),"Công việc","Mã chưa có")))</f>
      </c>
      <c r="J1119" s="221">
        <f>IF($I1119="Phản ánh",INDEX('Phản ánh'!$C$6:$C$505,MATCH($C1119,'Phản ánh'!$A$6:$A$505,0)),IF($I1119="Công việc",INDEX('Kế hoạch'!$C$6:$C$305,$O1119),""))</f>
      </c>
      <c r="K1119" s="221">
        <f>IF($I1119="Phản ánh",INDEX('Phản ánh'!$K$6:$K$505,MATCH($C1119,'Phản ánh'!$A$6:$A$505,0))&amp;"",IF($I1119="Công việc",INDEX('Kế hoạch'!$N$6:$N$305,$O1119)&amp;"",""))</f>
      </c>
      <c r="L1119" s="220">
        <f>IF(OR($C1119="",N($B1119)=0),"",IF(AND($I1119="Phản ánh",$E1119="Đã xử lý"),INDEX('Phản ánh'!$U$6:$U$505,MATCH($C1119,'Phản ánh'!$A$6:$A$505,0)),IF(AND($I1119="Công việc",OR($E1119="Hoàn thành",$E1119="Hoàn thành kỳ")),IF(INDEX('Kế hoạch'!$B$6:$B$305,$O1119)="Đột xuất",INDEX('Kế hoạch'!$AY$6:$AY$305,$O1119),IF(N($P1119)=0,"",IF(INT($B1119)&lt;$P1119,$P1119,IF($Q1119&gt;0,$P1119+ROUND((INT($B1119)-$P1119)/$Q1119,0)*$Q1119,IF($R1119&gt;0,EDATE($P1119,ROUND((DATEDIF($P1119,INT($B1119),"m")+(INT($B1119)-EDATE($P1119,DATEDIF($P1119,INT($B1119),"m")))/(EDATE($P1119,DATEDIF($P1119,INT($B1119),"m")+1)-EDATE($P1119,DATEDIF($P1119,INT($B1119),"m"))))/$R1119,0)*$R1119),$P1119))))),"")))</f>
      </c>
      <c r="M1119" s="223">
        <f>IF(OR($C1119="",N($L1119)=0,N($B1119)=0),"",IF(IF(MOD($L1119,1)=0,INT($B1119),$B1119)&lt;=$L1119,"Đúng hạn","Trễ hạn"))</f>
      </c>
      <c r="N1119" s="225">
        <f>IF($C1119="","",ROW())</f>
      </c>
      <c r="O1119" s="225">
        <f>IF($I1119="Công việc",MATCH($C1119,'Kế hoạch'!$A$6:$A$305,0),"")</f>
      </c>
      <c r="P1119" s="234">
        <f>IF($O1119="","",INDEX('Kế hoạch'!$I$6:$I$305,$O1119))</f>
      </c>
      <c r="Q1119" s="225">
        <f>IF($O1119="","",INDEX('Kế hoạch'!$AJ$6:$AJ$305,$O1119))</f>
      </c>
      <c r="R1119" s="225">
        <f>IF($O1119="","",INDEX('Kế hoạch'!$AK$6:$AK$305,$O1119))</f>
      </c>
    </row>
    <row r="1120">
      <c r="A1120" s="223">
        <f>IF($C1120="","",COUNTIF($C$6:$C1120,"?*"))</f>
      </c>
      <c r="B1120" s="217"/>
      <c r="C1120" s="216"/>
      <c r="D1120" s="240"/>
      <c r="E1120" s="218"/>
      <c r="F1120" s="218"/>
      <c r="G1120" s="218"/>
      <c r="H1120" s="219"/>
      <c r="I1120" s="223">
        <f>IF($C1120="","",IF(ISNUMBER(MATCH($C1120,'Phản ánh'!$A$6:$A$505,0)),"Phản ánh",IF(ISNUMBER(MATCH($C1120,'Kế hoạch'!$A$6:$A$305,0)),"Công việc","Mã chưa có")))</f>
      </c>
      <c r="J1120" s="221">
        <f>IF($I1120="Phản ánh",INDEX('Phản ánh'!$C$6:$C$505,MATCH($C1120,'Phản ánh'!$A$6:$A$505,0)),IF($I1120="Công việc",INDEX('Kế hoạch'!$C$6:$C$305,$O1120),""))</f>
      </c>
      <c r="K1120" s="221">
        <f>IF($I1120="Phản ánh",INDEX('Phản ánh'!$K$6:$K$505,MATCH($C1120,'Phản ánh'!$A$6:$A$505,0))&amp;"",IF($I1120="Công việc",INDEX('Kế hoạch'!$N$6:$N$305,$O1120)&amp;"",""))</f>
      </c>
      <c r="L1120" s="220">
        <f>IF(OR($C1120="",N($B1120)=0),"",IF(AND($I1120="Phản ánh",$E1120="Đã xử lý"),INDEX('Phản ánh'!$U$6:$U$505,MATCH($C1120,'Phản ánh'!$A$6:$A$505,0)),IF(AND($I1120="Công việc",OR($E1120="Hoàn thành",$E1120="Hoàn thành kỳ")),IF(INDEX('Kế hoạch'!$B$6:$B$305,$O1120)="Đột xuất",INDEX('Kế hoạch'!$AY$6:$AY$305,$O1120),IF(N($P1120)=0,"",IF(INT($B1120)&lt;$P1120,$P1120,IF($Q1120&gt;0,$P1120+ROUND((INT($B1120)-$P1120)/$Q1120,0)*$Q1120,IF($R1120&gt;0,EDATE($P1120,ROUND((DATEDIF($P1120,INT($B1120),"m")+(INT($B1120)-EDATE($P1120,DATEDIF($P1120,INT($B1120),"m")))/(EDATE($P1120,DATEDIF($P1120,INT($B1120),"m")+1)-EDATE($P1120,DATEDIF($P1120,INT($B1120),"m"))))/$R1120,0)*$R1120),$P1120))))),"")))</f>
      </c>
      <c r="M1120" s="223">
        <f>IF(OR($C1120="",N($L1120)=0,N($B1120)=0),"",IF(IF(MOD($L1120,1)=0,INT($B1120),$B1120)&lt;=$L1120,"Đúng hạn","Trễ hạn"))</f>
      </c>
      <c r="N1120" s="225">
        <f>IF($C1120="","",ROW())</f>
      </c>
      <c r="O1120" s="225">
        <f>IF($I1120="Công việc",MATCH($C1120,'Kế hoạch'!$A$6:$A$305,0),"")</f>
      </c>
      <c r="P1120" s="234">
        <f>IF($O1120="","",INDEX('Kế hoạch'!$I$6:$I$305,$O1120))</f>
      </c>
      <c r="Q1120" s="225">
        <f>IF($O1120="","",INDEX('Kế hoạch'!$AJ$6:$AJ$305,$O1120))</f>
      </c>
      <c r="R1120" s="225">
        <f>IF($O1120="","",INDEX('Kế hoạch'!$AK$6:$AK$305,$O1120))</f>
      </c>
    </row>
    <row r="1121">
      <c r="A1121" s="223">
        <f>IF($C1121="","",COUNTIF($C$6:$C1121,"?*"))</f>
      </c>
      <c r="B1121" s="217"/>
      <c r="C1121" s="216"/>
      <c r="D1121" s="240"/>
      <c r="E1121" s="218"/>
      <c r="F1121" s="218"/>
      <c r="G1121" s="218"/>
      <c r="H1121" s="219"/>
      <c r="I1121" s="223">
        <f>IF($C1121="","",IF(ISNUMBER(MATCH($C1121,'Phản ánh'!$A$6:$A$505,0)),"Phản ánh",IF(ISNUMBER(MATCH($C1121,'Kế hoạch'!$A$6:$A$305,0)),"Công việc","Mã chưa có")))</f>
      </c>
      <c r="J1121" s="221">
        <f>IF($I1121="Phản ánh",INDEX('Phản ánh'!$C$6:$C$505,MATCH($C1121,'Phản ánh'!$A$6:$A$505,0)),IF($I1121="Công việc",INDEX('Kế hoạch'!$C$6:$C$305,$O1121),""))</f>
      </c>
      <c r="K1121" s="221">
        <f>IF($I1121="Phản ánh",INDEX('Phản ánh'!$K$6:$K$505,MATCH($C1121,'Phản ánh'!$A$6:$A$505,0))&amp;"",IF($I1121="Công việc",INDEX('Kế hoạch'!$N$6:$N$305,$O1121)&amp;"",""))</f>
      </c>
      <c r="L1121" s="220">
        <f>IF(OR($C1121="",N($B1121)=0),"",IF(AND($I1121="Phản ánh",$E1121="Đã xử lý"),INDEX('Phản ánh'!$U$6:$U$505,MATCH($C1121,'Phản ánh'!$A$6:$A$505,0)),IF(AND($I1121="Công việc",OR($E1121="Hoàn thành",$E1121="Hoàn thành kỳ")),IF(INDEX('Kế hoạch'!$B$6:$B$305,$O1121)="Đột xuất",INDEX('Kế hoạch'!$AY$6:$AY$305,$O1121),IF(N($P1121)=0,"",IF(INT($B1121)&lt;$P1121,$P1121,IF($Q1121&gt;0,$P1121+ROUND((INT($B1121)-$P1121)/$Q1121,0)*$Q1121,IF($R1121&gt;0,EDATE($P1121,ROUND((DATEDIF($P1121,INT($B1121),"m")+(INT($B1121)-EDATE($P1121,DATEDIF($P1121,INT($B1121),"m")))/(EDATE($P1121,DATEDIF($P1121,INT($B1121),"m")+1)-EDATE($P1121,DATEDIF($P1121,INT($B1121),"m"))))/$R1121,0)*$R1121),$P1121))))),"")))</f>
      </c>
      <c r="M1121" s="223">
        <f>IF(OR($C1121="",N($L1121)=0,N($B1121)=0),"",IF(IF(MOD($L1121,1)=0,INT($B1121),$B1121)&lt;=$L1121,"Đúng hạn","Trễ hạn"))</f>
      </c>
      <c r="N1121" s="225">
        <f>IF($C1121="","",ROW())</f>
      </c>
      <c r="O1121" s="225">
        <f>IF($I1121="Công việc",MATCH($C1121,'Kế hoạch'!$A$6:$A$305,0),"")</f>
      </c>
      <c r="P1121" s="234">
        <f>IF($O1121="","",INDEX('Kế hoạch'!$I$6:$I$305,$O1121))</f>
      </c>
      <c r="Q1121" s="225">
        <f>IF($O1121="","",INDEX('Kế hoạch'!$AJ$6:$AJ$305,$O1121))</f>
      </c>
      <c r="R1121" s="225">
        <f>IF($O1121="","",INDEX('Kế hoạch'!$AK$6:$AK$305,$O1121))</f>
      </c>
    </row>
    <row r="1122">
      <c r="A1122" s="223">
        <f>IF($C1122="","",COUNTIF($C$6:$C1122,"?*"))</f>
      </c>
      <c r="B1122" s="217"/>
      <c r="C1122" s="216"/>
      <c r="D1122" s="240"/>
      <c r="E1122" s="218"/>
      <c r="F1122" s="218"/>
      <c r="G1122" s="218"/>
      <c r="H1122" s="219"/>
      <c r="I1122" s="223">
        <f>IF($C1122="","",IF(ISNUMBER(MATCH($C1122,'Phản ánh'!$A$6:$A$505,0)),"Phản ánh",IF(ISNUMBER(MATCH($C1122,'Kế hoạch'!$A$6:$A$305,0)),"Công việc","Mã chưa có")))</f>
      </c>
      <c r="J1122" s="221">
        <f>IF($I1122="Phản ánh",INDEX('Phản ánh'!$C$6:$C$505,MATCH($C1122,'Phản ánh'!$A$6:$A$505,0)),IF($I1122="Công việc",INDEX('Kế hoạch'!$C$6:$C$305,$O1122),""))</f>
      </c>
      <c r="K1122" s="221">
        <f>IF($I1122="Phản ánh",INDEX('Phản ánh'!$K$6:$K$505,MATCH($C1122,'Phản ánh'!$A$6:$A$505,0))&amp;"",IF($I1122="Công việc",INDEX('Kế hoạch'!$N$6:$N$305,$O1122)&amp;"",""))</f>
      </c>
      <c r="L1122" s="220">
        <f>IF(OR($C1122="",N($B1122)=0),"",IF(AND($I1122="Phản ánh",$E1122="Đã xử lý"),INDEX('Phản ánh'!$U$6:$U$505,MATCH($C1122,'Phản ánh'!$A$6:$A$505,0)),IF(AND($I1122="Công việc",OR($E1122="Hoàn thành",$E1122="Hoàn thành kỳ")),IF(INDEX('Kế hoạch'!$B$6:$B$305,$O1122)="Đột xuất",INDEX('Kế hoạch'!$AY$6:$AY$305,$O1122),IF(N($P1122)=0,"",IF(INT($B1122)&lt;$P1122,$P1122,IF($Q1122&gt;0,$P1122+ROUND((INT($B1122)-$P1122)/$Q1122,0)*$Q1122,IF($R1122&gt;0,EDATE($P1122,ROUND((DATEDIF($P1122,INT($B1122),"m")+(INT($B1122)-EDATE($P1122,DATEDIF($P1122,INT($B1122),"m")))/(EDATE($P1122,DATEDIF($P1122,INT($B1122),"m")+1)-EDATE($P1122,DATEDIF($P1122,INT($B1122),"m"))))/$R1122,0)*$R1122),$P1122))))),"")))</f>
      </c>
      <c r="M1122" s="223">
        <f>IF(OR($C1122="",N($L1122)=0,N($B1122)=0),"",IF(IF(MOD($L1122,1)=0,INT($B1122),$B1122)&lt;=$L1122,"Đúng hạn","Trễ hạn"))</f>
      </c>
      <c r="N1122" s="225">
        <f>IF($C1122="","",ROW())</f>
      </c>
      <c r="O1122" s="225">
        <f>IF($I1122="Công việc",MATCH($C1122,'Kế hoạch'!$A$6:$A$305,0),"")</f>
      </c>
      <c r="P1122" s="234">
        <f>IF($O1122="","",INDEX('Kế hoạch'!$I$6:$I$305,$O1122))</f>
      </c>
      <c r="Q1122" s="225">
        <f>IF($O1122="","",INDEX('Kế hoạch'!$AJ$6:$AJ$305,$O1122))</f>
      </c>
      <c r="R1122" s="225">
        <f>IF($O1122="","",INDEX('Kế hoạch'!$AK$6:$AK$305,$O1122))</f>
      </c>
    </row>
    <row r="1123">
      <c r="A1123" s="223">
        <f>IF($C1123="","",COUNTIF($C$6:$C1123,"?*"))</f>
      </c>
      <c r="B1123" s="217"/>
      <c r="C1123" s="216"/>
      <c r="D1123" s="240"/>
      <c r="E1123" s="218"/>
      <c r="F1123" s="218"/>
      <c r="G1123" s="218"/>
      <c r="H1123" s="219"/>
      <c r="I1123" s="223">
        <f>IF($C1123="","",IF(ISNUMBER(MATCH($C1123,'Phản ánh'!$A$6:$A$505,0)),"Phản ánh",IF(ISNUMBER(MATCH($C1123,'Kế hoạch'!$A$6:$A$305,0)),"Công việc","Mã chưa có")))</f>
      </c>
      <c r="J1123" s="221">
        <f>IF($I1123="Phản ánh",INDEX('Phản ánh'!$C$6:$C$505,MATCH($C1123,'Phản ánh'!$A$6:$A$505,0)),IF($I1123="Công việc",INDEX('Kế hoạch'!$C$6:$C$305,$O1123),""))</f>
      </c>
      <c r="K1123" s="221">
        <f>IF($I1123="Phản ánh",INDEX('Phản ánh'!$K$6:$K$505,MATCH($C1123,'Phản ánh'!$A$6:$A$505,0))&amp;"",IF($I1123="Công việc",INDEX('Kế hoạch'!$N$6:$N$305,$O1123)&amp;"",""))</f>
      </c>
      <c r="L1123" s="220">
        <f>IF(OR($C1123="",N($B1123)=0),"",IF(AND($I1123="Phản ánh",$E1123="Đã xử lý"),INDEX('Phản ánh'!$U$6:$U$505,MATCH($C1123,'Phản ánh'!$A$6:$A$505,0)),IF(AND($I1123="Công việc",OR($E1123="Hoàn thành",$E1123="Hoàn thành kỳ")),IF(INDEX('Kế hoạch'!$B$6:$B$305,$O1123)="Đột xuất",INDEX('Kế hoạch'!$AY$6:$AY$305,$O1123),IF(N($P1123)=0,"",IF(INT($B1123)&lt;$P1123,$P1123,IF($Q1123&gt;0,$P1123+ROUND((INT($B1123)-$P1123)/$Q1123,0)*$Q1123,IF($R1123&gt;0,EDATE($P1123,ROUND((DATEDIF($P1123,INT($B1123),"m")+(INT($B1123)-EDATE($P1123,DATEDIF($P1123,INT($B1123),"m")))/(EDATE($P1123,DATEDIF($P1123,INT($B1123),"m")+1)-EDATE($P1123,DATEDIF($P1123,INT($B1123),"m"))))/$R1123,0)*$R1123),$P1123))))),"")))</f>
      </c>
      <c r="M1123" s="223">
        <f>IF(OR($C1123="",N($L1123)=0,N($B1123)=0),"",IF(IF(MOD($L1123,1)=0,INT($B1123),$B1123)&lt;=$L1123,"Đúng hạn","Trễ hạn"))</f>
      </c>
      <c r="N1123" s="225">
        <f>IF($C1123="","",ROW())</f>
      </c>
      <c r="O1123" s="225">
        <f>IF($I1123="Công việc",MATCH($C1123,'Kế hoạch'!$A$6:$A$305,0),"")</f>
      </c>
      <c r="P1123" s="234">
        <f>IF($O1123="","",INDEX('Kế hoạch'!$I$6:$I$305,$O1123))</f>
      </c>
      <c r="Q1123" s="225">
        <f>IF($O1123="","",INDEX('Kế hoạch'!$AJ$6:$AJ$305,$O1123))</f>
      </c>
      <c r="R1123" s="225">
        <f>IF($O1123="","",INDEX('Kế hoạch'!$AK$6:$AK$305,$O1123))</f>
      </c>
    </row>
    <row r="1124">
      <c r="A1124" s="223">
        <f>IF($C1124="","",COUNTIF($C$6:$C1124,"?*"))</f>
      </c>
      <c r="B1124" s="217"/>
      <c r="C1124" s="216"/>
      <c r="D1124" s="240"/>
      <c r="E1124" s="218"/>
      <c r="F1124" s="218"/>
      <c r="G1124" s="218"/>
      <c r="H1124" s="219"/>
      <c r="I1124" s="223">
        <f>IF($C1124="","",IF(ISNUMBER(MATCH($C1124,'Phản ánh'!$A$6:$A$505,0)),"Phản ánh",IF(ISNUMBER(MATCH($C1124,'Kế hoạch'!$A$6:$A$305,0)),"Công việc","Mã chưa có")))</f>
      </c>
      <c r="J1124" s="221">
        <f>IF($I1124="Phản ánh",INDEX('Phản ánh'!$C$6:$C$505,MATCH($C1124,'Phản ánh'!$A$6:$A$505,0)),IF($I1124="Công việc",INDEX('Kế hoạch'!$C$6:$C$305,$O1124),""))</f>
      </c>
      <c r="K1124" s="221">
        <f>IF($I1124="Phản ánh",INDEX('Phản ánh'!$K$6:$K$505,MATCH($C1124,'Phản ánh'!$A$6:$A$505,0))&amp;"",IF($I1124="Công việc",INDEX('Kế hoạch'!$N$6:$N$305,$O1124)&amp;"",""))</f>
      </c>
      <c r="L1124" s="220">
        <f>IF(OR($C1124="",N($B1124)=0),"",IF(AND($I1124="Phản ánh",$E1124="Đã xử lý"),INDEX('Phản ánh'!$U$6:$U$505,MATCH($C1124,'Phản ánh'!$A$6:$A$505,0)),IF(AND($I1124="Công việc",OR($E1124="Hoàn thành",$E1124="Hoàn thành kỳ")),IF(INDEX('Kế hoạch'!$B$6:$B$305,$O1124)="Đột xuất",INDEX('Kế hoạch'!$AY$6:$AY$305,$O1124),IF(N($P1124)=0,"",IF(INT($B1124)&lt;$P1124,$P1124,IF($Q1124&gt;0,$P1124+ROUND((INT($B1124)-$P1124)/$Q1124,0)*$Q1124,IF($R1124&gt;0,EDATE($P1124,ROUND((DATEDIF($P1124,INT($B1124),"m")+(INT($B1124)-EDATE($P1124,DATEDIF($P1124,INT($B1124),"m")))/(EDATE($P1124,DATEDIF($P1124,INT($B1124),"m")+1)-EDATE($P1124,DATEDIF($P1124,INT($B1124),"m"))))/$R1124,0)*$R1124),$P1124))))),"")))</f>
      </c>
      <c r="M1124" s="223">
        <f>IF(OR($C1124="",N($L1124)=0,N($B1124)=0),"",IF(IF(MOD($L1124,1)=0,INT($B1124),$B1124)&lt;=$L1124,"Đúng hạn","Trễ hạn"))</f>
      </c>
      <c r="N1124" s="225">
        <f>IF($C1124="","",ROW())</f>
      </c>
      <c r="O1124" s="225">
        <f>IF($I1124="Công việc",MATCH($C1124,'Kế hoạch'!$A$6:$A$305,0),"")</f>
      </c>
      <c r="P1124" s="234">
        <f>IF($O1124="","",INDEX('Kế hoạch'!$I$6:$I$305,$O1124))</f>
      </c>
      <c r="Q1124" s="225">
        <f>IF($O1124="","",INDEX('Kế hoạch'!$AJ$6:$AJ$305,$O1124))</f>
      </c>
      <c r="R1124" s="225">
        <f>IF($O1124="","",INDEX('Kế hoạch'!$AK$6:$AK$305,$O1124))</f>
      </c>
    </row>
    <row r="1125">
      <c r="A1125" s="223">
        <f>IF($C1125="","",COUNTIF($C$6:$C1125,"?*"))</f>
      </c>
      <c r="B1125" s="217"/>
      <c r="C1125" s="216"/>
      <c r="D1125" s="240"/>
      <c r="E1125" s="218"/>
      <c r="F1125" s="218"/>
      <c r="G1125" s="218"/>
      <c r="H1125" s="219"/>
      <c r="I1125" s="223">
        <f>IF($C1125="","",IF(ISNUMBER(MATCH($C1125,'Phản ánh'!$A$6:$A$505,0)),"Phản ánh",IF(ISNUMBER(MATCH($C1125,'Kế hoạch'!$A$6:$A$305,0)),"Công việc","Mã chưa có")))</f>
      </c>
      <c r="J1125" s="221">
        <f>IF($I1125="Phản ánh",INDEX('Phản ánh'!$C$6:$C$505,MATCH($C1125,'Phản ánh'!$A$6:$A$505,0)),IF($I1125="Công việc",INDEX('Kế hoạch'!$C$6:$C$305,$O1125),""))</f>
      </c>
      <c r="K1125" s="221">
        <f>IF($I1125="Phản ánh",INDEX('Phản ánh'!$K$6:$K$505,MATCH($C1125,'Phản ánh'!$A$6:$A$505,0))&amp;"",IF($I1125="Công việc",INDEX('Kế hoạch'!$N$6:$N$305,$O1125)&amp;"",""))</f>
      </c>
      <c r="L1125" s="220">
        <f>IF(OR($C1125="",N($B1125)=0),"",IF(AND($I1125="Phản ánh",$E1125="Đã xử lý"),INDEX('Phản ánh'!$U$6:$U$505,MATCH($C1125,'Phản ánh'!$A$6:$A$505,0)),IF(AND($I1125="Công việc",OR($E1125="Hoàn thành",$E1125="Hoàn thành kỳ")),IF(INDEX('Kế hoạch'!$B$6:$B$305,$O1125)="Đột xuất",INDEX('Kế hoạch'!$AY$6:$AY$305,$O1125),IF(N($P1125)=0,"",IF(INT($B1125)&lt;$P1125,$P1125,IF($Q1125&gt;0,$P1125+ROUND((INT($B1125)-$P1125)/$Q1125,0)*$Q1125,IF($R1125&gt;0,EDATE($P1125,ROUND((DATEDIF($P1125,INT($B1125),"m")+(INT($B1125)-EDATE($P1125,DATEDIF($P1125,INT($B1125),"m")))/(EDATE($P1125,DATEDIF($P1125,INT($B1125),"m")+1)-EDATE($P1125,DATEDIF($P1125,INT($B1125),"m"))))/$R1125,0)*$R1125),$P1125))))),"")))</f>
      </c>
      <c r="M1125" s="223">
        <f>IF(OR($C1125="",N($L1125)=0,N($B1125)=0),"",IF(IF(MOD($L1125,1)=0,INT($B1125),$B1125)&lt;=$L1125,"Đúng hạn","Trễ hạn"))</f>
      </c>
      <c r="N1125" s="225">
        <f>IF($C1125="","",ROW())</f>
      </c>
      <c r="O1125" s="225">
        <f>IF($I1125="Công việc",MATCH($C1125,'Kế hoạch'!$A$6:$A$305,0),"")</f>
      </c>
      <c r="P1125" s="234">
        <f>IF($O1125="","",INDEX('Kế hoạch'!$I$6:$I$305,$O1125))</f>
      </c>
      <c r="Q1125" s="225">
        <f>IF($O1125="","",INDEX('Kế hoạch'!$AJ$6:$AJ$305,$O1125))</f>
      </c>
      <c r="R1125" s="225">
        <f>IF($O1125="","",INDEX('Kế hoạch'!$AK$6:$AK$305,$O1125))</f>
      </c>
    </row>
    <row r="1126">
      <c r="A1126" s="223">
        <f>IF($C1126="","",COUNTIF($C$6:$C1126,"?*"))</f>
      </c>
      <c r="B1126" s="217"/>
      <c r="C1126" s="216"/>
      <c r="D1126" s="240"/>
      <c r="E1126" s="218"/>
      <c r="F1126" s="218"/>
      <c r="G1126" s="218"/>
      <c r="H1126" s="219"/>
      <c r="I1126" s="223">
        <f>IF($C1126="","",IF(ISNUMBER(MATCH($C1126,'Phản ánh'!$A$6:$A$505,0)),"Phản ánh",IF(ISNUMBER(MATCH($C1126,'Kế hoạch'!$A$6:$A$305,0)),"Công việc","Mã chưa có")))</f>
      </c>
      <c r="J1126" s="221">
        <f>IF($I1126="Phản ánh",INDEX('Phản ánh'!$C$6:$C$505,MATCH($C1126,'Phản ánh'!$A$6:$A$505,0)),IF($I1126="Công việc",INDEX('Kế hoạch'!$C$6:$C$305,$O1126),""))</f>
      </c>
      <c r="K1126" s="221">
        <f>IF($I1126="Phản ánh",INDEX('Phản ánh'!$K$6:$K$505,MATCH($C1126,'Phản ánh'!$A$6:$A$505,0))&amp;"",IF($I1126="Công việc",INDEX('Kế hoạch'!$N$6:$N$305,$O1126)&amp;"",""))</f>
      </c>
      <c r="L1126" s="220">
        <f>IF(OR($C1126="",N($B1126)=0),"",IF(AND($I1126="Phản ánh",$E1126="Đã xử lý"),INDEX('Phản ánh'!$U$6:$U$505,MATCH($C1126,'Phản ánh'!$A$6:$A$505,0)),IF(AND($I1126="Công việc",OR($E1126="Hoàn thành",$E1126="Hoàn thành kỳ")),IF(INDEX('Kế hoạch'!$B$6:$B$305,$O1126)="Đột xuất",INDEX('Kế hoạch'!$AY$6:$AY$305,$O1126),IF(N($P1126)=0,"",IF(INT($B1126)&lt;$P1126,$P1126,IF($Q1126&gt;0,$P1126+ROUND((INT($B1126)-$P1126)/$Q1126,0)*$Q1126,IF($R1126&gt;0,EDATE($P1126,ROUND((DATEDIF($P1126,INT($B1126),"m")+(INT($B1126)-EDATE($P1126,DATEDIF($P1126,INT($B1126),"m")))/(EDATE($P1126,DATEDIF($P1126,INT($B1126),"m")+1)-EDATE($P1126,DATEDIF($P1126,INT($B1126),"m"))))/$R1126,0)*$R1126),$P1126))))),"")))</f>
      </c>
      <c r="M1126" s="223">
        <f>IF(OR($C1126="",N($L1126)=0,N($B1126)=0),"",IF(IF(MOD($L1126,1)=0,INT($B1126),$B1126)&lt;=$L1126,"Đúng hạn","Trễ hạn"))</f>
      </c>
      <c r="N1126" s="225">
        <f>IF($C1126="","",ROW())</f>
      </c>
      <c r="O1126" s="225">
        <f>IF($I1126="Công việc",MATCH($C1126,'Kế hoạch'!$A$6:$A$305,0),"")</f>
      </c>
      <c r="P1126" s="234">
        <f>IF($O1126="","",INDEX('Kế hoạch'!$I$6:$I$305,$O1126))</f>
      </c>
      <c r="Q1126" s="225">
        <f>IF($O1126="","",INDEX('Kế hoạch'!$AJ$6:$AJ$305,$O1126))</f>
      </c>
      <c r="R1126" s="225">
        <f>IF($O1126="","",INDEX('Kế hoạch'!$AK$6:$AK$305,$O1126))</f>
      </c>
    </row>
    <row r="1127">
      <c r="A1127" s="223">
        <f>IF($C1127="","",COUNTIF($C$6:$C1127,"?*"))</f>
      </c>
      <c r="B1127" s="217"/>
      <c r="C1127" s="216"/>
      <c r="D1127" s="240"/>
      <c r="E1127" s="218"/>
      <c r="F1127" s="218"/>
      <c r="G1127" s="218"/>
      <c r="H1127" s="219"/>
      <c r="I1127" s="223">
        <f>IF($C1127="","",IF(ISNUMBER(MATCH($C1127,'Phản ánh'!$A$6:$A$505,0)),"Phản ánh",IF(ISNUMBER(MATCH($C1127,'Kế hoạch'!$A$6:$A$305,0)),"Công việc","Mã chưa có")))</f>
      </c>
      <c r="J1127" s="221">
        <f>IF($I1127="Phản ánh",INDEX('Phản ánh'!$C$6:$C$505,MATCH($C1127,'Phản ánh'!$A$6:$A$505,0)),IF($I1127="Công việc",INDEX('Kế hoạch'!$C$6:$C$305,$O1127),""))</f>
      </c>
      <c r="K1127" s="221">
        <f>IF($I1127="Phản ánh",INDEX('Phản ánh'!$K$6:$K$505,MATCH($C1127,'Phản ánh'!$A$6:$A$505,0))&amp;"",IF($I1127="Công việc",INDEX('Kế hoạch'!$N$6:$N$305,$O1127)&amp;"",""))</f>
      </c>
      <c r="L1127" s="220">
        <f>IF(OR($C1127="",N($B1127)=0),"",IF(AND($I1127="Phản ánh",$E1127="Đã xử lý"),INDEX('Phản ánh'!$U$6:$U$505,MATCH($C1127,'Phản ánh'!$A$6:$A$505,0)),IF(AND($I1127="Công việc",OR($E1127="Hoàn thành",$E1127="Hoàn thành kỳ")),IF(INDEX('Kế hoạch'!$B$6:$B$305,$O1127)="Đột xuất",INDEX('Kế hoạch'!$AY$6:$AY$305,$O1127),IF(N($P1127)=0,"",IF(INT($B1127)&lt;$P1127,$P1127,IF($Q1127&gt;0,$P1127+ROUND((INT($B1127)-$P1127)/$Q1127,0)*$Q1127,IF($R1127&gt;0,EDATE($P1127,ROUND((DATEDIF($P1127,INT($B1127),"m")+(INT($B1127)-EDATE($P1127,DATEDIF($P1127,INT($B1127),"m")))/(EDATE($P1127,DATEDIF($P1127,INT($B1127),"m")+1)-EDATE($P1127,DATEDIF($P1127,INT($B1127),"m"))))/$R1127,0)*$R1127),$P1127))))),"")))</f>
      </c>
      <c r="M1127" s="223">
        <f>IF(OR($C1127="",N($L1127)=0,N($B1127)=0),"",IF(IF(MOD($L1127,1)=0,INT($B1127),$B1127)&lt;=$L1127,"Đúng hạn","Trễ hạn"))</f>
      </c>
      <c r="N1127" s="225">
        <f>IF($C1127="","",ROW())</f>
      </c>
      <c r="O1127" s="225">
        <f>IF($I1127="Công việc",MATCH($C1127,'Kế hoạch'!$A$6:$A$305,0),"")</f>
      </c>
      <c r="P1127" s="234">
        <f>IF($O1127="","",INDEX('Kế hoạch'!$I$6:$I$305,$O1127))</f>
      </c>
      <c r="Q1127" s="225">
        <f>IF($O1127="","",INDEX('Kế hoạch'!$AJ$6:$AJ$305,$O1127))</f>
      </c>
      <c r="R1127" s="225">
        <f>IF($O1127="","",INDEX('Kế hoạch'!$AK$6:$AK$305,$O1127))</f>
      </c>
    </row>
    <row r="1128">
      <c r="A1128" s="223">
        <f>IF($C1128="","",COUNTIF($C$6:$C1128,"?*"))</f>
      </c>
      <c r="B1128" s="217"/>
      <c r="C1128" s="216"/>
      <c r="D1128" s="240"/>
      <c r="E1128" s="218"/>
      <c r="F1128" s="218"/>
      <c r="G1128" s="218"/>
      <c r="H1128" s="219"/>
      <c r="I1128" s="223">
        <f>IF($C1128="","",IF(ISNUMBER(MATCH($C1128,'Phản ánh'!$A$6:$A$505,0)),"Phản ánh",IF(ISNUMBER(MATCH($C1128,'Kế hoạch'!$A$6:$A$305,0)),"Công việc","Mã chưa có")))</f>
      </c>
      <c r="J1128" s="221">
        <f>IF($I1128="Phản ánh",INDEX('Phản ánh'!$C$6:$C$505,MATCH($C1128,'Phản ánh'!$A$6:$A$505,0)),IF($I1128="Công việc",INDEX('Kế hoạch'!$C$6:$C$305,$O1128),""))</f>
      </c>
      <c r="K1128" s="221">
        <f>IF($I1128="Phản ánh",INDEX('Phản ánh'!$K$6:$K$505,MATCH($C1128,'Phản ánh'!$A$6:$A$505,0))&amp;"",IF($I1128="Công việc",INDEX('Kế hoạch'!$N$6:$N$305,$O1128)&amp;"",""))</f>
      </c>
      <c r="L1128" s="220">
        <f>IF(OR($C1128="",N($B1128)=0),"",IF(AND($I1128="Phản ánh",$E1128="Đã xử lý"),INDEX('Phản ánh'!$U$6:$U$505,MATCH($C1128,'Phản ánh'!$A$6:$A$505,0)),IF(AND($I1128="Công việc",OR($E1128="Hoàn thành",$E1128="Hoàn thành kỳ")),IF(INDEX('Kế hoạch'!$B$6:$B$305,$O1128)="Đột xuất",INDEX('Kế hoạch'!$AY$6:$AY$305,$O1128),IF(N($P1128)=0,"",IF(INT($B1128)&lt;$P1128,$P1128,IF($Q1128&gt;0,$P1128+ROUND((INT($B1128)-$P1128)/$Q1128,0)*$Q1128,IF($R1128&gt;0,EDATE($P1128,ROUND((DATEDIF($P1128,INT($B1128),"m")+(INT($B1128)-EDATE($P1128,DATEDIF($P1128,INT($B1128),"m")))/(EDATE($P1128,DATEDIF($P1128,INT($B1128),"m")+1)-EDATE($P1128,DATEDIF($P1128,INT($B1128),"m"))))/$R1128,0)*$R1128),$P1128))))),"")))</f>
      </c>
      <c r="M1128" s="223">
        <f>IF(OR($C1128="",N($L1128)=0,N($B1128)=0),"",IF(IF(MOD($L1128,1)=0,INT($B1128),$B1128)&lt;=$L1128,"Đúng hạn","Trễ hạn"))</f>
      </c>
      <c r="N1128" s="225">
        <f>IF($C1128="","",ROW())</f>
      </c>
      <c r="O1128" s="225">
        <f>IF($I1128="Công việc",MATCH($C1128,'Kế hoạch'!$A$6:$A$305,0),"")</f>
      </c>
      <c r="P1128" s="234">
        <f>IF($O1128="","",INDEX('Kế hoạch'!$I$6:$I$305,$O1128))</f>
      </c>
      <c r="Q1128" s="225">
        <f>IF($O1128="","",INDEX('Kế hoạch'!$AJ$6:$AJ$305,$O1128))</f>
      </c>
      <c r="R1128" s="225">
        <f>IF($O1128="","",INDEX('Kế hoạch'!$AK$6:$AK$305,$O1128))</f>
      </c>
    </row>
    <row r="1129">
      <c r="A1129" s="223">
        <f>IF($C1129="","",COUNTIF($C$6:$C1129,"?*"))</f>
      </c>
      <c r="B1129" s="217"/>
      <c r="C1129" s="216"/>
      <c r="D1129" s="240"/>
      <c r="E1129" s="218"/>
      <c r="F1129" s="218"/>
      <c r="G1129" s="218"/>
      <c r="H1129" s="219"/>
      <c r="I1129" s="223">
        <f>IF($C1129="","",IF(ISNUMBER(MATCH($C1129,'Phản ánh'!$A$6:$A$505,0)),"Phản ánh",IF(ISNUMBER(MATCH($C1129,'Kế hoạch'!$A$6:$A$305,0)),"Công việc","Mã chưa có")))</f>
      </c>
      <c r="J1129" s="221">
        <f>IF($I1129="Phản ánh",INDEX('Phản ánh'!$C$6:$C$505,MATCH($C1129,'Phản ánh'!$A$6:$A$505,0)),IF($I1129="Công việc",INDEX('Kế hoạch'!$C$6:$C$305,$O1129),""))</f>
      </c>
      <c r="K1129" s="221">
        <f>IF($I1129="Phản ánh",INDEX('Phản ánh'!$K$6:$K$505,MATCH($C1129,'Phản ánh'!$A$6:$A$505,0))&amp;"",IF($I1129="Công việc",INDEX('Kế hoạch'!$N$6:$N$305,$O1129)&amp;"",""))</f>
      </c>
      <c r="L1129" s="220">
        <f>IF(OR($C1129="",N($B1129)=0),"",IF(AND($I1129="Phản ánh",$E1129="Đã xử lý"),INDEX('Phản ánh'!$U$6:$U$505,MATCH($C1129,'Phản ánh'!$A$6:$A$505,0)),IF(AND($I1129="Công việc",OR($E1129="Hoàn thành",$E1129="Hoàn thành kỳ")),IF(INDEX('Kế hoạch'!$B$6:$B$305,$O1129)="Đột xuất",INDEX('Kế hoạch'!$AY$6:$AY$305,$O1129),IF(N($P1129)=0,"",IF(INT($B1129)&lt;$P1129,$P1129,IF($Q1129&gt;0,$P1129+ROUND((INT($B1129)-$P1129)/$Q1129,0)*$Q1129,IF($R1129&gt;0,EDATE($P1129,ROUND((DATEDIF($P1129,INT($B1129),"m")+(INT($B1129)-EDATE($P1129,DATEDIF($P1129,INT($B1129),"m")))/(EDATE($P1129,DATEDIF($P1129,INT($B1129),"m")+1)-EDATE($P1129,DATEDIF($P1129,INT($B1129),"m"))))/$R1129,0)*$R1129),$P1129))))),"")))</f>
      </c>
      <c r="M1129" s="223">
        <f>IF(OR($C1129="",N($L1129)=0,N($B1129)=0),"",IF(IF(MOD($L1129,1)=0,INT($B1129),$B1129)&lt;=$L1129,"Đúng hạn","Trễ hạn"))</f>
      </c>
      <c r="N1129" s="225">
        <f>IF($C1129="","",ROW())</f>
      </c>
      <c r="O1129" s="225">
        <f>IF($I1129="Công việc",MATCH($C1129,'Kế hoạch'!$A$6:$A$305,0),"")</f>
      </c>
      <c r="P1129" s="234">
        <f>IF($O1129="","",INDEX('Kế hoạch'!$I$6:$I$305,$O1129))</f>
      </c>
      <c r="Q1129" s="225">
        <f>IF($O1129="","",INDEX('Kế hoạch'!$AJ$6:$AJ$305,$O1129))</f>
      </c>
      <c r="R1129" s="225">
        <f>IF($O1129="","",INDEX('Kế hoạch'!$AK$6:$AK$305,$O1129))</f>
      </c>
    </row>
    <row r="1130">
      <c r="A1130" s="223">
        <f>IF($C1130="","",COUNTIF($C$6:$C1130,"?*"))</f>
      </c>
      <c r="B1130" s="217"/>
      <c r="C1130" s="216"/>
      <c r="D1130" s="240"/>
      <c r="E1130" s="218"/>
      <c r="F1130" s="218"/>
      <c r="G1130" s="218"/>
      <c r="H1130" s="219"/>
      <c r="I1130" s="223">
        <f>IF($C1130="","",IF(ISNUMBER(MATCH($C1130,'Phản ánh'!$A$6:$A$505,0)),"Phản ánh",IF(ISNUMBER(MATCH($C1130,'Kế hoạch'!$A$6:$A$305,0)),"Công việc","Mã chưa có")))</f>
      </c>
      <c r="J1130" s="221">
        <f>IF($I1130="Phản ánh",INDEX('Phản ánh'!$C$6:$C$505,MATCH($C1130,'Phản ánh'!$A$6:$A$505,0)),IF($I1130="Công việc",INDEX('Kế hoạch'!$C$6:$C$305,$O1130),""))</f>
      </c>
      <c r="K1130" s="221">
        <f>IF($I1130="Phản ánh",INDEX('Phản ánh'!$K$6:$K$505,MATCH($C1130,'Phản ánh'!$A$6:$A$505,0))&amp;"",IF($I1130="Công việc",INDEX('Kế hoạch'!$N$6:$N$305,$O1130)&amp;"",""))</f>
      </c>
      <c r="L1130" s="220">
        <f>IF(OR($C1130="",N($B1130)=0),"",IF(AND($I1130="Phản ánh",$E1130="Đã xử lý"),INDEX('Phản ánh'!$U$6:$U$505,MATCH($C1130,'Phản ánh'!$A$6:$A$505,0)),IF(AND($I1130="Công việc",OR($E1130="Hoàn thành",$E1130="Hoàn thành kỳ")),IF(INDEX('Kế hoạch'!$B$6:$B$305,$O1130)="Đột xuất",INDEX('Kế hoạch'!$AY$6:$AY$305,$O1130),IF(N($P1130)=0,"",IF(INT($B1130)&lt;$P1130,$P1130,IF($Q1130&gt;0,$P1130+ROUND((INT($B1130)-$P1130)/$Q1130,0)*$Q1130,IF($R1130&gt;0,EDATE($P1130,ROUND((DATEDIF($P1130,INT($B1130),"m")+(INT($B1130)-EDATE($P1130,DATEDIF($P1130,INT($B1130),"m")))/(EDATE($P1130,DATEDIF($P1130,INT($B1130),"m")+1)-EDATE($P1130,DATEDIF($P1130,INT($B1130),"m"))))/$R1130,0)*$R1130),$P1130))))),"")))</f>
      </c>
      <c r="M1130" s="223">
        <f>IF(OR($C1130="",N($L1130)=0,N($B1130)=0),"",IF(IF(MOD($L1130,1)=0,INT($B1130),$B1130)&lt;=$L1130,"Đúng hạn","Trễ hạn"))</f>
      </c>
      <c r="N1130" s="225">
        <f>IF($C1130="","",ROW())</f>
      </c>
      <c r="O1130" s="225">
        <f>IF($I1130="Công việc",MATCH($C1130,'Kế hoạch'!$A$6:$A$305,0),"")</f>
      </c>
      <c r="P1130" s="234">
        <f>IF($O1130="","",INDEX('Kế hoạch'!$I$6:$I$305,$O1130))</f>
      </c>
      <c r="Q1130" s="225">
        <f>IF($O1130="","",INDEX('Kế hoạch'!$AJ$6:$AJ$305,$O1130))</f>
      </c>
      <c r="R1130" s="225">
        <f>IF($O1130="","",INDEX('Kế hoạch'!$AK$6:$AK$305,$O1130))</f>
      </c>
    </row>
    <row r="1131">
      <c r="A1131" s="223">
        <f>IF($C1131="","",COUNTIF($C$6:$C1131,"?*"))</f>
      </c>
      <c r="B1131" s="217"/>
      <c r="C1131" s="216"/>
      <c r="D1131" s="240"/>
      <c r="E1131" s="218"/>
      <c r="F1131" s="218"/>
      <c r="G1131" s="218"/>
      <c r="H1131" s="219"/>
      <c r="I1131" s="223">
        <f>IF($C1131="","",IF(ISNUMBER(MATCH($C1131,'Phản ánh'!$A$6:$A$505,0)),"Phản ánh",IF(ISNUMBER(MATCH($C1131,'Kế hoạch'!$A$6:$A$305,0)),"Công việc","Mã chưa có")))</f>
      </c>
      <c r="J1131" s="221">
        <f>IF($I1131="Phản ánh",INDEX('Phản ánh'!$C$6:$C$505,MATCH($C1131,'Phản ánh'!$A$6:$A$505,0)),IF($I1131="Công việc",INDEX('Kế hoạch'!$C$6:$C$305,$O1131),""))</f>
      </c>
      <c r="K1131" s="221">
        <f>IF($I1131="Phản ánh",INDEX('Phản ánh'!$K$6:$K$505,MATCH($C1131,'Phản ánh'!$A$6:$A$505,0))&amp;"",IF($I1131="Công việc",INDEX('Kế hoạch'!$N$6:$N$305,$O1131)&amp;"",""))</f>
      </c>
      <c r="L1131" s="220">
        <f>IF(OR($C1131="",N($B1131)=0),"",IF(AND($I1131="Phản ánh",$E1131="Đã xử lý"),INDEX('Phản ánh'!$U$6:$U$505,MATCH($C1131,'Phản ánh'!$A$6:$A$505,0)),IF(AND($I1131="Công việc",OR($E1131="Hoàn thành",$E1131="Hoàn thành kỳ")),IF(INDEX('Kế hoạch'!$B$6:$B$305,$O1131)="Đột xuất",INDEX('Kế hoạch'!$AY$6:$AY$305,$O1131),IF(N($P1131)=0,"",IF(INT($B1131)&lt;$P1131,$P1131,IF($Q1131&gt;0,$P1131+ROUND((INT($B1131)-$P1131)/$Q1131,0)*$Q1131,IF($R1131&gt;0,EDATE($P1131,ROUND((DATEDIF($P1131,INT($B1131),"m")+(INT($B1131)-EDATE($P1131,DATEDIF($P1131,INT($B1131),"m")))/(EDATE($P1131,DATEDIF($P1131,INT($B1131),"m")+1)-EDATE($P1131,DATEDIF($P1131,INT($B1131),"m"))))/$R1131,0)*$R1131),$P1131))))),"")))</f>
      </c>
      <c r="M1131" s="223">
        <f>IF(OR($C1131="",N($L1131)=0,N($B1131)=0),"",IF(IF(MOD($L1131,1)=0,INT($B1131),$B1131)&lt;=$L1131,"Đúng hạn","Trễ hạn"))</f>
      </c>
      <c r="N1131" s="225">
        <f>IF($C1131="","",ROW())</f>
      </c>
      <c r="O1131" s="225">
        <f>IF($I1131="Công việc",MATCH($C1131,'Kế hoạch'!$A$6:$A$305,0),"")</f>
      </c>
      <c r="P1131" s="234">
        <f>IF($O1131="","",INDEX('Kế hoạch'!$I$6:$I$305,$O1131))</f>
      </c>
      <c r="Q1131" s="225">
        <f>IF($O1131="","",INDEX('Kế hoạch'!$AJ$6:$AJ$305,$O1131))</f>
      </c>
      <c r="R1131" s="225">
        <f>IF($O1131="","",INDEX('Kế hoạch'!$AK$6:$AK$305,$O1131))</f>
      </c>
    </row>
    <row r="1132">
      <c r="A1132" s="223">
        <f>IF($C1132="","",COUNTIF($C$6:$C1132,"?*"))</f>
      </c>
      <c r="B1132" s="217"/>
      <c r="C1132" s="216"/>
      <c r="D1132" s="240"/>
      <c r="E1132" s="218"/>
      <c r="F1132" s="218"/>
      <c r="G1132" s="218"/>
      <c r="H1132" s="219"/>
      <c r="I1132" s="223">
        <f>IF($C1132="","",IF(ISNUMBER(MATCH($C1132,'Phản ánh'!$A$6:$A$505,0)),"Phản ánh",IF(ISNUMBER(MATCH($C1132,'Kế hoạch'!$A$6:$A$305,0)),"Công việc","Mã chưa có")))</f>
      </c>
      <c r="J1132" s="221">
        <f>IF($I1132="Phản ánh",INDEX('Phản ánh'!$C$6:$C$505,MATCH($C1132,'Phản ánh'!$A$6:$A$505,0)),IF($I1132="Công việc",INDEX('Kế hoạch'!$C$6:$C$305,$O1132),""))</f>
      </c>
      <c r="K1132" s="221">
        <f>IF($I1132="Phản ánh",INDEX('Phản ánh'!$K$6:$K$505,MATCH($C1132,'Phản ánh'!$A$6:$A$505,0))&amp;"",IF($I1132="Công việc",INDEX('Kế hoạch'!$N$6:$N$305,$O1132)&amp;"",""))</f>
      </c>
      <c r="L1132" s="220">
        <f>IF(OR($C1132="",N($B1132)=0),"",IF(AND($I1132="Phản ánh",$E1132="Đã xử lý"),INDEX('Phản ánh'!$U$6:$U$505,MATCH($C1132,'Phản ánh'!$A$6:$A$505,0)),IF(AND($I1132="Công việc",OR($E1132="Hoàn thành",$E1132="Hoàn thành kỳ")),IF(INDEX('Kế hoạch'!$B$6:$B$305,$O1132)="Đột xuất",INDEX('Kế hoạch'!$AY$6:$AY$305,$O1132),IF(N($P1132)=0,"",IF(INT($B1132)&lt;$P1132,$P1132,IF($Q1132&gt;0,$P1132+ROUND((INT($B1132)-$P1132)/$Q1132,0)*$Q1132,IF($R1132&gt;0,EDATE($P1132,ROUND((DATEDIF($P1132,INT($B1132),"m")+(INT($B1132)-EDATE($P1132,DATEDIF($P1132,INT($B1132),"m")))/(EDATE($P1132,DATEDIF($P1132,INT($B1132),"m")+1)-EDATE($P1132,DATEDIF($P1132,INT($B1132),"m"))))/$R1132,0)*$R1132),$P1132))))),"")))</f>
      </c>
      <c r="M1132" s="223">
        <f>IF(OR($C1132="",N($L1132)=0,N($B1132)=0),"",IF(IF(MOD($L1132,1)=0,INT($B1132),$B1132)&lt;=$L1132,"Đúng hạn","Trễ hạn"))</f>
      </c>
      <c r="N1132" s="225">
        <f>IF($C1132="","",ROW())</f>
      </c>
      <c r="O1132" s="225">
        <f>IF($I1132="Công việc",MATCH($C1132,'Kế hoạch'!$A$6:$A$305,0),"")</f>
      </c>
      <c r="P1132" s="234">
        <f>IF($O1132="","",INDEX('Kế hoạch'!$I$6:$I$305,$O1132))</f>
      </c>
      <c r="Q1132" s="225">
        <f>IF($O1132="","",INDEX('Kế hoạch'!$AJ$6:$AJ$305,$O1132))</f>
      </c>
      <c r="R1132" s="225">
        <f>IF($O1132="","",INDEX('Kế hoạch'!$AK$6:$AK$305,$O1132))</f>
      </c>
    </row>
    <row r="1133">
      <c r="A1133" s="223">
        <f>IF($C1133="","",COUNTIF($C$6:$C1133,"?*"))</f>
      </c>
      <c r="B1133" s="217"/>
      <c r="C1133" s="216"/>
      <c r="D1133" s="240"/>
      <c r="E1133" s="218"/>
      <c r="F1133" s="218"/>
      <c r="G1133" s="218"/>
      <c r="H1133" s="219"/>
      <c r="I1133" s="223">
        <f>IF($C1133="","",IF(ISNUMBER(MATCH($C1133,'Phản ánh'!$A$6:$A$505,0)),"Phản ánh",IF(ISNUMBER(MATCH($C1133,'Kế hoạch'!$A$6:$A$305,0)),"Công việc","Mã chưa có")))</f>
      </c>
      <c r="J1133" s="221">
        <f>IF($I1133="Phản ánh",INDEX('Phản ánh'!$C$6:$C$505,MATCH($C1133,'Phản ánh'!$A$6:$A$505,0)),IF($I1133="Công việc",INDEX('Kế hoạch'!$C$6:$C$305,$O1133),""))</f>
      </c>
      <c r="K1133" s="221">
        <f>IF($I1133="Phản ánh",INDEX('Phản ánh'!$K$6:$K$505,MATCH($C1133,'Phản ánh'!$A$6:$A$505,0))&amp;"",IF($I1133="Công việc",INDEX('Kế hoạch'!$N$6:$N$305,$O1133)&amp;"",""))</f>
      </c>
      <c r="L1133" s="220">
        <f>IF(OR($C1133="",N($B1133)=0),"",IF(AND($I1133="Phản ánh",$E1133="Đã xử lý"),INDEX('Phản ánh'!$U$6:$U$505,MATCH($C1133,'Phản ánh'!$A$6:$A$505,0)),IF(AND($I1133="Công việc",OR($E1133="Hoàn thành",$E1133="Hoàn thành kỳ")),IF(INDEX('Kế hoạch'!$B$6:$B$305,$O1133)="Đột xuất",INDEX('Kế hoạch'!$AY$6:$AY$305,$O1133),IF(N($P1133)=0,"",IF(INT($B1133)&lt;$P1133,$P1133,IF($Q1133&gt;0,$P1133+ROUND((INT($B1133)-$P1133)/$Q1133,0)*$Q1133,IF($R1133&gt;0,EDATE($P1133,ROUND((DATEDIF($P1133,INT($B1133),"m")+(INT($B1133)-EDATE($P1133,DATEDIF($P1133,INT($B1133),"m")))/(EDATE($P1133,DATEDIF($P1133,INT($B1133),"m")+1)-EDATE($P1133,DATEDIF($P1133,INT($B1133),"m"))))/$R1133,0)*$R1133),$P1133))))),"")))</f>
      </c>
      <c r="M1133" s="223">
        <f>IF(OR($C1133="",N($L1133)=0,N($B1133)=0),"",IF(IF(MOD($L1133,1)=0,INT($B1133),$B1133)&lt;=$L1133,"Đúng hạn","Trễ hạn"))</f>
      </c>
      <c r="N1133" s="225">
        <f>IF($C1133="","",ROW())</f>
      </c>
      <c r="O1133" s="225">
        <f>IF($I1133="Công việc",MATCH($C1133,'Kế hoạch'!$A$6:$A$305,0),"")</f>
      </c>
      <c r="P1133" s="234">
        <f>IF($O1133="","",INDEX('Kế hoạch'!$I$6:$I$305,$O1133))</f>
      </c>
      <c r="Q1133" s="225">
        <f>IF($O1133="","",INDEX('Kế hoạch'!$AJ$6:$AJ$305,$O1133))</f>
      </c>
      <c r="R1133" s="225">
        <f>IF($O1133="","",INDEX('Kế hoạch'!$AK$6:$AK$305,$O1133))</f>
      </c>
    </row>
    <row r="1134">
      <c r="A1134" s="223">
        <f>IF($C1134="","",COUNTIF($C$6:$C1134,"?*"))</f>
      </c>
      <c r="B1134" s="217"/>
      <c r="C1134" s="216"/>
      <c r="D1134" s="240"/>
      <c r="E1134" s="218"/>
      <c r="F1134" s="218"/>
      <c r="G1134" s="218"/>
      <c r="H1134" s="219"/>
      <c r="I1134" s="223">
        <f>IF($C1134="","",IF(ISNUMBER(MATCH($C1134,'Phản ánh'!$A$6:$A$505,0)),"Phản ánh",IF(ISNUMBER(MATCH($C1134,'Kế hoạch'!$A$6:$A$305,0)),"Công việc","Mã chưa có")))</f>
      </c>
      <c r="J1134" s="221">
        <f>IF($I1134="Phản ánh",INDEX('Phản ánh'!$C$6:$C$505,MATCH($C1134,'Phản ánh'!$A$6:$A$505,0)),IF($I1134="Công việc",INDEX('Kế hoạch'!$C$6:$C$305,$O1134),""))</f>
      </c>
      <c r="K1134" s="221">
        <f>IF($I1134="Phản ánh",INDEX('Phản ánh'!$K$6:$K$505,MATCH($C1134,'Phản ánh'!$A$6:$A$505,0))&amp;"",IF($I1134="Công việc",INDEX('Kế hoạch'!$N$6:$N$305,$O1134)&amp;"",""))</f>
      </c>
      <c r="L1134" s="220">
        <f>IF(OR($C1134="",N($B1134)=0),"",IF(AND($I1134="Phản ánh",$E1134="Đã xử lý"),INDEX('Phản ánh'!$U$6:$U$505,MATCH($C1134,'Phản ánh'!$A$6:$A$505,0)),IF(AND($I1134="Công việc",OR($E1134="Hoàn thành",$E1134="Hoàn thành kỳ")),IF(INDEX('Kế hoạch'!$B$6:$B$305,$O1134)="Đột xuất",INDEX('Kế hoạch'!$AY$6:$AY$305,$O1134),IF(N($P1134)=0,"",IF(INT($B1134)&lt;$P1134,$P1134,IF($Q1134&gt;0,$P1134+ROUND((INT($B1134)-$P1134)/$Q1134,0)*$Q1134,IF($R1134&gt;0,EDATE($P1134,ROUND((DATEDIF($P1134,INT($B1134),"m")+(INT($B1134)-EDATE($P1134,DATEDIF($P1134,INT($B1134),"m")))/(EDATE($P1134,DATEDIF($P1134,INT($B1134),"m")+1)-EDATE($P1134,DATEDIF($P1134,INT($B1134),"m"))))/$R1134,0)*$R1134),$P1134))))),"")))</f>
      </c>
      <c r="M1134" s="223">
        <f>IF(OR($C1134="",N($L1134)=0,N($B1134)=0),"",IF(IF(MOD($L1134,1)=0,INT($B1134),$B1134)&lt;=$L1134,"Đúng hạn","Trễ hạn"))</f>
      </c>
      <c r="N1134" s="225">
        <f>IF($C1134="","",ROW())</f>
      </c>
      <c r="O1134" s="225">
        <f>IF($I1134="Công việc",MATCH($C1134,'Kế hoạch'!$A$6:$A$305,0),"")</f>
      </c>
      <c r="P1134" s="234">
        <f>IF($O1134="","",INDEX('Kế hoạch'!$I$6:$I$305,$O1134))</f>
      </c>
      <c r="Q1134" s="225">
        <f>IF($O1134="","",INDEX('Kế hoạch'!$AJ$6:$AJ$305,$O1134))</f>
      </c>
      <c r="R1134" s="225">
        <f>IF($O1134="","",INDEX('Kế hoạch'!$AK$6:$AK$305,$O1134))</f>
      </c>
    </row>
    <row r="1135">
      <c r="A1135" s="223">
        <f>IF($C1135="","",COUNTIF($C$6:$C1135,"?*"))</f>
      </c>
      <c r="B1135" s="217"/>
      <c r="C1135" s="216"/>
      <c r="D1135" s="240"/>
      <c r="E1135" s="218"/>
      <c r="F1135" s="218"/>
      <c r="G1135" s="218"/>
      <c r="H1135" s="219"/>
      <c r="I1135" s="223">
        <f>IF($C1135="","",IF(ISNUMBER(MATCH($C1135,'Phản ánh'!$A$6:$A$505,0)),"Phản ánh",IF(ISNUMBER(MATCH($C1135,'Kế hoạch'!$A$6:$A$305,0)),"Công việc","Mã chưa có")))</f>
      </c>
      <c r="J1135" s="221">
        <f>IF($I1135="Phản ánh",INDEX('Phản ánh'!$C$6:$C$505,MATCH($C1135,'Phản ánh'!$A$6:$A$505,0)),IF($I1135="Công việc",INDEX('Kế hoạch'!$C$6:$C$305,$O1135),""))</f>
      </c>
      <c r="K1135" s="221">
        <f>IF($I1135="Phản ánh",INDEX('Phản ánh'!$K$6:$K$505,MATCH($C1135,'Phản ánh'!$A$6:$A$505,0))&amp;"",IF($I1135="Công việc",INDEX('Kế hoạch'!$N$6:$N$305,$O1135)&amp;"",""))</f>
      </c>
      <c r="L1135" s="220">
        <f>IF(OR($C1135="",N($B1135)=0),"",IF(AND($I1135="Phản ánh",$E1135="Đã xử lý"),INDEX('Phản ánh'!$U$6:$U$505,MATCH($C1135,'Phản ánh'!$A$6:$A$505,0)),IF(AND($I1135="Công việc",OR($E1135="Hoàn thành",$E1135="Hoàn thành kỳ")),IF(INDEX('Kế hoạch'!$B$6:$B$305,$O1135)="Đột xuất",INDEX('Kế hoạch'!$AY$6:$AY$305,$O1135),IF(N($P1135)=0,"",IF(INT($B1135)&lt;$P1135,$P1135,IF($Q1135&gt;0,$P1135+ROUND((INT($B1135)-$P1135)/$Q1135,0)*$Q1135,IF($R1135&gt;0,EDATE($P1135,ROUND((DATEDIF($P1135,INT($B1135),"m")+(INT($B1135)-EDATE($P1135,DATEDIF($P1135,INT($B1135),"m")))/(EDATE($P1135,DATEDIF($P1135,INT($B1135),"m")+1)-EDATE($P1135,DATEDIF($P1135,INT($B1135),"m"))))/$R1135,0)*$R1135),$P1135))))),"")))</f>
      </c>
      <c r="M1135" s="223">
        <f>IF(OR($C1135="",N($L1135)=0,N($B1135)=0),"",IF(IF(MOD($L1135,1)=0,INT($B1135),$B1135)&lt;=$L1135,"Đúng hạn","Trễ hạn"))</f>
      </c>
      <c r="N1135" s="225">
        <f>IF($C1135="","",ROW())</f>
      </c>
      <c r="O1135" s="225">
        <f>IF($I1135="Công việc",MATCH($C1135,'Kế hoạch'!$A$6:$A$305,0),"")</f>
      </c>
      <c r="P1135" s="234">
        <f>IF($O1135="","",INDEX('Kế hoạch'!$I$6:$I$305,$O1135))</f>
      </c>
      <c r="Q1135" s="225">
        <f>IF($O1135="","",INDEX('Kế hoạch'!$AJ$6:$AJ$305,$O1135))</f>
      </c>
      <c r="R1135" s="225">
        <f>IF($O1135="","",INDEX('Kế hoạch'!$AK$6:$AK$305,$O1135))</f>
      </c>
    </row>
    <row r="1136">
      <c r="A1136" s="223">
        <f>IF($C1136="","",COUNTIF($C$6:$C1136,"?*"))</f>
      </c>
      <c r="B1136" s="217"/>
      <c r="C1136" s="216"/>
      <c r="D1136" s="240"/>
      <c r="E1136" s="218"/>
      <c r="F1136" s="218"/>
      <c r="G1136" s="218"/>
      <c r="H1136" s="219"/>
      <c r="I1136" s="223">
        <f>IF($C1136="","",IF(ISNUMBER(MATCH($C1136,'Phản ánh'!$A$6:$A$505,0)),"Phản ánh",IF(ISNUMBER(MATCH($C1136,'Kế hoạch'!$A$6:$A$305,0)),"Công việc","Mã chưa có")))</f>
      </c>
      <c r="J1136" s="221">
        <f>IF($I1136="Phản ánh",INDEX('Phản ánh'!$C$6:$C$505,MATCH($C1136,'Phản ánh'!$A$6:$A$505,0)),IF($I1136="Công việc",INDEX('Kế hoạch'!$C$6:$C$305,$O1136),""))</f>
      </c>
      <c r="K1136" s="221">
        <f>IF($I1136="Phản ánh",INDEX('Phản ánh'!$K$6:$K$505,MATCH($C1136,'Phản ánh'!$A$6:$A$505,0))&amp;"",IF($I1136="Công việc",INDEX('Kế hoạch'!$N$6:$N$305,$O1136)&amp;"",""))</f>
      </c>
      <c r="L1136" s="220">
        <f>IF(OR($C1136="",N($B1136)=0),"",IF(AND($I1136="Phản ánh",$E1136="Đã xử lý"),INDEX('Phản ánh'!$U$6:$U$505,MATCH($C1136,'Phản ánh'!$A$6:$A$505,0)),IF(AND($I1136="Công việc",OR($E1136="Hoàn thành",$E1136="Hoàn thành kỳ")),IF(INDEX('Kế hoạch'!$B$6:$B$305,$O1136)="Đột xuất",INDEX('Kế hoạch'!$AY$6:$AY$305,$O1136),IF(N($P1136)=0,"",IF(INT($B1136)&lt;$P1136,$P1136,IF($Q1136&gt;0,$P1136+ROUND((INT($B1136)-$P1136)/$Q1136,0)*$Q1136,IF($R1136&gt;0,EDATE($P1136,ROUND((DATEDIF($P1136,INT($B1136),"m")+(INT($B1136)-EDATE($P1136,DATEDIF($P1136,INT($B1136),"m")))/(EDATE($P1136,DATEDIF($P1136,INT($B1136),"m")+1)-EDATE($P1136,DATEDIF($P1136,INT($B1136),"m"))))/$R1136,0)*$R1136),$P1136))))),"")))</f>
      </c>
      <c r="M1136" s="223">
        <f>IF(OR($C1136="",N($L1136)=0,N($B1136)=0),"",IF(IF(MOD($L1136,1)=0,INT($B1136),$B1136)&lt;=$L1136,"Đúng hạn","Trễ hạn"))</f>
      </c>
      <c r="N1136" s="225">
        <f>IF($C1136="","",ROW())</f>
      </c>
      <c r="O1136" s="225">
        <f>IF($I1136="Công việc",MATCH($C1136,'Kế hoạch'!$A$6:$A$305,0),"")</f>
      </c>
      <c r="P1136" s="234">
        <f>IF($O1136="","",INDEX('Kế hoạch'!$I$6:$I$305,$O1136))</f>
      </c>
      <c r="Q1136" s="225">
        <f>IF($O1136="","",INDEX('Kế hoạch'!$AJ$6:$AJ$305,$O1136))</f>
      </c>
      <c r="R1136" s="225">
        <f>IF($O1136="","",INDEX('Kế hoạch'!$AK$6:$AK$305,$O1136))</f>
      </c>
    </row>
    <row r="1137">
      <c r="A1137" s="223">
        <f>IF($C1137="","",COUNTIF($C$6:$C1137,"?*"))</f>
      </c>
      <c r="B1137" s="217"/>
      <c r="C1137" s="216"/>
      <c r="D1137" s="240"/>
      <c r="E1137" s="218"/>
      <c r="F1137" s="218"/>
      <c r="G1137" s="218"/>
      <c r="H1137" s="219"/>
      <c r="I1137" s="223">
        <f>IF($C1137="","",IF(ISNUMBER(MATCH($C1137,'Phản ánh'!$A$6:$A$505,0)),"Phản ánh",IF(ISNUMBER(MATCH($C1137,'Kế hoạch'!$A$6:$A$305,0)),"Công việc","Mã chưa có")))</f>
      </c>
      <c r="J1137" s="221">
        <f>IF($I1137="Phản ánh",INDEX('Phản ánh'!$C$6:$C$505,MATCH($C1137,'Phản ánh'!$A$6:$A$505,0)),IF($I1137="Công việc",INDEX('Kế hoạch'!$C$6:$C$305,$O1137),""))</f>
      </c>
      <c r="K1137" s="221">
        <f>IF($I1137="Phản ánh",INDEX('Phản ánh'!$K$6:$K$505,MATCH($C1137,'Phản ánh'!$A$6:$A$505,0))&amp;"",IF($I1137="Công việc",INDEX('Kế hoạch'!$N$6:$N$305,$O1137)&amp;"",""))</f>
      </c>
      <c r="L1137" s="220">
        <f>IF(OR($C1137="",N($B1137)=0),"",IF(AND($I1137="Phản ánh",$E1137="Đã xử lý"),INDEX('Phản ánh'!$U$6:$U$505,MATCH($C1137,'Phản ánh'!$A$6:$A$505,0)),IF(AND($I1137="Công việc",OR($E1137="Hoàn thành",$E1137="Hoàn thành kỳ")),IF(INDEX('Kế hoạch'!$B$6:$B$305,$O1137)="Đột xuất",INDEX('Kế hoạch'!$AY$6:$AY$305,$O1137),IF(N($P1137)=0,"",IF(INT($B1137)&lt;$P1137,$P1137,IF($Q1137&gt;0,$P1137+ROUND((INT($B1137)-$P1137)/$Q1137,0)*$Q1137,IF($R1137&gt;0,EDATE($P1137,ROUND((DATEDIF($P1137,INT($B1137),"m")+(INT($B1137)-EDATE($P1137,DATEDIF($P1137,INT($B1137),"m")))/(EDATE($P1137,DATEDIF($P1137,INT($B1137),"m")+1)-EDATE($P1137,DATEDIF($P1137,INT($B1137),"m"))))/$R1137,0)*$R1137),$P1137))))),"")))</f>
      </c>
      <c r="M1137" s="223">
        <f>IF(OR($C1137="",N($L1137)=0,N($B1137)=0),"",IF(IF(MOD($L1137,1)=0,INT($B1137),$B1137)&lt;=$L1137,"Đúng hạn","Trễ hạn"))</f>
      </c>
      <c r="N1137" s="225">
        <f>IF($C1137="","",ROW())</f>
      </c>
      <c r="O1137" s="225">
        <f>IF($I1137="Công việc",MATCH($C1137,'Kế hoạch'!$A$6:$A$305,0),"")</f>
      </c>
      <c r="P1137" s="234">
        <f>IF($O1137="","",INDEX('Kế hoạch'!$I$6:$I$305,$O1137))</f>
      </c>
      <c r="Q1137" s="225">
        <f>IF($O1137="","",INDEX('Kế hoạch'!$AJ$6:$AJ$305,$O1137))</f>
      </c>
      <c r="R1137" s="225">
        <f>IF($O1137="","",INDEX('Kế hoạch'!$AK$6:$AK$305,$O1137))</f>
      </c>
    </row>
    <row r="1138">
      <c r="A1138" s="223">
        <f>IF($C1138="","",COUNTIF($C$6:$C1138,"?*"))</f>
      </c>
      <c r="B1138" s="217"/>
      <c r="C1138" s="216"/>
      <c r="D1138" s="240"/>
      <c r="E1138" s="218"/>
      <c r="F1138" s="218"/>
      <c r="G1138" s="218"/>
      <c r="H1138" s="219"/>
      <c r="I1138" s="223">
        <f>IF($C1138="","",IF(ISNUMBER(MATCH($C1138,'Phản ánh'!$A$6:$A$505,0)),"Phản ánh",IF(ISNUMBER(MATCH($C1138,'Kế hoạch'!$A$6:$A$305,0)),"Công việc","Mã chưa có")))</f>
      </c>
      <c r="J1138" s="221">
        <f>IF($I1138="Phản ánh",INDEX('Phản ánh'!$C$6:$C$505,MATCH($C1138,'Phản ánh'!$A$6:$A$505,0)),IF($I1138="Công việc",INDEX('Kế hoạch'!$C$6:$C$305,$O1138),""))</f>
      </c>
      <c r="K1138" s="221">
        <f>IF($I1138="Phản ánh",INDEX('Phản ánh'!$K$6:$K$505,MATCH($C1138,'Phản ánh'!$A$6:$A$505,0))&amp;"",IF($I1138="Công việc",INDEX('Kế hoạch'!$N$6:$N$305,$O1138)&amp;"",""))</f>
      </c>
      <c r="L1138" s="220">
        <f>IF(OR($C1138="",N($B1138)=0),"",IF(AND($I1138="Phản ánh",$E1138="Đã xử lý"),INDEX('Phản ánh'!$U$6:$U$505,MATCH($C1138,'Phản ánh'!$A$6:$A$505,0)),IF(AND($I1138="Công việc",OR($E1138="Hoàn thành",$E1138="Hoàn thành kỳ")),IF(INDEX('Kế hoạch'!$B$6:$B$305,$O1138)="Đột xuất",INDEX('Kế hoạch'!$AY$6:$AY$305,$O1138),IF(N($P1138)=0,"",IF(INT($B1138)&lt;$P1138,$P1138,IF($Q1138&gt;0,$P1138+ROUND((INT($B1138)-$P1138)/$Q1138,0)*$Q1138,IF($R1138&gt;0,EDATE($P1138,ROUND((DATEDIF($P1138,INT($B1138),"m")+(INT($B1138)-EDATE($P1138,DATEDIF($P1138,INT($B1138),"m")))/(EDATE($P1138,DATEDIF($P1138,INT($B1138),"m")+1)-EDATE($P1138,DATEDIF($P1138,INT($B1138),"m"))))/$R1138,0)*$R1138),$P1138))))),"")))</f>
      </c>
      <c r="M1138" s="223">
        <f>IF(OR($C1138="",N($L1138)=0,N($B1138)=0),"",IF(IF(MOD($L1138,1)=0,INT($B1138),$B1138)&lt;=$L1138,"Đúng hạn","Trễ hạn"))</f>
      </c>
      <c r="N1138" s="225">
        <f>IF($C1138="","",ROW())</f>
      </c>
      <c r="O1138" s="225">
        <f>IF($I1138="Công việc",MATCH($C1138,'Kế hoạch'!$A$6:$A$305,0),"")</f>
      </c>
      <c r="P1138" s="234">
        <f>IF($O1138="","",INDEX('Kế hoạch'!$I$6:$I$305,$O1138))</f>
      </c>
      <c r="Q1138" s="225">
        <f>IF($O1138="","",INDEX('Kế hoạch'!$AJ$6:$AJ$305,$O1138))</f>
      </c>
      <c r="R1138" s="225">
        <f>IF($O1138="","",INDEX('Kế hoạch'!$AK$6:$AK$305,$O1138))</f>
      </c>
    </row>
    <row r="1139">
      <c r="A1139" s="223">
        <f>IF($C1139="","",COUNTIF($C$6:$C1139,"?*"))</f>
      </c>
      <c r="B1139" s="217"/>
      <c r="C1139" s="216"/>
      <c r="D1139" s="240"/>
      <c r="E1139" s="218"/>
      <c r="F1139" s="218"/>
      <c r="G1139" s="218"/>
      <c r="H1139" s="219"/>
      <c r="I1139" s="223">
        <f>IF($C1139="","",IF(ISNUMBER(MATCH($C1139,'Phản ánh'!$A$6:$A$505,0)),"Phản ánh",IF(ISNUMBER(MATCH($C1139,'Kế hoạch'!$A$6:$A$305,0)),"Công việc","Mã chưa có")))</f>
      </c>
      <c r="J1139" s="221">
        <f>IF($I1139="Phản ánh",INDEX('Phản ánh'!$C$6:$C$505,MATCH($C1139,'Phản ánh'!$A$6:$A$505,0)),IF($I1139="Công việc",INDEX('Kế hoạch'!$C$6:$C$305,$O1139),""))</f>
      </c>
      <c r="K1139" s="221">
        <f>IF($I1139="Phản ánh",INDEX('Phản ánh'!$K$6:$K$505,MATCH($C1139,'Phản ánh'!$A$6:$A$505,0))&amp;"",IF($I1139="Công việc",INDEX('Kế hoạch'!$N$6:$N$305,$O1139)&amp;"",""))</f>
      </c>
      <c r="L1139" s="220">
        <f>IF(OR($C1139="",N($B1139)=0),"",IF(AND($I1139="Phản ánh",$E1139="Đã xử lý"),INDEX('Phản ánh'!$U$6:$U$505,MATCH($C1139,'Phản ánh'!$A$6:$A$505,0)),IF(AND($I1139="Công việc",OR($E1139="Hoàn thành",$E1139="Hoàn thành kỳ")),IF(INDEX('Kế hoạch'!$B$6:$B$305,$O1139)="Đột xuất",INDEX('Kế hoạch'!$AY$6:$AY$305,$O1139),IF(N($P1139)=0,"",IF(INT($B1139)&lt;$P1139,$P1139,IF($Q1139&gt;0,$P1139+ROUND((INT($B1139)-$P1139)/$Q1139,0)*$Q1139,IF($R1139&gt;0,EDATE($P1139,ROUND((DATEDIF($P1139,INT($B1139),"m")+(INT($B1139)-EDATE($P1139,DATEDIF($P1139,INT($B1139),"m")))/(EDATE($P1139,DATEDIF($P1139,INT($B1139),"m")+1)-EDATE($P1139,DATEDIF($P1139,INT($B1139),"m"))))/$R1139,0)*$R1139),$P1139))))),"")))</f>
      </c>
      <c r="M1139" s="223">
        <f>IF(OR($C1139="",N($L1139)=0,N($B1139)=0),"",IF(IF(MOD($L1139,1)=0,INT($B1139),$B1139)&lt;=$L1139,"Đúng hạn","Trễ hạn"))</f>
      </c>
      <c r="N1139" s="225">
        <f>IF($C1139="","",ROW())</f>
      </c>
      <c r="O1139" s="225">
        <f>IF($I1139="Công việc",MATCH($C1139,'Kế hoạch'!$A$6:$A$305,0),"")</f>
      </c>
      <c r="P1139" s="234">
        <f>IF($O1139="","",INDEX('Kế hoạch'!$I$6:$I$305,$O1139))</f>
      </c>
      <c r="Q1139" s="225">
        <f>IF($O1139="","",INDEX('Kế hoạch'!$AJ$6:$AJ$305,$O1139))</f>
      </c>
      <c r="R1139" s="225">
        <f>IF($O1139="","",INDEX('Kế hoạch'!$AK$6:$AK$305,$O1139))</f>
      </c>
    </row>
    <row r="1140">
      <c r="A1140" s="223">
        <f>IF($C1140="","",COUNTIF($C$6:$C1140,"?*"))</f>
      </c>
      <c r="B1140" s="217"/>
      <c r="C1140" s="216"/>
      <c r="D1140" s="240"/>
      <c r="E1140" s="218"/>
      <c r="F1140" s="218"/>
      <c r="G1140" s="218"/>
      <c r="H1140" s="219"/>
      <c r="I1140" s="223">
        <f>IF($C1140="","",IF(ISNUMBER(MATCH($C1140,'Phản ánh'!$A$6:$A$505,0)),"Phản ánh",IF(ISNUMBER(MATCH($C1140,'Kế hoạch'!$A$6:$A$305,0)),"Công việc","Mã chưa có")))</f>
      </c>
      <c r="J1140" s="221">
        <f>IF($I1140="Phản ánh",INDEX('Phản ánh'!$C$6:$C$505,MATCH($C1140,'Phản ánh'!$A$6:$A$505,0)),IF($I1140="Công việc",INDEX('Kế hoạch'!$C$6:$C$305,$O1140),""))</f>
      </c>
      <c r="K1140" s="221">
        <f>IF($I1140="Phản ánh",INDEX('Phản ánh'!$K$6:$K$505,MATCH($C1140,'Phản ánh'!$A$6:$A$505,0))&amp;"",IF($I1140="Công việc",INDEX('Kế hoạch'!$N$6:$N$305,$O1140)&amp;"",""))</f>
      </c>
      <c r="L1140" s="220">
        <f>IF(OR($C1140="",N($B1140)=0),"",IF(AND($I1140="Phản ánh",$E1140="Đã xử lý"),INDEX('Phản ánh'!$U$6:$U$505,MATCH($C1140,'Phản ánh'!$A$6:$A$505,0)),IF(AND($I1140="Công việc",OR($E1140="Hoàn thành",$E1140="Hoàn thành kỳ")),IF(INDEX('Kế hoạch'!$B$6:$B$305,$O1140)="Đột xuất",INDEX('Kế hoạch'!$AY$6:$AY$305,$O1140),IF(N($P1140)=0,"",IF(INT($B1140)&lt;$P1140,$P1140,IF($Q1140&gt;0,$P1140+ROUND((INT($B1140)-$P1140)/$Q1140,0)*$Q1140,IF($R1140&gt;0,EDATE($P1140,ROUND((DATEDIF($P1140,INT($B1140),"m")+(INT($B1140)-EDATE($P1140,DATEDIF($P1140,INT($B1140),"m")))/(EDATE($P1140,DATEDIF($P1140,INT($B1140),"m")+1)-EDATE($P1140,DATEDIF($P1140,INT($B1140),"m"))))/$R1140,0)*$R1140),$P1140))))),"")))</f>
      </c>
      <c r="M1140" s="223">
        <f>IF(OR($C1140="",N($L1140)=0,N($B1140)=0),"",IF(IF(MOD($L1140,1)=0,INT($B1140),$B1140)&lt;=$L1140,"Đúng hạn","Trễ hạn"))</f>
      </c>
      <c r="N1140" s="225">
        <f>IF($C1140="","",ROW())</f>
      </c>
      <c r="O1140" s="225">
        <f>IF($I1140="Công việc",MATCH($C1140,'Kế hoạch'!$A$6:$A$305,0),"")</f>
      </c>
      <c r="P1140" s="234">
        <f>IF($O1140="","",INDEX('Kế hoạch'!$I$6:$I$305,$O1140))</f>
      </c>
      <c r="Q1140" s="225">
        <f>IF($O1140="","",INDEX('Kế hoạch'!$AJ$6:$AJ$305,$O1140))</f>
      </c>
      <c r="R1140" s="225">
        <f>IF($O1140="","",INDEX('Kế hoạch'!$AK$6:$AK$305,$O1140))</f>
      </c>
    </row>
    <row r="1141">
      <c r="A1141" s="223">
        <f>IF($C1141="","",COUNTIF($C$6:$C1141,"?*"))</f>
      </c>
      <c r="B1141" s="217"/>
      <c r="C1141" s="216"/>
      <c r="D1141" s="240"/>
      <c r="E1141" s="218"/>
      <c r="F1141" s="218"/>
      <c r="G1141" s="218"/>
      <c r="H1141" s="219"/>
      <c r="I1141" s="223">
        <f>IF($C1141="","",IF(ISNUMBER(MATCH($C1141,'Phản ánh'!$A$6:$A$505,0)),"Phản ánh",IF(ISNUMBER(MATCH($C1141,'Kế hoạch'!$A$6:$A$305,0)),"Công việc","Mã chưa có")))</f>
      </c>
      <c r="J1141" s="221">
        <f>IF($I1141="Phản ánh",INDEX('Phản ánh'!$C$6:$C$505,MATCH($C1141,'Phản ánh'!$A$6:$A$505,0)),IF($I1141="Công việc",INDEX('Kế hoạch'!$C$6:$C$305,$O1141),""))</f>
      </c>
      <c r="K1141" s="221">
        <f>IF($I1141="Phản ánh",INDEX('Phản ánh'!$K$6:$K$505,MATCH($C1141,'Phản ánh'!$A$6:$A$505,0))&amp;"",IF($I1141="Công việc",INDEX('Kế hoạch'!$N$6:$N$305,$O1141)&amp;"",""))</f>
      </c>
      <c r="L1141" s="220">
        <f>IF(OR($C1141="",N($B1141)=0),"",IF(AND($I1141="Phản ánh",$E1141="Đã xử lý"),INDEX('Phản ánh'!$U$6:$U$505,MATCH($C1141,'Phản ánh'!$A$6:$A$505,0)),IF(AND($I1141="Công việc",OR($E1141="Hoàn thành",$E1141="Hoàn thành kỳ")),IF(INDEX('Kế hoạch'!$B$6:$B$305,$O1141)="Đột xuất",INDEX('Kế hoạch'!$AY$6:$AY$305,$O1141),IF(N($P1141)=0,"",IF(INT($B1141)&lt;$P1141,$P1141,IF($Q1141&gt;0,$P1141+ROUND((INT($B1141)-$P1141)/$Q1141,0)*$Q1141,IF($R1141&gt;0,EDATE($P1141,ROUND((DATEDIF($P1141,INT($B1141),"m")+(INT($B1141)-EDATE($P1141,DATEDIF($P1141,INT($B1141),"m")))/(EDATE($P1141,DATEDIF($P1141,INT($B1141),"m")+1)-EDATE($P1141,DATEDIF($P1141,INT($B1141),"m"))))/$R1141,0)*$R1141),$P1141))))),"")))</f>
      </c>
      <c r="M1141" s="223">
        <f>IF(OR($C1141="",N($L1141)=0,N($B1141)=0),"",IF(IF(MOD($L1141,1)=0,INT($B1141),$B1141)&lt;=$L1141,"Đúng hạn","Trễ hạn"))</f>
      </c>
      <c r="N1141" s="225">
        <f>IF($C1141="","",ROW())</f>
      </c>
      <c r="O1141" s="225">
        <f>IF($I1141="Công việc",MATCH($C1141,'Kế hoạch'!$A$6:$A$305,0),"")</f>
      </c>
      <c r="P1141" s="234">
        <f>IF($O1141="","",INDEX('Kế hoạch'!$I$6:$I$305,$O1141))</f>
      </c>
      <c r="Q1141" s="225">
        <f>IF($O1141="","",INDEX('Kế hoạch'!$AJ$6:$AJ$305,$O1141))</f>
      </c>
      <c r="R1141" s="225">
        <f>IF($O1141="","",INDEX('Kế hoạch'!$AK$6:$AK$305,$O1141))</f>
      </c>
    </row>
    <row r="1142">
      <c r="A1142" s="223">
        <f>IF($C1142="","",COUNTIF($C$6:$C1142,"?*"))</f>
      </c>
      <c r="B1142" s="217"/>
      <c r="C1142" s="216"/>
      <c r="D1142" s="240"/>
      <c r="E1142" s="218"/>
      <c r="F1142" s="218"/>
      <c r="G1142" s="218"/>
      <c r="H1142" s="219"/>
      <c r="I1142" s="223">
        <f>IF($C1142="","",IF(ISNUMBER(MATCH($C1142,'Phản ánh'!$A$6:$A$505,0)),"Phản ánh",IF(ISNUMBER(MATCH($C1142,'Kế hoạch'!$A$6:$A$305,0)),"Công việc","Mã chưa có")))</f>
      </c>
      <c r="J1142" s="221">
        <f>IF($I1142="Phản ánh",INDEX('Phản ánh'!$C$6:$C$505,MATCH($C1142,'Phản ánh'!$A$6:$A$505,0)),IF($I1142="Công việc",INDEX('Kế hoạch'!$C$6:$C$305,$O1142),""))</f>
      </c>
      <c r="K1142" s="221">
        <f>IF($I1142="Phản ánh",INDEX('Phản ánh'!$K$6:$K$505,MATCH($C1142,'Phản ánh'!$A$6:$A$505,0))&amp;"",IF($I1142="Công việc",INDEX('Kế hoạch'!$N$6:$N$305,$O1142)&amp;"",""))</f>
      </c>
      <c r="L1142" s="220">
        <f>IF(OR($C1142="",N($B1142)=0),"",IF(AND($I1142="Phản ánh",$E1142="Đã xử lý"),INDEX('Phản ánh'!$U$6:$U$505,MATCH($C1142,'Phản ánh'!$A$6:$A$505,0)),IF(AND($I1142="Công việc",OR($E1142="Hoàn thành",$E1142="Hoàn thành kỳ")),IF(INDEX('Kế hoạch'!$B$6:$B$305,$O1142)="Đột xuất",INDEX('Kế hoạch'!$AY$6:$AY$305,$O1142),IF(N($P1142)=0,"",IF(INT($B1142)&lt;$P1142,$P1142,IF($Q1142&gt;0,$P1142+ROUND((INT($B1142)-$P1142)/$Q1142,0)*$Q1142,IF($R1142&gt;0,EDATE($P1142,ROUND((DATEDIF($P1142,INT($B1142),"m")+(INT($B1142)-EDATE($P1142,DATEDIF($P1142,INT($B1142),"m")))/(EDATE($P1142,DATEDIF($P1142,INT($B1142),"m")+1)-EDATE($P1142,DATEDIF($P1142,INT($B1142),"m"))))/$R1142,0)*$R1142),$P1142))))),"")))</f>
      </c>
      <c r="M1142" s="223">
        <f>IF(OR($C1142="",N($L1142)=0,N($B1142)=0),"",IF(IF(MOD($L1142,1)=0,INT($B1142),$B1142)&lt;=$L1142,"Đúng hạn","Trễ hạn"))</f>
      </c>
      <c r="N1142" s="225">
        <f>IF($C1142="","",ROW())</f>
      </c>
      <c r="O1142" s="225">
        <f>IF($I1142="Công việc",MATCH($C1142,'Kế hoạch'!$A$6:$A$305,0),"")</f>
      </c>
      <c r="P1142" s="234">
        <f>IF($O1142="","",INDEX('Kế hoạch'!$I$6:$I$305,$O1142))</f>
      </c>
      <c r="Q1142" s="225">
        <f>IF($O1142="","",INDEX('Kế hoạch'!$AJ$6:$AJ$305,$O1142))</f>
      </c>
      <c r="R1142" s="225">
        <f>IF($O1142="","",INDEX('Kế hoạch'!$AK$6:$AK$305,$O1142))</f>
      </c>
    </row>
    <row r="1143">
      <c r="A1143" s="223">
        <f>IF($C1143="","",COUNTIF($C$6:$C1143,"?*"))</f>
      </c>
      <c r="B1143" s="217"/>
      <c r="C1143" s="216"/>
      <c r="D1143" s="240"/>
      <c r="E1143" s="218"/>
      <c r="F1143" s="218"/>
      <c r="G1143" s="218"/>
      <c r="H1143" s="219"/>
      <c r="I1143" s="223">
        <f>IF($C1143="","",IF(ISNUMBER(MATCH($C1143,'Phản ánh'!$A$6:$A$505,0)),"Phản ánh",IF(ISNUMBER(MATCH($C1143,'Kế hoạch'!$A$6:$A$305,0)),"Công việc","Mã chưa có")))</f>
      </c>
      <c r="J1143" s="221">
        <f>IF($I1143="Phản ánh",INDEX('Phản ánh'!$C$6:$C$505,MATCH($C1143,'Phản ánh'!$A$6:$A$505,0)),IF($I1143="Công việc",INDEX('Kế hoạch'!$C$6:$C$305,$O1143),""))</f>
      </c>
      <c r="K1143" s="221">
        <f>IF($I1143="Phản ánh",INDEX('Phản ánh'!$K$6:$K$505,MATCH($C1143,'Phản ánh'!$A$6:$A$505,0))&amp;"",IF($I1143="Công việc",INDEX('Kế hoạch'!$N$6:$N$305,$O1143)&amp;"",""))</f>
      </c>
      <c r="L1143" s="220">
        <f>IF(OR($C1143="",N($B1143)=0),"",IF(AND($I1143="Phản ánh",$E1143="Đã xử lý"),INDEX('Phản ánh'!$U$6:$U$505,MATCH($C1143,'Phản ánh'!$A$6:$A$505,0)),IF(AND($I1143="Công việc",OR($E1143="Hoàn thành",$E1143="Hoàn thành kỳ")),IF(INDEX('Kế hoạch'!$B$6:$B$305,$O1143)="Đột xuất",INDEX('Kế hoạch'!$AY$6:$AY$305,$O1143),IF(N($P1143)=0,"",IF(INT($B1143)&lt;$P1143,$P1143,IF($Q1143&gt;0,$P1143+ROUND((INT($B1143)-$P1143)/$Q1143,0)*$Q1143,IF($R1143&gt;0,EDATE($P1143,ROUND((DATEDIF($P1143,INT($B1143),"m")+(INT($B1143)-EDATE($P1143,DATEDIF($P1143,INT($B1143),"m")))/(EDATE($P1143,DATEDIF($P1143,INT($B1143),"m")+1)-EDATE($P1143,DATEDIF($P1143,INT($B1143),"m"))))/$R1143,0)*$R1143),$P1143))))),"")))</f>
      </c>
      <c r="M1143" s="223">
        <f>IF(OR($C1143="",N($L1143)=0,N($B1143)=0),"",IF(IF(MOD($L1143,1)=0,INT($B1143),$B1143)&lt;=$L1143,"Đúng hạn","Trễ hạn"))</f>
      </c>
      <c r="N1143" s="225">
        <f>IF($C1143="","",ROW())</f>
      </c>
      <c r="O1143" s="225">
        <f>IF($I1143="Công việc",MATCH($C1143,'Kế hoạch'!$A$6:$A$305,0),"")</f>
      </c>
      <c r="P1143" s="234">
        <f>IF($O1143="","",INDEX('Kế hoạch'!$I$6:$I$305,$O1143))</f>
      </c>
      <c r="Q1143" s="225">
        <f>IF($O1143="","",INDEX('Kế hoạch'!$AJ$6:$AJ$305,$O1143))</f>
      </c>
      <c r="R1143" s="225">
        <f>IF($O1143="","",INDEX('Kế hoạch'!$AK$6:$AK$305,$O1143))</f>
      </c>
    </row>
    <row r="1144">
      <c r="A1144" s="223">
        <f>IF($C1144="","",COUNTIF($C$6:$C1144,"?*"))</f>
      </c>
      <c r="B1144" s="217"/>
      <c r="C1144" s="216"/>
      <c r="D1144" s="240"/>
      <c r="E1144" s="218"/>
      <c r="F1144" s="218"/>
      <c r="G1144" s="218"/>
      <c r="H1144" s="219"/>
      <c r="I1144" s="223">
        <f>IF($C1144="","",IF(ISNUMBER(MATCH($C1144,'Phản ánh'!$A$6:$A$505,0)),"Phản ánh",IF(ISNUMBER(MATCH($C1144,'Kế hoạch'!$A$6:$A$305,0)),"Công việc","Mã chưa có")))</f>
      </c>
      <c r="J1144" s="221">
        <f>IF($I1144="Phản ánh",INDEX('Phản ánh'!$C$6:$C$505,MATCH($C1144,'Phản ánh'!$A$6:$A$505,0)),IF($I1144="Công việc",INDEX('Kế hoạch'!$C$6:$C$305,$O1144),""))</f>
      </c>
      <c r="K1144" s="221">
        <f>IF($I1144="Phản ánh",INDEX('Phản ánh'!$K$6:$K$505,MATCH($C1144,'Phản ánh'!$A$6:$A$505,0))&amp;"",IF($I1144="Công việc",INDEX('Kế hoạch'!$N$6:$N$305,$O1144)&amp;"",""))</f>
      </c>
      <c r="L1144" s="220">
        <f>IF(OR($C1144="",N($B1144)=0),"",IF(AND($I1144="Phản ánh",$E1144="Đã xử lý"),INDEX('Phản ánh'!$U$6:$U$505,MATCH($C1144,'Phản ánh'!$A$6:$A$505,0)),IF(AND($I1144="Công việc",OR($E1144="Hoàn thành",$E1144="Hoàn thành kỳ")),IF(INDEX('Kế hoạch'!$B$6:$B$305,$O1144)="Đột xuất",INDEX('Kế hoạch'!$AY$6:$AY$305,$O1144),IF(N($P1144)=0,"",IF(INT($B1144)&lt;$P1144,$P1144,IF($Q1144&gt;0,$P1144+ROUND((INT($B1144)-$P1144)/$Q1144,0)*$Q1144,IF($R1144&gt;0,EDATE($P1144,ROUND((DATEDIF($P1144,INT($B1144),"m")+(INT($B1144)-EDATE($P1144,DATEDIF($P1144,INT($B1144),"m")))/(EDATE($P1144,DATEDIF($P1144,INT($B1144),"m")+1)-EDATE($P1144,DATEDIF($P1144,INT($B1144),"m"))))/$R1144,0)*$R1144),$P1144))))),"")))</f>
      </c>
      <c r="M1144" s="223">
        <f>IF(OR($C1144="",N($L1144)=0,N($B1144)=0),"",IF(IF(MOD($L1144,1)=0,INT($B1144),$B1144)&lt;=$L1144,"Đúng hạn","Trễ hạn"))</f>
      </c>
      <c r="N1144" s="225">
        <f>IF($C1144="","",ROW())</f>
      </c>
      <c r="O1144" s="225">
        <f>IF($I1144="Công việc",MATCH($C1144,'Kế hoạch'!$A$6:$A$305,0),"")</f>
      </c>
      <c r="P1144" s="234">
        <f>IF($O1144="","",INDEX('Kế hoạch'!$I$6:$I$305,$O1144))</f>
      </c>
      <c r="Q1144" s="225">
        <f>IF($O1144="","",INDEX('Kế hoạch'!$AJ$6:$AJ$305,$O1144))</f>
      </c>
      <c r="R1144" s="225">
        <f>IF($O1144="","",INDEX('Kế hoạch'!$AK$6:$AK$305,$O1144))</f>
      </c>
    </row>
    <row r="1145">
      <c r="A1145" s="223">
        <f>IF($C1145="","",COUNTIF($C$6:$C1145,"?*"))</f>
      </c>
      <c r="B1145" s="217"/>
      <c r="C1145" s="216"/>
      <c r="D1145" s="240"/>
      <c r="E1145" s="218"/>
      <c r="F1145" s="218"/>
      <c r="G1145" s="218"/>
      <c r="H1145" s="219"/>
      <c r="I1145" s="223">
        <f>IF($C1145="","",IF(ISNUMBER(MATCH($C1145,'Phản ánh'!$A$6:$A$505,0)),"Phản ánh",IF(ISNUMBER(MATCH($C1145,'Kế hoạch'!$A$6:$A$305,0)),"Công việc","Mã chưa có")))</f>
      </c>
      <c r="J1145" s="221">
        <f>IF($I1145="Phản ánh",INDEX('Phản ánh'!$C$6:$C$505,MATCH($C1145,'Phản ánh'!$A$6:$A$505,0)),IF($I1145="Công việc",INDEX('Kế hoạch'!$C$6:$C$305,$O1145),""))</f>
      </c>
      <c r="K1145" s="221">
        <f>IF($I1145="Phản ánh",INDEX('Phản ánh'!$K$6:$K$505,MATCH($C1145,'Phản ánh'!$A$6:$A$505,0))&amp;"",IF($I1145="Công việc",INDEX('Kế hoạch'!$N$6:$N$305,$O1145)&amp;"",""))</f>
      </c>
      <c r="L1145" s="220">
        <f>IF(OR($C1145="",N($B1145)=0),"",IF(AND($I1145="Phản ánh",$E1145="Đã xử lý"),INDEX('Phản ánh'!$U$6:$U$505,MATCH($C1145,'Phản ánh'!$A$6:$A$505,0)),IF(AND($I1145="Công việc",OR($E1145="Hoàn thành",$E1145="Hoàn thành kỳ")),IF(INDEX('Kế hoạch'!$B$6:$B$305,$O1145)="Đột xuất",INDEX('Kế hoạch'!$AY$6:$AY$305,$O1145),IF(N($P1145)=0,"",IF(INT($B1145)&lt;$P1145,$P1145,IF($Q1145&gt;0,$P1145+ROUND((INT($B1145)-$P1145)/$Q1145,0)*$Q1145,IF($R1145&gt;0,EDATE($P1145,ROUND((DATEDIF($P1145,INT($B1145),"m")+(INT($B1145)-EDATE($P1145,DATEDIF($P1145,INT($B1145),"m")))/(EDATE($P1145,DATEDIF($P1145,INT($B1145),"m")+1)-EDATE($P1145,DATEDIF($P1145,INT($B1145),"m"))))/$R1145,0)*$R1145),$P1145))))),"")))</f>
      </c>
      <c r="M1145" s="223">
        <f>IF(OR($C1145="",N($L1145)=0,N($B1145)=0),"",IF(IF(MOD($L1145,1)=0,INT($B1145),$B1145)&lt;=$L1145,"Đúng hạn","Trễ hạn"))</f>
      </c>
      <c r="N1145" s="225">
        <f>IF($C1145="","",ROW())</f>
      </c>
      <c r="O1145" s="225">
        <f>IF($I1145="Công việc",MATCH($C1145,'Kế hoạch'!$A$6:$A$305,0),"")</f>
      </c>
      <c r="P1145" s="234">
        <f>IF($O1145="","",INDEX('Kế hoạch'!$I$6:$I$305,$O1145))</f>
      </c>
      <c r="Q1145" s="225">
        <f>IF($O1145="","",INDEX('Kế hoạch'!$AJ$6:$AJ$305,$O1145))</f>
      </c>
      <c r="R1145" s="225">
        <f>IF($O1145="","",INDEX('Kế hoạch'!$AK$6:$AK$305,$O1145))</f>
      </c>
    </row>
    <row r="1146">
      <c r="A1146" s="223">
        <f>IF($C1146="","",COUNTIF($C$6:$C1146,"?*"))</f>
      </c>
      <c r="B1146" s="217"/>
      <c r="C1146" s="216"/>
      <c r="D1146" s="240"/>
      <c r="E1146" s="218"/>
      <c r="F1146" s="218"/>
      <c r="G1146" s="218"/>
      <c r="H1146" s="219"/>
      <c r="I1146" s="223">
        <f>IF($C1146="","",IF(ISNUMBER(MATCH($C1146,'Phản ánh'!$A$6:$A$505,0)),"Phản ánh",IF(ISNUMBER(MATCH($C1146,'Kế hoạch'!$A$6:$A$305,0)),"Công việc","Mã chưa có")))</f>
      </c>
      <c r="J1146" s="221">
        <f>IF($I1146="Phản ánh",INDEX('Phản ánh'!$C$6:$C$505,MATCH($C1146,'Phản ánh'!$A$6:$A$505,0)),IF($I1146="Công việc",INDEX('Kế hoạch'!$C$6:$C$305,$O1146),""))</f>
      </c>
      <c r="K1146" s="221">
        <f>IF($I1146="Phản ánh",INDEX('Phản ánh'!$K$6:$K$505,MATCH($C1146,'Phản ánh'!$A$6:$A$505,0))&amp;"",IF($I1146="Công việc",INDEX('Kế hoạch'!$N$6:$N$305,$O1146)&amp;"",""))</f>
      </c>
      <c r="L1146" s="220">
        <f>IF(OR($C1146="",N($B1146)=0),"",IF(AND($I1146="Phản ánh",$E1146="Đã xử lý"),INDEX('Phản ánh'!$U$6:$U$505,MATCH($C1146,'Phản ánh'!$A$6:$A$505,0)),IF(AND($I1146="Công việc",OR($E1146="Hoàn thành",$E1146="Hoàn thành kỳ")),IF(INDEX('Kế hoạch'!$B$6:$B$305,$O1146)="Đột xuất",INDEX('Kế hoạch'!$AY$6:$AY$305,$O1146),IF(N($P1146)=0,"",IF(INT($B1146)&lt;$P1146,$P1146,IF($Q1146&gt;0,$P1146+ROUND((INT($B1146)-$P1146)/$Q1146,0)*$Q1146,IF($R1146&gt;0,EDATE($P1146,ROUND((DATEDIF($P1146,INT($B1146),"m")+(INT($B1146)-EDATE($P1146,DATEDIF($P1146,INT($B1146),"m")))/(EDATE($P1146,DATEDIF($P1146,INT($B1146),"m")+1)-EDATE($P1146,DATEDIF($P1146,INT($B1146),"m"))))/$R1146,0)*$R1146),$P1146))))),"")))</f>
      </c>
      <c r="M1146" s="223">
        <f>IF(OR($C1146="",N($L1146)=0,N($B1146)=0),"",IF(IF(MOD($L1146,1)=0,INT($B1146),$B1146)&lt;=$L1146,"Đúng hạn","Trễ hạn"))</f>
      </c>
      <c r="N1146" s="225">
        <f>IF($C1146="","",ROW())</f>
      </c>
      <c r="O1146" s="225">
        <f>IF($I1146="Công việc",MATCH($C1146,'Kế hoạch'!$A$6:$A$305,0),"")</f>
      </c>
      <c r="P1146" s="234">
        <f>IF($O1146="","",INDEX('Kế hoạch'!$I$6:$I$305,$O1146))</f>
      </c>
      <c r="Q1146" s="225">
        <f>IF($O1146="","",INDEX('Kế hoạch'!$AJ$6:$AJ$305,$O1146))</f>
      </c>
      <c r="R1146" s="225">
        <f>IF($O1146="","",INDEX('Kế hoạch'!$AK$6:$AK$305,$O1146))</f>
      </c>
    </row>
    <row r="1147">
      <c r="A1147" s="223">
        <f>IF($C1147="","",COUNTIF($C$6:$C1147,"?*"))</f>
      </c>
      <c r="B1147" s="217"/>
      <c r="C1147" s="216"/>
      <c r="D1147" s="240"/>
      <c r="E1147" s="218"/>
      <c r="F1147" s="218"/>
      <c r="G1147" s="218"/>
      <c r="H1147" s="219"/>
      <c r="I1147" s="223">
        <f>IF($C1147="","",IF(ISNUMBER(MATCH($C1147,'Phản ánh'!$A$6:$A$505,0)),"Phản ánh",IF(ISNUMBER(MATCH($C1147,'Kế hoạch'!$A$6:$A$305,0)),"Công việc","Mã chưa có")))</f>
      </c>
      <c r="J1147" s="221">
        <f>IF($I1147="Phản ánh",INDEX('Phản ánh'!$C$6:$C$505,MATCH($C1147,'Phản ánh'!$A$6:$A$505,0)),IF($I1147="Công việc",INDEX('Kế hoạch'!$C$6:$C$305,$O1147),""))</f>
      </c>
      <c r="K1147" s="221">
        <f>IF($I1147="Phản ánh",INDEX('Phản ánh'!$K$6:$K$505,MATCH($C1147,'Phản ánh'!$A$6:$A$505,0))&amp;"",IF($I1147="Công việc",INDEX('Kế hoạch'!$N$6:$N$305,$O1147)&amp;"",""))</f>
      </c>
      <c r="L1147" s="220">
        <f>IF(OR($C1147="",N($B1147)=0),"",IF(AND($I1147="Phản ánh",$E1147="Đã xử lý"),INDEX('Phản ánh'!$U$6:$U$505,MATCH($C1147,'Phản ánh'!$A$6:$A$505,0)),IF(AND($I1147="Công việc",OR($E1147="Hoàn thành",$E1147="Hoàn thành kỳ")),IF(INDEX('Kế hoạch'!$B$6:$B$305,$O1147)="Đột xuất",INDEX('Kế hoạch'!$AY$6:$AY$305,$O1147),IF(N($P1147)=0,"",IF(INT($B1147)&lt;$P1147,$P1147,IF($Q1147&gt;0,$P1147+ROUND((INT($B1147)-$P1147)/$Q1147,0)*$Q1147,IF($R1147&gt;0,EDATE($P1147,ROUND((DATEDIF($P1147,INT($B1147),"m")+(INT($B1147)-EDATE($P1147,DATEDIF($P1147,INT($B1147),"m")))/(EDATE($P1147,DATEDIF($P1147,INT($B1147),"m")+1)-EDATE($P1147,DATEDIF($P1147,INT($B1147),"m"))))/$R1147,0)*$R1147),$P1147))))),"")))</f>
      </c>
      <c r="M1147" s="223">
        <f>IF(OR($C1147="",N($L1147)=0,N($B1147)=0),"",IF(IF(MOD($L1147,1)=0,INT($B1147),$B1147)&lt;=$L1147,"Đúng hạn","Trễ hạn"))</f>
      </c>
      <c r="N1147" s="225">
        <f>IF($C1147="","",ROW())</f>
      </c>
      <c r="O1147" s="225">
        <f>IF($I1147="Công việc",MATCH($C1147,'Kế hoạch'!$A$6:$A$305,0),"")</f>
      </c>
      <c r="P1147" s="234">
        <f>IF($O1147="","",INDEX('Kế hoạch'!$I$6:$I$305,$O1147))</f>
      </c>
      <c r="Q1147" s="225">
        <f>IF($O1147="","",INDEX('Kế hoạch'!$AJ$6:$AJ$305,$O1147))</f>
      </c>
      <c r="R1147" s="225">
        <f>IF($O1147="","",INDEX('Kế hoạch'!$AK$6:$AK$305,$O1147))</f>
      </c>
    </row>
    <row r="1148">
      <c r="A1148" s="223">
        <f>IF($C1148="","",COUNTIF($C$6:$C1148,"?*"))</f>
      </c>
      <c r="B1148" s="217"/>
      <c r="C1148" s="216"/>
      <c r="D1148" s="240"/>
      <c r="E1148" s="218"/>
      <c r="F1148" s="218"/>
      <c r="G1148" s="218"/>
      <c r="H1148" s="219"/>
      <c r="I1148" s="223">
        <f>IF($C1148="","",IF(ISNUMBER(MATCH($C1148,'Phản ánh'!$A$6:$A$505,0)),"Phản ánh",IF(ISNUMBER(MATCH($C1148,'Kế hoạch'!$A$6:$A$305,0)),"Công việc","Mã chưa có")))</f>
      </c>
      <c r="J1148" s="221">
        <f>IF($I1148="Phản ánh",INDEX('Phản ánh'!$C$6:$C$505,MATCH($C1148,'Phản ánh'!$A$6:$A$505,0)),IF($I1148="Công việc",INDEX('Kế hoạch'!$C$6:$C$305,$O1148),""))</f>
      </c>
      <c r="K1148" s="221">
        <f>IF($I1148="Phản ánh",INDEX('Phản ánh'!$K$6:$K$505,MATCH($C1148,'Phản ánh'!$A$6:$A$505,0))&amp;"",IF($I1148="Công việc",INDEX('Kế hoạch'!$N$6:$N$305,$O1148)&amp;"",""))</f>
      </c>
      <c r="L1148" s="220">
        <f>IF(OR($C1148="",N($B1148)=0),"",IF(AND($I1148="Phản ánh",$E1148="Đã xử lý"),INDEX('Phản ánh'!$U$6:$U$505,MATCH($C1148,'Phản ánh'!$A$6:$A$505,0)),IF(AND($I1148="Công việc",OR($E1148="Hoàn thành",$E1148="Hoàn thành kỳ")),IF(INDEX('Kế hoạch'!$B$6:$B$305,$O1148)="Đột xuất",INDEX('Kế hoạch'!$AY$6:$AY$305,$O1148),IF(N($P1148)=0,"",IF(INT($B1148)&lt;$P1148,$P1148,IF($Q1148&gt;0,$P1148+ROUND((INT($B1148)-$P1148)/$Q1148,0)*$Q1148,IF($R1148&gt;0,EDATE($P1148,ROUND((DATEDIF($P1148,INT($B1148),"m")+(INT($B1148)-EDATE($P1148,DATEDIF($P1148,INT($B1148),"m")))/(EDATE($P1148,DATEDIF($P1148,INT($B1148),"m")+1)-EDATE($P1148,DATEDIF($P1148,INT($B1148),"m"))))/$R1148,0)*$R1148),$P1148))))),"")))</f>
      </c>
      <c r="M1148" s="223">
        <f>IF(OR($C1148="",N($L1148)=0,N($B1148)=0),"",IF(IF(MOD($L1148,1)=0,INT($B1148),$B1148)&lt;=$L1148,"Đúng hạn","Trễ hạn"))</f>
      </c>
      <c r="N1148" s="225">
        <f>IF($C1148="","",ROW())</f>
      </c>
      <c r="O1148" s="225">
        <f>IF($I1148="Công việc",MATCH($C1148,'Kế hoạch'!$A$6:$A$305,0),"")</f>
      </c>
      <c r="P1148" s="234">
        <f>IF($O1148="","",INDEX('Kế hoạch'!$I$6:$I$305,$O1148))</f>
      </c>
      <c r="Q1148" s="225">
        <f>IF($O1148="","",INDEX('Kế hoạch'!$AJ$6:$AJ$305,$O1148))</f>
      </c>
      <c r="R1148" s="225">
        <f>IF($O1148="","",INDEX('Kế hoạch'!$AK$6:$AK$305,$O1148))</f>
      </c>
    </row>
    <row r="1149">
      <c r="A1149" s="223">
        <f>IF($C1149="","",COUNTIF($C$6:$C1149,"?*"))</f>
      </c>
      <c r="B1149" s="217"/>
      <c r="C1149" s="216"/>
      <c r="D1149" s="240"/>
      <c r="E1149" s="218"/>
      <c r="F1149" s="218"/>
      <c r="G1149" s="218"/>
      <c r="H1149" s="219"/>
      <c r="I1149" s="223">
        <f>IF($C1149="","",IF(ISNUMBER(MATCH($C1149,'Phản ánh'!$A$6:$A$505,0)),"Phản ánh",IF(ISNUMBER(MATCH($C1149,'Kế hoạch'!$A$6:$A$305,0)),"Công việc","Mã chưa có")))</f>
      </c>
      <c r="J1149" s="221">
        <f>IF($I1149="Phản ánh",INDEX('Phản ánh'!$C$6:$C$505,MATCH($C1149,'Phản ánh'!$A$6:$A$505,0)),IF($I1149="Công việc",INDEX('Kế hoạch'!$C$6:$C$305,$O1149),""))</f>
      </c>
      <c r="K1149" s="221">
        <f>IF($I1149="Phản ánh",INDEX('Phản ánh'!$K$6:$K$505,MATCH($C1149,'Phản ánh'!$A$6:$A$505,0))&amp;"",IF($I1149="Công việc",INDEX('Kế hoạch'!$N$6:$N$305,$O1149)&amp;"",""))</f>
      </c>
      <c r="L1149" s="220">
        <f>IF(OR($C1149="",N($B1149)=0),"",IF(AND($I1149="Phản ánh",$E1149="Đã xử lý"),INDEX('Phản ánh'!$U$6:$U$505,MATCH($C1149,'Phản ánh'!$A$6:$A$505,0)),IF(AND($I1149="Công việc",OR($E1149="Hoàn thành",$E1149="Hoàn thành kỳ")),IF(INDEX('Kế hoạch'!$B$6:$B$305,$O1149)="Đột xuất",INDEX('Kế hoạch'!$AY$6:$AY$305,$O1149),IF(N($P1149)=0,"",IF(INT($B1149)&lt;$P1149,$P1149,IF($Q1149&gt;0,$P1149+ROUND((INT($B1149)-$P1149)/$Q1149,0)*$Q1149,IF($R1149&gt;0,EDATE($P1149,ROUND((DATEDIF($P1149,INT($B1149),"m")+(INT($B1149)-EDATE($P1149,DATEDIF($P1149,INT($B1149),"m")))/(EDATE($P1149,DATEDIF($P1149,INT($B1149),"m")+1)-EDATE($P1149,DATEDIF($P1149,INT($B1149),"m"))))/$R1149,0)*$R1149),$P1149))))),"")))</f>
      </c>
      <c r="M1149" s="223">
        <f>IF(OR($C1149="",N($L1149)=0,N($B1149)=0),"",IF(IF(MOD($L1149,1)=0,INT($B1149),$B1149)&lt;=$L1149,"Đúng hạn","Trễ hạn"))</f>
      </c>
      <c r="N1149" s="225">
        <f>IF($C1149="","",ROW())</f>
      </c>
      <c r="O1149" s="225">
        <f>IF($I1149="Công việc",MATCH($C1149,'Kế hoạch'!$A$6:$A$305,0),"")</f>
      </c>
      <c r="P1149" s="234">
        <f>IF($O1149="","",INDEX('Kế hoạch'!$I$6:$I$305,$O1149))</f>
      </c>
      <c r="Q1149" s="225">
        <f>IF($O1149="","",INDEX('Kế hoạch'!$AJ$6:$AJ$305,$O1149))</f>
      </c>
      <c r="R1149" s="225">
        <f>IF($O1149="","",INDEX('Kế hoạch'!$AK$6:$AK$305,$O1149))</f>
      </c>
    </row>
    <row r="1150">
      <c r="A1150" s="223">
        <f>IF($C1150="","",COUNTIF($C$6:$C1150,"?*"))</f>
      </c>
      <c r="B1150" s="217"/>
      <c r="C1150" s="216"/>
      <c r="D1150" s="240"/>
      <c r="E1150" s="218"/>
      <c r="F1150" s="218"/>
      <c r="G1150" s="218"/>
      <c r="H1150" s="219"/>
      <c r="I1150" s="223">
        <f>IF($C1150="","",IF(ISNUMBER(MATCH($C1150,'Phản ánh'!$A$6:$A$505,0)),"Phản ánh",IF(ISNUMBER(MATCH($C1150,'Kế hoạch'!$A$6:$A$305,0)),"Công việc","Mã chưa có")))</f>
      </c>
      <c r="J1150" s="221">
        <f>IF($I1150="Phản ánh",INDEX('Phản ánh'!$C$6:$C$505,MATCH($C1150,'Phản ánh'!$A$6:$A$505,0)),IF($I1150="Công việc",INDEX('Kế hoạch'!$C$6:$C$305,$O1150),""))</f>
      </c>
      <c r="K1150" s="221">
        <f>IF($I1150="Phản ánh",INDEX('Phản ánh'!$K$6:$K$505,MATCH($C1150,'Phản ánh'!$A$6:$A$505,0))&amp;"",IF($I1150="Công việc",INDEX('Kế hoạch'!$N$6:$N$305,$O1150)&amp;"",""))</f>
      </c>
      <c r="L1150" s="220">
        <f>IF(OR($C1150="",N($B1150)=0),"",IF(AND($I1150="Phản ánh",$E1150="Đã xử lý"),INDEX('Phản ánh'!$U$6:$U$505,MATCH($C1150,'Phản ánh'!$A$6:$A$505,0)),IF(AND($I1150="Công việc",OR($E1150="Hoàn thành",$E1150="Hoàn thành kỳ")),IF(INDEX('Kế hoạch'!$B$6:$B$305,$O1150)="Đột xuất",INDEX('Kế hoạch'!$AY$6:$AY$305,$O1150),IF(N($P1150)=0,"",IF(INT($B1150)&lt;$P1150,$P1150,IF($Q1150&gt;0,$P1150+ROUND((INT($B1150)-$P1150)/$Q1150,0)*$Q1150,IF($R1150&gt;0,EDATE($P1150,ROUND((DATEDIF($P1150,INT($B1150),"m")+(INT($B1150)-EDATE($P1150,DATEDIF($P1150,INT($B1150),"m")))/(EDATE($P1150,DATEDIF($P1150,INT($B1150),"m")+1)-EDATE($P1150,DATEDIF($P1150,INT($B1150),"m"))))/$R1150,0)*$R1150),$P1150))))),"")))</f>
      </c>
      <c r="M1150" s="223">
        <f>IF(OR($C1150="",N($L1150)=0,N($B1150)=0),"",IF(IF(MOD($L1150,1)=0,INT($B1150),$B1150)&lt;=$L1150,"Đúng hạn","Trễ hạn"))</f>
      </c>
      <c r="N1150" s="225">
        <f>IF($C1150="","",ROW())</f>
      </c>
      <c r="O1150" s="225">
        <f>IF($I1150="Công việc",MATCH($C1150,'Kế hoạch'!$A$6:$A$305,0),"")</f>
      </c>
      <c r="P1150" s="234">
        <f>IF($O1150="","",INDEX('Kế hoạch'!$I$6:$I$305,$O1150))</f>
      </c>
      <c r="Q1150" s="225">
        <f>IF($O1150="","",INDEX('Kế hoạch'!$AJ$6:$AJ$305,$O1150))</f>
      </c>
      <c r="R1150" s="225">
        <f>IF($O1150="","",INDEX('Kế hoạch'!$AK$6:$AK$305,$O1150))</f>
      </c>
    </row>
    <row r="1151">
      <c r="A1151" s="223">
        <f>IF($C1151="","",COUNTIF($C$6:$C1151,"?*"))</f>
      </c>
      <c r="B1151" s="217"/>
      <c r="C1151" s="216"/>
      <c r="D1151" s="240"/>
      <c r="E1151" s="218"/>
      <c r="F1151" s="218"/>
      <c r="G1151" s="218"/>
      <c r="H1151" s="219"/>
      <c r="I1151" s="223">
        <f>IF($C1151="","",IF(ISNUMBER(MATCH($C1151,'Phản ánh'!$A$6:$A$505,0)),"Phản ánh",IF(ISNUMBER(MATCH($C1151,'Kế hoạch'!$A$6:$A$305,0)),"Công việc","Mã chưa có")))</f>
      </c>
      <c r="J1151" s="221">
        <f>IF($I1151="Phản ánh",INDEX('Phản ánh'!$C$6:$C$505,MATCH($C1151,'Phản ánh'!$A$6:$A$505,0)),IF($I1151="Công việc",INDEX('Kế hoạch'!$C$6:$C$305,$O1151),""))</f>
      </c>
      <c r="K1151" s="221">
        <f>IF($I1151="Phản ánh",INDEX('Phản ánh'!$K$6:$K$505,MATCH($C1151,'Phản ánh'!$A$6:$A$505,0))&amp;"",IF($I1151="Công việc",INDEX('Kế hoạch'!$N$6:$N$305,$O1151)&amp;"",""))</f>
      </c>
      <c r="L1151" s="220">
        <f>IF(OR($C1151="",N($B1151)=0),"",IF(AND($I1151="Phản ánh",$E1151="Đã xử lý"),INDEX('Phản ánh'!$U$6:$U$505,MATCH($C1151,'Phản ánh'!$A$6:$A$505,0)),IF(AND($I1151="Công việc",OR($E1151="Hoàn thành",$E1151="Hoàn thành kỳ")),IF(INDEX('Kế hoạch'!$B$6:$B$305,$O1151)="Đột xuất",INDEX('Kế hoạch'!$AY$6:$AY$305,$O1151),IF(N($P1151)=0,"",IF(INT($B1151)&lt;$P1151,$P1151,IF($Q1151&gt;0,$P1151+ROUND((INT($B1151)-$P1151)/$Q1151,0)*$Q1151,IF($R1151&gt;0,EDATE($P1151,ROUND((DATEDIF($P1151,INT($B1151),"m")+(INT($B1151)-EDATE($P1151,DATEDIF($P1151,INT($B1151),"m")))/(EDATE($P1151,DATEDIF($P1151,INT($B1151),"m")+1)-EDATE($P1151,DATEDIF($P1151,INT($B1151),"m"))))/$R1151,0)*$R1151),$P1151))))),"")))</f>
      </c>
      <c r="M1151" s="223">
        <f>IF(OR($C1151="",N($L1151)=0,N($B1151)=0),"",IF(IF(MOD($L1151,1)=0,INT($B1151),$B1151)&lt;=$L1151,"Đúng hạn","Trễ hạn"))</f>
      </c>
      <c r="N1151" s="225">
        <f>IF($C1151="","",ROW())</f>
      </c>
      <c r="O1151" s="225">
        <f>IF($I1151="Công việc",MATCH($C1151,'Kế hoạch'!$A$6:$A$305,0),"")</f>
      </c>
      <c r="P1151" s="234">
        <f>IF($O1151="","",INDEX('Kế hoạch'!$I$6:$I$305,$O1151))</f>
      </c>
      <c r="Q1151" s="225">
        <f>IF($O1151="","",INDEX('Kế hoạch'!$AJ$6:$AJ$305,$O1151))</f>
      </c>
      <c r="R1151" s="225">
        <f>IF($O1151="","",INDEX('Kế hoạch'!$AK$6:$AK$305,$O1151))</f>
      </c>
    </row>
    <row r="1152">
      <c r="A1152" s="223">
        <f>IF($C1152="","",COUNTIF($C$6:$C1152,"?*"))</f>
      </c>
      <c r="B1152" s="217"/>
      <c r="C1152" s="216"/>
      <c r="D1152" s="240"/>
      <c r="E1152" s="218"/>
      <c r="F1152" s="218"/>
      <c r="G1152" s="218"/>
      <c r="H1152" s="219"/>
      <c r="I1152" s="223">
        <f>IF($C1152="","",IF(ISNUMBER(MATCH($C1152,'Phản ánh'!$A$6:$A$505,0)),"Phản ánh",IF(ISNUMBER(MATCH($C1152,'Kế hoạch'!$A$6:$A$305,0)),"Công việc","Mã chưa có")))</f>
      </c>
      <c r="J1152" s="221">
        <f>IF($I1152="Phản ánh",INDEX('Phản ánh'!$C$6:$C$505,MATCH($C1152,'Phản ánh'!$A$6:$A$505,0)),IF($I1152="Công việc",INDEX('Kế hoạch'!$C$6:$C$305,$O1152),""))</f>
      </c>
      <c r="K1152" s="221">
        <f>IF($I1152="Phản ánh",INDEX('Phản ánh'!$K$6:$K$505,MATCH($C1152,'Phản ánh'!$A$6:$A$505,0))&amp;"",IF($I1152="Công việc",INDEX('Kế hoạch'!$N$6:$N$305,$O1152)&amp;"",""))</f>
      </c>
      <c r="L1152" s="220">
        <f>IF(OR($C1152="",N($B1152)=0),"",IF(AND($I1152="Phản ánh",$E1152="Đã xử lý"),INDEX('Phản ánh'!$U$6:$U$505,MATCH($C1152,'Phản ánh'!$A$6:$A$505,0)),IF(AND($I1152="Công việc",OR($E1152="Hoàn thành",$E1152="Hoàn thành kỳ")),IF(INDEX('Kế hoạch'!$B$6:$B$305,$O1152)="Đột xuất",INDEX('Kế hoạch'!$AY$6:$AY$305,$O1152),IF(N($P1152)=0,"",IF(INT($B1152)&lt;$P1152,$P1152,IF($Q1152&gt;0,$P1152+ROUND((INT($B1152)-$P1152)/$Q1152,0)*$Q1152,IF($R1152&gt;0,EDATE($P1152,ROUND((DATEDIF($P1152,INT($B1152),"m")+(INT($B1152)-EDATE($P1152,DATEDIF($P1152,INT($B1152),"m")))/(EDATE($P1152,DATEDIF($P1152,INT($B1152),"m")+1)-EDATE($P1152,DATEDIF($P1152,INT($B1152),"m"))))/$R1152,0)*$R1152),$P1152))))),"")))</f>
      </c>
      <c r="M1152" s="223">
        <f>IF(OR($C1152="",N($L1152)=0,N($B1152)=0),"",IF(IF(MOD($L1152,1)=0,INT($B1152),$B1152)&lt;=$L1152,"Đúng hạn","Trễ hạn"))</f>
      </c>
      <c r="N1152" s="225">
        <f>IF($C1152="","",ROW())</f>
      </c>
      <c r="O1152" s="225">
        <f>IF($I1152="Công việc",MATCH($C1152,'Kế hoạch'!$A$6:$A$305,0),"")</f>
      </c>
      <c r="P1152" s="234">
        <f>IF($O1152="","",INDEX('Kế hoạch'!$I$6:$I$305,$O1152))</f>
      </c>
      <c r="Q1152" s="225">
        <f>IF($O1152="","",INDEX('Kế hoạch'!$AJ$6:$AJ$305,$O1152))</f>
      </c>
      <c r="R1152" s="225">
        <f>IF($O1152="","",INDEX('Kế hoạch'!$AK$6:$AK$305,$O1152))</f>
      </c>
    </row>
    <row r="1153">
      <c r="A1153" s="223">
        <f>IF($C1153="","",COUNTIF($C$6:$C1153,"?*"))</f>
      </c>
      <c r="B1153" s="217"/>
      <c r="C1153" s="216"/>
      <c r="D1153" s="240"/>
      <c r="E1153" s="218"/>
      <c r="F1153" s="218"/>
      <c r="G1153" s="218"/>
      <c r="H1153" s="219"/>
      <c r="I1153" s="223">
        <f>IF($C1153="","",IF(ISNUMBER(MATCH($C1153,'Phản ánh'!$A$6:$A$505,0)),"Phản ánh",IF(ISNUMBER(MATCH($C1153,'Kế hoạch'!$A$6:$A$305,0)),"Công việc","Mã chưa có")))</f>
      </c>
      <c r="J1153" s="221">
        <f>IF($I1153="Phản ánh",INDEX('Phản ánh'!$C$6:$C$505,MATCH($C1153,'Phản ánh'!$A$6:$A$505,0)),IF($I1153="Công việc",INDEX('Kế hoạch'!$C$6:$C$305,$O1153),""))</f>
      </c>
      <c r="K1153" s="221">
        <f>IF($I1153="Phản ánh",INDEX('Phản ánh'!$K$6:$K$505,MATCH($C1153,'Phản ánh'!$A$6:$A$505,0))&amp;"",IF($I1153="Công việc",INDEX('Kế hoạch'!$N$6:$N$305,$O1153)&amp;"",""))</f>
      </c>
      <c r="L1153" s="220">
        <f>IF(OR($C1153="",N($B1153)=0),"",IF(AND($I1153="Phản ánh",$E1153="Đã xử lý"),INDEX('Phản ánh'!$U$6:$U$505,MATCH($C1153,'Phản ánh'!$A$6:$A$505,0)),IF(AND($I1153="Công việc",OR($E1153="Hoàn thành",$E1153="Hoàn thành kỳ")),IF(INDEX('Kế hoạch'!$B$6:$B$305,$O1153)="Đột xuất",INDEX('Kế hoạch'!$AY$6:$AY$305,$O1153),IF(N($P1153)=0,"",IF(INT($B1153)&lt;$P1153,$P1153,IF($Q1153&gt;0,$P1153+ROUND((INT($B1153)-$P1153)/$Q1153,0)*$Q1153,IF($R1153&gt;0,EDATE($P1153,ROUND((DATEDIF($P1153,INT($B1153),"m")+(INT($B1153)-EDATE($P1153,DATEDIF($P1153,INT($B1153),"m")))/(EDATE($P1153,DATEDIF($P1153,INT($B1153),"m")+1)-EDATE($P1153,DATEDIF($P1153,INT($B1153),"m"))))/$R1153,0)*$R1153),$P1153))))),"")))</f>
      </c>
      <c r="M1153" s="223">
        <f>IF(OR($C1153="",N($L1153)=0,N($B1153)=0),"",IF(IF(MOD($L1153,1)=0,INT($B1153),$B1153)&lt;=$L1153,"Đúng hạn","Trễ hạn"))</f>
      </c>
      <c r="N1153" s="225">
        <f>IF($C1153="","",ROW())</f>
      </c>
      <c r="O1153" s="225">
        <f>IF($I1153="Công việc",MATCH($C1153,'Kế hoạch'!$A$6:$A$305,0),"")</f>
      </c>
      <c r="P1153" s="234">
        <f>IF($O1153="","",INDEX('Kế hoạch'!$I$6:$I$305,$O1153))</f>
      </c>
      <c r="Q1153" s="225">
        <f>IF($O1153="","",INDEX('Kế hoạch'!$AJ$6:$AJ$305,$O1153))</f>
      </c>
      <c r="R1153" s="225">
        <f>IF($O1153="","",INDEX('Kế hoạch'!$AK$6:$AK$305,$O1153))</f>
      </c>
    </row>
    <row r="1154">
      <c r="A1154" s="223">
        <f>IF($C1154="","",COUNTIF($C$6:$C1154,"?*"))</f>
      </c>
      <c r="B1154" s="217"/>
      <c r="C1154" s="216"/>
      <c r="D1154" s="240"/>
      <c r="E1154" s="218"/>
      <c r="F1154" s="218"/>
      <c r="G1154" s="218"/>
      <c r="H1154" s="219"/>
      <c r="I1154" s="223">
        <f>IF($C1154="","",IF(ISNUMBER(MATCH($C1154,'Phản ánh'!$A$6:$A$505,0)),"Phản ánh",IF(ISNUMBER(MATCH($C1154,'Kế hoạch'!$A$6:$A$305,0)),"Công việc","Mã chưa có")))</f>
      </c>
      <c r="J1154" s="221">
        <f>IF($I1154="Phản ánh",INDEX('Phản ánh'!$C$6:$C$505,MATCH($C1154,'Phản ánh'!$A$6:$A$505,0)),IF($I1154="Công việc",INDEX('Kế hoạch'!$C$6:$C$305,$O1154),""))</f>
      </c>
      <c r="K1154" s="221">
        <f>IF($I1154="Phản ánh",INDEX('Phản ánh'!$K$6:$K$505,MATCH($C1154,'Phản ánh'!$A$6:$A$505,0))&amp;"",IF($I1154="Công việc",INDEX('Kế hoạch'!$N$6:$N$305,$O1154)&amp;"",""))</f>
      </c>
      <c r="L1154" s="220">
        <f>IF(OR($C1154="",N($B1154)=0),"",IF(AND($I1154="Phản ánh",$E1154="Đã xử lý"),INDEX('Phản ánh'!$U$6:$U$505,MATCH($C1154,'Phản ánh'!$A$6:$A$505,0)),IF(AND($I1154="Công việc",OR($E1154="Hoàn thành",$E1154="Hoàn thành kỳ")),IF(INDEX('Kế hoạch'!$B$6:$B$305,$O1154)="Đột xuất",INDEX('Kế hoạch'!$AY$6:$AY$305,$O1154),IF(N($P1154)=0,"",IF(INT($B1154)&lt;$P1154,$P1154,IF($Q1154&gt;0,$P1154+ROUND((INT($B1154)-$P1154)/$Q1154,0)*$Q1154,IF($R1154&gt;0,EDATE($P1154,ROUND((DATEDIF($P1154,INT($B1154),"m")+(INT($B1154)-EDATE($P1154,DATEDIF($P1154,INT($B1154),"m")))/(EDATE($P1154,DATEDIF($P1154,INT($B1154),"m")+1)-EDATE($P1154,DATEDIF($P1154,INT($B1154),"m"))))/$R1154,0)*$R1154),$P1154))))),"")))</f>
      </c>
      <c r="M1154" s="223">
        <f>IF(OR($C1154="",N($L1154)=0,N($B1154)=0),"",IF(IF(MOD($L1154,1)=0,INT($B1154),$B1154)&lt;=$L1154,"Đúng hạn","Trễ hạn"))</f>
      </c>
      <c r="N1154" s="225">
        <f>IF($C1154="","",ROW())</f>
      </c>
      <c r="O1154" s="225">
        <f>IF($I1154="Công việc",MATCH($C1154,'Kế hoạch'!$A$6:$A$305,0),"")</f>
      </c>
      <c r="P1154" s="234">
        <f>IF($O1154="","",INDEX('Kế hoạch'!$I$6:$I$305,$O1154))</f>
      </c>
      <c r="Q1154" s="225">
        <f>IF($O1154="","",INDEX('Kế hoạch'!$AJ$6:$AJ$305,$O1154))</f>
      </c>
      <c r="R1154" s="225">
        <f>IF($O1154="","",INDEX('Kế hoạch'!$AK$6:$AK$305,$O1154))</f>
      </c>
    </row>
    <row r="1155">
      <c r="A1155" s="223">
        <f>IF($C1155="","",COUNTIF($C$6:$C1155,"?*"))</f>
      </c>
      <c r="B1155" s="217"/>
      <c r="C1155" s="216"/>
      <c r="D1155" s="240"/>
      <c r="E1155" s="218"/>
      <c r="F1155" s="218"/>
      <c r="G1155" s="218"/>
      <c r="H1155" s="219"/>
      <c r="I1155" s="223">
        <f>IF($C1155="","",IF(ISNUMBER(MATCH($C1155,'Phản ánh'!$A$6:$A$505,0)),"Phản ánh",IF(ISNUMBER(MATCH($C1155,'Kế hoạch'!$A$6:$A$305,0)),"Công việc","Mã chưa có")))</f>
      </c>
      <c r="J1155" s="221">
        <f>IF($I1155="Phản ánh",INDEX('Phản ánh'!$C$6:$C$505,MATCH($C1155,'Phản ánh'!$A$6:$A$505,0)),IF($I1155="Công việc",INDEX('Kế hoạch'!$C$6:$C$305,$O1155),""))</f>
      </c>
      <c r="K1155" s="221">
        <f>IF($I1155="Phản ánh",INDEX('Phản ánh'!$K$6:$K$505,MATCH($C1155,'Phản ánh'!$A$6:$A$505,0))&amp;"",IF($I1155="Công việc",INDEX('Kế hoạch'!$N$6:$N$305,$O1155)&amp;"",""))</f>
      </c>
      <c r="L1155" s="220">
        <f>IF(OR($C1155="",N($B1155)=0),"",IF(AND($I1155="Phản ánh",$E1155="Đã xử lý"),INDEX('Phản ánh'!$U$6:$U$505,MATCH($C1155,'Phản ánh'!$A$6:$A$505,0)),IF(AND($I1155="Công việc",OR($E1155="Hoàn thành",$E1155="Hoàn thành kỳ")),IF(INDEX('Kế hoạch'!$B$6:$B$305,$O1155)="Đột xuất",INDEX('Kế hoạch'!$AY$6:$AY$305,$O1155),IF(N($P1155)=0,"",IF(INT($B1155)&lt;$P1155,$P1155,IF($Q1155&gt;0,$P1155+ROUND((INT($B1155)-$P1155)/$Q1155,0)*$Q1155,IF($R1155&gt;0,EDATE($P1155,ROUND((DATEDIF($P1155,INT($B1155),"m")+(INT($B1155)-EDATE($P1155,DATEDIF($P1155,INT($B1155),"m")))/(EDATE($P1155,DATEDIF($P1155,INT($B1155),"m")+1)-EDATE($P1155,DATEDIF($P1155,INT($B1155),"m"))))/$R1155,0)*$R1155),$P1155))))),"")))</f>
      </c>
      <c r="M1155" s="223">
        <f>IF(OR($C1155="",N($L1155)=0,N($B1155)=0),"",IF(IF(MOD($L1155,1)=0,INT($B1155),$B1155)&lt;=$L1155,"Đúng hạn","Trễ hạn"))</f>
      </c>
      <c r="N1155" s="225">
        <f>IF($C1155="","",ROW())</f>
      </c>
      <c r="O1155" s="225">
        <f>IF($I1155="Công việc",MATCH($C1155,'Kế hoạch'!$A$6:$A$305,0),"")</f>
      </c>
      <c r="P1155" s="234">
        <f>IF($O1155="","",INDEX('Kế hoạch'!$I$6:$I$305,$O1155))</f>
      </c>
      <c r="Q1155" s="225">
        <f>IF($O1155="","",INDEX('Kế hoạch'!$AJ$6:$AJ$305,$O1155))</f>
      </c>
      <c r="R1155" s="225">
        <f>IF($O1155="","",INDEX('Kế hoạch'!$AK$6:$AK$305,$O1155))</f>
      </c>
    </row>
    <row r="1156">
      <c r="A1156" s="223">
        <f>IF($C1156="","",COUNTIF($C$6:$C1156,"?*"))</f>
      </c>
      <c r="B1156" s="217"/>
      <c r="C1156" s="216"/>
      <c r="D1156" s="240"/>
      <c r="E1156" s="218"/>
      <c r="F1156" s="218"/>
      <c r="G1156" s="218"/>
      <c r="H1156" s="219"/>
      <c r="I1156" s="223">
        <f>IF($C1156="","",IF(ISNUMBER(MATCH($C1156,'Phản ánh'!$A$6:$A$505,0)),"Phản ánh",IF(ISNUMBER(MATCH($C1156,'Kế hoạch'!$A$6:$A$305,0)),"Công việc","Mã chưa có")))</f>
      </c>
      <c r="J1156" s="221">
        <f>IF($I1156="Phản ánh",INDEX('Phản ánh'!$C$6:$C$505,MATCH($C1156,'Phản ánh'!$A$6:$A$505,0)),IF($I1156="Công việc",INDEX('Kế hoạch'!$C$6:$C$305,$O1156),""))</f>
      </c>
      <c r="K1156" s="221">
        <f>IF($I1156="Phản ánh",INDEX('Phản ánh'!$K$6:$K$505,MATCH($C1156,'Phản ánh'!$A$6:$A$505,0))&amp;"",IF($I1156="Công việc",INDEX('Kế hoạch'!$N$6:$N$305,$O1156)&amp;"",""))</f>
      </c>
      <c r="L1156" s="220">
        <f>IF(OR($C1156="",N($B1156)=0),"",IF(AND($I1156="Phản ánh",$E1156="Đã xử lý"),INDEX('Phản ánh'!$U$6:$U$505,MATCH($C1156,'Phản ánh'!$A$6:$A$505,0)),IF(AND($I1156="Công việc",OR($E1156="Hoàn thành",$E1156="Hoàn thành kỳ")),IF(INDEX('Kế hoạch'!$B$6:$B$305,$O1156)="Đột xuất",INDEX('Kế hoạch'!$AY$6:$AY$305,$O1156),IF(N($P1156)=0,"",IF(INT($B1156)&lt;$P1156,$P1156,IF($Q1156&gt;0,$P1156+ROUND((INT($B1156)-$P1156)/$Q1156,0)*$Q1156,IF($R1156&gt;0,EDATE($P1156,ROUND((DATEDIF($P1156,INT($B1156),"m")+(INT($B1156)-EDATE($P1156,DATEDIF($P1156,INT($B1156),"m")))/(EDATE($P1156,DATEDIF($P1156,INT($B1156),"m")+1)-EDATE($P1156,DATEDIF($P1156,INT($B1156),"m"))))/$R1156,0)*$R1156),$P1156))))),"")))</f>
      </c>
      <c r="M1156" s="223">
        <f>IF(OR($C1156="",N($L1156)=0,N($B1156)=0),"",IF(IF(MOD($L1156,1)=0,INT($B1156),$B1156)&lt;=$L1156,"Đúng hạn","Trễ hạn"))</f>
      </c>
      <c r="N1156" s="225">
        <f>IF($C1156="","",ROW())</f>
      </c>
      <c r="O1156" s="225">
        <f>IF($I1156="Công việc",MATCH($C1156,'Kế hoạch'!$A$6:$A$305,0),"")</f>
      </c>
      <c r="P1156" s="234">
        <f>IF($O1156="","",INDEX('Kế hoạch'!$I$6:$I$305,$O1156))</f>
      </c>
      <c r="Q1156" s="225">
        <f>IF($O1156="","",INDEX('Kế hoạch'!$AJ$6:$AJ$305,$O1156))</f>
      </c>
      <c r="R1156" s="225">
        <f>IF($O1156="","",INDEX('Kế hoạch'!$AK$6:$AK$305,$O1156))</f>
      </c>
    </row>
    <row r="1157">
      <c r="A1157" s="223">
        <f>IF($C1157="","",COUNTIF($C$6:$C1157,"?*"))</f>
      </c>
      <c r="B1157" s="217"/>
      <c r="C1157" s="216"/>
      <c r="D1157" s="240"/>
      <c r="E1157" s="218"/>
      <c r="F1157" s="218"/>
      <c r="G1157" s="218"/>
      <c r="H1157" s="219"/>
      <c r="I1157" s="223">
        <f>IF($C1157="","",IF(ISNUMBER(MATCH($C1157,'Phản ánh'!$A$6:$A$505,0)),"Phản ánh",IF(ISNUMBER(MATCH($C1157,'Kế hoạch'!$A$6:$A$305,0)),"Công việc","Mã chưa có")))</f>
      </c>
      <c r="J1157" s="221">
        <f>IF($I1157="Phản ánh",INDEX('Phản ánh'!$C$6:$C$505,MATCH($C1157,'Phản ánh'!$A$6:$A$505,0)),IF($I1157="Công việc",INDEX('Kế hoạch'!$C$6:$C$305,$O1157),""))</f>
      </c>
      <c r="K1157" s="221">
        <f>IF($I1157="Phản ánh",INDEX('Phản ánh'!$K$6:$K$505,MATCH($C1157,'Phản ánh'!$A$6:$A$505,0))&amp;"",IF($I1157="Công việc",INDEX('Kế hoạch'!$N$6:$N$305,$O1157)&amp;"",""))</f>
      </c>
      <c r="L1157" s="220">
        <f>IF(OR($C1157="",N($B1157)=0),"",IF(AND($I1157="Phản ánh",$E1157="Đã xử lý"),INDEX('Phản ánh'!$U$6:$U$505,MATCH($C1157,'Phản ánh'!$A$6:$A$505,0)),IF(AND($I1157="Công việc",OR($E1157="Hoàn thành",$E1157="Hoàn thành kỳ")),IF(INDEX('Kế hoạch'!$B$6:$B$305,$O1157)="Đột xuất",INDEX('Kế hoạch'!$AY$6:$AY$305,$O1157),IF(N($P1157)=0,"",IF(INT($B1157)&lt;$P1157,$P1157,IF($Q1157&gt;0,$P1157+ROUND((INT($B1157)-$P1157)/$Q1157,0)*$Q1157,IF($R1157&gt;0,EDATE($P1157,ROUND((DATEDIF($P1157,INT($B1157),"m")+(INT($B1157)-EDATE($P1157,DATEDIF($P1157,INT($B1157),"m")))/(EDATE($P1157,DATEDIF($P1157,INT($B1157),"m")+1)-EDATE($P1157,DATEDIF($P1157,INT($B1157),"m"))))/$R1157,0)*$R1157),$P1157))))),"")))</f>
      </c>
      <c r="M1157" s="223">
        <f>IF(OR($C1157="",N($L1157)=0,N($B1157)=0),"",IF(IF(MOD($L1157,1)=0,INT($B1157),$B1157)&lt;=$L1157,"Đúng hạn","Trễ hạn"))</f>
      </c>
      <c r="N1157" s="225">
        <f>IF($C1157="","",ROW())</f>
      </c>
      <c r="O1157" s="225">
        <f>IF($I1157="Công việc",MATCH($C1157,'Kế hoạch'!$A$6:$A$305,0),"")</f>
      </c>
      <c r="P1157" s="234">
        <f>IF($O1157="","",INDEX('Kế hoạch'!$I$6:$I$305,$O1157))</f>
      </c>
      <c r="Q1157" s="225">
        <f>IF($O1157="","",INDEX('Kế hoạch'!$AJ$6:$AJ$305,$O1157))</f>
      </c>
      <c r="R1157" s="225">
        <f>IF($O1157="","",INDEX('Kế hoạch'!$AK$6:$AK$305,$O1157))</f>
      </c>
    </row>
    <row r="1158">
      <c r="A1158" s="223">
        <f>IF($C1158="","",COUNTIF($C$6:$C1158,"?*"))</f>
      </c>
      <c r="B1158" s="217"/>
      <c r="C1158" s="216"/>
      <c r="D1158" s="240"/>
      <c r="E1158" s="218"/>
      <c r="F1158" s="218"/>
      <c r="G1158" s="218"/>
      <c r="H1158" s="219"/>
      <c r="I1158" s="223">
        <f>IF($C1158="","",IF(ISNUMBER(MATCH($C1158,'Phản ánh'!$A$6:$A$505,0)),"Phản ánh",IF(ISNUMBER(MATCH($C1158,'Kế hoạch'!$A$6:$A$305,0)),"Công việc","Mã chưa có")))</f>
      </c>
      <c r="J1158" s="221">
        <f>IF($I1158="Phản ánh",INDEX('Phản ánh'!$C$6:$C$505,MATCH($C1158,'Phản ánh'!$A$6:$A$505,0)),IF($I1158="Công việc",INDEX('Kế hoạch'!$C$6:$C$305,$O1158),""))</f>
      </c>
      <c r="K1158" s="221">
        <f>IF($I1158="Phản ánh",INDEX('Phản ánh'!$K$6:$K$505,MATCH($C1158,'Phản ánh'!$A$6:$A$505,0))&amp;"",IF($I1158="Công việc",INDEX('Kế hoạch'!$N$6:$N$305,$O1158)&amp;"",""))</f>
      </c>
      <c r="L1158" s="220">
        <f>IF(OR($C1158="",N($B1158)=0),"",IF(AND($I1158="Phản ánh",$E1158="Đã xử lý"),INDEX('Phản ánh'!$U$6:$U$505,MATCH($C1158,'Phản ánh'!$A$6:$A$505,0)),IF(AND($I1158="Công việc",OR($E1158="Hoàn thành",$E1158="Hoàn thành kỳ")),IF(INDEX('Kế hoạch'!$B$6:$B$305,$O1158)="Đột xuất",INDEX('Kế hoạch'!$AY$6:$AY$305,$O1158),IF(N($P1158)=0,"",IF(INT($B1158)&lt;$P1158,$P1158,IF($Q1158&gt;0,$P1158+ROUND((INT($B1158)-$P1158)/$Q1158,0)*$Q1158,IF($R1158&gt;0,EDATE($P1158,ROUND((DATEDIF($P1158,INT($B1158),"m")+(INT($B1158)-EDATE($P1158,DATEDIF($P1158,INT($B1158),"m")))/(EDATE($P1158,DATEDIF($P1158,INT($B1158),"m")+1)-EDATE($P1158,DATEDIF($P1158,INT($B1158),"m"))))/$R1158,0)*$R1158),$P1158))))),"")))</f>
      </c>
      <c r="M1158" s="223">
        <f>IF(OR($C1158="",N($L1158)=0,N($B1158)=0),"",IF(IF(MOD($L1158,1)=0,INT($B1158),$B1158)&lt;=$L1158,"Đúng hạn","Trễ hạn"))</f>
      </c>
      <c r="N1158" s="225">
        <f>IF($C1158="","",ROW())</f>
      </c>
      <c r="O1158" s="225">
        <f>IF($I1158="Công việc",MATCH($C1158,'Kế hoạch'!$A$6:$A$305,0),"")</f>
      </c>
      <c r="P1158" s="234">
        <f>IF($O1158="","",INDEX('Kế hoạch'!$I$6:$I$305,$O1158))</f>
      </c>
      <c r="Q1158" s="225">
        <f>IF($O1158="","",INDEX('Kế hoạch'!$AJ$6:$AJ$305,$O1158))</f>
      </c>
      <c r="R1158" s="225">
        <f>IF($O1158="","",INDEX('Kế hoạch'!$AK$6:$AK$305,$O1158))</f>
      </c>
    </row>
    <row r="1159">
      <c r="A1159" s="223">
        <f>IF($C1159="","",COUNTIF($C$6:$C1159,"?*"))</f>
      </c>
      <c r="B1159" s="217"/>
      <c r="C1159" s="216"/>
      <c r="D1159" s="240"/>
      <c r="E1159" s="218"/>
      <c r="F1159" s="218"/>
      <c r="G1159" s="218"/>
      <c r="H1159" s="219"/>
      <c r="I1159" s="223">
        <f>IF($C1159="","",IF(ISNUMBER(MATCH($C1159,'Phản ánh'!$A$6:$A$505,0)),"Phản ánh",IF(ISNUMBER(MATCH($C1159,'Kế hoạch'!$A$6:$A$305,0)),"Công việc","Mã chưa có")))</f>
      </c>
      <c r="J1159" s="221">
        <f>IF($I1159="Phản ánh",INDEX('Phản ánh'!$C$6:$C$505,MATCH($C1159,'Phản ánh'!$A$6:$A$505,0)),IF($I1159="Công việc",INDEX('Kế hoạch'!$C$6:$C$305,$O1159),""))</f>
      </c>
      <c r="K1159" s="221">
        <f>IF($I1159="Phản ánh",INDEX('Phản ánh'!$K$6:$K$505,MATCH($C1159,'Phản ánh'!$A$6:$A$505,0))&amp;"",IF($I1159="Công việc",INDEX('Kế hoạch'!$N$6:$N$305,$O1159)&amp;"",""))</f>
      </c>
      <c r="L1159" s="220">
        <f>IF(OR($C1159="",N($B1159)=0),"",IF(AND($I1159="Phản ánh",$E1159="Đã xử lý"),INDEX('Phản ánh'!$U$6:$U$505,MATCH($C1159,'Phản ánh'!$A$6:$A$505,0)),IF(AND($I1159="Công việc",OR($E1159="Hoàn thành",$E1159="Hoàn thành kỳ")),IF(INDEX('Kế hoạch'!$B$6:$B$305,$O1159)="Đột xuất",INDEX('Kế hoạch'!$AY$6:$AY$305,$O1159),IF(N($P1159)=0,"",IF(INT($B1159)&lt;$P1159,$P1159,IF($Q1159&gt;0,$P1159+ROUND((INT($B1159)-$P1159)/$Q1159,0)*$Q1159,IF($R1159&gt;0,EDATE($P1159,ROUND((DATEDIF($P1159,INT($B1159),"m")+(INT($B1159)-EDATE($P1159,DATEDIF($P1159,INT($B1159),"m")))/(EDATE($P1159,DATEDIF($P1159,INT($B1159),"m")+1)-EDATE($P1159,DATEDIF($P1159,INT($B1159),"m"))))/$R1159,0)*$R1159),$P1159))))),"")))</f>
      </c>
      <c r="M1159" s="223">
        <f>IF(OR($C1159="",N($L1159)=0,N($B1159)=0),"",IF(IF(MOD($L1159,1)=0,INT($B1159),$B1159)&lt;=$L1159,"Đúng hạn","Trễ hạn"))</f>
      </c>
      <c r="N1159" s="225">
        <f>IF($C1159="","",ROW())</f>
      </c>
      <c r="O1159" s="225">
        <f>IF($I1159="Công việc",MATCH($C1159,'Kế hoạch'!$A$6:$A$305,0),"")</f>
      </c>
      <c r="P1159" s="234">
        <f>IF($O1159="","",INDEX('Kế hoạch'!$I$6:$I$305,$O1159))</f>
      </c>
      <c r="Q1159" s="225">
        <f>IF($O1159="","",INDEX('Kế hoạch'!$AJ$6:$AJ$305,$O1159))</f>
      </c>
      <c r="R1159" s="225">
        <f>IF($O1159="","",INDEX('Kế hoạch'!$AK$6:$AK$305,$O1159))</f>
      </c>
    </row>
    <row r="1160">
      <c r="A1160" s="223">
        <f>IF($C1160="","",COUNTIF($C$6:$C1160,"?*"))</f>
      </c>
      <c r="B1160" s="217"/>
      <c r="C1160" s="216"/>
      <c r="D1160" s="240"/>
      <c r="E1160" s="218"/>
      <c r="F1160" s="218"/>
      <c r="G1160" s="218"/>
      <c r="H1160" s="219"/>
      <c r="I1160" s="223">
        <f>IF($C1160="","",IF(ISNUMBER(MATCH($C1160,'Phản ánh'!$A$6:$A$505,0)),"Phản ánh",IF(ISNUMBER(MATCH($C1160,'Kế hoạch'!$A$6:$A$305,0)),"Công việc","Mã chưa có")))</f>
      </c>
      <c r="J1160" s="221">
        <f>IF($I1160="Phản ánh",INDEX('Phản ánh'!$C$6:$C$505,MATCH($C1160,'Phản ánh'!$A$6:$A$505,0)),IF($I1160="Công việc",INDEX('Kế hoạch'!$C$6:$C$305,$O1160),""))</f>
      </c>
      <c r="K1160" s="221">
        <f>IF($I1160="Phản ánh",INDEX('Phản ánh'!$K$6:$K$505,MATCH($C1160,'Phản ánh'!$A$6:$A$505,0))&amp;"",IF($I1160="Công việc",INDEX('Kế hoạch'!$N$6:$N$305,$O1160)&amp;"",""))</f>
      </c>
      <c r="L1160" s="220">
        <f>IF(OR($C1160="",N($B1160)=0),"",IF(AND($I1160="Phản ánh",$E1160="Đã xử lý"),INDEX('Phản ánh'!$U$6:$U$505,MATCH($C1160,'Phản ánh'!$A$6:$A$505,0)),IF(AND($I1160="Công việc",OR($E1160="Hoàn thành",$E1160="Hoàn thành kỳ")),IF(INDEX('Kế hoạch'!$B$6:$B$305,$O1160)="Đột xuất",INDEX('Kế hoạch'!$AY$6:$AY$305,$O1160),IF(N($P1160)=0,"",IF(INT($B1160)&lt;$P1160,$P1160,IF($Q1160&gt;0,$P1160+ROUND((INT($B1160)-$P1160)/$Q1160,0)*$Q1160,IF($R1160&gt;0,EDATE($P1160,ROUND((DATEDIF($P1160,INT($B1160),"m")+(INT($B1160)-EDATE($P1160,DATEDIF($P1160,INT($B1160),"m")))/(EDATE($P1160,DATEDIF($P1160,INT($B1160),"m")+1)-EDATE($P1160,DATEDIF($P1160,INT($B1160),"m"))))/$R1160,0)*$R1160),$P1160))))),"")))</f>
      </c>
      <c r="M1160" s="223">
        <f>IF(OR($C1160="",N($L1160)=0,N($B1160)=0),"",IF(IF(MOD($L1160,1)=0,INT($B1160),$B1160)&lt;=$L1160,"Đúng hạn","Trễ hạn"))</f>
      </c>
      <c r="N1160" s="225">
        <f>IF($C1160="","",ROW())</f>
      </c>
      <c r="O1160" s="225">
        <f>IF($I1160="Công việc",MATCH($C1160,'Kế hoạch'!$A$6:$A$305,0),"")</f>
      </c>
      <c r="P1160" s="234">
        <f>IF($O1160="","",INDEX('Kế hoạch'!$I$6:$I$305,$O1160))</f>
      </c>
      <c r="Q1160" s="225">
        <f>IF($O1160="","",INDEX('Kế hoạch'!$AJ$6:$AJ$305,$O1160))</f>
      </c>
      <c r="R1160" s="225">
        <f>IF($O1160="","",INDEX('Kế hoạch'!$AK$6:$AK$305,$O1160))</f>
      </c>
    </row>
    <row r="1161">
      <c r="A1161" s="223">
        <f>IF($C1161="","",COUNTIF($C$6:$C1161,"?*"))</f>
      </c>
      <c r="B1161" s="217"/>
      <c r="C1161" s="216"/>
      <c r="D1161" s="240"/>
      <c r="E1161" s="218"/>
      <c r="F1161" s="218"/>
      <c r="G1161" s="218"/>
      <c r="H1161" s="219"/>
      <c r="I1161" s="223">
        <f>IF($C1161="","",IF(ISNUMBER(MATCH($C1161,'Phản ánh'!$A$6:$A$505,0)),"Phản ánh",IF(ISNUMBER(MATCH($C1161,'Kế hoạch'!$A$6:$A$305,0)),"Công việc","Mã chưa có")))</f>
      </c>
      <c r="J1161" s="221">
        <f>IF($I1161="Phản ánh",INDEX('Phản ánh'!$C$6:$C$505,MATCH($C1161,'Phản ánh'!$A$6:$A$505,0)),IF($I1161="Công việc",INDEX('Kế hoạch'!$C$6:$C$305,$O1161),""))</f>
      </c>
      <c r="K1161" s="221">
        <f>IF($I1161="Phản ánh",INDEX('Phản ánh'!$K$6:$K$505,MATCH($C1161,'Phản ánh'!$A$6:$A$505,0))&amp;"",IF($I1161="Công việc",INDEX('Kế hoạch'!$N$6:$N$305,$O1161)&amp;"",""))</f>
      </c>
      <c r="L1161" s="220">
        <f>IF(OR($C1161="",N($B1161)=0),"",IF(AND($I1161="Phản ánh",$E1161="Đã xử lý"),INDEX('Phản ánh'!$U$6:$U$505,MATCH($C1161,'Phản ánh'!$A$6:$A$505,0)),IF(AND($I1161="Công việc",OR($E1161="Hoàn thành",$E1161="Hoàn thành kỳ")),IF(INDEX('Kế hoạch'!$B$6:$B$305,$O1161)="Đột xuất",INDEX('Kế hoạch'!$AY$6:$AY$305,$O1161),IF(N($P1161)=0,"",IF(INT($B1161)&lt;$P1161,$P1161,IF($Q1161&gt;0,$P1161+ROUND((INT($B1161)-$P1161)/$Q1161,0)*$Q1161,IF($R1161&gt;0,EDATE($P1161,ROUND((DATEDIF($P1161,INT($B1161),"m")+(INT($B1161)-EDATE($P1161,DATEDIF($P1161,INT($B1161),"m")))/(EDATE($P1161,DATEDIF($P1161,INT($B1161),"m")+1)-EDATE($P1161,DATEDIF($P1161,INT($B1161),"m"))))/$R1161,0)*$R1161),$P1161))))),"")))</f>
      </c>
      <c r="M1161" s="223">
        <f>IF(OR($C1161="",N($L1161)=0,N($B1161)=0),"",IF(IF(MOD($L1161,1)=0,INT($B1161),$B1161)&lt;=$L1161,"Đúng hạn","Trễ hạn"))</f>
      </c>
      <c r="N1161" s="225">
        <f>IF($C1161="","",ROW())</f>
      </c>
      <c r="O1161" s="225">
        <f>IF($I1161="Công việc",MATCH($C1161,'Kế hoạch'!$A$6:$A$305,0),"")</f>
      </c>
      <c r="P1161" s="234">
        <f>IF($O1161="","",INDEX('Kế hoạch'!$I$6:$I$305,$O1161))</f>
      </c>
      <c r="Q1161" s="225">
        <f>IF($O1161="","",INDEX('Kế hoạch'!$AJ$6:$AJ$305,$O1161))</f>
      </c>
      <c r="R1161" s="225">
        <f>IF($O1161="","",INDEX('Kế hoạch'!$AK$6:$AK$305,$O1161))</f>
      </c>
    </row>
    <row r="1162">
      <c r="A1162" s="223">
        <f>IF($C1162="","",COUNTIF($C$6:$C1162,"?*"))</f>
      </c>
      <c r="B1162" s="217"/>
      <c r="C1162" s="216"/>
      <c r="D1162" s="240"/>
      <c r="E1162" s="218"/>
      <c r="F1162" s="218"/>
      <c r="G1162" s="218"/>
      <c r="H1162" s="219"/>
      <c r="I1162" s="223">
        <f>IF($C1162="","",IF(ISNUMBER(MATCH($C1162,'Phản ánh'!$A$6:$A$505,0)),"Phản ánh",IF(ISNUMBER(MATCH($C1162,'Kế hoạch'!$A$6:$A$305,0)),"Công việc","Mã chưa có")))</f>
      </c>
      <c r="J1162" s="221">
        <f>IF($I1162="Phản ánh",INDEX('Phản ánh'!$C$6:$C$505,MATCH($C1162,'Phản ánh'!$A$6:$A$505,0)),IF($I1162="Công việc",INDEX('Kế hoạch'!$C$6:$C$305,$O1162),""))</f>
      </c>
      <c r="K1162" s="221">
        <f>IF($I1162="Phản ánh",INDEX('Phản ánh'!$K$6:$K$505,MATCH($C1162,'Phản ánh'!$A$6:$A$505,0))&amp;"",IF($I1162="Công việc",INDEX('Kế hoạch'!$N$6:$N$305,$O1162)&amp;"",""))</f>
      </c>
      <c r="L1162" s="220">
        <f>IF(OR($C1162="",N($B1162)=0),"",IF(AND($I1162="Phản ánh",$E1162="Đã xử lý"),INDEX('Phản ánh'!$U$6:$U$505,MATCH($C1162,'Phản ánh'!$A$6:$A$505,0)),IF(AND($I1162="Công việc",OR($E1162="Hoàn thành",$E1162="Hoàn thành kỳ")),IF(INDEX('Kế hoạch'!$B$6:$B$305,$O1162)="Đột xuất",INDEX('Kế hoạch'!$AY$6:$AY$305,$O1162),IF(N($P1162)=0,"",IF(INT($B1162)&lt;$P1162,$P1162,IF($Q1162&gt;0,$P1162+ROUND((INT($B1162)-$P1162)/$Q1162,0)*$Q1162,IF($R1162&gt;0,EDATE($P1162,ROUND((DATEDIF($P1162,INT($B1162),"m")+(INT($B1162)-EDATE($P1162,DATEDIF($P1162,INT($B1162),"m")))/(EDATE($P1162,DATEDIF($P1162,INT($B1162),"m")+1)-EDATE($P1162,DATEDIF($P1162,INT($B1162),"m"))))/$R1162,0)*$R1162),$P1162))))),"")))</f>
      </c>
      <c r="M1162" s="223">
        <f>IF(OR($C1162="",N($L1162)=0,N($B1162)=0),"",IF(IF(MOD($L1162,1)=0,INT($B1162),$B1162)&lt;=$L1162,"Đúng hạn","Trễ hạn"))</f>
      </c>
      <c r="N1162" s="225">
        <f>IF($C1162="","",ROW())</f>
      </c>
      <c r="O1162" s="225">
        <f>IF($I1162="Công việc",MATCH($C1162,'Kế hoạch'!$A$6:$A$305,0),"")</f>
      </c>
      <c r="P1162" s="234">
        <f>IF($O1162="","",INDEX('Kế hoạch'!$I$6:$I$305,$O1162))</f>
      </c>
      <c r="Q1162" s="225">
        <f>IF($O1162="","",INDEX('Kế hoạch'!$AJ$6:$AJ$305,$O1162))</f>
      </c>
      <c r="R1162" s="225">
        <f>IF($O1162="","",INDEX('Kế hoạch'!$AK$6:$AK$305,$O1162))</f>
      </c>
    </row>
    <row r="1163">
      <c r="A1163" s="223">
        <f>IF($C1163="","",COUNTIF($C$6:$C1163,"?*"))</f>
      </c>
      <c r="B1163" s="217"/>
      <c r="C1163" s="216"/>
      <c r="D1163" s="240"/>
      <c r="E1163" s="218"/>
      <c r="F1163" s="218"/>
      <c r="G1163" s="218"/>
      <c r="H1163" s="219"/>
      <c r="I1163" s="223">
        <f>IF($C1163="","",IF(ISNUMBER(MATCH($C1163,'Phản ánh'!$A$6:$A$505,0)),"Phản ánh",IF(ISNUMBER(MATCH($C1163,'Kế hoạch'!$A$6:$A$305,0)),"Công việc","Mã chưa có")))</f>
      </c>
      <c r="J1163" s="221">
        <f>IF($I1163="Phản ánh",INDEX('Phản ánh'!$C$6:$C$505,MATCH($C1163,'Phản ánh'!$A$6:$A$505,0)),IF($I1163="Công việc",INDEX('Kế hoạch'!$C$6:$C$305,$O1163),""))</f>
      </c>
      <c r="K1163" s="221">
        <f>IF($I1163="Phản ánh",INDEX('Phản ánh'!$K$6:$K$505,MATCH($C1163,'Phản ánh'!$A$6:$A$505,0))&amp;"",IF($I1163="Công việc",INDEX('Kế hoạch'!$N$6:$N$305,$O1163)&amp;"",""))</f>
      </c>
      <c r="L1163" s="220">
        <f>IF(OR($C1163="",N($B1163)=0),"",IF(AND($I1163="Phản ánh",$E1163="Đã xử lý"),INDEX('Phản ánh'!$U$6:$U$505,MATCH($C1163,'Phản ánh'!$A$6:$A$505,0)),IF(AND($I1163="Công việc",OR($E1163="Hoàn thành",$E1163="Hoàn thành kỳ")),IF(INDEX('Kế hoạch'!$B$6:$B$305,$O1163)="Đột xuất",INDEX('Kế hoạch'!$AY$6:$AY$305,$O1163),IF(N($P1163)=0,"",IF(INT($B1163)&lt;$P1163,$P1163,IF($Q1163&gt;0,$P1163+ROUND((INT($B1163)-$P1163)/$Q1163,0)*$Q1163,IF($R1163&gt;0,EDATE($P1163,ROUND((DATEDIF($P1163,INT($B1163),"m")+(INT($B1163)-EDATE($P1163,DATEDIF($P1163,INT($B1163),"m")))/(EDATE($P1163,DATEDIF($P1163,INT($B1163),"m")+1)-EDATE($P1163,DATEDIF($P1163,INT($B1163),"m"))))/$R1163,0)*$R1163),$P1163))))),"")))</f>
      </c>
      <c r="M1163" s="223">
        <f>IF(OR($C1163="",N($L1163)=0,N($B1163)=0),"",IF(IF(MOD($L1163,1)=0,INT($B1163),$B1163)&lt;=$L1163,"Đúng hạn","Trễ hạn"))</f>
      </c>
      <c r="N1163" s="225">
        <f>IF($C1163="","",ROW())</f>
      </c>
      <c r="O1163" s="225">
        <f>IF($I1163="Công việc",MATCH($C1163,'Kế hoạch'!$A$6:$A$305,0),"")</f>
      </c>
      <c r="P1163" s="234">
        <f>IF($O1163="","",INDEX('Kế hoạch'!$I$6:$I$305,$O1163))</f>
      </c>
      <c r="Q1163" s="225">
        <f>IF($O1163="","",INDEX('Kế hoạch'!$AJ$6:$AJ$305,$O1163))</f>
      </c>
      <c r="R1163" s="225">
        <f>IF($O1163="","",INDEX('Kế hoạch'!$AK$6:$AK$305,$O1163))</f>
      </c>
    </row>
    <row r="1164">
      <c r="A1164" s="223">
        <f>IF($C1164="","",COUNTIF($C$6:$C1164,"?*"))</f>
      </c>
      <c r="B1164" s="217"/>
      <c r="C1164" s="216"/>
      <c r="D1164" s="240"/>
      <c r="E1164" s="218"/>
      <c r="F1164" s="218"/>
      <c r="G1164" s="218"/>
      <c r="H1164" s="219"/>
      <c r="I1164" s="223">
        <f>IF($C1164="","",IF(ISNUMBER(MATCH($C1164,'Phản ánh'!$A$6:$A$505,0)),"Phản ánh",IF(ISNUMBER(MATCH($C1164,'Kế hoạch'!$A$6:$A$305,0)),"Công việc","Mã chưa có")))</f>
      </c>
      <c r="J1164" s="221">
        <f>IF($I1164="Phản ánh",INDEX('Phản ánh'!$C$6:$C$505,MATCH($C1164,'Phản ánh'!$A$6:$A$505,0)),IF($I1164="Công việc",INDEX('Kế hoạch'!$C$6:$C$305,$O1164),""))</f>
      </c>
      <c r="K1164" s="221">
        <f>IF($I1164="Phản ánh",INDEX('Phản ánh'!$K$6:$K$505,MATCH($C1164,'Phản ánh'!$A$6:$A$505,0))&amp;"",IF($I1164="Công việc",INDEX('Kế hoạch'!$N$6:$N$305,$O1164)&amp;"",""))</f>
      </c>
      <c r="L1164" s="220">
        <f>IF(OR($C1164="",N($B1164)=0),"",IF(AND($I1164="Phản ánh",$E1164="Đã xử lý"),INDEX('Phản ánh'!$U$6:$U$505,MATCH($C1164,'Phản ánh'!$A$6:$A$505,0)),IF(AND($I1164="Công việc",OR($E1164="Hoàn thành",$E1164="Hoàn thành kỳ")),IF(INDEX('Kế hoạch'!$B$6:$B$305,$O1164)="Đột xuất",INDEX('Kế hoạch'!$AY$6:$AY$305,$O1164),IF(N($P1164)=0,"",IF(INT($B1164)&lt;$P1164,$P1164,IF($Q1164&gt;0,$P1164+ROUND((INT($B1164)-$P1164)/$Q1164,0)*$Q1164,IF($R1164&gt;0,EDATE($P1164,ROUND((DATEDIF($P1164,INT($B1164),"m")+(INT($B1164)-EDATE($P1164,DATEDIF($P1164,INT($B1164),"m")))/(EDATE($P1164,DATEDIF($P1164,INT($B1164),"m")+1)-EDATE($P1164,DATEDIF($P1164,INT($B1164),"m"))))/$R1164,0)*$R1164),$P1164))))),"")))</f>
      </c>
      <c r="M1164" s="223">
        <f>IF(OR($C1164="",N($L1164)=0,N($B1164)=0),"",IF(IF(MOD($L1164,1)=0,INT($B1164),$B1164)&lt;=$L1164,"Đúng hạn","Trễ hạn"))</f>
      </c>
      <c r="N1164" s="225">
        <f>IF($C1164="","",ROW())</f>
      </c>
      <c r="O1164" s="225">
        <f>IF($I1164="Công việc",MATCH($C1164,'Kế hoạch'!$A$6:$A$305,0),"")</f>
      </c>
      <c r="P1164" s="234">
        <f>IF($O1164="","",INDEX('Kế hoạch'!$I$6:$I$305,$O1164))</f>
      </c>
      <c r="Q1164" s="225">
        <f>IF($O1164="","",INDEX('Kế hoạch'!$AJ$6:$AJ$305,$O1164))</f>
      </c>
      <c r="R1164" s="225">
        <f>IF($O1164="","",INDEX('Kế hoạch'!$AK$6:$AK$305,$O1164))</f>
      </c>
    </row>
    <row r="1165">
      <c r="A1165" s="223">
        <f>IF($C1165="","",COUNTIF($C$6:$C1165,"?*"))</f>
      </c>
      <c r="B1165" s="217"/>
      <c r="C1165" s="216"/>
      <c r="D1165" s="240"/>
      <c r="E1165" s="218"/>
      <c r="F1165" s="218"/>
      <c r="G1165" s="218"/>
      <c r="H1165" s="219"/>
      <c r="I1165" s="223">
        <f>IF($C1165="","",IF(ISNUMBER(MATCH($C1165,'Phản ánh'!$A$6:$A$505,0)),"Phản ánh",IF(ISNUMBER(MATCH($C1165,'Kế hoạch'!$A$6:$A$305,0)),"Công việc","Mã chưa có")))</f>
      </c>
      <c r="J1165" s="221">
        <f>IF($I1165="Phản ánh",INDEX('Phản ánh'!$C$6:$C$505,MATCH($C1165,'Phản ánh'!$A$6:$A$505,0)),IF($I1165="Công việc",INDEX('Kế hoạch'!$C$6:$C$305,$O1165),""))</f>
      </c>
      <c r="K1165" s="221">
        <f>IF($I1165="Phản ánh",INDEX('Phản ánh'!$K$6:$K$505,MATCH($C1165,'Phản ánh'!$A$6:$A$505,0))&amp;"",IF($I1165="Công việc",INDEX('Kế hoạch'!$N$6:$N$305,$O1165)&amp;"",""))</f>
      </c>
      <c r="L1165" s="220">
        <f>IF(OR($C1165="",N($B1165)=0),"",IF(AND($I1165="Phản ánh",$E1165="Đã xử lý"),INDEX('Phản ánh'!$U$6:$U$505,MATCH($C1165,'Phản ánh'!$A$6:$A$505,0)),IF(AND($I1165="Công việc",OR($E1165="Hoàn thành",$E1165="Hoàn thành kỳ")),IF(INDEX('Kế hoạch'!$B$6:$B$305,$O1165)="Đột xuất",INDEX('Kế hoạch'!$AY$6:$AY$305,$O1165),IF(N($P1165)=0,"",IF(INT($B1165)&lt;$P1165,$P1165,IF($Q1165&gt;0,$P1165+ROUND((INT($B1165)-$P1165)/$Q1165,0)*$Q1165,IF($R1165&gt;0,EDATE($P1165,ROUND((DATEDIF($P1165,INT($B1165),"m")+(INT($B1165)-EDATE($P1165,DATEDIF($P1165,INT($B1165),"m")))/(EDATE($P1165,DATEDIF($P1165,INT($B1165),"m")+1)-EDATE($P1165,DATEDIF($P1165,INT($B1165),"m"))))/$R1165,0)*$R1165),$P1165))))),"")))</f>
      </c>
      <c r="M1165" s="223">
        <f>IF(OR($C1165="",N($L1165)=0,N($B1165)=0),"",IF(IF(MOD($L1165,1)=0,INT($B1165),$B1165)&lt;=$L1165,"Đúng hạn","Trễ hạn"))</f>
      </c>
      <c r="N1165" s="225">
        <f>IF($C1165="","",ROW())</f>
      </c>
      <c r="O1165" s="225">
        <f>IF($I1165="Công việc",MATCH($C1165,'Kế hoạch'!$A$6:$A$305,0),"")</f>
      </c>
      <c r="P1165" s="234">
        <f>IF($O1165="","",INDEX('Kế hoạch'!$I$6:$I$305,$O1165))</f>
      </c>
      <c r="Q1165" s="225">
        <f>IF($O1165="","",INDEX('Kế hoạch'!$AJ$6:$AJ$305,$O1165))</f>
      </c>
      <c r="R1165" s="225">
        <f>IF($O1165="","",INDEX('Kế hoạch'!$AK$6:$AK$305,$O1165))</f>
      </c>
    </row>
    <row r="1166">
      <c r="A1166" s="223">
        <f>IF($C1166="","",COUNTIF($C$6:$C1166,"?*"))</f>
      </c>
      <c r="B1166" s="217"/>
      <c r="C1166" s="216"/>
      <c r="D1166" s="240"/>
      <c r="E1166" s="218"/>
      <c r="F1166" s="218"/>
      <c r="G1166" s="218"/>
      <c r="H1166" s="219"/>
      <c r="I1166" s="223">
        <f>IF($C1166="","",IF(ISNUMBER(MATCH($C1166,'Phản ánh'!$A$6:$A$505,0)),"Phản ánh",IF(ISNUMBER(MATCH($C1166,'Kế hoạch'!$A$6:$A$305,0)),"Công việc","Mã chưa có")))</f>
      </c>
      <c r="J1166" s="221">
        <f>IF($I1166="Phản ánh",INDEX('Phản ánh'!$C$6:$C$505,MATCH($C1166,'Phản ánh'!$A$6:$A$505,0)),IF($I1166="Công việc",INDEX('Kế hoạch'!$C$6:$C$305,$O1166),""))</f>
      </c>
      <c r="K1166" s="221">
        <f>IF($I1166="Phản ánh",INDEX('Phản ánh'!$K$6:$K$505,MATCH($C1166,'Phản ánh'!$A$6:$A$505,0))&amp;"",IF($I1166="Công việc",INDEX('Kế hoạch'!$N$6:$N$305,$O1166)&amp;"",""))</f>
      </c>
      <c r="L1166" s="220">
        <f>IF(OR($C1166="",N($B1166)=0),"",IF(AND($I1166="Phản ánh",$E1166="Đã xử lý"),INDEX('Phản ánh'!$U$6:$U$505,MATCH($C1166,'Phản ánh'!$A$6:$A$505,0)),IF(AND($I1166="Công việc",OR($E1166="Hoàn thành",$E1166="Hoàn thành kỳ")),IF(INDEX('Kế hoạch'!$B$6:$B$305,$O1166)="Đột xuất",INDEX('Kế hoạch'!$AY$6:$AY$305,$O1166),IF(N($P1166)=0,"",IF(INT($B1166)&lt;$P1166,$P1166,IF($Q1166&gt;0,$P1166+ROUND((INT($B1166)-$P1166)/$Q1166,0)*$Q1166,IF($R1166&gt;0,EDATE($P1166,ROUND((DATEDIF($P1166,INT($B1166),"m")+(INT($B1166)-EDATE($P1166,DATEDIF($P1166,INT($B1166),"m")))/(EDATE($P1166,DATEDIF($P1166,INT($B1166),"m")+1)-EDATE($P1166,DATEDIF($P1166,INT($B1166),"m"))))/$R1166,0)*$R1166),$P1166))))),"")))</f>
      </c>
      <c r="M1166" s="223">
        <f>IF(OR($C1166="",N($L1166)=0,N($B1166)=0),"",IF(IF(MOD($L1166,1)=0,INT($B1166),$B1166)&lt;=$L1166,"Đúng hạn","Trễ hạn"))</f>
      </c>
      <c r="N1166" s="225">
        <f>IF($C1166="","",ROW())</f>
      </c>
      <c r="O1166" s="225">
        <f>IF($I1166="Công việc",MATCH($C1166,'Kế hoạch'!$A$6:$A$305,0),"")</f>
      </c>
      <c r="P1166" s="234">
        <f>IF($O1166="","",INDEX('Kế hoạch'!$I$6:$I$305,$O1166))</f>
      </c>
      <c r="Q1166" s="225">
        <f>IF($O1166="","",INDEX('Kế hoạch'!$AJ$6:$AJ$305,$O1166))</f>
      </c>
      <c r="R1166" s="225">
        <f>IF($O1166="","",INDEX('Kế hoạch'!$AK$6:$AK$305,$O1166))</f>
      </c>
    </row>
    <row r="1167">
      <c r="A1167" s="223">
        <f>IF($C1167="","",COUNTIF($C$6:$C1167,"?*"))</f>
      </c>
      <c r="B1167" s="217"/>
      <c r="C1167" s="216"/>
      <c r="D1167" s="240"/>
      <c r="E1167" s="218"/>
      <c r="F1167" s="218"/>
      <c r="G1167" s="218"/>
      <c r="H1167" s="219"/>
      <c r="I1167" s="223">
        <f>IF($C1167="","",IF(ISNUMBER(MATCH($C1167,'Phản ánh'!$A$6:$A$505,0)),"Phản ánh",IF(ISNUMBER(MATCH($C1167,'Kế hoạch'!$A$6:$A$305,0)),"Công việc","Mã chưa có")))</f>
      </c>
      <c r="J1167" s="221">
        <f>IF($I1167="Phản ánh",INDEX('Phản ánh'!$C$6:$C$505,MATCH($C1167,'Phản ánh'!$A$6:$A$505,0)),IF($I1167="Công việc",INDEX('Kế hoạch'!$C$6:$C$305,$O1167),""))</f>
      </c>
      <c r="K1167" s="221">
        <f>IF($I1167="Phản ánh",INDEX('Phản ánh'!$K$6:$K$505,MATCH($C1167,'Phản ánh'!$A$6:$A$505,0))&amp;"",IF($I1167="Công việc",INDEX('Kế hoạch'!$N$6:$N$305,$O1167)&amp;"",""))</f>
      </c>
      <c r="L1167" s="220">
        <f>IF(OR($C1167="",N($B1167)=0),"",IF(AND($I1167="Phản ánh",$E1167="Đã xử lý"),INDEX('Phản ánh'!$U$6:$U$505,MATCH($C1167,'Phản ánh'!$A$6:$A$505,0)),IF(AND($I1167="Công việc",OR($E1167="Hoàn thành",$E1167="Hoàn thành kỳ")),IF(INDEX('Kế hoạch'!$B$6:$B$305,$O1167)="Đột xuất",INDEX('Kế hoạch'!$AY$6:$AY$305,$O1167),IF(N($P1167)=0,"",IF(INT($B1167)&lt;$P1167,$P1167,IF($Q1167&gt;0,$P1167+ROUND((INT($B1167)-$P1167)/$Q1167,0)*$Q1167,IF($R1167&gt;0,EDATE($P1167,ROUND((DATEDIF($P1167,INT($B1167),"m")+(INT($B1167)-EDATE($P1167,DATEDIF($P1167,INT($B1167),"m")))/(EDATE($P1167,DATEDIF($P1167,INT($B1167),"m")+1)-EDATE($P1167,DATEDIF($P1167,INT($B1167),"m"))))/$R1167,0)*$R1167),$P1167))))),"")))</f>
      </c>
      <c r="M1167" s="223">
        <f>IF(OR($C1167="",N($L1167)=0,N($B1167)=0),"",IF(IF(MOD($L1167,1)=0,INT($B1167),$B1167)&lt;=$L1167,"Đúng hạn","Trễ hạn"))</f>
      </c>
      <c r="N1167" s="225">
        <f>IF($C1167="","",ROW())</f>
      </c>
      <c r="O1167" s="225">
        <f>IF($I1167="Công việc",MATCH($C1167,'Kế hoạch'!$A$6:$A$305,0),"")</f>
      </c>
      <c r="P1167" s="234">
        <f>IF($O1167="","",INDEX('Kế hoạch'!$I$6:$I$305,$O1167))</f>
      </c>
      <c r="Q1167" s="225">
        <f>IF($O1167="","",INDEX('Kế hoạch'!$AJ$6:$AJ$305,$O1167))</f>
      </c>
      <c r="R1167" s="225">
        <f>IF($O1167="","",INDEX('Kế hoạch'!$AK$6:$AK$305,$O1167))</f>
      </c>
    </row>
    <row r="1168">
      <c r="A1168" s="223">
        <f>IF($C1168="","",COUNTIF($C$6:$C1168,"?*"))</f>
      </c>
      <c r="B1168" s="217"/>
      <c r="C1168" s="216"/>
      <c r="D1168" s="240"/>
      <c r="E1168" s="218"/>
      <c r="F1168" s="218"/>
      <c r="G1168" s="218"/>
      <c r="H1168" s="219"/>
      <c r="I1168" s="223">
        <f>IF($C1168="","",IF(ISNUMBER(MATCH($C1168,'Phản ánh'!$A$6:$A$505,0)),"Phản ánh",IF(ISNUMBER(MATCH($C1168,'Kế hoạch'!$A$6:$A$305,0)),"Công việc","Mã chưa có")))</f>
      </c>
      <c r="J1168" s="221">
        <f>IF($I1168="Phản ánh",INDEX('Phản ánh'!$C$6:$C$505,MATCH($C1168,'Phản ánh'!$A$6:$A$505,0)),IF($I1168="Công việc",INDEX('Kế hoạch'!$C$6:$C$305,$O1168),""))</f>
      </c>
      <c r="K1168" s="221">
        <f>IF($I1168="Phản ánh",INDEX('Phản ánh'!$K$6:$K$505,MATCH($C1168,'Phản ánh'!$A$6:$A$505,0))&amp;"",IF($I1168="Công việc",INDEX('Kế hoạch'!$N$6:$N$305,$O1168)&amp;"",""))</f>
      </c>
      <c r="L1168" s="220">
        <f>IF(OR($C1168="",N($B1168)=0),"",IF(AND($I1168="Phản ánh",$E1168="Đã xử lý"),INDEX('Phản ánh'!$U$6:$U$505,MATCH($C1168,'Phản ánh'!$A$6:$A$505,0)),IF(AND($I1168="Công việc",OR($E1168="Hoàn thành",$E1168="Hoàn thành kỳ")),IF(INDEX('Kế hoạch'!$B$6:$B$305,$O1168)="Đột xuất",INDEX('Kế hoạch'!$AY$6:$AY$305,$O1168),IF(N($P1168)=0,"",IF(INT($B1168)&lt;$P1168,$P1168,IF($Q1168&gt;0,$P1168+ROUND((INT($B1168)-$P1168)/$Q1168,0)*$Q1168,IF($R1168&gt;0,EDATE($P1168,ROUND((DATEDIF($P1168,INT($B1168),"m")+(INT($B1168)-EDATE($P1168,DATEDIF($P1168,INT($B1168),"m")))/(EDATE($P1168,DATEDIF($P1168,INT($B1168),"m")+1)-EDATE($P1168,DATEDIF($P1168,INT($B1168),"m"))))/$R1168,0)*$R1168),$P1168))))),"")))</f>
      </c>
      <c r="M1168" s="223">
        <f>IF(OR($C1168="",N($L1168)=0,N($B1168)=0),"",IF(IF(MOD($L1168,1)=0,INT($B1168),$B1168)&lt;=$L1168,"Đúng hạn","Trễ hạn"))</f>
      </c>
      <c r="N1168" s="225">
        <f>IF($C1168="","",ROW())</f>
      </c>
      <c r="O1168" s="225">
        <f>IF($I1168="Công việc",MATCH($C1168,'Kế hoạch'!$A$6:$A$305,0),"")</f>
      </c>
      <c r="P1168" s="234">
        <f>IF($O1168="","",INDEX('Kế hoạch'!$I$6:$I$305,$O1168))</f>
      </c>
      <c r="Q1168" s="225">
        <f>IF($O1168="","",INDEX('Kế hoạch'!$AJ$6:$AJ$305,$O1168))</f>
      </c>
      <c r="R1168" s="225">
        <f>IF($O1168="","",INDEX('Kế hoạch'!$AK$6:$AK$305,$O1168))</f>
      </c>
    </row>
    <row r="1169">
      <c r="A1169" s="223">
        <f>IF($C1169="","",COUNTIF($C$6:$C1169,"?*"))</f>
      </c>
      <c r="B1169" s="217"/>
      <c r="C1169" s="216"/>
      <c r="D1169" s="240"/>
      <c r="E1169" s="218"/>
      <c r="F1169" s="218"/>
      <c r="G1169" s="218"/>
      <c r="H1169" s="219"/>
      <c r="I1169" s="223">
        <f>IF($C1169="","",IF(ISNUMBER(MATCH($C1169,'Phản ánh'!$A$6:$A$505,0)),"Phản ánh",IF(ISNUMBER(MATCH($C1169,'Kế hoạch'!$A$6:$A$305,0)),"Công việc","Mã chưa có")))</f>
      </c>
      <c r="J1169" s="221">
        <f>IF($I1169="Phản ánh",INDEX('Phản ánh'!$C$6:$C$505,MATCH($C1169,'Phản ánh'!$A$6:$A$505,0)),IF($I1169="Công việc",INDEX('Kế hoạch'!$C$6:$C$305,$O1169),""))</f>
      </c>
      <c r="K1169" s="221">
        <f>IF($I1169="Phản ánh",INDEX('Phản ánh'!$K$6:$K$505,MATCH($C1169,'Phản ánh'!$A$6:$A$505,0))&amp;"",IF($I1169="Công việc",INDEX('Kế hoạch'!$N$6:$N$305,$O1169)&amp;"",""))</f>
      </c>
      <c r="L1169" s="220">
        <f>IF(OR($C1169="",N($B1169)=0),"",IF(AND($I1169="Phản ánh",$E1169="Đã xử lý"),INDEX('Phản ánh'!$U$6:$U$505,MATCH($C1169,'Phản ánh'!$A$6:$A$505,0)),IF(AND($I1169="Công việc",OR($E1169="Hoàn thành",$E1169="Hoàn thành kỳ")),IF(INDEX('Kế hoạch'!$B$6:$B$305,$O1169)="Đột xuất",INDEX('Kế hoạch'!$AY$6:$AY$305,$O1169),IF(N($P1169)=0,"",IF(INT($B1169)&lt;$P1169,$P1169,IF($Q1169&gt;0,$P1169+ROUND((INT($B1169)-$P1169)/$Q1169,0)*$Q1169,IF($R1169&gt;0,EDATE($P1169,ROUND((DATEDIF($P1169,INT($B1169),"m")+(INT($B1169)-EDATE($P1169,DATEDIF($P1169,INT($B1169),"m")))/(EDATE($P1169,DATEDIF($P1169,INT($B1169),"m")+1)-EDATE($P1169,DATEDIF($P1169,INT($B1169),"m"))))/$R1169,0)*$R1169),$P1169))))),"")))</f>
      </c>
      <c r="M1169" s="223">
        <f>IF(OR($C1169="",N($L1169)=0,N($B1169)=0),"",IF(IF(MOD($L1169,1)=0,INT($B1169),$B1169)&lt;=$L1169,"Đúng hạn","Trễ hạn"))</f>
      </c>
      <c r="N1169" s="225">
        <f>IF($C1169="","",ROW())</f>
      </c>
      <c r="O1169" s="225">
        <f>IF($I1169="Công việc",MATCH($C1169,'Kế hoạch'!$A$6:$A$305,0),"")</f>
      </c>
      <c r="P1169" s="234">
        <f>IF($O1169="","",INDEX('Kế hoạch'!$I$6:$I$305,$O1169))</f>
      </c>
      <c r="Q1169" s="225">
        <f>IF($O1169="","",INDEX('Kế hoạch'!$AJ$6:$AJ$305,$O1169))</f>
      </c>
      <c r="R1169" s="225">
        <f>IF($O1169="","",INDEX('Kế hoạch'!$AK$6:$AK$305,$O1169))</f>
      </c>
    </row>
    <row r="1170">
      <c r="A1170" s="223">
        <f>IF($C1170="","",COUNTIF($C$6:$C1170,"?*"))</f>
      </c>
      <c r="B1170" s="217"/>
      <c r="C1170" s="216"/>
      <c r="D1170" s="240"/>
      <c r="E1170" s="218"/>
      <c r="F1170" s="218"/>
      <c r="G1170" s="218"/>
      <c r="H1170" s="219"/>
      <c r="I1170" s="223">
        <f>IF($C1170="","",IF(ISNUMBER(MATCH($C1170,'Phản ánh'!$A$6:$A$505,0)),"Phản ánh",IF(ISNUMBER(MATCH($C1170,'Kế hoạch'!$A$6:$A$305,0)),"Công việc","Mã chưa có")))</f>
      </c>
      <c r="J1170" s="221">
        <f>IF($I1170="Phản ánh",INDEX('Phản ánh'!$C$6:$C$505,MATCH($C1170,'Phản ánh'!$A$6:$A$505,0)),IF($I1170="Công việc",INDEX('Kế hoạch'!$C$6:$C$305,$O1170),""))</f>
      </c>
      <c r="K1170" s="221">
        <f>IF($I1170="Phản ánh",INDEX('Phản ánh'!$K$6:$K$505,MATCH($C1170,'Phản ánh'!$A$6:$A$505,0))&amp;"",IF($I1170="Công việc",INDEX('Kế hoạch'!$N$6:$N$305,$O1170)&amp;"",""))</f>
      </c>
      <c r="L1170" s="220">
        <f>IF(OR($C1170="",N($B1170)=0),"",IF(AND($I1170="Phản ánh",$E1170="Đã xử lý"),INDEX('Phản ánh'!$U$6:$U$505,MATCH($C1170,'Phản ánh'!$A$6:$A$505,0)),IF(AND($I1170="Công việc",OR($E1170="Hoàn thành",$E1170="Hoàn thành kỳ")),IF(INDEX('Kế hoạch'!$B$6:$B$305,$O1170)="Đột xuất",INDEX('Kế hoạch'!$AY$6:$AY$305,$O1170),IF(N($P1170)=0,"",IF(INT($B1170)&lt;$P1170,$P1170,IF($Q1170&gt;0,$P1170+ROUND((INT($B1170)-$P1170)/$Q1170,0)*$Q1170,IF($R1170&gt;0,EDATE($P1170,ROUND((DATEDIF($P1170,INT($B1170),"m")+(INT($B1170)-EDATE($P1170,DATEDIF($P1170,INT($B1170),"m")))/(EDATE($P1170,DATEDIF($P1170,INT($B1170),"m")+1)-EDATE($P1170,DATEDIF($P1170,INT($B1170),"m"))))/$R1170,0)*$R1170),$P1170))))),"")))</f>
      </c>
      <c r="M1170" s="223">
        <f>IF(OR($C1170="",N($L1170)=0,N($B1170)=0),"",IF(IF(MOD($L1170,1)=0,INT($B1170),$B1170)&lt;=$L1170,"Đúng hạn","Trễ hạn"))</f>
      </c>
      <c r="N1170" s="225">
        <f>IF($C1170="","",ROW())</f>
      </c>
      <c r="O1170" s="225">
        <f>IF($I1170="Công việc",MATCH($C1170,'Kế hoạch'!$A$6:$A$305,0),"")</f>
      </c>
      <c r="P1170" s="234">
        <f>IF($O1170="","",INDEX('Kế hoạch'!$I$6:$I$305,$O1170))</f>
      </c>
      <c r="Q1170" s="225">
        <f>IF($O1170="","",INDEX('Kế hoạch'!$AJ$6:$AJ$305,$O1170))</f>
      </c>
      <c r="R1170" s="225">
        <f>IF($O1170="","",INDEX('Kế hoạch'!$AK$6:$AK$305,$O1170))</f>
      </c>
    </row>
    <row r="1171">
      <c r="A1171" s="223">
        <f>IF($C1171="","",COUNTIF($C$6:$C1171,"?*"))</f>
      </c>
      <c r="B1171" s="217"/>
      <c r="C1171" s="216"/>
      <c r="D1171" s="240"/>
      <c r="E1171" s="218"/>
      <c r="F1171" s="218"/>
      <c r="G1171" s="218"/>
      <c r="H1171" s="219"/>
      <c r="I1171" s="223">
        <f>IF($C1171="","",IF(ISNUMBER(MATCH($C1171,'Phản ánh'!$A$6:$A$505,0)),"Phản ánh",IF(ISNUMBER(MATCH($C1171,'Kế hoạch'!$A$6:$A$305,0)),"Công việc","Mã chưa có")))</f>
      </c>
      <c r="J1171" s="221">
        <f>IF($I1171="Phản ánh",INDEX('Phản ánh'!$C$6:$C$505,MATCH($C1171,'Phản ánh'!$A$6:$A$505,0)),IF($I1171="Công việc",INDEX('Kế hoạch'!$C$6:$C$305,$O1171),""))</f>
      </c>
      <c r="K1171" s="221">
        <f>IF($I1171="Phản ánh",INDEX('Phản ánh'!$K$6:$K$505,MATCH($C1171,'Phản ánh'!$A$6:$A$505,0))&amp;"",IF($I1171="Công việc",INDEX('Kế hoạch'!$N$6:$N$305,$O1171)&amp;"",""))</f>
      </c>
      <c r="L1171" s="220">
        <f>IF(OR($C1171="",N($B1171)=0),"",IF(AND($I1171="Phản ánh",$E1171="Đã xử lý"),INDEX('Phản ánh'!$U$6:$U$505,MATCH($C1171,'Phản ánh'!$A$6:$A$505,0)),IF(AND($I1171="Công việc",OR($E1171="Hoàn thành",$E1171="Hoàn thành kỳ")),IF(INDEX('Kế hoạch'!$B$6:$B$305,$O1171)="Đột xuất",INDEX('Kế hoạch'!$AY$6:$AY$305,$O1171),IF(N($P1171)=0,"",IF(INT($B1171)&lt;$P1171,$P1171,IF($Q1171&gt;0,$P1171+ROUND((INT($B1171)-$P1171)/$Q1171,0)*$Q1171,IF($R1171&gt;0,EDATE($P1171,ROUND((DATEDIF($P1171,INT($B1171),"m")+(INT($B1171)-EDATE($P1171,DATEDIF($P1171,INT($B1171),"m")))/(EDATE($P1171,DATEDIF($P1171,INT($B1171),"m")+1)-EDATE($P1171,DATEDIF($P1171,INT($B1171),"m"))))/$R1171,0)*$R1171),$P1171))))),"")))</f>
      </c>
      <c r="M1171" s="223">
        <f>IF(OR($C1171="",N($L1171)=0,N($B1171)=0),"",IF(IF(MOD($L1171,1)=0,INT($B1171),$B1171)&lt;=$L1171,"Đúng hạn","Trễ hạn"))</f>
      </c>
      <c r="N1171" s="225">
        <f>IF($C1171="","",ROW())</f>
      </c>
      <c r="O1171" s="225">
        <f>IF($I1171="Công việc",MATCH($C1171,'Kế hoạch'!$A$6:$A$305,0),"")</f>
      </c>
      <c r="P1171" s="234">
        <f>IF($O1171="","",INDEX('Kế hoạch'!$I$6:$I$305,$O1171))</f>
      </c>
      <c r="Q1171" s="225">
        <f>IF($O1171="","",INDEX('Kế hoạch'!$AJ$6:$AJ$305,$O1171))</f>
      </c>
      <c r="R1171" s="225">
        <f>IF($O1171="","",INDEX('Kế hoạch'!$AK$6:$AK$305,$O1171))</f>
      </c>
    </row>
    <row r="1172">
      <c r="A1172" s="223">
        <f>IF($C1172="","",COUNTIF($C$6:$C1172,"?*"))</f>
      </c>
      <c r="B1172" s="217"/>
      <c r="C1172" s="216"/>
      <c r="D1172" s="240"/>
      <c r="E1172" s="218"/>
      <c r="F1172" s="218"/>
      <c r="G1172" s="218"/>
      <c r="H1172" s="219"/>
      <c r="I1172" s="223">
        <f>IF($C1172="","",IF(ISNUMBER(MATCH($C1172,'Phản ánh'!$A$6:$A$505,0)),"Phản ánh",IF(ISNUMBER(MATCH($C1172,'Kế hoạch'!$A$6:$A$305,0)),"Công việc","Mã chưa có")))</f>
      </c>
      <c r="J1172" s="221">
        <f>IF($I1172="Phản ánh",INDEX('Phản ánh'!$C$6:$C$505,MATCH($C1172,'Phản ánh'!$A$6:$A$505,0)),IF($I1172="Công việc",INDEX('Kế hoạch'!$C$6:$C$305,$O1172),""))</f>
      </c>
      <c r="K1172" s="221">
        <f>IF($I1172="Phản ánh",INDEX('Phản ánh'!$K$6:$K$505,MATCH($C1172,'Phản ánh'!$A$6:$A$505,0))&amp;"",IF($I1172="Công việc",INDEX('Kế hoạch'!$N$6:$N$305,$O1172)&amp;"",""))</f>
      </c>
      <c r="L1172" s="220">
        <f>IF(OR($C1172="",N($B1172)=0),"",IF(AND($I1172="Phản ánh",$E1172="Đã xử lý"),INDEX('Phản ánh'!$U$6:$U$505,MATCH($C1172,'Phản ánh'!$A$6:$A$505,0)),IF(AND($I1172="Công việc",OR($E1172="Hoàn thành",$E1172="Hoàn thành kỳ")),IF(INDEX('Kế hoạch'!$B$6:$B$305,$O1172)="Đột xuất",INDEX('Kế hoạch'!$AY$6:$AY$305,$O1172),IF(N($P1172)=0,"",IF(INT($B1172)&lt;$P1172,$P1172,IF($Q1172&gt;0,$P1172+ROUND((INT($B1172)-$P1172)/$Q1172,0)*$Q1172,IF($R1172&gt;0,EDATE($P1172,ROUND((DATEDIF($P1172,INT($B1172),"m")+(INT($B1172)-EDATE($P1172,DATEDIF($P1172,INT($B1172),"m")))/(EDATE($P1172,DATEDIF($P1172,INT($B1172),"m")+1)-EDATE($P1172,DATEDIF($P1172,INT($B1172),"m"))))/$R1172,0)*$R1172),$P1172))))),"")))</f>
      </c>
      <c r="M1172" s="223">
        <f>IF(OR($C1172="",N($L1172)=0,N($B1172)=0),"",IF(IF(MOD($L1172,1)=0,INT($B1172),$B1172)&lt;=$L1172,"Đúng hạn","Trễ hạn"))</f>
      </c>
      <c r="N1172" s="225">
        <f>IF($C1172="","",ROW())</f>
      </c>
      <c r="O1172" s="225">
        <f>IF($I1172="Công việc",MATCH($C1172,'Kế hoạch'!$A$6:$A$305,0),"")</f>
      </c>
      <c r="P1172" s="234">
        <f>IF($O1172="","",INDEX('Kế hoạch'!$I$6:$I$305,$O1172))</f>
      </c>
      <c r="Q1172" s="225">
        <f>IF($O1172="","",INDEX('Kế hoạch'!$AJ$6:$AJ$305,$O1172))</f>
      </c>
      <c r="R1172" s="225">
        <f>IF($O1172="","",INDEX('Kế hoạch'!$AK$6:$AK$305,$O1172))</f>
      </c>
    </row>
    <row r="1173">
      <c r="A1173" s="223">
        <f>IF($C1173="","",COUNTIF($C$6:$C1173,"?*"))</f>
      </c>
      <c r="B1173" s="217"/>
      <c r="C1173" s="216"/>
      <c r="D1173" s="240"/>
      <c r="E1173" s="218"/>
      <c r="F1173" s="218"/>
      <c r="G1173" s="218"/>
      <c r="H1173" s="219"/>
      <c r="I1173" s="223">
        <f>IF($C1173="","",IF(ISNUMBER(MATCH($C1173,'Phản ánh'!$A$6:$A$505,0)),"Phản ánh",IF(ISNUMBER(MATCH($C1173,'Kế hoạch'!$A$6:$A$305,0)),"Công việc","Mã chưa có")))</f>
      </c>
      <c r="J1173" s="221">
        <f>IF($I1173="Phản ánh",INDEX('Phản ánh'!$C$6:$C$505,MATCH($C1173,'Phản ánh'!$A$6:$A$505,0)),IF($I1173="Công việc",INDEX('Kế hoạch'!$C$6:$C$305,$O1173),""))</f>
      </c>
      <c r="K1173" s="221">
        <f>IF($I1173="Phản ánh",INDEX('Phản ánh'!$K$6:$K$505,MATCH($C1173,'Phản ánh'!$A$6:$A$505,0))&amp;"",IF($I1173="Công việc",INDEX('Kế hoạch'!$N$6:$N$305,$O1173)&amp;"",""))</f>
      </c>
      <c r="L1173" s="220">
        <f>IF(OR($C1173="",N($B1173)=0),"",IF(AND($I1173="Phản ánh",$E1173="Đã xử lý"),INDEX('Phản ánh'!$U$6:$U$505,MATCH($C1173,'Phản ánh'!$A$6:$A$505,0)),IF(AND($I1173="Công việc",OR($E1173="Hoàn thành",$E1173="Hoàn thành kỳ")),IF(INDEX('Kế hoạch'!$B$6:$B$305,$O1173)="Đột xuất",INDEX('Kế hoạch'!$AY$6:$AY$305,$O1173),IF(N($P1173)=0,"",IF(INT($B1173)&lt;$P1173,$P1173,IF($Q1173&gt;0,$P1173+ROUND((INT($B1173)-$P1173)/$Q1173,0)*$Q1173,IF($R1173&gt;0,EDATE($P1173,ROUND((DATEDIF($P1173,INT($B1173),"m")+(INT($B1173)-EDATE($P1173,DATEDIF($P1173,INT($B1173),"m")))/(EDATE($P1173,DATEDIF($P1173,INT($B1173),"m")+1)-EDATE($P1173,DATEDIF($P1173,INT($B1173),"m"))))/$R1173,0)*$R1173),$P1173))))),"")))</f>
      </c>
      <c r="M1173" s="223">
        <f>IF(OR($C1173="",N($L1173)=0,N($B1173)=0),"",IF(IF(MOD($L1173,1)=0,INT($B1173),$B1173)&lt;=$L1173,"Đúng hạn","Trễ hạn"))</f>
      </c>
      <c r="N1173" s="225">
        <f>IF($C1173="","",ROW())</f>
      </c>
      <c r="O1173" s="225">
        <f>IF($I1173="Công việc",MATCH($C1173,'Kế hoạch'!$A$6:$A$305,0),"")</f>
      </c>
      <c r="P1173" s="234">
        <f>IF($O1173="","",INDEX('Kế hoạch'!$I$6:$I$305,$O1173))</f>
      </c>
      <c r="Q1173" s="225">
        <f>IF($O1173="","",INDEX('Kế hoạch'!$AJ$6:$AJ$305,$O1173))</f>
      </c>
      <c r="R1173" s="225">
        <f>IF($O1173="","",INDEX('Kế hoạch'!$AK$6:$AK$305,$O1173))</f>
      </c>
    </row>
    <row r="1174">
      <c r="A1174" s="223">
        <f>IF($C1174="","",COUNTIF($C$6:$C1174,"?*"))</f>
      </c>
      <c r="B1174" s="217"/>
      <c r="C1174" s="216"/>
      <c r="D1174" s="240"/>
      <c r="E1174" s="218"/>
      <c r="F1174" s="218"/>
      <c r="G1174" s="218"/>
      <c r="H1174" s="219"/>
      <c r="I1174" s="223">
        <f>IF($C1174="","",IF(ISNUMBER(MATCH($C1174,'Phản ánh'!$A$6:$A$505,0)),"Phản ánh",IF(ISNUMBER(MATCH($C1174,'Kế hoạch'!$A$6:$A$305,0)),"Công việc","Mã chưa có")))</f>
      </c>
      <c r="J1174" s="221">
        <f>IF($I1174="Phản ánh",INDEX('Phản ánh'!$C$6:$C$505,MATCH($C1174,'Phản ánh'!$A$6:$A$505,0)),IF($I1174="Công việc",INDEX('Kế hoạch'!$C$6:$C$305,$O1174),""))</f>
      </c>
      <c r="K1174" s="221">
        <f>IF($I1174="Phản ánh",INDEX('Phản ánh'!$K$6:$K$505,MATCH($C1174,'Phản ánh'!$A$6:$A$505,0))&amp;"",IF($I1174="Công việc",INDEX('Kế hoạch'!$N$6:$N$305,$O1174)&amp;"",""))</f>
      </c>
      <c r="L1174" s="220">
        <f>IF(OR($C1174="",N($B1174)=0),"",IF(AND($I1174="Phản ánh",$E1174="Đã xử lý"),INDEX('Phản ánh'!$U$6:$U$505,MATCH($C1174,'Phản ánh'!$A$6:$A$505,0)),IF(AND($I1174="Công việc",OR($E1174="Hoàn thành",$E1174="Hoàn thành kỳ")),IF(INDEX('Kế hoạch'!$B$6:$B$305,$O1174)="Đột xuất",INDEX('Kế hoạch'!$AY$6:$AY$305,$O1174),IF(N($P1174)=0,"",IF(INT($B1174)&lt;$P1174,$P1174,IF($Q1174&gt;0,$P1174+ROUND((INT($B1174)-$P1174)/$Q1174,0)*$Q1174,IF($R1174&gt;0,EDATE($P1174,ROUND((DATEDIF($P1174,INT($B1174),"m")+(INT($B1174)-EDATE($P1174,DATEDIF($P1174,INT($B1174),"m")))/(EDATE($P1174,DATEDIF($P1174,INT($B1174),"m")+1)-EDATE($P1174,DATEDIF($P1174,INT($B1174),"m"))))/$R1174,0)*$R1174),$P1174))))),"")))</f>
      </c>
      <c r="M1174" s="223">
        <f>IF(OR($C1174="",N($L1174)=0,N($B1174)=0),"",IF(IF(MOD($L1174,1)=0,INT($B1174),$B1174)&lt;=$L1174,"Đúng hạn","Trễ hạn"))</f>
      </c>
      <c r="N1174" s="225">
        <f>IF($C1174="","",ROW())</f>
      </c>
      <c r="O1174" s="225">
        <f>IF($I1174="Công việc",MATCH($C1174,'Kế hoạch'!$A$6:$A$305,0),"")</f>
      </c>
      <c r="P1174" s="234">
        <f>IF($O1174="","",INDEX('Kế hoạch'!$I$6:$I$305,$O1174))</f>
      </c>
      <c r="Q1174" s="225">
        <f>IF($O1174="","",INDEX('Kế hoạch'!$AJ$6:$AJ$305,$O1174))</f>
      </c>
      <c r="R1174" s="225">
        <f>IF($O1174="","",INDEX('Kế hoạch'!$AK$6:$AK$305,$O1174))</f>
      </c>
    </row>
    <row r="1175">
      <c r="A1175" s="223">
        <f>IF($C1175="","",COUNTIF($C$6:$C1175,"?*"))</f>
      </c>
      <c r="B1175" s="217"/>
      <c r="C1175" s="216"/>
      <c r="D1175" s="240"/>
      <c r="E1175" s="218"/>
      <c r="F1175" s="218"/>
      <c r="G1175" s="218"/>
      <c r="H1175" s="219"/>
      <c r="I1175" s="223">
        <f>IF($C1175="","",IF(ISNUMBER(MATCH($C1175,'Phản ánh'!$A$6:$A$505,0)),"Phản ánh",IF(ISNUMBER(MATCH($C1175,'Kế hoạch'!$A$6:$A$305,0)),"Công việc","Mã chưa có")))</f>
      </c>
      <c r="J1175" s="221">
        <f>IF($I1175="Phản ánh",INDEX('Phản ánh'!$C$6:$C$505,MATCH($C1175,'Phản ánh'!$A$6:$A$505,0)),IF($I1175="Công việc",INDEX('Kế hoạch'!$C$6:$C$305,$O1175),""))</f>
      </c>
      <c r="K1175" s="221">
        <f>IF($I1175="Phản ánh",INDEX('Phản ánh'!$K$6:$K$505,MATCH($C1175,'Phản ánh'!$A$6:$A$505,0))&amp;"",IF($I1175="Công việc",INDEX('Kế hoạch'!$N$6:$N$305,$O1175)&amp;"",""))</f>
      </c>
      <c r="L1175" s="220">
        <f>IF(OR($C1175="",N($B1175)=0),"",IF(AND($I1175="Phản ánh",$E1175="Đã xử lý"),INDEX('Phản ánh'!$U$6:$U$505,MATCH($C1175,'Phản ánh'!$A$6:$A$505,0)),IF(AND($I1175="Công việc",OR($E1175="Hoàn thành",$E1175="Hoàn thành kỳ")),IF(INDEX('Kế hoạch'!$B$6:$B$305,$O1175)="Đột xuất",INDEX('Kế hoạch'!$AY$6:$AY$305,$O1175),IF(N($P1175)=0,"",IF(INT($B1175)&lt;$P1175,$P1175,IF($Q1175&gt;0,$P1175+ROUND((INT($B1175)-$P1175)/$Q1175,0)*$Q1175,IF($R1175&gt;0,EDATE($P1175,ROUND((DATEDIF($P1175,INT($B1175),"m")+(INT($B1175)-EDATE($P1175,DATEDIF($P1175,INT($B1175),"m")))/(EDATE($P1175,DATEDIF($P1175,INT($B1175),"m")+1)-EDATE($P1175,DATEDIF($P1175,INT($B1175),"m"))))/$R1175,0)*$R1175),$P1175))))),"")))</f>
      </c>
      <c r="M1175" s="223">
        <f>IF(OR($C1175="",N($L1175)=0,N($B1175)=0),"",IF(IF(MOD($L1175,1)=0,INT($B1175),$B1175)&lt;=$L1175,"Đúng hạn","Trễ hạn"))</f>
      </c>
      <c r="N1175" s="225">
        <f>IF($C1175="","",ROW())</f>
      </c>
      <c r="O1175" s="225">
        <f>IF($I1175="Công việc",MATCH($C1175,'Kế hoạch'!$A$6:$A$305,0),"")</f>
      </c>
      <c r="P1175" s="234">
        <f>IF($O1175="","",INDEX('Kế hoạch'!$I$6:$I$305,$O1175))</f>
      </c>
      <c r="Q1175" s="225">
        <f>IF($O1175="","",INDEX('Kế hoạch'!$AJ$6:$AJ$305,$O1175))</f>
      </c>
      <c r="R1175" s="225">
        <f>IF($O1175="","",INDEX('Kế hoạch'!$AK$6:$AK$305,$O1175))</f>
      </c>
    </row>
    <row r="1176">
      <c r="A1176" s="223">
        <f>IF($C1176="","",COUNTIF($C$6:$C1176,"?*"))</f>
      </c>
      <c r="B1176" s="217"/>
      <c r="C1176" s="216"/>
      <c r="D1176" s="240"/>
      <c r="E1176" s="218"/>
      <c r="F1176" s="218"/>
      <c r="G1176" s="218"/>
      <c r="H1176" s="219"/>
      <c r="I1176" s="223">
        <f>IF($C1176="","",IF(ISNUMBER(MATCH($C1176,'Phản ánh'!$A$6:$A$505,0)),"Phản ánh",IF(ISNUMBER(MATCH($C1176,'Kế hoạch'!$A$6:$A$305,0)),"Công việc","Mã chưa có")))</f>
      </c>
      <c r="J1176" s="221">
        <f>IF($I1176="Phản ánh",INDEX('Phản ánh'!$C$6:$C$505,MATCH($C1176,'Phản ánh'!$A$6:$A$505,0)),IF($I1176="Công việc",INDEX('Kế hoạch'!$C$6:$C$305,$O1176),""))</f>
      </c>
      <c r="K1176" s="221">
        <f>IF($I1176="Phản ánh",INDEX('Phản ánh'!$K$6:$K$505,MATCH($C1176,'Phản ánh'!$A$6:$A$505,0))&amp;"",IF($I1176="Công việc",INDEX('Kế hoạch'!$N$6:$N$305,$O1176)&amp;"",""))</f>
      </c>
      <c r="L1176" s="220">
        <f>IF(OR($C1176="",N($B1176)=0),"",IF(AND($I1176="Phản ánh",$E1176="Đã xử lý"),INDEX('Phản ánh'!$U$6:$U$505,MATCH($C1176,'Phản ánh'!$A$6:$A$505,0)),IF(AND($I1176="Công việc",OR($E1176="Hoàn thành",$E1176="Hoàn thành kỳ")),IF(INDEX('Kế hoạch'!$B$6:$B$305,$O1176)="Đột xuất",INDEX('Kế hoạch'!$AY$6:$AY$305,$O1176),IF(N($P1176)=0,"",IF(INT($B1176)&lt;$P1176,$P1176,IF($Q1176&gt;0,$P1176+ROUND((INT($B1176)-$P1176)/$Q1176,0)*$Q1176,IF($R1176&gt;0,EDATE($P1176,ROUND((DATEDIF($P1176,INT($B1176),"m")+(INT($B1176)-EDATE($P1176,DATEDIF($P1176,INT($B1176),"m")))/(EDATE($P1176,DATEDIF($P1176,INT($B1176),"m")+1)-EDATE($P1176,DATEDIF($P1176,INT($B1176),"m"))))/$R1176,0)*$R1176),$P1176))))),"")))</f>
      </c>
      <c r="M1176" s="223">
        <f>IF(OR($C1176="",N($L1176)=0,N($B1176)=0),"",IF(IF(MOD($L1176,1)=0,INT($B1176),$B1176)&lt;=$L1176,"Đúng hạn","Trễ hạn"))</f>
      </c>
      <c r="N1176" s="225">
        <f>IF($C1176="","",ROW())</f>
      </c>
      <c r="O1176" s="225">
        <f>IF($I1176="Công việc",MATCH($C1176,'Kế hoạch'!$A$6:$A$305,0),"")</f>
      </c>
      <c r="P1176" s="234">
        <f>IF($O1176="","",INDEX('Kế hoạch'!$I$6:$I$305,$O1176))</f>
      </c>
      <c r="Q1176" s="225">
        <f>IF($O1176="","",INDEX('Kế hoạch'!$AJ$6:$AJ$305,$O1176))</f>
      </c>
      <c r="R1176" s="225">
        <f>IF($O1176="","",INDEX('Kế hoạch'!$AK$6:$AK$305,$O1176))</f>
      </c>
    </row>
    <row r="1177">
      <c r="A1177" s="223">
        <f>IF($C1177="","",COUNTIF($C$6:$C1177,"?*"))</f>
      </c>
      <c r="B1177" s="217"/>
      <c r="C1177" s="216"/>
      <c r="D1177" s="240"/>
      <c r="E1177" s="218"/>
      <c r="F1177" s="218"/>
      <c r="G1177" s="218"/>
      <c r="H1177" s="219"/>
      <c r="I1177" s="223">
        <f>IF($C1177="","",IF(ISNUMBER(MATCH($C1177,'Phản ánh'!$A$6:$A$505,0)),"Phản ánh",IF(ISNUMBER(MATCH($C1177,'Kế hoạch'!$A$6:$A$305,0)),"Công việc","Mã chưa có")))</f>
      </c>
      <c r="J1177" s="221">
        <f>IF($I1177="Phản ánh",INDEX('Phản ánh'!$C$6:$C$505,MATCH($C1177,'Phản ánh'!$A$6:$A$505,0)),IF($I1177="Công việc",INDEX('Kế hoạch'!$C$6:$C$305,$O1177),""))</f>
      </c>
      <c r="K1177" s="221">
        <f>IF($I1177="Phản ánh",INDEX('Phản ánh'!$K$6:$K$505,MATCH($C1177,'Phản ánh'!$A$6:$A$505,0))&amp;"",IF($I1177="Công việc",INDEX('Kế hoạch'!$N$6:$N$305,$O1177)&amp;"",""))</f>
      </c>
      <c r="L1177" s="220">
        <f>IF(OR($C1177="",N($B1177)=0),"",IF(AND($I1177="Phản ánh",$E1177="Đã xử lý"),INDEX('Phản ánh'!$U$6:$U$505,MATCH($C1177,'Phản ánh'!$A$6:$A$505,0)),IF(AND($I1177="Công việc",OR($E1177="Hoàn thành",$E1177="Hoàn thành kỳ")),IF(INDEX('Kế hoạch'!$B$6:$B$305,$O1177)="Đột xuất",INDEX('Kế hoạch'!$AY$6:$AY$305,$O1177),IF(N($P1177)=0,"",IF(INT($B1177)&lt;$P1177,$P1177,IF($Q1177&gt;0,$P1177+ROUND((INT($B1177)-$P1177)/$Q1177,0)*$Q1177,IF($R1177&gt;0,EDATE($P1177,ROUND((DATEDIF($P1177,INT($B1177),"m")+(INT($B1177)-EDATE($P1177,DATEDIF($P1177,INT($B1177),"m")))/(EDATE($P1177,DATEDIF($P1177,INT($B1177),"m")+1)-EDATE($P1177,DATEDIF($P1177,INT($B1177),"m"))))/$R1177,0)*$R1177),$P1177))))),"")))</f>
      </c>
      <c r="M1177" s="223">
        <f>IF(OR($C1177="",N($L1177)=0,N($B1177)=0),"",IF(IF(MOD($L1177,1)=0,INT($B1177),$B1177)&lt;=$L1177,"Đúng hạn","Trễ hạn"))</f>
      </c>
      <c r="N1177" s="225">
        <f>IF($C1177="","",ROW())</f>
      </c>
      <c r="O1177" s="225">
        <f>IF($I1177="Công việc",MATCH($C1177,'Kế hoạch'!$A$6:$A$305,0),"")</f>
      </c>
      <c r="P1177" s="234">
        <f>IF($O1177="","",INDEX('Kế hoạch'!$I$6:$I$305,$O1177))</f>
      </c>
      <c r="Q1177" s="225">
        <f>IF($O1177="","",INDEX('Kế hoạch'!$AJ$6:$AJ$305,$O1177))</f>
      </c>
      <c r="R1177" s="225">
        <f>IF($O1177="","",INDEX('Kế hoạch'!$AK$6:$AK$305,$O1177))</f>
      </c>
    </row>
    <row r="1178">
      <c r="A1178" s="223">
        <f>IF($C1178="","",COUNTIF($C$6:$C1178,"?*"))</f>
      </c>
      <c r="B1178" s="217"/>
      <c r="C1178" s="216"/>
      <c r="D1178" s="240"/>
      <c r="E1178" s="218"/>
      <c r="F1178" s="218"/>
      <c r="G1178" s="218"/>
      <c r="H1178" s="219"/>
      <c r="I1178" s="223">
        <f>IF($C1178="","",IF(ISNUMBER(MATCH($C1178,'Phản ánh'!$A$6:$A$505,0)),"Phản ánh",IF(ISNUMBER(MATCH($C1178,'Kế hoạch'!$A$6:$A$305,0)),"Công việc","Mã chưa có")))</f>
      </c>
      <c r="J1178" s="221">
        <f>IF($I1178="Phản ánh",INDEX('Phản ánh'!$C$6:$C$505,MATCH($C1178,'Phản ánh'!$A$6:$A$505,0)),IF($I1178="Công việc",INDEX('Kế hoạch'!$C$6:$C$305,$O1178),""))</f>
      </c>
      <c r="K1178" s="221">
        <f>IF($I1178="Phản ánh",INDEX('Phản ánh'!$K$6:$K$505,MATCH($C1178,'Phản ánh'!$A$6:$A$505,0))&amp;"",IF($I1178="Công việc",INDEX('Kế hoạch'!$N$6:$N$305,$O1178)&amp;"",""))</f>
      </c>
      <c r="L1178" s="220">
        <f>IF(OR($C1178="",N($B1178)=0),"",IF(AND($I1178="Phản ánh",$E1178="Đã xử lý"),INDEX('Phản ánh'!$U$6:$U$505,MATCH($C1178,'Phản ánh'!$A$6:$A$505,0)),IF(AND($I1178="Công việc",OR($E1178="Hoàn thành",$E1178="Hoàn thành kỳ")),IF(INDEX('Kế hoạch'!$B$6:$B$305,$O1178)="Đột xuất",INDEX('Kế hoạch'!$AY$6:$AY$305,$O1178),IF(N($P1178)=0,"",IF(INT($B1178)&lt;$P1178,$P1178,IF($Q1178&gt;0,$P1178+ROUND((INT($B1178)-$P1178)/$Q1178,0)*$Q1178,IF($R1178&gt;0,EDATE($P1178,ROUND((DATEDIF($P1178,INT($B1178),"m")+(INT($B1178)-EDATE($P1178,DATEDIF($P1178,INT($B1178),"m")))/(EDATE($P1178,DATEDIF($P1178,INT($B1178),"m")+1)-EDATE($P1178,DATEDIF($P1178,INT($B1178),"m"))))/$R1178,0)*$R1178),$P1178))))),"")))</f>
      </c>
      <c r="M1178" s="223">
        <f>IF(OR($C1178="",N($L1178)=0,N($B1178)=0),"",IF(IF(MOD($L1178,1)=0,INT($B1178),$B1178)&lt;=$L1178,"Đúng hạn","Trễ hạn"))</f>
      </c>
      <c r="N1178" s="225">
        <f>IF($C1178="","",ROW())</f>
      </c>
      <c r="O1178" s="225">
        <f>IF($I1178="Công việc",MATCH($C1178,'Kế hoạch'!$A$6:$A$305,0),"")</f>
      </c>
      <c r="P1178" s="234">
        <f>IF($O1178="","",INDEX('Kế hoạch'!$I$6:$I$305,$O1178))</f>
      </c>
      <c r="Q1178" s="225">
        <f>IF($O1178="","",INDEX('Kế hoạch'!$AJ$6:$AJ$305,$O1178))</f>
      </c>
      <c r="R1178" s="225">
        <f>IF($O1178="","",INDEX('Kế hoạch'!$AK$6:$AK$305,$O1178))</f>
      </c>
    </row>
    <row r="1179">
      <c r="A1179" s="223">
        <f>IF($C1179="","",COUNTIF($C$6:$C1179,"?*"))</f>
      </c>
      <c r="B1179" s="217"/>
      <c r="C1179" s="216"/>
      <c r="D1179" s="240"/>
      <c r="E1179" s="218"/>
      <c r="F1179" s="218"/>
      <c r="G1179" s="218"/>
      <c r="H1179" s="219"/>
      <c r="I1179" s="223">
        <f>IF($C1179="","",IF(ISNUMBER(MATCH($C1179,'Phản ánh'!$A$6:$A$505,0)),"Phản ánh",IF(ISNUMBER(MATCH($C1179,'Kế hoạch'!$A$6:$A$305,0)),"Công việc","Mã chưa có")))</f>
      </c>
      <c r="J1179" s="221">
        <f>IF($I1179="Phản ánh",INDEX('Phản ánh'!$C$6:$C$505,MATCH($C1179,'Phản ánh'!$A$6:$A$505,0)),IF($I1179="Công việc",INDEX('Kế hoạch'!$C$6:$C$305,$O1179),""))</f>
      </c>
      <c r="K1179" s="221">
        <f>IF($I1179="Phản ánh",INDEX('Phản ánh'!$K$6:$K$505,MATCH($C1179,'Phản ánh'!$A$6:$A$505,0))&amp;"",IF($I1179="Công việc",INDEX('Kế hoạch'!$N$6:$N$305,$O1179)&amp;"",""))</f>
      </c>
      <c r="L1179" s="220">
        <f>IF(OR($C1179="",N($B1179)=0),"",IF(AND($I1179="Phản ánh",$E1179="Đã xử lý"),INDEX('Phản ánh'!$U$6:$U$505,MATCH($C1179,'Phản ánh'!$A$6:$A$505,0)),IF(AND($I1179="Công việc",OR($E1179="Hoàn thành",$E1179="Hoàn thành kỳ")),IF(INDEX('Kế hoạch'!$B$6:$B$305,$O1179)="Đột xuất",INDEX('Kế hoạch'!$AY$6:$AY$305,$O1179),IF(N($P1179)=0,"",IF(INT($B1179)&lt;$P1179,$P1179,IF($Q1179&gt;0,$P1179+ROUND((INT($B1179)-$P1179)/$Q1179,0)*$Q1179,IF($R1179&gt;0,EDATE($P1179,ROUND((DATEDIF($P1179,INT($B1179),"m")+(INT($B1179)-EDATE($P1179,DATEDIF($P1179,INT($B1179),"m")))/(EDATE($P1179,DATEDIF($P1179,INT($B1179),"m")+1)-EDATE($P1179,DATEDIF($P1179,INT($B1179),"m"))))/$R1179,0)*$R1179),$P1179))))),"")))</f>
      </c>
      <c r="M1179" s="223">
        <f>IF(OR($C1179="",N($L1179)=0,N($B1179)=0),"",IF(IF(MOD($L1179,1)=0,INT($B1179),$B1179)&lt;=$L1179,"Đúng hạn","Trễ hạn"))</f>
      </c>
      <c r="N1179" s="225">
        <f>IF($C1179="","",ROW())</f>
      </c>
      <c r="O1179" s="225">
        <f>IF($I1179="Công việc",MATCH($C1179,'Kế hoạch'!$A$6:$A$305,0),"")</f>
      </c>
      <c r="P1179" s="234">
        <f>IF($O1179="","",INDEX('Kế hoạch'!$I$6:$I$305,$O1179))</f>
      </c>
      <c r="Q1179" s="225">
        <f>IF($O1179="","",INDEX('Kế hoạch'!$AJ$6:$AJ$305,$O1179))</f>
      </c>
      <c r="R1179" s="225">
        <f>IF($O1179="","",INDEX('Kế hoạch'!$AK$6:$AK$305,$O1179))</f>
      </c>
    </row>
    <row r="1180">
      <c r="A1180" s="223">
        <f>IF($C1180="","",COUNTIF($C$6:$C1180,"?*"))</f>
      </c>
      <c r="B1180" s="217"/>
      <c r="C1180" s="216"/>
      <c r="D1180" s="240"/>
      <c r="E1180" s="218"/>
      <c r="F1180" s="218"/>
      <c r="G1180" s="218"/>
      <c r="H1180" s="219"/>
      <c r="I1180" s="223">
        <f>IF($C1180="","",IF(ISNUMBER(MATCH($C1180,'Phản ánh'!$A$6:$A$505,0)),"Phản ánh",IF(ISNUMBER(MATCH($C1180,'Kế hoạch'!$A$6:$A$305,0)),"Công việc","Mã chưa có")))</f>
      </c>
      <c r="J1180" s="221">
        <f>IF($I1180="Phản ánh",INDEX('Phản ánh'!$C$6:$C$505,MATCH($C1180,'Phản ánh'!$A$6:$A$505,0)),IF($I1180="Công việc",INDEX('Kế hoạch'!$C$6:$C$305,$O1180),""))</f>
      </c>
      <c r="K1180" s="221">
        <f>IF($I1180="Phản ánh",INDEX('Phản ánh'!$K$6:$K$505,MATCH($C1180,'Phản ánh'!$A$6:$A$505,0))&amp;"",IF($I1180="Công việc",INDEX('Kế hoạch'!$N$6:$N$305,$O1180)&amp;"",""))</f>
      </c>
      <c r="L1180" s="220">
        <f>IF(OR($C1180="",N($B1180)=0),"",IF(AND($I1180="Phản ánh",$E1180="Đã xử lý"),INDEX('Phản ánh'!$U$6:$U$505,MATCH($C1180,'Phản ánh'!$A$6:$A$505,0)),IF(AND($I1180="Công việc",OR($E1180="Hoàn thành",$E1180="Hoàn thành kỳ")),IF(INDEX('Kế hoạch'!$B$6:$B$305,$O1180)="Đột xuất",INDEX('Kế hoạch'!$AY$6:$AY$305,$O1180),IF(N($P1180)=0,"",IF(INT($B1180)&lt;$P1180,$P1180,IF($Q1180&gt;0,$P1180+ROUND((INT($B1180)-$P1180)/$Q1180,0)*$Q1180,IF($R1180&gt;0,EDATE($P1180,ROUND((DATEDIF($P1180,INT($B1180),"m")+(INT($B1180)-EDATE($P1180,DATEDIF($P1180,INT($B1180),"m")))/(EDATE($P1180,DATEDIF($P1180,INT($B1180),"m")+1)-EDATE($P1180,DATEDIF($P1180,INT($B1180),"m"))))/$R1180,0)*$R1180),$P1180))))),"")))</f>
      </c>
      <c r="M1180" s="223">
        <f>IF(OR($C1180="",N($L1180)=0,N($B1180)=0),"",IF(IF(MOD($L1180,1)=0,INT($B1180),$B1180)&lt;=$L1180,"Đúng hạn","Trễ hạn"))</f>
      </c>
      <c r="N1180" s="225">
        <f>IF($C1180="","",ROW())</f>
      </c>
      <c r="O1180" s="225">
        <f>IF($I1180="Công việc",MATCH($C1180,'Kế hoạch'!$A$6:$A$305,0),"")</f>
      </c>
      <c r="P1180" s="234">
        <f>IF($O1180="","",INDEX('Kế hoạch'!$I$6:$I$305,$O1180))</f>
      </c>
      <c r="Q1180" s="225">
        <f>IF($O1180="","",INDEX('Kế hoạch'!$AJ$6:$AJ$305,$O1180))</f>
      </c>
      <c r="R1180" s="225">
        <f>IF($O1180="","",INDEX('Kế hoạch'!$AK$6:$AK$305,$O1180))</f>
      </c>
    </row>
    <row r="1181">
      <c r="A1181" s="223">
        <f>IF($C1181="","",COUNTIF($C$6:$C1181,"?*"))</f>
      </c>
      <c r="B1181" s="217"/>
      <c r="C1181" s="216"/>
      <c r="D1181" s="240"/>
      <c r="E1181" s="218"/>
      <c r="F1181" s="218"/>
      <c r="G1181" s="218"/>
      <c r="H1181" s="219"/>
      <c r="I1181" s="223">
        <f>IF($C1181="","",IF(ISNUMBER(MATCH($C1181,'Phản ánh'!$A$6:$A$505,0)),"Phản ánh",IF(ISNUMBER(MATCH($C1181,'Kế hoạch'!$A$6:$A$305,0)),"Công việc","Mã chưa có")))</f>
      </c>
      <c r="J1181" s="221">
        <f>IF($I1181="Phản ánh",INDEX('Phản ánh'!$C$6:$C$505,MATCH($C1181,'Phản ánh'!$A$6:$A$505,0)),IF($I1181="Công việc",INDEX('Kế hoạch'!$C$6:$C$305,$O1181),""))</f>
      </c>
      <c r="K1181" s="221">
        <f>IF($I1181="Phản ánh",INDEX('Phản ánh'!$K$6:$K$505,MATCH($C1181,'Phản ánh'!$A$6:$A$505,0))&amp;"",IF($I1181="Công việc",INDEX('Kế hoạch'!$N$6:$N$305,$O1181)&amp;"",""))</f>
      </c>
      <c r="L1181" s="220">
        <f>IF(OR($C1181="",N($B1181)=0),"",IF(AND($I1181="Phản ánh",$E1181="Đã xử lý"),INDEX('Phản ánh'!$U$6:$U$505,MATCH($C1181,'Phản ánh'!$A$6:$A$505,0)),IF(AND($I1181="Công việc",OR($E1181="Hoàn thành",$E1181="Hoàn thành kỳ")),IF(INDEX('Kế hoạch'!$B$6:$B$305,$O1181)="Đột xuất",INDEX('Kế hoạch'!$AY$6:$AY$305,$O1181),IF(N($P1181)=0,"",IF(INT($B1181)&lt;$P1181,$P1181,IF($Q1181&gt;0,$P1181+ROUND((INT($B1181)-$P1181)/$Q1181,0)*$Q1181,IF($R1181&gt;0,EDATE($P1181,ROUND((DATEDIF($P1181,INT($B1181),"m")+(INT($B1181)-EDATE($P1181,DATEDIF($P1181,INT($B1181),"m")))/(EDATE($P1181,DATEDIF($P1181,INT($B1181),"m")+1)-EDATE($P1181,DATEDIF($P1181,INT($B1181),"m"))))/$R1181,0)*$R1181),$P1181))))),"")))</f>
      </c>
      <c r="M1181" s="223">
        <f>IF(OR($C1181="",N($L1181)=0,N($B1181)=0),"",IF(IF(MOD($L1181,1)=0,INT($B1181),$B1181)&lt;=$L1181,"Đúng hạn","Trễ hạn"))</f>
      </c>
      <c r="N1181" s="225">
        <f>IF($C1181="","",ROW())</f>
      </c>
      <c r="O1181" s="225">
        <f>IF($I1181="Công việc",MATCH($C1181,'Kế hoạch'!$A$6:$A$305,0),"")</f>
      </c>
      <c r="P1181" s="234">
        <f>IF($O1181="","",INDEX('Kế hoạch'!$I$6:$I$305,$O1181))</f>
      </c>
      <c r="Q1181" s="225">
        <f>IF($O1181="","",INDEX('Kế hoạch'!$AJ$6:$AJ$305,$O1181))</f>
      </c>
      <c r="R1181" s="225">
        <f>IF($O1181="","",INDEX('Kế hoạch'!$AK$6:$AK$305,$O1181))</f>
      </c>
    </row>
    <row r="1182">
      <c r="A1182" s="223">
        <f>IF($C1182="","",COUNTIF($C$6:$C1182,"?*"))</f>
      </c>
      <c r="B1182" s="217"/>
      <c r="C1182" s="216"/>
      <c r="D1182" s="240"/>
      <c r="E1182" s="218"/>
      <c r="F1182" s="218"/>
      <c r="G1182" s="218"/>
      <c r="H1182" s="219"/>
      <c r="I1182" s="223">
        <f>IF($C1182="","",IF(ISNUMBER(MATCH($C1182,'Phản ánh'!$A$6:$A$505,0)),"Phản ánh",IF(ISNUMBER(MATCH($C1182,'Kế hoạch'!$A$6:$A$305,0)),"Công việc","Mã chưa có")))</f>
      </c>
      <c r="J1182" s="221">
        <f>IF($I1182="Phản ánh",INDEX('Phản ánh'!$C$6:$C$505,MATCH($C1182,'Phản ánh'!$A$6:$A$505,0)),IF($I1182="Công việc",INDEX('Kế hoạch'!$C$6:$C$305,$O1182),""))</f>
      </c>
      <c r="K1182" s="221">
        <f>IF($I1182="Phản ánh",INDEX('Phản ánh'!$K$6:$K$505,MATCH($C1182,'Phản ánh'!$A$6:$A$505,0))&amp;"",IF($I1182="Công việc",INDEX('Kế hoạch'!$N$6:$N$305,$O1182)&amp;"",""))</f>
      </c>
      <c r="L1182" s="220">
        <f>IF(OR($C1182="",N($B1182)=0),"",IF(AND($I1182="Phản ánh",$E1182="Đã xử lý"),INDEX('Phản ánh'!$U$6:$U$505,MATCH($C1182,'Phản ánh'!$A$6:$A$505,0)),IF(AND($I1182="Công việc",OR($E1182="Hoàn thành",$E1182="Hoàn thành kỳ")),IF(INDEX('Kế hoạch'!$B$6:$B$305,$O1182)="Đột xuất",INDEX('Kế hoạch'!$AY$6:$AY$305,$O1182),IF(N($P1182)=0,"",IF(INT($B1182)&lt;$P1182,$P1182,IF($Q1182&gt;0,$P1182+ROUND((INT($B1182)-$P1182)/$Q1182,0)*$Q1182,IF($R1182&gt;0,EDATE($P1182,ROUND((DATEDIF($P1182,INT($B1182),"m")+(INT($B1182)-EDATE($P1182,DATEDIF($P1182,INT($B1182),"m")))/(EDATE($P1182,DATEDIF($P1182,INT($B1182),"m")+1)-EDATE($P1182,DATEDIF($P1182,INT($B1182),"m"))))/$R1182,0)*$R1182),$P1182))))),"")))</f>
      </c>
      <c r="M1182" s="223">
        <f>IF(OR($C1182="",N($L1182)=0,N($B1182)=0),"",IF(IF(MOD($L1182,1)=0,INT($B1182),$B1182)&lt;=$L1182,"Đúng hạn","Trễ hạn"))</f>
      </c>
      <c r="N1182" s="225">
        <f>IF($C1182="","",ROW())</f>
      </c>
      <c r="O1182" s="225">
        <f>IF($I1182="Công việc",MATCH($C1182,'Kế hoạch'!$A$6:$A$305,0),"")</f>
      </c>
      <c r="P1182" s="234">
        <f>IF($O1182="","",INDEX('Kế hoạch'!$I$6:$I$305,$O1182))</f>
      </c>
      <c r="Q1182" s="225">
        <f>IF($O1182="","",INDEX('Kế hoạch'!$AJ$6:$AJ$305,$O1182))</f>
      </c>
      <c r="R1182" s="225">
        <f>IF($O1182="","",INDEX('Kế hoạch'!$AK$6:$AK$305,$O1182))</f>
      </c>
    </row>
    <row r="1183">
      <c r="A1183" s="223">
        <f>IF($C1183="","",COUNTIF($C$6:$C1183,"?*"))</f>
      </c>
      <c r="B1183" s="217"/>
      <c r="C1183" s="216"/>
      <c r="D1183" s="240"/>
      <c r="E1183" s="218"/>
      <c r="F1183" s="218"/>
      <c r="G1183" s="218"/>
      <c r="H1183" s="219"/>
      <c r="I1183" s="223">
        <f>IF($C1183="","",IF(ISNUMBER(MATCH($C1183,'Phản ánh'!$A$6:$A$505,0)),"Phản ánh",IF(ISNUMBER(MATCH($C1183,'Kế hoạch'!$A$6:$A$305,0)),"Công việc","Mã chưa có")))</f>
      </c>
      <c r="J1183" s="221">
        <f>IF($I1183="Phản ánh",INDEX('Phản ánh'!$C$6:$C$505,MATCH($C1183,'Phản ánh'!$A$6:$A$505,0)),IF($I1183="Công việc",INDEX('Kế hoạch'!$C$6:$C$305,$O1183),""))</f>
      </c>
      <c r="K1183" s="221">
        <f>IF($I1183="Phản ánh",INDEX('Phản ánh'!$K$6:$K$505,MATCH($C1183,'Phản ánh'!$A$6:$A$505,0))&amp;"",IF($I1183="Công việc",INDEX('Kế hoạch'!$N$6:$N$305,$O1183)&amp;"",""))</f>
      </c>
      <c r="L1183" s="220">
        <f>IF(OR($C1183="",N($B1183)=0),"",IF(AND($I1183="Phản ánh",$E1183="Đã xử lý"),INDEX('Phản ánh'!$U$6:$U$505,MATCH($C1183,'Phản ánh'!$A$6:$A$505,0)),IF(AND($I1183="Công việc",OR($E1183="Hoàn thành",$E1183="Hoàn thành kỳ")),IF(INDEX('Kế hoạch'!$B$6:$B$305,$O1183)="Đột xuất",INDEX('Kế hoạch'!$AY$6:$AY$305,$O1183),IF(N($P1183)=0,"",IF(INT($B1183)&lt;$P1183,$P1183,IF($Q1183&gt;0,$P1183+ROUND((INT($B1183)-$P1183)/$Q1183,0)*$Q1183,IF($R1183&gt;0,EDATE($P1183,ROUND((DATEDIF($P1183,INT($B1183),"m")+(INT($B1183)-EDATE($P1183,DATEDIF($P1183,INT($B1183),"m")))/(EDATE($P1183,DATEDIF($P1183,INT($B1183),"m")+1)-EDATE($P1183,DATEDIF($P1183,INT($B1183),"m"))))/$R1183,0)*$R1183),$P1183))))),"")))</f>
      </c>
      <c r="M1183" s="223">
        <f>IF(OR($C1183="",N($L1183)=0,N($B1183)=0),"",IF(IF(MOD($L1183,1)=0,INT($B1183),$B1183)&lt;=$L1183,"Đúng hạn","Trễ hạn"))</f>
      </c>
      <c r="N1183" s="225">
        <f>IF($C1183="","",ROW())</f>
      </c>
      <c r="O1183" s="225">
        <f>IF($I1183="Công việc",MATCH($C1183,'Kế hoạch'!$A$6:$A$305,0),"")</f>
      </c>
      <c r="P1183" s="234">
        <f>IF($O1183="","",INDEX('Kế hoạch'!$I$6:$I$305,$O1183))</f>
      </c>
      <c r="Q1183" s="225">
        <f>IF($O1183="","",INDEX('Kế hoạch'!$AJ$6:$AJ$305,$O1183))</f>
      </c>
      <c r="R1183" s="225">
        <f>IF($O1183="","",INDEX('Kế hoạch'!$AK$6:$AK$305,$O1183))</f>
      </c>
    </row>
    <row r="1184">
      <c r="A1184" s="223">
        <f>IF($C1184="","",COUNTIF($C$6:$C1184,"?*"))</f>
      </c>
      <c r="B1184" s="217"/>
      <c r="C1184" s="216"/>
      <c r="D1184" s="240"/>
      <c r="E1184" s="218"/>
      <c r="F1184" s="218"/>
      <c r="G1184" s="218"/>
      <c r="H1184" s="219"/>
      <c r="I1184" s="223">
        <f>IF($C1184="","",IF(ISNUMBER(MATCH($C1184,'Phản ánh'!$A$6:$A$505,0)),"Phản ánh",IF(ISNUMBER(MATCH($C1184,'Kế hoạch'!$A$6:$A$305,0)),"Công việc","Mã chưa có")))</f>
      </c>
      <c r="J1184" s="221">
        <f>IF($I1184="Phản ánh",INDEX('Phản ánh'!$C$6:$C$505,MATCH($C1184,'Phản ánh'!$A$6:$A$505,0)),IF($I1184="Công việc",INDEX('Kế hoạch'!$C$6:$C$305,$O1184),""))</f>
      </c>
      <c r="K1184" s="221">
        <f>IF($I1184="Phản ánh",INDEX('Phản ánh'!$K$6:$K$505,MATCH($C1184,'Phản ánh'!$A$6:$A$505,0))&amp;"",IF($I1184="Công việc",INDEX('Kế hoạch'!$N$6:$N$305,$O1184)&amp;"",""))</f>
      </c>
      <c r="L1184" s="220">
        <f>IF(OR($C1184="",N($B1184)=0),"",IF(AND($I1184="Phản ánh",$E1184="Đã xử lý"),INDEX('Phản ánh'!$U$6:$U$505,MATCH($C1184,'Phản ánh'!$A$6:$A$505,0)),IF(AND($I1184="Công việc",OR($E1184="Hoàn thành",$E1184="Hoàn thành kỳ")),IF(INDEX('Kế hoạch'!$B$6:$B$305,$O1184)="Đột xuất",INDEX('Kế hoạch'!$AY$6:$AY$305,$O1184),IF(N($P1184)=0,"",IF(INT($B1184)&lt;$P1184,$P1184,IF($Q1184&gt;0,$P1184+ROUND((INT($B1184)-$P1184)/$Q1184,0)*$Q1184,IF($R1184&gt;0,EDATE($P1184,ROUND((DATEDIF($P1184,INT($B1184),"m")+(INT($B1184)-EDATE($P1184,DATEDIF($P1184,INT($B1184),"m")))/(EDATE($P1184,DATEDIF($P1184,INT($B1184),"m")+1)-EDATE($P1184,DATEDIF($P1184,INT($B1184),"m"))))/$R1184,0)*$R1184),$P1184))))),"")))</f>
      </c>
      <c r="M1184" s="223">
        <f>IF(OR($C1184="",N($L1184)=0,N($B1184)=0),"",IF(IF(MOD($L1184,1)=0,INT($B1184),$B1184)&lt;=$L1184,"Đúng hạn","Trễ hạn"))</f>
      </c>
      <c r="N1184" s="225">
        <f>IF($C1184="","",ROW())</f>
      </c>
      <c r="O1184" s="225">
        <f>IF($I1184="Công việc",MATCH($C1184,'Kế hoạch'!$A$6:$A$305,0),"")</f>
      </c>
      <c r="P1184" s="234">
        <f>IF($O1184="","",INDEX('Kế hoạch'!$I$6:$I$305,$O1184))</f>
      </c>
      <c r="Q1184" s="225">
        <f>IF($O1184="","",INDEX('Kế hoạch'!$AJ$6:$AJ$305,$O1184))</f>
      </c>
      <c r="R1184" s="225">
        <f>IF($O1184="","",INDEX('Kế hoạch'!$AK$6:$AK$305,$O1184))</f>
      </c>
    </row>
    <row r="1185">
      <c r="A1185" s="223">
        <f>IF($C1185="","",COUNTIF($C$6:$C1185,"?*"))</f>
      </c>
      <c r="B1185" s="217"/>
      <c r="C1185" s="216"/>
      <c r="D1185" s="240"/>
      <c r="E1185" s="218"/>
      <c r="F1185" s="218"/>
      <c r="G1185" s="218"/>
      <c r="H1185" s="219"/>
      <c r="I1185" s="223">
        <f>IF($C1185="","",IF(ISNUMBER(MATCH($C1185,'Phản ánh'!$A$6:$A$505,0)),"Phản ánh",IF(ISNUMBER(MATCH($C1185,'Kế hoạch'!$A$6:$A$305,0)),"Công việc","Mã chưa có")))</f>
      </c>
      <c r="J1185" s="221">
        <f>IF($I1185="Phản ánh",INDEX('Phản ánh'!$C$6:$C$505,MATCH($C1185,'Phản ánh'!$A$6:$A$505,0)),IF($I1185="Công việc",INDEX('Kế hoạch'!$C$6:$C$305,$O1185),""))</f>
      </c>
      <c r="K1185" s="221">
        <f>IF($I1185="Phản ánh",INDEX('Phản ánh'!$K$6:$K$505,MATCH($C1185,'Phản ánh'!$A$6:$A$505,0))&amp;"",IF($I1185="Công việc",INDEX('Kế hoạch'!$N$6:$N$305,$O1185)&amp;"",""))</f>
      </c>
      <c r="L1185" s="220">
        <f>IF(OR($C1185="",N($B1185)=0),"",IF(AND($I1185="Phản ánh",$E1185="Đã xử lý"),INDEX('Phản ánh'!$U$6:$U$505,MATCH($C1185,'Phản ánh'!$A$6:$A$505,0)),IF(AND($I1185="Công việc",OR($E1185="Hoàn thành",$E1185="Hoàn thành kỳ")),IF(INDEX('Kế hoạch'!$B$6:$B$305,$O1185)="Đột xuất",INDEX('Kế hoạch'!$AY$6:$AY$305,$O1185),IF(N($P1185)=0,"",IF(INT($B1185)&lt;$P1185,$P1185,IF($Q1185&gt;0,$P1185+ROUND((INT($B1185)-$P1185)/$Q1185,0)*$Q1185,IF($R1185&gt;0,EDATE($P1185,ROUND((DATEDIF($P1185,INT($B1185),"m")+(INT($B1185)-EDATE($P1185,DATEDIF($P1185,INT($B1185),"m")))/(EDATE($P1185,DATEDIF($P1185,INT($B1185),"m")+1)-EDATE($P1185,DATEDIF($P1185,INT($B1185),"m"))))/$R1185,0)*$R1185),$P1185))))),"")))</f>
      </c>
      <c r="M1185" s="223">
        <f>IF(OR($C1185="",N($L1185)=0,N($B1185)=0),"",IF(IF(MOD($L1185,1)=0,INT($B1185),$B1185)&lt;=$L1185,"Đúng hạn","Trễ hạn"))</f>
      </c>
      <c r="N1185" s="225">
        <f>IF($C1185="","",ROW())</f>
      </c>
      <c r="O1185" s="225">
        <f>IF($I1185="Công việc",MATCH($C1185,'Kế hoạch'!$A$6:$A$305,0),"")</f>
      </c>
      <c r="P1185" s="234">
        <f>IF($O1185="","",INDEX('Kế hoạch'!$I$6:$I$305,$O1185))</f>
      </c>
      <c r="Q1185" s="225">
        <f>IF($O1185="","",INDEX('Kế hoạch'!$AJ$6:$AJ$305,$O1185))</f>
      </c>
      <c r="R1185" s="225">
        <f>IF($O1185="","",INDEX('Kế hoạch'!$AK$6:$AK$305,$O1185))</f>
      </c>
    </row>
    <row r="1186">
      <c r="A1186" s="223">
        <f>IF($C1186="","",COUNTIF($C$6:$C1186,"?*"))</f>
      </c>
      <c r="B1186" s="217"/>
      <c r="C1186" s="216"/>
      <c r="D1186" s="240"/>
      <c r="E1186" s="218"/>
      <c r="F1186" s="218"/>
      <c r="G1186" s="218"/>
      <c r="H1186" s="219"/>
      <c r="I1186" s="223">
        <f>IF($C1186="","",IF(ISNUMBER(MATCH($C1186,'Phản ánh'!$A$6:$A$505,0)),"Phản ánh",IF(ISNUMBER(MATCH($C1186,'Kế hoạch'!$A$6:$A$305,0)),"Công việc","Mã chưa có")))</f>
      </c>
      <c r="J1186" s="221">
        <f>IF($I1186="Phản ánh",INDEX('Phản ánh'!$C$6:$C$505,MATCH($C1186,'Phản ánh'!$A$6:$A$505,0)),IF($I1186="Công việc",INDEX('Kế hoạch'!$C$6:$C$305,$O1186),""))</f>
      </c>
      <c r="K1186" s="221">
        <f>IF($I1186="Phản ánh",INDEX('Phản ánh'!$K$6:$K$505,MATCH($C1186,'Phản ánh'!$A$6:$A$505,0))&amp;"",IF($I1186="Công việc",INDEX('Kế hoạch'!$N$6:$N$305,$O1186)&amp;"",""))</f>
      </c>
      <c r="L1186" s="220">
        <f>IF(OR($C1186="",N($B1186)=0),"",IF(AND($I1186="Phản ánh",$E1186="Đã xử lý"),INDEX('Phản ánh'!$U$6:$U$505,MATCH($C1186,'Phản ánh'!$A$6:$A$505,0)),IF(AND($I1186="Công việc",OR($E1186="Hoàn thành",$E1186="Hoàn thành kỳ")),IF(INDEX('Kế hoạch'!$B$6:$B$305,$O1186)="Đột xuất",INDEX('Kế hoạch'!$AY$6:$AY$305,$O1186),IF(N($P1186)=0,"",IF(INT($B1186)&lt;$P1186,$P1186,IF($Q1186&gt;0,$P1186+ROUND((INT($B1186)-$P1186)/$Q1186,0)*$Q1186,IF($R1186&gt;0,EDATE($P1186,ROUND((DATEDIF($P1186,INT($B1186),"m")+(INT($B1186)-EDATE($P1186,DATEDIF($P1186,INT($B1186),"m")))/(EDATE($P1186,DATEDIF($P1186,INT($B1186),"m")+1)-EDATE($P1186,DATEDIF($P1186,INT($B1186),"m"))))/$R1186,0)*$R1186),$P1186))))),"")))</f>
      </c>
      <c r="M1186" s="223">
        <f>IF(OR($C1186="",N($L1186)=0,N($B1186)=0),"",IF(IF(MOD($L1186,1)=0,INT($B1186),$B1186)&lt;=$L1186,"Đúng hạn","Trễ hạn"))</f>
      </c>
      <c r="N1186" s="225">
        <f>IF($C1186="","",ROW())</f>
      </c>
      <c r="O1186" s="225">
        <f>IF($I1186="Công việc",MATCH($C1186,'Kế hoạch'!$A$6:$A$305,0),"")</f>
      </c>
      <c r="P1186" s="234">
        <f>IF($O1186="","",INDEX('Kế hoạch'!$I$6:$I$305,$O1186))</f>
      </c>
      <c r="Q1186" s="225">
        <f>IF($O1186="","",INDEX('Kế hoạch'!$AJ$6:$AJ$305,$O1186))</f>
      </c>
      <c r="R1186" s="225">
        <f>IF($O1186="","",INDEX('Kế hoạch'!$AK$6:$AK$305,$O1186))</f>
      </c>
    </row>
    <row r="1187">
      <c r="A1187" s="223">
        <f>IF($C1187="","",COUNTIF($C$6:$C1187,"?*"))</f>
      </c>
      <c r="B1187" s="217"/>
      <c r="C1187" s="216"/>
      <c r="D1187" s="240"/>
      <c r="E1187" s="218"/>
      <c r="F1187" s="218"/>
      <c r="G1187" s="218"/>
      <c r="H1187" s="219"/>
      <c r="I1187" s="223">
        <f>IF($C1187="","",IF(ISNUMBER(MATCH($C1187,'Phản ánh'!$A$6:$A$505,0)),"Phản ánh",IF(ISNUMBER(MATCH($C1187,'Kế hoạch'!$A$6:$A$305,0)),"Công việc","Mã chưa có")))</f>
      </c>
      <c r="J1187" s="221">
        <f>IF($I1187="Phản ánh",INDEX('Phản ánh'!$C$6:$C$505,MATCH($C1187,'Phản ánh'!$A$6:$A$505,0)),IF($I1187="Công việc",INDEX('Kế hoạch'!$C$6:$C$305,$O1187),""))</f>
      </c>
      <c r="K1187" s="221">
        <f>IF($I1187="Phản ánh",INDEX('Phản ánh'!$K$6:$K$505,MATCH($C1187,'Phản ánh'!$A$6:$A$505,0))&amp;"",IF($I1187="Công việc",INDEX('Kế hoạch'!$N$6:$N$305,$O1187)&amp;"",""))</f>
      </c>
      <c r="L1187" s="220">
        <f>IF(OR($C1187="",N($B1187)=0),"",IF(AND($I1187="Phản ánh",$E1187="Đã xử lý"),INDEX('Phản ánh'!$U$6:$U$505,MATCH($C1187,'Phản ánh'!$A$6:$A$505,0)),IF(AND($I1187="Công việc",OR($E1187="Hoàn thành",$E1187="Hoàn thành kỳ")),IF(INDEX('Kế hoạch'!$B$6:$B$305,$O1187)="Đột xuất",INDEX('Kế hoạch'!$AY$6:$AY$305,$O1187),IF(N($P1187)=0,"",IF(INT($B1187)&lt;$P1187,$P1187,IF($Q1187&gt;0,$P1187+ROUND((INT($B1187)-$P1187)/$Q1187,0)*$Q1187,IF($R1187&gt;0,EDATE($P1187,ROUND((DATEDIF($P1187,INT($B1187),"m")+(INT($B1187)-EDATE($P1187,DATEDIF($P1187,INT($B1187),"m")))/(EDATE($P1187,DATEDIF($P1187,INT($B1187),"m")+1)-EDATE($P1187,DATEDIF($P1187,INT($B1187),"m"))))/$R1187,0)*$R1187),$P1187))))),"")))</f>
      </c>
      <c r="M1187" s="223">
        <f>IF(OR($C1187="",N($L1187)=0,N($B1187)=0),"",IF(IF(MOD($L1187,1)=0,INT($B1187),$B1187)&lt;=$L1187,"Đúng hạn","Trễ hạn"))</f>
      </c>
      <c r="N1187" s="225">
        <f>IF($C1187="","",ROW())</f>
      </c>
      <c r="O1187" s="225">
        <f>IF($I1187="Công việc",MATCH($C1187,'Kế hoạch'!$A$6:$A$305,0),"")</f>
      </c>
      <c r="P1187" s="234">
        <f>IF($O1187="","",INDEX('Kế hoạch'!$I$6:$I$305,$O1187))</f>
      </c>
      <c r="Q1187" s="225">
        <f>IF($O1187="","",INDEX('Kế hoạch'!$AJ$6:$AJ$305,$O1187))</f>
      </c>
      <c r="R1187" s="225">
        <f>IF($O1187="","",INDEX('Kế hoạch'!$AK$6:$AK$305,$O1187))</f>
      </c>
    </row>
    <row r="1188">
      <c r="A1188" s="223">
        <f>IF($C1188="","",COUNTIF($C$6:$C1188,"?*"))</f>
      </c>
      <c r="B1188" s="217"/>
      <c r="C1188" s="216"/>
      <c r="D1188" s="240"/>
      <c r="E1188" s="218"/>
      <c r="F1188" s="218"/>
      <c r="G1188" s="218"/>
      <c r="H1188" s="219"/>
      <c r="I1188" s="223">
        <f>IF($C1188="","",IF(ISNUMBER(MATCH($C1188,'Phản ánh'!$A$6:$A$505,0)),"Phản ánh",IF(ISNUMBER(MATCH($C1188,'Kế hoạch'!$A$6:$A$305,0)),"Công việc","Mã chưa có")))</f>
      </c>
      <c r="J1188" s="221">
        <f>IF($I1188="Phản ánh",INDEX('Phản ánh'!$C$6:$C$505,MATCH($C1188,'Phản ánh'!$A$6:$A$505,0)),IF($I1188="Công việc",INDEX('Kế hoạch'!$C$6:$C$305,$O1188),""))</f>
      </c>
      <c r="K1188" s="221">
        <f>IF($I1188="Phản ánh",INDEX('Phản ánh'!$K$6:$K$505,MATCH($C1188,'Phản ánh'!$A$6:$A$505,0))&amp;"",IF($I1188="Công việc",INDEX('Kế hoạch'!$N$6:$N$305,$O1188)&amp;"",""))</f>
      </c>
      <c r="L1188" s="220">
        <f>IF(OR($C1188="",N($B1188)=0),"",IF(AND($I1188="Phản ánh",$E1188="Đã xử lý"),INDEX('Phản ánh'!$U$6:$U$505,MATCH($C1188,'Phản ánh'!$A$6:$A$505,0)),IF(AND($I1188="Công việc",OR($E1188="Hoàn thành",$E1188="Hoàn thành kỳ")),IF(INDEX('Kế hoạch'!$B$6:$B$305,$O1188)="Đột xuất",INDEX('Kế hoạch'!$AY$6:$AY$305,$O1188),IF(N($P1188)=0,"",IF(INT($B1188)&lt;$P1188,$P1188,IF($Q1188&gt;0,$P1188+ROUND((INT($B1188)-$P1188)/$Q1188,0)*$Q1188,IF($R1188&gt;0,EDATE($P1188,ROUND((DATEDIF($P1188,INT($B1188),"m")+(INT($B1188)-EDATE($P1188,DATEDIF($P1188,INT($B1188),"m")))/(EDATE($P1188,DATEDIF($P1188,INT($B1188),"m")+1)-EDATE($P1188,DATEDIF($P1188,INT($B1188),"m"))))/$R1188,0)*$R1188),$P1188))))),"")))</f>
      </c>
      <c r="M1188" s="223">
        <f>IF(OR($C1188="",N($L1188)=0,N($B1188)=0),"",IF(IF(MOD($L1188,1)=0,INT($B1188),$B1188)&lt;=$L1188,"Đúng hạn","Trễ hạn"))</f>
      </c>
      <c r="N1188" s="225">
        <f>IF($C1188="","",ROW())</f>
      </c>
      <c r="O1188" s="225">
        <f>IF($I1188="Công việc",MATCH($C1188,'Kế hoạch'!$A$6:$A$305,0),"")</f>
      </c>
      <c r="P1188" s="234">
        <f>IF($O1188="","",INDEX('Kế hoạch'!$I$6:$I$305,$O1188))</f>
      </c>
      <c r="Q1188" s="225">
        <f>IF($O1188="","",INDEX('Kế hoạch'!$AJ$6:$AJ$305,$O1188))</f>
      </c>
      <c r="R1188" s="225">
        <f>IF($O1188="","",INDEX('Kế hoạch'!$AK$6:$AK$305,$O1188))</f>
      </c>
    </row>
    <row r="1189">
      <c r="A1189" s="223">
        <f>IF($C1189="","",COUNTIF($C$6:$C1189,"?*"))</f>
      </c>
      <c r="B1189" s="217"/>
      <c r="C1189" s="216"/>
      <c r="D1189" s="240"/>
      <c r="E1189" s="218"/>
      <c r="F1189" s="218"/>
      <c r="G1189" s="218"/>
      <c r="H1189" s="219"/>
      <c r="I1189" s="223">
        <f>IF($C1189="","",IF(ISNUMBER(MATCH($C1189,'Phản ánh'!$A$6:$A$505,0)),"Phản ánh",IF(ISNUMBER(MATCH($C1189,'Kế hoạch'!$A$6:$A$305,0)),"Công việc","Mã chưa có")))</f>
      </c>
      <c r="J1189" s="221">
        <f>IF($I1189="Phản ánh",INDEX('Phản ánh'!$C$6:$C$505,MATCH($C1189,'Phản ánh'!$A$6:$A$505,0)),IF($I1189="Công việc",INDEX('Kế hoạch'!$C$6:$C$305,$O1189),""))</f>
      </c>
      <c r="K1189" s="221">
        <f>IF($I1189="Phản ánh",INDEX('Phản ánh'!$K$6:$K$505,MATCH($C1189,'Phản ánh'!$A$6:$A$505,0))&amp;"",IF($I1189="Công việc",INDEX('Kế hoạch'!$N$6:$N$305,$O1189)&amp;"",""))</f>
      </c>
      <c r="L1189" s="220">
        <f>IF(OR($C1189="",N($B1189)=0),"",IF(AND($I1189="Phản ánh",$E1189="Đã xử lý"),INDEX('Phản ánh'!$U$6:$U$505,MATCH($C1189,'Phản ánh'!$A$6:$A$505,0)),IF(AND($I1189="Công việc",OR($E1189="Hoàn thành",$E1189="Hoàn thành kỳ")),IF(INDEX('Kế hoạch'!$B$6:$B$305,$O1189)="Đột xuất",INDEX('Kế hoạch'!$AY$6:$AY$305,$O1189),IF(N($P1189)=0,"",IF(INT($B1189)&lt;$P1189,$P1189,IF($Q1189&gt;0,$P1189+ROUND((INT($B1189)-$P1189)/$Q1189,0)*$Q1189,IF($R1189&gt;0,EDATE($P1189,ROUND((DATEDIF($P1189,INT($B1189),"m")+(INT($B1189)-EDATE($P1189,DATEDIF($P1189,INT($B1189),"m")))/(EDATE($P1189,DATEDIF($P1189,INT($B1189),"m")+1)-EDATE($P1189,DATEDIF($P1189,INT($B1189),"m"))))/$R1189,0)*$R1189),$P1189))))),"")))</f>
      </c>
      <c r="M1189" s="223">
        <f>IF(OR($C1189="",N($L1189)=0,N($B1189)=0),"",IF(IF(MOD($L1189,1)=0,INT($B1189),$B1189)&lt;=$L1189,"Đúng hạn","Trễ hạn"))</f>
      </c>
      <c r="N1189" s="225">
        <f>IF($C1189="","",ROW())</f>
      </c>
      <c r="O1189" s="225">
        <f>IF($I1189="Công việc",MATCH($C1189,'Kế hoạch'!$A$6:$A$305,0),"")</f>
      </c>
      <c r="P1189" s="234">
        <f>IF($O1189="","",INDEX('Kế hoạch'!$I$6:$I$305,$O1189))</f>
      </c>
      <c r="Q1189" s="225">
        <f>IF($O1189="","",INDEX('Kế hoạch'!$AJ$6:$AJ$305,$O1189))</f>
      </c>
      <c r="R1189" s="225">
        <f>IF($O1189="","",INDEX('Kế hoạch'!$AK$6:$AK$305,$O1189))</f>
      </c>
    </row>
    <row r="1190">
      <c r="A1190" s="223">
        <f>IF($C1190="","",COUNTIF($C$6:$C1190,"?*"))</f>
      </c>
      <c r="B1190" s="217"/>
      <c r="C1190" s="216"/>
      <c r="D1190" s="240"/>
      <c r="E1190" s="218"/>
      <c r="F1190" s="218"/>
      <c r="G1190" s="218"/>
      <c r="H1190" s="219"/>
      <c r="I1190" s="223">
        <f>IF($C1190="","",IF(ISNUMBER(MATCH($C1190,'Phản ánh'!$A$6:$A$505,0)),"Phản ánh",IF(ISNUMBER(MATCH($C1190,'Kế hoạch'!$A$6:$A$305,0)),"Công việc","Mã chưa có")))</f>
      </c>
      <c r="J1190" s="221">
        <f>IF($I1190="Phản ánh",INDEX('Phản ánh'!$C$6:$C$505,MATCH($C1190,'Phản ánh'!$A$6:$A$505,0)),IF($I1190="Công việc",INDEX('Kế hoạch'!$C$6:$C$305,$O1190),""))</f>
      </c>
      <c r="K1190" s="221">
        <f>IF($I1190="Phản ánh",INDEX('Phản ánh'!$K$6:$K$505,MATCH($C1190,'Phản ánh'!$A$6:$A$505,0))&amp;"",IF($I1190="Công việc",INDEX('Kế hoạch'!$N$6:$N$305,$O1190)&amp;"",""))</f>
      </c>
      <c r="L1190" s="220">
        <f>IF(OR($C1190="",N($B1190)=0),"",IF(AND($I1190="Phản ánh",$E1190="Đã xử lý"),INDEX('Phản ánh'!$U$6:$U$505,MATCH($C1190,'Phản ánh'!$A$6:$A$505,0)),IF(AND($I1190="Công việc",OR($E1190="Hoàn thành",$E1190="Hoàn thành kỳ")),IF(INDEX('Kế hoạch'!$B$6:$B$305,$O1190)="Đột xuất",INDEX('Kế hoạch'!$AY$6:$AY$305,$O1190),IF(N($P1190)=0,"",IF(INT($B1190)&lt;$P1190,$P1190,IF($Q1190&gt;0,$P1190+ROUND((INT($B1190)-$P1190)/$Q1190,0)*$Q1190,IF($R1190&gt;0,EDATE($P1190,ROUND((DATEDIF($P1190,INT($B1190),"m")+(INT($B1190)-EDATE($P1190,DATEDIF($P1190,INT($B1190),"m")))/(EDATE($P1190,DATEDIF($P1190,INT($B1190),"m")+1)-EDATE($P1190,DATEDIF($P1190,INT($B1190),"m"))))/$R1190,0)*$R1190),$P1190))))),"")))</f>
      </c>
      <c r="M1190" s="223">
        <f>IF(OR($C1190="",N($L1190)=0,N($B1190)=0),"",IF(IF(MOD($L1190,1)=0,INT($B1190),$B1190)&lt;=$L1190,"Đúng hạn","Trễ hạn"))</f>
      </c>
      <c r="N1190" s="225">
        <f>IF($C1190="","",ROW())</f>
      </c>
      <c r="O1190" s="225">
        <f>IF($I1190="Công việc",MATCH($C1190,'Kế hoạch'!$A$6:$A$305,0),"")</f>
      </c>
      <c r="P1190" s="234">
        <f>IF($O1190="","",INDEX('Kế hoạch'!$I$6:$I$305,$O1190))</f>
      </c>
      <c r="Q1190" s="225">
        <f>IF($O1190="","",INDEX('Kế hoạch'!$AJ$6:$AJ$305,$O1190))</f>
      </c>
      <c r="R1190" s="225">
        <f>IF($O1190="","",INDEX('Kế hoạch'!$AK$6:$AK$305,$O1190))</f>
      </c>
    </row>
    <row r="1191">
      <c r="A1191" s="223">
        <f>IF($C1191="","",COUNTIF($C$6:$C1191,"?*"))</f>
      </c>
      <c r="B1191" s="217"/>
      <c r="C1191" s="216"/>
      <c r="D1191" s="240"/>
      <c r="E1191" s="218"/>
      <c r="F1191" s="218"/>
      <c r="G1191" s="218"/>
      <c r="H1191" s="219"/>
      <c r="I1191" s="223">
        <f>IF($C1191="","",IF(ISNUMBER(MATCH($C1191,'Phản ánh'!$A$6:$A$505,0)),"Phản ánh",IF(ISNUMBER(MATCH($C1191,'Kế hoạch'!$A$6:$A$305,0)),"Công việc","Mã chưa có")))</f>
      </c>
      <c r="J1191" s="221">
        <f>IF($I1191="Phản ánh",INDEX('Phản ánh'!$C$6:$C$505,MATCH($C1191,'Phản ánh'!$A$6:$A$505,0)),IF($I1191="Công việc",INDEX('Kế hoạch'!$C$6:$C$305,$O1191),""))</f>
      </c>
      <c r="K1191" s="221">
        <f>IF($I1191="Phản ánh",INDEX('Phản ánh'!$K$6:$K$505,MATCH($C1191,'Phản ánh'!$A$6:$A$505,0))&amp;"",IF($I1191="Công việc",INDEX('Kế hoạch'!$N$6:$N$305,$O1191)&amp;"",""))</f>
      </c>
      <c r="L1191" s="220">
        <f>IF(OR($C1191="",N($B1191)=0),"",IF(AND($I1191="Phản ánh",$E1191="Đã xử lý"),INDEX('Phản ánh'!$U$6:$U$505,MATCH($C1191,'Phản ánh'!$A$6:$A$505,0)),IF(AND($I1191="Công việc",OR($E1191="Hoàn thành",$E1191="Hoàn thành kỳ")),IF(INDEX('Kế hoạch'!$B$6:$B$305,$O1191)="Đột xuất",INDEX('Kế hoạch'!$AY$6:$AY$305,$O1191),IF(N($P1191)=0,"",IF(INT($B1191)&lt;$P1191,$P1191,IF($Q1191&gt;0,$P1191+ROUND((INT($B1191)-$P1191)/$Q1191,0)*$Q1191,IF($R1191&gt;0,EDATE($P1191,ROUND((DATEDIF($P1191,INT($B1191),"m")+(INT($B1191)-EDATE($P1191,DATEDIF($P1191,INT($B1191),"m")))/(EDATE($P1191,DATEDIF($P1191,INT($B1191),"m")+1)-EDATE($P1191,DATEDIF($P1191,INT($B1191),"m"))))/$R1191,0)*$R1191),$P1191))))),"")))</f>
      </c>
      <c r="M1191" s="223">
        <f>IF(OR($C1191="",N($L1191)=0,N($B1191)=0),"",IF(IF(MOD($L1191,1)=0,INT($B1191),$B1191)&lt;=$L1191,"Đúng hạn","Trễ hạn"))</f>
      </c>
      <c r="N1191" s="225">
        <f>IF($C1191="","",ROW())</f>
      </c>
      <c r="O1191" s="225">
        <f>IF($I1191="Công việc",MATCH($C1191,'Kế hoạch'!$A$6:$A$305,0),"")</f>
      </c>
      <c r="P1191" s="234">
        <f>IF($O1191="","",INDEX('Kế hoạch'!$I$6:$I$305,$O1191))</f>
      </c>
      <c r="Q1191" s="225">
        <f>IF($O1191="","",INDEX('Kế hoạch'!$AJ$6:$AJ$305,$O1191))</f>
      </c>
      <c r="R1191" s="225">
        <f>IF($O1191="","",INDEX('Kế hoạch'!$AK$6:$AK$305,$O1191))</f>
      </c>
    </row>
    <row r="1192">
      <c r="A1192" s="223">
        <f>IF($C1192="","",COUNTIF($C$6:$C1192,"?*"))</f>
      </c>
      <c r="B1192" s="217"/>
      <c r="C1192" s="216"/>
      <c r="D1192" s="240"/>
      <c r="E1192" s="218"/>
      <c r="F1192" s="218"/>
      <c r="G1192" s="218"/>
      <c r="H1192" s="219"/>
      <c r="I1192" s="223">
        <f>IF($C1192="","",IF(ISNUMBER(MATCH($C1192,'Phản ánh'!$A$6:$A$505,0)),"Phản ánh",IF(ISNUMBER(MATCH($C1192,'Kế hoạch'!$A$6:$A$305,0)),"Công việc","Mã chưa có")))</f>
      </c>
      <c r="J1192" s="221">
        <f>IF($I1192="Phản ánh",INDEX('Phản ánh'!$C$6:$C$505,MATCH($C1192,'Phản ánh'!$A$6:$A$505,0)),IF($I1192="Công việc",INDEX('Kế hoạch'!$C$6:$C$305,$O1192),""))</f>
      </c>
      <c r="K1192" s="221">
        <f>IF($I1192="Phản ánh",INDEX('Phản ánh'!$K$6:$K$505,MATCH($C1192,'Phản ánh'!$A$6:$A$505,0))&amp;"",IF($I1192="Công việc",INDEX('Kế hoạch'!$N$6:$N$305,$O1192)&amp;"",""))</f>
      </c>
      <c r="L1192" s="220">
        <f>IF(OR($C1192="",N($B1192)=0),"",IF(AND($I1192="Phản ánh",$E1192="Đã xử lý"),INDEX('Phản ánh'!$U$6:$U$505,MATCH($C1192,'Phản ánh'!$A$6:$A$505,0)),IF(AND($I1192="Công việc",OR($E1192="Hoàn thành",$E1192="Hoàn thành kỳ")),IF(INDEX('Kế hoạch'!$B$6:$B$305,$O1192)="Đột xuất",INDEX('Kế hoạch'!$AY$6:$AY$305,$O1192),IF(N($P1192)=0,"",IF(INT($B1192)&lt;$P1192,$P1192,IF($Q1192&gt;0,$P1192+ROUND((INT($B1192)-$P1192)/$Q1192,0)*$Q1192,IF($R1192&gt;0,EDATE($P1192,ROUND((DATEDIF($P1192,INT($B1192),"m")+(INT($B1192)-EDATE($P1192,DATEDIF($P1192,INT($B1192),"m")))/(EDATE($P1192,DATEDIF($P1192,INT($B1192),"m")+1)-EDATE($P1192,DATEDIF($P1192,INT($B1192),"m"))))/$R1192,0)*$R1192),$P1192))))),"")))</f>
      </c>
      <c r="M1192" s="223">
        <f>IF(OR($C1192="",N($L1192)=0,N($B1192)=0),"",IF(IF(MOD($L1192,1)=0,INT($B1192),$B1192)&lt;=$L1192,"Đúng hạn","Trễ hạn"))</f>
      </c>
      <c r="N1192" s="225">
        <f>IF($C1192="","",ROW())</f>
      </c>
      <c r="O1192" s="225">
        <f>IF($I1192="Công việc",MATCH($C1192,'Kế hoạch'!$A$6:$A$305,0),"")</f>
      </c>
      <c r="P1192" s="234">
        <f>IF($O1192="","",INDEX('Kế hoạch'!$I$6:$I$305,$O1192))</f>
      </c>
      <c r="Q1192" s="225">
        <f>IF($O1192="","",INDEX('Kế hoạch'!$AJ$6:$AJ$305,$O1192))</f>
      </c>
      <c r="R1192" s="225">
        <f>IF($O1192="","",INDEX('Kế hoạch'!$AK$6:$AK$305,$O1192))</f>
      </c>
    </row>
    <row r="1193">
      <c r="A1193" s="223">
        <f>IF($C1193="","",COUNTIF($C$6:$C1193,"?*"))</f>
      </c>
      <c r="B1193" s="217"/>
      <c r="C1193" s="216"/>
      <c r="D1193" s="240"/>
      <c r="E1193" s="218"/>
      <c r="F1193" s="218"/>
      <c r="G1193" s="218"/>
      <c r="H1193" s="219"/>
      <c r="I1193" s="223">
        <f>IF($C1193="","",IF(ISNUMBER(MATCH($C1193,'Phản ánh'!$A$6:$A$505,0)),"Phản ánh",IF(ISNUMBER(MATCH($C1193,'Kế hoạch'!$A$6:$A$305,0)),"Công việc","Mã chưa có")))</f>
      </c>
      <c r="J1193" s="221">
        <f>IF($I1193="Phản ánh",INDEX('Phản ánh'!$C$6:$C$505,MATCH($C1193,'Phản ánh'!$A$6:$A$505,0)),IF($I1193="Công việc",INDEX('Kế hoạch'!$C$6:$C$305,$O1193),""))</f>
      </c>
      <c r="K1193" s="221">
        <f>IF($I1193="Phản ánh",INDEX('Phản ánh'!$K$6:$K$505,MATCH($C1193,'Phản ánh'!$A$6:$A$505,0))&amp;"",IF($I1193="Công việc",INDEX('Kế hoạch'!$N$6:$N$305,$O1193)&amp;"",""))</f>
      </c>
      <c r="L1193" s="220">
        <f>IF(OR($C1193="",N($B1193)=0),"",IF(AND($I1193="Phản ánh",$E1193="Đã xử lý"),INDEX('Phản ánh'!$U$6:$U$505,MATCH($C1193,'Phản ánh'!$A$6:$A$505,0)),IF(AND($I1193="Công việc",OR($E1193="Hoàn thành",$E1193="Hoàn thành kỳ")),IF(INDEX('Kế hoạch'!$B$6:$B$305,$O1193)="Đột xuất",INDEX('Kế hoạch'!$AY$6:$AY$305,$O1193),IF(N($P1193)=0,"",IF(INT($B1193)&lt;$P1193,$P1193,IF($Q1193&gt;0,$P1193+ROUND((INT($B1193)-$P1193)/$Q1193,0)*$Q1193,IF($R1193&gt;0,EDATE($P1193,ROUND((DATEDIF($P1193,INT($B1193),"m")+(INT($B1193)-EDATE($P1193,DATEDIF($P1193,INT($B1193),"m")))/(EDATE($P1193,DATEDIF($P1193,INT($B1193),"m")+1)-EDATE($P1193,DATEDIF($P1193,INT($B1193),"m"))))/$R1193,0)*$R1193),$P1193))))),"")))</f>
      </c>
      <c r="M1193" s="223">
        <f>IF(OR($C1193="",N($L1193)=0,N($B1193)=0),"",IF(IF(MOD($L1193,1)=0,INT($B1193),$B1193)&lt;=$L1193,"Đúng hạn","Trễ hạn"))</f>
      </c>
      <c r="N1193" s="225">
        <f>IF($C1193="","",ROW())</f>
      </c>
      <c r="O1193" s="225">
        <f>IF($I1193="Công việc",MATCH($C1193,'Kế hoạch'!$A$6:$A$305,0),"")</f>
      </c>
      <c r="P1193" s="234">
        <f>IF($O1193="","",INDEX('Kế hoạch'!$I$6:$I$305,$O1193))</f>
      </c>
      <c r="Q1193" s="225">
        <f>IF($O1193="","",INDEX('Kế hoạch'!$AJ$6:$AJ$305,$O1193))</f>
      </c>
      <c r="R1193" s="225">
        <f>IF($O1193="","",INDEX('Kế hoạch'!$AK$6:$AK$305,$O1193))</f>
      </c>
    </row>
    <row r="1194">
      <c r="A1194" s="223">
        <f>IF($C1194="","",COUNTIF($C$6:$C1194,"?*"))</f>
      </c>
      <c r="B1194" s="217"/>
      <c r="C1194" s="216"/>
      <c r="D1194" s="240"/>
      <c r="E1194" s="218"/>
      <c r="F1194" s="218"/>
      <c r="G1194" s="218"/>
      <c r="H1194" s="219"/>
      <c r="I1194" s="223">
        <f>IF($C1194="","",IF(ISNUMBER(MATCH($C1194,'Phản ánh'!$A$6:$A$505,0)),"Phản ánh",IF(ISNUMBER(MATCH($C1194,'Kế hoạch'!$A$6:$A$305,0)),"Công việc","Mã chưa có")))</f>
      </c>
      <c r="J1194" s="221">
        <f>IF($I1194="Phản ánh",INDEX('Phản ánh'!$C$6:$C$505,MATCH($C1194,'Phản ánh'!$A$6:$A$505,0)),IF($I1194="Công việc",INDEX('Kế hoạch'!$C$6:$C$305,$O1194),""))</f>
      </c>
      <c r="K1194" s="221">
        <f>IF($I1194="Phản ánh",INDEX('Phản ánh'!$K$6:$K$505,MATCH($C1194,'Phản ánh'!$A$6:$A$505,0))&amp;"",IF($I1194="Công việc",INDEX('Kế hoạch'!$N$6:$N$305,$O1194)&amp;"",""))</f>
      </c>
      <c r="L1194" s="220">
        <f>IF(OR($C1194="",N($B1194)=0),"",IF(AND($I1194="Phản ánh",$E1194="Đã xử lý"),INDEX('Phản ánh'!$U$6:$U$505,MATCH($C1194,'Phản ánh'!$A$6:$A$505,0)),IF(AND($I1194="Công việc",OR($E1194="Hoàn thành",$E1194="Hoàn thành kỳ")),IF(INDEX('Kế hoạch'!$B$6:$B$305,$O1194)="Đột xuất",INDEX('Kế hoạch'!$AY$6:$AY$305,$O1194),IF(N($P1194)=0,"",IF(INT($B1194)&lt;$P1194,$P1194,IF($Q1194&gt;0,$P1194+ROUND((INT($B1194)-$P1194)/$Q1194,0)*$Q1194,IF($R1194&gt;0,EDATE($P1194,ROUND((DATEDIF($P1194,INT($B1194),"m")+(INT($B1194)-EDATE($P1194,DATEDIF($P1194,INT($B1194),"m")))/(EDATE($P1194,DATEDIF($P1194,INT($B1194),"m")+1)-EDATE($P1194,DATEDIF($P1194,INT($B1194),"m"))))/$R1194,0)*$R1194),$P1194))))),"")))</f>
      </c>
      <c r="M1194" s="223">
        <f>IF(OR($C1194="",N($L1194)=0,N($B1194)=0),"",IF(IF(MOD($L1194,1)=0,INT($B1194),$B1194)&lt;=$L1194,"Đúng hạn","Trễ hạn"))</f>
      </c>
      <c r="N1194" s="225">
        <f>IF($C1194="","",ROW())</f>
      </c>
      <c r="O1194" s="225">
        <f>IF($I1194="Công việc",MATCH($C1194,'Kế hoạch'!$A$6:$A$305,0),"")</f>
      </c>
      <c r="P1194" s="234">
        <f>IF($O1194="","",INDEX('Kế hoạch'!$I$6:$I$305,$O1194))</f>
      </c>
      <c r="Q1194" s="225">
        <f>IF($O1194="","",INDEX('Kế hoạch'!$AJ$6:$AJ$305,$O1194))</f>
      </c>
      <c r="R1194" s="225">
        <f>IF($O1194="","",INDEX('Kế hoạch'!$AK$6:$AK$305,$O1194))</f>
      </c>
    </row>
    <row r="1195">
      <c r="A1195" s="223">
        <f>IF($C1195="","",COUNTIF($C$6:$C1195,"?*"))</f>
      </c>
      <c r="B1195" s="217"/>
      <c r="C1195" s="216"/>
      <c r="D1195" s="240"/>
      <c r="E1195" s="218"/>
      <c r="F1195" s="218"/>
      <c r="G1195" s="218"/>
      <c r="H1195" s="219"/>
      <c r="I1195" s="223">
        <f>IF($C1195="","",IF(ISNUMBER(MATCH($C1195,'Phản ánh'!$A$6:$A$505,0)),"Phản ánh",IF(ISNUMBER(MATCH($C1195,'Kế hoạch'!$A$6:$A$305,0)),"Công việc","Mã chưa có")))</f>
      </c>
      <c r="J1195" s="221">
        <f>IF($I1195="Phản ánh",INDEX('Phản ánh'!$C$6:$C$505,MATCH($C1195,'Phản ánh'!$A$6:$A$505,0)),IF($I1195="Công việc",INDEX('Kế hoạch'!$C$6:$C$305,$O1195),""))</f>
      </c>
      <c r="K1195" s="221">
        <f>IF($I1195="Phản ánh",INDEX('Phản ánh'!$K$6:$K$505,MATCH($C1195,'Phản ánh'!$A$6:$A$505,0))&amp;"",IF($I1195="Công việc",INDEX('Kế hoạch'!$N$6:$N$305,$O1195)&amp;"",""))</f>
      </c>
      <c r="L1195" s="220">
        <f>IF(OR($C1195="",N($B1195)=0),"",IF(AND($I1195="Phản ánh",$E1195="Đã xử lý"),INDEX('Phản ánh'!$U$6:$U$505,MATCH($C1195,'Phản ánh'!$A$6:$A$505,0)),IF(AND($I1195="Công việc",OR($E1195="Hoàn thành",$E1195="Hoàn thành kỳ")),IF(INDEX('Kế hoạch'!$B$6:$B$305,$O1195)="Đột xuất",INDEX('Kế hoạch'!$AY$6:$AY$305,$O1195),IF(N($P1195)=0,"",IF(INT($B1195)&lt;$P1195,$P1195,IF($Q1195&gt;0,$P1195+ROUND((INT($B1195)-$P1195)/$Q1195,0)*$Q1195,IF($R1195&gt;0,EDATE($P1195,ROUND((DATEDIF($P1195,INT($B1195),"m")+(INT($B1195)-EDATE($P1195,DATEDIF($P1195,INT($B1195),"m")))/(EDATE($P1195,DATEDIF($P1195,INT($B1195),"m")+1)-EDATE($P1195,DATEDIF($P1195,INT($B1195),"m"))))/$R1195,0)*$R1195),$P1195))))),"")))</f>
      </c>
      <c r="M1195" s="223">
        <f>IF(OR($C1195="",N($L1195)=0,N($B1195)=0),"",IF(IF(MOD($L1195,1)=0,INT($B1195),$B1195)&lt;=$L1195,"Đúng hạn","Trễ hạn"))</f>
      </c>
      <c r="N1195" s="225">
        <f>IF($C1195="","",ROW())</f>
      </c>
      <c r="O1195" s="225">
        <f>IF($I1195="Công việc",MATCH($C1195,'Kế hoạch'!$A$6:$A$305,0),"")</f>
      </c>
      <c r="P1195" s="234">
        <f>IF($O1195="","",INDEX('Kế hoạch'!$I$6:$I$305,$O1195))</f>
      </c>
      <c r="Q1195" s="225">
        <f>IF($O1195="","",INDEX('Kế hoạch'!$AJ$6:$AJ$305,$O1195))</f>
      </c>
      <c r="R1195" s="225">
        <f>IF($O1195="","",INDEX('Kế hoạch'!$AK$6:$AK$305,$O1195))</f>
      </c>
    </row>
    <row r="1196">
      <c r="A1196" s="223">
        <f>IF($C1196="","",COUNTIF($C$6:$C1196,"?*"))</f>
      </c>
      <c r="B1196" s="217"/>
      <c r="C1196" s="216"/>
      <c r="D1196" s="240"/>
      <c r="E1196" s="218"/>
      <c r="F1196" s="218"/>
      <c r="G1196" s="218"/>
      <c r="H1196" s="219"/>
      <c r="I1196" s="223">
        <f>IF($C1196="","",IF(ISNUMBER(MATCH($C1196,'Phản ánh'!$A$6:$A$505,0)),"Phản ánh",IF(ISNUMBER(MATCH($C1196,'Kế hoạch'!$A$6:$A$305,0)),"Công việc","Mã chưa có")))</f>
      </c>
      <c r="J1196" s="221">
        <f>IF($I1196="Phản ánh",INDEX('Phản ánh'!$C$6:$C$505,MATCH($C1196,'Phản ánh'!$A$6:$A$505,0)),IF($I1196="Công việc",INDEX('Kế hoạch'!$C$6:$C$305,$O1196),""))</f>
      </c>
      <c r="K1196" s="221">
        <f>IF($I1196="Phản ánh",INDEX('Phản ánh'!$K$6:$K$505,MATCH($C1196,'Phản ánh'!$A$6:$A$505,0))&amp;"",IF($I1196="Công việc",INDEX('Kế hoạch'!$N$6:$N$305,$O1196)&amp;"",""))</f>
      </c>
      <c r="L1196" s="220">
        <f>IF(OR($C1196="",N($B1196)=0),"",IF(AND($I1196="Phản ánh",$E1196="Đã xử lý"),INDEX('Phản ánh'!$U$6:$U$505,MATCH($C1196,'Phản ánh'!$A$6:$A$505,0)),IF(AND($I1196="Công việc",OR($E1196="Hoàn thành",$E1196="Hoàn thành kỳ")),IF(INDEX('Kế hoạch'!$B$6:$B$305,$O1196)="Đột xuất",INDEX('Kế hoạch'!$AY$6:$AY$305,$O1196),IF(N($P1196)=0,"",IF(INT($B1196)&lt;$P1196,$P1196,IF($Q1196&gt;0,$P1196+ROUND((INT($B1196)-$P1196)/$Q1196,0)*$Q1196,IF($R1196&gt;0,EDATE($P1196,ROUND((DATEDIF($P1196,INT($B1196),"m")+(INT($B1196)-EDATE($P1196,DATEDIF($P1196,INT($B1196),"m")))/(EDATE($P1196,DATEDIF($P1196,INT($B1196),"m")+1)-EDATE($P1196,DATEDIF($P1196,INT($B1196),"m"))))/$R1196,0)*$R1196),$P1196))))),"")))</f>
      </c>
      <c r="M1196" s="223">
        <f>IF(OR($C1196="",N($L1196)=0,N($B1196)=0),"",IF(IF(MOD($L1196,1)=0,INT($B1196),$B1196)&lt;=$L1196,"Đúng hạn","Trễ hạn"))</f>
      </c>
      <c r="N1196" s="225">
        <f>IF($C1196="","",ROW())</f>
      </c>
      <c r="O1196" s="225">
        <f>IF($I1196="Công việc",MATCH($C1196,'Kế hoạch'!$A$6:$A$305,0),"")</f>
      </c>
      <c r="P1196" s="234">
        <f>IF($O1196="","",INDEX('Kế hoạch'!$I$6:$I$305,$O1196))</f>
      </c>
      <c r="Q1196" s="225">
        <f>IF($O1196="","",INDEX('Kế hoạch'!$AJ$6:$AJ$305,$O1196))</f>
      </c>
      <c r="R1196" s="225">
        <f>IF($O1196="","",INDEX('Kế hoạch'!$AK$6:$AK$305,$O1196))</f>
      </c>
    </row>
    <row r="1197">
      <c r="A1197" s="223">
        <f>IF($C1197="","",COUNTIF($C$6:$C1197,"?*"))</f>
      </c>
      <c r="B1197" s="217"/>
      <c r="C1197" s="216"/>
      <c r="D1197" s="240"/>
      <c r="E1197" s="218"/>
      <c r="F1197" s="218"/>
      <c r="G1197" s="218"/>
      <c r="H1197" s="219"/>
      <c r="I1197" s="223">
        <f>IF($C1197="","",IF(ISNUMBER(MATCH($C1197,'Phản ánh'!$A$6:$A$505,0)),"Phản ánh",IF(ISNUMBER(MATCH($C1197,'Kế hoạch'!$A$6:$A$305,0)),"Công việc","Mã chưa có")))</f>
      </c>
      <c r="J1197" s="221">
        <f>IF($I1197="Phản ánh",INDEX('Phản ánh'!$C$6:$C$505,MATCH($C1197,'Phản ánh'!$A$6:$A$505,0)),IF($I1197="Công việc",INDEX('Kế hoạch'!$C$6:$C$305,$O1197),""))</f>
      </c>
      <c r="K1197" s="221">
        <f>IF($I1197="Phản ánh",INDEX('Phản ánh'!$K$6:$K$505,MATCH($C1197,'Phản ánh'!$A$6:$A$505,0))&amp;"",IF($I1197="Công việc",INDEX('Kế hoạch'!$N$6:$N$305,$O1197)&amp;"",""))</f>
      </c>
      <c r="L1197" s="220">
        <f>IF(OR($C1197="",N($B1197)=0),"",IF(AND($I1197="Phản ánh",$E1197="Đã xử lý"),INDEX('Phản ánh'!$U$6:$U$505,MATCH($C1197,'Phản ánh'!$A$6:$A$505,0)),IF(AND($I1197="Công việc",OR($E1197="Hoàn thành",$E1197="Hoàn thành kỳ")),IF(INDEX('Kế hoạch'!$B$6:$B$305,$O1197)="Đột xuất",INDEX('Kế hoạch'!$AY$6:$AY$305,$O1197),IF(N($P1197)=0,"",IF(INT($B1197)&lt;$P1197,$P1197,IF($Q1197&gt;0,$P1197+ROUND((INT($B1197)-$P1197)/$Q1197,0)*$Q1197,IF($R1197&gt;0,EDATE($P1197,ROUND((DATEDIF($P1197,INT($B1197),"m")+(INT($B1197)-EDATE($P1197,DATEDIF($P1197,INT($B1197),"m")))/(EDATE($P1197,DATEDIF($P1197,INT($B1197),"m")+1)-EDATE($P1197,DATEDIF($P1197,INT($B1197),"m"))))/$R1197,0)*$R1197),$P1197))))),"")))</f>
      </c>
      <c r="M1197" s="223">
        <f>IF(OR($C1197="",N($L1197)=0,N($B1197)=0),"",IF(IF(MOD($L1197,1)=0,INT($B1197),$B1197)&lt;=$L1197,"Đúng hạn","Trễ hạn"))</f>
      </c>
      <c r="N1197" s="225">
        <f>IF($C1197="","",ROW())</f>
      </c>
      <c r="O1197" s="225">
        <f>IF($I1197="Công việc",MATCH($C1197,'Kế hoạch'!$A$6:$A$305,0),"")</f>
      </c>
      <c r="P1197" s="234">
        <f>IF($O1197="","",INDEX('Kế hoạch'!$I$6:$I$305,$O1197))</f>
      </c>
      <c r="Q1197" s="225">
        <f>IF($O1197="","",INDEX('Kế hoạch'!$AJ$6:$AJ$305,$O1197))</f>
      </c>
      <c r="R1197" s="225">
        <f>IF($O1197="","",INDEX('Kế hoạch'!$AK$6:$AK$305,$O1197))</f>
      </c>
    </row>
    <row r="1198">
      <c r="A1198" s="223">
        <f>IF($C1198="","",COUNTIF($C$6:$C1198,"?*"))</f>
      </c>
      <c r="B1198" s="217"/>
      <c r="C1198" s="216"/>
      <c r="D1198" s="240"/>
      <c r="E1198" s="218"/>
      <c r="F1198" s="218"/>
      <c r="G1198" s="218"/>
      <c r="H1198" s="219"/>
      <c r="I1198" s="223">
        <f>IF($C1198="","",IF(ISNUMBER(MATCH($C1198,'Phản ánh'!$A$6:$A$505,0)),"Phản ánh",IF(ISNUMBER(MATCH($C1198,'Kế hoạch'!$A$6:$A$305,0)),"Công việc","Mã chưa có")))</f>
      </c>
      <c r="J1198" s="221">
        <f>IF($I1198="Phản ánh",INDEX('Phản ánh'!$C$6:$C$505,MATCH($C1198,'Phản ánh'!$A$6:$A$505,0)),IF($I1198="Công việc",INDEX('Kế hoạch'!$C$6:$C$305,$O1198),""))</f>
      </c>
      <c r="K1198" s="221">
        <f>IF($I1198="Phản ánh",INDEX('Phản ánh'!$K$6:$K$505,MATCH($C1198,'Phản ánh'!$A$6:$A$505,0))&amp;"",IF($I1198="Công việc",INDEX('Kế hoạch'!$N$6:$N$305,$O1198)&amp;"",""))</f>
      </c>
      <c r="L1198" s="220">
        <f>IF(OR($C1198="",N($B1198)=0),"",IF(AND($I1198="Phản ánh",$E1198="Đã xử lý"),INDEX('Phản ánh'!$U$6:$U$505,MATCH($C1198,'Phản ánh'!$A$6:$A$505,0)),IF(AND($I1198="Công việc",OR($E1198="Hoàn thành",$E1198="Hoàn thành kỳ")),IF(INDEX('Kế hoạch'!$B$6:$B$305,$O1198)="Đột xuất",INDEX('Kế hoạch'!$AY$6:$AY$305,$O1198),IF(N($P1198)=0,"",IF(INT($B1198)&lt;$P1198,$P1198,IF($Q1198&gt;0,$P1198+ROUND((INT($B1198)-$P1198)/$Q1198,0)*$Q1198,IF($R1198&gt;0,EDATE($P1198,ROUND((DATEDIF($P1198,INT($B1198),"m")+(INT($B1198)-EDATE($P1198,DATEDIF($P1198,INT($B1198),"m")))/(EDATE($P1198,DATEDIF($P1198,INT($B1198),"m")+1)-EDATE($P1198,DATEDIF($P1198,INT($B1198),"m"))))/$R1198,0)*$R1198),$P1198))))),"")))</f>
      </c>
      <c r="M1198" s="223">
        <f>IF(OR($C1198="",N($L1198)=0,N($B1198)=0),"",IF(IF(MOD($L1198,1)=0,INT($B1198),$B1198)&lt;=$L1198,"Đúng hạn","Trễ hạn"))</f>
      </c>
      <c r="N1198" s="225">
        <f>IF($C1198="","",ROW())</f>
      </c>
      <c r="O1198" s="225">
        <f>IF($I1198="Công việc",MATCH($C1198,'Kế hoạch'!$A$6:$A$305,0),"")</f>
      </c>
      <c r="P1198" s="234">
        <f>IF($O1198="","",INDEX('Kế hoạch'!$I$6:$I$305,$O1198))</f>
      </c>
      <c r="Q1198" s="225">
        <f>IF($O1198="","",INDEX('Kế hoạch'!$AJ$6:$AJ$305,$O1198))</f>
      </c>
      <c r="R1198" s="225">
        <f>IF($O1198="","",INDEX('Kế hoạch'!$AK$6:$AK$305,$O1198))</f>
      </c>
    </row>
    <row r="1199">
      <c r="A1199" s="223">
        <f>IF($C1199="","",COUNTIF($C$6:$C1199,"?*"))</f>
      </c>
      <c r="B1199" s="217"/>
      <c r="C1199" s="216"/>
      <c r="D1199" s="240"/>
      <c r="E1199" s="218"/>
      <c r="F1199" s="218"/>
      <c r="G1199" s="218"/>
      <c r="H1199" s="219"/>
      <c r="I1199" s="223">
        <f>IF($C1199="","",IF(ISNUMBER(MATCH($C1199,'Phản ánh'!$A$6:$A$505,0)),"Phản ánh",IF(ISNUMBER(MATCH($C1199,'Kế hoạch'!$A$6:$A$305,0)),"Công việc","Mã chưa có")))</f>
      </c>
      <c r="J1199" s="221">
        <f>IF($I1199="Phản ánh",INDEX('Phản ánh'!$C$6:$C$505,MATCH($C1199,'Phản ánh'!$A$6:$A$505,0)),IF($I1199="Công việc",INDEX('Kế hoạch'!$C$6:$C$305,$O1199),""))</f>
      </c>
      <c r="K1199" s="221">
        <f>IF($I1199="Phản ánh",INDEX('Phản ánh'!$K$6:$K$505,MATCH($C1199,'Phản ánh'!$A$6:$A$505,0))&amp;"",IF($I1199="Công việc",INDEX('Kế hoạch'!$N$6:$N$305,$O1199)&amp;"",""))</f>
      </c>
      <c r="L1199" s="220">
        <f>IF(OR($C1199="",N($B1199)=0),"",IF(AND($I1199="Phản ánh",$E1199="Đã xử lý"),INDEX('Phản ánh'!$U$6:$U$505,MATCH($C1199,'Phản ánh'!$A$6:$A$505,0)),IF(AND($I1199="Công việc",OR($E1199="Hoàn thành",$E1199="Hoàn thành kỳ")),IF(INDEX('Kế hoạch'!$B$6:$B$305,$O1199)="Đột xuất",INDEX('Kế hoạch'!$AY$6:$AY$305,$O1199),IF(N($P1199)=0,"",IF(INT($B1199)&lt;$P1199,$P1199,IF($Q1199&gt;0,$P1199+ROUND((INT($B1199)-$P1199)/$Q1199,0)*$Q1199,IF($R1199&gt;0,EDATE($P1199,ROUND((DATEDIF($P1199,INT($B1199),"m")+(INT($B1199)-EDATE($P1199,DATEDIF($P1199,INT($B1199),"m")))/(EDATE($P1199,DATEDIF($P1199,INT($B1199),"m")+1)-EDATE($P1199,DATEDIF($P1199,INT($B1199),"m"))))/$R1199,0)*$R1199),$P1199))))),"")))</f>
      </c>
      <c r="M1199" s="223">
        <f>IF(OR($C1199="",N($L1199)=0,N($B1199)=0),"",IF(IF(MOD($L1199,1)=0,INT($B1199),$B1199)&lt;=$L1199,"Đúng hạn","Trễ hạn"))</f>
      </c>
      <c r="N1199" s="225">
        <f>IF($C1199="","",ROW())</f>
      </c>
      <c r="O1199" s="225">
        <f>IF($I1199="Công việc",MATCH($C1199,'Kế hoạch'!$A$6:$A$305,0),"")</f>
      </c>
      <c r="P1199" s="234">
        <f>IF($O1199="","",INDEX('Kế hoạch'!$I$6:$I$305,$O1199))</f>
      </c>
      <c r="Q1199" s="225">
        <f>IF($O1199="","",INDEX('Kế hoạch'!$AJ$6:$AJ$305,$O1199))</f>
      </c>
      <c r="R1199" s="225">
        <f>IF($O1199="","",INDEX('Kế hoạch'!$AK$6:$AK$305,$O1199))</f>
      </c>
    </row>
    <row r="1200">
      <c r="A1200" s="223">
        <f>IF($C1200="","",COUNTIF($C$6:$C1200,"?*"))</f>
      </c>
      <c r="B1200" s="217"/>
      <c r="C1200" s="216"/>
      <c r="D1200" s="240"/>
      <c r="E1200" s="218"/>
      <c r="F1200" s="218"/>
      <c r="G1200" s="218"/>
      <c r="H1200" s="219"/>
      <c r="I1200" s="223">
        <f>IF($C1200="","",IF(ISNUMBER(MATCH($C1200,'Phản ánh'!$A$6:$A$505,0)),"Phản ánh",IF(ISNUMBER(MATCH($C1200,'Kế hoạch'!$A$6:$A$305,0)),"Công việc","Mã chưa có")))</f>
      </c>
      <c r="J1200" s="221">
        <f>IF($I1200="Phản ánh",INDEX('Phản ánh'!$C$6:$C$505,MATCH($C1200,'Phản ánh'!$A$6:$A$505,0)),IF($I1200="Công việc",INDEX('Kế hoạch'!$C$6:$C$305,$O1200),""))</f>
      </c>
      <c r="K1200" s="221">
        <f>IF($I1200="Phản ánh",INDEX('Phản ánh'!$K$6:$K$505,MATCH($C1200,'Phản ánh'!$A$6:$A$505,0))&amp;"",IF($I1200="Công việc",INDEX('Kế hoạch'!$N$6:$N$305,$O1200)&amp;"",""))</f>
      </c>
      <c r="L1200" s="220">
        <f>IF(OR($C1200="",N($B1200)=0),"",IF(AND($I1200="Phản ánh",$E1200="Đã xử lý"),INDEX('Phản ánh'!$U$6:$U$505,MATCH($C1200,'Phản ánh'!$A$6:$A$505,0)),IF(AND($I1200="Công việc",OR($E1200="Hoàn thành",$E1200="Hoàn thành kỳ")),IF(INDEX('Kế hoạch'!$B$6:$B$305,$O1200)="Đột xuất",INDEX('Kế hoạch'!$AY$6:$AY$305,$O1200),IF(N($P1200)=0,"",IF(INT($B1200)&lt;$P1200,$P1200,IF($Q1200&gt;0,$P1200+ROUND((INT($B1200)-$P1200)/$Q1200,0)*$Q1200,IF($R1200&gt;0,EDATE($P1200,ROUND((DATEDIF($P1200,INT($B1200),"m")+(INT($B1200)-EDATE($P1200,DATEDIF($P1200,INT($B1200),"m")))/(EDATE($P1200,DATEDIF($P1200,INT($B1200),"m")+1)-EDATE($P1200,DATEDIF($P1200,INT($B1200),"m"))))/$R1200,0)*$R1200),$P1200))))),"")))</f>
      </c>
      <c r="M1200" s="223">
        <f>IF(OR($C1200="",N($L1200)=0,N($B1200)=0),"",IF(IF(MOD($L1200,1)=0,INT($B1200),$B1200)&lt;=$L1200,"Đúng hạn","Trễ hạn"))</f>
      </c>
      <c r="N1200" s="225">
        <f>IF($C1200="","",ROW())</f>
      </c>
      <c r="O1200" s="225">
        <f>IF($I1200="Công việc",MATCH($C1200,'Kế hoạch'!$A$6:$A$305,0),"")</f>
      </c>
      <c r="P1200" s="234">
        <f>IF($O1200="","",INDEX('Kế hoạch'!$I$6:$I$305,$O1200))</f>
      </c>
      <c r="Q1200" s="225">
        <f>IF($O1200="","",INDEX('Kế hoạch'!$AJ$6:$AJ$305,$O1200))</f>
      </c>
      <c r="R1200" s="225">
        <f>IF($O1200="","",INDEX('Kế hoạch'!$AK$6:$AK$305,$O1200))</f>
      </c>
    </row>
    <row r="1201">
      <c r="A1201" s="223">
        <f>IF($C1201="","",COUNTIF($C$6:$C1201,"?*"))</f>
      </c>
      <c r="B1201" s="217"/>
      <c r="C1201" s="216"/>
      <c r="D1201" s="240"/>
      <c r="E1201" s="218"/>
      <c r="F1201" s="218"/>
      <c r="G1201" s="218"/>
      <c r="H1201" s="219"/>
      <c r="I1201" s="223">
        <f>IF($C1201="","",IF(ISNUMBER(MATCH($C1201,'Phản ánh'!$A$6:$A$505,0)),"Phản ánh",IF(ISNUMBER(MATCH($C1201,'Kế hoạch'!$A$6:$A$305,0)),"Công việc","Mã chưa có")))</f>
      </c>
      <c r="J1201" s="221">
        <f>IF($I1201="Phản ánh",INDEX('Phản ánh'!$C$6:$C$505,MATCH($C1201,'Phản ánh'!$A$6:$A$505,0)),IF($I1201="Công việc",INDEX('Kế hoạch'!$C$6:$C$305,$O1201),""))</f>
      </c>
      <c r="K1201" s="221">
        <f>IF($I1201="Phản ánh",INDEX('Phản ánh'!$K$6:$K$505,MATCH($C1201,'Phản ánh'!$A$6:$A$505,0))&amp;"",IF($I1201="Công việc",INDEX('Kế hoạch'!$N$6:$N$305,$O1201)&amp;"",""))</f>
      </c>
      <c r="L1201" s="220">
        <f>IF(OR($C1201="",N($B1201)=0),"",IF(AND($I1201="Phản ánh",$E1201="Đã xử lý"),INDEX('Phản ánh'!$U$6:$U$505,MATCH($C1201,'Phản ánh'!$A$6:$A$505,0)),IF(AND($I1201="Công việc",OR($E1201="Hoàn thành",$E1201="Hoàn thành kỳ")),IF(INDEX('Kế hoạch'!$B$6:$B$305,$O1201)="Đột xuất",INDEX('Kế hoạch'!$AY$6:$AY$305,$O1201),IF(N($P1201)=0,"",IF(INT($B1201)&lt;$P1201,$P1201,IF($Q1201&gt;0,$P1201+ROUND((INT($B1201)-$P1201)/$Q1201,0)*$Q1201,IF($R1201&gt;0,EDATE($P1201,ROUND((DATEDIF($P1201,INT($B1201),"m")+(INT($B1201)-EDATE($P1201,DATEDIF($P1201,INT($B1201),"m")))/(EDATE($P1201,DATEDIF($P1201,INT($B1201),"m")+1)-EDATE($P1201,DATEDIF($P1201,INT($B1201),"m"))))/$R1201,0)*$R1201),$P1201))))),"")))</f>
      </c>
      <c r="M1201" s="223">
        <f>IF(OR($C1201="",N($L1201)=0,N($B1201)=0),"",IF(IF(MOD($L1201,1)=0,INT($B1201),$B1201)&lt;=$L1201,"Đúng hạn","Trễ hạn"))</f>
      </c>
      <c r="N1201" s="225">
        <f>IF($C1201="","",ROW())</f>
      </c>
      <c r="O1201" s="225">
        <f>IF($I1201="Công việc",MATCH($C1201,'Kế hoạch'!$A$6:$A$305,0),"")</f>
      </c>
      <c r="P1201" s="234">
        <f>IF($O1201="","",INDEX('Kế hoạch'!$I$6:$I$305,$O1201))</f>
      </c>
      <c r="Q1201" s="225">
        <f>IF($O1201="","",INDEX('Kế hoạch'!$AJ$6:$AJ$305,$O1201))</f>
      </c>
      <c r="R1201" s="225">
        <f>IF($O1201="","",INDEX('Kế hoạch'!$AK$6:$AK$305,$O1201))</f>
      </c>
    </row>
    <row r="1202">
      <c r="A1202" s="223">
        <f>IF($C1202="","",COUNTIF($C$6:$C1202,"?*"))</f>
      </c>
      <c r="B1202" s="217"/>
      <c r="C1202" s="216"/>
      <c r="D1202" s="240"/>
      <c r="E1202" s="218"/>
      <c r="F1202" s="218"/>
      <c r="G1202" s="218"/>
      <c r="H1202" s="219"/>
      <c r="I1202" s="223">
        <f>IF($C1202="","",IF(ISNUMBER(MATCH($C1202,'Phản ánh'!$A$6:$A$505,0)),"Phản ánh",IF(ISNUMBER(MATCH($C1202,'Kế hoạch'!$A$6:$A$305,0)),"Công việc","Mã chưa có")))</f>
      </c>
      <c r="J1202" s="221">
        <f>IF($I1202="Phản ánh",INDEX('Phản ánh'!$C$6:$C$505,MATCH($C1202,'Phản ánh'!$A$6:$A$505,0)),IF($I1202="Công việc",INDEX('Kế hoạch'!$C$6:$C$305,$O1202),""))</f>
      </c>
      <c r="K1202" s="221">
        <f>IF($I1202="Phản ánh",INDEX('Phản ánh'!$K$6:$K$505,MATCH($C1202,'Phản ánh'!$A$6:$A$505,0))&amp;"",IF($I1202="Công việc",INDEX('Kế hoạch'!$N$6:$N$305,$O1202)&amp;"",""))</f>
      </c>
      <c r="L1202" s="220">
        <f>IF(OR($C1202="",N($B1202)=0),"",IF(AND($I1202="Phản ánh",$E1202="Đã xử lý"),INDEX('Phản ánh'!$U$6:$U$505,MATCH($C1202,'Phản ánh'!$A$6:$A$505,0)),IF(AND($I1202="Công việc",OR($E1202="Hoàn thành",$E1202="Hoàn thành kỳ")),IF(INDEX('Kế hoạch'!$B$6:$B$305,$O1202)="Đột xuất",INDEX('Kế hoạch'!$AY$6:$AY$305,$O1202),IF(N($P1202)=0,"",IF(INT($B1202)&lt;$P1202,$P1202,IF($Q1202&gt;0,$P1202+ROUND((INT($B1202)-$P1202)/$Q1202,0)*$Q1202,IF($R1202&gt;0,EDATE($P1202,ROUND((DATEDIF($P1202,INT($B1202),"m")+(INT($B1202)-EDATE($P1202,DATEDIF($P1202,INT($B1202),"m")))/(EDATE($P1202,DATEDIF($P1202,INT($B1202),"m")+1)-EDATE($P1202,DATEDIF($P1202,INT($B1202),"m"))))/$R1202,0)*$R1202),$P1202))))),"")))</f>
      </c>
      <c r="M1202" s="223">
        <f>IF(OR($C1202="",N($L1202)=0,N($B1202)=0),"",IF(IF(MOD($L1202,1)=0,INT($B1202),$B1202)&lt;=$L1202,"Đúng hạn","Trễ hạn"))</f>
      </c>
      <c r="N1202" s="225">
        <f>IF($C1202="","",ROW())</f>
      </c>
      <c r="O1202" s="225">
        <f>IF($I1202="Công việc",MATCH($C1202,'Kế hoạch'!$A$6:$A$305,0),"")</f>
      </c>
      <c r="P1202" s="234">
        <f>IF($O1202="","",INDEX('Kế hoạch'!$I$6:$I$305,$O1202))</f>
      </c>
      <c r="Q1202" s="225">
        <f>IF($O1202="","",INDEX('Kế hoạch'!$AJ$6:$AJ$305,$O1202))</f>
      </c>
      <c r="R1202" s="225">
        <f>IF($O1202="","",INDEX('Kế hoạch'!$AK$6:$AK$305,$O1202))</f>
      </c>
    </row>
    <row r="1203">
      <c r="A1203" s="223">
        <f>IF($C1203="","",COUNTIF($C$6:$C1203,"?*"))</f>
      </c>
      <c r="B1203" s="217"/>
      <c r="C1203" s="216"/>
      <c r="D1203" s="240"/>
      <c r="E1203" s="218"/>
      <c r="F1203" s="218"/>
      <c r="G1203" s="218"/>
      <c r="H1203" s="219"/>
      <c r="I1203" s="223">
        <f>IF($C1203="","",IF(ISNUMBER(MATCH($C1203,'Phản ánh'!$A$6:$A$505,0)),"Phản ánh",IF(ISNUMBER(MATCH($C1203,'Kế hoạch'!$A$6:$A$305,0)),"Công việc","Mã chưa có")))</f>
      </c>
      <c r="J1203" s="221">
        <f>IF($I1203="Phản ánh",INDEX('Phản ánh'!$C$6:$C$505,MATCH($C1203,'Phản ánh'!$A$6:$A$505,0)),IF($I1203="Công việc",INDEX('Kế hoạch'!$C$6:$C$305,$O1203),""))</f>
      </c>
      <c r="K1203" s="221">
        <f>IF($I1203="Phản ánh",INDEX('Phản ánh'!$K$6:$K$505,MATCH($C1203,'Phản ánh'!$A$6:$A$505,0))&amp;"",IF($I1203="Công việc",INDEX('Kế hoạch'!$N$6:$N$305,$O1203)&amp;"",""))</f>
      </c>
      <c r="L1203" s="220">
        <f>IF(OR($C1203="",N($B1203)=0),"",IF(AND($I1203="Phản ánh",$E1203="Đã xử lý"),INDEX('Phản ánh'!$U$6:$U$505,MATCH($C1203,'Phản ánh'!$A$6:$A$505,0)),IF(AND($I1203="Công việc",OR($E1203="Hoàn thành",$E1203="Hoàn thành kỳ")),IF(INDEX('Kế hoạch'!$B$6:$B$305,$O1203)="Đột xuất",INDEX('Kế hoạch'!$AY$6:$AY$305,$O1203),IF(N($P1203)=0,"",IF(INT($B1203)&lt;$P1203,$P1203,IF($Q1203&gt;0,$P1203+ROUND((INT($B1203)-$P1203)/$Q1203,0)*$Q1203,IF($R1203&gt;0,EDATE($P1203,ROUND((DATEDIF($P1203,INT($B1203),"m")+(INT($B1203)-EDATE($P1203,DATEDIF($P1203,INT($B1203),"m")))/(EDATE($P1203,DATEDIF($P1203,INT($B1203),"m")+1)-EDATE($P1203,DATEDIF($P1203,INT($B1203),"m"))))/$R1203,0)*$R1203),$P1203))))),"")))</f>
      </c>
      <c r="M1203" s="223">
        <f>IF(OR($C1203="",N($L1203)=0,N($B1203)=0),"",IF(IF(MOD($L1203,1)=0,INT($B1203),$B1203)&lt;=$L1203,"Đúng hạn","Trễ hạn"))</f>
      </c>
      <c r="N1203" s="225">
        <f>IF($C1203="","",ROW())</f>
      </c>
      <c r="O1203" s="225">
        <f>IF($I1203="Công việc",MATCH($C1203,'Kế hoạch'!$A$6:$A$305,0),"")</f>
      </c>
      <c r="P1203" s="234">
        <f>IF($O1203="","",INDEX('Kế hoạch'!$I$6:$I$305,$O1203))</f>
      </c>
      <c r="Q1203" s="225">
        <f>IF($O1203="","",INDEX('Kế hoạch'!$AJ$6:$AJ$305,$O1203))</f>
      </c>
      <c r="R1203" s="225">
        <f>IF($O1203="","",INDEX('Kế hoạch'!$AK$6:$AK$305,$O1203))</f>
      </c>
    </row>
    <row r="1204">
      <c r="A1204" s="223">
        <f>IF($C1204="","",COUNTIF($C$6:$C1204,"?*"))</f>
      </c>
      <c r="B1204" s="217"/>
      <c r="C1204" s="216"/>
      <c r="D1204" s="240"/>
      <c r="E1204" s="218"/>
      <c r="F1204" s="218"/>
      <c r="G1204" s="218"/>
      <c r="H1204" s="219"/>
      <c r="I1204" s="223">
        <f>IF($C1204="","",IF(ISNUMBER(MATCH($C1204,'Phản ánh'!$A$6:$A$505,0)),"Phản ánh",IF(ISNUMBER(MATCH($C1204,'Kế hoạch'!$A$6:$A$305,0)),"Công việc","Mã chưa có")))</f>
      </c>
      <c r="J1204" s="221">
        <f>IF($I1204="Phản ánh",INDEX('Phản ánh'!$C$6:$C$505,MATCH($C1204,'Phản ánh'!$A$6:$A$505,0)),IF($I1204="Công việc",INDEX('Kế hoạch'!$C$6:$C$305,$O1204),""))</f>
      </c>
      <c r="K1204" s="221">
        <f>IF($I1204="Phản ánh",INDEX('Phản ánh'!$K$6:$K$505,MATCH($C1204,'Phản ánh'!$A$6:$A$505,0))&amp;"",IF($I1204="Công việc",INDEX('Kế hoạch'!$N$6:$N$305,$O1204)&amp;"",""))</f>
      </c>
      <c r="L1204" s="220">
        <f>IF(OR($C1204="",N($B1204)=0),"",IF(AND($I1204="Phản ánh",$E1204="Đã xử lý"),INDEX('Phản ánh'!$U$6:$U$505,MATCH($C1204,'Phản ánh'!$A$6:$A$505,0)),IF(AND($I1204="Công việc",OR($E1204="Hoàn thành",$E1204="Hoàn thành kỳ")),IF(INDEX('Kế hoạch'!$B$6:$B$305,$O1204)="Đột xuất",INDEX('Kế hoạch'!$AY$6:$AY$305,$O1204),IF(N($P1204)=0,"",IF(INT($B1204)&lt;$P1204,$P1204,IF($Q1204&gt;0,$P1204+ROUND((INT($B1204)-$P1204)/$Q1204,0)*$Q1204,IF($R1204&gt;0,EDATE($P1204,ROUND((DATEDIF($P1204,INT($B1204),"m")+(INT($B1204)-EDATE($P1204,DATEDIF($P1204,INT($B1204),"m")))/(EDATE($P1204,DATEDIF($P1204,INT($B1204),"m")+1)-EDATE($P1204,DATEDIF($P1204,INT($B1204),"m"))))/$R1204,0)*$R1204),$P1204))))),"")))</f>
      </c>
      <c r="M1204" s="223">
        <f>IF(OR($C1204="",N($L1204)=0,N($B1204)=0),"",IF(IF(MOD($L1204,1)=0,INT($B1204),$B1204)&lt;=$L1204,"Đúng hạn","Trễ hạn"))</f>
      </c>
      <c r="N1204" s="225">
        <f>IF($C1204="","",ROW())</f>
      </c>
      <c r="O1204" s="225">
        <f>IF($I1204="Công việc",MATCH($C1204,'Kế hoạch'!$A$6:$A$305,0),"")</f>
      </c>
      <c r="P1204" s="234">
        <f>IF($O1204="","",INDEX('Kế hoạch'!$I$6:$I$305,$O1204))</f>
      </c>
      <c r="Q1204" s="225">
        <f>IF($O1204="","",INDEX('Kế hoạch'!$AJ$6:$AJ$305,$O1204))</f>
      </c>
      <c r="R1204" s="225">
        <f>IF($O1204="","",INDEX('Kế hoạch'!$AK$6:$AK$305,$O1204))</f>
      </c>
    </row>
    <row r="1205">
      <c r="A1205" s="223">
        <f>IF($C1205="","",COUNTIF($C$6:$C1205,"?*"))</f>
      </c>
      <c r="B1205" s="217"/>
      <c r="C1205" s="216"/>
      <c r="D1205" s="240"/>
      <c r="E1205" s="218"/>
      <c r="F1205" s="218"/>
      <c r="G1205" s="218"/>
      <c r="H1205" s="219"/>
      <c r="I1205" s="223">
        <f>IF($C1205="","",IF(ISNUMBER(MATCH($C1205,'Phản ánh'!$A$6:$A$505,0)),"Phản ánh",IF(ISNUMBER(MATCH($C1205,'Kế hoạch'!$A$6:$A$305,0)),"Công việc","Mã chưa có")))</f>
      </c>
      <c r="J1205" s="221">
        <f>IF($I1205="Phản ánh",INDEX('Phản ánh'!$C$6:$C$505,MATCH($C1205,'Phản ánh'!$A$6:$A$505,0)),IF($I1205="Công việc",INDEX('Kế hoạch'!$C$6:$C$305,$O1205),""))</f>
      </c>
      <c r="K1205" s="221">
        <f>IF($I1205="Phản ánh",INDEX('Phản ánh'!$K$6:$K$505,MATCH($C1205,'Phản ánh'!$A$6:$A$505,0))&amp;"",IF($I1205="Công việc",INDEX('Kế hoạch'!$N$6:$N$305,$O1205)&amp;"",""))</f>
      </c>
      <c r="L1205" s="220">
        <f>IF(OR($C1205="",N($B1205)=0),"",IF(AND($I1205="Phản ánh",$E1205="Đã xử lý"),INDEX('Phản ánh'!$U$6:$U$505,MATCH($C1205,'Phản ánh'!$A$6:$A$505,0)),IF(AND($I1205="Công việc",OR($E1205="Hoàn thành",$E1205="Hoàn thành kỳ")),IF(INDEX('Kế hoạch'!$B$6:$B$305,$O1205)="Đột xuất",INDEX('Kế hoạch'!$AY$6:$AY$305,$O1205),IF(N($P1205)=0,"",IF(INT($B1205)&lt;$P1205,$P1205,IF($Q1205&gt;0,$P1205+ROUND((INT($B1205)-$P1205)/$Q1205,0)*$Q1205,IF($R1205&gt;0,EDATE($P1205,ROUND((DATEDIF($P1205,INT($B1205),"m")+(INT($B1205)-EDATE($P1205,DATEDIF($P1205,INT($B1205),"m")))/(EDATE($P1205,DATEDIF($P1205,INT($B1205),"m")+1)-EDATE($P1205,DATEDIF($P1205,INT($B1205),"m"))))/$R1205,0)*$R1205),$P1205))))),"")))</f>
      </c>
      <c r="M1205" s="223">
        <f>IF(OR($C1205="",N($L1205)=0,N($B1205)=0),"",IF(IF(MOD($L1205,1)=0,INT($B1205),$B1205)&lt;=$L1205,"Đúng hạn","Trễ hạn"))</f>
      </c>
      <c r="N1205" s="225">
        <f>IF($C1205="","",ROW())</f>
      </c>
      <c r="O1205" s="225">
        <f>IF($I1205="Công việc",MATCH($C1205,'Kế hoạch'!$A$6:$A$305,0),"")</f>
      </c>
      <c r="P1205" s="234">
        <f>IF($O1205="","",INDEX('Kế hoạch'!$I$6:$I$305,$O1205))</f>
      </c>
      <c r="Q1205" s="225">
        <f>IF($O1205="","",INDEX('Kế hoạch'!$AJ$6:$AJ$305,$O1205))</f>
      </c>
      <c r="R1205" s="225">
        <f>IF($O1205="","",INDEX('Kế hoạch'!$AK$6:$AK$305,$O1205))</f>
      </c>
    </row>
    <row r="1206">
      <c r="A1206" s="223">
        <f>IF($C1206="","",COUNTIF($C$6:$C1206,"?*"))</f>
      </c>
      <c r="B1206" s="217"/>
      <c r="C1206" s="216"/>
      <c r="D1206" s="240"/>
      <c r="E1206" s="218"/>
      <c r="F1206" s="218"/>
      <c r="G1206" s="218"/>
      <c r="H1206" s="219"/>
      <c r="I1206" s="223">
        <f>IF($C1206="","",IF(ISNUMBER(MATCH($C1206,'Phản ánh'!$A$6:$A$505,0)),"Phản ánh",IF(ISNUMBER(MATCH($C1206,'Kế hoạch'!$A$6:$A$305,0)),"Công việc","Mã chưa có")))</f>
      </c>
      <c r="J1206" s="221">
        <f>IF($I1206="Phản ánh",INDEX('Phản ánh'!$C$6:$C$505,MATCH($C1206,'Phản ánh'!$A$6:$A$505,0)),IF($I1206="Công việc",INDEX('Kế hoạch'!$C$6:$C$305,$O1206),""))</f>
      </c>
      <c r="K1206" s="221">
        <f>IF($I1206="Phản ánh",INDEX('Phản ánh'!$K$6:$K$505,MATCH($C1206,'Phản ánh'!$A$6:$A$505,0))&amp;"",IF($I1206="Công việc",INDEX('Kế hoạch'!$N$6:$N$305,$O1206)&amp;"",""))</f>
      </c>
      <c r="L1206" s="220">
        <f>IF(OR($C1206="",N($B1206)=0),"",IF(AND($I1206="Phản ánh",$E1206="Đã xử lý"),INDEX('Phản ánh'!$U$6:$U$505,MATCH($C1206,'Phản ánh'!$A$6:$A$505,0)),IF(AND($I1206="Công việc",OR($E1206="Hoàn thành",$E1206="Hoàn thành kỳ")),IF(INDEX('Kế hoạch'!$B$6:$B$305,$O1206)="Đột xuất",INDEX('Kế hoạch'!$AY$6:$AY$305,$O1206),IF(N($P1206)=0,"",IF(INT($B1206)&lt;$P1206,$P1206,IF($Q1206&gt;0,$P1206+ROUND((INT($B1206)-$P1206)/$Q1206,0)*$Q1206,IF($R1206&gt;0,EDATE($P1206,ROUND((DATEDIF($P1206,INT($B1206),"m")+(INT($B1206)-EDATE($P1206,DATEDIF($P1206,INT($B1206),"m")))/(EDATE($P1206,DATEDIF($P1206,INT($B1206),"m")+1)-EDATE($P1206,DATEDIF($P1206,INT($B1206),"m"))))/$R1206,0)*$R1206),$P1206))))),"")))</f>
      </c>
      <c r="M1206" s="223">
        <f>IF(OR($C1206="",N($L1206)=0,N($B1206)=0),"",IF(IF(MOD($L1206,1)=0,INT($B1206),$B1206)&lt;=$L1206,"Đúng hạn","Trễ hạn"))</f>
      </c>
      <c r="N1206" s="225">
        <f>IF($C1206="","",ROW())</f>
      </c>
      <c r="O1206" s="225">
        <f>IF($I1206="Công việc",MATCH($C1206,'Kế hoạch'!$A$6:$A$305,0),"")</f>
      </c>
      <c r="P1206" s="234">
        <f>IF($O1206="","",INDEX('Kế hoạch'!$I$6:$I$305,$O1206))</f>
      </c>
      <c r="Q1206" s="225">
        <f>IF($O1206="","",INDEX('Kế hoạch'!$AJ$6:$AJ$305,$O1206))</f>
      </c>
      <c r="R1206" s="225">
        <f>IF($O1206="","",INDEX('Kế hoạch'!$AK$6:$AK$305,$O1206))</f>
      </c>
    </row>
    <row r="1207">
      <c r="A1207" s="223">
        <f>IF($C1207="","",COUNTIF($C$6:$C1207,"?*"))</f>
      </c>
      <c r="B1207" s="217"/>
      <c r="C1207" s="216"/>
      <c r="D1207" s="240"/>
      <c r="E1207" s="218"/>
      <c r="F1207" s="218"/>
      <c r="G1207" s="218"/>
      <c r="H1207" s="219"/>
      <c r="I1207" s="223">
        <f>IF($C1207="","",IF(ISNUMBER(MATCH($C1207,'Phản ánh'!$A$6:$A$505,0)),"Phản ánh",IF(ISNUMBER(MATCH($C1207,'Kế hoạch'!$A$6:$A$305,0)),"Công việc","Mã chưa có")))</f>
      </c>
      <c r="J1207" s="221">
        <f>IF($I1207="Phản ánh",INDEX('Phản ánh'!$C$6:$C$505,MATCH($C1207,'Phản ánh'!$A$6:$A$505,0)),IF($I1207="Công việc",INDEX('Kế hoạch'!$C$6:$C$305,$O1207),""))</f>
      </c>
      <c r="K1207" s="221">
        <f>IF($I1207="Phản ánh",INDEX('Phản ánh'!$K$6:$K$505,MATCH($C1207,'Phản ánh'!$A$6:$A$505,0))&amp;"",IF($I1207="Công việc",INDEX('Kế hoạch'!$N$6:$N$305,$O1207)&amp;"",""))</f>
      </c>
      <c r="L1207" s="220">
        <f>IF(OR($C1207="",N($B1207)=0),"",IF(AND($I1207="Phản ánh",$E1207="Đã xử lý"),INDEX('Phản ánh'!$U$6:$U$505,MATCH($C1207,'Phản ánh'!$A$6:$A$505,0)),IF(AND($I1207="Công việc",OR($E1207="Hoàn thành",$E1207="Hoàn thành kỳ")),IF(INDEX('Kế hoạch'!$B$6:$B$305,$O1207)="Đột xuất",INDEX('Kế hoạch'!$AY$6:$AY$305,$O1207),IF(N($P1207)=0,"",IF(INT($B1207)&lt;$P1207,$P1207,IF($Q1207&gt;0,$P1207+ROUND((INT($B1207)-$P1207)/$Q1207,0)*$Q1207,IF($R1207&gt;0,EDATE($P1207,ROUND((DATEDIF($P1207,INT($B1207),"m")+(INT($B1207)-EDATE($P1207,DATEDIF($P1207,INT($B1207),"m")))/(EDATE($P1207,DATEDIF($P1207,INT($B1207),"m")+1)-EDATE($P1207,DATEDIF($P1207,INT($B1207),"m"))))/$R1207,0)*$R1207),$P1207))))),"")))</f>
      </c>
      <c r="M1207" s="223">
        <f>IF(OR($C1207="",N($L1207)=0,N($B1207)=0),"",IF(IF(MOD($L1207,1)=0,INT($B1207),$B1207)&lt;=$L1207,"Đúng hạn","Trễ hạn"))</f>
      </c>
      <c r="N1207" s="225">
        <f>IF($C1207="","",ROW())</f>
      </c>
      <c r="O1207" s="225">
        <f>IF($I1207="Công việc",MATCH($C1207,'Kế hoạch'!$A$6:$A$305,0),"")</f>
      </c>
      <c r="P1207" s="234">
        <f>IF($O1207="","",INDEX('Kế hoạch'!$I$6:$I$305,$O1207))</f>
      </c>
      <c r="Q1207" s="225">
        <f>IF($O1207="","",INDEX('Kế hoạch'!$AJ$6:$AJ$305,$O1207))</f>
      </c>
      <c r="R1207" s="225">
        <f>IF($O1207="","",INDEX('Kế hoạch'!$AK$6:$AK$305,$O1207))</f>
      </c>
    </row>
    <row r="1208">
      <c r="A1208" s="223">
        <f>IF($C1208="","",COUNTIF($C$6:$C1208,"?*"))</f>
      </c>
      <c r="B1208" s="217"/>
      <c r="C1208" s="216"/>
      <c r="D1208" s="240"/>
      <c r="E1208" s="218"/>
      <c r="F1208" s="218"/>
      <c r="G1208" s="218"/>
      <c r="H1208" s="219"/>
      <c r="I1208" s="223">
        <f>IF($C1208="","",IF(ISNUMBER(MATCH($C1208,'Phản ánh'!$A$6:$A$505,0)),"Phản ánh",IF(ISNUMBER(MATCH($C1208,'Kế hoạch'!$A$6:$A$305,0)),"Công việc","Mã chưa có")))</f>
      </c>
      <c r="J1208" s="221">
        <f>IF($I1208="Phản ánh",INDEX('Phản ánh'!$C$6:$C$505,MATCH($C1208,'Phản ánh'!$A$6:$A$505,0)),IF($I1208="Công việc",INDEX('Kế hoạch'!$C$6:$C$305,$O1208),""))</f>
      </c>
      <c r="K1208" s="221">
        <f>IF($I1208="Phản ánh",INDEX('Phản ánh'!$K$6:$K$505,MATCH($C1208,'Phản ánh'!$A$6:$A$505,0))&amp;"",IF($I1208="Công việc",INDEX('Kế hoạch'!$N$6:$N$305,$O1208)&amp;"",""))</f>
      </c>
      <c r="L1208" s="220">
        <f>IF(OR($C1208="",N($B1208)=0),"",IF(AND($I1208="Phản ánh",$E1208="Đã xử lý"),INDEX('Phản ánh'!$U$6:$U$505,MATCH($C1208,'Phản ánh'!$A$6:$A$505,0)),IF(AND($I1208="Công việc",OR($E1208="Hoàn thành",$E1208="Hoàn thành kỳ")),IF(INDEX('Kế hoạch'!$B$6:$B$305,$O1208)="Đột xuất",INDEX('Kế hoạch'!$AY$6:$AY$305,$O1208),IF(N($P1208)=0,"",IF(INT($B1208)&lt;$P1208,$P1208,IF($Q1208&gt;0,$P1208+ROUND((INT($B1208)-$P1208)/$Q1208,0)*$Q1208,IF($R1208&gt;0,EDATE($P1208,ROUND((DATEDIF($P1208,INT($B1208),"m")+(INT($B1208)-EDATE($P1208,DATEDIF($P1208,INT($B1208),"m")))/(EDATE($P1208,DATEDIF($P1208,INT($B1208),"m")+1)-EDATE($P1208,DATEDIF($P1208,INT($B1208),"m"))))/$R1208,0)*$R1208),$P1208))))),"")))</f>
      </c>
      <c r="M1208" s="223">
        <f>IF(OR($C1208="",N($L1208)=0,N($B1208)=0),"",IF(IF(MOD($L1208,1)=0,INT($B1208),$B1208)&lt;=$L1208,"Đúng hạn","Trễ hạn"))</f>
      </c>
      <c r="N1208" s="225">
        <f>IF($C1208="","",ROW())</f>
      </c>
      <c r="O1208" s="225">
        <f>IF($I1208="Công việc",MATCH($C1208,'Kế hoạch'!$A$6:$A$305,0),"")</f>
      </c>
      <c r="P1208" s="234">
        <f>IF($O1208="","",INDEX('Kế hoạch'!$I$6:$I$305,$O1208))</f>
      </c>
      <c r="Q1208" s="225">
        <f>IF($O1208="","",INDEX('Kế hoạch'!$AJ$6:$AJ$305,$O1208))</f>
      </c>
      <c r="R1208" s="225">
        <f>IF($O1208="","",INDEX('Kế hoạch'!$AK$6:$AK$305,$O1208))</f>
      </c>
    </row>
    <row r="1209">
      <c r="A1209" s="223">
        <f>IF($C1209="","",COUNTIF($C$6:$C1209,"?*"))</f>
      </c>
      <c r="B1209" s="217"/>
      <c r="C1209" s="216"/>
      <c r="D1209" s="240"/>
      <c r="E1209" s="218"/>
      <c r="F1209" s="218"/>
      <c r="G1209" s="218"/>
      <c r="H1209" s="219"/>
      <c r="I1209" s="223">
        <f>IF($C1209="","",IF(ISNUMBER(MATCH($C1209,'Phản ánh'!$A$6:$A$505,0)),"Phản ánh",IF(ISNUMBER(MATCH($C1209,'Kế hoạch'!$A$6:$A$305,0)),"Công việc","Mã chưa có")))</f>
      </c>
      <c r="J1209" s="221">
        <f>IF($I1209="Phản ánh",INDEX('Phản ánh'!$C$6:$C$505,MATCH($C1209,'Phản ánh'!$A$6:$A$505,0)),IF($I1209="Công việc",INDEX('Kế hoạch'!$C$6:$C$305,$O1209),""))</f>
      </c>
      <c r="K1209" s="221">
        <f>IF($I1209="Phản ánh",INDEX('Phản ánh'!$K$6:$K$505,MATCH($C1209,'Phản ánh'!$A$6:$A$505,0))&amp;"",IF($I1209="Công việc",INDEX('Kế hoạch'!$N$6:$N$305,$O1209)&amp;"",""))</f>
      </c>
      <c r="L1209" s="220">
        <f>IF(OR($C1209="",N($B1209)=0),"",IF(AND($I1209="Phản ánh",$E1209="Đã xử lý"),INDEX('Phản ánh'!$U$6:$U$505,MATCH($C1209,'Phản ánh'!$A$6:$A$505,0)),IF(AND($I1209="Công việc",OR($E1209="Hoàn thành",$E1209="Hoàn thành kỳ")),IF(INDEX('Kế hoạch'!$B$6:$B$305,$O1209)="Đột xuất",INDEX('Kế hoạch'!$AY$6:$AY$305,$O1209),IF(N($P1209)=0,"",IF(INT($B1209)&lt;$P1209,$P1209,IF($Q1209&gt;0,$P1209+ROUND((INT($B1209)-$P1209)/$Q1209,0)*$Q1209,IF($R1209&gt;0,EDATE($P1209,ROUND((DATEDIF($P1209,INT($B1209),"m")+(INT($B1209)-EDATE($P1209,DATEDIF($P1209,INT($B1209),"m")))/(EDATE($P1209,DATEDIF($P1209,INT($B1209),"m")+1)-EDATE($P1209,DATEDIF($P1209,INT($B1209),"m"))))/$R1209,0)*$R1209),$P1209))))),"")))</f>
      </c>
      <c r="M1209" s="223">
        <f>IF(OR($C1209="",N($L1209)=0,N($B1209)=0),"",IF(IF(MOD($L1209,1)=0,INT($B1209),$B1209)&lt;=$L1209,"Đúng hạn","Trễ hạn"))</f>
      </c>
      <c r="N1209" s="225">
        <f>IF($C1209="","",ROW())</f>
      </c>
      <c r="O1209" s="225">
        <f>IF($I1209="Công việc",MATCH($C1209,'Kế hoạch'!$A$6:$A$305,0),"")</f>
      </c>
      <c r="P1209" s="234">
        <f>IF($O1209="","",INDEX('Kế hoạch'!$I$6:$I$305,$O1209))</f>
      </c>
      <c r="Q1209" s="225">
        <f>IF($O1209="","",INDEX('Kế hoạch'!$AJ$6:$AJ$305,$O1209))</f>
      </c>
      <c r="R1209" s="225">
        <f>IF($O1209="","",INDEX('Kế hoạch'!$AK$6:$AK$305,$O1209))</f>
      </c>
    </row>
    <row r="1210">
      <c r="A1210" s="223">
        <f>IF($C1210="","",COUNTIF($C$6:$C1210,"?*"))</f>
      </c>
      <c r="B1210" s="217"/>
      <c r="C1210" s="216"/>
      <c r="D1210" s="240"/>
      <c r="E1210" s="218"/>
      <c r="F1210" s="218"/>
      <c r="G1210" s="218"/>
      <c r="H1210" s="219"/>
      <c r="I1210" s="223">
        <f>IF($C1210="","",IF(ISNUMBER(MATCH($C1210,'Phản ánh'!$A$6:$A$505,0)),"Phản ánh",IF(ISNUMBER(MATCH($C1210,'Kế hoạch'!$A$6:$A$305,0)),"Công việc","Mã chưa có")))</f>
      </c>
      <c r="J1210" s="221">
        <f>IF($I1210="Phản ánh",INDEX('Phản ánh'!$C$6:$C$505,MATCH($C1210,'Phản ánh'!$A$6:$A$505,0)),IF($I1210="Công việc",INDEX('Kế hoạch'!$C$6:$C$305,$O1210),""))</f>
      </c>
      <c r="K1210" s="221">
        <f>IF($I1210="Phản ánh",INDEX('Phản ánh'!$K$6:$K$505,MATCH($C1210,'Phản ánh'!$A$6:$A$505,0))&amp;"",IF($I1210="Công việc",INDEX('Kế hoạch'!$N$6:$N$305,$O1210)&amp;"",""))</f>
      </c>
      <c r="L1210" s="220">
        <f>IF(OR($C1210="",N($B1210)=0),"",IF(AND($I1210="Phản ánh",$E1210="Đã xử lý"),INDEX('Phản ánh'!$U$6:$U$505,MATCH($C1210,'Phản ánh'!$A$6:$A$505,0)),IF(AND($I1210="Công việc",OR($E1210="Hoàn thành",$E1210="Hoàn thành kỳ")),IF(INDEX('Kế hoạch'!$B$6:$B$305,$O1210)="Đột xuất",INDEX('Kế hoạch'!$AY$6:$AY$305,$O1210),IF(N($P1210)=0,"",IF(INT($B1210)&lt;$P1210,$P1210,IF($Q1210&gt;0,$P1210+ROUND((INT($B1210)-$P1210)/$Q1210,0)*$Q1210,IF($R1210&gt;0,EDATE($P1210,ROUND((DATEDIF($P1210,INT($B1210),"m")+(INT($B1210)-EDATE($P1210,DATEDIF($P1210,INT($B1210),"m")))/(EDATE($P1210,DATEDIF($P1210,INT($B1210),"m")+1)-EDATE($P1210,DATEDIF($P1210,INT($B1210),"m"))))/$R1210,0)*$R1210),$P1210))))),"")))</f>
      </c>
      <c r="M1210" s="223">
        <f>IF(OR($C1210="",N($L1210)=0,N($B1210)=0),"",IF(IF(MOD($L1210,1)=0,INT($B1210),$B1210)&lt;=$L1210,"Đúng hạn","Trễ hạn"))</f>
      </c>
      <c r="N1210" s="225">
        <f>IF($C1210="","",ROW())</f>
      </c>
      <c r="O1210" s="225">
        <f>IF($I1210="Công việc",MATCH($C1210,'Kế hoạch'!$A$6:$A$305,0),"")</f>
      </c>
      <c r="P1210" s="234">
        <f>IF($O1210="","",INDEX('Kế hoạch'!$I$6:$I$305,$O1210))</f>
      </c>
      <c r="Q1210" s="225">
        <f>IF($O1210="","",INDEX('Kế hoạch'!$AJ$6:$AJ$305,$O1210))</f>
      </c>
      <c r="R1210" s="225">
        <f>IF($O1210="","",INDEX('Kế hoạch'!$AK$6:$AK$305,$O1210))</f>
      </c>
    </row>
    <row r="1211">
      <c r="A1211" s="223">
        <f>IF($C1211="","",COUNTIF($C$6:$C1211,"?*"))</f>
      </c>
      <c r="B1211" s="217"/>
      <c r="C1211" s="216"/>
      <c r="D1211" s="240"/>
      <c r="E1211" s="218"/>
      <c r="F1211" s="218"/>
      <c r="G1211" s="218"/>
      <c r="H1211" s="219"/>
      <c r="I1211" s="223">
        <f>IF($C1211="","",IF(ISNUMBER(MATCH($C1211,'Phản ánh'!$A$6:$A$505,0)),"Phản ánh",IF(ISNUMBER(MATCH($C1211,'Kế hoạch'!$A$6:$A$305,0)),"Công việc","Mã chưa có")))</f>
      </c>
      <c r="J1211" s="221">
        <f>IF($I1211="Phản ánh",INDEX('Phản ánh'!$C$6:$C$505,MATCH($C1211,'Phản ánh'!$A$6:$A$505,0)),IF($I1211="Công việc",INDEX('Kế hoạch'!$C$6:$C$305,$O1211),""))</f>
      </c>
      <c r="K1211" s="221">
        <f>IF($I1211="Phản ánh",INDEX('Phản ánh'!$K$6:$K$505,MATCH($C1211,'Phản ánh'!$A$6:$A$505,0))&amp;"",IF($I1211="Công việc",INDEX('Kế hoạch'!$N$6:$N$305,$O1211)&amp;"",""))</f>
      </c>
      <c r="L1211" s="220">
        <f>IF(OR($C1211="",N($B1211)=0),"",IF(AND($I1211="Phản ánh",$E1211="Đã xử lý"),INDEX('Phản ánh'!$U$6:$U$505,MATCH($C1211,'Phản ánh'!$A$6:$A$505,0)),IF(AND($I1211="Công việc",OR($E1211="Hoàn thành",$E1211="Hoàn thành kỳ")),IF(INDEX('Kế hoạch'!$B$6:$B$305,$O1211)="Đột xuất",INDEX('Kế hoạch'!$AY$6:$AY$305,$O1211),IF(N($P1211)=0,"",IF(INT($B1211)&lt;$P1211,$P1211,IF($Q1211&gt;0,$P1211+ROUND((INT($B1211)-$P1211)/$Q1211,0)*$Q1211,IF($R1211&gt;0,EDATE($P1211,ROUND((DATEDIF($P1211,INT($B1211),"m")+(INT($B1211)-EDATE($P1211,DATEDIF($P1211,INT($B1211),"m")))/(EDATE($P1211,DATEDIF($P1211,INT($B1211),"m")+1)-EDATE($P1211,DATEDIF($P1211,INT($B1211),"m"))))/$R1211,0)*$R1211),$P1211))))),"")))</f>
      </c>
      <c r="M1211" s="223">
        <f>IF(OR($C1211="",N($L1211)=0,N($B1211)=0),"",IF(IF(MOD($L1211,1)=0,INT($B1211),$B1211)&lt;=$L1211,"Đúng hạn","Trễ hạn"))</f>
      </c>
      <c r="N1211" s="225">
        <f>IF($C1211="","",ROW())</f>
      </c>
      <c r="O1211" s="225">
        <f>IF($I1211="Công việc",MATCH($C1211,'Kế hoạch'!$A$6:$A$305,0),"")</f>
      </c>
      <c r="P1211" s="234">
        <f>IF($O1211="","",INDEX('Kế hoạch'!$I$6:$I$305,$O1211))</f>
      </c>
      <c r="Q1211" s="225">
        <f>IF($O1211="","",INDEX('Kế hoạch'!$AJ$6:$AJ$305,$O1211))</f>
      </c>
      <c r="R1211" s="225">
        <f>IF($O1211="","",INDEX('Kế hoạch'!$AK$6:$AK$305,$O1211))</f>
      </c>
    </row>
    <row r="1212">
      <c r="A1212" s="223">
        <f>IF($C1212="","",COUNTIF($C$6:$C1212,"?*"))</f>
      </c>
      <c r="B1212" s="217"/>
      <c r="C1212" s="216"/>
      <c r="D1212" s="240"/>
      <c r="E1212" s="218"/>
      <c r="F1212" s="218"/>
      <c r="G1212" s="218"/>
      <c r="H1212" s="219"/>
      <c r="I1212" s="223">
        <f>IF($C1212="","",IF(ISNUMBER(MATCH($C1212,'Phản ánh'!$A$6:$A$505,0)),"Phản ánh",IF(ISNUMBER(MATCH($C1212,'Kế hoạch'!$A$6:$A$305,0)),"Công việc","Mã chưa có")))</f>
      </c>
      <c r="J1212" s="221">
        <f>IF($I1212="Phản ánh",INDEX('Phản ánh'!$C$6:$C$505,MATCH($C1212,'Phản ánh'!$A$6:$A$505,0)),IF($I1212="Công việc",INDEX('Kế hoạch'!$C$6:$C$305,$O1212),""))</f>
      </c>
      <c r="K1212" s="221">
        <f>IF($I1212="Phản ánh",INDEX('Phản ánh'!$K$6:$K$505,MATCH($C1212,'Phản ánh'!$A$6:$A$505,0))&amp;"",IF($I1212="Công việc",INDEX('Kế hoạch'!$N$6:$N$305,$O1212)&amp;"",""))</f>
      </c>
      <c r="L1212" s="220">
        <f>IF(OR($C1212="",N($B1212)=0),"",IF(AND($I1212="Phản ánh",$E1212="Đã xử lý"),INDEX('Phản ánh'!$U$6:$U$505,MATCH($C1212,'Phản ánh'!$A$6:$A$505,0)),IF(AND($I1212="Công việc",OR($E1212="Hoàn thành",$E1212="Hoàn thành kỳ")),IF(INDEX('Kế hoạch'!$B$6:$B$305,$O1212)="Đột xuất",INDEX('Kế hoạch'!$AY$6:$AY$305,$O1212),IF(N($P1212)=0,"",IF(INT($B1212)&lt;$P1212,$P1212,IF($Q1212&gt;0,$P1212+ROUND((INT($B1212)-$P1212)/$Q1212,0)*$Q1212,IF($R1212&gt;0,EDATE($P1212,ROUND((DATEDIF($P1212,INT($B1212),"m")+(INT($B1212)-EDATE($P1212,DATEDIF($P1212,INT($B1212),"m")))/(EDATE($P1212,DATEDIF($P1212,INT($B1212),"m")+1)-EDATE($P1212,DATEDIF($P1212,INT($B1212),"m"))))/$R1212,0)*$R1212),$P1212))))),"")))</f>
      </c>
      <c r="M1212" s="223">
        <f>IF(OR($C1212="",N($L1212)=0,N($B1212)=0),"",IF(IF(MOD($L1212,1)=0,INT($B1212),$B1212)&lt;=$L1212,"Đúng hạn","Trễ hạn"))</f>
      </c>
      <c r="N1212" s="225">
        <f>IF($C1212="","",ROW())</f>
      </c>
      <c r="O1212" s="225">
        <f>IF($I1212="Công việc",MATCH($C1212,'Kế hoạch'!$A$6:$A$305,0),"")</f>
      </c>
      <c r="P1212" s="234">
        <f>IF($O1212="","",INDEX('Kế hoạch'!$I$6:$I$305,$O1212))</f>
      </c>
      <c r="Q1212" s="225">
        <f>IF($O1212="","",INDEX('Kế hoạch'!$AJ$6:$AJ$305,$O1212))</f>
      </c>
      <c r="R1212" s="225">
        <f>IF($O1212="","",INDEX('Kế hoạch'!$AK$6:$AK$305,$O1212))</f>
      </c>
    </row>
    <row r="1213">
      <c r="A1213" s="223">
        <f>IF($C1213="","",COUNTIF($C$6:$C1213,"?*"))</f>
      </c>
      <c r="B1213" s="217"/>
      <c r="C1213" s="216"/>
      <c r="D1213" s="240"/>
      <c r="E1213" s="218"/>
      <c r="F1213" s="218"/>
      <c r="G1213" s="218"/>
      <c r="H1213" s="219"/>
      <c r="I1213" s="223">
        <f>IF($C1213="","",IF(ISNUMBER(MATCH($C1213,'Phản ánh'!$A$6:$A$505,0)),"Phản ánh",IF(ISNUMBER(MATCH($C1213,'Kế hoạch'!$A$6:$A$305,0)),"Công việc","Mã chưa có")))</f>
      </c>
      <c r="J1213" s="221">
        <f>IF($I1213="Phản ánh",INDEX('Phản ánh'!$C$6:$C$505,MATCH($C1213,'Phản ánh'!$A$6:$A$505,0)),IF($I1213="Công việc",INDEX('Kế hoạch'!$C$6:$C$305,$O1213),""))</f>
      </c>
      <c r="K1213" s="221">
        <f>IF($I1213="Phản ánh",INDEX('Phản ánh'!$K$6:$K$505,MATCH($C1213,'Phản ánh'!$A$6:$A$505,0))&amp;"",IF($I1213="Công việc",INDEX('Kế hoạch'!$N$6:$N$305,$O1213)&amp;"",""))</f>
      </c>
      <c r="L1213" s="220">
        <f>IF(OR($C1213="",N($B1213)=0),"",IF(AND($I1213="Phản ánh",$E1213="Đã xử lý"),INDEX('Phản ánh'!$U$6:$U$505,MATCH($C1213,'Phản ánh'!$A$6:$A$505,0)),IF(AND($I1213="Công việc",OR($E1213="Hoàn thành",$E1213="Hoàn thành kỳ")),IF(INDEX('Kế hoạch'!$B$6:$B$305,$O1213)="Đột xuất",INDEX('Kế hoạch'!$AY$6:$AY$305,$O1213),IF(N($P1213)=0,"",IF(INT($B1213)&lt;$P1213,$P1213,IF($Q1213&gt;0,$P1213+ROUND((INT($B1213)-$P1213)/$Q1213,0)*$Q1213,IF($R1213&gt;0,EDATE($P1213,ROUND((DATEDIF($P1213,INT($B1213),"m")+(INT($B1213)-EDATE($P1213,DATEDIF($P1213,INT($B1213),"m")))/(EDATE($P1213,DATEDIF($P1213,INT($B1213),"m")+1)-EDATE($P1213,DATEDIF($P1213,INT($B1213),"m"))))/$R1213,0)*$R1213),$P1213))))),"")))</f>
      </c>
      <c r="M1213" s="223">
        <f>IF(OR($C1213="",N($L1213)=0,N($B1213)=0),"",IF(IF(MOD($L1213,1)=0,INT($B1213),$B1213)&lt;=$L1213,"Đúng hạn","Trễ hạn"))</f>
      </c>
      <c r="N1213" s="225">
        <f>IF($C1213="","",ROW())</f>
      </c>
      <c r="O1213" s="225">
        <f>IF($I1213="Công việc",MATCH($C1213,'Kế hoạch'!$A$6:$A$305,0),"")</f>
      </c>
      <c r="P1213" s="234">
        <f>IF($O1213="","",INDEX('Kế hoạch'!$I$6:$I$305,$O1213))</f>
      </c>
      <c r="Q1213" s="225">
        <f>IF($O1213="","",INDEX('Kế hoạch'!$AJ$6:$AJ$305,$O1213))</f>
      </c>
      <c r="R1213" s="225">
        <f>IF($O1213="","",INDEX('Kế hoạch'!$AK$6:$AK$305,$O1213))</f>
      </c>
    </row>
    <row r="1214">
      <c r="A1214" s="223">
        <f>IF($C1214="","",COUNTIF($C$6:$C1214,"?*"))</f>
      </c>
      <c r="B1214" s="217"/>
      <c r="C1214" s="216"/>
      <c r="D1214" s="240"/>
      <c r="E1214" s="218"/>
      <c r="F1214" s="218"/>
      <c r="G1214" s="218"/>
      <c r="H1214" s="219"/>
      <c r="I1214" s="223">
        <f>IF($C1214="","",IF(ISNUMBER(MATCH($C1214,'Phản ánh'!$A$6:$A$505,0)),"Phản ánh",IF(ISNUMBER(MATCH($C1214,'Kế hoạch'!$A$6:$A$305,0)),"Công việc","Mã chưa có")))</f>
      </c>
      <c r="J1214" s="221">
        <f>IF($I1214="Phản ánh",INDEX('Phản ánh'!$C$6:$C$505,MATCH($C1214,'Phản ánh'!$A$6:$A$505,0)),IF($I1214="Công việc",INDEX('Kế hoạch'!$C$6:$C$305,$O1214),""))</f>
      </c>
      <c r="K1214" s="221">
        <f>IF($I1214="Phản ánh",INDEX('Phản ánh'!$K$6:$K$505,MATCH($C1214,'Phản ánh'!$A$6:$A$505,0))&amp;"",IF($I1214="Công việc",INDEX('Kế hoạch'!$N$6:$N$305,$O1214)&amp;"",""))</f>
      </c>
      <c r="L1214" s="220">
        <f>IF(OR($C1214="",N($B1214)=0),"",IF(AND($I1214="Phản ánh",$E1214="Đã xử lý"),INDEX('Phản ánh'!$U$6:$U$505,MATCH($C1214,'Phản ánh'!$A$6:$A$505,0)),IF(AND($I1214="Công việc",OR($E1214="Hoàn thành",$E1214="Hoàn thành kỳ")),IF(INDEX('Kế hoạch'!$B$6:$B$305,$O1214)="Đột xuất",INDEX('Kế hoạch'!$AY$6:$AY$305,$O1214),IF(N($P1214)=0,"",IF(INT($B1214)&lt;$P1214,$P1214,IF($Q1214&gt;0,$P1214+ROUND((INT($B1214)-$P1214)/$Q1214,0)*$Q1214,IF($R1214&gt;0,EDATE($P1214,ROUND((DATEDIF($P1214,INT($B1214),"m")+(INT($B1214)-EDATE($P1214,DATEDIF($P1214,INT($B1214),"m")))/(EDATE($P1214,DATEDIF($P1214,INT($B1214),"m")+1)-EDATE($P1214,DATEDIF($P1214,INT($B1214),"m"))))/$R1214,0)*$R1214),$P1214))))),"")))</f>
      </c>
      <c r="M1214" s="223">
        <f>IF(OR($C1214="",N($L1214)=0,N($B1214)=0),"",IF(IF(MOD($L1214,1)=0,INT($B1214),$B1214)&lt;=$L1214,"Đúng hạn","Trễ hạn"))</f>
      </c>
      <c r="N1214" s="225">
        <f>IF($C1214="","",ROW())</f>
      </c>
      <c r="O1214" s="225">
        <f>IF($I1214="Công việc",MATCH($C1214,'Kế hoạch'!$A$6:$A$305,0),"")</f>
      </c>
      <c r="P1214" s="234">
        <f>IF($O1214="","",INDEX('Kế hoạch'!$I$6:$I$305,$O1214))</f>
      </c>
      <c r="Q1214" s="225">
        <f>IF($O1214="","",INDEX('Kế hoạch'!$AJ$6:$AJ$305,$O1214))</f>
      </c>
      <c r="R1214" s="225">
        <f>IF($O1214="","",INDEX('Kế hoạch'!$AK$6:$AK$305,$O1214))</f>
      </c>
    </row>
    <row r="1215">
      <c r="A1215" s="223">
        <f>IF($C1215="","",COUNTIF($C$6:$C1215,"?*"))</f>
      </c>
      <c r="B1215" s="217"/>
      <c r="C1215" s="216"/>
      <c r="D1215" s="240"/>
      <c r="E1215" s="218"/>
      <c r="F1215" s="218"/>
      <c r="G1215" s="218"/>
      <c r="H1215" s="219"/>
      <c r="I1215" s="223">
        <f>IF($C1215="","",IF(ISNUMBER(MATCH($C1215,'Phản ánh'!$A$6:$A$505,0)),"Phản ánh",IF(ISNUMBER(MATCH($C1215,'Kế hoạch'!$A$6:$A$305,0)),"Công việc","Mã chưa có")))</f>
      </c>
      <c r="J1215" s="221">
        <f>IF($I1215="Phản ánh",INDEX('Phản ánh'!$C$6:$C$505,MATCH($C1215,'Phản ánh'!$A$6:$A$505,0)),IF($I1215="Công việc",INDEX('Kế hoạch'!$C$6:$C$305,$O1215),""))</f>
      </c>
      <c r="K1215" s="221">
        <f>IF($I1215="Phản ánh",INDEX('Phản ánh'!$K$6:$K$505,MATCH($C1215,'Phản ánh'!$A$6:$A$505,0))&amp;"",IF($I1215="Công việc",INDEX('Kế hoạch'!$N$6:$N$305,$O1215)&amp;"",""))</f>
      </c>
      <c r="L1215" s="220">
        <f>IF(OR($C1215="",N($B1215)=0),"",IF(AND($I1215="Phản ánh",$E1215="Đã xử lý"),INDEX('Phản ánh'!$U$6:$U$505,MATCH($C1215,'Phản ánh'!$A$6:$A$505,0)),IF(AND($I1215="Công việc",OR($E1215="Hoàn thành",$E1215="Hoàn thành kỳ")),IF(INDEX('Kế hoạch'!$B$6:$B$305,$O1215)="Đột xuất",INDEX('Kế hoạch'!$AY$6:$AY$305,$O1215),IF(N($P1215)=0,"",IF(INT($B1215)&lt;$P1215,$P1215,IF($Q1215&gt;0,$P1215+ROUND((INT($B1215)-$P1215)/$Q1215,0)*$Q1215,IF($R1215&gt;0,EDATE($P1215,ROUND((DATEDIF($P1215,INT($B1215),"m")+(INT($B1215)-EDATE($P1215,DATEDIF($P1215,INT($B1215),"m")))/(EDATE($P1215,DATEDIF($P1215,INT($B1215),"m")+1)-EDATE($P1215,DATEDIF($P1215,INT($B1215),"m"))))/$R1215,0)*$R1215),$P1215))))),"")))</f>
      </c>
      <c r="M1215" s="223">
        <f>IF(OR($C1215="",N($L1215)=0,N($B1215)=0),"",IF(IF(MOD($L1215,1)=0,INT($B1215),$B1215)&lt;=$L1215,"Đúng hạn","Trễ hạn"))</f>
      </c>
      <c r="N1215" s="225">
        <f>IF($C1215="","",ROW())</f>
      </c>
      <c r="O1215" s="225">
        <f>IF($I1215="Công việc",MATCH($C1215,'Kế hoạch'!$A$6:$A$305,0),"")</f>
      </c>
      <c r="P1215" s="234">
        <f>IF($O1215="","",INDEX('Kế hoạch'!$I$6:$I$305,$O1215))</f>
      </c>
      <c r="Q1215" s="225">
        <f>IF($O1215="","",INDEX('Kế hoạch'!$AJ$6:$AJ$305,$O1215))</f>
      </c>
      <c r="R1215" s="225">
        <f>IF($O1215="","",INDEX('Kế hoạch'!$AK$6:$AK$305,$O1215))</f>
      </c>
    </row>
    <row r="1216">
      <c r="A1216" s="223">
        <f>IF($C1216="","",COUNTIF($C$6:$C1216,"?*"))</f>
      </c>
      <c r="B1216" s="217"/>
      <c r="C1216" s="216"/>
      <c r="D1216" s="240"/>
      <c r="E1216" s="218"/>
      <c r="F1216" s="218"/>
      <c r="G1216" s="218"/>
      <c r="H1216" s="219"/>
      <c r="I1216" s="223">
        <f>IF($C1216="","",IF(ISNUMBER(MATCH($C1216,'Phản ánh'!$A$6:$A$505,0)),"Phản ánh",IF(ISNUMBER(MATCH($C1216,'Kế hoạch'!$A$6:$A$305,0)),"Công việc","Mã chưa có")))</f>
      </c>
      <c r="J1216" s="221">
        <f>IF($I1216="Phản ánh",INDEX('Phản ánh'!$C$6:$C$505,MATCH($C1216,'Phản ánh'!$A$6:$A$505,0)),IF($I1216="Công việc",INDEX('Kế hoạch'!$C$6:$C$305,$O1216),""))</f>
      </c>
      <c r="K1216" s="221">
        <f>IF($I1216="Phản ánh",INDEX('Phản ánh'!$K$6:$K$505,MATCH($C1216,'Phản ánh'!$A$6:$A$505,0))&amp;"",IF($I1216="Công việc",INDEX('Kế hoạch'!$N$6:$N$305,$O1216)&amp;"",""))</f>
      </c>
      <c r="L1216" s="220">
        <f>IF(OR($C1216="",N($B1216)=0),"",IF(AND($I1216="Phản ánh",$E1216="Đã xử lý"),INDEX('Phản ánh'!$U$6:$U$505,MATCH($C1216,'Phản ánh'!$A$6:$A$505,0)),IF(AND($I1216="Công việc",OR($E1216="Hoàn thành",$E1216="Hoàn thành kỳ")),IF(INDEX('Kế hoạch'!$B$6:$B$305,$O1216)="Đột xuất",INDEX('Kế hoạch'!$AY$6:$AY$305,$O1216),IF(N($P1216)=0,"",IF(INT($B1216)&lt;$P1216,$P1216,IF($Q1216&gt;0,$P1216+ROUND((INT($B1216)-$P1216)/$Q1216,0)*$Q1216,IF($R1216&gt;0,EDATE($P1216,ROUND((DATEDIF($P1216,INT($B1216),"m")+(INT($B1216)-EDATE($P1216,DATEDIF($P1216,INT($B1216),"m")))/(EDATE($P1216,DATEDIF($P1216,INT($B1216),"m")+1)-EDATE($P1216,DATEDIF($P1216,INT($B1216),"m"))))/$R1216,0)*$R1216),$P1216))))),"")))</f>
      </c>
      <c r="M1216" s="223">
        <f>IF(OR($C1216="",N($L1216)=0,N($B1216)=0),"",IF(IF(MOD($L1216,1)=0,INT($B1216),$B1216)&lt;=$L1216,"Đúng hạn","Trễ hạn"))</f>
      </c>
      <c r="N1216" s="225">
        <f>IF($C1216="","",ROW())</f>
      </c>
      <c r="O1216" s="225">
        <f>IF($I1216="Công việc",MATCH($C1216,'Kế hoạch'!$A$6:$A$305,0),"")</f>
      </c>
      <c r="P1216" s="234">
        <f>IF($O1216="","",INDEX('Kế hoạch'!$I$6:$I$305,$O1216))</f>
      </c>
      <c r="Q1216" s="225">
        <f>IF($O1216="","",INDEX('Kế hoạch'!$AJ$6:$AJ$305,$O1216))</f>
      </c>
      <c r="R1216" s="225">
        <f>IF($O1216="","",INDEX('Kế hoạch'!$AK$6:$AK$305,$O1216))</f>
      </c>
    </row>
    <row r="1217">
      <c r="A1217" s="223">
        <f>IF($C1217="","",COUNTIF($C$6:$C1217,"?*"))</f>
      </c>
      <c r="B1217" s="217"/>
      <c r="C1217" s="216"/>
      <c r="D1217" s="240"/>
      <c r="E1217" s="218"/>
      <c r="F1217" s="218"/>
      <c r="G1217" s="218"/>
      <c r="H1217" s="219"/>
      <c r="I1217" s="223">
        <f>IF($C1217="","",IF(ISNUMBER(MATCH($C1217,'Phản ánh'!$A$6:$A$505,0)),"Phản ánh",IF(ISNUMBER(MATCH($C1217,'Kế hoạch'!$A$6:$A$305,0)),"Công việc","Mã chưa có")))</f>
      </c>
      <c r="J1217" s="221">
        <f>IF($I1217="Phản ánh",INDEX('Phản ánh'!$C$6:$C$505,MATCH($C1217,'Phản ánh'!$A$6:$A$505,0)),IF($I1217="Công việc",INDEX('Kế hoạch'!$C$6:$C$305,$O1217),""))</f>
      </c>
      <c r="K1217" s="221">
        <f>IF($I1217="Phản ánh",INDEX('Phản ánh'!$K$6:$K$505,MATCH($C1217,'Phản ánh'!$A$6:$A$505,0))&amp;"",IF($I1217="Công việc",INDEX('Kế hoạch'!$N$6:$N$305,$O1217)&amp;"",""))</f>
      </c>
      <c r="L1217" s="220">
        <f>IF(OR($C1217="",N($B1217)=0),"",IF(AND($I1217="Phản ánh",$E1217="Đã xử lý"),INDEX('Phản ánh'!$U$6:$U$505,MATCH($C1217,'Phản ánh'!$A$6:$A$505,0)),IF(AND($I1217="Công việc",OR($E1217="Hoàn thành",$E1217="Hoàn thành kỳ")),IF(INDEX('Kế hoạch'!$B$6:$B$305,$O1217)="Đột xuất",INDEX('Kế hoạch'!$AY$6:$AY$305,$O1217),IF(N($P1217)=0,"",IF(INT($B1217)&lt;$P1217,$P1217,IF($Q1217&gt;0,$P1217+ROUND((INT($B1217)-$P1217)/$Q1217,0)*$Q1217,IF($R1217&gt;0,EDATE($P1217,ROUND((DATEDIF($P1217,INT($B1217),"m")+(INT($B1217)-EDATE($P1217,DATEDIF($P1217,INT($B1217),"m")))/(EDATE($P1217,DATEDIF($P1217,INT($B1217),"m")+1)-EDATE($P1217,DATEDIF($P1217,INT($B1217),"m"))))/$R1217,0)*$R1217),$P1217))))),"")))</f>
      </c>
      <c r="M1217" s="223">
        <f>IF(OR($C1217="",N($L1217)=0,N($B1217)=0),"",IF(IF(MOD($L1217,1)=0,INT($B1217),$B1217)&lt;=$L1217,"Đúng hạn","Trễ hạn"))</f>
      </c>
      <c r="N1217" s="225">
        <f>IF($C1217="","",ROW())</f>
      </c>
      <c r="O1217" s="225">
        <f>IF($I1217="Công việc",MATCH($C1217,'Kế hoạch'!$A$6:$A$305,0),"")</f>
      </c>
      <c r="P1217" s="234">
        <f>IF($O1217="","",INDEX('Kế hoạch'!$I$6:$I$305,$O1217))</f>
      </c>
      <c r="Q1217" s="225">
        <f>IF($O1217="","",INDEX('Kế hoạch'!$AJ$6:$AJ$305,$O1217))</f>
      </c>
      <c r="R1217" s="225">
        <f>IF($O1217="","",INDEX('Kế hoạch'!$AK$6:$AK$305,$O1217))</f>
      </c>
    </row>
    <row r="1218">
      <c r="A1218" s="223">
        <f>IF($C1218="","",COUNTIF($C$6:$C1218,"?*"))</f>
      </c>
      <c r="B1218" s="217"/>
      <c r="C1218" s="216"/>
      <c r="D1218" s="240"/>
      <c r="E1218" s="218"/>
      <c r="F1218" s="218"/>
      <c r="G1218" s="218"/>
      <c r="H1218" s="219"/>
      <c r="I1218" s="223">
        <f>IF($C1218="","",IF(ISNUMBER(MATCH($C1218,'Phản ánh'!$A$6:$A$505,0)),"Phản ánh",IF(ISNUMBER(MATCH($C1218,'Kế hoạch'!$A$6:$A$305,0)),"Công việc","Mã chưa có")))</f>
      </c>
      <c r="J1218" s="221">
        <f>IF($I1218="Phản ánh",INDEX('Phản ánh'!$C$6:$C$505,MATCH($C1218,'Phản ánh'!$A$6:$A$505,0)),IF($I1218="Công việc",INDEX('Kế hoạch'!$C$6:$C$305,$O1218),""))</f>
      </c>
      <c r="K1218" s="221">
        <f>IF($I1218="Phản ánh",INDEX('Phản ánh'!$K$6:$K$505,MATCH($C1218,'Phản ánh'!$A$6:$A$505,0))&amp;"",IF($I1218="Công việc",INDEX('Kế hoạch'!$N$6:$N$305,$O1218)&amp;"",""))</f>
      </c>
      <c r="L1218" s="220">
        <f>IF(OR($C1218="",N($B1218)=0),"",IF(AND($I1218="Phản ánh",$E1218="Đã xử lý"),INDEX('Phản ánh'!$U$6:$U$505,MATCH($C1218,'Phản ánh'!$A$6:$A$505,0)),IF(AND($I1218="Công việc",OR($E1218="Hoàn thành",$E1218="Hoàn thành kỳ")),IF(INDEX('Kế hoạch'!$B$6:$B$305,$O1218)="Đột xuất",INDEX('Kế hoạch'!$AY$6:$AY$305,$O1218),IF(N($P1218)=0,"",IF(INT($B1218)&lt;$P1218,$P1218,IF($Q1218&gt;0,$P1218+ROUND((INT($B1218)-$P1218)/$Q1218,0)*$Q1218,IF($R1218&gt;0,EDATE($P1218,ROUND((DATEDIF($P1218,INT($B1218),"m")+(INT($B1218)-EDATE($P1218,DATEDIF($P1218,INT($B1218),"m")))/(EDATE($P1218,DATEDIF($P1218,INT($B1218),"m")+1)-EDATE($P1218,DATEDIF($P1218,INT($B1218),"m"))))/$R1218,0)*$R1218),$P1218))))),"")))</f>
      </c>
      <c r="M1218" s="223">
        <f>IF(OR($C1218="",N($L1218)=0,N($B1218)=0),"",IF(IF(MOD($L1218,1)=0,INT($B1218),$B1218)&lt;=$L1218,"Đúng hạn","Trễ hạn"))</f>
      </c>
      <c r="N1218" s="225">
        <f>IF($C1218="","",ROW())</f>
      </c>
      <c r="O1218" s="225">
        <f>IF($I1218="Công việc",MATCH($C1218,'Kế hoạch'!$A$6:$A$305,0),"")</f>
      </c>
      <c r="P1218" s="234">
        <f>IF($O1218="","",INDEX('Kế hoạch'!$I$6:$I$305,$O1218))</f>
      </c>
      <c r="Q1218" s="225">
        <f>IF($O1218="","",INDEX('Kế hoạch'!$AJ$6:$AJ$305,$O1218))</f>
      </c>
      <c r="R1218" s="225">
        <f>IF($O1218="","",INDEX('Kế hoạch'!$AK$6:$AK$305,$O1218))</f>
      </c>
    </row>
    <row r="1219">
      <c r="A1219" s="223">
        <f>IF($C1219="","",COUNTIF($C$6:$C1219,"?*"))</f>
      </c>
      <c r="B1219" s="217"/>
      <c r="C1219" s="216"/>
      <c r="D1219" s="240"/>
      <c r="E1219" s="218"/>
      <c r="F1219" s="218"/>
      <c r="G1219" s="218"/>
      <c r="H1219" s="219"/>
      <c r="I1219" s="223">
        <f>IF($C1219="","",IF(ISNUMBER(MATCH($C1219,'Phản ánh'!$A$6:$A$505,0)),"Phản ánh",IF(ISNUMBER(MATCH($C1219,'Kế hoạch'!$A$6:$A$305,0)),"Công việc","Mã chưa có")))</f>
      </c>
      <c r="J1219" s="221">
        <f>IF($I1219="Phản ánh",INDEX('Phản ánh'!$C$6:$C$505,MATCH($C1219,'Phản ánh'!$A$6:$A$505,0)),IF($I1219="Công việc",INDEX('Kế hoạch'!$C$6:$C$305,$O1219),""))</f>
      </c>
      <c r="K1219" s="221">
        <f>IF($I1219="Phản ánh",INDEX('Phản ánh'!$K$6:$K$505,MATCH($C1219,'Phản ánh'!$A$6:$A$505,0))&amp;"",IF($I1219="Công việc",INDEX('Kế hoạch'!$N$6:$N$305,$O1219)&amp;"",""))</f>
      </c>
      <c r="L1219" s="220">
        <f>IF(OR($C1219="",N($B1219)=0),"",IF(AND($I1219="Phản ánh",$E1219="Đã xử lý"),INDEX('Phản ánh'!$U$6:$U$505,MATCH($C1219,'Phản ánh'!$A$6:$A$505,0)),IF(AND($I1219="Công việc",OR($E1219="Hoàn thành",$E1219="Hoàn thành kỳ")),IF(INDEX('Kế hoạch'!$B$6:$B$305,$O1219)="Đột xuất",INDEX('Kế hoạch'!$AY$6:$AY$305,$O1219),IF(N($P1219)=0,"",IF(INT($B1219)&lt;$P1219,$P1219,IF($Q1219&gt;0,$P1219+ROUND((INT($B1219)-$P1219)/$Q1219,0)*$Q1219,IF($R1219&gt;0,EDATE($P1219,ROUND((DATEDIF($P1219,INT($B1219),"m")+(INT($B1219)-EDATE($P1219,DATEDIF($P1219,INT($B1219),"m")))/(EDATE($P1219,DATEDIF($P1219,INT($B1219),"m")+1)-EDATE($P1219,DATEDIF($P1219,INT($B1219),"m"))))/$R1219,0)*$R1219),$P1219))))),"")))</f>
      </c>
      <c r="M1219" s="223">
        <f>IF(OR($C1219="",N($L1219)=0,N($B1219)=0),"",IF(IF(MOD($L1219,1)=0,INT($B1219),$B1219)&lt;=$L1219,"Đúng hạn","Trễ hạn"))</f>
      </c>
      <c r="N1219" s="225">
        <f>IF($C1219="","",ROW())</f>
      </c>
      <c r="O1219" s="225">
        <f>IF($I1219="Công việc",MATCH($C1219,'Kế hoạch'!$A$6:$A$305,0),"")</f>
      </c>
      <c r="P1219" s="234">
        <f>IF($O1219="","",INDEX('Kế hoạch'!$I$6:$I$305,$O1219))</f>
      </c>
      <c r="Q1219" s="225">
        <f>IF($O1219="","",INDEX('Kế hoạch'!$AJ$6:$AJ$305,$O1219))</f>
      </c>
      <c r="R1219" s="225">
        <f>IF($O1219="","",INDEX('Kế hoạch'!$AK$6:$AK$305,$O1219))</f>
      </c>
    </row>
    <row r="1220">
      <c r="A1220" s="223">
        <f>IF($C1220="","",COUNTIF($C$6:$C1220,"?*"))</f>
      </c>
      <c r="B1220" s="217"/>
      <c r="C1220" s="216"/>
      <c r="D1220" s="240"/>
      <c r="E1220" s="218"/>
      <c r="F1220" s="218"/>
      <c r="G1220" s="218"/>
      <c r="H1220" s="219"/>
      <c r="I1220" s="223">
        <f>IF($C1220="","",IF(ISNUMBER(MATCH($C1220,'Phản ánh'!$A$6:$A$505,0)),"Phản ánh",IF(ISNUMBER(MATCH($C1220,'Kế hoạch'!$A$6:$A$305,0)),"Công việc","Mã chưa có")))</f>
      </c>
      <c r="J1220" s="221">
        <f>IF($I1220="Phản ánh",INDEX('Phản ánh'!$C$6:$C$505,MATCH($C1220,'Phản ánh'!$A$6:$A$505,0)),IF($I1220="Công việc",INDEX('Kế hoạch'!$C$6:$C$305,$O1220),""))</f>
      </c>
      <c r="K1220" s="221">
        <f>IF($I1220="Phản ánh",INDEX('Phản ánh'!$K$6:$K$505,MATCH($C1220,'Phản ánh'!$A$6:$A$505,0))&amp;"",IF($I1220="Công việc",INDEX('Kế hoạch'!$N$6:$N$305,$O1220)&amp;"",""))</f>
      </c>
      <c r="L1220" s="220">
        <f>IF(OR($C1220="",N($B1220)=0),"",IF(AND($I1220="Phản ánh",$E1220="Đã xử lý"),INDEX('Phản ánh'!$U$6:$U$505,MATCH($C1220,'Phản ánh'!$A$6:$A$505,0)),IF(AND($I1220="Công việc",OR($E1220="Hoàn thành",$E1220="Hoàn thành kỳ")),IF(INDEX('Kế hoạch'!$B$6:$B$305,$O1220)="Đột xuất",INDEX('Kế hoạch'!$AY$6:$AY$305,$O1220),IF(N($P1220)=0,"",IF(INT($B1220)&lt;$P1220,$P1220,IF($Q1220&gt;0,$P1220+ROUND((INT($B1220)-$P1220)/$Q1220,0)*$Q1220,IF($R1220&gt;0,EDATE($P1220,ROUND((DATEDIF($P1220,INT($B1220),"m")+(INT($B1220)-EDATE($P1220,DATEDIF($P1220,INT($B1220),"m")))/(EDATE($P1220,DATEDIF($P1220,INT($B1220),"m")+1)-EDATE($P1220,DATEDIF($P1220,INT($B1220),"m"))))/$R1220,0)*$R1220),$P1220))))),"")))</f>
      </c>
      <c r="M1220" s="223">
        <f>IF(OR($C1220="",N($L1220)=0,N($B1220)=0),"",IF(IF(MOD($L1220,1)=0,INT($B1220),$B1220)&lt;=$L1220,"Đúng hạn","Trễ hạn"))</f>
      </c>
      <c r="N1220" s="225">
        <f>IF($C1220="","",ROW())</f>
      </c>
      <c r="O1220" s="225">
        <f>IF($I1220="Công việc",MATCH($C1220,'Kế hoạch'!$A$6:$A$305,0),"")</f>
      </c>
      <c r="P1220" s="234">
        <f>IF($O1220="","",INDEX('Kế hoạch'!$I$6:$I$305,$O1220))</f>
      </c>
      <c r="Q1220" s="225">
        <f>IF($O1220="","",INDEX('Kế hoạch'!$AJ$6:$AJ$305,$O1220))</f>
      </c>
      <c r="R1220" s="225">
        <f>IF($O1220="","",INDEX('Kế hoạch'!$AK$6:$AK$305,$O1220))</f>
      </c>
    </row>
    <row r="1221">
      <c r="A1221" s="223">
        <f>IF($C1221="","",COUNTIF($C$6:$C1221,"?*"))</f>
      </c>
      <c r="B1221" s="217"/>
      <c r="C1221" s="216"/>
      <c r="D1221" s="240"/>
      <c r="E1221" s="218"/>
      <c r="F1221" s="218"/>
      <c r="G1221" s="218"/>
      <c r="H1221" s="219"/>
      <c r="I1221" s="223">
        <f>IF($C1221="","",IF(ISNUMBER(MATCH($C1221,'Phản ánh'!$A$6:$A$505,0)),"Phản ánh",IF(ISNUMBER(MATCH($C1221,'Kế hoạch'!$A$6:$A$305,0)),"Công việc","Mã chưa có")))</f>
      </c>
      <c r="J1221" s="221">
        <f>IF($I1221="Phản ánh",INDEX('Phản ánh'!$C$6:$C$505,MATCH($C1221,'Phản ánh'!$A$6:$A$505,0)),IF($I1221="Công việc",INDEX('Kế hoạch'!$C$6:$C$305,$O1221),""))</f>
      </c>
      <c r="K1221" s="221">
        <f>IF($I1221="Phản ánh",INDEX('Phản ánh'!$K$6:$K$505,MATCH($C1221,'Phản ánh'!$A$6:$A$505,0))&amp;"",IF($I1221="Công việc",INDEX('Kế hoạch'!$N$6:$N$305,$O1221)&amp;"",""))</f>
      </c>
      <c r="L1221" s="220">
        <f>IF(OR($C1221="",N($B1221)=0),"",IF(AND($I1221="Phản ánh",$E1221="Đã xử lý"),INDEX('Phản ánh'!$U$6:$U$505,MATCH($C1221,'Phản ánh'!$A$6:$A$505,0)),IF(AND($I1221="Công việc",OR($E1221="Hoàn thành",$E1221="Hoàn thành kỳ")),IF(INDEX('Kế hoạch'!$B$6:$B$305,$O1221)="Đột xuất",INDEX('Kế hoạch'!$AY$6:$AY$305,$O1221),IF(N($P1221)=0,"",IF(INT($B1221)&lt;$P1221,$P1221,IF($Q1221&gt;0,$P1221+ROUND((INT($B1221)-$P1221)/$Q1221,0)*$Q1221,IF($R1221&gt;0,EDATE($P1221,ROUND((DATEDIF($P1221,INT($B1221),"m")+(INT($B1221)-EDATE($P1221,DATEDIF($P1221,INT($B1221),"m")))/(EDATE($P1221,DATEDIF($P1221,INT($B1221),"m")+1)-EDATE($P1221,DATEDIF($P1221,INT($B1221),"m"))))/$R1221,0)*$R1221),$P1221))))),"")))</f>
      </c>
      <c r="M1221" s="223">
        <f>IF(OR($C1221="",N($L1221)=0,N($B1221)=0),"",IF(IF(MOD($L1221,1)=0,INT($B1221),$B1221)&lt;=$L1221,"Đúng hạn","Trễ hạn"))</f>
      </c>
      <c r="N1221" s="225">
        <f>IF($C1221="","",ROW())</f>
      </c>
      <c r="O1221" s="225">
        <f>IF($I1221="Công việc",MATCH($C1221,'Kế hoạch'!$A$6:$A$305,0),"")</f>
      </c>
      <c r="P1221" s="234">
        <f>IF($O1221="","",INDEX('Kế hoạch'!$I$6:$I$305,$O1221))</f>
      </c>
      <c r="Q1221" s="225">
        <f>IF($O1221="","",INDEX('Kế hoạch'!$AJ$6:$AJ$305,$O1221))</f>
      </c>
      <c r="R1221" s="225">
        <f>IF($O1221="","",INDEX('Kế hoạch'!$AK$6:$AK$305,$O1221))</f>
      </c>
    </row>
    <row r="1222">
      <c r="A1222" s="223">
        <f>IF($C1222="","",COUNTIF($C$6:$C1222,"?*"))</f>
      </c>
      <c r="B1222" s="217"/>
      <c r="C1222" s="216"/>
      <c r="D1222" s="240"/>
      <c r="E1222" s="218"/>
      <c r="F1222" s="218"/>
      <c r="G1222" s="218"/>
      <c r="H1222" s="219"/>
      <c r="I1222" s="223">
        <f>IF($C1222="","",IF(ISNUMBER(MATCH($C1222,'Phản ánh'!$A$6:$A$505,0)),"Phản ánh",IF(ISNUMBER(MATCH($C1222,'Kế hoạch'!$A$6:$A$305,0)),"Công việc","Mã chưa có")))</f>
      </c>
      <c r="J1222" s="221">
        <f>IF($I1222="Phản ánh",INDEX('Phản ánh'!$C$6:$C$505,MATCH($C1222,'Phản ánh'!$A$6:$A$505,0)),IF($I1222="Công việc",INDEX('Kế hoạch'!$C$6:$C$305,$O1222),""))</f>
      </c>
      <c r="K1222" s="221">
        <f>IF($I1222="Phản ánh",INDEX('Phản ánh'!$K$6:$K$505,MATCH($C1222,'Phản ánh'!$A$6:$A$505,0))&amp;"",IF($I1222="Công việc",INDEX('Kế hoạch'!$N$6:$N$305,$O1222)&amp;"",""))</f>
      </c>
      <c r="L1222" s="220">
        <f>IF(OR($C1222="",N($B1222)=0),"",IF(AND($I1222="Phản ánh",$E1222="Đã xử lý"),INDEX('Phản ánh'!$U$6:$U$505,MATCH($C1222,'Phản ánh'!$A$6:$A$505,0)),IF(AND($I1222="Công việc",OR($E1222="Hoàn thành",$E1222="Hoàn thành kỳ")),IF(INDEX('Kế hoạch'!$B$6:$B$305,$O1222)="Đột xuất",INDEX('Kế hoạch'!$AY$6:$AY$305,$O1222),IF(N($P1222)=0,"",IF(INT($B1222)&lt;$P1222,$P1222,IF($Q1222&gt;0,$P1222+ROUND((INT($B1222)-$P1222)/$Q1222,0)*$Q1222,IF($R1222&gt;0,EDATE($P1222,ROUND((DATEDIF($P1222,INT($B1222),"m")+(INT($B1222)-EDATE($P1222,DATEDIF($P1222,INT($B1222),"m")))/(EDATE($P1222,DATEDIF($P1222,INT($B1222),"m")+1)-EDATE($P1222,DATEDIF($P1222,INT($B1222),"m"))))/$R1222,0)*$R1222),$P1222))))),"")))</f>
      </c>
      <c r="M1222" s="223">
        <f>IF(OR($C1222="",N($L1222)=0,N($B1222)=0),"",IF(IF(MOD($L1222,1)=0,INT($B1222),$B1222)&lt;=$L1222,"Đúng hạn","Trễ hạn"))</f>
      </c>
      <c r="N1222" s="225">
        <f>IF($C1222="","",ROW())</f>
      </c>
      <c r="O1222" s="225">
        <f>IF($I1222="Công việc",MATCH($C1222,'Kế hoạch'!$A$6:$A$305,0),"")</f>
      </c>
      <c r="P1222" s="234">
        <f>IF($O1222="","",INDEX('Kế hoạch'!$I$6:$I$305,$O1222))</f>
      </c>
      <c r="Q1222" s="225">
        <f>IF($O1222="","",INDEX('Kế hoạch'!$AJ$6:$AJ$305,$O1222))</f>
      </c>
      <c r="R1222" s="225">
        <f>IF($O1222="","",INDEX('Kế hoạch'!$AK$6:$AK$305,$O1222))</f>
      </c>
    </row>
    <row r="1223">
      <c r="A1223" s="223">
        <f>IF($C1223="","",COUNTIF($C$6:$C1223,"?*"))</f>
      </c>
      <c r="B1223" s="217"/>
      <c r="C1223" s="216"/>
      <c r="D1223" s="240"/>
      <c r="E1223" s="218"/>
      <c r="F1223" s="218"/>
      <c r="G1223" s="218"/>
      <c r="H1223" s="219"/>
      <c r="I1223" s="223">
        <f>IF($C1223="","",IF(ISNUMBER(MATCH($C1223,'Phản ánh'!$A$6:$A$505,0)),"Phản ánh",IF(ISNUMBER(MATCH($C1223,'Kế hoạch'!$A$6:$A$305,0)),"Công việc","Mã chưa có")))</f>
      </c>
      <c r="J1223" s="221">
        <f>IF($I1223="Phản ánh",INDEX('Phản ánh'!$C$6:$C$505,MATCH($C1223,'Phản ánh'!$A$6:$A$505,0)),IF($I1223="Công việc",INDEX('Kế hoạch'!$C$6:$C$305,$O1223),""))</f>
      </c>
      <c r="K1223" s="221">
        <f>IF($I1223="Phản ánh",INDEX('Phản ánh'!$K$6:$K$505,MATCH($C1223,'Phản ánh'!$A$6:$A$505,0))&amp;"",IF($I1223="Công việc",INDEX('Kế hoạch'!$N$6:$N$305,$O1223)&amp;"",""))</f>
      </c>
      <c r="L1223" s="220">
        <f>IF(OR($C1223="",N($B1223)=0),"",IF(AND($I1223="Phản ánh",$E1223="Đã xử lý"),INDEX('Phản ánh'!$U$6:$U$505,MATCH($C1223,'Phản ánh'!$A$6:$A$505,0)),IF(AND($I1223="Công việc",OR($E1223="Hoàn thành",$E1223="Hoàn thành kỳ")),IF(INDEX('Kế hoạch'!$B$6:$B$305,$O1223)="Đột xuất",INDEX('Kế hoạch'!$AY$6:$AY$305,$O1223),IF(N($P1223)=0,"",IF(INT($B1223)&lt;$P1223,$P1223,IF($Q1223&gt;0,$P1223+ROUND((INT($B1223)-$P1223)/$Q1223,0)*$Q1223,IF($R1223&gt;0,EDATE($P1223,ROUND((DATEDIF($P1223,INT($B1223),"m")+(INT($B1223)-EDATE($P1223,DATEDIF($P1223,INT($B1223),"m")))/(EDATE($P1223,DATEDIF($P1223,INT($B1223),"m")+1)-EDATE($P1223,DATEDIF($P1223,INT($B1223),"m"))))/$R1223,0)*$R1223),$P1223))))),"")))</f>
      </c>
      <c r="M1223" s="223">
        <f>IF(OR($C1223="",N($L1223)=0,N($B1223)=0),"",IF(IF(MOD($L1223,1)=0,INT($B1223),$B1223)&lt;=$L1223,"Đúng hạn","Trễ hạn"))</f>
      </c>
      <c r="N1223" s="225">
        <f>IF($C1223="","",ROW())</f>
      </c>
      <c r="O1223" s="225">
        <f>IF($I1223="Công việc",MATCH($C1223,'Kế hoạch'!$A$6:$A$305,0),"")</f>
      </c>
      <c r="P1223" s="234">
        <f>IF($O1223="","",INDEX('Kế hoạch'!$I$6:$I$305,$O1223))</f>
      </c>
      <c r="Q1223" s="225">
        <f>IF($O1223="","",INDEX('Kế hoạch'!$AJ$6:$AJ$305,$O1223))</f>
      </c>
      <c r="R1223" s="225">
        <f>IF($O1223="","",INDEX('Kế hoạch'!$AK$6:$AK$305,$O1223))</f>
      </c>
    </row>
    <row r="1224">
      <c r="A1224" s="223">
        <f>IF($C1224="","",COUNTIF($C$6:$C1224,"?*"))</f>
      </c>
      <c r="B1224" s="217"/>
      <c r="C1224" s="216"/>
      <c r="D1224" s="240"/>
      <c r="E1224" s="218"/>
      <c r="F1224" s="218"/>
      <c r="G1224" s="218"/>
      <c r="H1224" s="219"/>
      <c r="I1224" s="223">
        <f>IF($C1224="","",IF(ISNUMBER(MATCH($C1224,'Phản ánh'!$A$6:$A$505,0)),"Phản ánh",IF(ISNUMBER(MATCH($C1224,'Kế hoạch'!$A$6:$A$305,0)),"Công việc","Mã chưa có")))</f>
      </c>
      <c r="J1224" s="221">
        <f>IF($I1224="Phản ánh",INDEX('Phản ánh'!$C$6:$C$505,MATCH($C1224,'Phản ánh'!$A$6:$A$505,0)),IF($I1224="Công việc",INDEX('Kế hoạch'!$C$6:$C$305,$O1224),""))</f>
      </c>
      <c r="K1224" s="221">
        <f>IF($I1224="Phản ánh",INDEX('Phản ánh'!$K$6:$K$505,MATCH($C1224,'Phản ánh'!$A$6:$A$505,0))&amp;"",IF($I1224="Công việc",INDEX('Kế hoạch'!$N$6:$N$305,$O1224)&amp;"",""))</f>
      </c>
      <c r="L1224" s="220">
        <f>IF(OR($C1224="",N($B1224)=0),"",IF(AND($I1224="Phản ánh",$E1224="Đã xử lý"),INDEX('Phản ánh'!$U$6:$U$505,MATCH($C1224,'Phản ánh'!$A$6:$A$505,0)),IF(AND($I1224="Công việc",OR($E1224="Hoàn thành",$E1224="Hoàn thành kỳ")),IF(INDEX('Kế hoạch'!$B$6:$B$305,$O1224)="Đột xuất",INDEX('Kế hoạch'!$AY$6:$AY$305,$O1224),IF(N($P1224)=0,"",IF(INT($B1224)&lt;$P1224,$P1224,IF($Q1224&gt;0,$P1224+ROUND((INT($B1224)-$P1224)/$Q1224,0)*$Q1224,IF($R1224&gt;0,EDATE($P1224,ROUND((DATEDIF($P1224,INT($B1224),"m")+(INT($B1224)-EDATE($P1224,DATEDIF($P1224,INT($B1224),"m")))/(EDATE($P1224,DATEDIF($P1224,INT($B1224),"m")+1)-EDATE($P1224,DATEDIF($P1224,INT($B1224),"m"))))/$R1224,0)*$R1224),$P1224))))),"")))</f>
      </c>
      <c r="M1224" s="223">
        <f>IF(OR($C1224="",N($L1224)=0,N($B1224)=0),"",IF(IF(MOD($L1224,1)=0,INT($B1224),$B1224)&lt;=$L1224,"Đúng hạn","Trễ hạn"))</f>
      </c>
      <c r="N1224" s="225">
        <f>IF($C1224="","",ROW())</f>
      </c>
      <c r="O1224" s="225">
        <f>IF($I1224="Công việc",MATCH($C1224,'Kế hoạch'!$A$6:$A$305,0),"")</f>
      </c>
      <c r="P1224" s="234">
        <f>IF($O1224="","",INDEX('Kế hoạch'!$I$6:$I$305,$O1224))</f>
      </c>
      <c r="Q1224" s="225">
        <f>IF($O1224="","",INDEX('Kế hoạch'!$AJ$6:$AJ$305,$O1224))</f>
      </c>
      <c r="R1224" s="225">
        <f>IF($O1224="","",INDEX('Kế hoạch'!$AK$6:$AK$305,$O1224))</f>
      </c>
    </row>
    <row r="1225">
      <c r="A1225" s="223">
        <f>IF($C1225="","",COUNTIF($C$6:$C1225,"?*"))</f>
      </c>
      <c r="B1225" s="217"/>
      <c r="C1225" s="216"/>
      <c r="D1225" s="240"/>
      <c r="E1225" s="218"/>
      <c r="F1225" s="218"/>
      <c r="G1225" s="218"/>
      <c r="H1225" s="219"/>
      <c r="I1225" s="223">
        <f>IF($C1225="","",IF(ISNUMBER(MATCH($C1225,'Phản ánh'!$A$6:$A$505,0)),"Phản ánh",IF(ISNUMBER(MATCH($C1225,'Kế hoạch'!$A$6:$A$305,0)),"Công việc","Mã chưa có")))</f>
      </c>
      <c r="J1225" s="221">
        <f>IF($I1225="Phản ánh",INDEX('Phản ánh'!$C$6:$C$505,MATCH($C1225,'Phản ánh'!$A$6:$A$505,0)),IF($I1225="Công việc",INDEX('Kế hoạch'!$C$6:$C$305,$O1225),""))</f>
      </c>
      <c r="K1225" s="221">
        <f>IF($I1225="Phản ánh",INDEX('Phản ánh'!$K$6:$K$505,MATCH($C1225,'Phản ánh'!$A$6:$A$505,0))&amp;"",IF($I1225="Công việc",INDEX('Kế hoạch'!$N$6:$N$305,$O1225)&amp;"",""))</f>
      </c>
      <c r="L1225" s="220">
        <f>IF(OR($C1225="",N($B1225)=0),"",IF(AND($I1225="Phản ánh",$E1225="Đã xử lý"),INDEX('Phản ánh'!$U$6:$U$505,MATCH($C1225,'Phản ánh'!$A$6:$A$505,0)),IF(AND($I1225="Công việc",OR($E1225="Hoàn thành",$E1225="Hoàn thành kỳ")),IF(INDEX('Kế hoạch'!$B$6:$B$305,$O1225)="Đột xuất",INDEX('Kế hoạch'!$AY$6:$AY$305,$O1225),IF(N($P1225)=0,"",IF(INT($B1225)&lt;$P1225,$P1225,IF($Q1225&gt;0,$P1225+ROUND((INT($B1225)-$P1225)/$Q1225,0)*$Q1225,IF($R1225&gt;0,EDATE($P1225,ROUND((DATEDIF($P1225,INT($B1225),"m")+(INT($B1225)-EDATE($P1225,DATEDIF($P1225,INT($B1225),"m")))/(EDATE($P1225,DATEDIF($P1225,INT($B1225),"m")+1)-EDATE($P1225,DATEDIF($P1225,INT($B1225),"m"))))/$R1225,0)*$R1225),$P1225))))),"")))</f>
      </c>
      <c r="M1225" s="223">
        <f>IF(OR($C1225="",N($L1225)=0,N($B1225)=0),"",IF(IF(MOD($L1225,1)=0,INT($B1225),$B1225)&lt;=$L1225,"Đúng hạn","Trễ hạn"))</f>
      </c>
      <c r="N1225" s="225">
        <f>IF($C1225="","",ROW())</f>
      </c>
      <c r="O1225" s="225">
        <f>IF($I1225="Công việc",MATCH($C1225,'Kế hoạch'!$A$6:$A$305,0),"")</f>
      </c>
      <c r="P1225" s="234">
        <f>IF($O1225="","",INDEX('Kế hoạch'!$I$6:$I$305,$O1225))</f>
      </c>
      <c r="Q1225" s="225">
        <f>IF($O1225="","",INDEX('Kế hoạch'!$AJ$6:$AJ$305,$O1225))</f>
      </c>
      <c r="R1225" s="225">
        <f>IF($O1225="","",INDEX('Kế hoạch'!$AK$6:$AK$305,$O1225))</f>
      </c>
    </row>
    <row r="1226">
      <c r="A1226" s="223">
        <f>IF($C1226="","",COUNTIF($C$6:$C1226,"?*"))</f>
      </c>
      <c r="B1226" s="217"/>
      <c r="C1226" s="216"/>
      <c r="D1226" s="240"/>
      <c r="E1226" s="218"/>
      <c r="F1226" s="218"/>
      <c r="G1226" s="218"/>
      <c r="H1226" s="219"/>
      <c r="I1226" s="223">
        <f>IF($C1226="","",IF(ISNUMBER(MATCH($C1226,'Phản ánh'!$A$6:$A$505,0)),"Phản ánh",IF(ISNUMBER(MATCH($C1226,'Kế hoạch'!$A$6:$A$305,0)),"Công việc","Mã chưa có")))</f>
      </c>
      <c r="J1226" s="221">
        <f>IF($I1226="Phản ánh",INDEX('Phản ánh'!$C$6:$C$505,MATCH($C1226,'Phản ánh'!$A$6:$A$505,0)),IF($I1226="Công việc",INDEX('Kế hoạch'!$C$6:$C$305,$O1226),""))</f>
      </c>
      <c r="K1226" s="221">
        <f>IF($I1226="Phản ánh",INDEX('Phản ánh'!$K$6:$K$505,MATCH($C1226,'Phản ánh'!$A$6:$A$505,0))&amp;"",IF($I1226="Công việc",INDEX('Kế hoạch'!$N$6:$N$305,$O1226)&amp;"",""))</f>
      </c>
      <c r="L1226" s="220">
        <f>IF(OR($C1226="",N($B1226)=0),"",IF(AND($I1226="Phản ánh",$E1226="Đã xử lý"),INDEX('Phản ánh'!$U$6:$U$505,MATCH($C1226,'Phản ánh'!$A$6:$A$505,0)),IF(AND($I1226="Công việc",OR($E1226="Hoàn thành",$E1226="Hoàn thành kỳ")),IF(INDEX('Kế hoạch'!$B$6:$B$305,$O1226)="Đột xuất",INDEX('Kế hoạch'!$AY$6:$AY$305,$O1226),IF(N($P1226)=0,"",IF(INT($B1226)&lt;$P1226,$P1226,IF($Q1226&gt;0,$P1226+ROUND((INT($B1226)-$P1226)/$Q1226,0)*$Q1226,IF($R1226&gt;0,EDATE($P1226,ROUND((DATEDIF($P1226,INT($B1226),"m")+(INT($B1226)-EDATE($P1226,DATEDIF($P1226,INT($B1226),"m")))/(EDATE($P1226,DATEDIF($P1226,INT($B1226),"m")+1)-EDATE($P1226,DATEDIF($P1226,INT($B1226),"m"))))/$R1226,0)*$R1226),$P1226))))),"")))</f>
      </c>
      <c r="M1226" s="223">
        <f>IF(OR($C1226="",N($L1226)=0,N($B1226)=0),"",IF(IF(MOD($L1226,1)=0,INT($B1226),$B1226)&lt;=$L1226,"Đúng hạn","Trễ hạn"))</f>
      </c>
      <c r="N1226" s="225">
        <f>IF($C1226="","",ROW())</f>
      </c>
      <c r="O1226" s="225">
        <f>IF($I1226="Công việc",MATCH($C1226,'Kế hoạch'!$A$6:$A$305,0),"")</f>
      </c>
      <c r="P1226" s="234">
        <f>IF($O1226="","",INDEX('Kế hoạch'!$I$6:$I$305,$O1226))</f>
      </c>
      <c r="Q1226" s="225">
        <f>IF($O1226="","",INDEX('Kế hoạch'!$AJ$6:$AJ$305,$O1226))</f>
      </c>
      <c r="R1226" s="225">
        <f>IF($O1226="","",INDEX('Kế hoạch'!$AK$6:$AK$305,$O1226))</f>
      </c>
    </row>
    <row r="1227">
      <c r="A1227" s="223">
        <f>IF($C1227="","",COUNTIF($C$6:$C1227,"?*"))</f>
      </c>
      <c r="B1227" s="217"/>
      <c r="C1227" s="216"/>
      <c r="D1227" s="240"/>
      <c r="E1227" s="218"/>
      <c r="F1227" s="218"/>
      <c r="G1227" s="218"/>
      <c r="H1227" s="219"/>
      <c r="I1227" s="223">
        <f>IF($C1227="","",IF(ISNUMBER(MATCH($C1227,'Phản ánh'!$A$6:$A$505,0)),"Phản ánh",IF(ISNUMBER(MATCH($C1227,'Kế hoạch'!$A$6:$A$305,0)),"Công việc","Mã chưa có")))</f>
      </c>
      <c r="J1227" s="221">
        <f>IF($I1227="Phản ánh",INDEX('Phản ánh'!$C$6:$C$505,MATCH($C1227,'Phản ánh'!$A$6:$A$505,0)),IF($I1227="Công việc",INDEX('Kế hoạch'!$C$6:$C$305,$O1227),""))</f>
      </c>
      <c r="K1227" s="221">
        <f>IF($I1227="Phản ánh",INDEX('Phản ánh'!$K$6:$K$505,MATCH($C1227,'Phản ánh'!$A$6:$A$505,0))&amp;"",IF($I1227="Công việc",INDEX('Kế hoạch'!$N$6:$N$305,$O1227)&amp;"",""))</f>
      </c>
      <c r="L1227" s="220">
        <f>IF(OR($C1227="",N($B1227)=0),"",IF(AND($I1227="Phản ánh",$E1227="Đã xử lý"),INDEX('Phản ánh'!$U$6:$U$505,MATCH($C1227,'Phản ánh'!$A$6:$A$505,0)),IF(AND($I1227="Công việc",OR($E1227="Hoàn thành",$E1227="Hoàn thành kỳ")),IF(INDEX('Kế hoạch'!$B$6:$B$305,$O1227)="Đột xuất",INDEX('Kế hoạch'!$AY$6:$AY$305,$O1227),IF(N($P1227)=0,"",IF(INT($B1227)&lt;$P1227,$P1227,IF($Q1227&gt;0,$P1227+ROUND((INT($B1227)-$P1227)/$Q1227,0)*$Q1227,IF($R1227&gt;0,EDATE($P1227,ROUND((DATEDIF($P1227,INT($B1227),"m")+(INT($B1227)-EDATE($P1227,DATEDIF($P1227,INT($B1227),"m")))/(EDATE($P1227,DATEDIF($P1227,INT($B1227),"m")+1)-EDATE($P1227,DATEDIF($P1227,INT($B1227),"m"))))/$R1227,0)*$R1227),$P1227))))),"")))</f>
      </c>
      <c r="M1227" s="223">
        <f>IF(OR($C1227="",N($L1227)=0,N($B1227)=0),"",IF(IF(MOD($L1227,1)=0,INT($B1227),$B1227)&lt;=$L1227,"Đúng hạn","Trễ hạn"))</f>
      </c>
      <c r="N1227" s="225">
        <f>IF($C1227="","",ROW())</f>
      </c>
      <c r="O1227" s="225">
        <f>IF($I1227="Công việc",MATCH($C1227,'Kế hoạch'!$A$6:$A$305,0),"")</f>
      </c>
      <c r="P1227" s="234">
        <f>IF($O1227="","",INDEX('Kế hoạch'!$I$6:$I$305,$O1227))</f>
      </c>
      <c r="Q1227" s="225">
        <f>IF($O1227="","",INDEX('Kế hoạch'!$AJ$6:$AJ$305,$O1227))</f>
      </c>
      <c r="R1227" s="225">
        <f>IF($O1227="","",INDEX('Kế hoạch'!$AK$6:$AK$305,$O1227))</f>
      </c>
    </row>
    <row r="1228">
      <c r="A1228" s="223">
        <f>IF($C1228="","",COUNTIF($C$6:$C1228,"?*"))</f>
      </c>
      <c r="B1228" s="217"/>
      <c r="C1228" s="216"/>
      <c r="D1228" s="240"/>
      <c r="E1228" s="218"/>
      <c r="F1228" s="218"/>
      <c r="G1228" s="218"/>
      <c r="H1228" s="219"/>
      <c r="I1228" s="223">
        <f>IF($C1228="","",IF(ISNUMBER(MATCH($C1228,'Phản ánh'!$A$6:$A$505,0)),"Phản ánh",IF(ISNUMBER(MATCH($C1228,'Kế hoạch'!$A$6:$A$305,0)),"Công việc","Mã chưa có")))</f>
      </c>
      <c r="J1228" s="221">
        <f>IF($I1228="Phản ánh",INDEX('Phản ánh'!$C$6:$C$505,MATCH($C1228,'Phản ánh'!$A$6:$A$505,0)),IF($I1228="Công việc",INDEX('Kế hoạch'!$C$6:$C$305,$O1228),""))</f>
      </c>
      <c r="K1228" s="221">
        <f>IF($I1228="Phản ánh",INDEX('Phản ánh'!$K$6:$K$505,MATCH($C1228,'Phản ánh'!$A$6:$A$505,0))&amp;"",IF($I1228="Công việc",INDEX('Kế hoạch'!$N$6:$N$305,$O1228)&amp;"",""))</f>
      </c>
      <c r="L1228" s="220">
        <f>IF(OR($C1228="",N($B1228)=0),"",IF(AND($I1228="Phản ánh",$E1228="Đã xử lý"),INDEX('Phản ánh'!$U$6:$U$505,MATCH($C1228,'Phản ánh'!$A$6:$A$505,0)),IF(AND($I1228="Công việc",OR($E1228="Hoàn thành",$E1228="Hoàn thành kỳ")),IF(INDEX('Kế hoạch'!$B$6:$B$305,$O1228)="Đột xuất",INDEX('Kế hoạch'!$AY$6:$AY$305,$O1228),IF(N($P1228)=0,"",IF(INT($B1228)&lt;$P1228,$P1228,IF($Q1228&gt;0,$P1228+ROUND((INT($B1228)-$P1228)/$Q1228,0)*$Q1228,IF($R1228&gt;0,EDATE($P1228,ROUND((DATEDIF($P1228,INT($B1228),"m")+(INT($B1228)-EDATE($P1228,DATEDIF($P1228,INT($B1228),"m")))/(EDATE($P1228,DATEDIF($P1228,INT($B1228),"m")+1)-EDATE($P1228,DATEDIF($P1228,INT($B1228),"m"))))/$R1228,0)*$R1228),$P1228))))),"")))</f>
      </c>
      <c r="M1228" s="223">
        <f>IF(OR($C1228="",N($L1228)=0,N($B1228)=0),"",IF(IF(MOD($L1228,1)=0,INT($B1228),$B1228)&lt;=$L1228,"Đúng hạn","Trễ hạn"))</f>
      </c>
      <c r="N1228" s="225">
        <f>IF($C1228="","",ROW())</f>
      </c>
      <c r="O1228" s="225">
        <f>IF($I1228="Công việc",MATCH($C1228,'Kế hoạch'!$A$6:$A$305,0),"")</f>
      </c>
      <c r="P1228" s="234">
        <f>IF($O1228="","",INDEX('Kế hoạch'!$I$6:$I$305,$O1228))</f>
      </c>
      <c r="Q1228" s="225">
        <f>IF($O1228="","",INDEX('Kế hoạch'!$AJ$6:$AJ$305,$O1228))</f>
      </c>
      <c r="R1228" s="225">
        <f>IF($O1228="","",INDEX('Kế hoạch'!$AK$6:$AK$305,$O1228))</f>
      </c>
    </row>
    <row r="1229">
      <c r="A1229" s="223">
        <f>IF($C1229="","",COUNTIF($C$6:$C1229,"?*"))</f>
      </c>
      <c r="B1229" s="217"/>
      <c r="C1229" s="216"/>
      <c r="D1229" s="240"/>
      <c r="E1229" s="218"/>
      <c r="F1229" s="218"/>
      <c r="G1229" s="218"/>
      <c r="H1229" s="219"/>
      <c r="I1229" s="223">
        <f>IF($C1229="","",IF(ISNUMBER(MATCH($C1229,'Phản ánh'!$A$6:$A$505,0)),"Phản ánh",IF(ISNUMBER(MATCH($C1229,'Kế hoạch'!$A$6:$A$305,0)),"Công việc","Mã chưa có")))</f>
      </c>
      <c r="J1229" s="221">
        <f>IF($I1229="Phản ánh",INDEX('Phản ánh'!$C$6:$C$505,MATCH($C1229,'Phản ánh'!$A$6:$A$505,0)),IF($I1229="Công việc",INDEX('Kế hoạch'!$C$6:$C$305,$O1229),""))</f>
      </c>
      <c r="K1229" s="221">
        <f>IF($I1229="Phản ánh",INDEX('Phản ánh'!$K$6:$K$505,MATCH($C1229,'Phản ánh'!$A$6:$A$505,0))&amp;"",IF($I1229="Công việc",INDEX('Kế hoạch'!$N$6:$N$305,$O1229)&amp;"",""))</f>
      </c>
      <c r="L1229" s="220">
        <f>IF(OR($C1229="",N($B1229)=0),"",IF(AND($I1229="Phản ánh",$E1229="Đã xử lý"),INDEX('Phản ánh'!$U$6:$U$505,MATCH($C1229,'Phản ánh'!$A$6:$A$505,0)),IF(AND($I1229="Công việc",OR($E1229="Hoàn thành",$E1229="Hoàn thành kỳ")),IF(INDEX('Kế hoạch'!$B$6:$B$305,$O1229)="Đột xuất",INDEX('Kế hoạch'!$AY$6:$AY$305,$O1229),IF(N($P1229)=0,"",IF(INT($B1229)&lt;$P1229,$P1229,IF($Q1229&gt;0,$P1229+ROUND((INT($B1229)-$P1229)/$Q1229,0)*$Q1229,IF($R1229&gt;0,EDATE($P1229,ROUND((DATEDIF($P1229,INT($B1229),"m")+(INT($B1229)-EDATE($P1229,DATEDIF($P1229,INT($B1229),"m")))/(EDATE($P1229,DATEDIF($P1229,INT($B1229),"m")+1)-EDATE($P1229,DATEDIF($P1229,INT($B1229),"m"))))/$R1229,0)*$R1229),$P1229))))),"")))</f>
      </c>
      <c r="M1229" s="223">
        <f>IF(OR($C1229="",N($L1229)=0,N($B1229)=0),"",IF(IF(MOD($L1229,1)=0,INT($B1229),$B1229)&lt;=$L1229,"Đúng hạn","Trễ hạn"))</f>
      </c>
      <c r="N1229" s="225">
        <f>IF($C1229="","",ROW())</f>
      </c>
      <c r="O1229" s="225">
        <f>IF($I1229="Công việc",MATCH($C1229,'Kế hoạch'!$A$6:$A$305,0),"")</f>
      </c>
      <c r="P1229" s="234">
        <f>IF($O1229="","",INDEX('Kế hoạch'!$I$6:$I$305,$O1229))</f>
      </c>
      <c r="Q1229" s="225">
        <f>IF($O1229="","",INDEX('Kế hoạch'!$AJ$6:$AJ$305,$O1229))</f>
      </c>
      <c r="R1229" s="225">
        <f>IF($O1229="","",INDEX('Kế hoạch'!$AK$6:$AK$305,$O1229))</f>
      </c>
    </row>
    <row r="1230">
      <c r="A1230" s="223">
        <f>IF($C1230="","",COUNTIF($C$6:$C1230,"?*"))</f>
      </c>
      <c r="B1230" s="217"/>
      <c r="C1230" s="216"/>
      <c r="D1230" s="240"/>
      <c r="E1230" s="218"/>
      <c r="F1230" s="218"/>
      <c r="G1230" s="218"/>
      <c r="H1230" s="219"/>
      <c r="I1230" s="223">
        <f>IF($C1230="","",IF(ISNUMBER(MATCH($C1230,'Phản ánh'!$A$6:$A$505,0)),"Phản ánh",IF(ISNUMBER(MATCH($C1230,'Kế hoạch'!$A$6:$A$305,0)),"Công việc","Mã chưa có")))</f>
      </c>
      <c r="J1230" s="221">
        <f>IF($I1230="Phản ánh",INDEX('Phản ánh'!$C$6:$C$505,MATCH($C1230,'Phản ánh'!$A$6:$A$505,0)),IF($I1230="Công việc",INDEX('Kế hoạch'!$C$6:$C$305,$O1230),""))</f>
      </c>
      <c r="K1230" s="221">
        <f>IF($I1230="Phản ánh",INDEX('Phản ánh'!$K$6:$K$505,MATCH($C1230,'Phản ánh'!$A$6:$A$505,0))&amp;"",IF($I1230="Công việc",INDEX('Kế hoạch'!$N$6:$N$305,$O1230)&amp;"",""))</f>
      </c>
      <c r="L1230" s="220">
        <f>IF(OR($C1230="",N($B1230)=0),"",IF(AND($I1230="Phản ánh",$E1230="Đã xử lý"),INDEX('Phản ánh'!$U$6:$U$505,MATCH($C1230,'Phản ánh'!$A$6:$A$505,0)),IF(AND($I1230="Công việc",OR($E1230="Hoàn thành",$E1230="Hoàn thành kỳ")),IF(INDEX('Kế hoạch'!$B$6:$B$305,$O1230)="Đột xuất",INDEX('Kế hoạch'!$AY$6:$AY$305,$O1230),IF(N($P1230)=0,"",IF(INT($B1230)&lt;$P1230,$P1230,IF($Q1230&gt;0,$P1230+ROUND((INT($B1230)-$P1230)/$Q1230,0)*$Q1230,IF($R1230&gt;0,EDATE($P1230,ROUND((DATEDIF($P1230,INT($B1230),"m")+(INT($B1230)-EDATE($P1230,DATEDIF($P1230,INT($B1230),"m")))/(EDATE($P1230,DATEDIF($P1230,INT($B1230),"m")+1)-EDATE($P1230,DATEDIF($P1230,INT($B1230),"m"))))/$R1230,0)*$R1230),$P1230))))),"")))</f>
      </c>
      <c r="M1230" s="223">
        <f>IF(OR($C1230="",N($L1230)=0,N($B1230)=0),"",IF(IF(MOD($L1230,1)=0,INT($B1230),$B1230)&lt;=$L1230,"Đúng hạn","Trễ hạn"))</f>
      </c>
      <c r="N1230" s="225">
        <f>IF($C1230="","",ROW())</f>
      </c>
      <c r="O1230" s="225">
        <f>IF($I1230="Công việc",MATCH($C1230,'Kế hoạch'!$A$6:$A$305,0),"")</f>
      </c>
      <c r="P1230" s="234">
        <f>IF($O1230="","",INDEX('Kế hoạch'!$I$6:$I$305,$O1230))</f>
      </c>
      <c r="Q1230" s="225">
        <f>IF($O1230="","",INDEX('Kế hoạch'!$AJ$6:$AJ$305,$O1230))</f>
      </c>
      <c r="R1230" s="225">
        <f>IF($O1230="","",INDEX('Kế hoạch'!$AK$6:$AK$305,$O1230))</f>
      </c>
    </row>
    <row r="1231">
      <c r="A1231" s="223">
        <f>IF($C1231="","",COUNTIF($C$6:$C1231,"?*"))</f>
      </c>
      <c r="B1231" s="217"/>
      <c r="C1231" s="216"/>
      <c r="D1231" s="240"/>
      <c r="E1231" s="218"/>
      <c r="F1231" s="218"/>
      <c r="G1231" s="218"/>
      <c r="H1231" s="219"/>
      <c r="I1231" s="223">
        <f>IF($C1231="","",IF(ISNUMBER(MATCH($C1231,'Phản ánh'!$A$6:$A$505,0)),"Phản ánh",IF(ISNUMBER(MATCH($C1231,'Kế hoạch'!$A$6:$A$305,0)),"Công việc","Mã chưa có")))</f>
      </c>
      <c r="J1231" s="221">
        <f>IF($I1231="Phản ánh",INDEX('Phản ánh'!$C$6:$C$505,MATCH($C1231,'Phản ánh'!$A$6:$A$505,0)),IF($I1231="Công việc",INDEX('Kế hoạch'!$C$6:$C$305,$O1231),""))</f>
      </c>
      <c r="K1231" s="221">
        <f>IF($I1231="Phản ánh",INDEX('Phản ánh'!$K$6:$K$505,MATCH($C1231,'Phản ánh'!$A$6:$A$505,0))&amp;"",IF($I1231="Công việc",INDEX('Kế hoạch'!$N$6:$N$305,$O1231)&amp;"",""))</f>
      </c>
      <c r="L1231" s="220">
        <f>IF(OR($C1231="",N($B1231)=0),"",IF(AND($I1231="Phản ánh",$E1231="Đã xử lý"),INDEX('Phản ánh'!$U$6:$U$505,MATCH($C1231,'Phản ánh'!$A$6:$A$505,0)),IF(AND($I1231="Công việc",OR($E1231="Hoàn thành",$E1231="Hoàn thành kỳ")),IF(INDEX('Kế hoạch'!$B$6:$B$305,$O1231)="Đột xuất",INDEX('Kế hoạch'!$AY$6:$AY$305,$O1231),IF(N($P1231)=0,"",IF(INT($B1231)&lt;$P1231,$P1231,IF($Q1231&gt;0,$P1231+ROUND((INT($B1231)-$P1231)/$Q1231,0)*$Q1231,IF($R1231&gt;0,EDATE($P1231,ROUND((DATEDIF($P1231,INT($B1231),"m")+(INT($B1231)-EDATE($P1231,DATEDIF($P1231,INT($B1231),"m")))/(EDATE($P1231,DATEDIF($P1231,INT($B1231),"m")+1)-EDATE($P1231,DATEDIF($P1231,INT($B1231),"m"))))/$R1231,0)*$R1231),$P1231))))),"")))</f>
      </c>
      <c r="M1231" s="223">
        <f>IF(OR($C1231="",N($L1231)=0,N($B1231)=0),"",IF(IF(MOD($L1231,1)=0,INT($B1231),$B1231)&lt;=$L1231,"Đúng hạn","Trễ hạn"))</f>
      </c>
      <c r="N1231" s="225">
        <f>IF($C1231="","",ROW())</f>
      </c>
      <c r="O1231" s="225">
        <f>IF($I1231="Công việc",MATCH($C1231,'Kế hoạch'!$A$6:$A$305,0),"")</f>
      </c>
      <c r="P1231" s="234">
        <f>IF($O1231="","",INDEX('Kế hoạch'!$I$6:$I$305,$O1231))</f>
      </c>
      <c r="Q1231" s="225">
        <f>IF($O1231="","",INDEX('Kế hoạch'!$AJ$6:$AJ$305,$O1231))</f>
      </c>
      <c r="R1231" s="225">
        <f>IF($O1231="","",INDEX('Kế hoạch'!$AK$6:$AK$305,$O1231))</f>
      </c>
    </row>
    <row r="1232">
      <c r="A1232" s="223">
        <f>IF($C1232="","",COUNTIF($C$6:$C1232,"?*"))</f>
      </c>
      <c r="B1232" s="217"/>
      <c r="C1232" s="216"/>
      <c r="D1232" s="240"/>
      <c r="E1232" s="218"/>
      <c r="F1232" s="218"/>
      <c r="G1232" s="218"/>
      <c r="H1232" s="219"/>
      <c r="I1232" s="223">
        <f>IF($C1232="","",IF(ISNUMBER(MATCH($C1232,'Phản ánh'!$A$6:$A$505,0)),"Phản ánh",IF(ISNUMBER(MATCH($C1232,'Kế hoạch'!$A$6:$A$305,0)),"Công việc","Mã chưa có")))</f>
      </c>
      <c r="J1232" s="221">
        <f>IF($I1232="Phản ánh",INDEX('Phản ánh'!$C$6:$C$505,MATCH($C1232,'Phản ánh'!$A$6:$A$505,0)),IF($I1232="Công việc",INDEX('Kế hoạch'!$C$6:$C$305,$O1232),""))</f>
      </c>
      <c r="K1232" s="221">
        <f>IF($I1232="Phản ánh",INDEX('Phản ánh'!$K$6:$K$505,MATCH($C1232,'Phản ánh'!$A$6:$A$505,0))&amp;"",IF($I1232="Công việc",INDEX('Kế hoạch'!$N$6:$N$305,$O1232)&amp;"",""))</f>
      </c>
      <c r="L1232" s="220">
        <f>IF(OR($C1232="",N($B1232)=0),"",IF(AND($I1232="Phản ánh",$E1232="Đã xử lý"),INDEX('Phản ánh'!$U$6:$U$505,MATCH($C1232,'Phản ánh'!$A$6:$A$505,0)),IF(AND($I1232="Công việc",OR($E1232="Hoàn thành",$E1232="Hoàn thành kỳ")),IF(INDEX('Kế hoạch'!$B$6:$B$305,$O1232)="Đột xuất",INDEX('Kế hoạch'!$AY$6:$AY$305,$O1232),IF(N($P1232)=0,"",IF(INT($B1232)&lt;$P1232,$P1232,IF($Q1232&gt;0,$P1232+ROUND((INT($B1232)-$P1232)/$Q1232,0)*$Q1232,IF($R1232&gt;0,EDATE($P1232,ROUND((DATEDIF($P1232,INT($B1232),"m")+(INT($B1232)-EDATE($P1232,DATEDIF($P1232,INT($B1232),"m")))/(EDATE($P1232,DATEDIF($P1232,INT($B1232),"m")+1)-EDATE($P1232,DATEDIF($P1232,INT($B1232),"m"))))/$R1232,0)*$R1232),$P1232))))),"")))</f>
      </c>
      <c r="M1232" s="223">
        <f>IF(OR($C1232="",N($L1232)=0,N($B1232)=0),"",IF(IF(MOD($L1232,1)=0,INT($B1232),$B1232)&lt;=$L1232,"Đúng hạn","Trễ hạn"))</f>
      </c>
      <c r="N1232" s="225">
        <f>IF($C1232="","",ROW())</f>
      </c>
      <c r="O1232" s="225">
        <f>IF($I1232="Công việc",MATCH($C1232,'Kế hoạch'!$A$6:$A$305,0),"")</f>
      </c>
      <c r="P1232" s="234">
        <f>IF($O1232="","",INDEX('Kế hoạch'!$I$6:$I$305,$O1232))</f>
      </c>
      <c r="Q1232" s="225">
        <f>IF($O1232="","",INDEX('Kế hoạch'!$AJ$6:$AJ$305,$O1232))</f>
      </c>
      <c r="R1232" s="225">
        <f>IF($O1232="","",INDEX('Kế hoạch'!$AK$6:$AK$305,$O1232))</f>
      </c>
    </row>
    <row r="1233">
      <c r="A1233" s="223">
        <f>IF($C1233="","",COUNTIF($C$6:$C1233,"?*"))</f>
      </c>
      <c r="B1233" s="217"/>
      <c r="C1233" s="216"/>
      <c r="D1233" s="240"/>
      <c r="E1233" s="218"/>
      <c r="F1233" s="218"/>
      <c r="G1233" s="218"/>
      <c r="H1233" s="219"/>
      <c r="I1233" s="223">
        <f>IF($C1233="","",IF(ISNUMBER(MATCH($C1233,'Phản ánh'!$A$6:$A$505,0)),"Phản ánh",IF(ISNUMBER(MATCH($C1233,'Kế hoạch'!$A$6:$A$305,0)),"Công việc","Mã chưa có")))</f>
      </c>
      <c r="J1233" s="221">
        <f>IF($I1233="Phản ánh",INDEX('Phản ánh'!$C$6:$C$505,MATCH($C1233,'Phản ánh'!$A$6:$A$505,0)),IF($I1233="Công việc",INDEX('Kế hoạch'!$C$6:$C$305,$O1233),""))</f>
      </c>
      <c r="K1233" s="221">
        <f>IF($I1233="Phản ánh",INDEX('Phản ánh'!$K$6:$K$505,MATCH($C1233,'Phản ánh'!$A$6:$A$505,0))&amp;"",IF($I1233="Công việc",INDEX('Kế hoạch'!$N$6:$N$305,$O1233)&amp;"",""))</f>
      </c>
      <c r="L1233" s="220">
        <f>IF(OR($C1233="",N($B1233)=0),"",IF(AND($I1233="Phản ánh",$E1233="Đã xử lý"),INDEX('Phản ánh'!$U$6:$U$505,MATCH($C1233,'Phản ánh'!$A$6:$A$505,0)),IF(AND($I1233="Công việc",OR($E1233="Hoàn thành",$E1233="Hoàn thành kỳ")),IF(INDEX('Kế hoạch'!$B$6:$B$305,$O1233)="Đột xuất",INDEX('Kế hoạch'!$AY$6:$AY$305,$O1233),IF(N($P1233)=0,"",IF(INT($B1233)&lt;$P1233,$P1233,IF($Q1233&gt;0,$P1233+ROUND((INT($B1233)-$P1233)/$Q1233,0)*$Q1233,IF($R1233&gt;0,EDATE($P1233,ROUND((DATEDIF($P1233,INT($B1233),"m")+(INT($B1233)-EDATE($P1233,DATEDIF($P1233,INT($B1233),"m")))/(EDATE($P1233,DATEDIF($P1233,INT($B1233),"m")+1)-EDATE($P1233,DATEDIF($P1233,INT($B1233),"m"))))/$R1233,0)*$R1233),$P1233))))),"")))</f>
      </c>
      <c r="M1233" s="223">
        <f>IF(OR($C1233="",N($L1233)=0,N($B1233)=0),"",IF(IF(MOD($L1233,1)=0,INT($B1233),$B1233)&lt;=$L1233,"Đúng hạn","Trễ hạn"))</f>
      </c>
      <c r="N1233" s="225">
        <f>IF($C1233="","",ROW())</f>
      </c>
      <c r="O1233" s="225">
        <f>IF($I1233="Công việc",MATCH($C1233,'Kế hoạch'!$A$6:$A$305,0),"")</f>
      </c>
      <c r="P1233" s="234">
        <f>IF($O1233="","",INDEX('Kế hoạch'!$I$6:$I$305,$O1233))</f>
      </c>
      <c r="Q1233" s="225">
        <f>IF($O1233="","",INDEX('Kế hoạch'!$AJ$6:$AJ$305,$O1233))</f>
      </c>
      <c r="R1233" s="225">
        <f>IF($O1233="","",INDEX('Kế hoạch'!$AK$6:$AK$305,$O1233))</f>
      </c>
    </row>
    <row r="1234">
      <c r="A1234" s="223">
        <f>IF($C1234="","",COUNTIF($C$6:$C1234,"?*"))</f>
      </c>
      <c r="B1234" s="217"/>
      <c r="C1234" s="216"/>
      <c r="D1234" s="240"/>
      <c r="E1234" s="218"/>
      <c r="F1234" s="218"/>
      <c r="G1234" s="218"/>
      <c r="H1234" s="219"/>
      <c r="I1234" s="223">
        <f>IF($C1234="","",IF(ISNUMBER(MATCH($C1234,'Phản ánh'!$A$6:$A$505,0)),"Phản ánh",IF(ISNUMBER(MATCH($C1234,'Kế hoạch'!$A$6:$A$305,0)),"Công việc","Mã chưa có")))</f>
      </c>
      <c r="J1234" s="221">
        <f>IF($I1234="Phản ánh",INDEX('Phản ánh'!$C$6:$C$505,MATCH($C1234,'Phản ánh'!$A$6:$A$505,0)),IF($I1234="Công việc",INDEX('Kế hoạch'!$C$6:$C$305,$O1234),""))</f>
      </c>
      <c r="K1234" s="221">
        <f>IF($I1234="Phản ánh",INDEX('Phản ánh'!$K$6:$K$505,MATCH($C1234,'Phản ánh'!$A$6:$A$505,0))&amp;"",IF($I1234="Công việc",INDEX('Kế hoạch'!$N$6:$N$305,$O1234)&amp;"",""))</f>
      </c>
      <c r="L1234" s="220">
        <f>IF(OR($C1234="",N($B1234)=0),"",IF(AND($I1234="Phản ánh",$E1234="Đã xử lý"),INDEX('Phản ánh'!$U$6:$U$505,MATCH($C1234,'Phản ánh'!$A$6:$A$505,0)),IF(AND($I1234="Công việc",OR($E1234="Hoàn thành",$E1234="Hoàn thành kỳ")),IF(INDEX('Kế hoạch'!$B$6:$B$305,$O1234)="Đột xuất",INDEX('Kế hoạch'!$AY$6:$AY$305,$O1234),IF(N($P1234)=0,"",IF(INT($B1234)&lt;$P1234,$P1234,IF($Q1234&gt;0,$P1234+ROUND((INT($B1234)-$P1234)/$Q1234,0)*$Q1234,IF($R1234&gt;0,EDATE($P1234,ROUND((DATEDIF($P1234,INT($B1234),"m")+(INT($B1234)-EDATE($P1234,DATEDIF($P1234,INT($B1234),"m")))/(EDATE($P1234,DATEDIF($P1234,INT($B1234),"m")+1)-EDATE($P1234,DATEDIF($P1234,INT($B1234),"m"))))/$R1234,0)*$R1234),$P1234))))),"")))</f>
      </c>
      <c r="M1234" s="223">
        <f>IF(OR($C1234="",N($L1234)=0,N($B1234)=0),"",IF(IF(MOD($L1234,1)=0,INT($B1234),$B1234)&lt;=$L1234,"Đúng hạn","Trễ hạn"))</f>
      </c>
      <c r="N1234" s="225">
        <f>IF($C1234="","",ROW())</f>
      </c>
      <c r="O1234" s="225">
        <f>IF($I1234="Công việc",MATCH($C1234,'Kế hoạch'!$A$6:$A$305,0),"")</f>
      </c>
      <c r="P1234" s="234">
        <f>IF($O1234="","",INDEX('Kế hoạch'!$I$6:$I$305,$O1234))</f>
      </c>
      <c r="Q1234" s="225">
        <f>IF($O1234="","",INDEX('Kế hoạch'!$AJ$6:$AJ$305,$O1234))</f>
      </c>
      <c r="R1234" s="225">
        <f>IF($O1234="","",INDEX('Kế hoạch'!$AK$6:$AK$305,$O1234))</f>
      </c>
    </row>
    <row r="1235">
      <c r="A1235" s="223">
        <f>IF($C1235="","",COUNTIF($C$6:$C1235,"?*"))</f>
      </c>
      <c r="B1235" s="217"/>
      <c r="C1235" s="216"/>
      <c r="D1235" s="240"/>
      <c r="E1235" s="218"/>
      <c r="F1235" s="218"/>
      <c r="G1235" s="218"/>
      <c r="H1235" s="219"/>
      <c r="I1235" s="223">
        <f>IF($C1235="","",IF(ISNUMBER(MATCH($C1235,'Phản ánh'!$A$6:$A$505,0)),"Phản ánh",IF(ISNUMBER(MATCH($C1235,'Kế hoạch'!$A$6:$A$305,0)),"Công việc","Mã chưa có")))</f>
      </c>
      <c r="J1235" s="221">
        <f>IF($I1235="Phản ánh",INDEX('Phản ánh'!$C$6:$C$505,MATCH($C1235,'Phản ánh'!$A$6:$A$505,0)),IF($I1235="Công việc",INDEX('Kế hoạch'!$C$6:$C$305,$O1235),""))</f>
      </c>
      <c r="K1235" s="221">
        <f>IF($I1235="Phản ánh",INDEX('Phản ánh'!$K$6:$K$505,MATCH($C1235,'Phản ánh'!$A$6:$A$505,0))&amp;"",IF($I1235="Công việc",INDEX('Kế hoạch'!$N$6:$N$305,$O1235)&amp;"",""))</f>
      </c>
      <c r="L1235" s="220">
        <f>IF(OR($C1235="",N($B1235)=0),"",IF(AND($I1235="Phản ánh",$E1235="Đã xử lý"),INDEX('Phản ánh'!$U$6:$U$505,MATCH($C1235,'Phản ánh'!$A$6:$A$505,0)),IF(AND($I1235="Công việc",OR($E1235="Hoàn thành",$E1235="Hoàn thành kỳ")),IF(INDEX('Kế hoạch'!$B$6:$B$305,$O1235)="Đột xuất",INDEX('Kế hoạch'!$AY$6:$AY$305,$O1235),IF(N($P1235)=0,"",IF(INT($B1235)&lt;$P1235,$P1235,IF($Q1235&gt;0,$P1235+ROUND((INT($B1235)-$P1235)/$Q1235,0)*$Q1235,IF($R1235&gt;0,EDATE($P1235,ROUND((DATEDIF($P1235,INT($B1235),"m")+(INT($B1235)-EDATE($P1235,DATEDIF($P1235,INT($B1235),"m")))/(EDATE($P1235,DATEDIF($P1235,INT($B1235),"m")+1)-EDATE($P1235,DATEDIF($P1235,INT($B1235),"m"))))/$R1235,0)*$R1235),$P1235))))),"")))</f>
      </c>
      <c r="M1235" s="223">
        <f>IF(OR($C1235="",N($L1235)=0,N($B1235)=0),"",IF(IF(MOD($L1235,1)=0,INT($B1235),$B1235)&lt;=$L1235,"Đúng hạn","Trễ hạn"))</f>
      </c>
      <c r="N1235" s="225">
        <f>IF($C1235="","",ROW())</f>
      </c>
      <c r="O1235" s="225">
        <f>IF($I1235="Công việc",MATCH($C1235,'Kế hoạch'!$A$6:$A$305,0),"")</f>
      </c>
      <c r="P1235" s="234">
        <f>IF($O1235="","",INDEX('Kế hoạch'!$I$6:$I$305,$O1235))</f>
      </c>
      <c r="Q1235" s="225">
        <f>IF($O1235="","",INDEX('Kế hoạch'!$AJ$6:$AJ$305,$O1235))</f>
      </c>
      <c r="R1235" s="225">
        <f>IF($O1235="","",INDEX('Kế hoạch'!$AK$6:$AK$305,$O1235))</f>
      </c>
    </row>
    <row r="1236">
      <c r="A1236" s="223">
        <f>IF($C1236="","",COUNTIF($C$6:$C1236,"?*"))</f>
      </c>
      <c r="B1236" s="217"/>
      <c r="C1236" s="216"/>
      <c r="D1236" s="240"/>
      <c r="E1236" s="218"/>
      <c r="F1236" s="218"/>
      <c r="G1236" s="218"/>
      <c r="H1236" s="219"/>
      <c r="I1236" s="223">
        <f>IF($C1236="","",IF(ISNUMBER(MATCH($C1236,'Phản ánh'!$A$6:$A$505,0)),"Phản ánh",IF(ISNUMBER(MATCH($C1236,'Kế hoạch'!$A$6:$A$305,0)),"Công việc","Mã chưa có")))</f>
      </c>
      <c r="J1236" s="221">
        <f>IF($I1236="Phản ánh",INDEX('Phản ánh'!$C$6:$C$505,MATCH($C1236,'Phản ánh'!$A$6:$A$505,0)),IF($I1236="Công việc",INDEX('Kế hoạch'!$C$6:$C$305,$O1236),""))</f>
      </c>
      <c r="K1236" s="221">
        <f>IF($I1236="Phản ánh",INDEX('Phản ánh'!$K$6:$K$505,MATCH($C1236,'Phản ánh'!$A$6:$A$505,0))&amp;"",IF($I1236="Công việc",INDEX('Kế hoạch'!$N$6:$N$305,$O1236)&amp;"",""))</f>
      </c>
      <c r="L1236" s="220">
        <f>IF(OR($C1236="",N($B1236)=0),"",IF(AND($I1236="Phản ánh",$E1236="Đã xử lý"),INDEX('Phản ánh'!$U$6:$U$505,MATCH($C1236,'Phản ánh'!$A$6:$A$505,0)),IF(AND($I1236="Công việc",OR($E1236="Hoàn thành",$E1236="Hoàn thành kỳ")),IF(INDEX('Kế hoạch'!$B$6:$B$305,$O1236)="Đột xuất",INDEX('Kế hoạch'!$AY$6:$AY$305,$O1236),IF(N($P1236)=0,"",IF(INT($B1236)&lt;$P1236,$P1236,IF($Q1236&gt;0,$P1236+ROUND((INT($B1236)-$P1236)/$Q1236,0)*$Q1236,IF($R1236&gt;0,EDATE($P1236,ROUND((DATEDIF($P1236,INT($B1236),"m")+(INT($B1236)-EDATE($P1236,DATEDIF($P1236,INT($B1236),"m")))/(EDATE($P1236,DATEDIF($P1236,INT($B1236),"m")+1)-EDATE($P1236,DATEDIF($P1236,INT($B1236),"m"))))/$R1236,0)*$R1236),$P1236))))),"")))</f>
      </c>
      <c r="M1236" s="223">
        <f>IF(OR($C1236="",N($L1236)=0,N($B1236)=0),"",IF(IF(MOD($L1236,1)=0,INT($B1236),$B1236)&lt;=$L1236,"Đúng hạn","Trễ hạn"))</f>
      </c>
      <c r="N1236" s="225">
        <f>IF($C1236="","",ROW())</f>
      </c>
      <c r="O1236" s="225">
        <f>IF($I1236="Công việc",MATCH($C1236,'Kế hoạch'!$A$6:$A$305,0),"")</f>
      </c>
      <c r="P1236" s="234">
        <f>IF($O1236="","",INDEX('Kế hoạch'!$I$6:$I$305,$O1236))</f>
      </c>
      <c r="Q1236" s="225">
        <f>IF($O1236="","",INDEX('Kế hoạch'!$AJ$6:$AJ$305,$O1236))</f>
      </c>
      <c r="R1236" s="225">
        <f>IF($O1236="","",INDEX('Kế hoạch'!$AK$6:$AK$305,$O1236))</f>
      </c>
    </row>
    <row r="1237">
      <c r="A1237" s="223">
        <f>IF($C1237="","",COUNTIF($C$6:$C1237,"?*"))</f>
      </c>
      <c r="B1237" s="217"/>
      <c r="C1237" s="216"/>
      <c r="D1237" s="240"/>
      <c r="E1237" s="218"/>
      <c r="F1237" s="218"/>
      <c r="G1237" s="218"/>
      <c r="H1237" s="219"/>
      <c r="I1237" s="223">
        <f>IF($C1237="","",IF(ISNUMBER(MATCH($C1237,'Phản ánh'!$A$6:$A$505,0)),"Phản ánh",IF(ISNUMBER(MATCH($C1237,'Kế hoạch'!$A$6:$A$305,0)),"Công việc","Mã chưa có")))</f>
      </c>
      <c r="J1237" s="221">
        <f>IF($I1237="Phản ánh",INDEX('Phản ánh'!$C$6:$C$505,MATCH($C1237,'Phản ánh'!$A$6:$A$505,0)),IF($I1237="Công việc",INDEX('Kế hoạch'!$C$6:$C$305,$O1237),""))</f>
      </c>
      <c r="K1237" s="221">
        <f>IF($I1237="Phản ánh",INDEX('Phản ánh'!$K$6:$K$505,MATCH($C1237,'Phản ánh'!$A$6:$A$505,0))&amp;"",IF($I1237="Công việc",INDEX('Kế hoạch'!$N$6:$N$305,$O1237)&amp;"",""))</f>
      </c>
      <c r="L1237" s="220">
        <f>IF(OR($C1237="",N($B1237)=0),"",IF(AND($I1237="Phản ánh",$E1237="Đã xử lý"),INDEX('Phản ánh'!$U$6:$U$505,MATCH($C1237,'Phản ánh'!$A$6:$A$505,0)),IF(AND($I1237="Công việc",OR($E1237="Hoàn thành",$E1237="Hoàn thành kỳ")),IF(INDEX('Kế hoạch'!$B$6:$B$305,$O1237)="Đột xuất",INDEX('Kế hoạch'!$AY$6:$AY$305,$O1237),IF(N($P1237)=0,"",IF(INT($B1237)&lt;$P1237,$P1237,IF($Q1237&gt;0,$P1237+ROUND((INT($B1237)-$P1237)/$Q1237,0)*$Q1237,IF($R1237&gt;0,EDATE($P1237,ROUND((DATEDIF($P1237,INT($B1237),"m")+(INT($B1237)-EDATE($P1237,DATEDIF($P1237,INT($B1237),"m")))/(EDATE($P1237,DATEDIF($P1237,INT($B1237),"m")+1)-EDATE($P1237,DATEDIF($P1237,INT($B1237),"m"))))/$R1237,0)*$R1237),$P1237))))),"")))</f>
      </c>
      <c r="M1237" s="223">
        <f>IF(OR($C1237="",N($L1237)=0,N($B1237)=0),"",IF(IF(MOD($L1237,1)=0,INT($B1237),$B1237)&lt;=$L1237,"Đúng hạn","Trễ hạn"))</f>
      </c>
      <c r="N1237" s="225">
        <f>IF($C1237="","",ROW())</f>
      </c>
      <c r="O1237" s="225">
        <f>IF($I1237="Công việc",MATCH($C1237,'Kế hoạch'!$A$6:$A$305,0),"")</f>
      </c>
      <c r="P1237" s="234">
        <f>IF($O1237="","",INDEX('Kế hoạch'!$I$6:$I$305,$O1237))</f>
      </c>
      <c r="Q1237" s="225">
        <f>IF($O1237="","",INDEX('Kế hoạch'!$AJ$6:$AJ$305,$O1237))</f>
      </c>
      <c r="R1237" s="225">
        <f>IF($O1237="","",INDEX('Kế hoạch'!$AK$6:$AK$305,$O1237))</f>
      </c>
    </row>
    <row r="1238">
      <c r="A1238" s="223">
        <f>IF($C1238="","",COUNTIF($C$6:$C1238,"?*"))</f>
      </c>
      <c r="B1238" s="217"/>
      <c r="C1238" s="216"/>
      <c r="D1238" s="240"/>
      <c r="E1238" s="218"/>
      <c r="F1238" s="218"/>
      <c r="G1238" s="218"/>
      <c r="H1238" s="219"/>
      <c r="I1238" s="223">
        <f>IF($C1238="","",IF(ISNUMBER(MATCH($C1238,'Phản ánh'!$A$6:$A$505,0)),"Phản ánh",IF(ISNUMBER(MATCH($C1238,'Kế hoạch'!$A$6:$A$305,0)),"Công việc","Mã chưa có")))</f>
      </c>
      <c r="J1238" s="221">
        <f>IF($I1238="Phản ánh",INDEX('Phản ánh'!$C$6:$C$505,MATCH($C1238,'Phản ánh'!$A$6:$A$505,0)),IF($I1238="Công việc",INDEX('Kế hoạch'!$C$6:$C$305,$O1238),""))</f>
      </c>
      <c r="K1238" s="221">
        <f>IF($I1238="Phản ánh",INDEX('Phản ánh'!$K$6:$K$505,MATCH($C1238,'Phản ánh'!$A$6:$A$505,0))&amp;"",IF($I1238="Công việc",INDEX('Kế hoạch'!$N$6:$N$305,$O1238)&amp;"",""))</f>
      </c>
      <c r="L1238" s="220">
        <f>IF(OR($C1238="",N($B1238)=0),"",IF(AND($I1238="Phản ánh",$E1238="Đã xử lý"),INDEX('Phản ánh'!$U$6:$U$505,MATCH($C1238,'Phản ánh'!$A$6:$A$505,0)),IF(AND($I1238="Công việc",OR($E1238="Hoàn thành",$E1238="Hoàn thành kỳ")),IF(INDEX('Kế hoạch'!$B$6:$B$305,$O1238)="Đột xuất",INDEX('Kế hoạch'!$AY$6:$AY$305,$O1238),IF(N($P1238)=0,"",IF(INT($B1238)&lt;$P1238,$P1238,IF($Q1238&gt;0,$P1238+ROUND((INT($B1238)-$P1238)/$Q1238,0)*$Q1238,IF($R1238&gt;0,EDATE($P1238,ROUND((DATEDIF($P1238,INT($B1238),"m")+(INT($B1238)-EDATE($P1238,DATEDIF($P1238,INT($B1238),"m")))/(EDATE($P1238,DATEDIF($P1238,INT($B1238),"m")+1)-EDATE($P1238,DATEDIF($P1238,INT($B1238),"m"))))/$R1238,0)*$R1238),$P1238))))),"")))</f>
      </c>
      <c r="M1238" s="223">
        <f>IF(OR($C1238="",N($L1238)=0,N($B1238)=0),"",IF(IF(MOD($L1238,1)=0,INT($B1238),$B1238)&lt;=$L1238,"Đúng hạn","Trễ hạn"))</f>
      </c>
      <c r="N1238" s="225">
        <f>IF($C1238="","",ROW())</f>
      </c>
      <c r="O1238" s="225">
        <f>IF($I1238="Công việc",MATCH($C1238,'Kế hoạch'!$A$6:$A$305,0),"")</f>
      </c>
      <c r="P1238" s="234">
        <f>IF($O1238="","",INDEX('Kế hoạch'!$I$6:$I$305,$O1238))</f>
      </c>
      <c r="Q1238" s="225">
        <f>IF($O1238="","",INDEX('Kế hoạch'!$AJ$6:$AJ$305,$O1238))</f>
      </c>
      <c r="R1238" s="225">
        <f>IF($O1238="","",INDEX('Kế hoạch'!$AK$6:$AK$305,$O1238))</f>
      </c>
    </row>
    <row r="1239">
      <c r="A1239" s="223">
        <f>IF($C1239="","",COUNTIF($C$6:$C1239,"?*"))</f>
      </c>
      <c r="B1239" s="217"/>
      <c r="C1239" s="216"/>
      <c r="D1239" s="240"/>
      <c r="E1239" s="218"/>
      <c r="F1239" s="218"/>
      <c r="G1239" s="218"/>
      <c r="H1239" s="219"/>
      <c r="I1239" s="223">
        <f>IF($C1239="","",IF(ISNUMBER(MATCH($C1239,'Phản ánh'!$A$6:$A$505,0)),"Phản ánh",IF(ISNUMBER(MATCH($C1239,'Kế hoạch'!$A$6:$A$305,0)),"Công việc","Mã chưa có")))</f>
      </c>
      <c r="J1239" s="221">
        <f>IF($I1239="Phản ánh",INDEX('Phản ánh'!$C$6:$C$505,MATCH($C1239,'Phản ánh'!$A$6:$A$505,0)),IF($I1239="Công việc",INDEX('Kế hoạch'!$C$6:$C$305,$O1239),""))</f>
      </c>
      <c r="K1239" s="221">
        <f>IF($I1239="Phản ánh",INDEX('Phản ánh'!$K$6:$K$505,MATCH($C1239,'Phản ánh'!$A$6:$A$505,0))&amp;"",IF($I1239="Công việc",INDEX('Kế hoạch'!$N$6:$N$305,$O1239)&amp;"",""))</f>
      </c>
      <c r="L1239" s="220">
        <f>IF(OR($C1239="",N($B1239)=0),"",IF(AND($I1239="Phản ánh",$E1239="Đã xử lý"),INDEX('Phản ánh'!$U$6:$U$505,MATCH($C1239,'Phản ánh'!$A$6:$A$505,0)),IF(AND($I1239="Công việc",OR($E1239="Hoàn thành",$E1239="Hoàn thành kỳ")),IF(INDEX('Kế hoạch'!$B$6:$B$305,$O1239)="Đột xuất",INDEX('Kế hoạch'!$AY$6:$AY$305,$O1239),IF(N($P1239)=0,"",IF(INT($B1239)&lt;$P1239,$P1239,IF($Q1239&gt;0,$P1239+ROUND((INT($B1239)-$P1239)/$Q1239,0)*$Q1239,IF($R1239&gt;0,EDATE($P1239,ROUND((DATEDIF($P1239,INT($B1239),"m")+(INT($B1239)-EDATE($P1239,DATEDIF($P1239,INT($B1239),"m")))/(EDATE($P1239,DATEDIF($P1239,INT($B1239),"m")+1)-EDATE($P1239,DATEDIF($P1239,INT($B1239),"m"))))/$R1239,0)*$R1239),$P1239))))),"")))</f>
      </c>
      <c r="M1239" s="223">
        <f>IF(OR($C1239="",N($L1239)=0,N($B1239)=0),"",IF(IF(MOD($L1239,1)=0,INT($B1239),$B1239)&lt;=$L1239,"Đúng hạn","Trễ hạn"))</f>
      </c>
      <c r="N1239" s="225">
        <f>IF($C1239="","",ROW())</f>
      </c>
      <c r="O1239" s="225">
        <f>IF($I1239="Công việc",MATCH($C1239,'Kế hoạch'!$A$6:$A$305,0),"")</f>
      </c>
      <c r="P1239" s="234">
        <f>IF($O1239="","",INDEX('Kế hoạch'!$I$6:$I$305,$O1239))</f>
      </c>
      <c r="Q1239" s="225">
        <f>IF($O1239="","",INDEX('Kế hoạch'!$AJ$6:$AJ$305,$O1239))</f>
      </c>
      <c r="R1239" s="225">
        <f>IF($O1239="","",INDEX('Kế hoạch'!$AK$6:$AK$305,$O1239))</f>
      </c>
    </row>
    <row r="1240">
      <c r="A1240" s="223">
        <f>IF($C1240="","",COUNTIF($C$6:$C1240,"?*"))</f>
      </c>
      <c r="B1240" s="217"/>
      <c r="C1240" s="216"/>
      <c r="D1240" s="240"/>
      <c r="E1240" s="218"/>
      <c r="F1240" s="218"/>
      <c r="G1240" s="218"/>
      <c r="H1240" s="219"/>
      <c r="I1240" s="223">
        <f>IF($C1240="","",IF(ISNUMBER(MATCH($C1240,'Phản ánh'!$A$6:$A$505,0)),"Phản ánh",IF(ISNUMBER(MATCH($C1240,'Kế hoạch'!$A$6:$A$305,0)),"Công việc","Mã chưa có")))</f>
      </c>
      <c r="J1240" s="221">
        <f>IF($I1240="Phản ánh",INDEX('Phản ánh'!$C$6:$C$505,MATCH($C1240,'Phản ánh'!$A$6:$A$505,0)),IF($I1240="Công việc",INDEX('Kế hoạch'!$C$6:$C$305,$O1240),""))</f>
      </c>
      <c r="K1240" s="221">
        <f>IF($I1240="Phản ánh",INDEX('Phản ánh'!$K$6:$K$505,MATCH($C1240,'Phản ánh'!$A$6:$A$505,0))&amp;"",IF($I1240="Công việc",INDEX('Kế hoạch'!$N$6:$N$305,$O1240)&amp;"",""))</f>
      </c>
      <c r="L1240" s="220">
        <f>IF(OR($C1240="",N($B1240)=0),"",IF(AND($I1240="Phản ánh",$E1240="Đã xử lý"),INDEX('Phản ánh'!$U$6:$U$505,MATCH($C1240,'Phản ánh'!$A$6:$A$505,0)),IF(AND($I1240="Công việc",OR($E1240="Hoàn thành",$E1240="Hoàn thành kỳ")),IF(INDEX('Kế hoạch'!$B$6:$B$305,$O1240)="Đột xuất",INDEX('Kế hoạch'!$AY$6:$AY$305,$O1240),IF(N($P1240)=0,"",IF(INT($B1240)&lt;$P1240,$P1240,IF($Q1240&gt;0,$P1240+ROUND((INT($B1240)-$P1240)/$Q1240,0)*$Q1240,IF($R1240&gt;0,EDATE($P1240,ROUND((DATEDIF($P1240,INT($B1240),"m")+(INT($B1240)-EDATE($P1240,DATEDIF($P1240,INT($B1240),"m")))/(EDATE($P1240,DATEDIF($P1240,INT($B1240),"m")+1)-EDATE($P1240,DATEDIF($P1240,INT($B1240),"m"))))/$R1240,0)*$R1240),$P1240))))),"")))</f>
      </c>
      <c r="M1240" s="223">
        <f>IF(OR($C1240="",N($L1240)=0,N($B1240)=0),"",IF(IF(MOD($L1240,1)=0,INT($B1240),$B1240)&lt;=$L1240,"Đúng hạn","Trễ hạn"))</f>
      </c>
      <c r="N1240" s="225">
        <f>IF($C1240="","",ROW())</f>
      </c>
      <c r="O1240" s="225">
        <f>IF($I1240="Công việc",MATCH($C1240,'Kế hoạch'!$A$6:$A$305,0),"")</f>
      </c>
      <c r="P1240" s="234">
        <f>IF($O1240="","",INDEX('Kế hoạch'!$I$6:$I$305,$O1240))</f>
      </c>
      <c r="Q1240" s="225">
        <f>IF($O1240="","",INDEX('Kế hoạch'!$AJ$6:$AJ$305,$O1240))</f>
      </c>
      <c r="R1240" s="225">
        <f>IF($O1240="","",INDEX('Kế hoạch'!$AK$6:$AK$305,$O1240))</f>
      </c>
    </row>
    <row r="1241">
      <c r="A1241" s="223">
        <f>IF($C1241="","",COUNTIF($C$6:$C1241,"?*"))</f>
      </c>
      <c r="B1241" s="217"/>
      <c r="C1241" s="216"/>
      <c r="D1241" s="240"/>
      <c r="E1241" s="218"/>
      <c r="F1241" s="218"/>
      <c r="G1241" s="218"/>
      <c r="H1241" s="219"/>
      <c r="I1241" s="223">
        <f>IF($C1241="","",IF(ISNUMBER(MATCH($C1241,'Phản ánh'!$A$6:$A$505,0)),"Phản ánh",IF(ISNUMBER(MATCH($C1241,'Kế hoạch'!$A$6:$A$305,0)),"Công việc","Mã chưa có")))</f>
      </c>
      <c r="J1241" s="221">
        <f>IF($I1241="Phản ánh",INDEX('Phản ánh'!$C$6:$C$505,MATCH($C1241,'Phản ánh'!$A$6:$A$505,0)),IF($I1241="Công việc",INDEX('Kế hoạch'!$C$6:$C$305,$O1241),""))</f>
      </c>
      <c r="K1241" s="221">
        <f>IF($I1241="Phản ánh",INDEX('Phản ánh'!$K$6:$K$505,MATCH($C1241,'Phản ánh'!$A$6:$A$505,0))&amp;"",IF($I1241="Công việc",INDEX('Kế hoạch'!$N$6:$N$305,$O1241)&amp;"",""))</f>
      </c>
      <c r="L1241" s="220">
        <f>IF(OR($C1241="",N($B1241)=0),"",IF(AND($I1241="Phản ánh",$E1241="Đã xử lý"),INDEX('Phản ánh'!$U$6:$U$505,MATCH($C1241,'Phản ánh'!$A$6:$A$505,0)),IF(AND($I1241="Công việc",OR($E1241="Hoàn thành",$E1241="Hoàn thành kỳ")),IF(INDEX('Kế hoạch'!$B$6:$B$305,$O1241)="Đột xuất",INDEX('Kế hoạch'!$AY$6:$AY$305,$O1241),IF(N($P1241)=0,"",IF(INT($B1241)&lt;$P1241,$P1241,IF($Q1241&gt;0,$P1241+ROUND((INT($B1241)-$P1241)/$Q1241,0)*$Q1241,IF($R1241&gt;0,EDATE($P1241,ROUND((DATEDIF($P1241,INT($B1241),"m")+(INT($B1241)-EDATE($P1241,DATEDIF($P1241,INT($B1241),"m")))/(EDATE($P1241,DATEDIF($P1241,INT($B1241),"m")+1)-EDATE($P1241,DATEDIF($P1241,INT($B1241),"m"))))/$R1241,0)*$R1241),$P1241))))),"")))</f>
      </c>
      <c r="M1241" s="223">
        <f>IF(OR($C1241="",N($L1241)=0,N($B1241)=0),"",IF(IF(MOD($L1241,1)=0,INT($B1241),$B1241)&lt;=$L1241,"Đúng hạn","Trễ hạn"))</f>
      </c>
      <c r="N1241" s="225">
        <f>IF($C1241="","",ROW())</f>
      </c>
      <c r="O1241" s="225">
        <f>IF($I1241="Công việc",MATCH($C1241,'Kế hoạch'!$A$6:$A$305,0),"")</f>
      </c>
      <c r="P1241" s="234">
        <f>IF($O1241="","",INDEX('Kế hoạch'!$I$6:$I$305,$O1241))</f>
      </c>
      <c r="Q1241" s="225">
        <f>IF($O1241="","",INDEX('Kế hoạch'!$AJ$6:$AJ$305,$O1241))</f>
      </c>
      <c r="R1241" s="225">
        <f>IF($O1241="","",INDEX('Kế hoạch'!$AK$6:$AK$305,$O1241))</f>
      </c>
    </row>
    <row r="1242">
      <c r="A1242" s="223">
        <f>IF($C1242="","",COUNTIF($C$6:$C1242,"?*"))</f>
      </c>
      <c r="B1242" s="217"/>
      <c r="C1242" s="216"/>
      <c r="D1242" s="240"/>
      <c r="E1242" s="218"/>
      <c r="F1242" s="218"/>
      <c r="G1242" s="218"/>
      <c r="H1242" s="219"/>
      <c r="I1242" s="223">
        <f>IF($C1242="","",IF(ISNUMBER(MATCH($C1242,'Phản ánh'!$A$6:$A$505,0)),"Phản ánh",IF(ISNUMBER(MATCH($C1242,'Kế hoạch'!$A$6:$A$305,0)),"Công việc","Mã chưa có")))</f>
      </c>
      <c r="J1242" s="221">
        <f>IF($I1242="Phản ánh",INDEX('Phản ánh'!$C$6:$C$505,MATCH($C1242,'Phản ánh'!$A$6:$A$505,0)),IF($I1242="Công việc",INDEX('Kế hoạch'!$C$6:$C$305,$O1242),""))</f>
      </c>
      <c r="K1242" s="221">
        <f>IF($I1242="Phản ánh",INDEX('Phản ánh'!$K$6:$K$505,MATCH($C1242,'Phản ánh'!$A$6:$A$505,0))&amp;"",IF($I1242="Công việc",INDEX('Kế hoạch'!$N$6:$N$305,$O1242)&amp;"",""))</f>
      </c>
      <c r="L1242" s="220">
        <f>IF(OR($C1242="",N($B1242)=0),"",IF(AND($I1242="Phản ánh",$E1242="Đã xử lý"),INDEX('Phản ánh'!$U$6:$U$505,MATCH($C1242,'Phản ánh'!$A$6:$A$505,0)),IF(AND($I1242="Công việc",OR($E1242="Hoàn thành",$E1242="Hoàn thành kỳ")),IF(INDEX('Kế hoạch'!$B$6:$B$305,$O1242)="Đột xuất",INDEX('Kế hoạch'!$AY$6:$AY$305,$O1242),IF(N($P1242)=0,"",IF(INT($B1242)&lt;$P1242,$P1242,IF($Q1242&gt;0,$P1242+ROUND((INT($B1242)-$P1242)/$Q1242,0)*$Q1242,IF($R1242&gt;0,EDATE($P1242,ROUND((DATEDIF($P1242,INT($B1242),"m")+(INT($B1242)-EDATE($P1242,DATEDIF($P1242,INT($B1242),"m")))/(EDATE($P1242,DATEDIF($P1242,INT($B1242),"m")+1)-EDATE($P1242,DATEDIF($P1242,INT($B1242),"m"))))/$R1242,0)*$R1242),$P1242))))),"")))</f>
      </c>
      <c r="M1242" s="223">
        <f>IF(OR($C1242="",N($L1242)=0,N($B1242)=0),"",IF(IF(MOD($L1242,1)=0,INT($B1242),$B1242)&lt;=$L1242,"Đúng hạn","Trễ hạn"))</f>
      </c>
      <c r="N1242" s="225">
        <f>IF($C1242="","",ROW())</f>
      </c>
      <c r="O1242" s="225">
        <f>IF($I1242="Công việc",MATCH($C1242,'Kế hoạch'!$A$6:$A$305,0),"")</f>
      </c>
      <c r="P1242" s="234">
        <f>IF($O1242="","",INDEX('Kế hoạch'!$I$6:$I$305,$O1242))</f>
      </c>
      <c r="Q1242" s="225">
        <f>IF($O1242="","",INDEX('Kế hoạch'!$AJ$6:$AJ$305,$O1242))</f>
      </c>
      <c r="R1242" s="225">
        <f>IF($O1242="","",INDEX('Kế hoạch'!$AK$6:$AK$305,$O1242))</f>
      </c>
    </row>
    <row r="1243">
      <c r="A1243" s="223">
        <f>IF($C1243="","",COUNTIF($C$6:$C1243,"?*"))</f>
      </c>
      <c r="B1243" s="217"/>
      <c r="C1243" s="216"/>
      <c r="D1243" s="240"/>
      <c r="E1243" s="218"/>
      <c r="F1243" s="218"/>
      <c r="G1243" s="218"/>
      <c r="H1243" s="219"/>
      <c r="I1243" s="223">
        <f>IF($C1243="","",IF(ISNUMBER(MATCH($C1243,'Phản ánh'!$A$6:$A$505,0)),"Phản ánh",IF(ISNUMBER(MATCH($C1243,'Kế hoạch'!$A$6:$A$305,0)),"Công việc","Mã chưa có")))</f>
      </c>
      <c r="J1243" s="221">
        <f>IF($I1243="Phản ánh",INDEX('Phản ánh'!$C$6:$C$505,MATCH($C1243,'Phản ánh'!$A$6:$A$505,0)),IF($I1243="Công việc",INDEX('Kế hoạch'!$C$6:$C$305,$O1243),""))</f>
      </c>
      <c r="K1243" s="221">
        <f>IF($I1243="Phản ánh",INDEX('Phản ánh'!$K$6:$K$505,MATCH($C1243,'Phản ánh'!$A$6:$A$505,0))&amp;"",IF($I1243="Công việc",INDEX('Kế hoạch'!$N$6:$N$305,$O1243)&amp;"",""))</f>
      </c>
      <c r="L1243" s="220">
        <f>IF(OR($C1243="",N($B1243)=0),"",IF(AND($I1243="Phản ánh",$E1243="Đã xử lý"),INDEX('Phản ánh'!$U$6:$U$505,MATCH($C1243,'Phản ánh'!$A$6:$A$505,0)),IF(AND($I1243="Công việc",OR($E1243="Hoàn thành",$E1243="Hoàn thành kỳ")),IF(INDEX('Kế hoạch'!$B$6:$B$305,$O1243)="Đột xuất",INDEX('Kế hoạch'!$AY$6:$AY$305,$O1243),IF(N($P1243)=0,"",IF(INT($B1243)&lt;$P1243,$P1243,IF($Q1243&gt;0,$P1243+ROUND((INT($B1243)-$P1243)/$Q1243,0)*$Q1243,IF($R1243&gt;0,EDATE($P1243,ROUND((DATEDIF($P1243,INT($B1243),"m")+(INT($B1243)-EDATE($P1243,DATEDIF($P1243,INT($B1243),"m")))/(EDATE($P1243,DATEDIF($P1243,INT($B1243),"m")+1)-EDATE($P1243,DATEDIF($P1243,INT($B1243),"m"))))/$R1243,0)*$R1243),$P1243))))),"")))</f>
      </c>
      <c r="M1243" s="223">
        <f>IF(OR($C1243="",N($L1243)=0,N($B1243)=0),"",IF(IF(MOD($L1243,1)=0,INT($B1243),$B1243)&lt;=$L1243,"Đúng hạn","Trễ hạn"))</f>
      </c>
      <c r="N1243" s="225">
        <f>IF($C1243="","",ROW())</f>
      </c>
      <c r="O1243" s="225">
        <f>IF($I1243="Công việc",MATCH($C1243,'Kế hoạch'!$A$6:$A$305,0),"")</f>
      </c>
      <c r="P1243" s="234">
        <f>IF($O1243="","",INDEX('Kế hoạch'!$I$6:$I$305,$O1243))</f>
      </c>
      <c r="Q1243" s="225">
        <f>IF($O1243="","",INDEX('Kế hoạch'!$AJ$6:$AJ$305,$O1243))</f>
      </c>
      <c r="R1243" s="225">
        <f>IF($O1243="","",INDEX('Kế hoạch'!$AK$6:$AK$305,$O1243))</f>
      </c>
    </row>
    <row r="1244">
      <c r="A1244" s="223">
        <f>IF($C1244="","",COUNTIF($C$6:$C1244,"?*"))</f>
      </c>
      <c r="B1244" s="217"/>
      <c r="C1244" s="216"/>
      <c r="D1244" s="240"/>
      <c r="E1244" s="218"/>
      <c r="F1244" s="218"/>
      <c r="G1244" s="218"/>
      <c r="H1244" s="219"/>
      <c r="I1244" s="223">
        <f>IF($C1244="","",IF(ISNUMBER(MATCH($C1244,'Phản ánh'!$A$6:$A$505,0)),"Phản ánh",IF(ISNUMBER(MATCH($C1244,'Kế hoạch'!$A$6:$A$305,0)),"Công việc","Mã chưa có")))</f>
      </c>
      <c r="J1244" s="221">
        <f>IF($I1244="Phản ánh",INDEX('Phản ánh'!$C$6:$C$505,MATCH($C1244,'Phản ánh'!$A$6:$A$505,0)),IF($I1244="Công việc",INDEX('Kế hoạch'!$C$6:$C$305,$O1244),""))</f>
      </c>
      <c r="K1244" s="221">
        <f>IF($I1244="Phản ánh",INDEX('Phản ánh'!$K$6:$K$505,MATCH($C1244,'Phản ánh'!$A$6:$A$505,0))&amp;"",IF($I1244="Công việc",INDEX('Kế hoạch'!$N$6:$N$305,$O1244)&amp;"",""))</f>
      </c>
      <c r="L1244" s="220">
        <f>IF(OR($C1244="",N($B1244)=0),"",IF(AND($I1244="Phản ánh",$E1244="Đã xử lý"),INDEX('Phản ánh'!$U$6:$U$505,MATCH($C1244,'Phản ánh'!$A$6:$A$505,0)),IF(AND($I1244="Công việc",OR($E1244="Hoàn thành",$E1244="Hoàn thành kỳ")),IF(INDEX('Kế hoạch'!$B$6:$B$305,$O1244)="Đột xuất",INDEX('Kế hoạch'!$AY$6:$AY$305,$O1244),IF(N($P1244)=0,"",IF(INT($B1244)&lt;$P1244,$P1244,IF($Q1244&gt;0,$P1244+ROUND((INT($B1244)-$P1244)/$Q1244,0)*$Q1244,IF($R1244&gt;0,EDATE($P1244,ROUND((DATEDIF($P1244,INT($B1244),"m")+(INT($B1244)-EDATE($P1244,DATEDIF($P1244,INT($B1244),"m")))/(EDATE($P1244,DATEDIF($P1244,INT($B1244),"m")+1)-EDATE($P1244,DATEDIF($P1244,INT($B1244),"m"))))/$R1244,0)*$R1244),$P1244))))),"")))</f>
      </c>
      <c r="M1244" s="223">
        <f>IF(OR($C1244="",N($L1244)=0,N($B1244)=0),"",IF(IF(MOD($L1244,1)=0,INT($B1244),$B1244)&lt;=$L1244,"Đúng hạn","Trễ hạn"))</f>
      </c>
      <c r="N1244" s="225">
        <f>IF($C1244="","",ROW())</f>
      </c>
      <c r="O1244" s="225">
        <f>IF($I1244="Công việc",MATCH($C1244,'Kế hoạch'!$A$6:$A$305,0),"")</f>
      </c>
      <c r="P1244" s="234">
        <f>IF($O1244="","",INDEX('Kế hoạch'!$I$6:$I$305,$O1244))</f>
      </c>
      <c r="Q1244" s="225">
        <f>IF($O1244="","",INDEX('Kế hoạch'!$AJ$6:$AJ$305,$O1244))</f>
      </c>
      <c r="R1244" s="225">
        <f>IF($O1244="","",INDEX('Kế hoạch'!$AK$6:$AK$305,$O1244))</f>
      </c>
    </row>
    <row r="1245">
      <c r="A1245" s="223">
        <f>IF($C1245="","",COUNTIF($C$6:$C1245,"?*"))</f>
      </c>
      <c r="B1245" s="217"/>
      <c r="C1245" s="216"/>
      <c r="D1245" s="240"/>
      <c r="E1245" s="218"/>
      <c r="F1245" s="218"/>
      <c r="G1245" s="218"/>
      <c r="H1245" s="219"/>
      <c r="I1245" s="223">
        <f>IF($C1245="","",IF(ISNUMBER(MATCH($C1245,'Phản ánh'!$A$6:$A$505,0)),"Phản ánh",IF(ISNUMBER(MATCH($C1245,'Kế hoạch'!$A$6:$A$305,0)),"Công việc","Mã chưa có")))</f>
      </c>
      <c r="J1245" s="221">
        <f>IF($I1245="Phản ánh",INDEX('Phản ánh'!$C$6:$C$505,MATCH($C1245,'Phản ánh'!$A$6:$A$505,0)),IF($I1245="Công việc",INDEX('Kế hoạch'!$C$6:$C$305,$O1245),""))</f>
      </c>
      <c r="K1245" s="221">
        <f>IF($I1245="Phản ánh",INDEX('Phản ánh'!$K$6:$K$505,MATCH($C1245,'Phản ánh'!$A$6:$A$505,0))&amp;"",IF($I1245="Công việc",INDEX('Kế hoạch'!$N$6:$N$305,$O1245)&amp;"",""))</f>
      </c>
      <c r="L1245" s="220">
        <f>IF(OR($C1245="",N($B1245)=0),"",IF(AND($I1245="Phản ánh",$E1245="Đã xử lý"),INDEX('Phản ánh'!$U$6:$U$505,MATCH($C1245,'Phản ánh'!$A$6:$A$505,0)),IF(AND($I1245="Công việc",OR($E1245="Hoàn thành",$E1245="Hoàn thành kỳ")),IF(INDEX('Kế hoạch'!$B$6:$B$305,$O1245)="Đột xuất",INDEX('Kế hoạch'!$AY$6:$AY$305,$O1245),IF(N($P1245)=0,"",IF(INT($B1245)&lt;$P1245,$P1245,IF($Q1245&gt;0,$P1245+ROUND((INT($B1245)-$P1245)/$Q1245,0)*$Q1245,IF($R1245&gt;0,EDATE($P1245,ROUND((DATEDIF($P1245,INT($B1245),"m")+(INT($B1245)-EDATE($P1245,DATEDIF($P1245,INT($B1245),"m")))/(EDATE($P1245,DATEDIF($P1245,INT($B1245),"m")+1)-EDATE($P1245,DATEDIF($P1245,INT($B1245),"m"))))/$R1245,0)*$R1245),$P1245))))),"")))</f>
      </c>
      <c r="M1245" s="223">
        <f>IF(OR($C1245="",N($L1245)=0,N($B1245)=0),"",IF(IF(MOD($L1245,1)=0,INT($B1245),$B1245)&lt;=$L1245,"Đúng hạn","Trễ hạn"))</f>
      </c>
      <c r="N1245" s="225">
        <f>IF($C1245="","",ROW())</f>
      </c>
      <c r="O1245" s="225">
        <f>IF($I1245="Công việc",MATCH($C1245,'Kế hoạch'!$A$6:$A$305,0),"")</f>
      </c>
      <c r="P1245" s="234">
        <f>IF($O1245="","",INDEX('Kế hoạch'!$I$6:$I$305,$O1245))</f>
      </c>
      <c r="Q1245" s="225">
        <f>IF($O1245="","",INDEX('Kế hoạch'!$AJ$6:$AJ$305,$O1245))</f>
      </c>
      <c r="R1245" s="225">
        <f>IF($O1245="","",INDEX('Kế hoạch'!$AK$6:$AK$305,$O1245))</f>
      </c>
    </row>
    <row r="1246">
      <c r="A1246" s="223">
        <f>IF($C1246="","",COUNTIF($C$6:$C1246,"?*"))</f>
      </c>
      <c r="B1246" s="217"/>
      <c r="C1246" s="216"/>
      <c r="D1246" s="240"/>
      <c r="E1246" s="218"/>
      <c r="F1246" s="218"/>
      <c r="G1246" s="218"/>
      <c r="H1246" s="219"/>
      <c r="I1246" s="223">
        <f>IF($C1246="","",IF(ISNUMBER(MATCH($C1246,'Phản ánh'!$A$6:$A$505,0)),"Phản ánh",IF(ISNUMBER(MATCH($C1246,'Kế hoạch'!$A$6:$A$305,0)),"Công việc","Mã chưa có")))</f>
      </c>
      <c r="J1246" s="221">
        <f>IF($I1246="Phản ánh",INDEX('Phản ánh'!$C$6:$C$505,MATCH($C1246,'Phản ánh'!$A$6:$A$505,0)),IF($I1246="Công việc",INDEX('Kế hoạch'!$C$6:$C$305,$O1246),""))</f>
      </c>
      <c r="K1246" s="221">
        <f>IF($I1246="Phản ánh",INDEX('Phản ánh'!$K$6:$K$505,MATCH($C1246,'Phản ánh'!$A$6:$A$505,0))&amp;"",IF($I1246="Công việc",INDEX('Kế hoạch'!$N$6:$N$305,$O1246)&amp;"",""))</f>
      </c>
      <c r="L1246" s="220">
        <f>IF(OR($C1246="",N($B1246)=0),"",IF(AND($I1246="Phản ánh",$E1246="Đã xử lý"),INDEX('Phản ánh'!$U$6:$U$505,MATCH($C1246,'Phản ánh'!$A$6:$A$505,0)),IF(AND($I1246="Công việc",OR($E1246="Hoàn thành",$E1246="Hoàn thành kỳ")),IF(INDEX('Kế hoạch'!$B$6:$B$305,$O1246)="Đột xuất",INDEX('Kế hoạch'!$AY$6:$AY$305,$O1246),IF(N($P1246)=0,"",IF(INT($B1246)&lt;$P1246,$P1246,IF($Q1246&gt;0,$P1246+ROUND((INT($B1246)-$P1246)/$Q1246,0)*$Q1246,IF($R1246&gt;0,EDATE($P1246,ROUND((DATEDIF($P1246,INT($B1246),"m")+(INT($B1246)-EDATE($P1246,DATEDIF($P1246,INT($B1246),"m")))/(EDATE($P1246,DATEDIF($P1246,INT($B1246),"m")+1)-EDATE($P1246,DATEDIF($P1246,INT($B1246),"m"))))/$R1246,0)*$R1246),$P1246))))),"")))</f>
      </c>
      <c r="M1246" s="223">
        <f>IF(OR($C1246="",N($L1246)=0,N($B1246)=0),"",IF(IF(MOD($L1246,1)=0,INT($B1246),$B1246)&lt;=$L1246,"Đúng hạn","Trễ hạn"))</f>
      </c>
      <c r="N1246" s="225">
        <f>IF($C1246="","",ROW())</f>
      </c>
      <c r="O1246" s="225">
        <f>IF($I1246="Công việc",MATCH($C1246,'Kế hoạch'!$A$6:$A$305,0),"")</f>
      </c>
      <c r="P1246" s="234">
        <f>IF($O1246="","",INDEX('Kế hoạch'!$I$6:$I$305,$O1246))</f>
      </c>
      <c r="Q1246" s="225">
        <f>IF($O1246="","",INDEX('Kế hoạch'!$AJ$6:$AJ$305,$O1246))</f>
      </c>
      <c r="R1246" s="225">
        <f>IF($O1246="","",INDEX('Kế hoạch'!$AK$6:$AK$305,$O1246))</f>
      </c>
    </row>
    <row r="1247">
      <c r="A1247" s="223">
        <f>IF($C1247="","",COUNTIF($C$6:$C1247,"?*"))</f>
      </c>
      <c r="B1247" s="217"/>
      <c r="C1247" s="216"/>
      <c r="D1247" s="240"/>
      <c r="E1247" s="218"/>
      <c r="F1247" s="218"/>
      <c r="G1247" s="218"/>
      <c r="H1247" s="219"/>
      <c r="I1247" s="223">
        <f>IF($C1247="","",IF(ISNUMBER(MATCH($C1247,'Phản ánh'!$A$6:$A$505,0)),"Phản ánh",IF(ISNUMBER(MATCH($C1247,'Kế hoạch'!$A$6:$A$305,0)),"Công việc","Mã chưa có")))</f>
      </c>
      <c r="J1247" s="221">
        <f>IF($I1247="Phản ánh",INDEX('Phản ánh'!$C$6:$C$505,MATCH($C1247,'Phản ánh'!$A$6:$A$505,0)),IF($I1247="Công việc",INDEX('Kế hoạch'!$C$6:$C$305,$O1247),""))</f>
      </c>
      <c r="K1247" s="221">
        <f>IF($I1247="Phản ánh",INDEX('Phản ánh'!$K$6:$K$505,MATCH($C1247,'Phản ánh'!$A$6:$A$505,0))&amp;"",IF($I1247="Công việc",INDEX('Kế hoạch'!$N$6:$N$305,$O1247)&amp;"",""))</f>
      </c>
      <c r="L1247" s="220">
        <f>IF(OR($C1247="",N($B1247)=0),"",IF(AND($I1247="Phản ánh",$E1247="Đã xử lý"),INDEX('Phản ánh'!$U$6:$U$505,MATCH($C1247,'Phản ánh'!$A$6:$A$505,0)),IF(AND($I1247="Công việc",OR($E1247="Hoàn thành",$E1247="Hoàn thành kỳ")),IF(INDEX('Kế hoạch'!$B$6:$B$305,$O1247)="Đột xuất",INDEX('Kế hoạch'!$AY$6:$AY$305,$O1247),IF(N($P1247)=0,"",IF(INT($B1247)&lt;$P1247,$P1247,IF($Q1247&gt;0,$P1247+ROUND((INT($B1247)-$P1247)/$Q1247,0)*$Q1247,IF($R1247&gt;0,EDATE($P1247,ROUND((DATEDIF($P1247,INT($B1247),"m")+(INT($B1247)-EDATE($P1247,DATEDIF($P1247,INT($B1247),"m")))/(EDATE($P1247,DATEDIF($P1247,INT($B1247),"m")+1)-EDATE($P1247,DATEDIF($P1247,INT($B1247),"m"))))/$R1247,0)*$R1247),$P1247))))),"")))</f>
      </c>
      <c r="M1247" s="223">
        <f>IF(OR($C1247="",N($L1247)=0,N($B1247)=0),"",IF(IF(MOD($L1247,1)=0,INT($B1247),$B1247)&lt;=$L1247,"Đúng hạn","Trễ hạn"))</f>
      </c>
      <c r="N1247" s="225">
        <f>IF($C1247="","",ROW())</f>
      </c>
      <c r="O1247" s="225">
        <f>IF($I1247="Công việc",MATCH($C1247,'Kế hoạch'!$A$6:$A$305,0),"")</f>
      </c>
      <c r="P1247" s="234">
        <f>IF($O1247="","",INDEX('Kế hoạch'!$I$6:$I$305,$O1247))</f>
      </c>
      <c r="Q1247" s="225">
        <f>IF($O1247="","",INDEX('Kế hoạch'!$AJ$6:$AJ$305,$O1247))</f>
      </c>
      <c r="R1247" s="225">
        <f>IF($O1247="","",INDEX('Kế hoạch'!$AK$6:$AK$305,$O1247))</f>
      </c>
    </row>
    <row r="1248">
      <c r="A1248" s="223">
        <f>IF($C1248="","",COUNTIF($C$6:$C1248,"?*"))</f>
      </c>
      <c r="B1248" s="217"/>
      <c r="C1248" s="216"/>
      <c r="D1248" s="240"/>
      <c r="E1248" s="218"/>
      <c r="F1248" s="218"/>
      <c r="G1248" s="218"/>
      <c r="H1248" s="219"/>
      <c r="I1248" s="223">
        <f>IF($C1248="","",IF(ISNUMBER(MATCH($C1248,'Phản ánh'!$A$6:$A$505,0)),"Phản ánh",IF(ISNUMBER(MATCH($C1248,'Kế hoạch'!$A$6:$A$305,0)),"Công việc","Mã chưa có")))</f>
      </c>
      <c r="J1248" s="221">
        <f>IF($I1248="Phản ánh",INDEX('Phản ánh'!$C$6:$C$505,MATCH($C1248,'Phản ánh'!$A$6:$A$505,0)),IF($I1248="Công việc",INDEX('Kế hoạch'!$C$6:$C$305,$O1248),""))</f>
      </c>
      <c r="K1248" s="221">
        <f>IF($I1248="Phản ánh",INDEX('Phản ánh'!$K$6:$K$505,MATCH($C1248,'Phản ánh'!$A$6:$A$505,0))&amp;"",IF($I1248="Công việc",INDEX('Kế hoạch'!$N$6:$N$305,$O1248)&amp;"",""))</f>
      </c>
      <c r="L1248" s="220">
        <f>IF(OR($C1248="",N($B1248)=0),"",IF(AND($I1248="Phản ánh",$E1248="Đã xử lý"),INDEX('Phản ánh'!$U$6:$U$505,MATCH($C1248,'Phản ánh'!$A$6:$A$505,0)),IF(AND($I1248="Công việc",OR($E1248="Hoàn thành",$E1248="Hoàn thành kỳ")),IF(INDEX('Kế hoạch'!$B$6:$B$305,$O1248)="Đột xuất",INDEX('Kế hoạch'!$AY$6:$AY$305,$O1248),IF(N($P1248)=0,"",IF(INT($B1248)&lt;$P1248,$P1248,IF($Q1248&gt;0,$P1248+ROUND((INT($B1248)-$P1248)/$Q1248,0)*$Q1248,IF($R1248&gt;0,EDATE($P1248,ROUND((DATEDIF($P1248,INT($B1248),"m")+(INT($B1248)-EDATE($P1248,DATEDIF($P1248,INT($B1248),"m")))/(EDATE($P1248,DATEDIF($P1248,INT($B1248),"m")+1)-EDATE($P1248,DATEDIF($P1248,INT($B1248),"m"))))/$R1248,0)*$R1248),$P1248))))),"")))</f>
      </c>
      <c r="M1248" s="223">
        <f>IF(OR($C1248="",N($L1248)=0,N($B1248)=0),"",IF(IF(MOD($L1248,1)=0,INT($B1248),$B1248)&lt;=$L1248,"Đúng hạn","Trễ hạn"))</f>
      </c>
      <c r="N1248" s="225">
        <f>IF($C1248="","",ROW())</f>
      </c>
      <c r="O1248" s="225">
        <f>IF($I1248="Công việc",MATCH($C1248,'Kế hoạch'!$A$6:$A$305,0),"")</f>
      </c>
      <c r="P1248" s="234">
        <f>IF($O1248="","",INDEX('Kế hoạch'!$I$6:$I$305,$O1248))</f>
      </c>
      <c r="Q1248" s="225">
        <f>IF($O1248="","",INDEX('Kế hoạch'!$AJ$6:$AJ$305,$O1248))</f>
      </c>
      <c r="R1248" s="225">
        <f>IF($O1248="","",INDEX('Kế hoạch'!$AK$6:$AK$305,$O1248))</f>
      </c>
    </row>
    <row r="1249">
      <c r="A1249" s="223">
        <f>IF($C1249="","",COUNTIF($C$6:$C1249,"?*"))</f>
      </c>
      <c r="B1249" s="217"/>
      <c r="C1249" s="216"/>
      <c r="D1249" s="240"/>
      <c r="E1249" s="218"/>
      <c r="F1249" s="218"/>
      <c r="G1249" s="218"/>
      <c r="H1249" s="219"/>
      <c r="I1249" s="223">
        <f>IF($C1249="","",IF(ISNUMBER(MATCH($C1249,'Phản ánh'!$A$6:$A$505,0)),"Phản ánh",IF(ISNUMBER(MATCH($C1249,'Kế hoạch'!$A$6:$A$305,0)),"Công việc","Mã chưa có")))</f>
      </c>
      <c r="J1249" s="221">
        <f>IF($I1249="Phản ánh",INDEX('Phản ánh'!$C$6:$C$505,MATCH($C1249,'Phản ánh'!$A$6:$A$505,0)),IF($I1249="Công việc",INDEX('Kế hoạch'!$C$6:$C$305,$O1249),""))</f>
      </c>
      <c r="K1249" s="221">
        <f>IF($I1249="Phản ánh",INDEX('Phản ánh'!$K$6:$K$505,MATCH($C1249,'Phản ánh'!$A$6:$A$505,0))&amp;"",IF($I1249="Công việc",INDEX('Kế hoạch'!$N$6:$N$305,$O1249)&amp;"",""))</f>
      </c>
      <c r="L1249" s="220">
        <f>IF(OR($C1249="",N($B1249)=0),"",IF(AND($I1249="Phản ánh",$E1249="Đã xử lý"),INDEX('Phản ánh'!$U$6:$U$505,MATCH($C1249,'Phản ánh'!$A$6:$A$505,0)),IF(AND($I1249="Công việc",OR($E1249="Hoàn thành",$E1249="Hoàn thành kỳ")),IF(INDEX('Kế hoạch'!$B$6:$B$305,$O1249)="Đột xuất",INDEX('Kế hoạch'!$AY$6:$AY$305,$O1249),IF(N($P1249)=0,"",IF(INT($B1249)&lt;$P1249,$P1249,IF($Q1249&gt;0,$P1249+ROUND((INT($B1249)-$P1249)/$Q1249,0)*$Q1249,IF($R1249&gt;0,EDATE($P1249,ROUND((DATEDIF($P1249,INT($B1249),"m")+(INT($B1249)-EDATE($P1249,DATEDIF($P1249,INT($B1249),"m")))/(EDATE($P1249,DATEDIF($P1249,INT($B1249),"m")+1)-EDATE($P1249,DATEDIF($P1249,INT($B1249),"m"))))/$R1249,0)*$R1249),$P1249))))),"")))</f>
      </c>
      <c r="M1249" s="223">
        <f>IF(OR($C1249="",N($L1249)=0,N($B1249)=0),"",IF(IF(MOD($L1249,1)=0,INT($B1249),$B1249)&lt;=$L1249,"Đúng hạn","Trễ hạn"))</f>
      </c>
      <c r="N1249" s="225">
        <f>IF($C1249="","",ROW())</f>
      </c>
      <c r="O1249" s="225">
        <f>IF($I1249="Công việc",MATCH($C1249,'Kế hoạch'!$A$6:$A$305,0),"")</f>
      </c>
      <c r="P1249" s="234">
        <f>IF($O1249="","",INDEX('Kế hoạch'!$I$6:$I$305,$O1249))</f>
      </c>
      <c r="Q1249" s="225">
        <f>IF($O1249="","",INDEX('Kế hoạch'!$AJ$6:$AJ$305,$O1249))</f>
      </c>
      <c r="R1249" s="225">
        <f>IF($O1249="","",INDEX('Kế hoạch'!$AK$6:$AK$305,$O1249))</f>
      </c>
    </row>
    <row r="1250">
      <c r="A1250" s="223">
        <f>IF($C1250="","",COUNTIF($C$6:$C1250,"?*"))</f>
      </c>
      <c r="B1250" s="217"/>
      <c r="C1250" s="216"/>
      <c r="D1250" s="240"/>
      <c r="E1250" s="218"/>
      <c r="F1250" s="218"/>
      <c r="G1250" s="218"/>
      <c r="H1250" s="219"/>
      <c r="I1250" s="223">
        <f>IF($C1250="","",IF(ISNUMBER(MATCH($C1250,'Phản ánh'!$A$6:$A$505,0)),"Phản ánh",IF(ISNUMBER(MATCH($C1250,'Kế hoạch'!$A$6:$A$305,0)),"Công việc","Mã chưa có")))</f>
      </c>
      <c r="J1250" s="221">
        <f>IF($I1250="Phản ánh",INDEX('Phản ánh'!$C$6:$C$505,MATCH($C1250,'Phản ánh'!$A$6:$A$505,0)),IF($I1250="Công việc",INDEX('Kế hoạch'!$C$6:$C$305,$O1250),""))</f>
      </c>
      <c r="K1250" s="221">
        <f>IF($I1250="Phản ánh",INDEX('Phản ánh'!$K$6:$K$505,MATCH($C1250,'Phản ánh'!$A$6:$A$505,0))&amp;"",IF($I1250="Công việc",INDEX('Kế hoạch'!$N$6:$N$305,$O1250)&amp;"",""))</f>
      </c>
      <c r="L1250" s="220">
        <f>IF(OR($C1250="",N($B1250)=0),"",IF(AND($I1250="Phản ánh",$E1250="Đã xử lý"),INDEX('Phản ánh'!$U$6:$U$505,MATCH($C1250,'Phản ánh'!$A$6:$A$505,0)),IF(AND($I1250="Công việc",OR($E1250="Hoàn thành",$E1250="Hoàn thành kỳ")),IF(INDEX('Kế hoạch'!$B$6:$B$305,$O1250)="Đột xuất",INDEX('Kế hoạch'!$AY$6:$AY$305,$O1250),IF(N($P1250)=0,"",IF(INT($B1250)&lt;$P1250,$P1250,IF($Q1250&gt;0,$P1250+ROUND((INT($B1250)-$P1250)/$Q1250,0)*$Q1250,IF($R1250&gt;0,EDATE($P1250,ROUND((DATEDIF($P1250,INT($B1250),"m")+(INT($B1250)-EDATE($P1250,DATEDIF($P1250,INT($B1250),"m")))/(EDATE($P1250,DATEDIF($P1250,INT($B1250),"m")+1)-EDATE($P1250,DATEDIF($P1250,INT($B1250),"m"))))/$R1250,0)*$R1250),$P1250))))),"")))</f>
      </c>
      <c r="M1250" s="223">
        <f>IF(OR($C1250="",N($L1250)=0,N($B1250)=0),"",IF(IF(MOD($L1250,1)=0,INT($B1250),$B1250)&lt;=$L1250,"Đúng hạn","Trễ hạn"))</f>
      </c>
      <c r="N1250" s="225">
        <f>IF($C1250="","",ROW())</f>
      </c>
      <c r="O1250" s="225">
        <f>IF($I1250="Công việc",MATCH($C1250,'Kế hoạch'!$A$6:$A$305,0),"")</f>
      </c>
      <c r="P1250" s="234">
        <f>IF($O1250="","",INDEX('Kế hoạch'!$I$6:$I$305,$O1250))</f>
      </c>
      <c r="Q1250" s="225">
        <f>IF($O1250="","",INDEX('Kế hoạch'!$AJ$6:$AJ$305,$O1250))</f>
      </c>
      <c r="R1250" s="225">
        <f>IF($O1250="","",INDEX('Kế hoạch'!$AK$6:$AK$305,$O1250))</f>
      </c>
    </row>
    <row r="1251">
      <c r="A1251" s="223">
        <f>IF($C1251="","",COUNTIF($C$6:$C1251,"?*"))</f>
      </c>
      <c r="B1251" s="217"/>
      <c r="C1251" s="216"/>
      <c r="D1251" s="240"/>
      <c r="E1251" s="218"/>
      <c r="F1251" s="218"/>
      <c r="G1251" s="218"/>
      <c r="H1251" s="219"/>
      <c r="I1251" s="223">
        <f>IF($C1251="","",IF(ISNUMBER(MATCH($C1251,'Phản ánh'!$A$6:$A$505,0)),"Phản ánh",IF(ISNUMBER(MATCH($C1251,'Kế hoạch'!$A$6:$A$305,0)),"Công việc","Mã chưa có")))</f>
      </c>
      <c r="J1251" s="221">
        <f>IF($I1251="Phản ánh",INDEX('Phản ánh'!$C$6:$C$505,MATCH($C1251,'Phản ánh'!$A$6:$A$505,0)),IF($I1251="Công việc",INDEX('Kế hoạch'!$C$6:$C$305,$O1251),""))</f>
      </c>
      <c r="K1251" s="221">
        <f>IF($I1251="Phản ánh",INDEX('Phản ánh'!$K$6:$K$505,MATCH($C1251,'Phản ánh'!$A$6:$A$505,0))&amp;"",IF($I1251="Công việc",INDEX('Kế hoạch'!$N$6:$N$305,$O1251)&amp;"",""))</f>
      </c>
      <c r="L1251" s="220">
        <f>IF(OR($C1251="",N($B1251)=0),"",IF(AND($I1251="Phản ánh",$E1251="Đã xử lý"),INDEX('Phản ánh'!$U$6:$U$505,MATCH($C1251,'Phản ánh'!$A$6:$A$505,0)),IF(AND($I1251="Công việc",OR($E1251="Hoàn thành",$E1251="Hoàn thành kỳ")),IF(INDEX('Kế hoạch'!$B$6:$B$305,$O1251)="Đột xuất",INDEX('Kế hoạch'!$AY$6:$AY$305,$O1251),IF(N($P1251)=0,"",IF(INT($B1251)&lt;$P1251,$P1251,IF($Q1251&gt;0,$P1251+ROUND((INT($B1251)-$P1251)/$Q1251,0)*$Q1251,IF($R1251&gt;0,EDATE($P1251,ROUND((DATEDIF($P1251,INT($B1251),"m")+(INT($B1251)-EDATE($P1251,DATEDIF($P1251,INT($B1251),"m")))/(EDATE($P1251,DATEDIF($P1251,INT($B1251),"m")+1)-EDATE($P1251,DATEDIF($P1251,INT($B1251),"m"))))/$R1251,0)*$R1251),$P1251))))),"")))</f>
      </c>
      <c r="M1251" s="223">
        <f>IF(OR($C1251="",N($L1251)=0,N($B1251)=0),"",IF(IF(MOD($L1251,1)=0,INT($B1251),$B1251)&lt;=$L1251,"Đúng hạn","Trễ hạn"))</f>
      </c>
      <c r="N1251" s="225">
        <f>IF($C1251="","",ROW())</f>
      </c>
      <c r="O1251" s="225">
        <f>IF($I1251="Công việc",MATCH($C1251,'Kế hoạch'!$A$6:$A$305,0),"")</f>
      </c>
      <c r="P1251" s="234">
        <f>IF($O1251="","",INDEX('Kế hoạch'!$I$6:$I$305,$O1251))</f>
      </c>
      <c r="Q1251" s="225">
        <f>IF($O1251="","",INDEX('Kế hoạch'!$AJ$6:$AJ$305,$O1251))</f>
      </c>
      <c r="R1251" s="225">
        <f>IF($O1251="","",INDEX('Kế hoạch'!$AK$6:$AK$305,$O1251))</f>
      </c>
    </row>
    <row r="1252">
      <c r="A1252" s="223">
        <f>IF($C1252="","",COUNTIF($C$6:$C1252,"?*"))</f>
      </c>
      <c r="B1252" s="217"/>
      <c r="C1252" s="216"/>
      <c r="D1252" s="240"/>
      <c r="E1252" s="218"/>
      <c r="F1252" s="218"/>
      <c r="G1252" s="218"/>
      <c r="H1252" s="219"/>
      <c r="I1252" s="223">
        <f>IF($C1252="","",IF(ISNUMBER(MATCH($C1252,'Phản ánh'!$A$6:$A$505,0)),"Phản ánh",IF(ISNUMBER(MATCH($C1252,'Kế hoạch'!$A$6:$A$305,0)),"Công việc","Mã chưa có")))</f>
      </c>
      <c r="J1252" s="221">
        <f>IF($I1252="Phản ánh",INDEX('Phản ánh'!$C$6:$C$505,MATCH($C1252,'Phản ánh'!$A$6:$A$505,0)),IF($I1252="Công việc",INDEX('Kế hoạch'!$C$6:$C$305,$O1252),""))</f>
      </c>
      <c r="K1252" s="221">
        <f>IF($I1252="Phản ánh",INDEX('Phản ánh'!$K$6:$K$505,MATCH($C1252,'Phản ánh'!$A$6:$A$505,0))&amp;"",IF($I1252="Công việc",INDEX('Kế hoạch'!$N$6:$N$305,$O1252)&amp;"",""))</f>
      </c>
      <c r="L1252" s="220">
        <f>IF(OR($C1252="",N($B1252)=0),"",IF(AND($I1252="Phản ánh",$E1252="Đã xử lý"),INDEX('Phản ánh'!$U$6:$U$505,MATCH($C1252,'Phản ánh'!$A$6:$A$505,0)),IF(AND($I1252="Công việc",OR($E1252="Hoàn thành",$E1252="Hoàn thành kỳ")),IF(INDEX('Kế hoạch'!$B$6:$B$305,$O1252)="Đột xuất",INDEX('Kế hoạch'!$AY$6:$AY$305,$O1252),IF(N($P1252)=0,"",IF(INT($B1252)&lt;$P1252,$P1252,IF($Q1252&gt;0,$P1252+ROUND((INT($B1252)-$P1252)/$Q1252,0)*$Q1252,IF($R1252&gt;0,EDATE($P1252,ROUND((DATEDIF($P1252,INT($B1252),"m")+(INT($B1252)-EDATE($P1252,DATEDIF($P1252,INT($B1252),"m")))/(EDATE($P1252,DATEDIF($P1252,INT($B1252),"m")+1)-EDATE($P1252,DATEDIF($P1252,INT($B1252),"m"))))/$R1252,0)*$R1252),$P1252))))),"")))</f>
      </c>
      <c r="M1252" s="223">
        <f>IF(OR($C1252="",N($L1252)=0,N($B1252)=0),"",IF(IF(MOD($L1252,1)=0,INT($B1252),$B1252)&lt;=$L1252,"Đúng hạn","Trễ hạn"))</f>
      </c>
      <c r="N1252" s="225">
        <f>IF($C1252="","",ROW())</f>
      </c>
      <c r="O1252" s="225">
        <f>IF($I1252="Công việc",MATCH($C1252,'Kế hoạch'!$A$6:$A$305,0),"")</f>
      </c>
      <c r="P1252" s="234">
        <f>IF($O1252="","",INDEX('Kế hoạch'!$I$6:$I$305,$O1252))</f>
      </c>
      <c r="Q1252" s="225">
        <f>IF($O1252="","",INDEX('Kế hoạch'!$AJ$6:$AJ$305,$O1252))</f>
      </c>
      <c r="R1252" s="225">
        <f>IF($O1252="","",INDEX('Kế hoạch'!$AK$6:$AK$305,$O1252))</f>
      </c>
    </row>
    <row r="1253">
      <c r="A1253" s="223">
        <f>IF($C1253="","",COUNTIF($C$6:$C1253,"?*"))</f>
      </c>
      <c r="B1253" s="217"/>
      <c r="C1253" s="216"/>
      <c r="D1253" s="240"/>
      <c r="E1253" s="218"/>
      <c r="F1253" s="218"/>
      <c r="G1253" s="218"/>
      <c r="H1253" s="219"/>
      <c r="I1253" s="223">
        <f>IF($C1253="","",IF(ISNUMBER(MATCH($C1253,'Phản ánh'!$A$6:$A$505,0)),"Phản ánh",IF(ISNUMBER(MATCH($C1253,'Kế hoạch'!$A$6:$A$305,0)),"Công việc","Mã chưa có")))</f>
      </c>
      <c r="J1253" s="221">
        <f>IF($I1253="Phản ánh",INDEX('Phản ánh'!$C$6:$C$505,MATCH($C1253,'Phản ánh'!$A$6:$A$505,0)),IF($I1253="Công việc",INDEX('Kế hoạch'!$C$6:$C$305,$O1253),""))</f>
      </c>
      <c r="K1253" s="221">
        <f>IF($I1253="Phản ánh",INDEX('Phản ánh'!$K$6:$K$505,MATCH($C1253,'Phản ánh'!$A$6:$A$505,0))&amp;"",IF($I1253="Công việc",INDEX('Kế hoạch'!$N$6:$N$305,$O1253)&amp;"",""))</f>
      </c>
      <c r="L1253" s="220">
        <f>IF(OR($C1253="",N($B1253)=0),"",IF(AND($I1253="Phản ánh",$E1253="Đã xử lý"),INDEX('Phản ánh'!$U$6:$U$505,MATCH($C1253,'Phản ánh'!$A$6:$A$505,0)),IF(AND($I1253="Công việc",OR($E1253="Hoàn thành",$E1253="Hoàn thành kỳ")),IF(INDEX('Kế hoạch'!$B$6:$B$305,$O1253)="Đột xuất",INDEX('Kế hoạch'!$AY$6:$AY$305,$O1253),IF(N($P1253)=0,"",IF(INT($B1253)&lt;$P1253,$P1253,IF($Q1253&gt;0,$P1253+ROUND((INT($B1253)-$P1253)/$Q1253,0)*$Q1253,IF($R1253&gt;0,EDATE($P1253,ROUND((DATEDIF($P1253,INT($B1253),"m")+(INT($B1253)-EDATE($P1253,DATEDIF($P1253,INT($B1253),"m")))/(EDATE($P1253,DATEDIF($P1253,INT($B1253),"m")+1)-EDATE($P1253,DATEDIF($P1253,INT($B1253),"m"))))/$R1253,0)*$R1253),$P1253))))),"")))</f>
      </c>
      <c r="M1253" s="223">
        <f>IF(OR($C1253="",N($L1253)=0,N($B1253)=0),"",IF(IF(MOD($L1253,1)=0,INT($B1253),$B1253)&lt;=$L1253,"Đúng hạn","Trễ hạn"))</f>
      </c>
      <c r="N1253" s="225">
        <f>IF($C1253="","",ROW())</f>
      </c>
      <c r="O1253" s="225">
        <f>IF($I1253="Công việc",MATCH($C1253,'Kế hoạch'!$A$6:$A$305,0),"")</f>
      </c>
      <c r="P1253" s="234">
        <f>IF($O1253="","",INDEX('Kế hoạch'!$I$6:$I$305,$O1253))</f>
      </c>
      <c r="Q1253" s="225">
        <f>IF($O1253="","",INDEX('Kế hoạch'!$AJ$6:$AJ$305,$O1253))</f>
      </c>
      <c r="R1253" s="225">
        <f>IF($O1253="","",INDEX('Kế hoạch'!$AK$6:$AK$305,$O1253))</f>
      </c>
    </row>
    <row r="1254">
      <c r="A1254" s="223">
        <f>IF($C1254="","",COUNTIF($C$6:$C1254,"?*"))</f>
      </c>
      <c r="B1254" s="217"/>
      <c r="C1254" s="216"/>
      <c r="D1254" s="240"/>
      <c r="E1254" s="218"/>
      <c r="F1254" s="218"/>
      <c r="G1254" s="218"/>
      <c r="H1254" s="219"/>
      <c r="I1254" s="223">
        <f>IF($C1254="","",IF(ISNUMBER(MATCH($C1254,'Phản ánh'!$A$6:$A$505,0)),"Phản ánh",IF(ISNUMBER(MATCH($C1254,'Kế hoạch'!$A$6:$A$305,0)),"Công việc","Mã chưa có")))</f>
      </c>
      <c r="J1254" s="221">
        <f>IF($I1254="Phản ánh",INDEX('Phản ánh'!$C$6:$C$505,MATCH($C1254,'Phản ánh'!$A$6:$A$505,0)),IF($I1254="Công việc",INDEX('Kế hoạch'!$C$6:$C$305,$O1254),""))</f>
      </c>
      <c r="K1254" s="221">
        <f>IF($I1254="Phản ánh",INDEX('Phản ánh'!$K$6:$K$505,MATCH($C1254,'Phản ánh'!$A$6:$A$505,0))&amp;"",IF($I1254="Công việc",INDEX('Kế hoạch'!$N$6:$N$305,$O1254)&amp;"",""))</f>
      </c>
      <c r="L1254" s="220">
        <f>IF(OR($C1254="",N($B1254)=0),"",IF(AND($I1254="Phản ánh",$E1254="Đã xử lý"),INDEX('Phản ánh'!$U$6:$U$505,MATCH($C1254,'Phản ánh'!$A$6:$A$505,0)),IF(AND($I1254="Công việc",OR($E1254="Hoàn thành",$E1254="Hoàn thành kỳ")),IF(INDEX('Kế hoạch'!$B$6:$B$305,$O1254)="Đột xuất",INDEX('Kế hoạch'!$AY$6:$AY$305,$O1254),IF(N($P1254)=0,"",IF(INT($B1254)&lt;$P1254,$P1254,IF($Q1254&gt;0,$P1254+ROUND((INT($B1254)-$P1254)/$Q1254,0)*$Q1254,IF($R1254&gt;0,EDATE($P1254,ROUND((DATEDIF($P1254,INT($B1254),"m")+(INT($B1254)-EDATE($P1254,DATEDIF($P1254,INT($B1254),"m")))/(EDATE($P1254,DATEDIF($P1254,INT($B1254),"m")+1)-EDATE($P1254,DATEDIF($P1254,INT($B1254),"m"))))/$R1254,0)*$R1254),$P1254))))),"")))</f>
      </c>
      <c r="M1254" s="223">
        <f>IF(OR($C1254="",N($L1254)=0,N($B1254)=0),"",IF(IF(MOD($L1254,1)=0,INT($B1254),$B1254)&lt;=$L1254,"Đúng hạn","Trễ hạn"))</f>
      </c>
      <c r="N1254" s="225">
        <f>IF($C1254="","",ROW())</f>
      </c>
      <c r="O1254" s="225">
        <f>IF($I1254="Công việc",MATCH($C1254,'Kế hoạch'!$A$6:$A$305,0),"")</f>
      </c>
      <c r="P1254" s="234">
        <f>IF($O1254="","",INDEX('Kế hoạch'!$I$6:$I$305,$O1254))</f>
      </c>
      <c r="Q1254" s="225">
        <f>IF($O1254="","",INDEX('Kế hoạch'!$AJ$6:$AJ$305,$O1254))</f>
      </c>
      <c r="R1254" s="225">
        <f>IF($O1254="","",INDEX('Kế hoạch'!$AK$6:$AK$305,$O1254))</f>
      </c>
    </row>
    <row r="1255">
      <c r="A1255" s="223">
        <f>IF($C1255="","",COUNTIF($C$6:$C1255,"?*"))</f>
      </c>
      <c r="B1255" s="217"/>
      <c r="C1255" s="216"/>
      <c r="D1255" s="240"/>
      <c r="E1255" s="218"/>
      <c r="F1255" s="218"/>
      <c r="G1255" s="218"/>
      <c r="H1255" s="219"/>
      <c r="I1255" s="223">
        <f>IF($C1255="","",IF(ISNUMBER(MATCH($C1255,'Phản ánh'!$A$6:$A$505,0)),"Phản ánh",IF(ISNUMBER(MATCH($C1255,'Kế hoạch'!$A$6:$A$305,0)),"Công việc","Mã chưa có")))</f>
      </c>
      <c r="J1255" s="221">
        <f>IF($I1255="Phản ánh",INDEX('Phản ánh'!$C$6:$C$505,MATCH($C1255,'Phản ánh'!$A$6:$A$505,0)),IF($I1255="Công việc",INDEX('Kế hoạch'!$C$6:$C$305,$O1255),""))</f>
      </c>
      <c r="K1255" s="221">
        <f>IF($I1255="Phản ánh",INDEX('Phản ánh'!$K$6:$K$505,MATCH($C1255,'Phản ánh'!$A$6:$A$505,0))&amp;"",IF($I1255="Công việc",INDEX('Kế hoạch'!$N$6:$N$305,$O1255)&amp;"",""))</f>
      </c>
      <c r="L1255" s="220">
        <f>IF(OR($C1255="",N($B1255)=0),"",IF(AND($I1255="Phản ánh",$E1255="Đã xử lý"),INDEX('Phản ánh'!$U$6:$U$505,MATCH($C1255,'Phản ánh'!$A$6:$A$505,0)),IF(AND($I1255="Công việc",OR($E1255="Hoàn thành",$E1255="Hoàn thành kỳ")),IF(INDEX('Kế hoạch'!$B$6:$B$305,$O1255)="Đột xuất",INDEX('Kế hoạch'!$AY$6:$AY$305,$O1255),IF(N($P1255)=0,"",IF(INT($B1255)&lt;$P1255,$P1255,IF($Q1255&gt;0,$P1255+ROUND((INT($B1255)-$P1255)/$Q1255,0)*$Q1255,IF($R1255&gt;0,EDATE($P1255,ROUND((DATEDIF($P1255,INT($B1255),"m")+(INT($B1255)-EDATE($P1255,DATEDIF($P1255,INT($B1255),"m")))/(EDATE($P1255,DATEDIF($P1255,INT($B1255),"m")+1)-EDATE($P1255,DATEDIF($P1255,INT($B1255),"m"))))/$R1255,0)*$R1255),$P1255))))),"")))</f>
      </c>
      <c r="M1255" s="223">
        <f>IF(OR($C1255="",N($L1255)=0,N($B1255)=0),"",IF(IF(MOD($L1255,1)=0,INT($B1255),$B1255)&lt;=$L1255,"Đúng hạn","Trễ hạn"))</f>
      </c>
      <c r="N1255" s="225">
        <f>IF($C1255="","",ROW())</f>
      </c>
      <c r="O1255" s="225">
        <f>IF($I1255="Công việc",MATCH($C1255,'Kế hoạch'!$A$6:$A$305,0),"")</f>
      </c>
      <c r="P1255" s="234">
        <f>IF($O1255="","",INDEX('Kế hoạch'!$I$6:$I$305,$O1255))</f>
      </c>
      <c r="Q1255" s="225">
        <f>IF($O1255="","",INDEX('Kế hoạch'!$AJ$6:$AJ$305,$O1255))</f>
      </c>
      <c r="R1255" s="225">
        <f>IF($O1255="","",INDEX('Kế hoạch'!$AK$6:$AK$305,$O1255))</f>
      </c>
    </row>
    <row r="1256">
      <c r="A1256" s="223">
        <f>IF($C1256="","",COUNTIF($C$6:$C1256,"?*"))</f>
      </c>
      <c r="B1256" s="217"/>
      <c r="C1256" s="216"/>
      <c r="D1256" s="240"/>
      <c r="E1256" s="218"/>
      <c r="F1256" s="218"/>
      <c r="G1256" s="218"/>
      <c r="H1256" s="219"/>
      <c r="I1256" s="223">
        <f>IF($C1256="","",IF(ISNUMBER(MATCH($C1256,'Phản ánh'!$A$6:$A$505,0)),"Phản ánh",IF(ISNUMBER(MATCH($C1256,'Kế hoạch'!$A$6:$A$305,0)),"Công việc","Mã chưa có")))</f>
      </c>
      <c r="J1256" s="221">
        <f>IF($I1256="Phản ánh",INDEX('Phản ánh'!$C$6:$C$505,MATCH($C1256,'Phản ánh'!$A$6:$A$505,0)),IF($I1256="Công việc",INDEX('Kế hoạch'!$C$6:$C$305,$O1256),""))</f>
      </c>
      <c r="K1256" s="221">
        <f>IF($I1256="Phản ánh",INDEX('Phản ánh'!$K$6:$K$505,MATCH($C1256,'Phản ánh'!$A$6:$A$505,0))&amp;"",IF($I1256="Công việc",INDEX('Kế hoạch'!$N$6:$N$305,$O1256)&amp;"",""))</f>
      </c>
      <c r="L1256" s="220">
        <f>IF(OR($C1256="",N($B1256)=0),"",IF(AND($I1256="Phản ánh",$E1256="Đã xử lý"),INDEX('Phản ánh'!$U$6:$U$505,MATCH($C1256,'Phản ánh'!$A$6:$A$505,0)),IF(AND($I1256="Công việc",OR($E1256="Hoàn thành",$E1256="Hoàn thành kỳ")),IF(INDEX('Kế hoạch'!$B$6:$B$305,$O1256)="Đột xuất",INDEX('Kế hoạch'!$AY$6:$AY$305,$O1256),IF(N($P1256)=0,"",IF(INT($B1256)&lt;$P1256,$P1256,IF($Q1256&gt;0,$P1256+ROUND((INT($B1256)-$P1256)/$Q1256,0)*$Q1256,IF($R1256&gt;0,EDATE($P1256,ROUND((DATEDIF($P1256,INT($B1256),"m")+(INT($B1256)-EDATE($P1256,DATEDIF($P1256,INT($B1256),"m")))/(EDATE($P1256,DATEDIF($P1256,INT($B1256),"m")+1)-EDATE($P1256,DATEDIF($P1256,INT($B1256),"m"))))/$R1256,0)*$R1256),$P1256))))),"")))</f>
      </c>
      <c r="M1256" s="223">
        <f>IF(OR($C1256="",N($L1256)=0,N($B1256)=0),"",IF(IF(MOD($L1256,1)=0,INT($B1256),$B1256)&lt;=$L1256,"Đúng hạn","Trễ hạn"))</f>
      </c>
      <c r="N1256" s="225">
        <f>IF($C1256="","",ROW())</f>
      </c>
      <c r="O1256" s="225">
        <f>IF($I1256="Công việc",MATCH($C1256,'Kế hoạch'!$A$6:$A$305,0),"")</f>
      </c>
      <c r="P1256" s="234">
        <f>IF($O1256="","",INDEX('Kế hoạch'!$I$6:$I$305,$O1256))</f>
      </c>
      <c r="Q1256" s="225">
        <f>IF($O1256="","",INDEX('Kế hoạch'!$AJ$6:$AJ$305,$O1256))</f>
      </c>
      <c r="R1256" s="225">
        <f>IF($O1256="","",INDEX('Kế hoạch'!$AK$6:$AK$305,$O1256))</f>
      </c>
    </row>
    <row r="1257">
      <c r="A1257" s="223">
        <f>IF($C1257="","",COUNTIF($C$6:$C1257,"?*"))</f>
      </c>
      <c r="B1257" s="217"/>
      <c r="C1257" s="216"/>
      <c r="D1257" s="240"/>
      <c r="E1257" s="218"/>
      <c r="F1257" s="218"/>
      <c r="G1257" s="218"/>
      <c r="H1257" s="219"/>
      <c r="I1257" s="223">
        <f>IF($C1257="","",IF(ISNUMBER(MATCH($C1257,'Phản ánh'!$A$6:$A$505,0)),"Phản ánh",IF(ISNUMBER(MATCH($C1257,'Kế hoạch'!$A$6:$A$305,0)),"Công việc","Mã chưa có")))</f>
      </c>
      <c r="J1257" s="221">
        <f>IF($I1257="Phản ánh",INDEX('Phản ánh'!$C$6:$C$505,MATCH($C1257,'Phản ánh'!$A$6:$A$505,0)),IF($I1257="Công việc",INDEX('Kế hoạch'!$C$6:$C$305,$O1257),""))</f>
      </c>
      <c r="K1257" s="221">
        <f>IF($I1257="Phản ánh",INDEX('Phản ánh'!$K$6:$K$505,MATCH($C1257,'Phản ánh'!$A$6:$A$505,0))&amp;"",IF($I1257="Công việc",INDEX('Kế hoạch'!$N$6:$N$305,$O1257)&amp;"",""))</f>
      </c>
      <c r="L1257" s="220">
        <f>IF(OR($C1257="",N($B1257)=0),"",IF(AND($I1257="Phản ánh",$E1257="Đã xử lý"),INDEX('Phản ánh'!$U$6:$U$505,MATCH($C1257,'Phản ánh'!$A$6:$A$505,0)),IF(AND($I1257="Công việc",OR($E1257="Hoàn thành",$E1257="Hoàn thành kỳ")),IF(INDEX('Kế hoạch'!$B$6:$B$305,$O1257)="Đột xuất",INDEX('Kế hoạch'!$AY$6:$AY$305,$O1257),IF(N($P1257)=0,"",IF(INT($B1257)&lt;$P1257,$P1257,IF($Q1257&gt;0,$P1257+ROUND((INT($B1257)-$P1257)/$Q1257,0)*$Q1257,IF($R1257&gt;0,EDATE($P1257,ROUND((DATEDIF($P1257,INT($B1257),"m")+(INT($B1257)-EDATE($P1257,DATEDIF($P1257,INT($B1257),"m")))/(EDATE($P1257,DATEDIF($P1257,INT($B1257),"m")+1)-EDATE($P1257,DATEDIF($P1257,INT($B1257),"m"))))/$R1257,0)*$R1257),$P1257))))),"")))</f>
      </c>
      <c r="M1257" s="223">
        <f>IF(OR($C1257="",N($L1257)=0,N($B1257)=0),"",IF(IF(MOD($L1257,1)=0,INT($B1257),$B1257)&lt;=$L1257,"Đúng hạn","Trễ hạn"))</f>
      </c>
      <c r="N1257" s="225">
        <f>IF($C1257="","",ROW())</f>
      </c>
      <c r="O1257" s="225">
        <f>IF($I1257="Công việc",MATCH($C1257,'Kế hoạch'!$A$6:$A$305,0),"")</f>
      </c>
      <c r="P1257" s="234">
        <f>IF($O1257="","",INDEX('Kế hoạch'!$I$6:$I$305,$O1257))</f>
      </c>
      <c r="Q1257" s="225">
        <f>IF($O1257="","",INDEX('Kế hoạch'!$AJ$6:$AJ$305,$O1257))</f>
      </c>
      <c r="R1257" s="225">
        <f>IF($O1257="","",INDEX('Kế hoạch'!$AK$6:$AK$305,$O1257))</f>
      </c>
    </row>
    <row r="1258">
      <c r="A1258" s="223">
        <f>IF($C1258="","",COUNTIF($C$6:$C1258,"?*"))</f>
      </c>
      <c r="B1258" s="217"/>
      <c r="C1258" s="216"/>
      <c r="D1258" s="240"/>
      <c r="E1258" s="218"/>
      <c r="F1258" s="218"/>
      <c r="G1258" s="218"/>
      <c r="H1258" s="219"/>
      <c r="I1258" s="223">
        <f>IF($C1258="","",IF(ISNUMBER(MATCH($C1258,'Phản ánh'!$A$6:$A$505,0)),"Phản ánh",IF(ISNUMBER(MATCH($C1258,'Kế hoạch'!$A$6:$A$305,0)),"Công việc","Mã chưa có")))</f>
      </c>
      <c r="J1258" s="221">
        <f>IF($I1258="Phản ánh",INDEX('Phản ánh'!$C$6:$C$505,MATCH($C1258,'Phản ánh'!$A$6:$A$505,0)),IF($I1258="Công việc",INDEX('Kế hoạch'!$C$6:$C$305,$O1258),""))</f>
      </c>
      <c r="K1258" s="221">
        <f>IF($I1258="Phản ánh",INDEX('Phản ánh'!$K$6:$K$505,MATCH($C1258,'Phản ánh'!$A$6:$A$505,0))&amp;"",IF($I1258="Công việc",INDEX('Kế hoạch'!$N$6:$N$305,$O1258)&amp;"",""))</f>
      </c>
      <c r="L1258" s="220">
        <f>IF(OR($C1258="",N($B1258)=0),"",IF(AND($I1258="Phản ánh",$E1258="Đã xử lý"),INDEX('Phản ánh'!$U$6:$U$505,MATCH($C1258,'Phản ánh'!$A$6:$A$505,0)),IF(AND($I1258="Công việc",OR($E1258="Hoàn thành",$E1258="Hoàn thành kỳ")),IF(INDEX('Kế hoạch'!$B$6:$B$305,$O1258)="Đột xuất",INDEX('Kế hoạch'!$AY$6:$AY$305,$O1258),IF(N($P1258)=0,"",IF(INT($B1258)&lt;$P1258,$P1258,IF($Q1258&gt;0,$P1258+ROUND((INT($B1258)-$P1258)/$Q1258,0)*$Q1258,IF($R1258&gt;0,EDATE($P1258,ROUND((DATEDIF($P1258,INT($B1258),"m")+(INT($B1258)-EDATE($P1258,DATEDIF($P1258,INT($B1258),"m")))/(EDATE($P1258,DATEDIF($P1258,INT($B1258),"m")+1)-EDATE($P1258,DATEDIF($P1258,INT($B1258),"m"))))/$R1258,0)*$R1258),$P1258))))),"")))</f>
      </c>
      <c r="M1258" s="223">
        <f>IF(OR($C1258="",N($L1258)=0,N($B1258)=0),"",IF(IF(MOD($L1258,1)=0,INT($B1258),$B1258)&lt;=$L1258,"Đúng hạn","Trễ hạn"))</f>
      </c>
      <c r="N1258" s="225">
        <f>IF($C1258="","",ROW())</f>
      </c>
      <c r="O1258" s="225">
        <f>IF($I1258="Công việc",MATCH($C1258,'Kế hoạch'!$A$6:$A$305,0),"")</f>
      </c>
      <c r="P1258" s="234">
        <f>IF($O1258="","",INDEX('Kế hoạch'!$I$6:$I$305,$O1258))</f>
      </c>
      <c r="Q1258" s="225">
        <f>IF($O1258="","",INDEX('Kế hoạch'!$AJ$6:$AJ$305,$O1258))</f>
      </c>
      <c r="R1258" s="225">
        <f>IF($O1258="","",INDEX('Kế hoạch'!$AK$6:$AK$305,$O1258))</f>
      </c>
    </row>
    <row r="1259">
      <c r="A1259" s="223">
        <f>IF($C1259="","",COUNTIF($C$6:$C1259,"?*"))</f>
      </c>
      <c r="B1259" s="217"/>
      <c r="C1259" s="216"/>
      <c r="D1259" s="240"/>
      <c r="E1259" s="218"/>
      <c r="F1259" s="218"/>
      <c r="G1259" s="218"/>
      <c r="H1259" s="219"/>
      <c r="I1259" s="223">
        <f>IF($C1259="","",IF(ISNUMBER(MATCH($C1259,'Phản ánh'!$A$6:$A$505,0)),"Phản ánh",IF(ISNUMBER(MATCH($C1259,'Kế hoạch'!$A$6:$A$305,0)),"Công việc","Mã chưa có")))</f>
      </c>
      <c r="J1259" s="221">
        <f>IF($I1259="Phản ánh",INDEX('Phản ánh'!$C$6:$C$505,MATCH($C1259,'Phản ánh'!$A$6:$A$505,0)),IF($I1259="Công việc",INDEX('Kế hoạch'!$C$6:$C$305,$O1259),""))</f>
      </c>
      <c r="K1259" s="221">
        <f>IF($I1259="Phản ánh",INDEX('Phản ánh'!$K$6:$K$505,MATCH($C1259,'Phản ánh'!$A$6:$A$505,0))&amp;"",IF($I1259="Công việc",INDEX('Kế hoạch'!$N$6:$N$305,$O1259)&amp;"",""))</f>
      </c>
      <c r="L1259" s="220">
        <f>IF(OR($C1259="",N($B1259)=0),"",IF(AND($I1259="Phản ánh",$E1259="Đã xử lý"),INDEX('Phản ánh'!$U$6:$U$505,MATCH($C1259,'Phản ánh'!$A$6:$A$505,0)),IF(AND($I1259="Công việc",OR($E1259="Hoàn thành",$E1259="Hoàn thành kỳ")),IF(INDEX('Kế hoạch'!$B$6:$B$305,$O1259)="Đột xuất",INDEX('Kế hoạch'!$AY$6:$AY$305,$O1259),IF(N($P1259)=0,"",IF(INT($B1259)&lt;$P1259,$P1259,IF($Q1259&gt;0,$P1259+ROUND((INT($B1259)-$P1259)/$Q1259,0)*$Q1259,IF($R1259&gt;0,EDATE($P1259,ROUND((DATEDIF($P1259,INT($B1259),"m")+(INT($B1259)-EDATE($P1259,DATEDIF($P1259,INT($B1259),"m")))/(EDATE($P1259,DATEDIF($P1259,INT($B1259),"m")+1)-EDATE($P1259,DATEDIF($P1259,INT($B1259),"m"))))/$R1259,0)*$R1259),$P1259))))),"")))</f>
      </c>
      <c r="M1259" s="223">
        <f>IF(OR($C1259="",N($L1259)=0,N($B1259)=0),"",IF(IF(MOD($L1259,1)=0,INT($B1259),$B1259)&lt;=$L1259,"Đúng hạn","Trễ hạn"))</f>
      </c>
      <c r="N1259" s="225">
        <f>IF($C1259="","",ROW())</f>
      </c>
      <c r="O1259" s="225">
        <f>IF($I1259="Công việc",MATCH($C1259,'Kế hoạch'!$A$6:$A$305,0),"")</f>
      </c>
      <c r="P1259" s="234">
        <f>IF($O1259="","",INDEX('Kế hoạch'!$I$6:$I$305,$O1259))</f>
      </c>
      <c r="Q1259" s="225">
        <f>IF($O1259="","",INDEX('Kế hoạch'!$AJ$6:$AJ$305,$O1259))</f>
      </c>
      <c r="R1259" s="225">
        <f>IF($O1259="","",INDEX('Kế hoạch'!$AK$6:$AK$305,$O1259))</f>
      </c>
    </row>
    <row r="1260">
      <c r="A1260" s="223">
        <f>IF($C1260="","",COUNTIF($C$6:$C1260,"?*"))</f>
      </c>
      <c r="B1260" s="217"/>
      <c r="C1260" s="216"/>
      <c r="D1260" s="240"/>
      <c r="E1260" s="218"/>
      <c r="F1260" s="218"/>
      <c r="G1260" s="218"/>
      <c r="H1260" s="219"/>
      <c r="I1260" s="223">
        <f>IF($C1260="","",IF(ISNUMBER(MATCH($C1260,'Phản ánh'!$A$6:$A$505,0)),"Phản ánh",IF(ISNUMBER(MATCH($C1260,'Kế hoạch'!$A$6:$A$305,0)),"Công việc","Mã chưa có")))</f>
      </c>
      <c r="J1260" s="221">
        <f>IF($I1260="Phản ánh",INDEX('Phản ánh'!$C$6:$C$505,MATCH($C1260,'Phản ánh'!$A$6:$A$505,0)),IF($I1260="Công việc",INDEX('Kế hoạch'!$C$6:$C$305,$O1260),""))</f>
      </c>
      <c r="K1260" s="221">
        <f>IF($I1260="Phản ánh",INDEX('Phản ánh'!$K$6:$K$505,MATCH($C1260,'Phản ánh'!$A$6:$A$505,0))&amp;"",IF($I1260="Công việc",INDEX('Kế hoạch'!$N$6:$N$305,$O1260)&amp;"",""))</f>
      </c>
      <c r="L1260" s="220">
        <f>IF(OR($C1260="",N($B1260)=0),"",IF(AND($I1260="Phản ánh",$E1260="Đã xử lý"),INDEX('Phản ánh'!$U$6:$U$505,MATCH($C1260,'Phản ánh'!$A$6:$A$505,0)),IF(AND($I1260="Công việc",OR($E1260="Hoàn thành",$E1260="Hoàn thành kỳ")),IF(INDEX('Kế hoạch'!$B$6:$B$305,$O1260)="Đột xuất",INDEX('Kế hoạch'!$AY$6:$AY$305,$O1260),IF(N($P1260)=0,"",IF(INT($B1260)&lt;$P1260,$P1260,IF($Q1260&gt;0,$P1260+ROUND((INT($B1260)-$P1260)/$Q1260,0)*$Q1260,IF($R1260&gt;0,EDATE($P1260,ROUND((DATEDIF($P1260,INT($B1260),"m")+(INT($B1260)-EDATE($P1260,DATEDIF($P1260,INT($B1260),"m")))/(EDATE($P1260,DATEDIF($P1260,INT($B1260),"m")+1)-EDATE($P1260,DATEDIF($P1260,INT($B1260),"m"))))/$R1260,0)*$R1260),$P1260))))),"")))</f>
      </c>
      <c r="M1260" s="223">
        <f>IF(OR($C1260="",N($L1260)=0,N($B1260)=0),"",IF(IF(MOD($L1260,1)=0,INT($B1260),$B1260)&lt;=$L1260,"Đúng hạn","Trễ hạn"))</f>
      </c>
      <c r="N1260" s="225">
        <f>IF($C1260="","",ROW())</f>
      </c>
      <c r="O1260" s="225">
        <f>IF($I1260="Công việc",MATCH($C1260,'Kế hoạch'!$A$6:$A$305,0),"")</f>
      </c>
      <c r="P1260" s="234">
        <f>IF($O1260="","",INDEX('Kế hoạch'!$I$6:$I$305,$O1260))</f>
      </c>
      <c r="Q1260" s="225">
        <f>IF($O1260="","",INDEX('Kế hoạch'!$AJ$6:$AJ$305,$O1260))</f>
      </c>
      <c r="R1260" s="225">
        <f>IF($O1260="","",INDEX('Kế hoạch'!$AK$6:$AK$305,$O1260))</f>
      </c>
    </row>
    <row r="1261">
      <c r="A1261" s="223">
        <f>IF($C1261="","",COUNTIF($C$6:$C1261,"?*"))</f>
      </c>
      <c r="B1261" s="217"/>
      <c r="C1261" s="216"/>
      <c r="D1261" s="240"/>
      <c r="E1261" s="218"/>
      <c r="F1261" s="218"/>
      <c r="G1261" s="218"/>
      <c r="H1261" s="219"/>
      <c r="I1261" s="223">
        <f>IF($C1261="","",IF(ISNUMBER(MATCH($C1261,'Phản ánh'!$A$6:$A$505,0)),"Phản ánh",IF(ISNUMBER(MATCH($C1261,'Kế hoạch'!$A$6:$A$305,0)),"Công việc","Mã chưa có")))</f>
      </c>
      <c r="J1261" s="221">
        <f>IF($I1261="Phản ánh",INDEX('Phản ánh'!$C$6:$C$505,MATCH($C1261,'Phản ánh'!$A$6:$A$505,0)),IF($I1261="Công việc",INDEX('Kế hoạch'!$C$6:$C$305,$O1261),""))</f>
      </c>
      <c r="K1261" s="221">
        <f>IF($I1261="Phản ánh",INDEX('Phản ánh'!$K$6:$K$505,MATCH($C1261,'Phản ánh'!$A$6:$A$505,0))&amp;"",IF($I1261="Công việc",INDEX('Kế hoạch'!$N$6:$N$305,$O1261)&amp;"",""))</f>
      </c>
      <c r="L1261" s="220">
        <f>IF(OR($C1261="",N($B1261)=0),"",IF(AND($I1261="Phản ánh",$E1261="Đã xử lý"),INDEX('Phản ánh'!$U$6:$U$505,MATCH($C1261,'Phản ánh'!$A$6:$A$505,0)),IF(AND($I1261="Công việc",OR($E1261="Hoàn thành",$E1261="Hoàn thành kỳ")),IF(INDEX('Kế hoạch'!$B$6:$B$305,$O1261)="Đột xuất",INDEX('Kế hoạch'!$AY$6:$AY$305,$O1261),IF(N($P1261)=0,"",IF(INT($B1261)&lt;$P1261,$P1261,IF($Q1261&gt;0,$P1261+ROUND((INT($B1261)-$P1261)/$Q1261,0)*$Q1261,IF($R1261&gt;0,EDATE($P1261,ROUND((DATEDIF($P1261,INT($B1261),"m")+(INT($B1261)-EDATE($P1261,DATEDIF($P1261,INT($B1261),"m")))/(EDATE($P1261,DATEDIF($P1261,INT($B1261),"m")+1)-EDATE($P1261,DATEDIF($P1261,INT($B1261),"m"))))/$R1261,0)*$R1261),$P1261))))),"")))</f>
      </c>
      <c r="M1261" s="223">
        <f>IF(OR($C1261="",N($L1261)=0,N($B1261)=0),"",IF(IF(MOD($L1261,1)=0,INT($B1261),$B1261)&lt;=$L1261,"Đúng hạn","Trễ hạn"))</f>
      </c>
      <c r="N1261" s="225">
        <f>IF($C1261="","",ROW())</f>
      </c>
      <c r="O1261" s="225">
        <f>IF($I1261="Công việc",MATCH($C1261,'Kế hoạch'!$A$6:$A$305,0),"")</f>
      </c>
      <c r="P1261" s="234">
        <f>IF($O1261="","",INDEX('Kế hoạch'!$I$6:$I$305,$O1261))</f>
      </c>
      <c r="Q1261" s="225">
        <f>IF($O1261="","",INDEX('Kế hoạch'!$AJ$6:$AJ$305,$O1261))</f>
      </c>
      <c r="R1261" s="225">
        <f>IF($O1261="","",INDEX('Kế hoạch'!$AK$6:$AK$305,$O1261))</f>
      </c>
    </row>
    <row r="1262">
      <c r="A1262" s="223">
        <f>IF($C1262="","",COUNTIF($C$6:$C1262,"?*"))</f>
      </c>
      <c r="B1262" s="217"/>
      <c r="C1262" s="216"/>
      <c r="D1262" s="240"/>
      <c r="E1262" s="218"/>
      <c r="F1262" s="218"/>
      <c r="G1262" s="218"/>
      <c r="H1262" s="219"/>
      <c r="I1262" s="223">
        <f>IF($C1262="","",IF(ISNUMBER(MATCH($C1262,'Phản ánh'!$A$6:$A$505,0)),"Phản ánh",IF(ISNUMBER(MATCH($C1262,'Kế hoạch'!$A$6:$A$305,0)),"Công việc","Mã chưa có")))</f>
      </c>
      <c r="J1262" s="221">
        <f>IF($I1262="Phản ánh",INDEX('Phản ánh'!$C$6:$C$505,MATCH($C1262,'Phản ánh'!$A$6:$A$505,0)),IF($I1262="Công việc",INDEX('Kế hoạch'!$C$6:$C$305,$O1262),""))</f>
      </c>
      <c r="K1262" s="221">
        <f>IF($I1262="Phản ánh",INDEX('Phản ánh'!$K$6:$K$505,MATCH($C1262,'Phản ánh'!$A$6:$A$505,0))&amp;"",IF($I1262="Công việc",INDEX('Kế hoạch'!$N$6:$N$305,$O1262)&amp;"",""))</f>
      </c>
      <c r="L1262" s="220">
        <f>IF(OR($C1262="",N($B1262)=0),"",IF(AND($I1262="Phản ánh",$E1262="Đã xử lý"),INDEX('Phản ánh'!$U$6:$U$505,MATCH($C1262,'Phản ánh'!$A$6:$A$505,0)),IF(AND($I1262="Công việc",OR($E1262="Hoàn thành",$E1262="Hoàn thành kỳ")),IF(INDEX('Kế hoạch'!$B$6:$B$305,$O1262)="Đột xuất",INDEX('Kế hoạch'!$AY$6:$AY$305,$O1262),IF(N($P1262)=0,"",IF(INT($B1262)&lt;$P1262,$P1262,IF($Q1262&gt;0,$P1262+ROUND((INT($B1262)-$P1262)/$Q1262,0)*$Q1262,IF($R1262&gt;0,EDATE($P1262,ROUND((DATEDIF($P1262,INT($B1262),"m")+(INT($B1262)-EDATE($P1262,DATEDIF($P1262,INT($B1262),"m")))/(EDATE($P1262,DATEDIF($P1262,INT($B1262),"m")+1)-EDATE($P1262,DATEDIF($P1262,INT($B1262),"m"))))/$R1262,0)*$R1262),$P1262))))),"")))</f>
      </c>
      <c r="M1262" s="223">
        <f>IF(OR($C1262="",N($L1262)=0,N($B1262)=0),"",IF(IF(MOD($L1262,1)=0,INT($B1262),$B1262)&lt;=$L1262,"Đúng hạn","Trễ hạn"))</f>
      </c>
      <c r="N1262" s="225">
        <f>IF($C1262="","",ROW())</f>
      </c>
      <c r="O1262" s="225">
        <f>IF($I1262="Công việc",MATCH($C1262,'Kế hoạch'!$A$6:$A$305,0),"")</f>
      </c>
      <c r="P1262" s="234">
        <f>IF($O1262="","",INDEX('Kế hoạch'!$I$6:$I$305,$O1262))</f>
      </c>
      <c r="Q1262" s="225">
        <f>IF($O1262="","",INDEX('Kế hoạch'!$AJ$6:$AJ$305,$O1262))</f>
      </c>
      <c r="R1262" s="225">
        <f>IF($O1262="","",INDEX('Kế hoạch'!$AK$6:$AK$305,$O1262))</f>
      </c>
    </row>
    <row r="1263">
      <c r="A1263" s="223">
        <f>IF($C1263="","",COUNTIF($C$6:$C1263,"?*"))</f>
      </c>
      <c r="B1263" s="217"/>
      <c r="C1263" s="216"/>
      <c r="D1263" s="240"/>
      <c r="E1263" s="218"/>
      <c r="F1263" s="218"/>
      <c r="G1263" s="218"/>
      <c r="H1263" s="219"/>
      <c r="I1263" s="223">
        <f>IF($C1263="","",IF(ISNUMBER(MATCH($C1263,'Phản ánh'!$A$6:$A$505,0)),"Phản ánh",IF(ISNUMBER(MATCH($C1263,'Kế hoạch'!$A$6:$A$305,0)),"Công việc","Mã chưa có")))</f>
      </c>
      <c r="J1263" s="221">
        <f>IF($I1263="Phản ánh",INDEX('Phản ánh'!$C$6:$C$505,MATCH($C1263,'Phản ánh'!$A$6:$A$505,0)),IF($I1263="Công việc",INDEX('Kế hoạch'!$C$6:$C$305,$O1263),""))</f>
      </c>
      <c r="K1263" s="221">
        <f>IF($I1263="Phản ánh",INDEX('Phản ánh'!$K$6:$K$505,MATCH($C1263,'Phản ánh'!$A$6:$A$505,0))&amp;"",IF($I1263="Công việc",INDEX('Kế hoạch'!$N$6:$N$305,$O1263)&amp;"",""))</f>
      </c>
      <c r="L1263" s="220">
        <f>IF(OR($C1263="",N($B1263)=0),"",IF(AND($I1263="Phản ánh",$E1263="Đã xử lý"),INDEX('Phản ánh'!$U$6:$U$505,MATCH($C1263,'Phản ánh'!$A$6:$A$505,0)),IF(AND($I1263="Công việc",OR($E1263="Hoàn thành",$E1263="Hoàn thành kỳ")),IF(INDEX('Kế hoạch'!$B$6:$B$305,$O1263)="Đột xuất",INDEX('Kế hoạch'!$AY$6:$AY$305,$O1263),IF(N($P1263)=0,"",IF(INT($B1263)&lt;$P1263,$P1263,IF($Q1263&gt;0,$P1263+ROUND((INT($B1263)-$P1263)/$Q1263,0)*$Q1263,IF($R1263&gt;0,EDATE($P1263,ROUND((DATEDIF($P1263,INT($B1263),"m")+(INT($B1263)-EDATE($P1263,DATEDIF($P1263,INT($B1263),"m")))/(EDATE($P1263,DATEDIF($P1263,INT($B1263),"m")+1)-EDATE($P1263,DATEDIF($P1263,INT($B1263),"m"))))/$R1263,0)*$R1263),$P1263))))),"")))</f>
      </c>
      <c r="M1263" s="223">
        <f>IF(OR($C1263="",N($L1263)=0,N($B1263)=0),"",IF(IF(MOD($L1263,1)=0,INT($B1263),$B1263)&lt;=$L1263,"Đúng hạn","Trễ hạn"))</f>
      </c>
      <c r="N1263" s="225">
        <f>IF($C1263="","",ROW())</f>
      </c>
      <c r="O1263" s="225">
        <f>IF($I1263="Công việc",MATCH($C1263,'Kế hoạch'!$A$6:$A$305,0),"")</f>
      </c>
      <c r="P1263" s="234">
        <f>IF($O1263="","",INDEX('Kế hoạch'!$I$6:$I$305,$O1263))</f>
      </c>
      <c r="Q1263" s="225">
        <f>IF($O1263="","",INDEX('Kế hoạch'!$AJ$6:$AJ$305,$O1263))</f>
      </c>
      <c r="R1263" s="225">
        <f>IF($O1263="","",INDEX('Kế hoạch'!$AK$6:$AK$305,$O1263))</f>
      </c>
    </row>
    <row r="1264">
      <c r="A1264" s="223">
        <f>IF($C1264="","",COUNTIF($C$6:$C1264,"?*"))</f>
      </c>
      <c r="B1264" s="217"/>
      <c r="C1264" s="216"/>
      <c r="D1264" s="240"/>
      <c r="E1264" s="218"/>
      <c r="F1264" s="218"/>
      <c r="G1264" s="218"/>
      <c r="H1264" s="219"/>
      <c r="I1264" s="223">
        <f>IF($C1264="","",IF(ISNUMBER(MATCH($C1264,'Phản ánh'!$A$6:$A$505,0)),"Phản ánh",IF(ISNUMBER(MATCH($C1264,'Kế hoạch'!$A$6:$A$305,0)),"Công việc","Mã chưa có")))</f>
      </c>
      <c r="J1264" s="221">
        <f>IF($I1264="Phản ánh",INDEX('Phản ánh'!$C$6:$C$505,MATCH($C1264,'Phản ánh'!$A$6:$A$505,0)),IF($I1264="Công việc",INDEX('Kế hoạch'!$C$6:$C$305,$O1264),""))</f>
      </c>
      <c r="K1264" s="221">
        <f>IF($I1264="Phản ánh",INDEX('Phản ánh'!$K$6:$K$505,MATCH($C1264,'Phản ánh'!$A$6:$A$505,0))&amp;"",IF($I1264="Công việc",INDEX('Kế hoạch'!$N$6:$N$305,$O1264)&amp;"",""))</f>
      </c>
      <c r="L1264" s="220">
        <f>IF(OR($C1264="",N($B1264)=0),"",IF(AND($I1264="Phản ánh",$E1264="Đã xử lý"),INDEX('Phản ánh'!$U$6:$U$505,MATCH($C1264,'Phản ánh'!$A$6:$A$505,0)),IF(AND($I1264="Công việc",OR($E1264="Hoàn thành",$E1264="Hoàn thành kỳ")),IF(INDEX('Kế hoạch'!$B$6:$B$305,$O1264)="Đột xuất",INDEX('Kế hoạch'!$AY$6:$AY$305,$O1264),IF(N($P1264)=0,"",IF(INT($B1264)&lt;$P1264,$P1264,IF($Q1264&gt;0,$P1264+ROUND((INT($B1264)-$P1264)/$Q1264,0)*$Q1264,IF($R1264&gt;0,EDATE($P1264,ROUND((DATEDIF($P1264,INT($B1264),"m")+(INT($B1264)-EDATE($P1264,DATEDIF($P1264,INT($B1264),"m")))/(EDATE($P1264,DATEDIF($P1264,INT($B1264),"m")+1)-EDATE($P1264,DATEDIF($P1264,INT($B1264),"m"))))/$R1264,0)*$R1264),$P1264))))),"")))</f>
      </c>
      <c r="M1264" s="223">
        <f>IF(OR($C1264="",N($L1264)=0,N($B1264)=0),"",IF(IF(MOD($L1264,1)=0,INT($B1264),$B1264)&lt;=$L1264,"Đúng hạn","Trễ hạn"))</f>
      </c>
      <c r="N1264" s="225">
        <f>IF($C1264="","",ROW())</f>
      </c>
      <c r="O1264" s="225">
        <f>IF($I1264="Công việc",MATCH($C1264,'Kế hoạch'!$A$6:$A$305,0),"")</f>
      </c>
      <c r="P1264" s="234">
        <f>IF($O1264="","",INDEX('Kế hoạch'!$I$6:$I$305,$O1264))</f>
      </c>
      <c r="Q1264" s="225">
        <f>IF($O1264="","",INDEX('Kế hoạch'!$AJ$6:$AJ$305,$O1264))</f>
      </c>
      <c r="R1264" s="225">
        <f>IF($O1264="","",INDEX('Kế hoạch'!$AK$6:$AK$305,$O1264))</f>
      </c>
    </row>
    <row r="1265">
      <c r="A1265" s="223">
        <f>IF($C1265="","",COUNTIF($C$6:$C1265,"?*"))</f>
      </c>
      <c r="B1265" s="217"/>
      <c r="C1265" s="216"/>
      <c r="D1265" s="240"/>
      <c r="E1265" s="218"/>
      <c r="F1265" s="218"/>
      <c r="G1265" s="218"/>
      <c r="H1265" s="219"/>
      <c r="I1265" s="223">
        <f>IF($C1265="","",IF(ISNUMBER(MATCH($C1265,'Phản ánh'!$A$6:$A$505,0)),"Phản ánh",IF(ISNUMBER(MATCH($C1265,'Kế hoạch'!$A$6:$A$305,0)),"Công việc","Mã chưa có")))</f>
      </c>
      <c r="J1265" s="221">
        <f>IF($I1265="Phản ánh",INDEX('Phản ánh'!$C$6:$C$505,MATCH($C1265,'Phản ánh'!$A$6:$A$505,0)),IF($I1265="Công việc",INDEX('Kế hoạch'!$C$6:$C$305,$O1265),""))</f>
      </c>
      <c r="K1265" s="221">
        <f>IF($I1265="Phản ánh",INDEX('Phản ánh'!$K$6:$K$505,MATCH($C1265,'Phản ánh'!$A$6:$A$505,0))&amp;"",IF($I1265="Công việc",INDEX('Kế hoạch'!$N$6:$N$305,$O1265)&amp;"",""))</f>
      </c>
      <c r="L1265" s="220">
        <f>IF(OR($C1265="",N($B1265)=0),"",IF(AND($I1265="Phản ánh",$E1265="Đã xử lý"),INDEX('Phản ánh'!$U$6:$U$505,MATCH($C1265,'Phản ánh'!$A$6:$A$505,0)),IF(AND($I1265="Công việc",OR($E1265="Hoàn thành",$E1265="Hoàn thành kỳ")),IF(INDEX('Kế hoạch'!$B$6:$B$305,$O1265)="Đột xuất",INDEX('Kế hoạch'!$AY$6:$AY$305,$O1265),IF(N($P1265)=0,"",IF(INT($B1265)&lt;$P1265,$P1265,IF($Q1265&gt;0,$P1265+ROUND((INT($B1265)-$P1265)/$Q1265,0)*$Q1265,IF($R1265&gt;0,EDATE($P1265,ROUND((DATEDIF($P1265,INT($B1265),"m")+(INT($B1265)-EDATE($P1265,DATEDIF($P1265,INT($B1265),"m")))/(EDATE($P1265,DATEDIF($P1265,INT($B1265),"m")+1)-EDATE($P1265,DATEDIF($P1265,INT($B1265),"m"))))/$R1265,0)*$R1265),$P1265))))),"")))</f>
      </c>
      <c r="M1265" s="223">
        <f>IF(OR($C1265="",N($L1265)=0,N($B1265)=0),"",IF(IF(MOD($L1265,1)=0,INT($B1265),$B1265)&lt;=$L1265,"Đúng hạn","Trễ hạn"))</f>
      </c>
      <c r="N1265" s="225">
        <f>IF($C1265="","",ROW())</f>
      </c>
      <c r="O1265" s="225">
        <f>IF($I1265="Công việc",MATCH($C1265,'Kế hoạch'!$A$6:$A$305,0),"")</f>
      </c>
      <c r="P1265" s="234">
        <f>IF($O1265="","",INDEX('Kế hoạch'!$I$6:$I$305,$O1265))</f>
      </c>
      <c r="Q1265" s="225">
        <f>IF($O1265="","",INDEX('Kế hoạch'!$AJ$6:$AJ$305,$O1265))</f>
      </c>
      <c r="R1265" s="225">
        <f>IF($O1265="","",INDEX('Kế hoạch'!$AK$6:$AK$305,$O1265))</f>
      </c>
    </row>
    <row r="1266">
      <c r="A1266" s="223">
        <f>IF($C1266="","",COUNTIF($C$6:$C1266,"?*"))</f>
      </c>
      <c r="B1266" s="217"/>
      <c r="C1266" s="216"/>
      <c r="D1266" s="240"/>
      <c r="E1266" s="218"/>
      <c r="F1266" s="218"/>
      <c r="G1266" s="218"/>
      <c r="H1266" s="219"/>
      <c r="I1266" s="223">
        <f>IF($C1266="","",IF(ISNUMBER(MATCH($C1266,'Phản ánh'!$A$6:$A$505,0)),"Phản ánh",IF(ISNUMBER(MATCH($C1266,'Kế hoạch'!$A$6:$A$305,0)),"Công việc","Mã chưa có")))</f>
      </c>
      <c r="J1266" s="221">
        <f>IF($I1266="Phản ánh",INDEX('Phản ánh'!$C$6:$C$505,MATCH($C1266,'Phản ánh'!$A$6:$A$505,0)),IF($I1266="Công việc",INDEX('Kế hoạch'!$C$6:$C$305,$O1266),""))</f>
      </c>
      <c r="K1266" s="221">
        <f>IF($I1266="Phản ánh",INDEX('Phản ánh'!$K$6:$K$505,MATCH($C1266,'Phản ánh'!$A$6:$A$505,0))&amp;"",IF($I1266="Công việc",INDEX('Kế hoạch'!$N$6:$N$305,$O1266)&amp;"",""))</f>
      </c>
      <c r="L1266" s="220">
        <f>IF(OR($C1266="",N($B1266)=0),"",IF(AND($I1266="Phản ánh",$E1266="Đã xử lý"),INDEX('Phản ánh'!$U$6:$U$505,MATCH($C1266,'Phản ánh'!$A$6:$A$505,0)),IF(AND($I1266="Công việc",OR($E1266="Hoàn thành",$E1266="Hoàn thành kỳ")),IF(INDEX('Kế hoạch'!$B$6:$B$305,$O1266)="Đột xuất",INDEX('Kế hoạch'!$AY$6:$AY$305,$O1266),IF(N($P1266)=0,"",IF(INT($B1266)&lt;$P1266,$P1266,IF($Q1266&gt;0,$P1266+ROUND((INT($B1266)-$P1266)/$Q1266,0)*$Q1266,IF($R1266&gt;0,EDATE($P1266,ROUND((DATEDIF($P1266,INT($B1266),"m")+(INT($B1266)-EDATE($P1266,DATEDIF($P1266,INT($B1266),"m")))/(EDATE($P1266,DATEDIF($P1266,INT($B1266),"m")+1)-EDATE($P1266,DATEDIF($P1266,INT($B1266),"m"))))/$R1266,0)*$R1266),$P1266))))),"")))</f>
      </c>
      <c r="M1266" s="223">
        <f>IF(OR($C1266="",N($L1266)=0,N($B1266)=0),"",IF(IF(MOD($L1266,1)=0,INT($B1266),$B1266)&lt;=$L1266,"Đúng hạn","Trễ hạn"))</f>
      </c>
      <c r="N1266" s="225">
        <f>IF($C1266="","",ROW())</f>
      </c>
      <c r="O1266" s="225">
        <f>IF($I1266="Công việc",MATCH($C1266,'Kế hoạch'!$A$6:$A$305,0),"")</f>
      </c>
      <c r="P1266" s="234">
        <f>IF($O1266="","",INDEX('Kế hoạch'!$I$6:$I$305,$O1266))</f>
      </c>
      <c r="Q1266" s="225">
        <f>IF($O1266="","",INDEX('Kế hoạch'!$AJ$6:$AJ$305,$O1266))</f>
      </c>
      <c r="R1266" s="225">
        <f>IF($O1266="","",INDEX('Kế hoạch'!$AK$6:$AK$305,$O1266))</f>
      </c>
    </row>
    <row r="1267">
      <c r="A1267" s="223">
        <f>IF($C1267="","",COUNTIF($C$6:$C1267,"?*"))</f>
      </c>
      <c r="B1267" s="217"/>
      <c r="C1267" s="216"/>
      <c r="D1267" s="240"/>
      <c r="E1267" s="218"/>
      <c r="F1267" s="218"/>
      <c r="G1267" s="218"/>
      <c r="H1267" s="219"/>
      <c r="I1267" s="223">
        <f>IF($C1267="","",IF(ISNUMBER(MATCH($C1267,'Phản ánh'!$A$6:$A$505,0)),"Phản ánh",IF(ISNUMBER(MATCH($C1267,'Kế hoạch'!$A$6:$A$305,0)),"Công việc","Mã chưa có")))</f>
      </c>
      <c r="J1267" s="221">
        <f>IF($I1267="Phản ánh",INDEX('Phản ánh'!$C$6:$C$505,MATCH($C1267,'Phản ánh'!$A$6:$A$505,0)),IF($I1267="Công việc",INDEX('Kế hoạch'!$C$6:$C$305,$O1267),""))</f>
      </c>
      <c r="K1267" s="221">
        <f>IF($I1267="Phản ánh",INDEX('Phản ánh'!$K$6:$K$505,MATCH($C1267,'Phản ánh'!$A$6:$A$505,0))&amp;"",IF($I1267="Công việc",INDEX('Kế hoạch'!$N$6:$N$305,$O1267)&amp;"",""))</f>
      </c>
      <c r="L1267" s="220">
        <f>IF(OR($C1267="",N($B1267)=0),"",IF(AND($I1267="Phản ánh",$E1267="Đã xử lý"),INDEX('Phản ánh'!$U$6:$U$505,MATCH($C1267,'Phản ánh'!$A$6:$A$505,0)),IF(AND($I1267="Công việc",OR($E1267="Hoàn thành",$E1267="Hoàn thành kỳ")),IF(INDEX('Kế hoạch'!$B$6:$B$305,$O1267)="Đột xuất",INDEX('Kế hoạch'!$AY$6:$AY$305,$O1267),IF(N($P1267)=0,"",IF(INT($B1267)&lt;$P1267,$P1267,IF($Q1267&gt;0,$P1267+ROUND((INT($B1267)-$P1267)/$Q1267,0)*$Q1267,IF($R1267&gt;0,EDATE($P1267,ROUND((DATEDIF($P1267,INT($B1267),"m")+(INT($B1267)-EDATE($P1267,DATEDIF($P1267,INT($B1267),"m")))/(EDATE($P1267,DATEDIF($P1267,INT($B1267),"m")+1)-EDATE($P1267,DATEDIF($P1267,INT($B1267),"m"))))/$R1267,0)*$R1267),$P1267))))),"")))</f>
      </c>
      <c r="M1267" s="223">
        <f>IF(OR($C1267="",N($L1267)=0,N($B1267)=0),"",IF(IF(MOD($L1267,1)=0,INT($B1267),$B1267)&lt;=$L1267,"Đúng hạn","Trễ hạn"))</f>
      </c>
      <c r="N1267" s="225">
        <f>IF($C1267="","",ROW())</f>
      </c>
      <c r="O1267" s="225">
        <f>IF($I1267="Công việc",MATCH($C1267,'Kế hoạch'!$A$6:$A$305,0),"")</f>
      </c>
      <c r="P1267" s="234">
        <f>IF($O1267="","",INDEX('Kế hoạch'!$I$6:$I$305,$O1267))</f>
      </c>
      <c r="Q1267" s="225">
        <f>IF($O1267="","",INDEX('Kế hoạch'!$AJ$6:$AJ$305,$O1267))</f>
      </c>
      <c r="R1267" s="225">
        <f>IF($O1267="","",INDEX('Kế hoạch'!$AK$6:$AK$305,$O1267))</f>
      </c>
    </row>
    <row r="1268">
      <c r="A1268" s="223">
        <f>IF($C1268="","",COUNTIF($C$6:$C1268,"?*"))</f>
      </c>
      <c r="B1268" s="217"/>
      <c r="C1268" s="216"/>
      <c r="D1268" s="240"/>
      <c r="E1268" s="218"/>
      <c r="F1268" s="218"/>
      <c r="G1268" s="218"/>
      <c r="H1268" s="219"/>
      <c r="I1268" s="223">
        <f>IF($C1268="","",IF(ISNUMBER(MATCH($C1268,'Phản ánh'!$A$6:$A$505,0)),"Phản ánh",IF(ISNUMBER(MATCH($C1268,'Kế hoạch'!$A$6:$A$305,0)),"Công việc","Mã chưa có")))</f>
      </c>
      <c r="J1268" s="221">
        <f>IF($I1268="Phản ánh",INDEX('Phản ánh'!$C$6:$C$505,MATCH($C1268,'Phản ánh'!$A$6:$A$505,0)),IF($I1268="Công việc",INDEX('Kế hoạch'!$C$6:$C$305,$O1268),""))</f>
      </c>
      <c r="K1268" s="221">
        <f>IF($I1268="Phản ánh",INDEX('Phản ánh'!$K$6:$K$505,MATCH($C1268,'Phản ánh'!$A$6:$A$505,0))&amp;"",IF($I1268="Công việc",INDEX('Kế hoạch'!$N$6:$N$305,$O1268)&amp;"",""))</f>
      </c>
      <c r="L1268" s="220">
        <f>IF(OR($C1268="",N($B1268)=0),"",IF(AND($I1268="Phản ánh",$E1268="Đã xử lý"),INDEX('Phản ánh'!$U$6:$U$505,MATCH($C1268,'Phản ánh'!$A$6:$A$505,0)),IF(AND($I1268="Công việc",OR($E1268="Hoàn thành",$E1268="Hoàn thành kỳ")),IF(INDEX('Kế hoạch'!$B$6:$B$305,$O1268)="Đột xuất",INDEX('Kế hoạch'!$AY$6:$AY$305,$O1268),IF(N($P1268)=0,"",IF(INT($B1268)&lt;$P1268,$P1268,IF($Q1268&gt;0,$P1268+ROUND((INT($B1268)-$P1268)/$Q1268,0)*$Q1268,IF($R1268&gt;0,EDATE($P1268,ROUND((DATEDIF($P1268,INT($B1268),"m")+(INT($B1268)-EDATE($P1268,DATEDIF($P1268,INT($B1268),"m")))/(EDATE($P1268,DATEDIF($P1268,INT($B1268),"m")+1)-EDATE($P1268,DATEDIF($P1268,INT($B1268),"m"))))/$R1268,0)*$R1268),$P1268))))),"")))</f>
      </c>
      <c r="M1268" s="223">
        <f>IF(OR($C1268="",N($L1268)=0,N($B1268)=0),"",IF(IF(MOD($L1268,1)=0,INT($B1268),$B1268)&lt;=$L1268,"Đúng hạn","Trễ hạn"))</f>
      </c>
      <c r="N1268" s="225">
        <f>IF($C1268="","",ROW())</f>
      </c>
      <c r="O1268" s="225">
        <f>IF($I1268="Công việc",MATCH($C1268,'Kế hoạch'!$A$6:$A$305,0),"")</f>
      </c>
      <c r="P1268" s="234">
        <f>IF($O1268="","",INDEX('Kế hoạch'!$I$6:$I$305,$O1268))</f>
      </c>
      <c r="Q1268" s="225">
        <f>IF($O1268="","",INDEX('Kế hoạch'!$AJ$6:$AJ$305,$O1268))</f>
      </c>
      <c r="R1268" s="225">
        <f>IF($O1268="","",INDEX('Kế hoạch'!$AK$6:$AK$305,$O1268))</f>
      </c>
    </row>
    <row r="1269">
      <c r="A1269" s="223">
        <f>IF($C1269="","",COUNTIF($C$6:$C1269,"?*"))</f>
      </c>
      <c r="B1269" s="217"/>
      <c r="C1269" s="216"/>
      <c r="D1269" s="240"/>
      <c r="E1269" s="218"/>
      <c r="F1269" s="218"/>
      <c r="G1269" s="218"/>
      <c r="H1269" s="219"/>
      <c r="I1269" s="223">
        <f>IF($C1269="","",IF(ISNUMBER(MATCH($C1269,'Phản ánh'!$A$6:$A$505,0)),"Phản ánh",IF(ISNUMBER(MATCH($C1269,'Kế hoạch'!$A$6:$A$305,0)),"Công việc","Mã chưa có")))</f>
      </c>
      <c r="J1269" s="221">
        <f>IF($I1269="Phản ánh",INDEX('Phản ánh'!$C$6:$C$505,MATCH($C1269,'Phản ánh'!$A$6:$A$505,0)),IF($I1269="Công việc",INDEX('Kế hoạch'!$C$6:$C$305,$O1269),""))</f>
      </c>
      <c r="K1269" s="221">
        <f>IF($I1269="Phản ánh",INDEX('Phản ánh'!$K$6:$K$505,MATCH($C1269,'Phản ánh'!$A$6:$A$505,0))&amp;"",IF($I1269="Công việc",INDEX('Kế hoạch'!$N$6:$N$305,$O1269)&amp;"",""))</f>
      </c>
      <c r="L1269" s="220">
        <f>IF(OR($C1269="",N($B1269)=0),"",IF(AND($I1269="Phản ánh",$E1269="Đã xử lý"),INDEX('Phản ánh'!$U$6:$U$505,MATCH($C1269,'Phản ánh'!$A$6:$A$505,0)),IF(AND($I1269="Công việc",OR($E1269="Hoàn thành",$E1269="Hoàn thành kỳ")),IF(INDEX('Kế hoạch'!$B$6:$B$305,$O1269)="Đột xuất",INDEX('Kế hoạch'!$AY$6:$AY$305,$O1269),IF(N($P1269)=0,"",IF(INT($B1269)&lt;$P1269,$P1269,IF($Q1269&gt;0,$P1269+ROUND((INT($B1269)-$P1269)/$Q1269,0)*$Q1269,IF($R1269&gt;0,EDATE($P1269,ROUND((DATEDIF($P1269,INT($B1269),"m")+(INT($B1269)-EDATE($P1269,DATEDIF($P1269,INT($B1269),"m")))/(EDATE($P1269,DATEDIF($P1269,INT($B1269),"m")+1)-EDATE($P1269,DATEDIF($P1269,INT($B1269),"m"))))/$R1269,0)*$R1269),$P1269))))),"")))</f>
      </c>
      <c r="M1269" s="223">
        <f>IF(OR($C1269="",N($L1269)=0,N($B1269)=0),"",IF(IF(MOD($L1269,1)=0,INT($B1269),$B1269)&lt;=$L1269,"Đúng hạn","Trễ hạn"))</f>
      </c>
      <c r="N1269" s="225">
        <f>IF($C1269="","",ROW())</f>
      </c>
      <c r="O1269" s="225">
        <f>IF($I1269="Công việc",MATCH($C1269,'Kế hoạch'!$A$6:$A$305,0),"")</f>
      </c>
      <c r="P1269" s="234">
        <f>IF($O1269="","",INDEX('Kế hoạch'!$I$6:$I$305,$O1269))</f>
      </c>
      <c r="Q1269" s="225">
        <f>IF($O1269="","",INDEX('Kế hoạch'!$AJ$6:$AJ$305,$O1269))</f>
      </c>
      <c r="R1269" s="225">
        <f>IF($O1269="","",INDEX('Kế hoạch'!$AK$6:$AK$305,$O1269))</f>
      </c>
    </row>
    <row r="1270">
      <c r="A1270" s="223">
        <f>IF($C1270="","",COUNTIF($C$6:$C1270,"?*"))</f>
      </c>
      <c r="B1270" s="217"/>
      <c r="C1270" s="216"/>
      <c r="D1270" s="240"/>
      <c r="E1270" s="218"/>
      <c r="F1270" s="218"/>
      <c r="G1270" s="218"/>
      <c r="H1270" s="219"/>
      <c r="I1270" s="223">
        <f>IF($C1270="","",IF(ISNUMBER(MATCH($C1270,'Phản ánh'!$A$6:$A$505,0)),"Phản ánh",IF(ISNUMBER(MATCH($C1270,'Kế hoạch'!$A$6:$A$305,0)),"Công việc","Mã chưa có")))</f>
      </c>
      <c r="J1270" s="221">
        <f>IF($I1270="Phản ánh",INDEX('Phản ánh'!$C$6:$C$505,MATCH($C1270,'Phản ánh'!$A$6:$A$505,0)),IF($I1270="Công việc",INDEX('Kế hoạch'!$C$6:$C$305,$O1270),""))</f>
      </c>
      <c r="K1270" s="221">
        <f>IF($I1270="Phản ánh",INDEX('Phản ánh'!$K$6:$K$505,MATCH($C1270,'Phản ánh'!$A$6:$A$505,0))&amp;"",IF($I1270="Công việc",INDEX('Kế hoạch'!$N$6:$N$305,$O1270)&amp;"",""))</f>
      </c>
      <c r="L1270" s="220">
        <f>IF(OR($C1270="",N($B1270)=0),"",IF(AND($I1270="Phản ánh",$E1270="Đã xử lý"),INDEX('Phản ánh'!$U$6:$U$505,MATCH($C1270,'Phản ánh'!$A$6:$A$505,0)),IF(AND($I1270="Công việc",OR($E1270="Hoàn thành",$E1270="Hoàn thành kỳ")),IF(INDEX('Kế hoạch'!$B$6:$B$305,$O1270)="Đột xuất",INDEX('Kế hoạch'!$AY$6:$AY$305,$O1270),IF(N($P1270)=0,"",IF(INT($B1270)&lt;$P1270,$P1270,IF($Q1270&gt;0,$P1270+ROUND((INT($B1270)-$P1270)/$Q1270,0)*$Q1270,IF($R1270&gt;0,EDATE($P1270,ROUND((DATEDIF($P1270,INT($B1270),"m")+(INT($B1270)-EDATE($P1270,DATEDIF($P1270,INT($B1270),"m")))/(EDATE($P1270,DATEDIF($P1270,INT($B1270),"m")+1)-EDATE($P1270,DATEDIF($P1270,INT($B1270),"m"))))/$R1270,0)*$R1270),$P1270))))),"")))</f>
      </c>
      <c r="M1270" s="223">
        <f>IF(OR($C1270="",N($L1270)=0,N($B1270)=0),"",IF(IF(MOD($L1270,1)=0,INT($B1270),$B1270)&lt;=$L1270,"Đúng hạn","Trễ hạn"))</f>
      </c>
      <c r="N1270" s="225">
        <f>IF($C1270="","",ROW())</f>
      </c>
      <c r="O1270" s="225">
        <f>IF($I1270="Công việc",MATCH($C1270,'Kế hoạch'!$A$6:$A$305,0),"")</f>
      </c>
      <c r="P1270" s="234">
        <f>IF($O1270="","",INDEX('Kế hoạch'!$I$6:$I$305,$O1270))</f>
      </c>
      <c r="Q1270" s="225">
        <f>IF($O1270="","",INDEX('Kế hoạch'!$AJ$6:$AJ$305,$O1270))</f>
      </c>
      <c r="R1270" s="225">
        <f>IF($O1270="","",INDEX('Kế hoạch'!$AK$6:$AK$305,$O1270))</f>
      </c>
    </row>
    <row r="1271">
      <c r="A1271" s="223">
        <f>IF($C1271="","",COUNTIF($C$6:$C1271,"?*"))</f>
      </c>
      <c r="B1271" s="217"/>
      <c r="C1271" s="216"/>
      <c r="D1271" s="240"/>
      <c r="E1271" s="218"/>
      <c r="F1271" s="218"/>
      <c r="G1271" s="218"/>
      <c r="H1271" s="219"/>
      <c r="I1271" s="223">
        <f>IF($C1271="","",IF(ISNUMBER(MATCH($C1271,'Phản ánh'!$A$6:$A$505,0)),"Phản ánh",IF(ISNUMBER(MATCH($C1271,'Kế hoạch'!$A$6:$A$305,0)),"Công việc","Mã chưa có")))</f>
      </c>
      <c r="J1271" s="221">
        <f>IF($I1271="Phản ánh",INDEX('Phản ánh'!$C$6:$C$505,MATCH($C1271,'Phản ánh'!$A$6:$A$505,0)),IF($I1271="Công việc",INDEX('Kế hoạch'!$C$6:$C$305,$O1271),""))</f>
      </c>
      <c r="K1271" s="221">
        <f>IF($I1271="Phản ánh",INDEX('Phản ánh'!$K$6:$K$505,MATCH($C1271,'Phản ánh'!$A$6:$A$505,0))&amp;"",IF($I1271="Công việc",INDEX('Kế hoạch'!$N$6:$N$305,$O1271)&amp;"",""))</f>
      </c>
      <c r="L1271" s="220">
        <f>IF(OR($C1271="",N($B1271)=0),"",IF(AND($I1271="Phản ánh",$E1271="Đã xử lý"),INDEX('Phản ánh'!$U$6:$U$505,MATCH($C1271,'Phản ánh'!$A$6:$A$505,0)),IF(AND($I1271="Công việc",OR($E1271="Hoàn thành",$E1271="Hoàn thành kỳ")),IF(INDEX('Kế hoạch'!$B$6:$B$305,$O1271)="Đột xuất",INDEX('Kế hoạch'!$AY$6:$AY$305,$O1271),IF(N($P1271)=0,"",IF(INT($B1271)&lt;$P1271,$P1271,IF($Q1271&gt;0,$P1271+ROUND((INT($B1271)-$P1271)/$Q1271,0)*$Q1271,IF($R1271&gt;0,EDATE($P1271,ROUND((DATEDIF($P1271,INT($B1271),"m")+(INT($B1271)-EDATE($P1271,DATEDIF($P1271,INT($B1271),"m")))/(EDATE($P1271,DATEDIF($P1271,INT($B1271),"m")+1)-EDATE($P1271,DATEDIF($P1271,INT($B1271),"m"))))/$R1271,0)*$R1271),$P1271))))),"")))</f>
      </c>
      <c r="M1271" s="223">
        <f>IF(OR($C1271="",N($L1271)=0,N($B1271)=0),"",IF(IF(MOD($L1271,1)=0,INT($B1271),$B1271)&lt;=$L1271,"Đúng hạn","Trễ hạn"))</f>
      </c>
      <c r="N1271" s="225">
        <f>IF($C1271="","",ROW())</f>
      </c>
      <c r="O1271" s="225">
        <f>IF($I1271="Công việc",MATCH($C1271,'Kế hoạch'!$A$6:$A$305,0),"")</f>
      </c>
      <c r="P1271" s="234">
        <f>IF($O1271="","",INDEX('Kế hoạch'!$I$6:$I$305,$O1271))</f>
      </c>
      <c r="Q1271" s="225">
        <f>IF($O1271="","",INDEX('Kế hoạch'!$AJ$6:$AJ$305,$O1271))</f>
      </c>
      <c r="R1271" s="225">
        <f>IF($O1271="","",INDEX('Kế hoạch'!$AK$6:$AK$305,$O1271))</f>
      </c>
    </row>
    <row r="1272">
      <c r="A1272" s="223">
        <f>IF($C1272="","",COUNTIF($C$6:$C1272,"?*"))</f>
      </c>
      <c r="B1272" s="217"/>
      <c r="C1272" s="216"/>
      <c r="D1272" s="240"/>
      <c r="E1272" s="218"/>
      <c r="F1272" s="218"/>
      <c r="G1272" s="218"/>
      <c r="H1272" s="219"/>
      <c r="I1272" s="223">
        <f>IF($C1272="","",IF(ISNUMBER(MATCH($C1272,'Phản ánh'!$A$6:$A$505,0)),"Phản ánh",IF(ISNUMBER(MATCH($C1272,'Kế hoạch'!$A$6:$A$305,0)),"Công việc","Mã chưa có")))</f>
      </c>
      <c r="J1272" s="221">
        <f>IF($I1272="Phản ánh",INDEX('Phản ánh'!$C$6:$C$505,MATCH($C1272,'Phản ánh'!$A$6:$A$505,0)),IF($I1272="Công việc",INDEX('Kế hoạch'!$C$6:$C$305,$O1272),""))</f>
      </c>
      <c r="K1272" s="221">
        <f>IF($I1272="Phản ánh",INDEX('Phản ánh'!$K$6:$K$505,MATCH($C1272,'Phản ánh'!$A$6:$A$505,0))&amp;"",IF($I1272="Công việc",INDEX('Kế hoạch'!$N$6:$N$305,$O1272)&amp;"",""))</f>
      </c>
      <c r="L1272" s="220">
        <f>IF(OR($C1272="",N($B1272)=0),"",IF(AND($I1272="Phản ánh",$E1272="Đã xử lý"),INDEX('Phản ánh'!$U$6:$U$505,MATCH($C1272,'Phản ánh'!$A$6:$A$505,0)),IF(AND($I1272="Công việc",OR($E1272="Hoàn thành",$E1272="Hoàn thành kỳ")),IF(INDEX('Kế hoạch'!$B$6:$B$305,$O1272)="Đột xuất",INDEX('Kế hoạch'!$AY$6:$AY$305,$O1272),IF(N($P1272)=0,"",IF(INT($B1272)&lt;$P1272,$P1272,IF($Q1272&gt;0,$P1272+ROUND((INT($B1272)-$P1272)/$Q1272,0)*$Q1272,IF($R1272&gt;0,EDATE($P1272,ROUND((DATEDIF($P1272,INT($B1272),"m")+(INT($B1272)-EDATE($P1272,DATEDIF($P1272,INT($B1272),"m")))/(EDATE($P1272,DATEDIF($P1272,INT($B1272),"m")+1)-EDATE($P1272,DATEDIF($P1272,INT($B1272),"m"))))/$R1272,0)*$R1272),$P1272))))),"")))</f>
      </c>
      <c r="M1272" s="223">
        <f>IF(OR($C1272="",N($L1272)=0,N($B1272)=0),"",IF(IF(MOD($L1272,1)=0,INT($B1272),$B1272)&lt;=$L1272,"Đúng hạn","Trễ hạn"))</f>
      </c>
      <c r="N1272" s="225">
        <f>IF($C1272="","",ROW())</f>
      </c>
      <c r="O1272" s="225">
        <f>IF($I1272="Công việc",MATCH($C1272,'Kế hoạch'!$A$6:$A$305,0),"")</f>
      </c>
      <c r="P1272" s="234">
        <f>IF($O1272="","",INDEX('Kế hoạch'!$I$6:$I$305,$O1272))</f>
      </c>
      <c r="Q1272" s="225">
        <f>IF($O1272="","",INDEX('Kế hoạch'!$AJ$6:$AJ$305,$O1272))</f>
      </c>
      <c r="R1272" s="225">
        <f>IF($O1272="","",INDEX('Kế hoạch'!$AK$6:$AK$305,$O1272))</f>
      </c>
    </row>
    <row r="1273">
      <c r="A1273" s="223">
        <f>IF($C1273="","",COUNTIF($C$6:$C1273,"?*"))</f>
      </c>
      <c r="B1273" s="217"/>
      <c r="C1273" s="216"/>
      <c r="D1273" s="240"/>
      <c r="E1273" s="218"/>
      <c r="F1273" s="218"/>
      <c r="G1273" s="218"/>
      <c r="H1273" s="219"/>
      <c r="I1273" s="223">
        <f>IF($C1273="","",IF(ISNUMBER(MATCH($C1273,'Phản ánh'!$A$6:$A$505,0)),"Phản ánh",IF(ISNUMBER(MATCH($C1273,'Kế hoạch'!$A$6:$A$305,0)),"Công việc","Mã chưa có")))</f>
      </c>
      <c r="J1273" s="221">
        <f>IF($I1273="Phản ánh",INDEX('Phản ánh'!$C$6:$C$505,MATCH($C1273,'Phản ánh'!$A$6:$A$505,0)),IF($I1273="Công việc",INDEX('Kế hoạch'!$C$6:$C$305,$O1273),""))</f>
      </c>
      <c r="K1273" s="221">
        <f>IF($I1273="Phản ánh",INDEX('Phản ánh'!$K$6:$K$505,MATCH($C1273,'Phản ánh'!$A$6:$A$505,0))&amp;"",IF($I1273="Công việc",INDEX('Kế hoạch'!$N$6:$N$305,$O1273)&amp;"",""))</f>
      </c>
      <c r="L1273" s="220">
        <f>IF(OR($C1273="",N($B1273)=0),"",IF(AND($I1273="Phản ánh",$E1273="Đã xử lý"),INDEX('Phản ánh'!$U$6:$U$505,MATCH($C1273,'Phản ánh'!$A$6:$A$505,0)),IF(AND($I1273="Công việc",OR($E1273="Hoàn thành",$E1273="Hoàn thành kỳ")),IF(INDEX('Kế hoạch'!$B$6:$B$305,$O1273)="Đột xuất",INDEX('Kế hoạch'!$AY$6:$AY$305,$O1273),IF(N($P1273)=0,"",IF(INT($B1273)&lt;$P1273,$P1273,IF($Q1273&gt;0,$P1273+ROUND((INT($B1273)-$P1273)/$Q1273,0)*$Q1273,IF($R1273&gt;0,EDATE($P1273,ROUND((DATEDIF($P1273,INT($B1273),"m")+(INT($B1273)-EDATE($P1273,DATEDIF($P1273,INT($B1273),"m")))/(EDATE($P1273,DATEDIF($P1273,INT($B1273),"m")+1)-EDATE($P1273,DATEDIF($P1273,INT($B1273),"m"))))/$R1273,0)*$R1273),$P1273))))),"")))</f>
      </c>
      <c r="M1273" s="223">
        <f>IF(OR($C1273="",N($L1273)=0,N($B1273)=0),"",IF(IF(MOD($L1273,1)=0,INT($B1273),$B1273)&lt;=$L1273,"Đúng hạn","Trễ hạn"))</f>
      </c>
      <c r="N1273" s="225">
        <f>IF($C1273="","",ROW())</f>
      </c>
      <c r="O1273" s="225">
        <f>IF($I1273="Công việc",MATCH($C1273,'Kế hoạch'!$A$6:$A$305,0),"")</f>
      </c>
      <c r="P1273" s="234">
        <f>IF($O1273="","",INDEX('Kế hoạch'!$I$6:$I$305,$O1273))</f>
      </c>
      <c r="Q1273" s="225">
        <f>IF($O1273="","",INDEX('Kế hoạch'!$AJ$6:$AJ$305,$O1273))</f>
      </c>
      <c r="R1273" s="225">
        <f>IF($O1273="","",INDEX('Kế hoạch'!$AK$6:$AK$305,$O1273))</f>
      </c>
    </row>
    <row r="1274">
      <c r="A1274" s="223">
        <f>IF($C1274="","",COUNTIF($C$6:$C1274,"?*"))</f>
      </c>
      <c r="B1274" s="217"/>
      <c r="C1274" s="216"/>
      <c r="D1274" s="240"/>
      <c r="E1274" s="218"/>
      <c r="F1274" s="218"/>
      <c r="G1274" s="218"/>
      <c r="H1274" s="219"/>
      <c r="I1274" s="223">
        <f>IF($C1274="","",IF(ISNUMBER(MATCH($C1274,'Phản ánh'!$A$6:$A$505,0)),"Phản ánh",IF(ISNUMBER(MATCH($C1274,'Kế hoạch'!$A$6:$A$305,0)),"Công việc","Mã chưa có")))</f>
      </c>
      <c r="J1274" s="221">
        <f>IF($I1274="Phản ánh",INDEX('Phản ánh'!$C$6:$C$505,MATCH($C1274,'Phản ánh'!$A$6:$A$505,0)),IF($I1274="Công việc",INDEX('Kế hoạch'!$C$6:$C$305,$O1274),""))</f>
      </c>
      <c r="K1274" s="221">
        <f>IF($I1274="Phản ánh",INDEX('Phản ánh'!$K$6:$K$505,MATCH($C1274,'Phản ánh'!$A$6:$A$505,0))&amp;"",IF($I1274="Công việc",INDEX('Kế hoạch'!$N$6:$N$305,$O1274)&amp;"",""))</f>
      </c>
      <c r="L1274" s="220">
        <f>IF(OR($C1274="",N($B1274)=0),"",IF(AND($I1274="Phản ánh",$E1274="Đã xử lý"),INDEX('Phản ánh'!$U$6:$U$505,MATCH($C1274,'Phản ánh'!$A$6:$A$505,0)),IF(AND($I1274="Công việc",OR($E1274="Hoàn thành",$E1274="Hoàn thành kỳ")),IF(INDEX('Kế hoạch'!$B$6:$B$305,$O1274)="Đột xuất",INDEX('Kế hoạch'!$AY$6:$AY$305,$O1274),IF(N($P1274)=0,"",IF(INT($B1274)&lt;$P1274,$P1274,IF($Q1274&gt;0,$P1274+ROUND((INT($B1274)-$P1274)/$Q1274,0)*$Q1274,IF($R1274&gt;0,EDATE($P1274,ROUND((DATEDIF($P1274,INT($B1274),"m")+(INT($B1274)-EDATE($P1274,DATEDIF($P1274,INT($B1274),"m")))/(EDATE($P1274,DATEDIF($P1274,INT($B1274),"m")+1)-EDATE($P1274,DATEDIF($P1274,INT($B1274),"m"))))/$R1274,0)*$R1274),$P1274))))),"")))</f>
      </c>
      <c r="M1274" s="223">
        <f>IF(OR($C1274="",N($L1274)=0,N($B1274)=0),"",IF(IF(MOD($L1274,1)=0,INT($B1274),$B1274)&lt;=$L1274,"Đúng hạn","Trễ hạn"))</f>
      </c>
      <c r="N1274" s="225">
        <f>IF($C1274="","",ROW())</f>
      </c>
      <c r="O1274" s="225">
        <f>IF($I1274="Công việc",MATCH($C1274,'Kế hoạch'!$A$6:$A$305,0),"")</f>
      </c>
      <c r="P1274" s="234">
        <f>IF($O1274="","",INDEX('Kế hoạch'!$I$6:$I$305,$O1274))</f>
      </c>
      <c r="Q1274" s="225">
        <f>IF($O1274="","",INDEX('Kế hoạch'!$AJ$6:$AJ$305,$O1274))</f>
      </c>
      <c r="R1274" s="225">
        <f>IF($O1274="","",INDEX('Kế hoạch'!$AK$6:$AK$305,$O1274))</f>
      </c>
    </row>
    <row r="1275">
      <c r="A1275" s="223">
        <f>IF($C1275="","",COUNTIF($C$6:$C1275,"?*"))</f>
      </c>
      <c r="B1275" s="217"/>
      <c r="C1275" s="216"/>
      <c r="D1275" s="240"/>
      <c r="E1275" s="218"/>
      <c r="F1275" s="218"/>
      <c r="G1275" s="218"/>
      <c r="H1275" s="219"/>
      <c r="I1275" s="223">
        <f>IF($C1275="","",IF(ISNUMBER(MATCH($C1275,'Phản ánh'!$A$6:$A$505,0)),"Phản ánh",IF(ISNUMBER(MATCH($C1275,'Kế hoạch'!$A$6:$A$305,0)),"Công việc","Mã chưa có")))</f>
      </c>
      <c r="J1275" s="221">
        <f>IF($I1275="Phản ánh",INDEX('Phản ánh'!$C$6:$C$505,MATCH($C1275,'Phản ánh'!$A$6:$A$505,0)),IF($I1275="Công việc",INDEX('Kế hoạch'!$C$6:$C$305,$O1275),""))</f>
      </c>
      <c r="K1275" s="221">
        <f>IF($I1275="Phản ánh",INDEX('Phản ánh'!$K$6:$K$505,MATCH($C1275,'Phản ánh'!$A$6:$A$505,0))&amp;"",IF($I1275="Công việc",INDEX('Kế hoạch'!$N$6:$N$305,$O1275)&amp;"",""))</f>
      </c>
      <c r="L1275" s="220">
        <f>IF(OR($C1275="",N($B1275)=0),"",IF(AND($I1275="Phản ánh",$E1275="Đã xử lý"),INDEX('Phản ánh'!$U$6:$U$505,MATCH($C1275,'Phản ánh'!$A$6:$A$505,0)),IF(AND($I1275="Công việc",OR($E1275="Hoàn thành",$E1275="Hoàn thành kỳ")),IF(INDEX('Kế hoạch'!$B$6:$B$305,$O1275)="Đột xuất",INDEX('Kế hoạch'!$AY$6:$AY$305,$O1275),IF(N($P1275)=0,"",IF(INT($B1275)&lt;$P1275,$P1275,IF($Q1275&gt;0,$P1275+ROUND((INT($B1275)-$P1275)/$Q1275,0)*$Q1275,IF($R1275&gt;0,EDATE($P1275,ROUND((DATEDIF($P1275,INT($B1275),"m")+(INT($B1275)-EDATE($P1275,DATEDIF($P1275,INT($B1275),"m")))/(EDATE($P1275,DATEDIF($P1275,INT($B1275),"m")+1)-EDATE($P1275,DATEDIF($P1275,INT($B1275),"m"))))/$R1275,0)*$R1275),$P1275))))),"")))</f>
      </c>
      <c r="M1275" s="223">
        <f>IF(OR($C1275="",N($L1275)=0,N($B1275)=0),"",IF(IF(MOD($L1275,1)=0,INT($B1275),$B1275)&lt;=$L1275,"Đúng hạn","Trễ hạn"))</f>
      </c>
      <c r="N1275" s="225">
        <f>IF($C1275="","",ROW())</f>
      </c>
      <c r="O1275" s="225">
        <f>IF($I1275="Công việc",MATCH($C1275,'Kế hoạch'!$A$6:$A$305,0),"")</f>
      </c>
      <c r="P1275" s="234">
        <f>IF($O1275="","",INDEX('Kế hoạch'!$I$6:$I$305,$O1275))</f>
      </c>
      <c r="Q1275" s="225">
        <f>IF($O1275="","",INDEX('Kế hoạch'!$AJ$6:$AJ$305,$O1275))</f>
      </c>
      <c r="R1275" s="225">
        <f>IF($O1275="","",INDEX('Kế hoạch'!$AK$6:$AK$305,$O1275))</f>
      </c>
    </row>
    <row r="1276">
      <c r="A1276" s="223">
        <f>IF($C1276="","",COUNTIF($C$6:$C1276,"?*"))</f>
      </c>
      <c r="B1276" s="217"/>
      <c r="C1276" s="216"/>
      <c r="D1276" s="240"/>
      <c r="E1276" s="218"/>
      <c r="F1276" s="218"/>
      <c r="G1276" s="218"/>
      <c r="H1276" s="219"/>
      <c r="I1276" s="223">
        <f>IF($C1276="","",IF(ISNUMBER(MATCH($C1276,'Phản ánh'!$A$6:$A$505,0)),"Phản ánh",IF(ISNUMBER(MATCH($C1276,'Kế hoạch'!$A$6:$A$305,0)),"Công việc","Mã chưa có")))</f>
      </c>
      <c r="J1276" s="221">
        <f>IF($I1276="Phản ánh",INDEX('Phản ánh'!$C$6:$C$505,MATCH($C1276,'Phản ánh'!$A$6:$A$505,0)),IF($I1276="Công việc",INDEX('Kế hoạch'!$C$6:$C$305,$O1276),""))</f>
      </c>
      <c r="K1276" s="221">
        <f>IF($I1276="Phản ánh",INDEX('Phản ánh'!$K$6:$K$505,MATCH($C1276,'Phản ánh'!$A$6:$A$505,0))&amp;"",IF($I1276="Công việc",INDEX('Kế hoạch'!$N$6:$N$305,$O1276)&amp;"",""))</f>
      </c>
      <c r="L1276" s="220">
        <f>IF(OR($C1276="",N($B1276)=0),"",IF(AND($I1276="Phản ánh",$E1276="Đã xử lý"),INDEX('Phản ánh'!$U$6:$U$505,MATCH($C1276,'Phản ánh'!$A$6:$A$505,0)),IF(AND($I1276="Công việc",OR($E1276="Hoàn thành",$E1276="Hoàn thành kỳ")),IF(INDEX('Kế hoạch'!$B$6:$B$305,$O1276)="Đột xuất",INDEX('Kế hoạch'!$AY$6:$AY$305,$O1276),IF(N($P1276)=0,"",IF(INT($B1276)&lt;$P1276,$P1276,IF($Q1276&gt;0,$P1276+ROUND((INT($B1276)-$P1276)/$Q1276,0)*$Q1276,IF($R1276&gt;0,EDATE($P1276,ROUND((DATEDIF($P1276,INT($B1276),"m")+(INT($B1276)-EDATE($P1276,DATEDIF($P1276,INT($B1276),"m")))/(EDATE($P1276,DATEDIF($P1276,INT($B1276),"m")+1)-EDATE($P1276,DATEDIF($P1276,INT($B1276),"m"))))/$R1276,0)*$R1276),$P1276))))),"")))</f>
      </c>
      <c r="M1276" s="223">
        <f>IF(OR($C1276="",N($L1276)=0,N($B1276)=0),"",IF(IF(MOD($L1276,1)=0,INT($B1276),$B1276)&lt;=$L1276,"Đúng hạn","Trễ hạn"))</f>
      </c>
      <c r="N1276" s="225">
        <f>IF($C1276="","",ROW())</f>
      </c>
      <c r="O1276" s="225">
        <f>IF($I1276="Công việc",MATCH($C1276,'Kế hoạch'!$A$6:$A$305,0),"")</f>
      </c>
      <c r="P1276" s="234">
        <f>IF($O1276="","",INDEX('Kế hoạch'!$I$6:$I$305,$O1276))</f>
      </c>
      <c r="Q1276" s="225">
        <f>IF($O1276="","",INDEX('Kế hoạch'!$AJ$6:$AJ$305,$O1276))</f>
      </c>
      <c r="R1276" s="225">
        <f>IF($O1276="","",INDEX('Kế hoạch'!$AK$6:$AK$305,$O1276))</f>
      </c>
    </row>
    <row r="1277">
      <c r="A1277" s="223">
        <f>IF($C1277="","",COUNTIF($C$6:$C1277,"?*"))</f>
      </c>
      <c r="B1277" s="217"/>
      <c r="C1277" s="216"/>
      <c r="D1277" s="240"/>
      <c r="E1277" s="218"/>
      <c r="F1277" s="218"/>
      <c r="G1277" s="218"/>
      <c r="H1277" s="219"/>
      <c r="I1277" s="223">
        <f>IF($C1277="","",IF(ISNUMBER(MATCH($C1277,'Phản ánh'!$A$6:$A$505,0)),"Phản ánh",IF(ISNUMBER(MATCH($C1277,'Kế hoạch'!$A$6:$A$305,0)),"Công việc","Mã chưa có")))</f>
      </c>
      <c r="J1277" s="221">
        <f>IF($I1277="Phản ánh",INDEX('Phản ánh'!$C$6:$C$505,MATCH($C1277,'Phản ánh'!$A$6:$A$505,0)),IF($I1277="Công việc",INDEX('Kế hoạch'!$C$6:$C$305,$O1277),""))</f>
      </c>
      <c r="K1277" s="221">
        <f>IF($I1277="Phản ánh",INDEX('Phản ánh'!$K$6:$K$505,MATCH($C1277,'Phản ánh'!$A$6:$A$505,0))&amp;"",IF($I1277="Công việc",INDEX('Kế hoạch'!$N$6:$N$305,$O1277)&amp;"",""))</f>
      </c>
      <c r="L1277" s="220">
        <f>IF(OR($C1277="",N($B1277)=0),"",IF(AND($I1277="Phản ánh",$E1277="Đã xử lý"),INDEX('Phản ánh'!$U$6:$U$505,MATCH($C1277,'Phản ánh'!$A$6:$A$505,0)),IF(AND($I1277="Công việc",OR($E1277="Hoàn thành",$E1277="Hoàn thành kỳ")),IF(INDEX('Kế hoạch'!$B$6:$B$305,$O1277)="Đột xuất",INDEX('Kế hoạch'!$AY$6:$AY$305,$O1277),IF(N($P1277)=0,"",IF(INT($B1277)&lt;$P1277,$P1277,IF($Q1277&gt;0,$P1277+ROUND((INT($B1277)-$P1277)/$Q1277,0)*$Q1277,IF($R1277&gt;0,EDATE($P1277,ROUND((DATEDIF($P1277,INT($B1277),"m")+(INT($B1277)-EDATE($P1277,DATEDIF($P1277,INT($B1277),"m")))/(EDATE($P1277,DATEDIF($P1277,INT($B1277),"m")+1)-EDATE($P1277,DATEDIF($P1277,INT($B1277),"m"))))/$R1277,0)*$R1277),$P1277))))),"")))</f>
      </c>
      <c r="M1277" s="223">
        <f>IF(OR($C1277="",N($L1277)=0,N($B1277)=0),"",IF(IF(MOD($L1277,1)=0,INT($B1277),$B1277)&lt;=$L1277,"Đúng hạn","Trễ hạn"))</f>
      </c>
      <c r="N1277" s="225">
        <f>IF($C1277="","",ROW())</f>
      </c>
      <c r="O1277" s="225">
        <f>IF($I1277="Công việc",MATCH($C1277,'Kế hoạch'!$A$6:$A$305,0),"")</f>
      </c>
      <c r="P1277" s="234">
        <f>IF($O1277="","",INDEX('Kế hoạch'!$I$6:$I$305,$O1277))</f>
      </c>
      <c r="Q1277" s="225">
        <f>IF($O1277="","",INDEX('Kế hoạch'!$AJ$6:$AJ$305,$O1277))</f>
      </c>
      <c r="R1277" s="225">
        <f>IF($O1277="","",INDEX('Kế hoạch'!$AK$6:$AK$305,$O1277))</f>
      </c>
    </row>
    <row r="1278">
      <c r="A1278" s="223">
        <f>IF($C1278="","",COUNTIF($C$6:$C1278,"?*"))</f>
      </c>
      <c r="B1278" s="217"/>
      <c r="C1278" s="216"/>
      <c r="D1278" s="240"/>
      <c r="E1278" s="218"/>
      <c r="F1278" s="218"/>
      <c r="G1278" s="218"/>
      <c r="H1278" s="219"/>
      <c r="I1278" s="223">
        <f>IF($C1278="","",IF(ISNUMBER(MATCH($C1278,'Phản ánh'!$A$6:$A$505,0)),"Phản ánh",IF(ISNUMBER(MATCH($C1278,'Kế hoạch'!$A$6:$A$305,0)),"Công việc","Mã chưa có")))</f>
      </c>
      <c r="J1278" s="221">
        <f>IF($I1278="Phản ánh",INDEX('Phản ánh'!$C$6:$C$505,MATCH($C1278,'Phản ánh'!$A$6:$A$505,0)),IF($I1278="Công việc",INDEX('Kế hoạch'!$C$6:$C$305,$O1278),""))</f>
      </c>
      <c r="K1278" s="221">
        <f>IF($I1278="Phản ánh",INDEX('Phản ánh'!$K$6:$K$505,MATCH($C1278,'Phản ánh'!$A$6:$A$505,0))&amp;"",IF($I1278="Công việc",INDEX('Kế hoạch'!$N$6:$N$305,$O1278)&amp;"",""))</f>
      </c>
      <c r="L1278" s="220">
        <f>IF(OR($C1278="",N($B1278)=0),"",IF(AND($I1278="Phản ánh",$E1278="Đã xử lý"),INDEX('Phản ánh'!$U$6:$U$505,MATCH($C1278,'Phản ánh'!$A$6:$A$505,0)),IF(AND($I1278="Công việc",OR($E1278="Hoàn thành",$E1278="Hoàn thành kỳ")),IF(INDEX('Kế hoạch'!$B$6:$B$305,$O1278)="Đột xuất",INDEX('Kế hoạch'!$AY$6:$AY$305,$O1278),IF(N($P1278)=0,"",IF(INT($B1278)&lt;$P1278,$P1278,IF($Q1278&gt;0,$P1278+ROUND((INT($B1278)-$P1278)/$Q1278,0)*$Q1278,IF($R1278&gt;0,EDATE($P1278,ROUND((DATEDIF($P1278,INT($B1278),"m")+(INT($B1278)-EDATE($P1278,DATEDIF($P1278,INT($B1278),"m")))/(EDATE($P1278,DATEDIF($P1278,INT($B1278),"m")+1)-EDATE($P1278,DATEDIF($P1278,INT($B1278),"m"))))/$R1278,0)*$R1278),$P1278))))),"")))</f>
      </c>
      <c r="M1278" s="223">
        <f>IF(OR($C1278="",N($L1278)=0,N($B1278)=0),"",IF(IF(MOD($L1278,1)=0,INT($B1278),$B1278)&lt;=$L1278,"Đúng hạn","Trễ hạn"))</f>
      </c>
      <c r="N1278" s="225">
        <f>IF($C1278="","",ROW())</f>
      </c>
      <c r="O1278" s="225">
        <f>IF($I1278="Công việc",MATCH($C1278,'Kế hoạch'!$A$6:$A$305,0),"")</f>
      </c>
      <c r="P1278" s="234">
        <f>IF($O1278="","",INDEX('Kế hoạch'!$I$6:$I$305,$O1278))</f>
      </c>
      <c r="Q1278" s="225">
        <f>IF($O1278="","",INDEX('Kế hoạch'!$AJ$6:$AJ$305,$O1278))</f>
      </c>
      <c r="R1278" s="225">
        <f>IF($O1278="","",INDEX('Kế hoạch'!$AK$6:$AK$305,$O1278))</f>
      </c>
    </row>
    <row r="1279">
      <c r="A1279" s="223">
        <f>IF($C1279="","",COUNTIF($C$6:$C1279,"?*"))</f>
      </c>
      <c r="B1279" s="217"/>
      <c r="C1279" s="216"/>
      <c r="D1279" s="240"/>
      <c r="E1279" s="218"/>
      <c r="F1279" s="218"/>
      <c r="G1279" s="218"/>
      <c r="H1279" s="219"/>
      <c r="I1279" s="223">
        <f>IF($C1279="","",IF(ISNUMBER(MATCH($C1279,'Phản ánh'!$A$6:$A$505,0)),"Phản ánh",IF(ISNUMBER(MATCH($C1279,'Kế hoạch'!$A$6:$A$305,0)),"Công việc","Mã chưa có")))</f>
      </c>
      <c r="J1279" s="221">
        <f>IF($I1279="Phản ánh",INDEX('Phản ánh'!$C$6:$C$505,MATCH($C1279,'Phản ánh'!$A$6:$A$505,0)),IF($I1279="Công việc",INDEX('Kế hoạch'!$C$6:$C$305,$O1279),""))</f>
      </c>
      <c r="K1279" s="221">
        <f>IF($I1279="Phản ánh",INDEX('Phản ánh'!$K$6:$K$505,MATCH($C1279,'Phản ánh'!$A$6:$A$505,0))&amp;"",IF($I1279="Công việc",INDEX('Kế hoạch'!$N$6:$N$305,$O1279)&amp;"",""))</f>
      </c>
      <c r="L1279" s="220">
        <f>IF(OR($C1279="",N($B1279)=0),"",IF(AND($I1279="Phản ánh",$E1279="Đã xử lý"),INDEX('Phản ánh'!$U$6:$U$505,MATCH($C1279,'Phản ánh'!$A$6:$A$505,0)),IF(AND($I1279="Công việc",OR($E1279="Hoàn thành",$E1279="Hoàn thành kỳ")),IF(INDEX('Kế hoạch'!$B$6:$B$305,$O1279)="Đột xuất",INDEX('Kế hoạch'!$AY$6:$AY$305,$O1279),IF(N($P1279)=0,"",IF(INT($B1279)&lt;$P1279,$P1279,IF($Q1279&gt;0,$P1279+ROUND((INT($B1279)-$P1279)/$Q1279,0)*$Q1279,IF($R1279&gt;0,EDATE($P1279,ROUND((DATEDIF($P1279,INT($B1279),"m")+(INT($B1279)-EDATE($P1279,DATEDIF($P1279,INT($B1279),"m")))/(EDATE($P1279,DATEDIF($P1279,INT($B1279),"m")+1)-EDATE($P1279,DATEDIF($P1279,INT($B1279),"m"))))/$R1279,0)*$R1279),$P1279))))),"")))</f>
      </c>
      <c r="M1279" s="223">
        <f>IF(OR($C1279="",N($L1279)=0,N($B1279)=0),"",IF(IF(MOD($L1279,1)=0,INT($B1279),$B1279)&lt;=$L1279,"Đúng hạn","Trễ hạn"))</f>
      </c>
      <c r="N1279" s="225">
        <f>IF($C1279="","",ROW())</f>
      </c>
      <c r="O1279" s="225">
        <f>IF($I1279="Công việc",MATCH($C1279,'Kế hoạch'!$A$6:$A$305,0),"")</f>
      </c>
      <c r="P1279" s="234">
        <f>IF($O1279="","",INDEX('Kế hoạch'!$I$6:$I$305,$O1279))</f>
      </c>
      <c r="Q1279" s="225">
        <f>IF($O1279="","",INDEX('Kế hoạch'!$AJ$6:$AJ$305,$O1279))</f>
      </c>
      <c r="R1279" s="225">
        <f>IF($O1279="","",INDEX('Kế hoạch'!$AK$6:$AK$305,$O1279))</f>
      </c>
    </row>
    <row r="1280">
      <c r="A1280" s="223">
        <f>IF($C1280="","",COUNTIF($C$6:$C1280,"?*"))</f>
      </c>
      <c r="B1280" s="217"/>
      <c r="C1280" s="216"/>
      <c r="D1280" s="240"/>
      <c r="E1280" s="218"/>
      <c r="F1280" s="218"/>
      <c r="G1280" s="218"/>
      <c r="H1280" s="219"/>
      <c r="I1280" s="223">
        <f>IF($C1280="","",IF(ISNUMBER(MATCH($C1280,'Phản ánh'!$A$6:$A$505,0)),"Phản ánh",IF(ISNUMBER(MATCH($C1280,'Kế hoạch'!$A$6:$A$305,0)),"Công việc","Mã chưa có")))</f>
      </c>
      <c r="J1280" s="221">
        <f>IF($I1280="Phản ánh",INDEX('Phản ánh'!$C$6:$C$505,MATCH($C1280,'Phản ánh'!$A$6:$A$505,0)),IF($I1280="Công việc",INDEX('Kế hoạch'!$C$6:$C$305,$O1280),""))</f>
      </c>
      <c r="K1280" s="221">
        <f>IF($I1280="Phản ánh",INDEX('Phản ánh'!$K$6:$K$505,MATCH($C1280,'Phản ánh'!$A$6:$A$505,0))&amp;"",IF($I1280="Công việc",INDEX('Kế hoạch'!$N$6:$N$305,$O1280)&amp;"",""))</f>
      </c>
      <c r="L1280" s="220">
        <f>IF(OR($C1280="",N($B1280)=0),"",IF(AND($I1280="Phản ánh",$E1280="Đã xử lý"),INDEX('Phản ánh'!$U$6:$U$505,MATCH($C1280,'Phản ánh'!$A$6:$A$505,0)),IF(AND($I1280="Công việc",OR($E1280="Hoàn thành",$E1280="Hoàn thành kỳ")),IF(INDEX('Kế hoạch'!$B$6:$B$305,$O1280)="Đột xuất",INDEX('Kế hoạch'!$AY$6:$AY$305,$O1280),IF(N($P1280)=0,"",IF(INT($B1280)&lt;$P1280,$P1280,IF($Q1280&gt;0,$P1280+ROUND((INT($B1280)-$P1280)/$Q1280,0)*$Q1280,IF($R1280&gt;0,EDATE($P1280,ROUND((DATEDIF($P1280,INT($B1280),"m")+(INT($B1280)-EDATE($P1280,DATEDIF($P1280,INT($B1280),"m")))/(EDATE($P1280,DATEDIF($P1280,INT($B1280),"m")+1)-EDATE($P1280,DATEDIF($P1280,INT($B1280),"m"))))/$R1280,0)*$R1280),$P1280))))),"")))</f>
      </c>
      <c r="M1280" s="223">
        <f>IF(OR($C1280="",N($L1280)=0,N($B1280)=0),"",IF(IF(MOD($L1280,1)=0,INT($B1280),$B1280)&lt;=$L1280,"Đúng hạn","Trễ hạn"))</f>
      </c>
      <c r="N1280" s="225">
        <f>IF($C1280="","",ROW())</f>
      </c>
      <c r="O1280" s="225">
        <f>IF($I1280="Công việc",MATCH($C1280,'Kế hoạch'!$A$6:$A$305,0),"")</f>
      </c>
      <c r="P1280" s="234">
        <f>IF($O1280="","",INDEX('Kế hoạch'!$I$6:$I$305,$O1280))</f>
      </c>
      <c r="Q1280" s="225">
        <f>IF($O1280="","",INDEX('Kế hoạch'!$AJ$6:$AJ$305,$O1280))</f>
      </c>
      <c r="R1280" s="225">
        <f>IF($O1280="","",INDEX('Kế hoạch'!$AK$6:$AK$305,$O1280))</f>
      </c>
    </row>
    <row r="1281">
      <c r="A1281" s="223">
        <f>IF($C1281="","",COUNTIF($C$6:$C1281,"?*"))</f>
      </c>
      <c r="B1281" s="217"/>
      <c r="C1281" s="216"/>
      <c r="D1281" s="240"/>
      <c r="E1281" s="218"/>
      <c r="F1281" s="218"/>
      <c r="G1281" s="218"/>
      <c r="H1281" s="219"/>
      <c r="I1281" s="223">
        <f>IF($C1281="","",IF(ISNUMBER(MATCH($C1281,'Phản ánh'!$A$6:$A$505,0)),"Phản ánh",IF(ISNUMBER(MATCH($C1281,'Kế hoạch'!$A$6:$A$305,0)),"Công việc","Mã chưa có")))</f>
      </c>
      <c r="J1281" s="221">
        <f>IF($I1281="Phản ánh",INDEX('Phản ánh'!$C$6:$C$505,MATCH($C1281,'Phản ánh'!$A$6:$A$505,0)),IF($I1281="Công việc",INDEX('Kế hoạch'!$C$6:$C$305,$O1281),""))</f>
      </c>
      <c r="K1281" s="221">
        <f>IF($I1281="Phản ánh",INDEX('Phản ánh'!$K$6:$K$505,MATCH($C1281,'Phản ánh'!$A$6:$A$505,0))&amp;"",IF($I1281="Công việc",INDEX('Kế hoạch'!$N$6:$N$305,$O1281)&amp;"",""))</f>
      </c>
      <c r="L1281" s="220">
        <f>IF(OR($C1281="",N($B1281)=0),"",IF(AND($I1281="Phản ánh",$E1281="Đã xử lý"),INDEX('Phản ánh'!$U$6:$U$505,MATCH($C1281,'Phản ánh'!$A$6:$A$505,0)),IF(AND($I1281="Công việc",OR($E1281="Hoàn thành",$E1281="Hoàn thành kỳ")),IF(INDEX('Kế hoạch'!$B$6:$B$305,$O1281)="Đột xuất",INDEX('Kế hoạch'!$AY$6:$AY$305,$O1281),IF(N($P1281)=0,"",IF(INT($B1281)&lt;$P1281,$P1281,IF($Q1281&gt;0,$P1281+ROUND((INT($B1281)-$P1281)/$Q1281,0)*$Q1281,IF($R1281&gt;0,EDATE($P1281,ROUND((DATEDIF($P1281,INT($B1281),"m")+(INT($B1281)-EDATE($P1281,DATEDIF($P1281,INT($B1281),"m")))/(EDATE($P1281,DATEDIF($P1281,INT($B1281),"m")+1)-EDATE($P1281,DATEDIF($P1281,INT($B1281),"m"))))/$R1281,0)*$R1281),$P1281))))),"")))</f>
      </c>
      <c r="M1281" s="223">
        <f>IF(OR($C1281="",N($L1281)=0,N($B1281)=0),"",IF(IF(MOD($L1281,1)=0,INT($B1281),$B1281)&lt;=$L1281,"Đúng hạn","Trễ hạn"))</f>
      </c>
      <c r="N1281" s="225">
        <f>IF($C1281="","",ROW())</f>
      </c>
      <c r="O1281" s="225">
        <f>IF($I1281="Công việc",MATCH($C1281,'Kế hoạch'!$A$6:$A$305,0),"")</f>
      </c>
      <c r="P1281" s="234">
        <f>IF($O1281="","",INDEX('Kế hoạch'!$I$6:$I$305,$O1281))</f>
      </c>
      <c r="Q1281" s="225">
        <f>IF($O1281="","",INDEX('Kế hoạch'!$AJ$6:$AJ$305,$O1281))</f>
      </c>
      <c r="R1281" s="225">
        <f>IF($O1281="","",INDEX('Kế hoạch'!$AK$6:$AK$305,$O1281))</f>
      </c>
    </row>
    <row r="1282">
      <c r="A1282" s="223">
        <f>IF($C1282="","",COUNTIF($C$6:$C1282,"?*"))</f>
      </c>
      <c r="B1282" s="217"/>
      <c r="C1282" s="216"/>
      <c r="D1282" s="240"/>
      <c r="E1282" s="218"/>
      <c r="F1282" s="218"/>
      <c r="G1282" s="218"/>
      <c r="H1282" s="219"/>
      <c r="I1282" s="223">
        <f>IF($C1282="","",IF(ISNUMBER(MATCH($C1282,'Phản ánh'!$A$6:$A$505,0)),"Phản ánh",IF(ISNUMBER(MATCH($C1282,'Kế hoạch'!$A$6:$A$305,0)),"Công việc","Mã chưa có")))</f>
      </c>
      <c r="J1282" s="221">
        <f>IF($I1282="Phản ánh",INDEX('Phản ánh'!$C$6:$C$505,MATCH($C1282,'Phản ánh'!$A$6:$A$505,0)),IF($I1282="Công việc",INDEX('Kế hoạch'!$C$6:$C$305,$O1282),""))</f>
      </c>
      <c r="K1282" s="221">
        <f>IF($I1282="Phản ánh",INDEX('Phản ánh'!$K$6:$K$505,MATCH($C1282,'Phản ánh'!$A$6:$A$505,0))&amp;"",IF($I1282="Công việc",INDEX('Kế hoạch'!$N$6:$N$305,$O1282)&amp;"",""))</f>
      </c>
      <c r="L1282" s="220">
        <f>IF(OR($C1282="",N($B1282)=0),"",IF(AND($I1282="Phản ánh",$E1282="Đã xử lý"),INDEX('Phản ánh'!$U$6:$U$505,MATCH($C1282,'Phản ánh'!$A$6:$A$505,0)),IF(AND($I1282="Công việc",OR($E1282="Hoàn thành",$E1282="Hoàn thành kỳ")),IF(INDEX('Kế hoạch'!$B$6:$B$305,$O1282)="Đột xuất",INDEX('Kế hoạch'!$AY$6:$AY$305,$O1282),IF(N($P1282)=0,"",IF(INT($B1282)&lt;$P1282,$P1282,IF($Q1282&gt;0,$P1282+ROUND((INT($B1282)-$P1282)/$Q1282,0)*$Q1282,IF($R1282&gt;0,EDATE($P1282,ROUND((DATEDIF($P1282,INT($B1282),"m")+(INT($B1282)-EDATE($P1282,DATEDIF($P1282,INT($B1282),"m")))/(EDATE($P1282,DATEDIF($P1282,INT($B1282),"m")+1)-EDATE($P1282,DATEDIF($P1282,INT($B1282),"m"))))/$R1282,0)*$R1282),$P1282))))),"")))</f>
      </c>
      <c r="M1282" s="223">
        <f>IF(OR($C1282="",N($L1282)=0,N($B1282)=0),"",IF(IF(MOD($L1282,1)=0,INT($B1282),$B1282)&lt;=$L1282,"Đúng hạn","Trễ hạn"))</f>
      </c>
      <c r="N1282" s="225">
        <f>IF($C1282="","",ROW())</f>
      </c>
      <c r="O1282" s="225">
        <f>IF($I1282="Công việc",MATCH($C1282,'Kế hoạch'!$A$6:$A$305,0),"")</f>
      </c>
      <c r="P1282" s="234">
        <f>IF($O1282="","",INDEX('Kế hoạch'!$I$6:$I$305,$O1282))</f>
      </c>
      <c r="Q1282" s="225">
        <f>IF($O1282="","",INDEX('Kế hoạch'!$AJ$6:$AJ$305,$O1282))</f>
      </c>
      <c r="R1282" s="225">
        <f>IF($O1282="","",INDEX('Kế hoạch'!$AK$6:$AK$305,$O1282))</f>
      </c>
    </row>
    <row r="1283">
      <c r="A1283" s="223">
        <f>IF($C1283="","",COUNTIF($C$6:$C1283,"?*"))</f>
      </c>
      <c r="B1283" s="217"/>
      <c r="C1283" s="216"/>
      <c r="D1283" s="240"/>
      <c r="E1283" s="218"/>
      <c r="F1283" s="218"/>
      <c r="G1283" s="218"/>
      <c r="H1283" s="219"/>
      <c r="I1283" s="223">
        <f>IF($C1283="","",IF(ISNUMBER(MATCH($C1283,'Phản ánh'!$A$6:$A$505,0)),"Phản ánh",IF(ISNUMBER(MATCH($C1283,'Kế hoạch'!$A$6:$A$305,0)),"Công việc","Mã chưa có")))</f>
      </c>
      <c r="J1283" s="221">
        <f>IF($I1283="Phản ánh",INDEX('Phản ánh'!$C$6:$C$505,MATCH($C1283,'Phản ánh'!$A$6:$A$505,0)),IF($I1283="Công việc",INDEX('Kế hoạch'!$C$6:$C$305,$O1283),""))</f>
      </c>
      <c r="K1283" s="221">
        <f>IF($I1283="Phản ánh",INDEX('Phản ánh'!$K$6:$K$505,MATCH($C1283,'Phản ánh'!$A$6:$A$505,0))&amp;"",IF($I1283="Công việc",INDEX('Kế hoạch'!$N$6:$N$305,$O1283)&amp;"",""))</f>
      </c>
      <c r="L1283" s="220">
        <f>IF(OR($C1283="",N($B1283)=0),"",IF(AND($I1283="Phản ánh",$E1283="Đã xử lý"),INDEX('Phản ánh'!$U$6:$U$505,MATCH($C1283,'Phản ánh'!$A$6:$A$505,0)),IF(AND($I1283="Công việc",OR($E1283="Hoàn thành",$E1283="Hoàn thành kỳ")),IF(INDEX('Kế hoạch'!$B$6:$B$305,$O1283)="Đột xuất",INDEX('Kế hoạch'!$AY$6:$AY$305,$O1283),IF(N($P1283)=0,"",IF(INT($B1283)&lt;$P1283,$P1283,IF($Q1283&gt;0,$P1283+ROUND((INT($B1283)-$P1283)/$Q1283,0)*$Q1283,IF($R1283&gt;0,EDATE($P1283,ROUND((DATEDIF($P1283,INT($B1283),"m")+(INT($B1283)-EDATE($P1283,DATEDIF($P1283,INT($B1283),"m")))/(EDATE($P1283,DATEDIF($P1283,INT($B1283),"m")+1)-EDATE($P1283,DATEDIF($P1283,INT($B1283),"m"))))/$R1283,0)*$R1283),$P1283))))),"")))</f>
      </c>
      <c r="M1283" s="223">
        <f>IF(OR($C1283="",N($L1283)=0,N($B1283)=0),"",IF(IF(MOD($L1283,1)=0,INT($B1283),$B1283)&lt;=$L1283,"Đúng hạn","Trễ hạn"))</f>
      </c>
      <c r="N1283" s="225">
        <f>IF($C1283="","",ROW())</f>
      </c>
      <c r="O1283" s="225">
        <f>IF($I1283="Công việc",MATCH($C1283,'Kế hoạch'!$A$6:$A$305,0),"")</f>
      </c>
      <c r="P1283" s="234">
        <f>IF($O1283="","",INDEX('Kế hoạch'!$I$6:$I$305,$O1283))</f>
      </c>
      <c r="Q1283" s="225">
        <f>IF($O1283="","",INDEX('Kế hoạch'!$AJ$6:$AJ$305,$O1283))</f>
      </c>
      <c r="R1283" s="225">
        <f>IF($O1283="","",INDEX('Kế hoạch'!$AK$6:$AK$305,$O1283))</f>
      </c>
    </row>
    <row r="1284">
      <c r="A1284" s="223">
        <f>IF($C1284="","",COUNTIF($C$6:$C1284,"?*"))</f>
      </c>
      <c r="B1284" s="217"/>
      <c r="C1284" s="216"/>
      <c r="D1284" s="240"/>
      <c r="E1284" s="218"/>
      <c r="F1284" s="218"/>
      <c r="G1284" s="218"/>
      <c r="H1284" s="219"/>
      <c r="I1284" s="223">
        <f>IF($C1284="","",IF(ISNUMBER(MATCH($C1284,'Phản ánh'!$A$6:$A$505,0)),"Phản ánh",IF(ISNUMBER(MATCH($C1284,'Kế hoạch'!$A$6:$A$305,0)),"Công việc","Mã chưa có")))</f>
      </c>
      <c r="J1284" s="221">
        <f>IF($I1284="Phản ánh",INDEX('Phản ánh'!$C$6:$C$505,MATCH($C1284,'Phản ánh'!$A$6:$A$505,0)),IF($I1284="Công việc",INDEX('Kế hoạch'!$C$6:$C$305,$O1284),""))</f>
      </c>
      <c r="K1284" s="221">
        <f>IF($I1284="Phản ánh",INDEX('Phản ánh'!$K$6:$K$505,MATCH($C1284,'Phản ánh'!$A$6:$A$505,0))&amp;"",IF($I1284="Công việc",INDEX('Kế hoạch'!$N$6:$N$305,$O1284)&amp;"",""))</f>
      </c>
      <c r="L1284" s="220">
        <f>IF(OR($C1284="",N($B1284)=0),"",IF(AND($I1284="Phản ánh",$E1284="Đã xử lý"),INDEX('Phản ánh'!$U$6:$U$505,MATCH($C1284,'Phản ánh'!$A$6:$A$505,0)),IF(AND($I1284="Công việc",OR($E1284="Hoàn thành",$E1284="Hoàn thành kỳ")),IF(INDEX('Kế hoạch'!$B$6:$B$305,$O1284)="Đột xuất",INDEX('Kế hoạch'!$AY$6:$AY$305,$O1284),IF(N($P1284)=0,"",IF(INT($B1284)&lt;$P1284,$P1284,IF($Q1284&gt;0,$P1284+ROUND((INT($B1284)-$P1284)/$Q1284,0)*$Q1284,IF($R1284&gt;0,EDATE($P1284,ROUND((DATEDIF($P1284,INT($B1284),"m")+(INT($B1284)-EDATE($P1284,DATEDIF($P1284,INT($B1284),"m")))/(EDATE($P1284,DATEDIF($P1284,INT($B1284),"m")+1)-EDATE($P1284,DATEDIF($P1284,INT($B1284),"m"))))/$R1284,0)*$R1284),$P1284))))),"")))</f>
      </c>
      <c r="M1284" s="223">
        <f>IF(OR($C1284="",N($L1284)=0,N($B1284)=0),"",IF(IF(MOD($L1284,1)=0,INT($B1284),$B1284)&lt;=$L1284,"Đúng hạn","Trễ hạn"))</f>
      </c>
      <c r="N1284" s="225">
        <f>IF($C1284="","",ROW())</f>
      </c>
      <c r="O1284" s="225">
        <f>IF($I1284="Công việc",MATCH($C1284,'Kế hoạch'!$A$6:$A$305,0),"")</f>
      </c>
      <c r="P1284" s="234">
        <f>IF($O1284="","",INDEX('Kế hoạch'!$I$6:$I$305,$O1284))</f>
      </c>
      <c r="Q1284" s="225">
        <f>IF($O1284="","",INDEX('Kế hoạch'!$AJ$6:$AJ$305,$O1284))</f>
      </c>
      <c r="R1284" s="225">
        <f>IF($O1284="","",INDEX('Kế hoạch'!$AK$6:$AK$305,$O1284))</f>
      </c>
    </row>
    <row r="1285">
      <c r="A1285" s="223">
        <f>IF($C1285="","",COUNTIF($C$6:$C1285,"?*"))</f>
      </c>
      <c r="B1285" s="217"/>
      <c r="C1285" s="216"/>
      <c r="D1285" s="240"/>
      <c r="E1285" s="218"/>
      <c r="F1285" s="218"/>
      <c r="G1285" s="218"/>
      <c r="H1285" s="219"/>
      <c r="I1285" s="223">
        <f>IF($C1285="","",IF(ISNUMBER(MATCH($C1285,'Phản ánh'!$A$6:$A$505,0)),"Phản ánh",IF(ISNUMBER(MATCH($C1285,'Kế hoạch'!$A$6:$A$305,0)),"Công việc","Mã chưa có")))</f>
      </c>
      <c r="J1285" s="221">
        <f>IF($I1285="Phản ánh",INDEX('Phản ánh'!$C$6:$C$505,MATCH($C1285,'Phản ánh'!$A$6:$A$505,0)),IF($I1285="Công việc",INDEX('Kế hoạch'!$C$6:$C$305,$O1285),""))</f>
      </c>
      <c r="K1285" s="221">
        <f>IF($I1285="Phản ánh",INDEX('Phản ánh'!$K$6:$K$505,MATCH($C1285,'Phản ánh'!$A$6:$A$505,0))&amp;"",IF($I1285="Công việc",INDEX('Kế hoạch'!$N$6:$N$305,$O1285)&amp;"",""))</f>
      </c>
      <c r="L1285" s="220">
        <f>IF(OR($C1285="",N($B1285)=0),"",IF(AND($I1285="Phản ánh",$E1285="Đã xử lý"),INDEX('Phản ánh'!$U$6:$U$505,MATCH($C1285,'Phản ánh'!$A$6:$A$505,0)),IF(AND($I1285="Công việc",OR($E1285="Hoàn thành",$E1285="Hoàn thành kỳ")),IF(INDEX('Kế hoạch'!$B$6:$B$305,$O1285)="Đột xuất",INDEX('Kế hoạch'!$AY$6:$AY$305,$O1285),IF(N($P1285)=0,"",IF(INT($B1285)&lt;$P1285,$P1285,IF($Q1285&gt;0,$P1285+ROUND((INT($B1285)-$P1285)/$Q1285,0)*$Q1285,IF($R1285&gt;0,EDATE($P1285,ROUND((DATEDIF($P1285,INT($B1285),"m")+(INT($B1285)-EDATE($P1285,DATEDIF($P1285,INT($B1285),"m")))/(EDATE($P1285,DATEDIF($P1285,INT($B1285),"m")+1)-EDATE($P1285,DATEDIF($P1285,INT($B1285),"m"))))/$R1285,0)*$R1285),$P1285))))),"")))</f>
      </c>
      <c r="M1285" s="223">
        <f>IF(OR($C1285="",N($L1285)=0,N($B1285)=0),"",IF(IF(MOD($L1285,1)=0,INT($B1285),$B1285)&lt;=$L1285,"Đúng hạn","Trễ hạn"))</f>
      </c>
      <c r="N1285" s="225">
        <f>IF($C1285="","",ROW())</f>
      </c>
      <c r="O1285" s="225">
        <f>IF($I1285="Công việc",MATCH($C1285,'Kế hoạch'!$A$6:$A$305,0),"")</f>
      </c>
      <c r="P1285" s="234">
        <f>IF($O1285="","",INDEX('Kế hoạch'!$I$6:$I$305,$O1285))</f>
      </c>
      <c r="Q1285" s="225">
        <f>IF($O1285="","",INDEX('Kế hoạch'!$AJ$6:$AJ$305,$O1285))</f>
      </c>
      <c r="R1285" s="225">
        <f>IF($O1285="","",INDEX('Kế hoạch'!$AK$6:$AK$305,$O1285))</f>
      </c>
    </row>
    <row r="1286">
      <c r="A1286" s="223">
        <f>IF($C1286="","",COUNTIF($C$6:$C1286,"?*"))</f>
      </c>
      <c r="B1286" s="217"/>
      <c r="C1286" s="216"/>
      <c r="D1286" s="240"/>
      <c r="E1286" s="218"/>
      <c r="F1286" s="218"/>
      <c r="G1286" s="218"/>
      <c r="H1286" s="219"/>
      <c r="I1286" s="223">
        <f>IF($C1286="","",IF(ISNUMBER(MATCH($C1286,'Phản ánh'!$A$6:$A$505,0)),"Phản ánh",IF(ISNUMBER(MATCH($C1286,'Kế hoạch'!$A$6:$A$305,0)),"Công việc","Mã chưa có")))</f>
      </c>
      <c r="J1286" s="221">
        <f>IF($I1286="Phản ánh",INDEX('Phản ánh'!$C$6:$C$505,MATCH($C1286,'Phản ánh'!$A$6:$A$505,0)),IF($I1286="Công việc",INDEX('Kế hoạch'!$C$6:$C$305,$O1286),""))</f>
      </c>
      <c r="K1286" s="221">
        <f>IF($I1286="Phản ánh",INDEX('Phản ánh'!$K$6:$K$505,MATCH($C1286,'Phản ánh'!$A$6:$A$505,0))&amp;"",IF($I1286="Công việc",INDEX('Kế hoạch'!$N$6:$N$305,$O1286)&amp;"",""))</f>
      </c>
      <c r="L1286" s="220">
        <f>IF(OR($C1286="",N($B1286)=0),"",IF(AND($I1286="Phản ánh",$E1286="Đã xử lý"),INDEX('Phản ánh'!$U$6:$U$505,MATCH($C1286,'Phản ánh'!$A$6:$A$505,0)),IF(AND($I1286="Công việc",OR($E1286="Hoàn thành",$E1286="Hoàn thành kỳ")),IF(INDEX('Kế hoạch'!$B$6:$B$305,$O1286)="Đột xuất",INDEX('Kế hoạch'!$AY$6:$AY$305,$O1286),IF(N($P1286)=0,"",IF(INT($B1286)&lt;$P1286,$P1286,IF($Q1286&gt;0,$P1286+ROUND((INT($B1286)-$P1286)/$Q1286,0)*$Q1286,IF($R1286&gt;0,EDATE($P1286,ROUND((DATEDIF($P1286,INT($B1286),"m")+(INT($B1286)-EDATE($P1286,DATEDIF($P1286,INT($B1286),"m")))/(EDATE($P1286,DATEDIF($P1286,INT($B1286),"m")+1)-EDATE($P1286,DATEDIF($P1286,INT($B1286),"m"))))/$R1286,0)*$R1286),$P1286))))),"")))</f>
      </c>
      <c r="M1286" s="223">
        <f>IF(OR($C1286="",N($L1286)=0,N($B1286)=0),"",IF(IF(MOD($L1286,1)=0,INT($B1286),$B1286)&lt;=$L1286,"Đúng hạn","Trễ hạn"))</f>
      </c>
      <c r="N1286" s="225">
        <f>IF($C1286="","",ROW())</f>
      </c>
      <c r="O1286" s="225">
        <f>IF($I1286="Công việc",MATCH($C1286,'Kế hoạch'!$A$6:$A$305,0),"")</f>
      </c>
      <c r="P1286" s="234">
        <f>IF($O1286="","",INDEX('Kế hoạch'!$I$6:$I$305,$O1286))</f>
      </c>
      <c r="Q1286" s="225">
        <f>IF($O1286="","",INDEX('Kế hoạch'!$AJ$6:$AJ$305,$O1286))</f>
      </c>
      <c r="R1286" s="225">
        <f>IF($O1286="","",INDEX('Kế hoạch'!$AK$6:$AK$305,$O1286))</f>
      </c>
    </row>
    <row r="1287">
      <c r="A1287" s="223">
        <f>IF($C1287="","",COUNTIF($C$6:$C1287,"?*"))</f>
      </c>
      <c r="B1287" s="217"/>
      <c r="C1287" s="216"/>
      <c r="D1287" s="240"/>
      <c r="E1287" s="218"/>
      <c r="F1287" s="218"/>
      <c r="G1287" s="218"/>
      <c r="H1287" s="219"/>
      <c r="I1287" s="223">
        <f>IF($C1287="","",IF(ISNUMBER(MATCH($C1287,'Phản ánh'!$A$6:$A$505,0)),"Phản ánh",IF(ISNUMBER(MATCH($C1287,'Kế hoạch'!$A$6:$A$305,0)),"Công việc","Mã chưa có")))</f>
      </c>
      <c r="J1287" s="221">
        <f>IF($I1287="Phản ánh",INDEX('Phản ánh'!$C$6:$C$505,MATCH($C1287,'Phản ánh'!$A$6:$A$505,0)),IF($I1287="Công việc",INDEX('Kế hoạch'!$C$6:$C$305,$O1287),""))</f>
      </c>
      <c r="K1287" s="221">
        <f>IF($I1287="Phản ánh",INDEX('Phản ánh'!$K$6:$K$505,MATCH($C1287,'Phản ánh'!$A$6:$A$505,0))&amp;"",IF($I1287="Công việc",INDEX('Kế hoạch'!$N$6:$N$305,$O1287)&amp;"",""))</f>
      </c>
      <c r="L1287" s="220">
        <f>IF(OR($C1287="",N($B1287)=0),"",IF(AND($I1287="Phản ánh",$E1287="Đã xử lý"),INDEX('Phản ánh'!$U$6:$U$505,MATCH($C1287,'Phản ánh'!$A$6:$A$505,0)),IF(AND($I1287="Công việc",OR($E1287="Hoàn thành",$E1287="Hoàn thành kỳ")),IF(INDEX('Kế hoạch'!$B$6:$B$305,$O1287)="Đột xuất",INDEX('Kế hoạch'!$AY$6:$AY$305,$O1287),IF(N($P1287)=0,"",IF(INT($B1287)&lt;$P1287,$P1287,IF($Q1287&gt;0,$P1287+ROUND((INT($B1287)-$P1287)/$Q1287,0)*$Q1287,IF($R1287&gt;0,EDATE($P1287,ROUND((DATEDIF($P1287,INT($B1287),"m")+(INT($B1287)-EDATE($P1287,DATEDIF($P1287,INT($B1287),"m")))/(EDATE($P1287,DATEDIF($P1287,INT($B1287),"m")+1)-EDATE($P1287,DATEDIF($P1287,INT($B1287),"m"))))/$R1287,0)*$R1287),$P1287))))),"")))</f>
      </c>
      <c r="M1287" s="223">
        <f>IF(OR($C1287="",N($L1287)=0,N($B1287)=0),"",IF(IF(MOD($L1287,1)=0,INT($B1287),$B1287)&lt;=$L1287,"Đúng hạn","Trễ hạn"))</f>
      </c>
      <c r="N1287" s="225">
        <f>IF($C1287="","",ROW())</f>
      </c>
      <c r="O1287" s="225">
        <f>IF($I1287="Công việc",MATCH($C1287,'Kế hoạch'!$A$6:$A$305,0),"")</f>
      </c>
      <c r="P1287" s="234">
        <f>IF($O1287="","",INDEX('Kế hoạch'!$I$6:$I$305,$O1287))</f>
      </c>
      <c r="Q1287" s="225">
        <f>IF($O1287="","",INDEX('Kế hoạch'!$AJ$6:$AJ$305,$O1287))</f>
      </c>
      <c r="R1287" s="225">
        <f>IF($O1287="","",INDEX('Kế hoạch'!$AK$6:$AK$305,$O1287))</f>
      </c>
    </row>
    <row r="1288">
      <c r="A1288" s="223">
        <f>IF($C1288="","",COUNTIF($C$6:$C1288,"?*"))</f>
      </c>
      <c r="B1288" s="217"/>
      <c r="C1288" s="216"/>
      <c r="D1288" s="240"/>
      <c r="E1288" s="218"/>
      <c r="F1288" s="218"/>
      <c r="G1288" s="218"/>
      <c r="H1288" s="219"/>
      <c r="I1288" s="223">
        <f>IF($C1288="","",IF(ISNUMBER(MATCH($C1288,'Phản ánh'!$A$6:$A$505,0)),"Phản ánh",IF(ISNUMBER(MATCH($C1288,'Kế hoạch'!$A$6:$A$305,0)),"Công việc","Mã chưa có")))</f>
      </c>
      <c r="J1288" s="221">
        <f>IF($I1288="Phản ánh",INDEX('Phản ánh'!$C$6:$C$505,MATCH($C1288,'Phản ánh'!$A$6:$A$505,0)),IF($I1288="Công việc",INDEX('Kế hoạch'!$C$6:$C$305,$O1288),""))</f>
      </c>
      <c r="K1288" s="221">
        <f>IF($I1288="Phản ánh",INDEX('Phản ánh'!$K$6:$K$505,MATCH($C1288,'Phản ánh'!$A$6:$A$505,0))&amp;"",IF($I1288="Công việc",INDEX('Kế hoạch'!$N$6:$N$305,$O1288)&amp;"",""))</f>
      </c>
      <c r="L1288" s="220">
        <f>IF(OR($C1288="",N($B1288)=0),"",IF(AND($I1288="Phản ánh",$E1288="Đã xử lý"),INDEX('Phản ánh'!$U$6:$U$505,MATCH($C1288,'Phản ánh'!$A$6:$A$505,0)),IF(AND($I1288="Công việc",OR($E1288="Hoàn thành",$E1288="Hoàn thành kỳ")),IF(INDEX('Kế hoạch'!$B$6:$B$305,$O1288)="Đột xuất",INDEX('Kế hoạch'!$AY$6:$AY$305,$O1288),IF(N($P1288)=0,"",IF(INT($B1288)&lt;$P1288,$P1288,IF($Q1288&gt;0,$P1288+ROUND((INT($B1288)-$P1288)/$Q1288,0)*$Q1288,IF($R1288&gt;0,EDATE($P1288,ROUND((DATEDIF($P1288,INT($B1288),"m")+(INT($B1288)-EDATE($P1288,DATEDIF($P1288,INT($B1288),"m")))/(EDATE($P1288,DATEDIF($P1288,INT($B1288),"m")+1)-EDATE($P1288,DATEDIF($P1288,INT($B1288),"m"))))/$R1288,0)*$R1288),$P1288))))),"")))</f>
      </c>
      <c r="M1288" s="223">
        <f>IF(OR($C1288="",N($L1288)=0,N($B1288)=0),"",IF(IF(MOD($L1288,1)=0,INT($B1288),$B1288)&lt;=$L1288,"Đúng hạn","Trễ hạn"))</f>
      </c>
      <c r="N1288" s="225">
        <f>IF($C1288="","",ROW())</f>
      </c>
      <c r="O1288" s="225">
        <f>IF($I1288="Công việc",MATCH($C1288,'Kế hoạch'!$A$6:$A$305,0),"")</f>
      </c>
      <c r="P1288" s="234">
        <f>IF($O1288="","",INDEX('Kế hoạch'!$I$6:$I$305,$O1288))</f>
      </c>
      <c r="Q1288" s="225">
        <f>IF($O1288="","",INDEX('Kế hoạch'!$AJ$6:$AJ$305,$O1288))</f>
      </c>
      <c r="R1288" s="225">
        <f>IF($O1288="","",INDEX('Kế hoạch'!$AK$6:$AK$305,$O1288))</f>
      </c>
    </row>
    <row r="1289">
      <c r="A1289" s="223">
        <f>IF($C1289="","",COUNTIF($C$6:$C1289,"?*"))</f>
      </c>
      <c r="B1289" s="217"/>
      <c r="C1289" s="216"/>
      <c r="D1289" s="240"/>
      <c r="E1289" s="218"/>
      <c r="F1289" s="218"/>
      <c r="G1289" s="218"/>
      <c r="H1289" s="219"/>
      <c r="I1289" s="223">
        <f>IF($C1289="","",IF(ISNUMBER(MATCH($C1289,'Phản ánh'!$A$6:$A$505,0)),"Phản ánh",IF(ISNUMBER(MATCH($C1289,'Kế hoạch'!$A$6:$A$305,0)),"Công việc","Mã chưa có")))</f>
      </c>
      <c r="J1289" s="221">
        <f>IF($I1289="Phản ánh",INDEX('Phản ánh'!$C$6:$C$505,MATCH($C1289,'Phản ánh'!$A$6:$A$505,0)),IF($I1289="Công việc",INDEX('Kế hoạch'!$C$6:$C$305,$O1289),""))</f>
      </c>
      <c r="K1289" s="221">
        <f>IF($I1289="Phản ánh",INDEX('Phản ánh'!$K$6:$K$505,MATCH($C1289,'Phản ánh'!$A$6:$A$505,0))&amp;"",IF($I1289="Công việc",INDEX('Kế hoạch'!$N$6:$N$305,$O1289)&amp;"",""))</f>
      </c>
      <c r="L1289" s="220">
        <f>IF(OR($C1289="",N($B1289)=0),"",IF(AND($I1289="Phản ánh",$E1289="Đã xử lý"),INDEX('Phản ánh'!$U$6:$U$505,MATCH($C1289,'Phản ánh'!$A$6:$A$505,0)),IF(AND($I1289="Công việc",OR($E1289="Hoàn thành",$E1289="Hoàn thành kỳ")),IF(INDEX('Kế hoạch'!$B$6:$B$305,$O1289)="Đột xuất",INDEX('Kế hoạch'!$AY$6:$AY$305,$O1289),IF(N($P1289)=0,"",IF(INT($B1289)&lt;$P1289,$P1289,IF($Q1289&gt;0,$P1289+ROUND((INT($B1289)-$P1289)/$Q1289,0)*$Q1289,IF($R1289&gt;0,EDATE($P1289,ROUND((DATEDIF($P1289,INT($B1289),"m")+(INT($B1289)-EDATE($P1289,DATEDIF($P1289,INT($B1289),"m")))/(EDATE($P1289,DATEDIF($P1289,INT($B1289),"m")+1)-EDATE($P1289,DATEDIF($P1289,INT($B1289),"m"))))/$R1289,0)*$R1289),$P1289))))),"")))</f>
      </c>
      <c r="M1289" s="223">
        <f>IF(OR($C1289="",N($L1289)=0,N($B1289)=0),"",IF(IF(MOD($L1289,1)=0,INT($B1289),$B1289)&lt;=$L1289,"Đúng hạn","Trễ hạn"))</f>
      </c>
      <c r="N1289" s="225">
        <f>IF($C1289="","",ROW())</f>
      </c>
      <c r="O1289" s="225">
        <f>IF($I1289="Công việc",MATCH($C1289,'Kế hoạch'!$A$6:$A$305,0),"")</f>
      </c>
      <c r="P1289" s="234">
        <f>IF($O1289="","",INDEX('Kế hoạch'!$I$6:$I$305,$O1289))</f>
      </c>
      <c r="Q1289" s="225">
        <f>IF($O1289="","",INDEX('Kế hoạch'!$AJ$6:$AJ$305,$O1289))</f>
      </c>
      <c r="R1289" s="225">
        <f>IF($O1289="","",INDEX('Kế hoạch'!$AK$6:$AK$305,$O1289))</f>
      </c>
    </row>
    <row r="1290">
      <c r="A1290" s="223">
        <f>IF($C1290="","",COUNTIF($C$6:$C1290,"?*"))</f>
      </c>
      <c r="B1290" s="217"/>
      <c r="C1290" s="216"/>
      <c r="D1290" s="240"/>
      <c r="E1290" s="218"/>
      <c r="F1290" s="218"/>
      <c r="G1290" s="218"/>
      <c r="H1290" s="219"/>
      <c r="I1290" s="223">
        <f>IF($C1290="","",IF(ISNUMBER(MATCH($C1290,'Phản ánh'!$A$6:$A$505,0)),"Phản ánh",IF(ISNUMBER(MATCH($C1290,'Kế hoạch'!$A$6:$A$305,0)),"Công việc","Mã chưa có")))</f>
      </c>
      <c r="J1290" s="221">
        <f>IF($I1290="Phản ánh",INDEX('Phản ánh'!$C$6:$C$505,MATCH($C1290,'Phản ánh'!$A$6:$A$505,0)),IF($I1290="Công việc",INDEX('Kế hoạch'!$C$6:$C$305,$O1290),""))</f>
      </c>
      <c r="K1290" s="221">
        <f>IF($I1290="Phản ánh",INDEX('Phản ánh'!$K$6:$K$505,MATCH($C1290,'Phản ánh'!$A$6:$A$505,0))&amp;"",IF($I1290="Công việc",INDEX('Kế hoạch'!$N$6:$N$305,$O1290)&amp;"",""))</f>
      </c>
      <c r="L1290" s="220">
        <f>IF(OR($C1290="",N($B1290)=0),"",IF(AND($I1290="Phản ánh",$E1290="Đã xử lý"),INDEX('Phản ánh'!$U$6:$U$505,MATCH($C1290,'Phản ánh'!$A$6:$A$505,0)),IF(AND($I1290="Công việc",OR($E1290="Hoàn thành",$E1290="Hoàn thành kỳ")),IF(INDEX('Kế hoạch'!$B$6:$B$305,$O1290)="Đột xuất",INDEX('Kế hoạch'!$AY$6:$AY$305,$O1290),IF(N($P1290)=0,"",IF(INT($B1290)&lt;$P1290,$P1290,IF($Q1290&gt;0,$P1290+ROUND((INT($B1290)-$P1290)/$Q1290,0)*$Q1290,IF($R1290&gt;0,EDATE($P1290,ROUND((DATEDIF($P1290,INT($B1290),"m")+(INT($B1290)-EDATE($P1290,DATEDIF($P1290,INT($B1290),"m")))/(EDATE($P1290,DATEDIF($P1290,INT($B1290),"m")+1)-EDATE($P1290,DATEDIF($P1290,INT($B1290),"m"))))/$R1290,0)*$R1290),$P1290))))),"")))</f>
      </c>
      <c r="M1290" s="223">
        <f>IF(OR($C1290="",N($L1290)=0,N($B1290)=0),"",IF(IF(MOD($L1290,1)=0,INT($B1290),$B1290)&lt;=$L1290,"Đúng hạn","Trễ hạn"))</f>
      </c>
      <c r="N1290" s="225">
        <f>IF($C1290="","",ROW())</f>
      </c>
      <c r="O1290" s="225">
        <f>IF($I1290="Công việc",MATCH($C1290,'Kế hoạch'!$A$6:$A$305,0),"")</f>
      </c>
      <c r="P1290" s="234">
        <f>IF($O1290="","",INDEX('Kế hoạch'!$I$6:$I$305,$O1290))</f>
      </c>
      <c r="Q1290" s="225">
        <f>IF($O1290="","",INDEX('Kế hoạch'!$AJ$6:$AJ$305,$O1290))</f>
      </c>
      <c r="R1290" s="225">
        <f>IF($O1290="","",INDEX('Kế hoạch'!$AK$6:$AK$305,$O1290))</f>
      </c>
    </row>
    <row r="1291">
      <c r="A1291" s="223">
        <f>IF($C1291="","",COUNTIF($C$6:$C1291,"?*"))</f>
      </c>
      <c r="B1291" s="217"/>
      <c r="C1291" s="216"/>
      <c r="D1291" s="240"/>
      <c r="E1291" s="218"/>
      <c r="F1291" s="218"/>
      <c r="G1291" s="218"/>
      <c r="H1291" s="219"/>
      <c r="I1291" s="223">
        <f>IF($C1291="","",IF(ISNUMBER(MATCH($C1291,'Phản ánh'!$A$6:$A$505,0)),"Phản ánh",IF(ISNUMBER(MATCH($C1291,'Kế hoạch'!$A$6:$A$305,0)),"Công việc","Mã chưa có")))</f>
      </c>
      <c r="J1291" s="221">
        <f>IF($I1291="Phản ánh",INDEX('Phản ánh'!$C$6:$C$505,MATCH($C1291,'Phản ánh'!$A$6:$A$505,0)),IF($I1291="Công việc",INDEX('Kế hoạch'!$C$6:$C$305,$O1291),""))</f>
      </c>
      <c r="K1291" s="221">
        <f>IF($I1291="Phản ánh",INDEX('Phản ánh'!$K$6:$K$505,MATCH($C1291,'Phản ánh'!$A$6:$A$505,0))&amp;"",IF($I1291="Công việc",INDEX('Kế hoạch'!$N$6:$N$305,$O1291)&amp;"",""))</f>
      </c>
      <c r="L1291" s="220">
        <f>IF(OR($C1291="",N($B1291)=0),"",IF(AND($I1291="Phản ánh",$E1291="Đã xử lý"),INDEX('Phản ánh'!$U$6:$U$505,MATCH($C1291,'Phản ánh'!$A$6:$A$505,0)),IF(AND($I1291="Công việc",OR($E1291="Hoàn thành",$E1291="Hoàn thành kỳ")),IF(INDEX('Kế hoạch'!$B$6:$B$305,$O1291)="Đột xuất",INDEX('Kế hoạch'!$AY$6:$AY$305,$O1291),IF(N($P1291)=0,"",IF(INT($B1291)&lt;$P1291,$P1291,IF($Q1291&gt;0,$P1291+ROUND((INT($B1291)-$P1291)/$Q1291,0)*$Q1291,IF($R1291&gt;0,EDATE($P1291,ROUND((DATEDIF($P1291,INT($B1291),"m")+(INT($B1291)-EDATE($P1291,DATEDIF($P1291,INT($B1291),"m")))/(EDATE($P1291,DATEDIF($P1291,INT($B1291),"m")+1)-EDATE($P1291,DATEDIF($P1291,INT($B1291),"m"))))/$R1291,0)*$R1291),$P1291))))),"")))</f>
      </c>
      <c r="M1291" s="223">
        <f>IF(OR($C1291="",N($L1291)=0,N($B1291)=0),"",IF(IF(MOD($L1291,1)=0,INT($B1291),$B1291)&lt;=$L1291,"Đúng hạn","Trễ hạn"))</f>
      </c>
      <c r="N1291" s="225">
        <f>IF($C1291="","",ROW())</f>
      </c>
      <c r="O1291" s="225">
        <f>IF($I1291="Công việc",MATCH($C1291,'Kế hoạch'!$A$6:$A$305,0),"")</f>
      </c>
      <c r="P1291" s="234">
        <f>IF($O1291="","",INDEX('Kế hoạch'!$I$6:$I$305,$O1291))</f>
      </c>
      <c r="Q1291" s="225">
        <f>IF($O1291="","",INDEX('Kế hoạch'!$AJ$6:$AJ$305,$O1291))</f>
      </c>
      <c r="R1291" s="225">
        <f>IF($O1291="","",INDEX('Kế hoạch'!$AK$6:$AK$305,$O1291))</f>
      </c>
    </row>
    <row r="1292">
      <c r="A1292" s="223">
        <f>IF($C1292="","",COUNTIF($C$6:$C1292,"?*"))</f>
      </c>
      <c r="B1292" s="217"/>
      <c r="C1292" s="216"/>
      <c r="D1292" s="240"/>
      <c r="E1292" s="218"/>
      <c r="F1292" s="218"/>
      <c r="G1292" s="218"/>
      <c r="H1292" s="219"/>
      <c r="I1292" s="223">
        <f>IF($C1292="","",IF(ISNUMBER(MATCH($C1292,'Phản ánh'!$A$6:$A$505,0)),"Phản ánh",IF(ISNUMBER(MATCH($C1292,'Kế hoạch'!$A$6:$A$305,0)),"Công việc","Mã chưa có")))</f>
      </c>
      <c r="J1292" s="221">
        <f>IF($I1292="Phản ánh",INDEX('Phản ánh'!$C$6:$C$505,MATCH($C1292,'Phản ánh'!$A$6:$A$505,0)),IF($I1292="Công việc",INDEX('Kế hoạch'!$C$6:$C$305,$O1292),""))</f>
      </c>
      <c r="K1292" s="221">
        <f>IF($I1292="Phản ánh",INDEX('Phản ánh'!$K$6:$K$505,MATCH($C1292,'Phản ánh'!$A$6:$A$505,0))&amp;"",IF($I1292="Công việc",INDEX('Kế hoạch'!$N$6:$N$305,$O1292)&amp;"",""))</f>
      </c>
      <c r="L1292" s="220">
        <f>IF(OR($C1292="",N($B1292)=0),"",IF(AND($I1292="Phản ánh",$E1292="Đã xử lý"),INDEX('Phản ánh'!$U$6:$U$505,MATCH($C1292,'Phản ánh'!$A$6:$A$505,0)),IF(AND($I1292="Công việc",OR($E1292="Hoàn thành",$E1292="Hoàn thành kỳ")),IF(INDEX('Kế hoạch'!$B$6:$B$305,$O1292)="Đột xuất",INDEX('Kế hoạch'!$AY$6:$AY$305,$O1292),IF(N($P1292)=0,"",IF(INT($B1292)&lt;$P1292,$P1292,IF($Q1292&gt;0,$P1292+ROUND((INT($B1292)-$P1292)/$Q1292,0)*$Q1292,IF($R1292&gt;0,EDATE($P1292,ROUND((DATEDIF($P1292,INT($B1292),"m")+(INT($B1292)-EDATE($P1292,DATEDIF($P1292,INT($B1292),"m")))/(EDATE($P1292,DATEDIF($P1292,INT($B1292),"m")+1)-EDATE($P1292,DATEDIF($P1292,INT($B1292),"m"))))/$R1292,0)*$R1292),$P1292))))),"")))</f>
      </c>
      <c r="M1292" s="223">
        <f>IF(OR($C1292="",N($L1292)=0,N($B1292)=0),"",IF(IF(MOD($L1292,1)=0,INT($B1292),$B1292)&lt;=$L1292,"Đúng hạn","Trễ hạn"))</f>
      </c>
      <c r="N1292" s="225">
        <f>IF($C1292="","",ROW())</f>
      </c>
      <c r="O1292" s="225">
        <f>IF($I1292="Công việc",MATCH($C1292,'Kế hoạch'!$A$6:$A$305,0),"")</f>
      </c>
      <c r="P1292" s="234">
        <f>IF($O1292="","",INDEX('Kế hoạch'!$I$6:$I$305,$O1292))</f>
      </c>
      <c r="Q1292" s="225">
        <f>IF($O1292="","",INDEX('Kế hoạch'!$AJ$6:$AJ$305,$O1292))</f>
      </c>
      <c r="R1292" s="225">
        <f>IF($O1292="","",INDEX('Kế hoạch'!$AK$6:$AK$305,$O1292))</f>
      </c>
    </row>
    <row r="1293">
      <c r="A1293" s="223">
        <f>IF($C1293="","",COUNTIF($C$6:$C1293,"?*"))</f>
      </c>
      <c r="B1293" s="217"/>
      <c r="C1293" s="216"/>
      <c r="D1293" s="240"/>
      <c r="E1293" s="218"/>
      <c r="F1293" s="218"/>
      <c r="G1293" s="218"/>
      <c r="H1293" s="219"/>
      <c r="I1293" s="223">
        <f>IF($C1293="","",IF(ISNUMBER(MATCH($C1293,'Phản ánh'!$A$6:$A$505,0)),"Phản ánh",IF(ISNUMBER(MATCH($C1293,'Kế hoạch'!$A$6:$A$305,0)),"Công việc","Mã chưa có")))</f>
      </c>
      <c r="J1293" s="221">
        <f>IF($I1293="Phản ánh",INDEX('Phản ánh'!$C$6:$C$505,MATCH($C1293,'Phản ánh'!$A$6:$A$505,0)),IF($I1293="Công việc",INDEX('Kế hoạch'!$C$6:$C$305,$O1293),""))</f>
      </c>
      <c r="K1293" s="221">
        <f>IF($I1293="Phản ánh",INDEX('Phản ánh'!$K$6:$K$505,MATCH($C1293,'Phản ánh'!$A$6:$A$505,0))&amp;"",IF($I1293="Công việc",INDEX('Kế hoạch'!$N$6:$N$305,$O1293)&amp;"",""))</f>
      </c>
      <c r="L1293" s="220">
        <f>IF(OR($C1293="",N($B1293)=0),"",IF(AND($I1293="Phản ánh",$E1293="Đã xử lý"),INDEX('Phản ánh'!$U$6:$U$505,MATCH($C1293,'Phản ánh'!$A$6:$A$505,0)),IF(AND($I1293="Công việc",OR($E1293="Hoàn thành",$E1293="Hoàn thành kỳ")),IF(INDEX('Kế hoạch'!$B$6:$B$305,$O1293)="Đột xuất",INDEX('Kế hoạch'!$AY$6:$AY$305,$O1293),IF(N($P1293)=0,"",IF(INT($B1293)&lt;$P1293,$P1293,IF($Q1293&gt;0,$P1293+ROUND((INT($B1293)-$P1293)/$Q1293,0)*$Q1293,IF($R1293&gt;0,EDATE($P1293,ROUND((DATEDIF($P1293,INT($B1293),"m")+(INT($B1293)-EDATE($P1293,DATEDIF($P1293,INT($B1293),"m")))/(EDATE($P1293,DATEDIF($P1293,INT($B1293),"m")+1)-EDATE($P1293,DATEDIF($P1293,INT($B1293),"m"))))/$R1293,0)*$R1293),$P1293))))),"")))</f>
      </c>
      <c r="M1293" s="223">
        <f>IF(OR($C1293="",N($L1293)=0,N($B1293)=0),"",IF(IF(MOD($L1293,1)=0,INT($B1293),$B1293)&lt;=$L1293,"Đúng hạn","Trễ hạn"))</f>
      </c>
      <c r="N1293" s="225">
        <f>IF($C1293="","",ROW())</f>
      </c>
      <c r="O1293" s="225">
        <f>IF($I1293="Công việc",MATCH($C1293,'Kế hoạch'!$A$6:$A$305,0),"")</f>
      </c>
      <c r="P1293" s="234">
        <f>IF($O1293="","",INDEX('Kế hoạch'!$I$6:$I$305,$O1293))</f>
      </c>
      <c r="Q1293" s="225">
        <f>IF($O1293="","",INDEX('Kế hoạch'!$AJ$6:$AJ$305,$O1293))</f>
      </c>
      <c r="R1293" s="225">
        <f>IF($O1293="","",INDEX('Kế hoạch'!$AK$6:$AK$305,$O1293))</f>
      </c>
    </row>
    <row r="1294">
      <c r="A1294" s="223">
        <f>IF($C1294="","",COUNTIF($C$6:$C1294,"?*"))</f>
      </c>
      <c r="B1294" s="217"/>
      <c r="C1294" s="216"/>
      <c r="D1294" s="240"/>
      <c r="E1294" s="218"/>
      <c r="F1294" s="218"/>
      <c r="G1294" s="218"/>
      <c r="H1294" s="219"/>
      <c r="I1294" s="223">
        <f>IF($C1294="","",IF(ISNUMBER(MATCH($C1294,'Phản ánh'!$A$6:$A$505,0)),"Phản ánh",IF(ISNUMBER(MATCH($C1294,'Kế hoạch'!$A$6:$A$305,0)),"Công việc","Mã chưa có")))</f>
      </c>
      <c r="J1294" s="221">
        <f>IF($I1294="Phản ánh",INDEX('Phản ánh'!$C$6:$C$505,MATCH($C1294,'Phản ánh'!$A$6:$A$505,0)),IF($I1294="Công việc",INDEX('Kế hoạch'!$C$6:$C$305,$O1294),""))</f>
      </c>
      <c r="K1294" s="221">
        <f>IF($I1294="Phản ánh",INDEX('Phản ánh'!$K$6:$K$505,MATCH($C1294,'Phản ánh'!$A$6:$A$505,0))&amp;"",IF($I1294="Công việc",INDEX('Kế hoạch'!$N$6:$N$305,$O1294)&amp;"",""))</f>
      </c>
      <c r="L1294" s="220">
        <f>IF(OR($C1294="",N($B1294)=0),"",IF(AND($I1294="Phản ánh",$E1294="Đã xử lý"),INDEX('Phản ánh'!$U$6:$U$505,MATCH($C1294,'Phản ánh'!$A$6:$A$505,0)),IF(AND($I1294="Công việc",OR($E1294="Hoàn thành",$E1294="Hoàn thành kỳ")),IF(INDEX('Kế hoạch'!$B$6:$B$305,$O1294)="Đột xuất",INDEX('Kế hoạch'!$AY$6:$AY$305,$O1294),IF(N($P1294)=0,"",IF(INT($B1294)&lt;$P1294,$P1294,IF($Q1294&gt;0,$P1294+ROUND((INT($B1294)-$P1294)/$Q1294,0)*$Q1294,IF($R1294&gt;0,EDATE($P1294,ROUND((DATEDIF($P1294,INT($B1294),"m")+(INT($B1294)-EDATE($P1294,DATEDIF($P1294,INT($B1294),"m")))/(EDATE($P1294,DATEDIF($P1294,INT($B1294),"m")+1)-EDATE($P1294,DATEDIF($P1294,INT($B1294),"m"))))/$R1294,0)*$R1294),$P1294))))),"")))</f>
      </c>
      <c r="M1294" s="223">
        <f>IF(OR($C1294="",N($L1294)=0,N($B1294)=0),"",IF(IF(MOD($L1294,1)=0,INT($B1294),$B1294)&lt;=$L1294,"Đúng hạn","Trễ hạn"))</f>
      </c>
      <c r="N1294" s="225">
        <f>IF($C1294="","",ROW())</f>
      </c>
      <c r="O1294" s="225">
        <f>IF($I1294="Công việc",MATCH($C1294,'Kế hoạch'!$A$6:$A$305,0),"")</f>
      </c>
      <c r="P1294" s="234">
        <f>IF($O1294="","",INDEX('Kế hoạch'!$I$6:$I$305,$O1294))</f>
      </c>
      <c r="Q1294" s="225">
        <f>IF($O1294="","",INDEX('Kế hoạch'!$AJ$6:$AJ$305,$O1294))</f>
      </c>
      <c r="R1294" s="225">
        <f>IF($O1294="","",INDEX('Kế hoạch'!$AK$6:$AK$305,$O1294))</f>
      </c>
    </row>
    <row r="1295">
      <c r="A1295" s="223">
        <f>IF($C1295="","",COUNTIF($C$6:$C1295,"?*"))</f>
      </c>
      <c r="B1295" s="217"/>
      <c r="C1295" s="216"/>
      <c r="D1295" s="240"/>
      <c r="E1295" s="218"/>
      <c r="F1295" s="218"/>
      <c r="G1295" s="218"/>
      <c r="H1295" s="219"/>
      <c r="I1295" s="223">
        <f>IF($C1295="","",IF(ISNUMBER(MATCH($C1295,'Phản ánh'!$A$6:$A$505,0)),"Phản ánh",IF(ISNUMBER(MATCH($C1295,'Kế hoạch'!$A$6:$A$305,0)),"Công việc","Mã chưa có")))</f>
      </c>
      <c r="J1295" s="221">
        <f>IF($I1295="Phản ánh",INDEX('Phản ánh'!$C$6:$C$505,MATCH($C1295,'Phản ánh'!$A$6:$A$505,0)),IF($I1295="Công việc",INDEX('Kế hoạch'!$C$6:$C$305,$O1295),""))</f>
      </c>
      <c r="K1295" s="221">
        <f>IF($I1295="Phản ánh",INDEX('Phản ánh'!$K$6:$K$505,MATCH($C1295,'Phản ánh'!$A$6:$A$505,0))&amp;"",IF($I1295="Công việc",INDEX('Kế hoạch'!$N$6:$N$305,$O1295)&amp;"",""))</f>
      </c>
      <c r="L1295" s="220">
        <f>IF(OR($C1295="",N($B1295)=0),"",IF(AND($I1295="Phản ánh",$E1295="Đã xử lý"),INDEX('Phản ánh'!$U$6:$U$505,MATCH($C1295,'Phản ánh'!$A$6:$A$505,0)),IF(AND($I1295="Công việc",OR($E1295="Hoàn thành",$E1295="Hoàn thành kỳ")),IF(INDEX('Kế hoạch'!$B$6:$B$305,$O1295)="Đột xuất",INDEX('Kế hoạch'!$AY$6:$AY$305,$O1295),IF(N($P1295)=0,"",IF(INT($B1295)&lt;$P1295,$P1295,IF($Q1295&gt;0,$P1295+ROUND((INT($B1295)-$P1295)/$Q1295,0)*$Q1295,IF($R1295&gt;0,EDATE($P1295,ROUND((DATEDIF($P1295,INT($B1295),"m")+(INT($B1295)-EDATE($P1295,DATEDIF($P1295,INT($B1295),"m")))/(EDATE($P1295,DATEDIF($P1295,INT($B1295),"m")+1)-EDATE($P1295,DATEDIF($P1295,INT($B1295),"m"))))/$R1295,0)*$R1295),$P1295))))),"")))</f>
      </c>
      <c r="M1295" s="223">
        <f>IF(OR($C1295="",N($L1295)=0,N($B1295)=0),"",IF(IF(MOD($L1295,1)=0,INT($B1295),$B1295)&lt;=$L1295,"Đúng hạn","Trễ hạn"))</f>
      </c>
      <c r="N1295" s="225">
        <f>IF($C1295="","",ROW())</f>
      </c>
      <c r="O1295" s="225">
        <f>IF($I1295="Công việc",MATCH($C1295,'Kế hoạch'!$A$6:$A$305,0),"")</f>
      </c>
      <c r="P1295" s="234">
        <f>IF($O1295="","",INDEX('Kế hoạch'!$I$6:$I$305,$O1295))</f>
      </c>
      <c r="Q1295" s="225">
        <f>IF($O1295="","",INDEX('Kế hoạch'!$AJ$6:$AJ$305,$O1295))</f>
      </c>
      <c r="R1295" s="225">
        <f>IF($O1295="","",INDEX('Kế hoạch'!$AK$6:$AK$305,$O1295))</f>
      </c>
    </row>
    <row r="1296">
      <c r="A1296" s="223">
        <f>IF($C1296="","",COUNTIF($C$6:$C1296,"?*"))</f>
      </c>
      <c r="B1296" s="217"/>
      <c r="C1296" s="216"/>
      <c r="D1296" s="240"/>
      <c r="E1296" s="218"/>
      <c r="F1296" s="218"/>
      <c r="G1296" s="218"/>
      <c r="H1296" s="219"/>
      <c r="I1296" s="223">
        <f>IF($C1296="","",IF(ISNUMBER(MATCH($C1296,'Phản ánh'!$A$6:$A$505,0)),"Phản ánh",IF(ISNUMBER(MATCH($C1296,'Kế hoạch'!$A$6:$A$305,0)),"Công việc","Mã chưa có")))</f>
      </c>
      <c r="J1296" s="221">
        <f>IF($I1296="Phản ánh",INDEX('Phản ánh'!$C$6:$C$505,MATCH($C1296,'Phản ánh'!$A$6:$A$505,0)),IF($I1296="Công việc",INDEX('Kế hoạch'!$C$6:$C$305,$O1296),""))</f>
      </c>
      <c r="K1296" s="221">
        <f>IF($I1296="Phản ánh",INDEX('Phản ánh'!$K$6:$K$505,MATCH($C1296,'Phản ánh'!$A$6:$A$505,0))&amp;"",IF($I1296="Công việc",INDEX('Kế hoạch'!$N$6:$N$305,$O1296)&amp;"",""))</f>
      </c>
      <c r="L1296" s="220">
        <f>IF(OR($C1296="",N($B1296)=0),"",IF(AND($I1296="Phản ánh",$E1296="Đã xử lý"),INDEX('Phản ánh'!$U$6:$U$505,MATCH($C1296,'Phản ánh'!$A$6:$A$505,0)),IF(AND($I1296="Công việc",OR($E1296="Hoàn thành",$E1296="Hoàn thành kỳ")),IF(INDEX('Kế hoạch'!$B$6:$B$305,$O1296)="Đột xuất",INDEX('Kế hoạch'!$AY$6:$AY$305,$O1296),IF(N($P1296)=0,"",IF(INT($B1296)&lt;$P1296,$P1296,IF($Q1296&gt;0,$P1296+ROUND((INT($B1296)-$P1296)/$Q1296,0)*$Q1296,IF($R1296&gt;0,EDATE($P1296,ROUND((DATEDIF($P1296,INT($B1296),"m")+(INT($B1296)-EDATE($P1296,DATEDIF($P1296,INT($B1296),"m")))/(EDATE($P1296,DATEDIF($P1296,INT($B1296),"m")+1)-EDATE($P1296,DATEDIF($P1296,INT($B1296),"m"))))/$R1296,0)*$R1296),$P1296))))),"")))</f>
      </c>
      <c r="M1296" s="223">
        <f>IF(OR($C1296="",N($L1296)=0,N($B1296)=0),"",IF(IF(MOD($L1296,1)=0,INT($B1296),$B1296)&lt;=$L1296,"Đúng hạn","Trễ hạn"))</f>
      </c>
      <c r="N1296" s="225">
        <f>IF($C1296="","",ROW())</f>
      </c>
      <c r="O1296" s="225">
        <f>IF($I1296="Công việc",MATCH($C1296,'Kế hoạch'!$A$6:$A$305,0),"")</f>
      </c>
      <c r="P1296" s="234">
        <f>IF($O1296="","",INDEX('Kế hoạch'!$I$6:$I$305,$O1296))</f>
      </c>
      <c r="Q1296" s="225">
        <f>IF($O1296="","",INDEX('Kế hoạch'!$AJ$6:$AJ$305,$O1296))</f>
      </c>
      <c r="R1296" s="225">
        <f>IF($O1296="","",INDEX('Kế hoạch'!$AK$6:$AK$305,$O1296))</f>
      </c>
    </row>
    <row r="1297">
      <c r="A1297" s="223">
        <f>IF($C1297="","",COUNTIF($C$6:$C1297,"?*"))</f>
      </c>
      <c r="B1297" s="217"/>
      <c r="C1297" s="216"/>
      <c r="D1297" s="240"/>
      <c r="E1297" s="218"/>
      <c r="F1297" s="218"/>
      <c r="G1297" s="218"/>
      <c r="H1297" s="219"/>
      <c r="I1297" s="223">
        <f>IF($C1297="","",IF(ISNUMBER(MATCH($C1297,'Phản ánh'!$A$6:$A$505,0)),"Phản ánh",IF(ISNUMBER(MATCH($C1297,'Kế hoạch'!$A$6:$A$305,0)),"Công việc","Mã chưa có")))</f>
      </c>
      <c r="J1297" s="221">
        <f>IF($I1297="Phản ánh",INDEX('Phản ánh'!$C$6:$C$505,MATCH($C1297,'Phản ánh'!$A$6:$A$505,0)),IF($I1297="Công việc",INDEX('Kế hoạch'!$C$6:$C$305,$O1297),""))</f>
      </c>
      <c r="K1297" s="221">
        <f>IF($I1297="Phản ánh",INDEX('Phản ánh'!$K$6:$K$505,MATCH($C1297,'Phản ánh'!$A$6:$A$505,0))&amp;"",IF($I1297="Công việc",INDEX('Kế hoạch'!$N$6:$N$305,$O1297)&amp;"",""))</f>
      </c>
      <c r="L1297" s="220">
        <f>IF(OR($C1297="",N($B1297)=0),"",IF(AND($I1297="Phản ánh",$E1297="Đã xử lý"),INDEX('Phản ánh'!$U$6:$U$505,MATCH($C1297,'Phản ánh'!$A$6:$A$505,0)),IF(AND($I1297="Công việc",OR($E1297="Hoàn thành",$E1297="Hoàn thành kỳ")),IF(INDEX('Kế hoạch'!$B$6:$B$305,$O1297)="Đột xuất",INDEX('Kế hoạch'!$AY$6:$AY$305,$O1297),IF(N($P1297)=0,"",IF(INT($B1297)&lt;$P1297,$P1297,IF($Q1297&gt;0,$P1297+ROUND((INT($B1297)-$P1297)/$Q1297,0)*$Q1297,IF($R1297&gt;0,EDATE($P1297,ROUND((DATEDIF($P1297,INT($B1297),"m")+(INT($B1297)-EDATE($P1297,DATEDIF($P1297,INT($B1297),"m")))/(EDATE($P1297,DATEDIF($P1297,INT($B1297),"m")+1)-EDATE($P1297,DATEDIF($P1297,INT($B1297),"m"))))/$R1297,0)*$R1297),$P1297))))),"")))</f>
      </c>
      <c r="M1297" s="223">
        <f>IF(OR($C1297="",N($L1297)=0,N($B1297)=0),"",IF(IF(MOD($L1297,1)=0,INT($B1297),$B1297)&lt;=$L1297,"Đúng hạn","Trễ hạn"))</f>
      </c>
      <c r="N1297" s="225">
        <f>IF($C1297="","",ROW())</f>
      </c>
      <c r="O1297" s="225">
        <f>IF($I1297="Công việc",MATCH($C1297,'Kế hoạch'!$A$6:$A$305,0),"")</f>
      </c>
      <c r="P1297" s="234">
        <f>IF($O1297="","",INDEX('Kế hoạch'!$I$6:$I$305,$O1297))</f>
      </c>
      <c r="Q1297" s="225">
        <f>IF($O1297="","",INDEX('Kế hoạch'!$AJ$6:$AJ$305,$O1297))</f>
      </c>
      <c r="R1297" s="225">
        <f>IF($O1297="","",INDEX('Kế hoạch'!$AK$6:$AK$305,$O1297))</f>
      </c>
    </row>
    <row r="1298">
      <c r="A1298" s="223">
        <f>IF($C1298="","",COUNTIF($C$6:$C1298,"?*"))</f>
      </c>
      <c r="B1298" s="217"/>
      <c r="C1298" s="216"/>
      <c r="D1298" s="240"/>
      <c r="E1298" s="218"/>
      <c r="F1298" s="218"/>
      <c r="G1298" s="218"/>
      <c r="H1298" s="219"/>
      <c r="I1298" s="223">
        <f>IF($C1298="","",IF(ISNUMBER(MATCH($C1298,'Phản ánh'!$A$6:$A$505,0)),"Phản ánh",IF(ISNUMBER(MATCH($C1298,'Kế hoạch'!$A$6:$A$305,0)),"Công việc","Mã chưa có")))</f>
      </c>
      <c r="J1298" s="221">
        <f>IF($I1298="Phản ánh",INDEX('Phản ánh'!$C$6:$C$505,MATCH($C1298,'Phản ánh'!$A$6:$A$505,0)),IF($I1298="Công việc",INDEX('Kế hoạch'!$C$6:$C$305,$O1298),""))</f>
      </c>
      <c r="K1298" s="221">
        <f>IF($I1298="Phản ánh",INDEX('Phản ánh'!$K$6:$K$505,MATCH($C1298,'Phản ánh'!$A$6:$A$505,0))&amp;"",IF($I1298="Công việc",INDEX('Kế hoạch'!$N$6:$N$305,$O1298)&amp;"",""))</f>
      </c>
      <c r="L1298" s="220">
        <f>IF(OR($C1298="",N($B1298)=0),"",IF(AND($I1298="Phản ánh",$E1298="Đã xử lý"),INDEX('Phản ánh'!$U$6:$U$505,MATCH($C1298,'Phản ánh'!$A$6:$A$505,0)),IF(AND($I1298="Công việc",OR($E1298="Hoàn thành",$E1298="Hoàn thành kỳ")),IF(INDEX('Kế hoạch'!$B$6:$B$305,$O1298)="Đột xuất",INDEX('Kế hoạch'!$AY$6:$AY$305,$O1298),IF(N($P1298)=0,"",IF(INT($B1298)&lt;$P1298,$P1298,IF($Q1298&gt;0,$P1298+ROUND((INT($B1298)-$P1298)/$Q1298,0)*$Q1298,IF($R1298&gt;0,EDATE($P1298,ROUND((DATEDIF($P1298,INT($B1298),"m")+(INT($B1298)-EDATE($P1298,DATEDIF($P1298,INT($B1298),"m")))/(EDATE($P1298,DATEDIF($P1298,INT($B1298),"m")+1)-EDATE($P1298,DATEDIF($P1298,INT($B1298),"m"))))/$R1298,0)*$R1298),$P1298))))),"")))</f>
      </c>
      <c r="M1298" s="223">
        <f>IF(OR($C1298="",N($L1298)=0,N($B1298)=0),"",IF(IF(MOD($L1298,1)=0,INT($B1298),$B1298)&lt;=$L1298,"Đúng hạn","Trễ hạn"))</f>
      </c>
      <c r="N1298" s="225">
        <f>IF($C1298="","",ROW())</f>
      </c>
      <c r="O1298" s="225">
        <f>IF($I1298="Công việc",MATCH($C1298,'Kế hoạch'!$A$6:$A$305,0),"")</f>
      </c>
      <c r="P1298" s="234">
        <f>IF($O1298="","",INDEX('Kế hoạch'!$I$6:$I$305,$O1298))</f>
      </c>
      <c r="Q1298" s="225">
        <f>IF($O1298="","",INDEX('Kế hoạch'!$AJ$6:$AJ$305,$O1298))</f>
      </c>
      <c r="R1298" s="225">
        <f>IF($O1298="","",INDEX('Kế hoạch'!$AK$6:$AK$305,$O1298))</f>
      </c>
    </row>
    <row r="1299">
      <c r="A1299" s="223">
        <f>IF($C1299="","",COUNTIF($C$6:$C1299,"?*"))</f>
      </c>
      <c r="B1299" s="217"/>
      <c r="C1299" s="216"/>
      <c r="D1299" s="240"/>
      <c r="E1299" s="218"/>
      <c r="F1299" s="218"/>
      <c r="G1299" s="218"/>
      <c r="H1299" s="219"/>
      <c r="I1299" s="223">
        <f>IF($C1299="","",IF(ISNUMBER(MATCH($C1299,'Phản ánh'!$A$6:$A$505,0)),"Phản ánh",IF(ISNUMBER(MATCH($C1299,'Kế hoạch'!$A$6:$A$305,0)),"Công việc","Mã chưa có")))</f>
      </c>
      <c r="J1299" s="221">
        <f>IF($I1299="Phản ánh",INDEX('Phản ánh'!$C$6:$C$505,MATCH($C1299,'Phản ánh'!$A$6:$A$505,0)),IF($I1299="Công việc",INDEX('Kế hoạch'!$C$6:$C$305,$O1299),""))</f>
      </c>
      <c r="K1299" s="221">
        <f>IF($I1299="Phản ánh",INDEX('Phản ánh'!$K$6:$K$505,MATCH($C1299,'Phản ánh'!$A$6:$A$505,0))&amp;"",IF($I1299="Công việc",INDEX('Kế hoạch'!$N$6:$N$305,$O1299)&amp;"",""))</f>
      </c>
      <c r="L1299" s="220">
        <f>IF(OR($C1299="",N($B1299)=0),"",IF(AND($I1299="Phản ánh",$E1299="Đã xử lý"),INDEX('Phản ánh'!$U$6:$U$505,MATCH($C1299,'Phản ánh'!$A$6:$A$505,0)),IF(AND($I1299="Công việc",OR($E1299="Hoàn thành",$E1299="Hoàn thành kỳ")),IF(INDEX('Kế hoạch'!$B$6:$B$305,$O1299)="Đột xuất",INDEX('Kế hoạch'!$AY$6:$AY$305,$O1299),IF(N($P1299)=0,"",IF(INT($B1299)&lt;$P1299,$P1299,IF($Q1299&gt;0,$P1299+ROUND((INT($B1299)-$P1299)/$Q1299,0)*$Q1299,IF($R1299&gt;0,EDATE($P1299,ROUND((DATEDIF($P1299,INT($B1299),"m")+(INT($B1299)-EDATE($P1299,DATEDIF($P1299,INT($B1299),"m")))/(EDATE($P1299,DATEDIF($P1299,INT($B1299),"m")+1)-EDATE($P1299,DATEDIF($P1299,INT($B1299),"m"))))/$R1299,0)*$R1299),$P1299))))),"")))</f>
      </c>
      <c r="M1299" s="223">
        <f>IF(OR($C1299="",N($L1299)=0,N($B1299)=0),"",IF(IF(MOD($L1299,1)=0,INT($B1299),$B1299)&lt;=$L1299,"Đúng hạn","Trễ hạn"))</f>
      </c>
      <c r="N1299" s="225">
        <f>IF($C1299="","",ROW())</f>
      </c>
      <c r="O1299" s="225">
        <f>IF($I1299="Công việc",MATCH($C1299,'Kế hoạch'!$A$6:$A$305,0),"")</f>
      </c>
      <c r="P1299" s="234">
        <f>IF($O1299="","",INDEX('Kế hoạch'!$I$6:$I$305,$O1299))</f>
      </c>
      <c r="Q1299" s="225">
        <f>IF($O1299="","",INDEX('Kế hoạch'!$AJ$6:$AJ$305,$O1299))</f>
      </c>
      <c r="R1299" s="225">
        <f>IF($O1299="","",INDEX('Kế hoạch'!$AK$6:$AK$305,$O1299))</f>
      </c>
    </row>
    <row r="1300">
      <c r="A1300" s="223">
        <f>IF($C1300="","",COUNTIF($C$6:$C1300,"?*"))</f>
      </c>
      <c r="B1300" s="217"/>
      <c r="C1300" s="216"/>
      <c r="D1300" s="240"/>
      <c r="E1300" s="218"/>
      <c r="F1300" s="218"/>
      <c r="G1300" s="218"/>
      <c r="H1300" s="219"/>
      <c r="I1300" s="223">
        <f>IF($C1300="","",IF(ISNUMBER(MATCH($C1300,'Phản ánh'!$A$6:$A$505,0)),"Phản ánh",IF(ISNUMBER(MATCH($C1300,'Kế hoạch'!$A$6:$A$305,0)),"Công việc","Mã chưa có")))</f>
      </c>
      <c r="J1300" s="221">
        <f>IF($I1300="Phản ánh",INDEX('Phản ánh'!$C$6:$C$505,MATCH($C1300,'Phản ánh'!$A$6:$A$505,0)),IF($I1300="Công việc",INDEX('Kế hoạch'!$C$6:$C$305,$O1300),""))</f>
      </c>
      <c r="K1300" s="221">
        <f>IF($I1300="Phản ánh",INDEX('Phản ánh'!$K$6:$K$505,MATCH($C1300,'Phản ánh'!$A$6:$A$505,0))&amp;"",IF($I1300="Công việc",INDEX('Kế hoạch'!$N$6:$N$305,$O1300)&amp;"",""))</f>
      </c>
      <c r="L1300" s="220">
        <f>IF(OR($C1300="",N($B1300)=0),"",IF(AND($I1300="Phản ánh",$E1300="Đã xử lý"),INDEX('Phản ánh'!$U$6:$U$505,MATCH($C1300,'Phản ánh'!$A$6:$A$505,0)),IF(AND($I1300="Công việc",OR($E1300="Hoàn thành",$E1300="Hoàn thành kỳ")),IF(INDEX('Kế hoạch'!$B$6:$B$305,$O1300)="Đột xuất",INDEX('Kế hoạch'!$AY$6:$AY$305,$O1300),IF(N($P1300)=0,"",IF(INT($B1300)&lt;$P1300,$P1300,IF($Q1300&gt;0,$P1300+ROUND((INT($B1300)-$P1300)/$Q1300,0)*$Q1300,IF($R1300&gt;0,EDATE($P1300,ROUND((DATEDIF($P1300,INT($B1300),"m")+(INT($B1300)-EDATE($P1300,DATEDIF($P1300,INT($B1300),"m")))/(EDATE($P1300,DATEDIF($P1300,INT($B1300),"m")+1)-EDATE($P1300,DATEDIF($P1300,INT($B1300),"m"))))/$R1300,0)*$R1300),$P1300))))),"")))</f>
      </c>
      <c r="M1300" s="223">
        <f>IF(OR($C1300="",N($L1300)=0,N($B1300)=0),"",IF(IF(MOD($L1300,1)=0,INT($B1300),$B1300)&lt;=$L1300,"Đúng hạn","Trễ hạn"))</f>
      </c>
      <c r="N1300" s="225">
        <f>IF($C1300="","",ROW())</f>
      </c>
      <c r="O1300" s="225">
        <f>IF($I1300="Công việc",MATCH($C1300,'Kế hoạch'!$A$6:$A$305,0),"")</f>
      </c>
      <c r="P1300" s="234">
        <f>IF($O1300="","",INDEX('Kế hoạch'!$I$6:$I$305,$O1300))</f>
      </c>
      <c r="Q1300" s="225">
        <f>IF($O1300="","",INDEX('Kế hoạch'!$AJ$6:$AJ$305,$O1300))</f>
      </c>
      <c r="R1300" s="225">
        <f>IF($O1300="","",INDEX('Kế hoạch'!$AK$6:$AK$305,$O1300))</f>
      </c>
    </row>
    <row r="1301">
      <c r="A1301" s="223">
        <f>IF($C1301="","",COUNTIF($C$6:$C1301,"?*"))</f>
      </c>
      <c r="B1301" s="217"/>
      <c r="C1301" s="216"/>
      <c r="D1301" s="240"/>
      <c r="E1301" s="218"/>
      <c r="F1301" s="218"/>
      <c r="G1301" s="218"/>
      <c r="H1301" s="219"/>
      <c r="I1301" s="223">
        <f>IF($C1301="","",IF(ISNUMBER(MATCH($C1301,'Phản ánh'!$A$6:$A$505,0)),"Phản ánh",IF(ISNUMBER(MATCH($C1301,'Kế hoạch'!$A$6:$A$305,0)),"Công việc","Mã chưa có")))</f>
      </c>
      <c r="J1301" s="221">
        <f>IF($I1301="Phản ánh",INDEX('Phản ánh'!$C$6:$C$505,MATCH($C1301,'Phản ánh'!$A$6:$A$505,0)),IF($I1301="Công việc",INDEX('Kế hoạch'!$C$6:$C$305,$O1301),""))</f>
      </c>
      <c r="K1301" s="221">
        <f>IF($I1301="Phản ánh",INDEX('Phản ánh'!$K$6:$K$505,MATCH($C1301,'Phản ánh'!$A$6:$A$505,0))&amp;"",IF($I1301="Công việc",INDEX('Kế hoạch'!$N$6:$N$305,$O1301)&amp;"",""))</f>
      </c>
      <c r="L1301" s="220">
        <f>IF(OR($C1301="",N($B1301)=0),"",IF(AND($I1301="Phản ánh",$E1301="Đã xử lý"),INDEX('Phản ánh'!$U$6:$U$505,MATCH($C1301,'Phản ánh'!$A$6:$A$505,0)),IF(AND($I1301="Công việc",OR($E1301="Hoàn thành",$E1301="Hoàn thành kỳ")),IF(INDEX('Kế hoạch'!$B$6:$B$305,$O1301)="Đột xuất",INDEX('Kế hoạch'!$AY$6:$AY$305,$O1301),IF(N($P1301)=0,"",IF(INT($B1301)&lt;$P1301,$P1301,IF($Q1301&gt;0,$P1301+ROUND((INT($B1301)-$P1301)/$Q1301,0)*$Q1301,IF($R1301&gt;0,EDATE($P1301,ROUND((DATEDIF($P1301,INT($B1301),"m")+(INT($B1301)-EDATE($P1301,DATEDIF($P1301,INT($B1301),"m")))/(EDATE($P1301,DATEDIF($P1301,INT($B1301),"m")+1)-EDATE($P1301,DATEDIF($P1301,INT($B1301),"m"))))/$R1301,0)*$R1301),$P1301))))),"")))</f>
      </c>
      <c r="M1301" s="223">
        <f>IF(OR($C1301="",N($L1301)=0,N($B1301)=0),"",IF(IF(MOD($L1301,1)=0,INT($B1301),$B1301)&lt;=$L1301,"Đúng hạn","Trễ hạn"))</f>
      </c>
      <c r="N1301" s="225">
        <f>IF($C1301="","",ROW())</f>
      </c>
      <c r="O1301" s="225">
        <f>IF($I1301="Công việc",MATCH($C1301,'Kế hoạch'!$A$6:$A$305,0),"")</f>
      </c>
      <c r="P1301" s="234">
        <f>IF($O1301="","",INDEX('Kế hoạch'!$I$6:$I$305,$O1301))</f>
      </c>
      <c r="Q1301" s="225">
        <f>IF($O1301="","",INDEX('Kế hoạch'!$AJ$6:$AJ$305,$O1301))</f>
      </c>
      <c r="R1301" s="225">
        <f>IF($O1301="","",INDEX('Kế hoạch'!$AK$6:$AK$305,$O1301))</f>
      </c>
    </row>
    <row r="1302">
      <c r="A1302" s="223">
        <f>IF($C1302="","",COUNTIF($C$6:$C1302,"?*"))</f>
      </c>
      <c r="B1302" s="217"/>
      <c r="C1302" s="216"/>
      <c r="D1302" s="240"/>
      <c r="E1302" s="218"/>
      <c r="F1302" s="218"/>
      <c r="G1302" s="218"/>
      <c r="H1302" s="219"/>
      <c r="I1302" s="223">
        <f>IF($C1302="","",IF(ISNUMBER(MATCH($C1302,'Phản ánh'!$A$6:$A$505,0)),"Phản ánh",IF(ISNUMBER(MATCH($C1302,'Kế hoạch'!$A$6:$A$305,0)),"Công việc","Mã chưa có")))</f>
      </c>
      <c r="J1302" s="221">
        <f>IF($I1302="Phản ánh",INDEX('Phản ánh'!$C$6:$C$505,MATCH($C1302,'Phản ánh'!$A$6:$A$505,0)),IF($I1302="Công việc",INDEX('Kế hoạch'!$C$6:$C$305,$O1302),""))</f>
      </c>
      <c r="K1302" s="221">
        <f>IF($I1302="Phản ánh",INDEX('Phản ánh'!$K$6:$K$505,MATCH($C1302,'Phản ánh'!$A$6:$A$505,0))&amp;"",IF($I1302="Công việc",INDEX('Kế hoạch'!$N$6:$N$305,$O1302)&amp;"",""))</f>
      </c>
      <c r="L1302" s="220">
        <f>IF(OR($C1302="",N($B1302)=0),"",IF(AND($I1302="Phản ánh",$E1302="Đã xử lý"),INDEX('Phản ánh'!$U$6:$U$505,MATCH($C1302,'Phản ánh'!$A$6:$A$505,0)),IF(AND($I1302="Công việc",OR($E1302="Hoàn thành",$E1302="Hoàn thành kỳ")),IF(INDEX('Kế hoạch'!$B$6:$B$305,$O1302)="Đột xuất",INDEX('Kế hoạch'!$AY$6:$AY$305,$O1302),IF(N($P1302)=0,"",IF(INT($B1302)&lt;$P1302,$P1302,IF($Q1302&gt;0,$P1302+ROUND((INT($B1302)-$P1302)/$Q1302,0)*$Q1302,IF($R1302&gt;0,EDATE($P1302,ROUND((DATEDIF($P1302,INT($B1302),"m")+(INT($B1302)-EDATE($P1302,DATEDIF($P1302,INT($B1302),"m")))/(EDATE($P1302,DATEDIF($P1302,INT($B1302),"m")+1)-EDATE($P1302,DATEDIF($P1302,INT($B1302),"m"))))/$R1302,0)*$R1302),$P1302))))),"")))</f>
      </c>
      <c r="M1302" s="223">
        <f>IF(OR($C1302="",N($L1302)=0,N($B1302)=0),"",IF(IF(MOD($L1302,1)=0,INT($B1302),$B1302)&lt;=$L1302,"Đúng hạn","Trễ hạn"))</f>
      </c>
      <c r="N1302" s="225">
        <f>IF($C1302="","",ROW())</f>
      </c>
      <c r="O1302" s="225">
        <f>IF($I1302="Công việc",MATCH($C1302,'Kế hoạch'!$A$6:$A$305,0),"")</f>
      </c>
      <c r="P1302" s="234">
        <f>IF($O1302="","",INDEX('Kế hoạch'!$I$6:$I$305,$O1302))</f>
      </c>
      <c r="Q1302" s="225">
        <f>IF($O1302="","",INDEX('Kế hoạch'!$AJ$6:$AJ$305,$O1302))</f>
      </c>
      <c r="R1302" s="225">
        <f>IF($O1302="","",INDEX('Kế hoạch'!$AK$6:$AK$305,$O1302))</f>
      </c>
    </row>
    <row r="1303">
      <c r="A1303" s="223">
        <f>IF($C1303="","",COUNTIF($C$6:$C1303,"?*"))</f>
      </c>
      <c r="B1303" s="217"/>
      <c r="C1303" s="216"/>
      <c r="D1303" s="240"/>
      <c r="E1303" s="218"/>
      <c r="F1303" s="218"/>
      <c r="G1303" s="218"/>
      <c r="H1303" s="219"/>
      <c r="I1303" s="223">
        <f>IF($C1303="","",IF(ISNUMBER(MATCH($C1303,'Phản ánh'!$A$6:$A$505,0)),"Phản ánh",IF(ISNUMBER(MATCH($C1303,'Kế hoạch'!$A$6:$A$305,0)),"Công việc","Mã chưa có")))</f>
      </c>
      <c r="J1303" s="221">
        <f>IF($I1303="Phản ánh",INDEX('Phản ánh'!$C$6:$C$505,MATCH($C1303,'Phản ánh'!$A$6:$A$505,0)),IF($I1303="Công việc",INDEX('Kế hoạch'!$C$6:$C$305,$O1303),""))</f>
      </c>
      <c r="K1303" s="221">
        <f>IF($I1303="Phản ánh",INDEX('Phản ánh'!$K$6:$K$505,MATCH($C1303,'Phản ánh'!$A$6:$A$505,0))&amp;"",IF($I1303="Công việc",INDEX('Kế hoạch'!$N$6:$N$305,$O1303)&amp;"",""))</f>
      </c>
      <c r="L1303" s="220">
        <f>IF(OR($C1303="",N($B1303)=0),"",IF(AND($I1303="Phản ánh",$E1303="Đã xử lý"),INDEX('Phản ánh'!$U$6:$U$505,MATCH($C1303,'Phản ánh'!$A$6:$A$505,0)),IF(AND($I1303="Công việc",OR($E1303="Hoàn thành",$E1303="Hoàn thành kỳ")),IF(INDEX('Kế hoạch'!$B$6:$B$305,$O1303)="Đột xuất",INDEX('Kế hoạch'!$AY$6:$AY$305,$O1303),IF(N($P1303)=0,"",IF(INT($B1303)&lt;$P1303,$P1303,IF($Q1303&gt;0,$P1303+ROUND((INT($B1303)-$P1303)/$Q1303,0)*$Q1303,IF($R1303&gt;0,EDATE($P1303,ROUND((DATEDIF($P1303,INT($B1303),"m")+(INT($B1303)-EDATE($P1303,DATEDIF($P1303,INT($B1303),"m")))/(EDATE($P1303,DATEDIF($P1303,INT($B1303),"m")+1)-EDATE($P1303,DATEDIF($P1303,INT($B1303),"m"))))/$R1303,0)*$R1303),$P1303))))),"")))</f>
      </c>
      <c r="M1303" s="223">
        <f>IF(OR($C1303="",N($L1303)=0,N($B1303)=0),"",IF(IF(MOD($L1303,1)=0,INT($B1303),$B1303)&lt;=$L1303,"Đúng hạn","Trễ hạn"))</f>
      </c>
      <c r="N1303" s="225">
        <f>IF($C1303="","",ROW())</f>
      </c>
      <c r="O1303" s="225">
        <f>IF($I1303="Công việc",MATCH($C1303,'Kế hoạch'!$A$6:$A$305,0),"")</f>
      </c>
      <c r="P1303" s="234">
        <f>IF($O1303="","",INDEX('Kế hoạch'!$I$6:$I$305,$O1303))</f>
      </c>
      <c r="Q1303" s="225">
        <f>IF($O1303="","",INDEX('Kế hoạch'!$AJ$6:$AJ$305,$O1303))</f>
      </c>
      <c r="R1303" s="225">
        <f>IF($O1303="","",INDEX('Kế hoạch'!$AK$6:$AK$305,$O1303))</f>
      </c>
    </row>
    <row r="1304">
      <c r="A1304" s="223">
        <f>IF($C1304="","",COUNTIF($C$6:$C1304,"?*"))</f>
      </c>
      <c r="B1304" s="217"/>
      <c r="C1304" s="216"/>
      <c r="D1304" s="240"/>
      <c r="E1304" s="218"/>
      <c r="F1304" s="218"/>
      <c r="G1304" s="218"/>
      <c r="H1304" s="219"/>
      <c r="I1304" s="223">
        <f>IF($C1304="","",IF(ISNUMBER(MATCH($C1304,'Phản ánh'!$A$6:$A$505,0)),"Phản ánh",IF(ISNUMBER(MATCH($C1304,'Kế hoạch'!$A$6:$A$305,0)),"Công việc","Mã chưa có")))</f>
      </c>
      <c r="J1304" s="221">
        <f>IF($I1304="Phản ánh",INDEX('Phản ánh'!$C$6:$C$505,MATCH($C1304,'Phản ánh'!$A$6:$A$505,0)),IF($I1304="Công việc",INDEX('Kế hoạch'!$C$6:$C$305,$O1304),""))</f>
      </c>
      <c r="K1304" s="221">
        <f>IF($I1304="Phản ánh",INDEX('Phản ánh'!$K$6:$K$505,MATCH($C1304,'Phản ánh'!$A$6:$A$505,0))&amp;"",IF($I1304="Công việc",INDEX('Kế hoạch'!$N$6:$N$305,$O1304)&amp;"",""))</f>
      </c>
      <c r="L1304" s="220">
        <f>IF(OR($C1304="",N($B1304)=0),"",IF(AND($I1304="Phản ánh",$E1304="Đã xử lý"),INDEX('Phản ánh'!$U$6:$U$505,MATCH($C1304,'Phản ánh'!$A$6:$A$505,0)),IF(AND($I1304="Công việc",OR($E1304="Hoàn thành",$E1304="Hoàn thành kỳ")),IF(INDEX('Kế hoạch'!$B$6:$B$305,$O1304)="Đột xuất",INDEX('Kế hoạch'!$AY$6:$AY$305,$O1304),IF(N($P1304)=0,"",IF(INT($B1304)&lt;$P1304,$P1304,IF($Q1304&gt;0,$P1304+ROUND((INT($B1304)-$P1304)/$Q1304,0)*$Q1304,IF($R1304&gt;0,EDATE($P1304,ROUND((DATEDIF($P1304,INT($B1304),"m")+(INT($B1304)-EDATE($P1304,DATEDIF($P1304,INT($B1304),"m")))/(EDATE($P1304,DATEDIF($P1304,INT($B1304),"m")+1)-EDATE($P1304,DATEDIF($P1304,INT($B1304),"m"))))/$R1304,0)*$R1304),$P1304))))),"")))</f>
      </c>
      <c r="M1304" s="223">
        <f>IF(OR($C1304="",N($L1304)=0,N($B1304)=0),"",IF(IF(MOD($L1304,1)=0,INT($B1304),$B1304)&lt;=$L1304,"Đúng hạn","Trễ hạn"))</f>
      </c>
      <c r="N1304" s="225">
        <f>IF($C1304="","",ROW())</f>
      </c>
      <c r="O1304" s="225">
        <f>IF($I1304="Công việc",MATCH($C1304,'Kế hoạch'!$A$6:$A$305,0),"")</f>
      </c>
      <c r="P1304" s="234">
        <f>IF($O1304="","",INDEX('Kế hoạch'!$I$6:$I$305,$O1304))</f>
      </c>
      <c r="Q1304" s="225">
        <f>IF($O1304="","",INDEX('Kế hoạch'!$AJ$6:$AJ$305,$O1304))</f>
      </c>
      <c r="R1304" s="225">
        <f>IF($O1304="","",INDEX('Kế hoạch'!$AK$6:$AK$305,$O1304))</f>
      </c>
    </row>
    <row r="1305">
      <c r="A1305" s="223">
        <f>IF($C1305="","",COUNTIF($C$6:$C1305,"?*"))</f>
      </c>
      <c r="B1305" s="217"/>
      <c r="C1305" s="216"/>
      <c r="D1305" s="240"/>
      <c r="E1305" s="218"/>
      <c r="F1305" s="218"/>
      <c r="G1305" s="218"/>
      <c r="H1305" s="219"/>
      <c r="I1305" s="223">
        <f>IF($C1305="","",IF(ISNUMBER(MATCH($C1305,'Phản ánh'!$A$6:$A$505,0)),"Phản ánh",IF(ISNUMBER(MATCH($C1305,'Kế hoạch'!$A$6:$A$305,0)),"Công việc","Mã chưa có")))</f>
      </c>
      <c r="J1305" s="221">
        <f>IF($I1305="Phản ánh",INDEX('Phản ánh'!$C$6:$C$505,MATCH($C1305,'Phản ánh'!$A$6:$A$505,0)),IF($I1305="Công việc",INDEX('Kế hoạch'!$C$6:$C$305,$O1305),""))</f>
      </c>
      <c r="K1305" s="221">
        <f>IF($I1305="Phản ánh",INDEX('Phản ánh'!$K$6:$K$505,MATCH($C1305,'Phản ánh'!$A$6:$A$505,0))&amp;"",IF($I1305="Công việc",INDEX('Kế hoạch'!$N$6:$N$305,$O1305)&amp;"",""))</f>
      </c>
      <c r="L1305" s="220">
        <f>IF(OR($C1305="",N($B1305)=0),"",IF(AND($I1305="Phản ánh",$E1305="Đã xử lý"),INDEX('Phản ánh'!$U$6:$U$505,MATCH($C1305,'Phản ánh'!$A$6:$A$505,0)),IF(AND($I1305="Công việc",OR($E1305="Hoàn thành",$E1305="Hoàn thành kỳ")),IF(INDEX('Kế hoạch'!$B$6:$B$305,$O1305)="Đột xuất",INDEX('Kế hoạch'!$AY$6:$AY$305,$O1305),IF(N($P1305)=0,"",IF(INT($B1305)&lt;$P1305,$P1305,IF($Q1305&gt;0,$P1305+ROUND((INT($B1305)-$P1305)/$Q1305,0)*$Q1305,IF($R1305&gt;0,EDATE($P1305,ROUND((DATEDIF($P1305,INT($B1305),"m")+(INT($B1305)-EDATE($P1305,DATEDIF($P1305,INT($B1305),"m")))/(EDATE($P1305,DATEDIF($P1305,INT($B1305),"m")+1)-EDATE($P1305,DATEDIF($P1305,INT($B1305),"m"))))/$R1305,0)*$R1305),$P1305))))),"")))</f>
      </c>
      <c r="M1305" s="223">
        <f>IF(OR($C1305="",N($L1305)=0,N($B1305)=0),"",IF(IF(MOD($L1305,1)=0,INT($B1305),$B1305)&lt;=$L1305,"Đúng hạn","Trễ hạn"))</f>
      </c>
      <c r="N1305" s="225">
        <f>IF($C1305="","",ROW())</f>
      </c>
      <c r="O1305" s="225">
        <f>IF($I1305="Công việc",MATCH($C1305,'Kế hoạch'!$A$6:$A$305,0),"")</f>
      </c>
      <c r="P1305" s="234">
        <f>IF($O1305="","",INDEX('Kế hoạch'!$I$6:$I$305,$O1305))</f>
      </c>
      <c r="Q1305" s="225">
        <f>IF($O1305="","",INDEX('Kế hoạch'!$AJ$6:$AJ$305,$O1305))</f>
      </c>
      <c r="R1305" s="225">
        <f>IF($O1305="","",INDEX('Kế hoạch'!$AK$6:$AK$305,$O1305))</f>
      </c>
    </row>
    <row r="1306">
      <c r="A1306" s="223">
        <f>IF($C1306="","",COUNTIF($C$6:$C1306,"?*"))</f>
      </c>
      <c r="B1306" s="217"/>
      <c r="C1306" s="216"/>
      <c r="D1306" s="240"/>
      <c r="E1306" s="218"/>
      <c r="F1306" s="218"/>
      <c r="G1306" s="218"/>
      <c r="H1306" s="219"/>
      <c r="I1306" s="223">
        <f>IF($C1306="","",IF(ISNUMBER(MATCH($C1306,'Phản ánh'!$A$6:$A$505,0)),"Phản ánh",IF(ISNUMBER(MATCH($C1306,'Kế hoạch'!$A$6:$A$305,0)),"Công việc","Mã chưa có")))</f>
      </c>
      <c r="J1306" s="221">
        <f>IF($I1306="Phản ánh",INDEX('Phản ánh'!$C$6:$C$505,MATCH($C1306,'Phản ánh'!$A$6:$A$505,0)),IF($I1306="Công việc",INDEX('Kế hoạch'!$C$6:$C$305,$O1306),""))</f>
      </c>
      <c r="K1306" s="221">
        <f>IF($I1306="Phản ánh",INDEX('Phản ánh'!$K$6:$K$505,MATCH($C1306,'Phản ánh'!$A$6:$A$505,0))&amp;"",IF($I1306="Công việc",INDEX('Kế hoạch'!$N$6:$N$305,$O1306)&amp;"",""))</f>
      </c>
      <c r="L1306" s="220">
        <f>IF(OR($C1306="",N($B1306)=0),"",IF(AND($I1306="Phản ánh",$E1306="Đã xử lý"),INDEX('Phản ánh'!$U$6:$U$505,MATCH($C1306,'Phản ánh'!$A$6:$A$505,0)),IF(AND($I1306="Công việc",OR($E1306="Hoàn thành",$E1306="Hoàn thành kỳ")),IF(INDEX('Kế hoạch'!$B$6:$B$305,$O1306)="Đột xuất",INDEX('Kế hoạch'!$AY$6:$AY$305,$O1306),IF(N($P1306)=0,"",IF(INT($B1306)&lt;$P1306,$P1306,IF($Q1306&gt;0,$P1306+ROUND((INT($B1306)-$P1306)/$Q1306,0)*$Q1306,IF($R1306&gt;0,EDATE($P1306,ROUND((DATEDIF($P1306,INT($B1306),"m")+(INT($B1306)-EDATE($P1306,DATEDIF($P1306,INT($B1306),"m")))/(EDATE($P1306,DATEDIF($P1306,INT($B1306),"m")+1)-EDATE($P1306,DATEDIF($P1306,INT($B1306),"m"))))/$R1306,0)*$R1306),$P1306))))),"")))</f>
      </c>
      <c r="M1306" s="223">
        <f>IF(OR($C1306="",N($L1306)=0,N($B1306)=0),"",IF(IF(MOD($L1306,1)=0,INT($B1306),$B1306)&lt;=$L1306,"Đúng hạn","Trễ hạn"))</f>
      </c>
      <c r="N1306" s="225">
        <f>IF($C1306="","",ROW())</f>
      </c>
      <c r="O1306" s="225">
        <f>IF($I1306="Công việc",MATCH($C1306,'Kế hoạch'!$A$6:$A$305,0),"")</f>
      </c>
      <c r="P1306" s="234">
        <f>IF($O1306="","",INDEX('Kế hoạch'!$I$6:$I$305,$O1306))</f>
      </c>
      <c r="Q1306" s="225">
        <f>IF($O1306="","",INDEX('Kế hoạch'!$AJ$6:$AJ$305,$O1306))</f>
      </c>
      <c r="R1306" s="225">
        <f>IF($O1306="","",INDEX('Kế hoạch'!$AK$6:$AK$305,$O1306))</f>
      </c>
    </row>
    <row r="1307">
      <c r="A1307" s="223">
        <f>IF($C1307="","",COUNTIF($C$6:$C1307,"?*"))</f>
      </c>
      <c r="B1307" s="217"/>
      <c r="C1307" s="216"/>
      <c r="D1307" s="240"/>
      <c r="E1307" s="218"/>
      <c r="F1307" s="218"/>
      <c r="G1307" s="218"/>
      <c r="H1307" s="219"/>
      <c r="I1307" s="223">
        <f>IF($C1307="","",IF(ISNUMBER(MATCH($C1307,'Phản ánh'!$A$6:$A$505,0)),"Phản ánh",IF(ISNUMBER(MATCH($C1307,'Kế hoạch'!$A$6:$A$305,0)),"Công việc","Mã chưa có")))</f>
      </c>
      <c r="J1307" s="221">
        <f>IF($I1307="Phản ánh",INDEX('Phản ánh'!$C$6:$C$505,MATCH($C1307,'Phản ánh'!$A$6:$A$505,0)),IF($I1307="Công việc",INDEX('Kế hoạch'!$C$6:$C$305,$O1307),""))</f>
      </c>
      <c r="K1307" s="221">
        <f>IF($I1307="Phản ánh",INDEX('Phản ánh'!$K$6:$K$505,MATCH($C1307,'Phản ánh'!$A$6:$A$505,0))&amp;"",IF($I1307="Công việc",INDEX('Kế hoạch'!$N$6:$N$305,$O1307)&amp;"",""))</f>
      </c>
      <c r="L1307" s="220">
        <f>IF(OR($C1307="",N($B1307)=0),"",IF(AND($I1307="Phản ánh",$E1307="Đã xử lý"),INDEX('Phản ánh'!$U$6:$U$505,MATCH($C1307,'Phản ánh'!$A$6:$A$505,0)),IF(AND($I1307="Công việc",OR($E1307="Hoàn thành",$E1307="Hoàn thành kỳ")),IF(INDEX('Kế hoạch'!$B$6:$B$305,$O1307)="Đột xuất",INDEX('Kế hoạch'!$AY$6:$AY$305,$O1307),IF(N($P1307)=0,"",IF(INT($B1307)&lt;$P1307,$P1307,IF($Q1307&gt;0,$P1307+ROUND((INT($B1307)-$P1307)/$Q1307,0)*$Q1307,IF($R1307&gt;0,EDATE($P1307,ROUND((DATEDIF($P1307,INT($B1307),"m")+(INT($B1307)-EDATE($P1307,DATEDIF($P1307,INT($B1307),"m")))/(EDATE($P1307,DATEDIF($P1307,INT($B1307),"m")+1)-EDATE($P1307,DATEDIF($P1307,INT($B1307),"m"))))/$R1307,0)*$R1307),$P1307))))),"")))</f>
      </c>
      <c r="M1307" s="223">
        <f>IF(OR($C1307="",N($L1307)=0,N($B1307)=0),"",IF(IF(MOD($L1307,1)=0,INT($B1307),$B1307)&lt;=$L1307,"Đúng hạn","Trễ hạn"))</f>
      </c>
      <c r="N1307" s="225">
        <f>IF($C1307="","",ROW())</f>
      </c>
      <c r="O1307" s="225">
        <f>IF($I1307="Công việc",MATCH($C1307,'Kế hoạch'!$A$6:$A$305,0),"")</f>
      </c>
      <c r="P1307" s="234">
        <f>IF($O1307="","",INDEX('Kế hoạch'!$I$6:$I$305,$O1307))</f>
      </c>
      <c r="Q1307" s="225">
        <f>IF($O1307="","",INDEX('Kế hoạch'!$AJ$6:$AJ$305,$O1307))</f>
      </c>
      <c r="R1307" s="225">
        <f>IF($O1307="","",INDEX('Kế hoạch'!$AK$6:$AK$305,$O1307))</f>
      </c>
    </row>
    <row r="1308">
      <c r="A1308" s="223">
        <f>IF($C1308="","",COUNTIF($C$6:$C1308,"?*"))</f>
      </c>
      <c r="B1308" s="217"/>
      <c r="C1308" s="216"/>
      <c r="D1308" s="240"/>
      <c r="E1308" s="218"/>
      <c r="F1308" s="218"/>
      <c r="G1308" s="218"/>
      <c r="H1308" s="219"/>
      <c r="I1308" s="223">
        <f>IF($C1308="","",IF(ISNUMBER(MATCH($C1308,'Phản ánh'!$A$6:$A$505,0)),"Phản ánh",IF(ISNUMBER(MATCH($C1308,'Kế hoạch'!$A$6:$A$305,0)),"Công việc","Mã chưa có")))</f>
      </c>
      <c r="J1308" s="221">
        <f>IF($I1308="Phản ánh",INDEX('Phản ánh'!$C$6:$C$505,MATCH($C1308,'Phản ánh'!$A$6:$A$505,0)),IF($I1308="Công việc",INDEX('Kế hoạch'!$C$6:$C$305,$O1308),""))</f>
      </c>
      <c r="K1308" s="221">
        <f>IF($I1308="Phản ánh",INDEX('Phản ánh'!$K$6:$K$505,MATCH($C1308,'Phản ánh'!$A$6:$A$505,0))&amp;"",IF($I1308="Công việc",INDEX('Kế hoạch'!$N$6:$N$305,$O1308)&amp;"",""))</f>
      </c>
      <c r="L1308" s="220">
        <f>IF(OR($C1308="",N($B1308)=0),"",IF(AND($I1308="Phản ánh",$E1308="Đã xử lý"),INDEX('Phản ánh'!$U$6:$U$505,MATCH($C1308,'Phản ánh'!$A$6:$A$505,0)),IF(AND($I1308="Công việc",OR($E1308="Hoàn thành",$E1308="Hoàn thành kỳ")),IF(INDEX('Kế hoạch'!$B$6:$B$305,$O1308)="Đột xuất",INDEX('Kế hoạch'!$AY$6:$AY$305,$O1308),IF(N($P1308)=0,"",IF(INT($B1308)&lt;$P1308,$P1308,IF($Q1308&gt;0,$P1308+ROUND((INT($B1308)-$P1308)/$Q1308,0)*$Q1308,IF($R1308&gt;0,EDATE($P1308,ROUND((DATEDIF($P1308,INT($B1308),"m")+(INT($B1308)-EDATE($P1308,DATEDIF($P1308,INT($B1308),"m")))/(EDATE($P1308,DATEDIF($P1308,INT($B1308),"m")+1)-EDATE($P1308,DATEDIF($P1308,INT($B1308),"m"))))/$R1308,0)*$R1308),$P1308))))),"")))</f>
      </c>
      <c r="M1308" s="223">
        <f>IF(OR($C1308="",N($L1308)=0,N($B1308)=0),"",IF(IF(MOD($L1308,1)=0,INT($B1308),$B1308)&lt;=$L1308,"Đúng hạn","Trễ hạn"))</f>
      </c>
      <c r="N1308" s="225">
        <f>IF($C1308="","",ROW())</f>
      </c>
      <c r="O1308" s="225">
        <f>IF($I1308="Công việc",MATCH($C1308,'Kế hoạch'!$A$6:$A$305,0),"")</f>
      </c>
      <c r="P1308" s="234">
        <f>IF($O1308="","",INDEX('Kế hoạch'!$I$6:$I$305,$O1308))</f>
      </c>
      <c r="Q1308" s="225">
        <f>IF($O1308="","",INDEX('Kế hoạch'!$AJ$6:$AJ$305,$O1308))</f>
      </c>
      <c r="R1308" s="225">
        <f>IF($O1308="","",INDEX('Kế hoạch'!$AK$6:$AK$305,$O1308))</f>
      </c>
    </row>
    <row r="1309">
      <c r="A1309" s="223">
        <f>IF($C1309="","",COUNTIF($C$6:$C1309,"?*"))</f>
      </c>
      <c r="B1309" s="217"/>
      <c r="C1309" s="216"/>
      <c r="D1309" s="240"/>
      <c r="E1309" s="218"/>
      <c r="F1309" s="218"/>
      <c r="G1309" s="218"/>
      <c r="H1309" s="219"/>
      <c r="I1309" s="223">
        <f>IF($C1309="","",IF(ISNUMBER(MATCH($C1309,'Phản ánh'!$A$6:$A$505,0)),"Phản ánh",IF(ISNUMBER(MATCH($C1309,'Kế hoạch'!$A$6:$A$305,0)),"Công việc","Mã chưa có")))</f>
      </c>
      <c r="J1309" s="221">
        <f>IF($I1309="Phản ánh",INDEX('Phản ánh'!$C$6:$C$505,MATCH($C1309,'Phản ánh'!$A$6:$A$505,0)),IF($I1309="Công việc",INDEX('Kế hoạch'!$C$6:$C$305,$O1309),""))</f>
      </c>
      <c r="K1309" s="221">
        <f>IF($I1309="Phản ánh",INDEX('Phản ánh'!$K$6:$K$505,MATCH($C1309,'Phản ánh'!$A$6:$A$505,0))&amp;"",IF($I1309="Công việc",INDEX('Kế hoạch'!$N$6:$N$305,$O1309)&amp;"",""))</f>
      </c>
      <c r="L1309" s="220">
        <f>IF(OR($C1309="",N($B1309)=0),"",IF(AND($I1309="Phản ánh",$E1309="Đã xử lý"),INDEX('Phản ánh'!$U$6:$U$505,MATCH($C1309,'Phản ánh'!$A$6:$A$505,0)),IF(AND($I1309="Công việc",OR($E1309="Hoàn thành",$E1309="Hoàn thành kỳ")),IF(INDEX('Kế hoạch'!$B$6:$B$305,$O1309)="Đột xuất",INDEX('Kế hoạch'!$AY$6:$AY$305,$O1309),IF(N($P1309)=0,"",IF(INT($B1309)&lt;$P1309,$P1309,IF($Q1309&gt;0,$P1309+ROUND((INT($B1309)-$P1309)/$Q1309,0)*$Q1309,IF($R1309&gt;0,EDATE($P1309,ROUND((DATEDIF($P1309,INT($B1309),"m")+(INT($B1309)-EDATE($P1309,DATEDIF($P1309,INT($B1309),"m")))/(EDATE($P1309,DATEDIF($P1309,INT($B1309),"m")+1)-EDATE($P1309,DATEDIF($P1309,INT($B1309),"m"))))/$R1309,0)*$R1309),$P1309))))),"")))</f>
      </c>
      <c r="M1309" s="223">
        <f>IF(OR($C1309="",N($L1309)=0,N($B1309)=0),"",IF(IF(MOD($L1309,1)=0,INT($B1309),$B1309)&lt;=$L1309,"Đúng hạn","Trễ hạn"))</f>
      </c>
      <c r="N1309" s="225">
        <f>IF($C1309="","",ROW())</f>
      </c>
      <c r="O1309" s="225">
        <f>IF($I1309="Công việc",MATCH($C1309,'Kế hoạch'!$A$6:$A$305,0),"")</f>
      </c>
      <c r="P1309" s="234">
        <f>IF($O1309="","",INDEX('Kế hoạch'!$I$6:$I$305,$O1309))</f>
      </c>
      <c r="Q1309" s="225">
        <f>IF($O1309="","",INDEX('Kế hoạch'!$AJ$6:$AJ$305,$O1309))</f>
      </c>
      <c r="R1309" s="225">
        <f>IF($O1309="","",INDEX('Kế hoạch'!$AK$6:$AK$305,$O1309))</f>
      </c>
    </row>
    <row r="1310">
      <c r="A1310" s="223">
        <f>IF($C1310="","",COUNTIF($C$6:$C1310,"?*"))</f>
      </c>
      <c r="B1310" s="217"/>
      <c r="C1310" s="216"/>
      <c r="D1310" s="240"/>
      <c r="E1310" s="218"/>
      <c r="F1310" s="218"/>
      <c r="G1310" s="218"/>
      <c r="H1310" s="219"/>
      <c r="I1310" s="223">
        <f>IF($C1310="","",IF(ISNUMBER(MATCH($C1310,'Phản ánh'!$A$6:$A$505,0)),"Phản ánh",IF(ISNUMBER(MATCH($C1310,'Kế hoạch'!$A$6:$A$305,0)),"Công việc","Mã chưa có")))</f>
      </c>
      <c r="J1310" s="221">
        <f>IF($I1310="Phản ánh",INDEX('Phản ánh'!$C$6:$C$505,MATCH($C1310,'Phản ánh'!$A$6:$A$505,0)),IF($I1310="Công việc",INDEX('Kế hoạch'!$C$6:$C$305,$O1310),""))</f>
      </c>
      <c r="K1310" s="221">
        <f>IF($I1310="Phản ánh",INDEX('Phản ánh'!$K$6:$K$505,MATCH($C1310,'Phản ánh'!$A$6:$A$505,0))&amp;"",IF($I1310="Công việc",INDEX('Kế hoạch'!$N$6:$N$305,$O1310)&amp;"",""))</f>
      </c>
      <c r="L1310" s="220">
        <f>IF(OR($C1310="",N($B1310)=0),"",IF(AND($I1310="Phản ánh",$E1310="Đã xử lý"),INDEX('Phản ánh'!$U$6:$U$505,MATCH($C1310,'Phản ánh'!$A$6:$A$505,0)),IF(AND($I1310="Công việc",OR($E1310="Hoàn thành",$E1310="Hoàn thành kỳ")),IF(INDEX('Kế hoạch'!$B$6:$B$305,$O1310)="Đột xuất",INDEX('Kế hoạch'!$AY$6:$AY$305,$O1310),IF(N($P1310)=0,"",IF(INT($B1310)&lt;$P1310,$P1310,IF($Q1310&gt;0,$P1310+ROUND((INT($B1310)-$P1310)/$Q1310,0)*$Q1310,IF($R1310&gt;0,EDATE($P1310,ROUND((DATEDIF($P1310,INT($B1310),"m")+(INT($B1310)-EDATE($P1310,DATEDIF($P1310,INT($B1310),"m")))/(EDATE($P1310,DATEDIF($P1310,INT($B1310),"m")+1)-EDATE($P1310,DATEDIF($P1310,INT($B1310),"m"))))/$R1310,0)*$R1310),$P1310))))),"")))</f>
      </c>
      <c r="M1310" s="223">
        <f>IF(OR($C1310="",N($L1310)=0,N($B1310)=0),"",IF(IF(MOD($L1310,1)=0,INT($B1310),$B1310)&lt;=$L1310,"Đúng hạn","Trễ hạn"))</f>
      </c>
      <c r="N1310" s="225">
        <f>IF($C1310="","",ROW())</f>
      </c>
      <c r="O1310" s="225">
        <f>IF($I1310="Công việc",MATCH($C1310,'Kế hoạch'!$A$6:$A$305,0),"")</f>
      </c>
      <c r="P1310" s="234">
        <f>IF($O1310="","",INDEX('Kế hoạch'!$I$6:$I$305,$O1310))</f>
      </c>
      <c r="Q1310" s="225">
        <f>IF($O1310="","",INDEX('Kế hoạch'!$AJ$6:$AJ$305,$O1310))</f>
      </c>
      <c r="R1310" s="225">
        <f>IF($O1310="","",INDEX('Kế hoạch'!$AK$6:$AK$305,$O1310))</f>
      </c>
    </row>
    <row r="1311">
      <c r="A1311" s="223">
        <f>IF($C1311="","",COUNTIF($C$6:$C1311,"?*"))</f>
      </c>
      <c r="B1311" s="217"/>
      <c r="C1311" s="216"/>
      <c r="D1311" s="240"/>
      <c r="E1311" s="218"/>
      <c r="F1311" s="218"/>
      <c r="G1311" s="218"/>
      <c r="H1311" s="219"/>
      <c r="I1311" s="223">
        <f>IF($C1311="","",IF(ISNUMBER(MATCH($C1311,'Phản ánh'!$A$6:$A$505,0)),"Phản ánh",IF(ISNUMBER(MATCH($C1311,'Kế hoạch'!$A$6:$A$305,0)),"Công việc","Mã chưa có")))</f>
      </c>
      <c r="J1311" s="221">
        <f>IF($I1311="Phản ánh",INDEX('Phản ánh'!$C$6:$C$505,MATCH($C1311,'Phản ánh'!$A$6:$A$505,0)),IF($I1311="Công việc",INDEX('Kế hoạch'!$C$6:$C$305,$O1311),""))</f>
      </c>
      <c r="K1311" s="221">
        <f>IF($I1311="Phản ánh",INDEX('Phản ánh'!$K$6:$K$505,MATCH($C1311,'Phản ánh'!$A$6:$A$505,0))&amp;"",IF($I1311="Công việc",INDEX('Kế hoạch'!$N$6:$N$305,$O1311)&amp;"",""))</f>
      </c>
      <c r="L1311" s="220">
        <f>IF(OR($C1311="",N($B1311)=0),"",IF(AND($I1311="Phản ánh",$E1311="Đã xử lý"),INDEX('Phản ánh'!$U$6:$U$505,MATCH($C1311,'Phản ánh'!$A$6:$A$505,0)),IF(AND($I1311="Công việc",OR($E1311="Hoàn thành",$E1311="Hoàn thành kỳ")),IF(INDEX('Kế hoạch'!$B$6:$B$305,$O1311)="Đột xuất",INDEX('Kế hoạch'!$AY$6:$AY$305,$O1311),IF(N($P1311)=0,"",IF(INT($B1311)&lt;$P1311,$P1311,IF($Q1311&gt;0,$P1311+ROUND((INT($B1311)-$P1311)/$Q1311,0)*$Q1311,IF($R1311&gt;0,EDATE($P1311,ROUND((DATEDIF($P1311,INT($B1311),"m")+(INT($B1311)-EDATE($P1311,DATEDIF($P1311,INT($B1311),"m")))/(EDATE($P1311,DATEDIF($P1311,INT($B1311),"m")+1)-EDATE($P1311,DATEDIF($P1311,INT($B1311),"m"))))/$R1311,0)*$R1311),$P1311))))),"")))</f>
      </c>
      <c r="M1311" s="223">
        <f>IF(OR($C1311="",N($L1311)=0,N($B1311)=0),"",IF(IF(MOD($L1311,1)=0,INT($B1311),$B1311)&lt;=$L1311,"Đúng hạn","Trễ hạn"))</f>
      </c>
      <c r="N1311" s="225">
        <f>IF($C1311="","",ROW())</f>
      </c>
      <c r="O1311" s="225">
        <f>IF($I1311="Công việc",MATCH($C1311,'Kế hoạch'!$A$6:$A$305,0),"")</f>
      </c>
      <c r="P1311" s="234">
        <f>IF($O1311="","",INDEX('Kế hoạch'!$I$6:$I$305,$O1311))</f>
      </c>
      <c r="Q1311" s="225">
        <f>IF($O1311="","",INDEX('Kế hoạch'!$AJ$6:$AJ$305,$O1311))</f>
      </c>
      <c r="R1311" s="225">
        <f>IF($O1311="","",INDEX('Kế hoạch'!$AK$6:$AK$305,$O1311))</f>
      </c>
    </row>
    <row r="1312">
      <c r="A1312" s="223">
        <f>IF($C1312="","",COUNTIF($C$6:$C1312,"?*"))</f>
      </c>
      <c r="B1312" s="217"/>
      <c r="C1312" s="216"/>
      <c r="D1312" s="240"/>
      <c r="E1312" s="218"/>
      <c r="F1312" s="218"/>
      <c r="G1312" s="218"/>
      <c r="H1312" s="219"/>
      <c r="I1312" s="223">
        <f>IF($C1312="","",IF(ISNUMBER(MATCH($C1312,'Phản ánh'!$A$6:$A$505,0)),"Phản ánh",IF(ISNUMBER(MATCH($C1312,'Kế hoạch'!$A$6:$A$305,0)),"Công việc","Mã chưa có")))</f>
      </c>
      <c r="J1312" s="221">
        <f>IF($I1312="Phản ánh",INDEX('Phản ánh'!$C$6:$C$505,MATCH($C1312,'Phản ánh'!$A$6:$A$505,0)),IF($I1312="Công việc",INDEX('Kế hoạch'!$C$6:$C$305,$O1312),""))</f>
      </c>
      <c r="K1312" s="221">
        <f>IF($I1312="Phản ánh",INDEX('Phản ánh'!$K$6:$K$505,MATCH($C1312,'Phản ánh'!$A$6:$A$505,0))&amp;"",IF($I1312="Công việc",INDEX('Kế hoạch'!$N$6:$N$305,$O1312)&amp;"",""))</f>
      </c>
      <c r="L1312" s="220">
        <f>IF(OR($C1312="",N($B1312)=0),"",IF(AND($I1312="Phản ánh",$E1312="Đã xử lý"),INDEX('Phản ánh'!$U$6:$U$505,MATCH($C1312,'Phản ánh'!$A$6:$A$505,0)),IF(AND($I1312="Công việc",OR($E1312="Hoàn thành",$E1312="Hoàn thành kỳ")),IF(INDEX('Kế hoạch'!$B$6:$B$305,$O1312)="Đột xuất",INDEX('Kế hoạch'!$AY$6:$AY$305,$O1312),IF(N($P1312)=0,"",IF(INT($B1312)&lt;$P1312,$P1312,IF($Q1312&gt;0,$P1312+ROUND((INT($B1312)-$P1312)/$Q1312,0)*$Q1312,IF($R1312&gt;0,EDATE($P1312,ROUND((DATEDIF($P1312,INT($B1312),"m")+(INT($B1312)-EDATE($P1312,DATEDIF($P1312,INT($B1312),"m")))/(EDATE($P1312,DATEDIF($P1312,INT($B1312),"m")+1)-EDATE($P1312,DATEDIF($P1312,INT($B1312),"m"))))/$R1312,0)*$R1312),$P1312))))),"")))</f>
      </c>
      <c r="M1312" s="223">
        <f>IF(OR($C1312="",N($L1312)=0,N($B1312)=0),"",IF(IF(MOD($L1312,1)=0,INT($B1312),$B1312)&lt;=$L1312,"Đúng hạn","Trễ hạn"))</f>
      </c>
      <c r="N1312" s="225">
        <f>IF($C1312="","",ROW())</f>
      </c>
      <c r="O1312" s="225">
        <f>IF($I1312="Công việc",MATCH($C1312,'Kế hoạch'!$A$6:$A$305,0),"")</f>
      </c>
      <c r="P1312" s="234">
        <f>IF($O1312="","",INDEX('Kế hoạch'!$I$6:$I$305,$O1312))</f>
      </c>
      <c r="Q1312" s="225">
        <f>IF($O1312="","",INDEX('Kế hoạch'!$AJ$6:$AJ$305,$O1312))</f>
      </c>
      <c r="R1312" s="225">
        <f>IF($O1312="","",INDEX('Kế hoạch'!$AK$6:$AK$305,$O1312))</f>
      </c>
    </row>
    <row r="1313">
      <c r="A1313" s="223">
        <f>IF($C1313="","",COUNTIF($C$6:$C1313,"?*"))</f>
      </c>
      <c r="B1313" s="217"/>
      <c r="C1313" s="216"/>
      <c r="D1313" s="240"/>
      <c r="E1313" s="218"/>
      <c r="F1313" s="218"/>
      <c r="G1313" s="218"/>
      <c r="H1313" s="219"/>
      <c r="I1313" s="223">
        <f>IF($C1313="","",IF(ISNUMBER(MATCH($C1313,'Phản ánh'!$A$6:$A$505,0)),"Phản ánh",IF(ISNUMBER(MATCH($C1313,'Kế hoạch'!$A$6:$A$305,0)),"Công việc","Mã chưa có")))</f>
      </c>
      <c r="J1313" s="221">
        <f>IF($I1313="Phản ánh",INDEX('Phản ánh'!$C$6:$C$505,MATCH($C1313,'Phản ánh'!$A$6:$A$505,0)),IF($I1313="Công việc",INDEX('Kế hoạch'!$C$6:$C$305,$O1313),""))</f>
      </c>
      <c r="K1313" s="221">
        <f>IF($I1313="Phản ánh",INDEX('Phản ánh'!$K$6:$K$505,MATCH($C1313,'Phản ánh'!$A$6:$A$505,0))&amp;"",IF($I1313="Công việc",INDEX('Kế hoạch'!$N$6:$N$305,$O1313)&amp;"",""))</f>
      </c>
      <c r="L1313" s="220">
        <f>IF(OR($C1313="",N($B1313)=0),"",IF(AND($I1313="Phản ánh",$E1313="Đã xử lý"),INDEX('Phản ánh'!$U$6:$U$505,MATCH($C1313,'Phản ánh'!$A$6:$A$505,0)),IF(AND($I1313="Công việc",OR($E1313="Hoàn thành",$E1313="Hoàn thành kỳ")),IF(INDEX('Kế hoạch'!$B$6:$B$305,$O1313)="Đột xuất",INDEX('Kế hoạch'!$AY$6:$AY$305,$O1313),IF(N($P1313)=0,"",IF(INT($B1313)&lt;$P1313,$P1313,IF($Q1313&gt;0,$P1313+ROUND((INT($B1313)-$P1313)/$Q1313,0)*$Q1313,IF($R1313&gt;0,EDATE($P1313,ROUND((DATEDIF($P1313,INT($B1313),"m")+(INT($B1313)-EDATE($P1313,DATEDIF($P1313,INT($B1313),"m")))/(EDATE($P1313,DATEDIF($P1313,INT($B1313),"m")+1)-EDATE($P1313,DATEDIF($P1313,INT($B1313),"m"))))/$R1313,0)*$R1313),$P1313))))),"")))</f>
      </c>
      <c r="M1313" s="223">
        <f>IF(OR($C1313="",N($L1313)=0,N($B1313)=0),"",IF(IF(MOD($L1313,1)=0,INT($B1313),$B1313)&lt;=$L1313,"Đúng hạn","Trễ hạn"))</f>
      </c>
      <c r="N1313" s="225">
        <f>IF($C1313="","",ROW())</f>
      </c>
      <c r="O1313" s="225">
        <f>IF($I1313="Công việc",MATCH($C1313,'Kế hoạch'!$A$6:$A$305,0),"")</f>
      </c>
      <c r="P1313" s="234">
        <f>IF($O1313="","",INDEX('Kế hoạch'!$I$6:$I$305,$O1313))</f>
      </c>
      <c r="Q1313" s="225">
        <f>IF($O1313="","",INDEX('Kế hoạch'!$AJ$6:$AJ$305,$O1313))</f>
      </c>
      <c r="R1313" s="225">
        <f>IF($O1313="","",INDEX('Kế hoạch'!$AK$6:$AK$305,$O1313))</f>
      </c>
    </row>
    <row r="1314">
      <c r="A1314" s="223">
        <f>IF($C1314="","",COUNTIF($C$6:$C1314,"?*"))</f>
      </c>
      <c r="B1314" s="217"/>
      <c r="C1314" s="216"/>
      <c r="D1314" s="240"/>
      <c r="E1314" s="218"/>
      <c r="F1314" s="218"/>
      <c r="G1314" s="218"/>
      <c r="H1314" s="219"/>
      <c r="I1314" s="223">
        <f>IF($C1314="","",IF(ISNUMBER(MATCH($C1314,'Phản ánh'!$A$6:$A$505,0)),"Phản ánh",IF(ISNUMBER(MATCH($C1314,'Kế hoạch'!$A$6:$A$305,0)),"Công việc","Mã chưa có")))</f>
      </c>
      <c r="J1314" s="221">
        <f>IF($I1314="Phản ánh",INDEX('Phản ánh'!$C$6:$C$505,MATCH($C1314,'Phản ánh'!$A$6:$A$505,0)),IF($I1314="Công việc",INDEX('Kế hoạch'!$C$6:$C$305,$O1314),""))</f>
      </c>
      <c r="K1314" s="221">
        <f>IF($I1314="Phản ánh",INDEX('Phản ánh'!$K$6:$K$505,MATCH($C1314,'Phản ánh'!$A$6:$A$505,0))&amp;"",IF($I1314="Công việc",INDEX('Kế hoạch'!$N$6:$N$305,$O1314)&amp;"",""))</f>
      </c>
      <c r="L1314" s="220">
        <f>IF(OR($C1314="",N($B1314)=0),"",IF(AND($I1314="Phản ánh",$E1314="Đã xử lý"),INDEX('Phản ánh'!$U$6:$U$505,MATCH($C1314,'Phản ánh'!$A$6:$A$505,0)),IF(AND($I1314="Công việc",OR($E1314="Hoàn thành",$E1314="Hoàn thành kỳ")),IF(INDEX('Kế hoạch'!$B$6:$B$305,$O1314)="Đột xuất",INDEX('Kế hoạch'!$AY$6:$AY$305,$O1314),IF(N($P1314)=0,"",IF(INT($B1314)&lt;$P1314,$P1314,IF($Q1314&gt;0,$P1314+ROUND((INT($B1314)-$P1314)/$Q1314,0)*$Q1314,IF($R1314&gt;0,EDATE($P1314,ROUND((DATEDIF($P1314,INT($B1314),"m")+(INT($B1314)-EDATE($P1314,DATEDIF($P1314,INT($B1314),"m")))/(EDATE($P1314,DATEDIF($P1314,INT($B1314),"m")+1)-EDATE($P1314,DATEDIF($P1314,INT($B1314),"m"))))/$R1314,0)*$R1314),$P1314))))),"")))</f>
      </c>
      <c r="M1314" s="223">
        <f>IF(OR($C1314="",N($L1314)=0,N($B1314)=0),"",IF(IF(MOD($L1314,1)=0,INT($B1314),$B1314)&lt;=$L1314,"Đúng hạn","Trễ hạn"))</f>
      </c>
      <c r="N1314" s="225">
        <f>IF($C1314="","",ROW())</f>
      </c>
      <c r="O1314" s="225">
        <f>IF($I1314="Công việc",MATCH($C1314,'Kế hoạch'!$A$6:$A$305,0),"")</f>
      </c>
      <c r="P1314" s="234">
        <f>IF($O1314="","",INDEX('Kế hoạch'!$I$6:$I$305,$O1314))</f>
      </c>
      <c r="Q1314" s="225">
        <f>IF($O1314="","",INDEX('Kế hoạch'!$AJ$6:$AJ$305,$O1314))</f>
      </c>
      <c r="R1314" s="225">
        <f>IF($O1314="","",INDEX('Kế hoạch'!$AK$6:$AK$305,$O1314))</f>
      </c>
    </row>
    <row r="1315">
      <c r="A1315" s="223">
        <f>IF($C1315="","",COUNTIF($C$6:$C1315,"?*"))</f>
      </c>
      <c r="B1315" s="217"/>
      <c r="C1315" s="216"/>
      <c r="D1315" s="240"/>
      <c r="E1315" s="218"/>
      <c r="F1315" s="218"/>
      <c r="G1315" s="218"/>
      <c r="H1315" s="219"/>
      <c r="I1315" s="223">
        <f>IF($C1315="","",IF(ISNUMBER(MATCH($C1315,'Phản ánh'!$A$6:$A$505,0)),"Phản ánh",IF(ISNUMBER(MATCH($C1315,'Kế hoạch'!$A$6:$A$305,0)),"Công việc","Mã chưa có")))</f>
      </c>
      <c r="J1315" s="221">
        <f>IF($I1315="Phản ánh",INDEX('Phản ánh'!$C$6:$C$505,MATCH($C1315,'Phản ánh'!$A$6:$A$505,0)),IF($I1315="Công việc",INDEX('Kế hoạch'!$C$6:$C$305,$O1315),""))</f>
      </c>
      <c r="K1315" s="221">
        <f>IF($I1315="Phản ánh",INDEX('Phản ánh'!$K$6:$K$505,MATCH($C1315,'Phản ánh'!$A$6:$A$505,0))&amp;"",IF($I1315="Công việc",INDEX('Kế hoạch'!$N$6:$N$305,$O1315)&amp;"",""))</f>
      </c>
      <c r="L1315" s="220">
        <f>IF(OR($C1315="",N($B1315)=0),"",IF(AND($I1315="Phản ánh",$E1315="Đã xử lý"),INDEX('Phản ánh'!$U$6:$U$505,MATCH($C1315,'Phản ánh'!$A$6:$A$505,0)),IF(AND($I1315="Công việc",OR($E1315="Hoàn thành",$E1315="Hoàn thành kỳ")),IF(INDEX('Kế hoạch'!$B$6:$B$305,$O1315)="Đột xuất",INDEX('Kế hoạch'!$AY$6:$AY$305,$O1315),IF(N($P1315)=0,"",IF(INT($B1315)&lt;$P1315,$P1315,IF($Q1315&gt;0,$P1315+ROUND((INT($B1315)-$P1315)/$Q1315,0)*$Q1315,IF($R1315&gt;0,EDATE($P1315,ROUND((DATEDIF($P1315,INT($B1315),"m")+(INT($B1315)-EDATE($P1315,DATEDIF($P1315,INT($B1315),"m")))/(EDATE($P1315,DATEDIF($P1315,INT($B1315),"m")+1)-EDATE($P1315,DATEDIF($P1315,INT($B1315),"m"))))/$R1315,0)*$R1315),$P1315))))),"")))</f>
      </c>
      <c r="M1315" s="223">
        <f>IF(OR($C1315="",N($L1315)=0,N($B1315)=0),"",IF(IF(MOD($L1315,1)=0,INT($B1315),$B1315)&lt;=$L1315,"Đúng hạn","Trễ hạn"))</f>
      </c>
      <c r="N1315" s="225">
        <f>IF($C1315="","",ROW())</f>
      </c>
      <c r="O1315" s="225">
        <f>IF($I1315="Công việc",MATCH($C1315,'Kế hoạch'!$A$6:$A$305,0),"")</f>
      </c>
      <c r="P1315" s="234">
        <f>IF($O1315="","",INDEX('Kế hoạch'!$I$6:$I$305,$O1315))</f>
      </c>
      <c r="Q1315" s="225">
        <f>IF($O1315="","",INDEX('Kế hoạch'!$AJ$6:$AJ$305,$O1315))</f>
      </c>
      <c r="R1315" s="225">
        <f>IF($O1315="","",INDEX('Kế hoạch'!$AK$6:$AK$305,$O1315))</f>
      </c>
    </row>
    <row r="1316">
      <c r="A1316" s="223">
        <f>IF($C1316="","",COUNTIF($C$6:$C1316,"?*"))</f>
      </c>
      <c r="B1316" s="217"/>
      <c r="C1316" s="216"/>
      <c r="D1316" s="240"/>
      <c r="E1316" s="218"/>
      <c r="F1316" s="218"/>
      <c r="G1316" s="218"/>
      <c r="H1316" s="219"/>
      <c r="I1316" s="223">
        <f>IF($C1316="","",IF(ISNUMBER(MATCH($C1316,'Phản ánh'!$A$6:$A$505,0)),"Phản ánh",IF(ISNUMBER(MATCH($C1316,'Kế hoạch'!$A$6:$A$305,0)),"Công việc","Mã chưa có")))</f>
      </c>
      <c r="J1316" s="221">
        <f>IF($I1316="Phản ánh",INDEX('Phản ánh'!$C$6:$C$505,MATCH($C1316,'Phản ánh'!$A$6:$A$505,0)),IF($I1316="Công việc",INDEX('Kế hoạch'!$C$6:$C$305,$O1316),""))</f>
      </c>
      <c r="K1316" s="221">
        <f>IF($I1316="Phản ánh",INDEX('Phản ánh'!$K$6:$K$505,MATCH($C1316,'Phản ánh'!$A$6:$A$505,0))&amp;"",IF($I1316="Công việc",INDEX('Kế hoạch'!$N$6:$N$305,$O1316)&amp;"",""))</f>
      </c>
      <c r="L1316" s="220">
        <f>IF(OR($C1316="",N($B1316)=0),"",IF(AND($I1316="Phản ánh",$E1316="Đã xử lý"),INDEX('Phản ánh'!$U$6:$U$505,MATCH($C1316,'Phản ánh'!$A$6:$A$505,0)),IF(AND($I1316="Công việc",OR($E1316="Hoàn thành",$E1316="Hoàn thành kỳ")),IF(INDEX('Kế hoạch'!$B$6:$B$305,$O1316)="Đột xuất",INDEX('Kế hoạch'!$AY$6:$AY$305,$O1316),IF(N($P1316)=0,"",IF(INT($B1316)&lt;$P1316,$P1316,IF($Q1316&gt;0,$P1316+ROUND((INT($B1316)-$P1316)/$Q1316,0)*$Q1316,IF($R1316&gt;0,EDATE($P1316,ROUND((DATEDIF($P1316,INT($B1316),"m")+(INT($B1316)-EDATE($P1316,DATEDIF($P1316,INT($B1316),"m")))/(EDATE($P1316,DATEDIF($P1316,INT($B1316),"m")+1)-EDATE($P1316,DATEDIF($P1316,INT($B1316),"m"))))/$R1316,0)*$R1316),$P1316))))),"")))</f>
      </c>
      <c r="M1316" s="223">
        <f>IF(OR($C1316="",N($L1316)=0,N($B1316)=0),"",IF(IF(MOD($L1316,1)=0,INT($B1316),$B1316)&lt;=$L1316,"Đúng hạn","Trễ hạn"))</f>
      </c>
      <c r="N1316" s="225">
        <f>IF($C1316="","",ROW())</f>
      </c>
      <c r="O1316" s="225">
        <f>IF($I1316="Công việc",MATCH($C1316,'Kế hoạch'!$A$6:$A$305,0),"")</f>
      </c>
      <c r="P1316" s="234">
        <f>IF($O1316="","",INDEX('Kế hoạch'!$I$6:$I$305,$O1316))</f>
      </c>
      <c r="Q1316" s="225">
        <f>IF($O1316="","",INDEX('Kế hoạch'!$AJ$6:$AJ$305,$O1316))</f>
      </c>
      <c r="R1316" s="225">
        <f>IF($O1316="","",INDEX('Kế hoạch'!$AK$6:$AK$305,$O1316))</f>
      </c>
    </row>
    <row r="1317">
      <c r="A1317" s="223">
        <f>IF($C1317="","",COUNTIF($C$6:$C1317,"?*"))</f>
      </c>
      <c r="B1317" s="217"/>
      <c r="C1317" s="216"/>
      <c r="D1317" s="240"/>
      <c r="E1317" s="218"/>
      <c r="F1317" s="218"/>
      <c r="G1317" s="218"/>
      <c r="H1317" s="219"/>
      <c r="I1317" s="223">
        <f>IF($C1317="","",IF(ISNUMBER(MATCH($C1317,'Phản ánh'!$A$6:$A$505,0)),"Phản ánh",IF(ISNUMBER(MATCH($C1317,'Kế hoạch'!$A$6:$A$305,0)),"Công việc","Mã chưa có")))</f>
      </c>
      <c r="J1317" s="221">
        <f>IF($I1317="Phản ánh",INDEX('Phản ánh'!$C$6:$C$505,MATCH($C1317,'Phản ánh'!$A$6:$A$505,0)),IF($I1317="Công việc",INDEX('Kế hoạch'!$C$6:$C$305,$O1317),""))</f>
      </c>
      <c r="K1317" s="221">
        <f>IF($I1317="Phản ánh",INDEX('Phản ánh'!$K$6:$K$505,MATCH($C1317,'Phản ánh'!$A$6:$A$505,0))&amp;"",IF($I1317="Công việc",INDEX('Kế hoạch'!$N$6:$N$305,$O1317)&amp;"",""))</f>
      </c>
      <c r="L1317" s="220">
        <f>IF(OR($C1317="",N($B1317)=0),"",IF(AND($I1317="Phản ánh",$E1317="Đã xử lý"),INDEX('Phản ánh'!$U$6:$U$505,MATCH($C1317,'Phản ánh'!$A$6:$A$505,0)),IF(AND($I1317="Công việc",OR($E1317="Hoàn thành",$E1317="Hoàn thành kỳ")),IF(INDEX('Kế hoạch'!$B$6:$B$305,$O1317)="Đột xuất",INDEX('Kế hoạch'!$AY$6:$AY$305,$O1317),IF(N($P1317)=0,"",IF(INT($B1317)&lt;$P1317,$P1317,IF($Q1317&gt;0,$P1317+ROUND((INT($B1317)-$P1317)/$Q1317,0)*$Q1317,IF($R1317&gt;0,EDATE($P1317,ROUND((DATEDIF($P1317,INT($B1317),"m")+(INT($B1317)-EDATE($P1317,DATEDIF($P1317,INT($B1317),"m")))/(EDATE($P1317,DATEDIF($P1317,INT($B1317),"m")+1)-EDATE($P1317,DATEDIF($P1317,INT($B1317),"m"))))/$R1317,0)*$R1317),$P1317))))),"")))</f>
      </c>
      <c r="M1317" s="223">
        <f>IF(OR($C1317="",N($L1317)=0,N($B1317)=0),"",IF(IF(MOD($L1317,1)=0,INT($B1317),$B1317)&lt;=$L1317,"Đúng hạn","Trễ hạn"))</f>
      </c>
      <c r="N1317" s="225">
        <f>IF($C1317="","",ROW())</f>
      </c>
      <c r="O1317" s="225">
        <f>IF($I1317="Công việc",MATCH($C1317,'Kế hoạch'!$A$6:$A$305,0),"")</f>
      </c>
      <c r="P1317" s="234">
        <f>IF($O1317="","",INDEX('Kế hoạch'!$I$6:$I$305,$O1317))</f>
      </c>
      <c r="Q1317" s="225">
        <f>IF($O1317="","",INDEX('Kế hoạch'!$AJ$6:$AJ$305,$O1317))</f>
      </c>
      <c r="R1317" s="225">
        <f>IF($O1317="","",INDEX('Kế hoạch'!$AK$6:$AK$305,$O1317))</f>
      </c>
    </row>
    <row r="1318">
      <c r="A1318" s="223">
        <f>IF($C1318="","",COUNTIF($C$6:$C1318,"?*"))</f>
      </c>
      <c r="B1318" s="217"/>
      <c r="C1318" s="216"/>
      <c r="D1318" s="240"/>
      <c r="E1318" s="218"/>
      <c r="F1318" s="218"/>
      <c r="G1318" s="218"/>
      <c r="H1318" s="219"/>
      <c r="I1318" s="223">
        <f>IF($C1318="","",IF(ISNUMBER(MATCH($C1318,'Phản ánh'!$A$6:$A$505,0)),"Phản ánh",IF(ISNUMBER(MATCH($C1318,'Kế hoạch'!$A$6:$A$305,0)),"Công việc","Mã chưa có")))</f>
      </c>
      <c r="J1318" s="221">
        <f>IF($I1318="Phản ánh",INDEX('Phản ánh'!$C$6:$C$505,MATCH($C1318,'Phản ánh'!$A$6:$A$505,0)),IF($I1318="Công việc",INDEX('Kế hoạch'!$C$6:$C$305,$O1318),""))</f>
      </c>
      <c r="K1318" s="221">
        <f>IF($I1318="Phản ánh",INDEX('Phản ánh'!$K$6:$K$505,MATCH($C1318,'Phản ánh'!$A$6:$A$505,0))&amp;"",IF($I1318="Công việc",INDEX('Kế hoạch'!$N$6:$N$305,$O1318)&amp;"",""))</f>
      </c>
      <c r="L1318" s="220">
        <f>IF(OR($C1318="",N($B1318)=0),"",IF(AND($I1318="Phản ánh",$E1318="Đã xử lý"),INDEX('Phản ánh'!$U$6:$U$505,MATCH($C1318,'Phản ánh'!$A$6:$A$505,0)),IF(AND($I1318="Công việc",OR($E1318="Hoàn thành",$E1318="Hoàn thành kỳ")),IF(INDEX('Kế hoạch'!$B$6:$B$305,$O1318)="Đột xuất",INDEX('Kế hoạch'!$AY$6:$AY$305,$O1318),IF(N($P1318)=0,"",IF(INT($B1318)&lt;$P1318,$P1318,IF($Q1318&gt;0,$P1318+ROUND((INT($B1318)-$P1318)/$Q1318,0)*$Q1318,IF($R1318&gt;0,EDATE($P1318,ROUND((DATEDIF($P1318,INT($B1318),"m")+(INT($B1318)-EDATE($P1318,DATEDIF($P1318,INT($B1318),"m")))/(EDATE($P1318,DATEDIF($P1318,INT($B1318),"m")+1)-EDATE($P1318,DATEDIF($P1318,INT($B1318),"m"))))/$R1318,0)*$R1318),$P1318))))),"")))</f>
      </c>
      <c r="M1318" s="223">
        <f>IF(OR($C1318="",N($L1318)=0,N($B1318)=0),"",IF(IF(MOD($L1318,1)=0,INT($B1318),$B1318)&lt;=$L1318,"Đúng hạn","Trễ hạn"))</f>
      </c>
      <c r="N1318" s="225">
        <f>IF($C1318="","",ROW())</f>
      </c>
      <c r="O1318" s="225">
        <f>IF($I1318="Công việc",MATCH($C1318,'Kế hoạch'!$A$6:$A$305,0),"")</f>
      </c>
      <c r="P1318" s="234">
        <f>IF($O1318="","",INDEX('Kế hoạch'!$I$6:$I$305,$O1318))</f>
      </c>
      <c r="Q1318" s="225">
        <f>IF($O1318="","",INDEX('Kế hoạch'!$AJ$6:$AJ$305,$O1318))</f>
      </c>
      <c r="R1318" s="225">
        <f>IF($O1318="","",INDEX('Kế hoạch'!$AK$6:$AK$305,$O1318))</f>
      </c>
    </row>
    <row r="1319">
      <c r="A1319" s="223">
        <f>IF($C1319="","",COUNTIF($C$6:$C1319,"?*"))</f>
      </c>
      <c r="B1319" s="217"/>
      <c r="C1319" s="216"/>
      <c r="D1319" s="240"/>
      <c r="E1319" s="218"/>
      <c r="F1319" s="218"/>
      <c r="G1319" s="218"/>
      <c r="H1319" s="219"/>
      <c r="I1319" s="223">
        <f>IF($C1319="","",IF(ISNUMBER(MATCH($C1319,'Phản ánh'!$A$6:$A$505,0)),"Phản ánh",IF(ISNUMBER(MATCH($C1319,'Kế hoạch'!$A$6:$A$305,0)),"Công việc","Mã chưa có")))</f>
      </c>
      <c r="J1319" s="221">
        <f>IF($I1319="Phản ánh",INDEX('Phản ánh'!$C$6:$C$505,MATCH($C1319,'Phản ánh'!$A$6:$A$505,0)),IF($I1319="Công việc",INDEX('Kế hoạch'!$C$6:$C$305,$O1319),""))</f>
      </c>
      <c r="K1319" s="221">
        <f>IF($I1319="Phản ánh",INDEX('Phản ánh'!$K$6:$K$505,MATCH($C1319,'Phản ánh'!$A$6:$A$505,0))&amp;"",IF($I1319="Công việc",INDEX('Kế hoạch'!$N$6:$N$305,$O1319)&amp;"",""))</f>
      </c>
      <c r="L1319" s="220">
        <f>IF(OR($C1319="",N($B1319)=0),"",IF(AND($I1319="Phản ánh",$E1319="Đã xử lý"),INDEX('Phản ánh'!$U$6:$U$505,MATCH($C1319,'Phản ánh'!$A$6:$A$505,0)),IF(AND($I1319="Công việc",OR($E1319="Hoàn thành",$E1319="Hoàn thành kỳ")),IF(INDEX('Kế hoạch'!$B$6:$B$305,$O1319)="Đột xuất",INDEX('Kế hoạch'!$AY$6:$AY$305,$O1319),IF(N($P1319)=0,"",IF(INT($B1319)&lt;$P1319,$P1319,IF($Q1319&gt;0,$P1319+ROUND((INT($B1319)-$P1319)/$Q1319,0)*$Q1319,IF($R1319&gt;0,EDATE($P1319,ROUND((DATEDIF($P1319,INT($B1319),"m")+(INT($B1319)-EDATE($P1319,DATEDIF($P1319,INT($B1319),"m")))/(EDATE($P1319,DATEDIF($P1319,INT($B1319),"m")+1)-EDATE($P1319,DATEDIF($P1319,INT($B1319),"m"))))/$R1319,0)*$R1319),$P1319))))),"")))</f>
      </c>
      <c r="M1319" s="223">
        <f>IF(OR($C1319="",N($L1319)=0,N($B1319)=0),"",IF(IF(MOD($L1319,1)=0,INT($B1319),$B1319)&lt;=$L1319,"Đúng hạn","Trễ hạn"))</f>
      </c>
      <c r="N1319" s="225">
        <f>IF($C1319="","",ROW())</f>
      </c>
      <c r="O1319" s="225">
        <f>IF($I1319="Công việc",MATCH($C1319,'Kế hoạch'!$A$6:$A$305,0),"")</f>
      </c>
      <c r="P1319" s="234">
        <f>IF($O1319="","",INDEX('Kế hoạch'!$I$6:$I$305,$O1319))</f>
      </c>
      <c r="Q1319" s="225">
        <f>IF($O1319="","",INDEX('Kế hoạch'!$AJ$6:$AJ$305,$O1319))</f>
      </c>
      <c r="R1319" s="225">
        <f>IF($O1319="","",INDEX('Kế hoạch'!$AK$6:$AK$305,$O1319))</f>
      </c>
    </row>
    <row r="1320">
      <c r="A1320" s="223">
        <f>IF($C1320="","",COUNTIF($C$6:$C1320,"?*"))</f>
      </c>
      <c r="B1320" s="217"/>
      <c r="C1320" s="216"/>
      <c r="D1320" s="240"/>
      <c r="E1320" s="218"/>
      <c r="F1320" s="218"/>
      <c r="G1320" s="218"/>
      <c r="H1320" s="219"/>
      <c r="I1320" s="223">
        <f>IF($C1320="","",IF(ISNUMBER(MATCH($C1320,'Phản ánh'!$A$6:$A$505,0)),"Phản ánh",IF(ISNUMBER(MATCH($C1320,'Kế hoạch'!$A$6:$A$305,0)),"Công việc","Mã chưa có")))</f>
      </c>
      <c r="J1320" s="221">
        <f>IF($I1320="Phản ánh",INDEX('Phản ánh'!$C$6:$C$505,MATCH($C1320,'Phản ánh'!$A$6:$A$505,0)),IF($I1320="Công việc",INDEX('Kế hoạch'!$C$6:$C$305,$O1320),""))</f>
      </c>
      <c r="K1320" s="221">
        <f>IF($I1320="Phản ánh",INDEX('Phản ánh'!$K$6:$K$505,MATCH($C1320,'Phản ánh'!$A$6:$A$505,0))&amp;"",IF($I1320="Công việc",INDEX('Kế hoạch'!$N$6:$N$305,$O1320)&amp;"",""))</f>
      </c>
      <c r="L1320" s="220">
        <f>IF(OR($C1320="",N($B1320)=0),"",IF(AND($I1320="Phản ánh",$E1320="Đã xử lý"),INDEX('Phản ánh'!$U$6:$U$505,MATCH($C1320,'Phản ánh'!$A$6:$A$505,0)),IF(AND($I1320="Công việc",OR($E1320="Hoàn thành",$E1320="Hoàn thành kỳ")),IF(INDEX('Kế hoạch'!$B$6:$B$305,$O1320)="Đột xuất",INDEX('Kế hoạch'!$AY$6:$AY$305,$O1320),IF(N($P1320)=0,"",IF(INT($B1320)&lt;$P1320,$P1320,IF($Q1320&gt;0,$P1320+ROUND((INT($B1320)-$P1320)/$Q1320,0)*$Q1320,IF($R1320&gt;0,EDATE($P1320,ROUND((DATEDIF($P1320,INT($B1320),"m")+(INT($B1320)-EDATE($P1320,DATEDIF($P1320,INT($B1320),"m")))/(EDATE($P1320,DATEDIF($P1320,INT($B1320),"m")+1)-EDATE($P1320,DATEDIF($P1320,INT($B1320),"m"))))/$R1320,0)*$R1320),$P1320))))),"")))</f>
      </c>
      <c r="M1320" s="223">
        <f>IF(OR($C1320="",N($L1320)=0,N($B1320)=0),"",IF(IF(MOD($L1320,1)=0,INT($B1320),$B1320)&lt;=$L1320,"Đúng hạn","Trễ hạn"))</f>
      </c>
      <c r="N1320" s="225">
        <f>IF($C1320="","",ROW())</f>
      </c>
      <c r="O1320" s="225">
        <f>IF($I1320="Công việc",MATCH($C1320,'Kế hoạch'!$A$6:$A$305,0),"")</f>
      </c>
      <c r="P1320" s="234">
        <f>IF($O1320="","",INDEX('Kế hoạch'!$I$6:$I$305,$O1320))</f>
      </c>
      <c r="Q1320" s="225">
        <f>IF($O1320="","",INDEX('Kế hoạch'!$AJ$6:$AJ$305,$O1320))</f>
      </c>
      <c r="R1320" s="225">
        <f>IF($O1320="","",INDEX('Kế hoạch'!$AK$6:$AK$305,$O1320))</f>
      </c>
    </row>
    <row r="1321">
      <c r="A1321" s="223">
        <f>IF($C1321="","",COUNTIF($C$6:$C1321,"?*"))</f>
      </c>
      <c r="B1321" s="217"/>
      <c r="C1321" s="216"/>
      <c r="D1321" s="240"/>
      <c r="E1321" s="218"/>
      <c r="F1321" s="218"/>
      <c r="G1321" s="218"/>
      <c r="H1321" s="219"/>
      <c r="I1321" s="223">
        <f>IF($C1321="","",IF(ISNUMBER(MATCH($C1321,'Phản ánh'!$A$6:$A$505,0)),"Phản ánh",IF(ISNUMBER(MATCH($C1321,'Kế hoạch'!$A$6:$A$305,0)),"Công việc","Mã chưa có")))</f>
      </c>
      <c r="J1321" s="221">
        <f>IF($I1321="Phản ánh",INDEX('Phản ánh'!$C$6:$C$505,MATCH($C1321,'Phản ánh'!$A$6:$A$505,0)),IF($I1321="Công việc",INDEX('Kế hoạch'!$C$6:$C$305,$O1321),""))</f>
      </c>
      <c r="K1321" s="221">
        <f>IF($I1321="Phản ánh",INDEX('Phản ánh'!$K$6:$K$505,MATCH($C1321,'Phản ánh'!$A$6:$A$505,0))&amp;"",IF($I1321="Công việc",INDEX('Kế hoạch'!$N$6:$N$305,$O1321)&amp;"",""))</f>
      </c>
      <c r="L1321" s="220">
        <f>IF(OR($C1321="",N($B1321)=0),"",IF(AND($I1321="Phản ánh",$E1321="Đã xử lý"),INDEX('Phản ánh'!$U$6:$U$505,MATCH($C1321,'Phản ánh'!$A$6:$A$505,0)),IF(AND($I1321="Công việc",OR($E1321="Hoàn thành",$E1321="Hoàn thành kỳ")),IF(INDEX('Kế hoạch'!$B$6:$B$305,$O1321)="Đột xuất",INDEX('Kế hoạch'!$AY$6:$AY$305,$O1321),IF(N($P1321)=0,"",IF(INT($B1321)&lt;$P1321,$P1321,IF($Q1321&gt;0,$P1321+ROUND((INT($B1321)-$P1321)/$Q1321,0)*$Q1321,IF($R1321&gt;0,EDATE($P1321,ROUND((DATEDIF($P1321,INT($B1321),"m")+(INT($B1321)-EDATE($P1321,DATEDIF($P1321,INT($B1321),"m")))/(EDATE($P1321,DATEDIF($P1321,INT($B1321),"m")+1)-EDATE($P1321,DATEDIF($P1321,INT($B1321),"m"))))/$R1321,0)*$R1321),$P1321))))),"")))</f>
      </c>
      <c r="M1321" s="223">
        <f>IF(OR($C1321="",N($L1321)=0,N($B1321)=0),"",IF(IF(MOD($L1321,1)=0,INT($B1321),$B1321)&lt;=$L1321,"Đúng hạn","Trễ hạn"))</f>
      </c>
      <c r="N1321" s="225">
        <f>IF($C1321="","",ROW())</f>
      </c>
      <c r="O1321" s="225">
        <f>IF($I1321="Công việc",MATCH($C1321,'Kế hoạch'!$A$6:$A$305,0),"")</f>
      </c>
      <c r="P1321" s="234">
        <f>IF($O1321="","",INDEX('Kế hoạch'!$I$6:$I$305,$O1321))</f>
      </c>
      <c r="Q1321" s="225">
        <f>IF($O1321="","",INDEX('Kế hoạch'!$AJ$6:$AJ$305,$O1321))</f>
      </c>
      <c r="R1321" s="225">
        <f>IF($O1321="","",INDEX('Kế hoạch'!$AK$6:$AK$305,$O1321))</f>
      </c>
    </row>
    <row r="1322">
      <c r="A1322" s="223">
        <f>IF($C1322="","",COUNTIF($C$6:$C1322,"?*"))</f>
      </c>
      <c r="B1322" s="217"/>
      <c r="C1322" s="216"/>
      <c r="D1322" s="240"/>
      <c r="E1322" s="218"/>
      <c r="F1322" s="218"/>
      <c r="G1322" s="218"/>
      <c r="H1322" s="219"/>
      <c r="I1322" s="223">
        <f>IF($C1322="","",IF(ISNUMBER(MATCH($C1322,'Phản ánh'!$A$6:$A$505,0)),"Phản ánh",IF(ISNUMBER(MATCH($C1322,'Kế hoạch'!$A$6:$A$305,0)),"Công việc","Mã chưa có")))</f>
      </c>
      <c r="J1322" s="221">
        <f>IF($I1322="Phản ánh",INDEX('Phản ánh'!$C$6:$C$505,MATCH($C1322,'Phản ánh'!$A$6:$A$505,0)),IF($I1322="Công việc",INDEX('Kế hoạch'!$C$6:$C$305,$O1322),""))</f>
      </c>
      <c r="K1322" s="221">
        <f>IF($I1322="Phản ánh",INDEX('Phản ánh'!$K$6:$K$505,MATCH($C1322,'Phản ánh'!$A$6:$A$505,0))&amp;"",IF($I1322="Công việc",INDEX('Kế hoạch'!$N$6:$N$305,$O1322)&amp;"",""))</f>
      </c>
      <c r="L1322" s="220">
        <f>IF(OR($C1322="",N($B1322)=0),"",IF(AND($I1322="Phản ánh",$E1322="Đã xử lý"),INDEX('Phản ánh'!$U$6:$U$505,MATCH($C1322,'Phản ánh'!$A$6:$A$505,0)),IF(AND($I1322="Công việc",OR($E1322="Hoàn thành",$E1322="Hoàn thành kỳ")),IF(INDEX('Kế hoạch'!$B$6:$B$305,$O1322)="Đột xuất",INDEX('Kế hoạch'!$AY$6:$AY$305,$O1322),IF(N($P1322)=0,"",IF(INT($B1322)&lt;$P1322,$P1322,IF($Q1322&gt;0,$P1322+ROUND((INT($B1322)-$P1322)/$Q1322,0)*$Q1322,IF($R1322&gt;0,EDATE($P1322,ROUND((DATEDIF($P1322,INT($B1322),"m")+(INT($B1322)-EDATE($P1322,DATEDIF($P1322,INT($B1322),"m")))/(EDATE($P1322,DATEDIF($P1322,INT($B1322),"m")+1)-EDATE($P1322,DATEDIF($P1322,INT($B1322),"m"))))/$R1322,0)*$R1322),$P1322))))),"")))</f>
      </c>
      <c r="M1322" s="223">
        <f>IF(OR($C1322="",N($L1322)=0,N($B1322)=0),"",IF(IF(MOD($L1322,1)=0,INT($B1322),$B1322)&lt;=$L1322,"Đúng hạn","Trễ hạn"))</f>
      </c>
      <c r="N1322" s="225">
        <f>IF($C1322="","",ROW())</f>
      </c>
      <c r="O1322" s="225">
        <f>IF($I1322="Công việc",MATCH($C1322,'Kế hoạch'!$A$6:$A$305,0),"")</f>
      </c>
      <c r="P1322" s="234">
        <f>IF($O1322="","",INDEX('Kế hoạch'!$I$6:$I$305,$O1322))</f>
      </c>
      <c r="Q1322" s="225">
        <f>IF($O1322="","",INDEX('Kế hoạch'!$AJ$6:$AJ$305,$O1322))</f>
      </c>
      <c r="R1322" s="225">
        <f>IF($O1322="","",INDEX('Kế hoạch'!$AK$6:$AK$305,$O1322))</f>
      </c>
    </row>
    <row r="1323">
      <c r="A1323" s="223">
        <f>IF($C1323="","",COUNTIF($C$6:$C1323,"?*"))</f>
      </c>
      <c r="B1323" s="217"/>
      <c r="C1323" s="216"/>
      <c r="D1323" s="240"/>
      <c r="E1323" s="218"/>
      <c r="F1323" s="218"/>
      <c r="G1323" s="218"/>
      <c r="H1323" s="219"/>
      <c r="I1323" s="223">
        <f>IF($C1323="","",IF(ISNUMBER(MATCH($C1323,'Phản ánh'!$A$6:$A$505,0)),"Phản ánh",IF(ISNUMBER(MATCH($C1323,'Kế hoạch'!$A$6:$A$305,0)),"Công việc","Mã chưa có")))</f>
      </c>
      <c r="J1323" s="221">
        <f>IF($I1323="Phản ánh",INDEX('Phản ánh'!$C$6:$C$505,MATCH($C1323,'Phản ánh'!$A$6:$A$505,0)),IF($I1323="Công việc",INDEX('Kế hoạch'!$C$6:$C$305,$O1323),""))</f>
      </c>
      <c r="K1323" s="221">
        <f>IF($I1323="Phản ánh",INDEX('Phản ánh'!$K$6:$K$505,MATCH($C1323,'Phản ánh'!$A$6:$A$505,0))&amp;"",IF($I1323="Công việc",INDEX('Kế hoạch'!$N$6:$N$305,$O1323)&amp;"",""))</f>
      </c>
      <c r="L1323" s="220">
        <f>IF(OR($C1323="",N($B1323)=0),"",IF(AND($I1323="Phản ánh",$E1323="Đã xử lý"),INDEX('Phản ánh'!$U$6:$U$505,MATCH($C1323,'Phản ánh'!$A$6:$A$505,0)),IF(AND($I1323="Công việc",OR($E1323="Hoàn thành",$E1323="Hoàn thành kỳ")),IF(INDEX('Kế hoạch'!$B$6:$B$305,$O1323)="Đột xuất",INDEX('Kế hoạch'!$AY$6:$AY$305,$O1323),IF(N($P1323)=0,"",IF(INT($B1323)&lt;$P1323,$P1323,IF($Q1323&gt;0,$P1323+ROUND((INT($B1323)-$P1323)/$Q1323,0)*$Q1323,IF($R1323&gt;0,EDATE($P1323,ROUND((DATEDIF($P1323,INT($B1323),"m")+(INT($B1323)-EDATE($P1323,DATEDIF($P1323,INT($B1323),"m")))/(EDATE($P1323,DATEDIF($P1323,INT($B1323),"m")+1)-EDATE($P1323,DATEDIF($P1323,INT($B1323),"m"))))/$R1323,0)*$R1323),$P1323))))),"")))</f>
      </c>
      <c r="M1323" s="223">
        <f>IF(OR($C1323="",N($L1323)=0,N($B1323)=0),"",IF(IF(MOD($L1323,1)=0,INT($B1323),$B1323)&lt;=$L1323,"Đúng hạn","Trễ hạn"))</f>
      </c>
      <c r="N1323" s="225">
        <f>IF($C1323="","",ROW())</f>
      </c>
      <c r="O1323" s="225">
        <f>IF($I1323="Công việc",MATCH($C1323,'Kế hoạch'!$A$6:$A$305,0),"")</f>
      </c>
      <c r="P1323" s="234">
        <f>IF($O1323="","",INDEX('Kế hoạch'!$I$6:$I$305,$O1323))</f>
      </c>
      <c r="Q1323" s="225">
        <f>IF($O1323="","",INDEX('Kế hoạch'!$AJ$6:$AJ$305,$O1323))</f>
      </c>
      <c r="R1323" s="225">
        <f>IF($O1323="","",INDEX('Kế hoạch'!$AK$6:$AK$305,$O1323))</f>
      </c>
    </row>
    <row r="1324">
      <c r="A1324" s="223">
        <f>IF($C1324="","",COUNTIF($C$6:$C1324,"?*"))</f>
      </c>
      <c r="B1324" s="217"/>
      <c r="C1324" s="216"/>
      <c r="D1324" s="240"/>
      <c r="E1324" s="218"/>
      <c r="F1324" s="218"/>
      <c r="G1324" s="218"/>
      <c r="H1324" s="219"/>
      <c r="I1324" s="223">
        <f>IF($C1324="","",IF(ISNUMBER(MATCH($C1324,'Phản ánh'!$A$6:$A$505,0)),"Phản ánh",IF(ISNUMBER(MATCH($C1324,'Kế hoạch'!$A$6:$A$305,0)),"Công việc","Mã chưa có")))</f>
      </c>
      <c r="J1324" s="221">
        <f>IF($I1324="Phản ánh",INDEX('Phản ánh'!$C$6:$C$505,MATCH($C1324,'Phản ánh'!$A$6:$A$505,0)),IF($I1324="Công việc",INDEX('Kế hoạch'!$C$6:$C$305,$O1324),""))</f>
      </c>
      <c r="K1324" s="221">
        <f>IF($I1324="Phản ánh",INDEX('Phản ánh'!$K$6:$K$505,MATCH($C1324,'Phản ánh'!$A$6:$A$505,0))&amp;"",IF($I1324="Công việc",INDEX('Kế hoạch'!$N$6:$N$305,$O1324)&amp;"",""))</f>
      </c>
      <c r="L1324" s="220">
        <f>IF(OR($C1324="",N($B1324)=0),"",IF(AND($I1324="Phản ánh",$E1324="Đã xử lý"),INDEX('Phản ánh'!$U$6:$U$505,MATCH($C1324,'Phản ánh'!$A$6:$A$505,0)),IF(AND($I1324="Công việc",OR($E1324="Hoàn thành",$E1324="Hoàn thành kỳ")),IF(INDEX('Kế hoạch'!$B$6:$B$305,$O1324)="Đột xuất",INDEX('Kế hoạch'!$AY$6:$AY$305,$O1324),IF(N($P1324)=0,"",IF(INT($B1324)&lt;$P1324,$P1324,IF($Q1324&gt;0,$P1324+ROUND((INT($B1324)-$P1324)/$Q1324,0)*$Q1324,IF($R1324&gt;0,EDATE($P1324,ROUND((DATEDIF($P1324,INT($B1324),"m")+(INT($B1324)-EDATE($P1324,DATEDIF($P1324,INT($B1324),"m")))/(EDATE($P1324,DATEDIF($P1324,INT($B1324),"m")+1)-EDATE($P1324,DATEDIF($P1324,INT($B1324),"m"))))/$R1324,0)*$R1324),$P1324))))),"")))</f>
      </c>
      <c r="M1324" s="223">
        <f>IF(OR($C1324="",N($L1324)=0,N($B1324)=0),"",IF(IF(MOD($L1324,1)=0,INT($B1324),$B1324)&lt;=$L1324,"Đúng hạn","Trễ hạn"))</f>
      </c>
      <c r="N1324" s="225">
        <f>IF($C1324="","",ROW())</f>
      </c>
      <c r="O1324" s="225">
        <f>IF($I1324="Công việc",MATCH($C1324,'Kế hoạch'!$A$6:$A$305,0),"")</f>
      </c>
      <c r="P1324" s="234">
        <f>IF($O1324="","",INDEX('Kế hoạch'!$I$6:$I$305,$O1324))</f>
      </c>
      <c r="Q1324" s="225">
        <f>IF($O1324="","",INDEX('Kế hoạch'!$AJ$6:$AJ$305,$O1324))</f>
      </c>
      <c r="R1324" s="225">
        <f>IF($O1324="","",INDEX('Kế hoạch'!$AK$6:$AK$305,$O1324))</f>
      </c>
    </row>
    <row r="1325">
      <c r="A1325" s="223">
        <f>IF($C1325="","",COUNTIF($C$6:$C1325,"?*"))</f>
      </c>
      <c r="B1325" s="217"/>
      <c r="C1325" s="216"/>
      <c r="D1325" s="240"/>
      <c r="E1325" s="218"/>
      <c r="F1325" s="218"/>
      <c r="G1325" s="218"/>
      <c r="H1325" s="219"/>
      <c r="I1325" s="223">
        <f>IF($C1325="","",IF(ISNUMBER(MATCH($C1325,'Phản ánh'!$A$6:$A$505,0)),"Phản ánh",IF(ISNUMBER(MATCH($C1325,'Kế hoạch'!$A$6:$A$305,0)),"Công việc","Mã chưa có")))</f>
      </c>
      <c r="J1325" s="221">
        <f>IF($I1325="Phản ánh",INDEX('Phản ánh'!$C$6:$C$505,MATCH($C1325,'Phản ánh'!$A$6:$A$505,0)),IF($I1325="Công việc",INDEX('Kế hoạch'!$C$6:$C$305,$O1325),""))</f>
      </c>
      <c r="K1325" s="221">
        <f>IF($I1325="Phản ánh",INDEX('Phản ánh'!$K$6:$K$505,MATCH($C1325,'Phản ánh'!$A$6:$A$505,0))&amp;"",IF($I1325="Công việc",INDEX('Kế hoạch'!$N$6:$N$305,$O1325)&amp;"",""))</f>
      </c>
      <c r="L1325" s="220">
        <f>IF(OR($C1325="",N($B1325)=0),"",IF(AND($I1325="Phản ánh",$E1325="Đã xử lý"),INDEX('Phản ánh'!$U$6:$U$505,MATCH($C1325,'Phản ánh'!$A$6:$A$505,0)),IF(AND($I1325="Công việc",OR($E1325="Hoàn thành",$E1325="Hoàn thành kỳ")),IF(INDEX('Kế hoạch'!$B$6:$B$305,$O1325)="Đột xuất",INDEX('Kế hoạch'!$AY$6:$AY$305,$O1325),IF(N($P1325)=0,"",IF(INT($B1325)&lt;$P1325,$P1325,IF($Q1325&gt;0,$P1325+ROUND((INT($B1325)-$P1325)/$Q1325,0)*$Q1325,IF($R1325&gt;0,EDATE($P1325,ROUND((DATEDIF($P1325,INT($B1325),"m")+(INT($B1325)-EDATE($P1325,DATEDIF($P1325,INT($B1325),"m")))/(EDATE($P1325,DATEDIF($P1325,INT($B1325),"m")+1)-EDATE($P1325,DATEDIF($P1325,INT($B1325),"m"))))/$R1325,0)*$R1325),$P1325))))),"")))</f>
      </c>
      <c r="M1325" s="223">
        <f>IF(OR($C1325="",N($L1325)=0,N($B1325)=0),"",IF(IF(MOD($L1325,1)=0,INT($B1325),$B1325)&lt;=$L1325,"Đúng hạn","Trễ hạn"))</f>
      </c>
      <c r="N1325" s="225">
        <f>IF($C1325="","",ROW())</f>
      </c>
      <c r="O1325" s="225">
        <f>IF($I1325="Công việc",MATCH($C1325,'Kế hoạch'!$A$6:$A$305,0),"")</f>
      </c>
      <c r="P1325" s="234">
        <f>IF($O1325="","",INDEX('Kế hoạch'!$I$6:$I$305,$O1325))</f>
      </c>
      <c r="Q1325" s="225">
        <f>IF($O1325="","",INDEX('Kế hoạch'!$AJ$6:$AJ$305,$O1325))</f>
      </c>
      <c r="R1325" s="225">
        <f>IF($O1325="","",INDEX('Kế hoạch'!$AK$6:$AK$305,$O1325))</f>
      </c>
    </row>
    <row r="1326">
      <c r="A1326" s="223">
        <f>IF($C1326="","",COUNTIF($C$6:$C1326,"?*"))</f>
      </c>
      <c r="B1326" s="217"/>
      <c r="C1326" s="216"/>
      <c r="D1326" s="240"/>
      <c r="E1326" s="218"/>
      <c r="F1326" s="218"/>
      <c r="G1326" s="218"/>
      <c r="H1326" s="219"/>
      <c r="I1326" s="223">
        <f>IF($C1326="","",IF(ISNUMBER(MATCH($C1326,'Phản ánh'!$A$6:$A$505,0)),"Phản ánh",IF(ISNUMBER(MATCH($C1326,'Kế hoạch'!$A$6:$A$305,0)),"Công việc","Mã chưa có")))</f>
      </c>
      <c r="J1326" s="221">
        <f>IF($I1326="Phản ánh",INDEX('Phản ánh'!$C$6:$C$505,MATCH($C1326,'Phản ánh'!$A$6:$A$505,0)),IF($I1326="Công việc",INDEX('Kế hoạch'!$C$6:$C$305,$O1326),""))</f>
      </c>
      <c r="K1326" s="221">
        <f>IF($I1326="Phản ánh",INDEX('Phản ánh'!$K$6:$K$505,MATCH($C1326,'Phản ánh'!$A$6:$A$505,0))&amp;"",IF($I1326="Công việc",INDEX('Kế hoạch'!$N$6:$N$305,$O1326)&amp;"",""))</f>
      </c>
      <c r="L1326" s="220">
        <f>IF(OR($C1326="",N($B1326)=0),"",IF(AND($I1326="Phản ánh",$E1326="Đã xử lý"),INDEX('Phản ánh'!$U$6:$U$505,MATCH($C1326,'Phản ánh'!$A$6:$A$505,0)),IF(AND($I1326="Công việc",OR($E1326="Hoàn thành",$E1326="Hoàn thành kỳ")),IF(INDEX('Kế hoạch'!$B$6:$B$305,$O1326)="Đột xuất",INDEX('Kế hoạch'!$AY$6:$AY$305,$O1326),IF(N($P1326)=0,"",IF(INT($B1326)&lt;$P1326,$P1326,IF($Q1326&gt;0,$P1326+ROUND((INT($B1326)-$P1326)/$Q1326,0)*$Q1326,IF($R1326&gt;0,EDATE($P1326,ROUND((DATEDIF($P1326,INT($B1326),"m")+(INT($B1326)-EDATE($P1326,DATEDIF($P1326,INT($B1326),"m")))/(EDATE($P1326,DATEDIF($P1326,INT($B1326),"m")+1)-EDATE($P1326,DATEDIF($P1326,INT($B1326),"m"))))/$R1326,0)*$R1326),$P1326))))),"")))</f>
      </c>
      <c r="M1326" s="223">
        <f>IF(OR($C1326="",N($L1326)=0,N($B1326)=0),"",IF(IF(MOD($L1326,1)=0,INT($B1326),$B1326)&lt;=$L1326,"Đúng hạn","Trễ hạn"))</f>
      </c>
      <c r="N1326" s="225">
        <f>IF($C1326="","",ROW())</f>
      </c>
      <c r="O1326" s="225">
        <f>IF($I1326="Công việc",MATCH($C1326,'Kế hoạch'!$A$6:$A$305,0),"")</f>
      </c>
      <c r="P1326" s="234">
        <f>IF($O1326="","",INDEX('Kế hoạch'!$I$6:$I$305,$O1326))</f>
      </c>
      <c r="Q1326" s="225">
        <f>IF($O1326="","",INDEX('Kế hoạch'!$AJ$6:$AJ$305,$O1326))</f>
      </c>
      <c r="R1326" s="225">
        <f>IF($O1326="","",INDEX('Kế hoạch'!$AK$6:$AK$305,$O1326))</f>
      </c>
    </row>
    <row r="1327">
      <c r="A1327" s="223">
        <f>IF($C1327="","",COUNTIF($C$6:$C1327,"?*"))</f>
      </c>
      <c r="B1327" s="217"/>
      <c r="C1327" s="216"/>
      <c r="D1327" s="240"/>
      <c r="E1327" s="218"/>
      <c r="F1327" s="218"/>
      <c r="G1327" s="218"/>
      <c r="H1327" s="219"/>
      <c r="I1327" s="223">
        <f>IF($C1327="","",IF(ISNUMBER(MATCH($C1327,'Phản ánh'!$A$6:$A$505,0)),"Phản ánh",IF(ISNUMBER(MATCH($C1327,'Kế hoạch'!$A$6:$A$305,0)),"Công việc","Mã chưa có")))</f>
      </c>
      <c r="J1327" s="221">
        <f>IF($I1327="Phản ánh",INDEX('Phản ánh'!$C$6:$C$505,MATCH($C1327,'Phản ánh'!$A$6:$A$505,0)),IF($I1327="Công việc",INDEX('Kế hoạch'!$C$6:$C$305,$O1327),""))</f>
      </c>
      <c r="K1327" s="221">
        <f>IF($I1327="Phản ánh",INDEX('Phản ánh'!$K$6:$K$505,MATCH($C1327,'Phản ánh'!$A$6:$A$505,0))&amp;"",IF($I1327="Công việc",INDEX('Kế hoạch'!$N$6:$N$305,$O1327)&amp;"",""))</f>
      </c>
      <c r="L1327" s="220">
        <f>IF(OR($C1327="",N($B1327)=0),"",IF(AND($I1327="Phản ánh",$E1327="Đã xử lý"),INDEX('Phản ánh'!$U$6:$U$505,MATCH($C1327,'Phản ánh'!$A$6:$A$505,0)),IF(AND($I1327="Công việc",OR($E1327="Hoàn thành",$E1327="Hoàn thành kỳ")),IF(INDEX('Kế hoạch'!$B$6:$B$305,$O1327)="Đột xuất",INDEX('Kế hoạch'!$AY$6:$AY$305,$O1327),IF(N($P1327)=0,"",IF(INT($B1327)&lt;$P1327,$P1327,IF($Q1327&gt;0,$P1327+ROUND((INT($B1327)-$P1327)/$Q1327,0)*$Q1327,IF($R1327&gt;0,EDATE($P1327,ROUND((DATEDIF($P1327,INT($B1327),"m")+(INT($B1327)-EDATE($P1327,DATEDIF($P1327,INT($B1327),"m")))/(EDATE($P1327,DATEDIF($P1327,INT($B1327),"m")+1)-EDATE($P1327,DATEDIF($P1327,INT($B1327),"m"))))/$R1327,0)*$R1327),$P1327))))),"")))</f>
      </c>
      <c r="M1327" s="223">
        <f>IF(OR($C1327="",N($L1327)=0,N($B1327)=0),"",IF(IF(MOD($L1327,1)=0,INT($B1327),$B1327)&lt;=$L1327,"Đúng hạn","Trễ hạn"))</f>
      </c>
      <c r="N1327" s="225">
        <f>IF($C1327="","",ROW())</f>
      </c>
      <c r="O1327" s="225">
        <f>IF($I1327="Công việc",MATCH($C1327,'Kế hoạch'!$A$6:$A$305,0),"")</f>
      </c>
      <c r="P1327" s="234">
        <f>IF($O1327="","",INDEX('Kế hoạch'!$I$6:$I$305,$O1327))</f>
      </c>
      <c r="Q1327" s="225">
        <f>IF($O1327="","",INDEX('Kế hoạch'!$AJ$6:$AJ$305,$O1327))</f>
      </c>
      <c r="R1327" s="225">
        <f>IF($O1327="","",INDEX('Kế hoạch'!$AK$6:$AK$305,$O1327))</f>
      </c>
    </row>
    <row r="1328">
      <c r="A1328" s="223">
        <f>IF($C1328="","",COUNTIF($C$6:$C1328,"?*"))</f>
      </c>
      <c r="B1328" s="217"/>
      <c r="C1328" s="216"/>
      <c r="D1328" s="240"/>
      <c r="E1328" s="218"/>
      <c r="F1328" s="218"/>
      <c r="G1328" s="218"/>
      <c r="H1328" s="219"/>
      <c r="I1328" s="223">
        <f>IF($C1328="","",IF(ISNUMBER(MATCH($C1328,'Phản ánh'!$A$6:$A$505,0)),"Phản ánh",IF(ISNUMBER(MATCH($C1328,'Kế hoạch'!$A$6:$A$305,0)),"Công việc","Mã chưa có")))</f>
      </c>
      <c r="J1328" s="221">
        <f>IF($I1328="Phản ánh",INDEX('Phản ánh'!$C$6:$C$505,MATCH($C1328,'Phản ánh'!$A$6:$A$505,0)),IF($I1328="Công việc",INDEX('Kế hoạch'!$C$6:$C$305,$O1328),""))</f>
      </c>
      <c r="K1328" s="221">
        <f>IF($I1328="Phản ánh",INDEX('Phản ánh'!$K$6:$K$505,MATCH($C1328,'Phản ánh'!$A$6:$A$505,0))&amp;"",IF($I1328="Công việc",INDEX('Kế hoạch'!$N$6:$N$305,$O1328)&amp;"",""))</f>
      </c>
      <c r="L1328" s="220">
        <f>IF(OR($C1328="",N($B1328)=0),"",IF(AND($I1328="Phản ánh",$E1328="Đã xử lý"),INDEX('Phản ánh'!$U$6:$U$505,MATCH($C1328,'Phản ánh'!$A$6:$A$505,0)),IF(AND($I1328="Công việc",OR($E1328="Hoàn thành",$E1328="Hoàn thành kỳ")),IF(INDEX('Kế hoạch'!$B$6:$B$305,$O1328)="Đột xuất",INDEX('Kế hoạch'!$AY$6:$AY$305,$O1328),IF(N($P1328)=0,"",IF(INT($B1328)&lt;$P1328,$P1328,IF($Q1328&gt;0,$P1328+ROUND((INT($B1328)-$P1328)/$Q1328,0)*$Q1328,IF($R1328&gt;0,EDATE($P1328,ROUND((DATEDIF($P1328,INT($B1328),"m")+(INT($B1328)-EDATE($P1328,DATEDIF($P1328,INT($B1328),"m")))/(EDATE($P1328,DATEDIF($P1328,INT($B1328),"m")+1)-EDATE($P1328,DATEDIF($P1328,INT($B1328),"m"))))/$R1328,0)*$R1328),$P1328))))),"")))</f>
      </c>
      <c r="M1328" s="223">
        <f>IF(OR($C1328="",N($L1328)=0,N($B1328)=0),"",IF(IF(MOD($L1328,1)=0,INT($B1328),$B1328)&lt;=$L1328,"Đúng hạn","Trễ hạn"))</f>
      </c>
      <c r="N1328" s="225">
        <f>IF($C1328="","",ROW())</f>
      </c>
      <c r="O1328" s="225">
        <f>IF($I1328="Công việc",MATCH($C1328,'Kế hoạch'!$A$6:$A$305,0),"")</f>
      </c>
      <c r="P1328" s="234">
        <f>IF($O1328="","",INDEX('Kế hoạch'!$I$6:$I$305,$O1328))</f>
      </c>
      <c r="Q1328" s="225">
        <f>IF($O1328="","",INDEX('Kế hoạch'!$AJ$6:$AJ$305,$O1328))</f>
      </c>
      <c r="R1328" s="225">
        <f>IF($O1328="","",INDEX('Kế hoạch'!$AK$6:$AK$305,$O1328))</f>
      </c>
    </row>
    <row r="1329">
      <c r="A1329" s="223">
        <f>IF($C1329="","",COUNTIF($C$6:$C1329,"?*"))</f>
      </c>
      <c r="B1329" s="217"/>
      <c r="C1329" s="216"/>
      <c r="D1329" s="240"/>
      <c r="E1329" s="218"/>
      <c r="F1329" s="218"/>
      <c r="G1329" s="218"/>
      <c r="H1329" s="219"/>
      <c r="I1329" s="223">
        <f>IF($C1329="","",IF(ISNUMBER(MATCH($C1329,'Phản ánh'!$A$6:$A$505,0)),"Phản ánh",IF(ISNUMBER(MATCH($C1329,'Kế hoạch'!$A$6:$A$305,0)),"Công việc","Mã chưa có")))</f>
      </c>
      <c r="J1329" s="221">
        <f>IF($I1329="Phản ánh",INDEX('Phản ánh'!$C$6:$C$505,MATCH($C1329,'Phản ánh'!$A$6:$A$505,0)),IF($I1329="Công việc",INDEX('Kế hoạch'!$C$6:$C$305,$O1329),""))</f>
      </c>
      <c r="K1329" s="221">
        <f>IF($I1329="Phản ánh",INDEX('Phản ánh'!$K$6:$K$505,MATCH($C1329,'Phản ánh'!$A$6:$A$505,0))&amp;"",IF($I1329="Công việc",INDEX('Kế hoạch'!$N$6:$N$305,$O1329)&amp;"",""))</f>
      </c>
      <c r="L1329" s="220">
        <f>IF(OR($C1329="",N($B1329)=0),"",IF(AND($I1329="Phản ánh",$E1329="Đã xử lý"),INDEX('Phản ánh'!$U$6:$U$505,MATCH($C1329,'Phản ánh'!$A$6:$A$505,0)),IF(AND($I1329="Công việc",OR($E1329="Hoàn thành",$E1329="Hoàn thành kỳ")),IF(INDEX('Kế hoạch'!$B$6:$B$305,$O1329)="Đột xuất",INDEX('Kế hoạch'!$AY$6:$AY$305,$O1329),IF(N($P1329)=0,"",IF(INT($B1329)&lt;$P1329,$P1329,IF($Q1329&gt;0,$P1329+ROUND((INT($B1329)-$P1329)/$Q1329,0)*$Q1329,IF($R1329&gt;0,EDATE($P1329,ROUND((DATEDIF($P1329,INT($B1329),"m")+(INT($B1329)-EDATE($P1329,DATEDIF($P1329,INT($B1329),"m")))/(EDATE($P1329,DATEDIF($P1329,INT($B1329),"m")+1)-EDATE($P1329,DATEDIF($P1329,INT($B1329),"m"))))/$R1329,0)*$R1329),$P1329))))),"")))</f>
      </c>
      <c r="M1329" s="223">
        <f>IF(OR($C1329="",N($L1329)=0,N($B1329)=0),"",IF(IF(MOD($L1329,1)=0,INT($B1329),$B1329)&lt;=$L1329,"Đúng hạn","Trễ hạn"))</f>
      </c>
      <c r="N1329" s="225">
        <f>IF($C1329="","",ROW())</f>
      </c>
      <c r="O1329" s="225">
        <f>IF($I1329="Công việc",MATCH($C1329,'Kế hoạch'!$A$6:$A$305,0),"")</f>
      </c>
      <c r="P1329" s="234">
        <f>IF($O1329="","",INDEX('Kế hoạch'!$I$6:$I$305,$O1329))</f>
      </c>
      <c r="Q1329" s="225">
        <f>IF($O1329="","",INDEX('Kế hoạch'!$AJ$6:$AJ$305,$O1329))</f>
      </c>
      <c r="R1329" s="225">
        <f>IF($O1329="","",INDEX('Kế hoạch'!$AK$6:$AK$305,$O1329))</f>
      </c>
    </row>
    <row r="1330">
      <c r="A1330" s="223">
        <f>IF($C1330="","",COUNTIF($C$6:$C1330,"?*"))</f>
      </c>
      <c r="B1330" s="217"/>
      <c r="C1330" s="216"/>
      <c r="D1330" s="240"/>
      <c r="E1330" s="218"/>
      <c r="F1330" s="218"/>
      <c r="G1330" s="218"/>
      <c r="H1330" s="219"/>
      <c r="I1330" s="223">
        <f>IF($C1330="","",IF(ISNUMBER(MATCH($C1330,'Phản ánh'!$A$6:$A$505,0)),"Phản ánh",IF(ISNUMBER(MATCH($C1330,'Kế hoạch'!$A$6:$A$305,0)),"Công việc","Mã chưa có")))</f>
      </c>
      <c r="J1330" s="221">
        <f>IF($I1330="Phản ánh",INDEX('Phản ánh'!$C$6:$C$505,MATCH($C1330,'Phản ánh'!$A$6:$A$505,0)),IF($I1330="Công việc",INDEX('Kế hoạch'!$C$6:$C$305,$O1330),""))</f>
      </c>
      <c r="K1330" s="221">
        <f>IF($I1330="Phản ánh",INDEX('Phản ánh'!$K$6:$K$505,MATCH($C1330,'Phản ánh'!$A$6:$A$505,0))&amp;"",IF($I1330="Công việc",INDEX('Kế hoạch'!$N$6:$N$305,$O1330)&amp;"",""))</f>
      </c>
      <c r="L1330" s="220">
        <f>IF(OR($C1330="",N($B1330)=0),"",IF(AND($I1330="Phản ánh",$E1330="Đã xử lý"),INDEX('Phản ánh'!$U$6:$U$505,MATCH($C1330,'Phản ánh'!$A$6:$A$505,0)),IF(AND($I1330="Công việc",OR($E1330="Hoàn thành",$E1330="Hoàn thành kỳ")),IF(INDEX('Kế hoạch'!$B$6:$B$305,$O1330)="Đột xuất",INDEX('Kế hoạch'!$AY$6:$AY$305,$O1330),IF(N($P1330)=0,"",IF(INT($B1330)&lt;$P1330,$P1330,IF($Q1330&gt;0,$P1330+ROUND((INT($B1330)-$P1330)/$Q1330,0)*$Q1330,IF($R1330&gt;0,EDATE($P1330,ROUND((DATEDIF($P1330,INT($B1330),"m")+(INT($B1330)-EDATE($P1330,DATEDIF($P1330,INT($B1330),"m")))/(EDATE($P1330,DATEDIF($P1330,INT($B1330),"m")+1)-EDATE($P1330,DATEDIF($P1330,INT($B1330),"m"))))/$R1330,0)*$R1330),$P1330))))),"")))</f>
      </c>
      <c r="M1330" s="223">
        <f>IF(OR($C1330="",N($L1330)=0,N($B1330)=0),"",IF(IF(MOD($L1330,1)=0,INT($B1330),$B1330)&lt;=$L1330,"Đúng hạn","Trễ hạn"))</f>
      </c>
      <c r="N1330" s="225">
        <f>IF($C1330="","",ROW())</f>
      </c>
      <c r="O1330" s="225">
        <f>IF($I1330="Công việc",MATCH($C1330,'Kế hoạch'!$A$6:$A$305,0),"")</f>
      </c>
      <c r="P1330" s="234">
        <f>IF($O1330="","",INDEX('Kế hoạch'!$I$6:$I$305,$O1330))</f>
      </c>
      <c r="Q1330" s="225">
        <f>IF($O1330="","",INDEX('Kế hoạch'!$AJ$6:$AJ$305,$O1330))</f>
      </c>
      <c r="R1330" s="225">
        <f>IF($O1330="","",INDEX('Kế hoạch'!$AK$6:$AK$305,$O1330))</f>
      </c>
    </row>
    <row r="1331">
      <c r="A1331" s="223">
        <f>IF($C1331="","",COUNTIF($C$6:$C1331,"?*"))</f>
      </c>
      <c r="B1331" s="217"/>
      <c r="C1331" s="216"/>
      <c r="D1331" s="240"/>
      <c r="E1331" s="218"/>
      <c r="F1331" s="218"/>
      <c r="G1331" s="218"/>
      <c r="H1331" s="219"/>
      <c r="I1331" s="223">
        <f>IF($C1331="","",IF(ISNUMBER(MATCH($C1331,'Phản ánh'!$A$6:$A$505,0)),"Phản ánh",IF(ISNUMBER(MATCH($C1331,'Kế hoạch'!$A$6:$A$305,0)),"Công việc","Mã chưa có")))</f>
      </c>
      <c r="J1331" s="221">
        <f>IF($I1331="Phản ánh",INDEX('Phản ánh'!$C$6:$C$505,MATCH($C1331,'Phản ánh'!$A$6:$A$505,0)),IF($I1331="Công việc",INDEX('Kế hoạch'!$C$6:$C$305,$O1331),""))</f>
      </c>
      <c r="K1331" s="221">
        <f>IF($I1331="Phản ánh",INDEX('Phản ánh'!$K$6:$K$505,MATCH($C1331,'Phản ánh'!$A$6:$A$505,0))&amp;"",IF($I1331="Công việc",INDEX('Kế hoạch'!$N$6:$N$305,$O1331)&amp;"",""))</f>
      </c>
      <c r="L1331" s="220">
        <f>IF(OR($C1331="",N($B1331)=0),"",IF(AND($I1331="Phản ánh",$E1331="Đã xử lý"),INDEX('Phản ánh'!$U$6:$U$505,MATCH($C1331,'Phản ánh'!$A$6:$A$505,0)),IF(AND($I1331="Công việc",OR($E1331="Hoàn thành",$E1331="Hoàn thành kỳ")),IF(INDEX('Kế hoạch'!$B$6:$B$305,$O1331)="Đột xuất",INDEX('Kế hoạch'!$AY$6:$AY$305,$O1331),IF(N($P1331)=0,"",IF(INT($B1331)&lt;$P1331,$P1331,IF($Q1331&gt;0,$P1331+ROUND((INT($B1331)-$P1331)/$Q1331,0)*$Q1331,IF($R1331&gt;0,EDATE($P1331,ROUND((DATEDIF($P1331,INT($B1331),"m")+(INT($B1331)-EDATE($P1331,DATEDIF($P1331,INT($B1331),"m")))/(EDATE($P1331,DATEDIF($P1331,INT($B1331),"m")+1)-EDATE($P1331,DATEDIF($P1331,INT($B1331),"m"))))/$R1331,0)*$R1331),$P1331))))),"")))</f>
      </c>
      <c r="M1331" s="223">
        <f>IF(OR($C1331="",N($L1331)=0,N($B1331)=0),"",IF(IF(MOD($L1331,1)=0,INT($B1331),$B1331)&lt;=$L1331,"Đúng hạn","Trễ hạn"))</f>
      </c>
      <c r="N1331" s="225">
        <f>IF($C1331="","",ROW())</f>
      </c>
      <c r="O1331" s="225">
        <f>IF($I1331="Công việc",MATCH($C1331,'Kế hoạch'!$A$6:$A$305,0),"")</f>
      </c>
      <c r="P1331" s="234">
        <f>IF($O1331="","",INDEX('Kế hoạch'!$I$6:$I$305,$O1331))</f>
      </c>
      <c r="Q1331" s="225">
        <f>IF($O1331="","",INDEX('Kế hoạch'!$AJ$6:$AJ$305,$O1331))</f>
      </c>
      <c r="R1331" s="225">
        <f>IF($O1331="","",INDEX('Kế hoạch'!$AK$6:$AK$305,$O1331))</f>
      </c>
    </row>
    <row r="1332">
      <c r="A1332" s="223">
        <f>IF($C1332="","",COUNTIF($C$6:$C1332,"?*"))</f>
      </c>
      <c r="B1332" s="217"/>
      <c r="C1332" s="216"/>
      <c r="D1332" s="240"/>
      <c r="E1332" s="218"/>
      <c r="F1332" s="218"/>
      <c r="G1332" s="218"/>
      <c r="H1332" s="219"/>
      <c r="I1332" s="223">
        <f>IF($C1332="","",IF(ISNUMBER(MATCH($C1332,'Phản ánh'!$A$6:$A$505,0)),"Phản ánh",IF(ISNUMBER(MATCH($C1332,'Kế hoạch'!$A$6:$A$305,0)),"Công việc","Mã chưa có")))</f>
      </c>
      <c r="J1332" s="221">
        <f>IF($I1332="Phản ánh",INDEX('Phản ánh'!$C$6:$C$505,MATCH($C1332,'Phản ánh'!$A$6:$A$505,0)),IF($I1332="Công việc",INDEX('Kế hoạch'!$C$6:$C$305,$O1332),""))</f>
      </c>
      <c r="K1332" s="221">
        <f>IF($I1332="Phản ánh",INDEX('Phản ánh'!$K$6:$K$505,MATCH($C1332,'Phản ánh'!$A$6:$A$505,0))&amp;"",IF($I1332="Công việc",INDEX('Kế hoạch'!$N$6:$N$305,$O1332)&amp;"",""))</f>
      </c>
      <c r="L1332" s="220">
        <f>IF(OR($C1332="",N($B1332)=0),"",IF(AND($I1332="Phản ánh",$E1332="Đã xử lý"),INDEX('Phản ánh'!$U$6:$U$505,MATCH($C1332,'Phản ánh'!$A$6:$A$505,0)),IF(AND($I1332="Công việc",OR($E1332="Hoàn thành",$E1332="Hoàn thành kỳ")),IF(INDEX('Kế hoạch'!$B$6:$B$305,$O1332)="Đột xuất",INDEX('Kế hoạch'!$AY$6:$AY$305,$O1332),IF(N($P1332)=0,"",IF(INT($B1332)&lt;$P1332,$P1332,IF($Q1332&gt;0,$P1332+ROUND((INT($B1332)-$P1332)/$Q1332,0)*$Q1332,IF($R1332&gt;0,EDATE($P1332,ROUND((DATEDIF($P1332,INT($B1332),"m")+(INT($B1332)-EDATE($P1332,DATEDIF($P1332,INT($B1332),"m")))/(EDATE($P1332,DATEDIF($P1332,INT($B1332),"m")+1)-EDATE($P1332,DATEDIF($P1332,INT($B1332),"m"))))/$R1332,0)*$R1332),$P1332))))),"")))</f>
      </c>
      <c r="M1332" s="223">
        <f>IF(OR($C1332="",N($L1332)=0,N($B1332)=0),"",IF(IF(MOD($L1332,1)=0,INT($B1332),$B1332)&lt;=$L1332,"Đúng hạn","Trễ hạn"))</f>
      </c>
      <c r="N1332" s="225">
        <f>IF($C1332="","",ROW())</f>
      </c>
      <c r="O1332" s="225">
        <f>IF($I1332="Công việc",MATCH($C1332,'Kế hoạch'!$A$6:$A$305,0),"")</f>
      </c>
      <c r="P1332" s="234">
        <f>IF($O1332="","",INDEX('Kế hoạch'!$I$6:$I$305,$O1332))</f>
      </c>
      <c r="Q1332" s="225">
        <f>IF($O1332="","",INDEX('Kế hoạch'!$AJ$6:$AJ$305,$O1332))</f>
      </c>
      <c r="R1332" s="225">
        <f>IF($O1332="","",INDEX('Kế hoạch'!$AK$6:$AK$305,$O1332))</f>
      </c>
    </row>
    <row r="1333">
      <c r="A1333" s="223">
        <f>IF($C1333="","",COUNTIF($C$6:$C1333,"?*"))</f>
      </c>
      <c r="B1333" s="217"/>
      <c r="C1333" s="216"/>
      <c r="D1333" s="240"/>
      <c r="E1333" s="218"/>
      <c r="F1333" s="218"/>
      <c r="G1333" s="218"/>
      <c r="H1333" s="219"/>
      <c r="I1333" s="223">
        <f>IF($C1333="","",IF(ISNUMBER(MATCH($C1333,'Phản ánh'!$A$6:$A$505,0)),"Phản ánh",IF(ISNUMBER(MATCH($C1333,'Kế hoạch'!$A$6:$A$305,0)),"Công việc","Mã chưa có")))</f>
      </c>
      <c r="J1333" s="221">
        <f>IF($I1333="Phản ánh",INDEX('Phản ánh'!$C$6:$C$505,MATCH($C1333,'Phản ánh'!$A$6:$A$505,0)),IF($I1333="Công việc",INDEX('Kế hoạch'!$C$6:$C$305,$O1333),""))</f>
      </c>
      <c r="K1333" s="221">
        <f>IF($I1333="Phản ánh",INDEX('Phản ánh'!$K$6:$K$505,MATCH($C1333,'Phản ánh'!$A$6:$A$505,0))&amp;"",IF($I1333="Công việc",INDEX('Kế hoạch'!$N$6:$N$305,$O1333)&amp;"",""))</f>
      </c>
      <c r="L1333" s="220">
        <f>IF(OR($C1333="",N($B1333)=0),"",IF(AND($I1333="Phản ánh",$E1333="Đã xử lý"),INDEX('Phản ánh'!$U$6:$U$505,MATCH($C1333,'Phản ánh'!$A$6:$A$505,0)),IF(AND($I1333="Công việc",OR($E1333="Hoàn thành",$E1333="Hoàn thành kỳ")),IF(INDEX('Kế hoạch'!$B$6:$B$305,$O1333)="Đột xuất",INDEX('Kế hoạch'!$AY$6:$AY$305,$O1333),IF(N($P1333)=0,"",IF(INT($B1333)&lt;$P1333,$P1333,IF($Q1333&gt;0,$P1333+ROUND((INT($B1333)-$P1333)/$Q1333,0)*$Q1333,IF($R1333&gt;0,EDATE($P1333,ROUND((DATEDIF($P1333,INT($B1333),"m")+(INT($B1333)-EDATE($P1333,DATEDIF($P1333,INT($B1333),"m")))/(EDATE($P1333,DATEDIF($P1333,INT($B1333),"m")+1)-EDATE($P1333,DATEDIF($P1333,INT($B1333),"m"))))/$R1333,0)*$R1333),$P1333))))),"")))</f>
      </c>
      <c r="M1333" s="223">
        <f>IF(OR($C1333="",N($L1333)=0,N($B1333)=0),"",IF(IF(MOD($L1333,1)=0,INT($B1333),$B1333)&lt;=$L1333,"Đúng hạn","Trễ hạn"))</f>
      </c>
      <c r="N1333" s="225">
        <f>IF($C1333="","",ROW())</f>
      </c>
      <c r="O1333" s="225">
        <f>IF($I1333="Công việc",MATCH($C1333,'Kế hoạch'!$A$6:$A$305,0),"")</f>
      </c>
      <c r="P1333" s="234">
        <f>IF($O1333="","",INDEX('Kế hoạch'!$I$6:$I$305,$O1333))</f>
      </c>
      <c r="Q1333" s="225">
        <f>IF($O1333="","",INDEX('Kế hoạch'!$AJ$6:$AJ$305,$O1333))</f>
      </c>
      <c r="R1333" s="225">
        <f>IF($O1333="","",INDEX('Kế hoạch'!$AK$6:$AK$305,$O1333))</f>
      </c>
    </row>
    <row r="1334">
      <c r="A1334" s="223">
        <f>IF($C1334="","",COUNTIF($C$6:$C1334,"?*"))</f>
      </c>
      <c r="B1334" s="217"/>
      <c r="C1334" s="216"/>
      <c r="D1334" s="240"/>
      <c r="E1334" s="218"/>
      <c r="F1334" s="218"/>
      <c r="G1334" s="218"/>
      <c r="H1334" s="219"/>
      <c r="I1334" s="223">
        <f>IF($C1334="","",IF(ISNUMBER(MATCH($C1334,'Phản ánh'!$A$6:$A$505,0)),"Phản ánh",IF(ISNUMBER(MATCH($C1334,'Kế hoạch'!$A$6:$A$305,0)),"Công việc","Mã chưa có")))</f>
      </c>
      <c r="J1334" s="221">
        <f>IF($I1334="Phản ánh",INDEX('Phản ánh'!$C$6:$C$505,MATCH($C1334,'Phản ánh'!$A$6:$A$505,0)),IF($I1334="Công việc",INDEX('Kế hoạch'!$C$6:$C$305,$O1334),""))</f>
      </c>
      <c r="K1334" s="221">
        <f>IF($I1334="Phản ánh",INDEX('Phản ánh'!$K$6:$K$505,MATCH($C1334,'Phản ánh'!$A$6:$A$505,0))&amp;"",IF($I1334="Công việc",INDEX('Kế hoạch'!$N$6:$N$305,$O1334)&amp;"",""))</f>
      </c>
      <c r="L1334" s="220">
        <f>IF(OR($C1334="",N($B1334)=0),"",IF(AND($I1334="Phản ánh",$E1334="Đã xử lý"),INDEX('Phản ánh'!$U$6:$U$505,MATCH($C1334,'Phản ánh'!$A$6:$A$505,0)),IF(AND($I1334="Công việc",OR($E1334="Hoàn thành",$E1334="Hoàn thành kỳ")),IF(INDEX('Kế hoạch'!$B$6:$B$305,$O1334)="Đột xuất",INDEX('Kế hoạch'!$AY$6:$AY$305,$O1334),IF(N($P1334)=0,"",IF(INT($B1334)&lt;$P1334,$P1334,IF($Q1334&gt;0,$P1334+ROUND((INT($B1334)-$P1334)/$Q1334,0)*$Q1334,IF($R1334&gt;0,EDATE($P1334,ROUND((DATEDIF($P1334,INT($B1334),"m")+(INT($B1334)-EDATE($P1334,DATEDIF($P1334,INT($B1334),"m")))/(EDATE($P1334,DATEDIF($P1334,INT($B1334),"m")+1)-EDATE($P1334,DATEDIF($P1334,INT($B1334),"m"))))/$R1334,0)*$R1334),$P1334))))),"")))</f>
      </c>
      <c r="M1334" s="223">
        <f>IF(OR($C1334="",N($L1334)=0,N($B1334)=0),"",IF(IF(MOD($L1334,1)=0,INT($B1334),$B1334)&lt;=$L1334,"Đúng hạn","Trễ hạn"))</f>
      </c>
      <c r="N1334" s="225">
        <f>IF($C1334="","",ROW())</f>
      </c>
      <c r="O1334" s="225">
        <f>IF($I1334="Công việc",MATCH($C1334,'Kế hoạch'!$A$6:$A$305,0),"")</f>
      </c>
      <c r="P1334" s="234">
        <f>IF($O1334="","",INDEX('Kế hoạch'!$I$6:$I$305,$O1334))</f>
      </c>
      <c r="Q1334" s="225">
        <f>IF($O1334="","",INDEX('Kế hoạch'!$AJ$6:$AJ$305,$O1334))</f>
      </c>
      <c r="R1334" s="225">
        <f>IF($O1334="","",INDEX('Kế hoạch'!$AK$6:$AK$305,$O1334))</f>
      </c>
    </row>
    <row r="1335">
      <c r="A1335" s="223">
        <f>IF($C1335="","",COUNTIF($C$6:$C1335,"?*"))</f>
      </c>
      <c r="B1335" s="217"/>
      <c r="C1335" s="216"/>
      <c r="D1335" s="240"/>
      <c r="E1335" s="218"/>
      <c r="F1335" s="218"/>
      <c r="G1335" s="218"/>
      <c r="H1335" s="219"/>
      <c r="I1335" s="223">
        <f>IF($C1335="","",IF(ISNUMBER(MATCH($C1335,'Phản ánh'!$A$6:$A$505,0)),"Phản ánh",IF(ISNUMBER(MATCH($C1335,'Kế hoạch'!$A$6:$A$305,0)),"Công việc","Mã chưa có")))</f>
      </c>
      <c r="J1335" s="221">
        <f>IF($I1335="Phản ánh",INDEX('Phản ánh'!$C$6:$C$505,MATCH($C1335,'Phản ánh'!$A$6:$A$505,0)),IF($I1335="Công việc",INDEX('Kế hoạch'!$C$6:$C$305,$O1335),""))</f>
      </c>
      <c r="K1335" s="221">
        <f>IF($I1335="Phản ánh",INDEX('Phản ánh'!$K$6:$K$505,MATCH($C1335,'Phản ánh'!$A$6:$A$505,0))&amp;"",IF($I1335="Công việc",INDEX('Kế hoạch'!$N$6:$N$305,$O1335)&amp;"",""))</f>
      </c>
      <c r="L1335" s="220">
        <f>IF(OR($C1335="",N($B1335)=0),"",IF(AND($I1335="Phản ánh",$E1335="Đã xử lý"),INDEX('Phản ánh'!$U$6:$U$505,MATCH($C1335,'Phản ánh'!$A$6:$A$505,0)),IF(AND($I1335="Công việc",OR($E1335="Hoàn thành",$E1335="Hoàn thành kỳ")),IF(INDEX('Kế hoạch'!$B$6:$B$305,$O1335)="Đột xuất",INDEX('Kế hoạch'!$AY$6:$AY$305,$O1335),IF(N($P1335)=0,"",IF(INT($B1335)&lt;$P1335,$P1335,IF($Q1335&gt;0,$P1335+ROUND((INT($B1335)-$P1335)/$Q1335,0)*$Q1335,IF($R1335&gt;0,EDATE($P1335,ROUND((DATEDIF($P1335,INT($B1335),"m")+(INT($B1335)-EDATE($P1335,DATEDIF($P1335,INT($B1335),"m")))/(EDATE($P1335,DATEDIF($P1335,INT($B1335),"m")+1)-EDATE($P1335,DATEDIF($P1335,INT($B1335),"m"))))/$R1335,0)*$R1335),$P1335))))),"")))</f>
      </c>
      <c r="M1335" s="223">
        <f>IF(OR($C1335="",N($L1335)=0,N($B1335)=0),"",IF(IF(MOD($L1335,1)=0,INT($B1335),$B1335)&lt;=$L1335,"Đúng hạn","Trễ hạn"))</f>
      </c>
      <c r="N1335" s="225">
        <f>IF($C1335="","",ROW())</f>
      </c>
      <c r="O1335" s="225">
        <f>IF($I1335="Công việc",MATCH($C1335,'Kế hoạch'!$A$6:$A$305,0),"")</f>
      </c>
      <c r="P1335" s="234">
        <f>IF($O1335="","",INDEX('Kế hoạch'!$I$6:$I$305,$O1335))</f>
      </c>
      <c r="Q1335" s="225">
        <f>IF($O1335="","",INDEX('Kế hoạch'!$AJ$6:$AJ$305,$O1335))</f>
      </c>
      <c r="R1335" s="225">
        <f>IF($O1335="","",INDEX('Kế hoạch'!$AK$6:$AK$305,$O1335))</f>
      </c>
    </row>
    <row r="1336">
      <c r="A1336" s="223">
        <f>IF($C1336="","",COUNTIF($C$6:$C1336,"?*"))</f>
      </c>
      <c r="B1336" s="217"/>
      <c r="C1336" s="216"/>
      <c r="D1336" s="240"/>
      <c r="E1336" s="218"/>
      <c r="F1336" s="218"/>
      <c r="G1336" s="218"/>
      <c r="H1336" s="219"/>
      <c r="I1336" s="223">
        <f>IF($C1336="","",IF(ISNUMBER(MATCH($C1336,'Phản ánh'!$A$6:$A$505,0)),"Phản ánh",IF(ISNUMBER(MATCH($C1336,'Kế hoạch'!$A$6:$A$305,0)),"Công việc","Mã chưa có")))</f>
      </c>
      <c r="J1336" s="221">
        <f>IF($I1336="Phản ánh",INDEX('Phản ánh'!$C$6:$C$505,MATCH($C1336,'Phản ánh'!$A$6:$A$505,0)),IF($I1336="Công việc",INDEX('Kế hoạch'!$C$6:$C$305,$O1336),""))</f>
      </c>
      <c r="K1336" s="221">
        <f>IF($I1336="Phản ánh",INDEX('Phản ánh'!$K$6:$K$505,MATCH($C1336,'Phản ánh'!$A$6:$A$505,0))&amp;"",IF($I1336="Công việc",INDEX('Kế hoạch'!$N$6:$N$305,$O1336)&amp;"",""))</f>
      </c>
      <c r="L1336" s="220">
        <f>IF(OR($C1336="",N($B1336)=0),"",IF(AND($I1336="Phản ánh",$E1336="Đã xử lý"),INDEX('Phản ánh'!$U$6:$U$505,MATCH($C1336,'Phản ánh'!$A$6:$A$505,0)),IF(AND($I1336="Công việc",OR($E1336="Hoàn thành",$E1336="Hoàn thành kỳ")),IF(INDEX('Kế hoạch'!$B$6:$B$305,$O1336)="Đột xuất",INDEX('Kế hoạch'!$AY$6:$AY$305,$O1336),IF(N($P1336)=0,"",IF(INT($B1336)&lt;$P1336,$P1336,IF($Q1336&gt;0,$P1336+ROUND((INT($B1336)-$P1336)/$Q1336,0)*$Q1336,IF($R1336&gt;0,EDATE($P1336,ROUND((DATEDIF($P1336,INT($B1336),"m")+(INT($B1336)-EDATE($P1336,DATEDIF($P1336,INT($B1336),"m")))/(EDATE($P1336,DATEDIF($P1336,INT($B1336),"m")+1)-EDATE($P1336,DATEDIF($P1336,INT($B1336),"m"))))/$R1336,0)*$R1336),$P1336))))),"")))</f>
      </c>
      <c r="M1336" s="223">
        <f>IF(OR($C1336="",N($L1336)=0,N($B1336)=0),"",IF(IF(MOD($L1336,1)=0,INT($B1336),$B1336)&lt;=$L1336,"Đúng hạn","Trễ hạn"))</f>
      </c>
      <c r="N1336" s="225">
        <f>IF($C1336="","",ROW())</f>
      </c>
      <c r="O1336" s="225">
        <f>IF($I1336="Công việc",MATCH($C1336,'Kế hoạch'!$A$6:$A$305,0),"")</f>
      </c>
      <c r="P1336" s="234">
        <f>IF($O1336="","",INDEX('Kế hoạch'!$I$6:$I$305,$O1336))</f>
      </c>
      <c r="Q1336" s="225">
        <f>IF($O1336="","",INDEX('Kế hoạch'!$AJ$6:$AJ$305,$O1336))</f>
      </c>
      <c r="R1336" s="225">
        <f>IF($O1336="","",INDEX('Kế hoạch'!$AK$6:$AK$305,$O1336))</f>
      </c>
    </row>
    <row r="1337">
      <c r="A1337" s="223">
        <f>IF($C1337="","",COUNTIF($C$6:$C1337,"?*"))</f>
      </c>
      <c r="B1337" s="217"/>
      <c r="C1337" s="216"/>
      <c r="D1337" s="240"/>
      <c r="E1337" s="218"/>
      <c r="F1337" s="218"/>
      <c r="G1337" s="218"/>
      <c r="H1337" s="219"/>
      <c r="I1337" s="223">
        <f>IF($C1337="","",IF(ISNUMBER(MATCH($C1337,'Phản ánh'!$A$6:$A$505,0)),"Phản ánh",IF(ISNUMBER(MATCH($C1337,'Kế hoạch'!$A$6:$A$305,0)),"Công việc","Mã chưa có")))</f>
      </c>
      <c r="J1337" s="221">
        <f>IF($I1337="Phản ánh",INDEX('Phản ánh'!$C$6:$C$505,MATCH($C1337,'Phản ánh'!$A$6:$A$505,0)),IF($I1337="Công việc",INDEX('Kế hoạch'!$C$6:$C$305,$O1337),""))</f>
      </c>
      <c r="K1337" s="221">
        <f>IF($I1337="Phản ánh",INDEX('Phản ánh'!$K$6:$K$505,MATCH($C1337,'Phản ánh'!$A$6:$A$505,0))&amp;"",IF($I1337="Công việc",INDEX('Kế hoạch'!$N$6:$N$305,$O1337)&amp;"",""))</f>
      </c>
      <c r="L1337" s="220">
        <f>IF(OR($C1337="",N($B1337)=0),"",IF(AND($I1337="Phản ánh",$E1337="Đã xử lý"),INDEX('Phản ánh'!$U$6:$U$505,MATCH($C1337,'Phản ánh'!$A$6:$A$505,0)),IF(AND($I1337="Công việc",OR($E1337="Hoàn thành",$E1337="Hoàn thành kỳ")),IF(INDEX('Kế hoạch'!$B$6:$B$305,$O1337)="Đột xuất",INDEX('Kế hoạch'!$AY$6:$AY$305,$O1337),IF(N($P1337)=0,"",IF(INT($B1337)&lt;$P1337,$P1337,IF($Q1337&gt;0,$P1337+ROUND((INT($B1337)-$P1337)/$Q1337,0)*$Q1337,IF($R1337&gt;0,EDATE($P1337,ROUND((DATEDIF($P1337,INT($B1337),"m")+(INT($B1337)-EDATE($P1337,DATEDIF($P1337,INT($B1337),"m")))/(EDATE($P1337,DATEDIF($P1337,INT($B1337),"m")+1)-EDATE($P1337,DATEDIF($P1337,INT($B1337),"m"))))/$R1337,0)*$R1337),$P1337))))),"")))</f>
      </c>
      <c r="M1337" s="223">
        <f>IF(OR($C1337="",N($L1337)=0,N($B1337)=0),"",IF(IF(MOD($L1337,1)=0,INT($B1337),$B1337)&lt;=$L1337,"Đúng hạn","Trễ hạn"))</f>
      </c>
      <c r="N1337" s="225">
        <f>IF($C1337="","",ROW())</f>
      </c>
      <c r="O1337" s="225">
        <f>IF($I1337="Công việc",MATCH($C1337,'Kế hoạch'!$A$6:$A$305,0),"")</f>
      </c>
      <c r="P1337" s="234">
        <f>IF($O1337="","",INDEX('Kế hoạch'!$I$6:$I$305,$O1337))</f>
      </c>
      <c r="Q1337" s="225">
        <f>IF($O1337="","",INDEX('Kế hoạch'!$AJ$6:$AJ$305,$O1337))</f>
      </c>
      <c r="R1337" s="225">
        <f>IF($O1337="","",INDEX('Kế hoạch'!$AK$6:$AK$305,$O1337))</f>
      </c>
    </row>
    <row r="1338">
      <c r="A1338" s="223">
        <f>IF($C1338="","",COUNTIF($C$6:$C1338,"?*"))</f>
      </c>
      <c r="B1338" s="217"/>
      <c r="C1338" s="216"/>
      <c r="D1338" s="240"/>
      <c r="E1338" s="218"/>
      <c r="F1338" s="218"/>
      <c r="G1338" s="218"/>
      <c r="H1338" s="219"/>
      <c r="I1338" s="223">
        <f>IF($C1338="","",IF(ISNUMBER(MATCH($C1338,'Phản ánh'!$A$6:$A$505,0)),"Phản ánh",IF(ISNUMBER(MATCH($C1338,'Kế hoạch'!$A$6:$A$305,0)),"Công việc","Mã chưa có")))</f>
      </c>
      <c r="J1338" s="221">
        <f>IF($I1338="Phản ánh",INDEX('Phản ánh'!$C$6:$C$505,MATCH($C1338,'Phản ánh'!$A$6:$A$505,0)),IF($I1338="Công việc",INDEX('Kế hoạch'!$C$6:$C$305,$O1338),""))</f>
      </c>
      <c r="K1338" s="221">
        <f>IF($I1338="Phản ánh",INDEX('Phản ánh'!$K$6:$K$505,MATCH($C1338,'Phản ánh'!$A$6:$A$505,0))&amp;"",IF($I1338="Công việc",INDEX('Kế hoạch'!$N$6:$N$305,$O1338)&amp;"",""))</f>
      </c>
      <c r="L1338" s="220">
        <f>IF(OR($C1338="",N($B1338)=0),"",IF(AND($I1338="Phản ánh",$E1338="Đã xử lý"),INDEX('Phản ánh'!$U$6:$U$505,MATCH($C1338,'Phản ánh'!$A$6:$A$505,0)),IF(AND($I1338="Công việc",OR($E1338="Hoàn thành",$E1338="Hoàn thành kỳ")),IF(INDEX('Kế hoạch'!$B$6:$B$305,$O1338)="Đột xuất",INDEX('Kế hoạch'!$AY$6:$AY$305,$O1338),IF(N($P1338)=0,"",IF(INT($B1338)&lt;$P1338,$P1338,IF($Q1338&gt;0,$P1338+ROUND((INT($B1338)-$P1338)/$Q1338,0)*$Q1338,IF($R1338&gt;0,EDATE($P1338,ROUND((DATEDIF($P1338,INT($B1338),"m")+(INT($B1338)-EDATE($P1338,DATEDIF($P1338,INT($B1338),"m")))/(EDATE($P1338,DATEDIF($P1338,INT($B1338),"m")+1)-EDATE($P1338,DATEDIF($P1338,INT($B1338),"m"))))/$R1338,0)*$R1338),$P1338))))),"")))</f>
      </c>
      <c r="M1338" s="223">
        <f>IF(OR($C1338="",N($L1338)=0,N($B1338)=0),"",IF(IF(MOD($L1338,1)=0,INT($B1338),$B1338)&lt;=$L1338,"Đúng hạn","Trễ hạn"))</f>
      </c>
      <c r="N1338" s="225">
        <f>IF($C1338="","",ROW())</f>
      </c>
      <c r="O1338" s="225">
        <f>IF($I1338="Công việc",MATCH($C1338,'Kế hoạch'!$A$6:$A$305,0),"")</f>
      </c>
      <c r="P1338" s="234">
        <f>IF($O1338="","",INDEX('Kế hoạch'!$I$6:$I$305,$O1338))</f>
      </c>
      <c r="Q1338" s="225">
        <f>IF($O1338="","",INDEX('Kế hoạch'!$AJ$6:$AJ$305,$O1338))</f>
      </c>
      <c r="R1338" s="225">
        <f>IF($O1338="","",INDEX('Kế hoạch'!$AK$6:$AK$305,$O1338))</f>
      </c>
    </row>
    <row r="1339">
      <c r="A1339" s="223">
        <f>IF($C1339="","",COUNTIF($C$6:$C1339,"?*"))</f>
      </c>
      <c r="B1339" s="217"/>
      <c r="C1339" s="216"/>
      <c r="D1339" s="240"/>
      <c r="E1339" s="218"/>
      <c r="F1339" s="218"/>
      <c r="G1339" s="218"/>
      <c r="H1339" s="219"/>
      <c r="I1339" s="223">
        <f>IF($C1339="","",IF(ISNUMBER(MATCH($C1339,'Phản ánh'!$A$6:$A$505,0)),"Phản ánh",IF(ISNUMBER(MATCH($C1339,'Kế hoạch'!$A$6:$A$305,0)),"Công việc","Mã chưa có")))</f>
      </c>
      <c r="J1339" s="221">
        <f>IF($I1339="Phản ánh",INDEX('Phản ánh'!$C$6:$C$505,MATCH($C1339,'Phản ánh'!$A$6:$A$505,0)),IF($I1339="Công việc",INDEX('Kế hoạch'!$C$6:$C$305,$O1339),""))</f>
      </c>
      <c r="K1339" s="221">
        <f>IF($I1339="Phản ánh",INDEX('Phản ánh'!$K$6:$K$505,MATCH($C1339,'Phản ánh'!$A$6:$A$505,0))&amp;"",IF($I1339="Công việc",INDEX('Kế hoạch'!$N$6:$N$305,$O1339)&amp;"",""))</f>
      </c>
      <c r="L1339" s="220">
        <f>IF(OR($C1339="",N($B1339)=0),"",IF(AND($I1339="Phản ánh",$E1339="Đã xử lý"),INDEX('Phản ánh'!$U$6:$U$505,MATCH($C1339,'Phản ánh'!$A$6:$A$505,0)),IF(AND($I1339="Công việc",OR($E1339="Hoàn thành",$E1339="Hoàn thành kỳ")),IF(INDEX('Kế hoạch'!$B$6:$B$305,$O1339)="Đột xuất",INDEX('Kế hoạch'!$AY$6:$AY$305,$O1339),IF(N($P1339)=0,"",IF(INT($B1339)&lt;$P1339,$P1339,IF($Q1339&gt;0,$P1339+ROUND((INT($B1339)-$P1339)/$Q1339,0)*$Q1339,IF($R1339&gt;0,EDATE($P1339,ROUND((DATEDIF($P1339,INT($B1339),"m")+(INT($B1339)-EDATE($P1339,DATEDIF($P1339,INT($B1339),"m")))/(EDATE($P1339,DATEDIF($P1339,INT($B1339),"m")+1)-EDATE($P1339,DATEDIF($P1339,INT($B1339),"m"))))/$R1339,0)*$R1339),$P1339))))),"")))</f>
      </c>
      <c r="M1339" s="223">
        <f>IF(OR($C1339="",N($L1339)=0,N($B1339)=0),"",IF(IF(MOD($L1339,1)=0,INT($B1339),$B1339)&lt;=$L1339,"Đúng hạn","Trễ hạn"))</f>
      </c>
      <c r="N1339" s="225">
        <f>IF($C1339="","",ROW())</f>
      </c>
      <c r="O1339" s="225">
        <f>IF($I1339="Công việc",MATCH($C1339,'Kế hoạch'!$A$6:$A$305,0),"")</f>
      </c>
      <c r="P1339" s="234">
        <f>IF($O1339="","",INDEX('Kế hoạch'!$I$6:$I$305,$O1339))</f>
      </c>
      <c r="Q1339" s="225">
        <f>IF($O1339="","",INDEX('Kế hoạch'!$AJ$6:$AJ$305,$O1339))</f>
      </c>
      <c r="R1339" s="225">
        <f>IF($O1339="","",INDEX('Kế hoạch'!$AK$6:$AK$305,$O1339))</f>
      </c>
    </row>
    <row r="1340">
      <c r="A1340" s="223">
        <f>IF($C1340="","",COUNTIF($C$6:$C1340,"?*"))</f>
      </c>
      <c r="B1340" s="217"/>
      <c r="C1340" s="216"/>
      <c r="D1340" s="240"/>
      <c r="E1340" s="218"/>
      <c r="F1340" s="218"/>
      <c r="G1340" s="218"/>
      <c r="H1340" s="219"/>
      <c r="I1340" s="223">
        <f>IF($C1340="","",IF(ISNUMBER(MATCH($C1340,'Phản ánh'!$A$6:$A$505,0)),"Phản ánh",IF(ISNUMBER(MATCH($C1340,'Kế hoạch'!$A$6:$A$305,0)),"Công việc","Mã chưa có")))</f>
      </c>
      <c r="J1340" s="221">
        <f>IF($I1340="Phản ánh",INDEX('Phản ánh'!$C$6:$C$505,MATCH($C1340,'Phản ánh'!$A$6:$A$505,0)),IF($I1340="Công việc",INDEX('Kế hoạch'!$C$6:$C$305,$O1340),""))</f>
      </c>
      <c r="K1340" s="221">
        <f>IF($I1340="Phản ánh",INDEX('Phản ánh'!$K$6:$K$505,MATCH($C1340,'Phản ánh'!$A$6:$A$505,0))&amp;"",IF($I1340="Công việc",INDEX('Kế hoạch'!$N$6:$N$305,$O1340)&amp;"",""))</f>
      </c>
      <c r="L1340" s="220">
        <f>IF(OR($C1340="",N($B1340)=0),"",IF(AND($I1340="Phản ánh",$E1340="Đã xử lý"),INDEX('Phản ánh'!$U$6:$U$505,MATCH($C1340,'Phản ánh'!$A$6:$A$505,0)),IF(AND($I1340="Công việc",OR($E1340="Hoàn thành",$E1340="Hoàn thành kỳ")),IF(INDEX('Kế hoạch'!$B$6:$B$305,$O1340)="Đột xuất",INDEX('Kế hoạch'!$AY$6:$AY$305,$O1340),IF(N($P1340)=0,"",IF(INT($B1340)&lt;$P1340,$P1340,IF($Q1340&gt;0,$P1340+ROUND((INT($B1340)-$P1340)/$Q1340,0)*$Q1340,IF($R1340&gt;0,EDATE($P1340,ROUND((DATEDIF($P1340,INT($B1340),"m")+(INT($B1340)-EDATE($P1340,DATEDIF($P1340,INT($B1340),"m")))/(EDATE($P1340,DATEDIF($P1340,INT($B1340),"m")+1)-EDATE($P1340,DATEDIF($P1340,INT($B1340),"m"))))/$R1340,0)*$R1340),$P1340))))),"")))</f>
      </c>
      <c r="M1340" s="223">
        <f>IF(OR($C1340="",N($L1340)=0,N($B1340)=0),"",IF(IF(MOD($L1340,1)=0,INT($B1340),$B1340)&lt;=$L1340,"Đúng hạn","Trễ hạn"))</f>
      </c>
      <c r="N1340" s="225">
        <f>IF($C1340="","",ROW())</f>
      </c>
      <c r="O1340" s="225">
        <f>IF($I1340="Công việc",MATCH($C1340,'Kế hoạch'!$A$6:$A$305,0),"")</f>
      </c>
      <c r="P1340" s="234">
        <f>IF($O1340="","",INDEX('Kế hoạch'!$I$6:$I$305,$O1340))</f>
      </c>
      <c r="Q1340" s="225">
        <f>IF($O1340="","",INDEX('Kế hoạch'!$AJ$6:$AJ$305,$O1340))</f>
      </c>
      <c r="R1340" s="225">
        <f>IF($O1340="","",INDEX('Kế hoạch'!$AK$6:$AK$305,$O1340))</f>
      </c>
    </row>
    <row r="1341">
      <c r="A1341" s="223">
        <f>IF($C1341="","",COUNTIF($C$6:$C1341,"?*"))</f>
      </c>
      <c r="B1341" s="217"/>
      <c r="C1341" s="216"/>
      <c r="D1341" s="240"/>
      <c r="E1341" s="218"/>
      <c r="F1341" s="218"/>
      <c r="G1341" s="218"/>
      <c r="H1341" s="219"/>
      <c r="I1341" s="223">
        <f>IF($C1341="","",IF(ISNUMBER(MATCH($C1341,'Phản ánh'!$A$6:$A$505,0)),"Phản ánh",IF(ISNUMBER(MATCH($C1341,'Kế hoạch'!$A$6:$A$305,0)),"Công việc","Mã chưa có")))</f>
      </c>
      <c r="J1341" s="221">
        <f>IF($I1341="Phản ánh",INDEX('Phản ánh'!$C$6:$C$505,MATCH($C1341,'Phản ánh'!$A$6:$A$505,0)),IF($I1341="Công việc",INDEX('Kế hoạch'!$C$6:$C$305,$O1341),""))</f>
      </c>
      <c r="K1341" s="221">
        <f>IF($I1341="Phản ánh",INDEX('Phản ánh'!$K$6:$K$505,MATCH($C1341,'Phản ánh'!$A$6:$A$505,0))&amp;"",IF($I1341="Công việc",INDEX('Kế hoạch'!$N$6:$N$305,$O1341)&amp;"",""))</f>
      </c>
      <c r="L1341" s="220">
        <f>IF(OR($C1341="",N($B1341)=0),"",IF(AND($I1341="Phản ánh",$E1341="Đã xử lý"),INDEX('Phản ánh'!$U$6:$U$505,MATCH($C1341,'Phản ánh'!$A$6:$A$505,0)),IF(AND($I1341="Công việc",OR($E1341="Hoàn thành",$E1341="Hoàn thành kỳ")),IF(INDEX('Kế hoạch'!$B$6:$B$305,$O1341)="Đột xuất",INDEX('Kế hoạch'!$AY$6:$AY$305,$O1341),IF(N($P1341)=0,"",IF(INT($B1341)&lt;$P1341,$P1341,IF($Q1341&gt;0,$P1341+ROUND((INT($B1341)-$P1341)/$Q1341,0)*$Q1341,IF($R1341&gt;0,EDATE($P1341,ROUND((DATEDIF($P1341,INT($B1341),"m")+(INT($B1341)-EDATE($P1341,DATEDIF($P1341,INT($B1341),"m")))/(EDATE($P1341,DATEDIF($P1341,INT($B1341),"m")+1)-EDATE($P1341,DATEDIF($P1341,INT($B1341),"m"))))/$R1341,0)*$R1341),$P1341))))),"")))</f>
      </c>
      <c r="M1341" s="223">
        <f>IF(OR($C1341="",N($L1341)=0,N($B1341)=0),"",IF(IF(MOD($L1341,1)=0,INT($B1341),$B1341)&lt;=$L1341,"Đúng hạn","Trễ hạn"))</f>
      </c>
      <c r="N1341" s="225">
        <f>IF($C1341="","",ROW())</f>
      </c>
      <c r="O1341" s="225">
        <f>IF($I1341="Công việc",MATCH($C1341,'Kế hoạch'!$A$6:$A$305,0),"")</f>
      </c>
      <c r="P1341" s="234">
        <f>IF($O1341="","",INDEX('Kế hoạch'!$I$6:$I$305,$O1341))</f>
      </c>
      <c r="Q1341" s="225">
        <f>IF($O1341="","",INDEX('Kế hoạch'!$AJ$6:$AJ$305,$O1341))</f>
      </c>
      <c r="R1341" s="225">
        <f>IF($O1341="","",INDEX('Kế hoạch'!$AK$6:$AK$305,$O1341))</f>
      </c>
    </row>
    <row r="1342">
      <c r="A1342" s="223">
        <f>IF($C1342="","",COUNTIF($C$6:$C1342,"?*"))</f>
      </c>
      <c r="B1342" s="217"/>
      <c r="C1342" s="216"/>
      <c r="D1342" s="240"/>
      <c r="E1342" s="218"/>
      <c r="F1342" s="218"/>
      <c r="G1342" s="218"/>
      <c r="H1342" s="219"/>
      <c r="I1342" s="223">
        <f>IF($C1342="","",IF(ISNUMBER(MATCH($C1342,'Phản ánh'!$A$6:$A$505,0)),"Phản ánh",IF(ISNUMBER(MATCH($C1342,'Kế hoạch'!$A$6:$A$305,0)),"Công việc","Mã chưa có")))</f>
      </c>
      <c r="J1342" s="221">
        <f>IF($I1342="Phản ánh",INDEX('Phản ánh'!$C$6:$C$505,MATCH($C1342,'Phản ánh'!$A$6:$A$505,0)),IF($I1342="Công việc",INDEX('Kế hoạch'!$C$6:$C$305,$O1342),""))</f>
      </c>
      <c r="K1342" s="221">
        <f>IF($I1342="Phản ánh",INDEX('Phản ánh'!$K$6:$K$505,MATCH($C1342,'Phản ánh'!$A$6:$A$505,0))&amp;"",IF($I1342="Công việc",INDEX('Kế hoạch'!$N$6:$N$305,$O1342)&amp;"",""))</f>
      </c>
      <c r="L1342" s="220">
        <f>IF(OR($C1342="",N($B1342)=0),"",IF(AND($I1342="Phản ánh",$E1342="Đã xử lý"),INDEX('Phản ánh'!$U$6:$U$505,MATCH($C1342,'Phản ánh'!$A$6:$A$505,0)),IF(AND($I1342="Công việc",OR($E1342="Hoàn thành",$E1342="Hoàn thành kỳ")),IF(INDEX('Kế hoạch'!$B$6:$B$305,$O1342)="Đột xuất",INDEX('Kế hoạch'!$AY$6:$AY$305,$O1342),IF(N($P1342)=0,"",IF(INT($B1342)&lt;$P1342,$P1342,IF($Q1342&gt;0,$P1342+ROUND((INT($B1342)-$P1342)/$Q1342,0)*$Q1342,IF($R1342&gt;0,EDATE($P1342,ROUND((DATEDIF($P1342,INT($B1342),"m")+(INT($B1342)-EDATE($P1342,DATEDIF($P1342,INT($B1342),"m")))/(EDATE($P1342,DATEDIF($P1342,INT($B1342),"m")+1)-EDATE($P1342,DATEDIF($P1342,INT($B1342),"m"))))/$R1342,0)*$R1342),$P1342))))),"")))</f>
      </c>
      <c r="M1342" s="223">
        <f>IF(OR($C1342="",N($L1342)=0,N($B1342)=0),"",IF(IF(MOD($L1342,1)=0,INT($B1342),$B1342)&lt;=$L1342,"Đúng hạn","Trễ hạn"))</f>
      </c>
      <c r="N1342" s="225">
        <f>IF($C1342="","",ROW())</f>
      </c>
      <c r="O1342" s="225">
        <f>IF($I1342="Công việc",MATCH($C1342,'Kế hoạch'!$A$6:$A$305,0),"")</f>
      </c>
      <c r="P1342" s="234">
        <f>IF($O1342="","",INDEX('Kế hoạch'!$I$6:$I$305,$O1342))</f>
      </c>
      <c r="Q1342" s="225">
        <f>IF($O1342="","",INDEX('Kế hoạch'!$AJ$6:$AJ$305,$O1342))</f>
      </c>
      <c r="R1342" s="225">
        <f>IF($O1342="","",INDEX('Kế hoạch'!$AK$6:$AK$305,$O1342))</f>
      </c>
    </row>
    <row r="1343">
      <c r="A1343" s="223">
        <f>IF($C1343="","",COUNTIF($C$6:$C1343,"?*"))</f>
      </c>
      <c r="B1343" s="217"/>
      <c r="C1343" s="216"/>
      <c r="D1343" s="240"/>
      <c r="E1343" s="218"/>
      <c r="F1343" s="218"/>
      <c r="G1343" s="218"/>
      <c r="H1343" s="219"/>
      <c r="I1343" s="223">
        <f>IF($C1343="","",IF(ISNUMBER(MATCH($C1343,'Phản ánh'!$A$6:$A$505,0)),"Phản ánh",IF(ISNUMBER(MATCH($C1343,'Kế hoạch'!$A$6:$A$305,0)),"Công việc","Mã chưa có")))</f>
      </c>
      <c r="J1343" s="221">
        <f>IF($I1343="Phản ánh",INDEX('Phản ánh'!$C$6:$C$505,MATCH($C1343,'Phản ánh'!$A$6:$A$505,0)),IF($I1343="Công việc",INDEX('Kế hoạch'!$C$6:$C$305,$O1343),""))</f>
      </c>
      <c r="K1343" s="221">
        <f>IF($I1343="Phản ánh",INDEX('Phản ánh'!$K$6:$K$505,MATCH($C1343,'Phản ánh'!$A$6:$A$505,0))&amp;"",IF($I1343="Công việc",INDEX('Kế hoạch'!$N$6:$N$305,$O1343)&amp;"",""))</f>
      </c>
      <c r="L1343" s="220">
        <f>IF(OR($C1343="",N($B1343)=0),"",IF(AND($I1343="Phản ánh",$E1343="Đã xử lý"),INDEX('Phản ánh'!$U$6:$U$505,MATCH($C1343,'Phản ánh'!$A$6:$A$505,0)),IF(AND($I1343="Công việc",OR($E1343="Hoàn thành",$E1343="Hoàn thành kỳ")),IF(INDEX('Kế hoạch'!$B$6:$B$305,$O1343)="Đột xuất",INDEX('Kế hoạch'!$AY$6:$AY$305,$O1343),IF(N($P1343)=0,"",IF(INT($B1343)&lt;$P1343,$P1343,IF($Q1343&gt;0,$P1343+ROUND((INT($B1343)-$P1343)/$Q1343,0)*$Q1343,IF($R1343&gt;0,EDATE($P1343,ROUND((DATEDIF($P1343,INT($B1343),"m")+(INT($B1343)-EDATE($P1343,DATEDIF($P1343,INT($B1343),"m")))/(EDATE($P1343,DATEDIF($P1343,INT($B1343),"m")+1)-EDATE($P1343,DATEDIF($P1343,INT($B1343),"m"))))/$R1343,0)*$R1343),$P1343))))),"")))</f>
      </c>
      <c r="M1343" s="223">
        <f>IF(OR($C1343="",N($L1343)=0,N($B1343)=0),"",IF(IF(MOD($L1343,1)=0,INT($B1343),$B1343)&lt;=$L1343,"Đúng hạn","Trễ hạn"))</f>
      </c>
      <c r="N1343" s="225">
        <f>IF($C1343="","",ROW())</f>
      </c>
      <c r="O1343" s="225">
        <f>IF($I1343="Công việc",MATCH($C1343,'Kế hoạch'!$A$6:$A$305,0),"")</f>
      </c>
      <c r="P1343" s="234">
        <f>IF($O1343="","",INDEX('Kế hoạch'!$I$6:$I$305,$O1343))</f>
      </c>
      <c r="Q1343" s="225">
        <f>IF($O1343="","",INDEX('Kế hoạch'!$AJ$6:$AJ$305,$O1343))</f>
      </c>
      <c r="R1343" s="225">
        <f>IF($O1343="","",INDEX('Kế hoạch'!$AK$6:$AK$305,$O1343))</f>
      </c>
    </row>
    <row r="1344">
      <c r="A1344" s="223">
        <f>IF($C1344="","",COUNTIF($C$6:$C1344,"?*"))</f>
      </c>
      <c r="B1344" s="217"/>
      <c r="C1344" s="216"/>
      <c r="D1344" s="240"/>
      <c r="E1344" s="218"/>
      <c r="F1344" s="218"/>
      <c r="G1344" s="218"/>
      <c r="H1344" s="219"/>
      <c r="I1344" s="223">
        <f>IF($C1344="","",IF(ISNUMBER(MATCH($C1344,'Phản ánh'!$A$6:$A$505,0)),"Phản ánh",IF(ISNUMBER(MATCH($C1344,'Kế hoạch'!$A$6:$A$305,0)),"Công việc","Mã chưa có")))</f>
      </c>
      <c r="J1344" s="221">
        <f>IF($I1344="Phản ánh",INDEX('Phản ánh'!$C$6:$C$505,MATCH($C1344,'Phản ánh'!$A$6:$A$505,0)),IF($I1344="Công việc",INDEX('Kế hoạch'!$C$6:$C$305,$O1344),""))</f>
      </c>
      <c r="K1344" s="221">
        <f>IF($I1344="Phản ánh",INDEX('Phản ánh'!$K$6:$K$505,MATCH($C1344,'Phản ánh'!$A$6:$A$505,0))&amp;"",IF($I1344="Công việc",INDEX('Kế hoạch'!$N$6:$N$305,$O1344)&amp;"",""))</f>
      </c>
      <c r="L1344" s="220">
        <f>IF(OR($C1344="",N($B1344)=0),"",IF(AND($I1344="Phản ánh",$E1344="Đã xử lý"),INDEX('Phản ánh'!$U$6:$U$505,MATCH($C1344,'Phản ánh'!$A$6:$A$505,0)),IF(AND($I1344="Công việc",OR($E1344="Hoàn thành",$E1344="Hoàn thành kỳ")),IF(INDEX('Kế hoạch'!$B$6:$B$305,$O1344)="Đột xuất",INDEX('Kế hoạch'!$AY$6:$AY$305,$O1344),IF(N($P1344)=0,"",IF(INT($B1344)&lt;$P1344,$P1344,IF($Q1344&gt;0,$P1344+ROUND((INT($B1344)-$P1344)/$Q1344,0)*$Q1344,IF($R1344&gt;0,EDATE($P1344,ROUND((DATEDIF($P1344,INT($B1344),"m")+(INT($B1344)-EDATE($P1344,DATEDIF($P1344,INT($B1344),"m")))/(EDATE($P1344,DATEDIF($P1344,INT($B1344),"m")+1)-EDATE($P1344,DATEDIF($P1344,INT($B1344),"m"))))/$R1344,0)*$R1344),$P1344))))),"")))</f>
      </c>
      <c r="M1344" s="223">
        <f>IF(OR($C1344="",N($L1344)=0,N($B1344)=0),"",IF(IF(MOD($L1344,1)=0,INT($B1344),$B1344)&lt;=$L1344,"Đúng hạn","Trễ hạn"))</f>
      </c>
      <c r="N1344" s="225">
        <f>IF($C1344="","",ROW())</f>
      </c>
      <c r="O1344" s="225">
        <f>IF($I1344="Công việc",MATCH($C1344,'Kế hoạch'!$A$6:$A$305,0),"")</f>
      </c>
      <c r="P1344" s="234">
        <f>IF($O1344="","",INDEX('Kế hoạch'!$I$6:$I$305,$O1344))</f>
      </c>
      <c r="Q1344" s="225">
        <f>IF($O1344="","",INDEX('Kế hoạch'!$AJ$6:$AJ$305,$O1344))</f>
      </c>
      <c r="R1344" s="225">
        <f>IF($O1344="","",INDEX('Kế hoạch'!$AK$6:$AK$305,$O1344))</f>
      </c>
    </row>
    <row r="1345">
      <c r="A1345" s="223">
        <f>IF($C1345="","",COUNTIF($C$6:$C1345,"?*"))</f>
      </c>
      <c r="B1345" s="217"/>
      <c r="C1345" s="216"/>
      <c r="D1345" s="240"/>
      <c r="E1345" s="218"/>
      <c r="F1345" s="218"/>
      <c r="G1345" s="218"/>
      <c r="H1345" s="219"/>
      <c r="I1345" s="223">
        <f>IF($C1345="","",IF(ISNUMBER(MATCH($C1345,'Phản ánh'!$A$6:$A$505,0)),"Phản ánh",IF(ISNUMBER(MATCH($C1345,'Kế hoạch'!$A$6:$A$305,0)),"Công việc","Mã chưa có")))</f>
      </c>
      <c r="J1345" s="221">
        <f>IF($I1345="Phản ánh",INDEX('Phản ánh'!$C$6:$C$505,MATCH($C1345,'Phản ánh'!$A$6:$A$505,0)),IF($I1345="Công việc",INDEX('Kế hoạch'!$C$6:$C$305,$O1345),""))</f>
      </c>
      <c r="K1345" s="221">
        <f>IF($I1345="Phản ánh",INDEX('Phản ánh'!$K$6:$K$505,MATCH($C1345,'Phản ánh'!$A$6:$A$505,0))&amp;"",IF($I1345="Công việc",INDEX('Kế hoạch'!$N$6:$N$305,$O1345)&amp;"",""))</f>
      </c>
      <c r="L1345" s="220">
        <f>IF(OR($C1345="",N($B1345)=0),"",IF(AND($I1345="Phản ánh",$E1345="Đã xử lý"),INDEX('Phản ánh'!$U$6:$U$505,MATCH($C1345,'Phản ánh'!$A$6:$A$505,0)),IF(AND($I1345="Công việc",OR($E1345="Hoàn thành",$E1345="Hoàn thành kỳ")),IF(INDEX('Kế hoạch'!$B$6:$B$305,$O1345)="Đột xuất",INDEX('Kế hoạch'!$AY$6:$AY$305,$O1345),IF(N($P1345)=0,"",IF(INT($B1345)&lt;$P1345,$P1345,IF($Q1345&gt;0,$P1345+ROUND((INT($B1345)-$P1345)/$Q1345,0)*$Q1345,IF($R1345&gt;0,EDATE($P1345,ROUND((DATEDIF($P1345,INT($B1345),"m")+(INT($B1345)-EDATE($P1345,DATEDIF($P1345,INT($B1345),"m")))/(EDATE($P1345,DATEDIF($P1345,INT($B1345),"m")+1)-EDATE($P1345,DATEDIF($P1345,INT($B1345),"m"))))/$R1345,0)*$R1345),$P1345))))),"")))</f>
      </c>
      <c r="M1345" s="223">
        <f>IF(OR($C1345="",N($L1345)=0,N($B1345)=0),"",IF(IF(MOD($L1345,1)=0,INT($B1345),$B1345)&lt;=$L1345,"Đúng hạn","Trễ hạn"))</f>
      </c>
      <c r="N1345" s="225">
        <f>IF($C1345="","",ROW())</f>
      </c>
      <c r="O1345" s="225">
        <f>IF($I1345="Công việc",MATCH($C1345,'Kế hoạch'!$A$6:$A$305,0),"")</f>
      </c>
      <c r="P1345" s="234">
        <f>IF($O1345="","",INDEX('Kế hoạch'!$I$6:$I$305,$O1345))</f>
      </c>
      <c r="Q1345" s="225">
        <f>IF($O1345="","",INDEX('Kế hoạch'!$AJ$6:$AJ$305,$O1345))</f>
      </c>
      <c r="R1345" s="225">
        <f>IF($O1345="","",INDEX('Kế hoạch'!$AK$6:$AK$305,$O1345))</f>
      </c>
    </row>
    <row r="1346">
      <c r="A1346" s="223">
        <f>IF($C1346="","",COUNTIF($C$6:$C1346,"?*"))</f>
      </c>
      <c r="B1346" s="217"/>
      <c r="C1346" s="216"/>
      <c r="D1346" s="240"/>
      <c r="E1346" s="218"/>
      <c r="F1346" s="218"/>
      <c r="G1346" s="218"/>
      <c r="H1346" s="219"/>
      <c r="I1346" s="223">
        <f>IF($C1346="","",IF(ISNUMBER(MATCH($C1346,'Phản ánh'!$A$6:$A$505,0)),"Phản ánh",IF(ISNUMBER(MATCH($C1346,'Kế hoạch'!$A$6:$A$305,0)),"Công việc","Mã chưa có")))</f>
      </c>
      <c r="J1346" s="221">
        <f>IF($I1346="Phản ánh",INDEX('Phản ánh'!$C$6:$C$505,MATCH($C1346,'Phản ánh'!$A$6:$A$505,0)),IF($I1346="Công việc",INDEX('Kế hoạch'!$C$6:$C$305,$O1346),""))</f>
      </c>
      <c r="K1346" s="221">
        <f>IF($I1346="Phản ánh",INDEX('Phản ánh'!$K$6:$K$505,MATCH($C1346,'Phản ánh'!$A$6:$A$505,0))&amp;"",IF($I1346="Công việc",INDEX('Kế hoạch'!$N$6:$N$305,$O1346)&amp;"",""))</f>
      </c>
      <c r="L1346" s="220">
        <f>IF(OR($C1346="",N($B1346)=0),"",IF(AND($I1346="Phản ánh",$E1346="Đã xử lý"),INDEX('Phản ánh'!$U$6:$U$505,MATCH($C1346,'Phản ánh'!$A$6:$A$505,0)),IF(AND($I1346="Công việc",OR($E1346="Hoàn thành",$E1346="Hoàn thành kỳ")),IF(INDEX('Kế hoạch'!$B$6:$B$305,$O1346)="Đột xuất",INDEX('Kế hoạch'!$AY$6:$AY$305,$O1346),IF(N($P1346)=0,"",IF(INT($B1346)&lt;$P1346,$P1346,IF($Q1346&gt;0,$P1346+ROUND((INT($B1346)-$P1346)/$Q1346,0)*$Q1346,IF($R1346&gt;0,EDATE($P1346,ROUND((DATEDIF($P1346,INT($B1346),"m")+(INT($B1346)-EDATE($P1346,DATEDIF($P1346,INT($B1346),"m")))/(EDATE($P1346,DATEDIF($P1346,INT($B1346),"m")+1)-EDATE($P1346,DATEDIF($P1346,INT($B1346),"m"))))/$R1346,0)*$R1346),$P1346))))),"")))</f>
      </c>
      <c r="M1346" s="223">
        <f>IF(OR($C1346="",N($L1346)=0,N($B1346)=0),"",IF(IF(MOD($L1346,1)=0,INT($B1346),$B1346)&lt;=$L1346,"Đúng hạn","Trễ hạn"))</f>
      </c>
      <c r="N1346" s="225">
        <f>IF($C1346="","",ROW())</f>
      </c>
      <c r="O1346" s="225">
        <f>IF($I1346="Công việc",MATCH($C1346,'Kế hoạch'!$A$6:$A$305,0),"")</f>
      </c>
      <c r="P1346" s="234">
        <f>IF($O1346="","",INDEX('Kế hoạch'!$I$6:$I$305,$O1346))</f>
      </c>
      <c r="Q1346" s="225">
        <f>IF($O1346="","",INDEX('Kế hoạch'!$AJ$6:$AJ$305,$O1346))</f>
      </c>
      <c r="R1346" s="225">
        <f>IF($O1346="","",INDEX('Kế hoạch'!$AK$6:$AK$305,$O1346))</f>
      </c>
    </row>
    <row r="1347">
      <c r="A1347" s="223">
        <f>IF($C1347="","",COUNTIF($C$6:$C1347,"?*"))</f>
      </c>
      <c r="B1347" s="217"/>
      <c r="C1347" s="216"/>
      <c r="D1347" s="240"/>
      <c r="E1347" s="218"/>
      <c r="F1347" s="218"/>
      <c r="G1347" s="218"/>
      <c r="H1347" s="219"/>
      <c r="I1347" s="223">
        <f>IF($C1347="","",IF(ISNUMBER(MATCH($C1347,'Phản ánh'!$A$6:$A$505,0)),"Phản ánh",IF(ISNUMBER(MATCH($C1347,'Kế hoạch'!$A$6:$A$305,0)),"Công việc","Mã chưa có")))</f>
      </c>
      <c r="J1347" s="221">
        <f>IF($I1347="Phản ánh",INDEX('Phản ánh'!$C$6:$C$505,MATCH($C1347,'Phản ánh'!$A$6:$A$505,0)),IF($I1347="Công việc",INDEX('Kế hoạch'!$C$6:$C$305,$O1347),""))</f>
      </c>
      <c r="K1347" s="221">
        <f>IF($I1347="Phản ánh",INDEX('Phản ánh'!$K$6:$K$505,MATCH($C1347,'Phản ánh'!$A$6:$A$505,0))&amp;"",IF($I1347="Công việc",INDEX('Kế hoạch'!$N$6:$N$305,$O1347)&amp;"",""))</f>
      </c>
      <c r="L1347" s="220">
        <f>IF(OR($C1347="",N($B1347)=0),"",IF(AND($I1347="Phản ánh",$E1347="Đã xử lý"),INDEX('Phản ánh'!$U$6:$U$505,MATCH($C1347,'Phản ánh'!$A$6:$A$505,0)),IF(AND($I1347="Công việc",OR($E1347="Hoàn thành",$E1347="Hoàn thành kỳ")),IF(INDEX('Kế hoạch'!$B$6:$B$305,$O1347)="Đột xuất",INDEX('Kế hoạch'!$AY$6:$AY$305,$O1347),IF(N($P1347)=0,"",IF(INT($B1347)&lt;$P1347,$P1347,IF($Q1347&gt;0,$P1347+ROUND((INT($B1347)-$P1347)/$Q1347,0)*$Q1347,IF($R1347&gt;0,EDATE($P1347,ROUND((DATEDIF($P1347,INT($B1347),"m")+(INT($B1347)-EDATE($P1347,DATEDIF($P1347,INT($B1347),"m")))/(EDATE($P1347,DATEDIF($P1347,INT($B1347),"m")+1)-EDATE($P1347,DATEDIF($P1347,INT($B1347),"m"))))/$R1347,0)*$R1347),$P1347))))),"")))</f>
      </c>
      <c r="M1347" s="223">
        <f>IF(OR($C1347="",N($L1347)=0,N($B1347)=0),"",IF(IF(MOD($L1347,1)=0,INT($B1347),$B1347)&lt;=$L1347,"Đúng hạn","Trễ hạn"))</f>
      </c>
      <c r="N1347" s="225">
        <f>IF($C1347="","",ROW())</f>
      </c>
      <c r="O1347" s="225">
        <f>IF($I1347="Công việc",MATCH($C1347,'Kế hoạch'!$A$6:$A$305,0),"")</f>
      </c>
      <c r="P1347" s="234">
        <f>IF($O1347="","",INDEX('Kế hoạch'!$I$6:$I$305,$O1347))</f>
      </c>
      <c r="Q1347" s="225">
        <f>IF($O1347="","",INDEX('Kế hoạch'!$AJ$6:$AJ$305,$O1347))</f>
      </c>
      <c r="R1347" s="225">
        <f>IF($O1347="","",INDEX('Kế hoạch'!$AK$6:$AK$305,$O1347))</f>
      </c>
    </row>
    <row r="1348">
      <c r="A1348" s="223">
        <f>IF($C1348="","",COUNTIF($C$6:$C1348,"?*"))</f>
      </c>
      <c r="B1348" s="217"/>
      <c r="C1348" s="216"/>
      <c r="D1348" s="240"/>
      <c r="E1348" s="218"/>
      <c r="F1348" s="218"/>
      <c r="G1348" s="218"/>
      <c r="H1348" s="219"/>
      <c r="I1348" s="223">
        <f>IF($C1348="","",IF(ISNUMBER(MATCH($C1348,'Phản ánh'!$A$6:$A$505,0)),"Phản ánh",IF(ISNUMBER(MATCH($C1348,'Kế hoạch'!$A$6:$A$305,0)),"Công việc","Mã chưa có")))</f>
      </c>
      <c r="J1348" s="221">
        <f>IF($I1348="Phản ánh",INDEX('Phản ánh'!$C$6:$C$505,MATCH($C1348,'Phản ánh'!$A$6:$A$505,0)),IF($I1348="Công việc",INDEX('Kế hoạch'!$C$6:$C$305,$O1348),""))</f>
      </c>
      <c r="K1348" s="221">
        <f>IF($I1348="Phản ánh",INDEX('Phản ánh'!$K$6:$K$505,MATCH($C1348,'Phản ánh'!$A$6:$A$505,0))&amp;"",IF($I1348="Công việc",INDEX('Kế hoạch'!$N$6:$N$305,$O1348)&amp;"",""))</f>
      </c>
      <c r="L1348" s="220">
        <f>IF(OR($C1348="",N($B1348)=0),"",IF(AND($I1348="Phản ánh",$E1348="Đã xử lý"),INDEX('Phản ánh'!$U$6:$U$505,MATCH($C1348,'Phản ánh'!$A$6:$A$505,0)),IF(AND($I1348="Công việc",OR($E1348="Hoàn thành",$E1348="Hoàn thành kỳ")),IF(INDEX('Kế hoạch'!$B$6:$B$305,$O1348)="Đột xuất",INDEX('Kế hoạch'!$AY$6:$AY$305,$O1348),IF(N($P1348)=0,"",IF(INT($B1348)&lt;$P1348,$P1348,IF($Q1348&gt;0,$P1348+ROUND((INT($B1348)-$P1348)/$Q1348,0)*$Q1348,IF($R1348&gt;0,EDATE($P1348,ROUND((DATEDIF($P1348,INT($B1348),"m")+(INT($B1348)-EDATE($P1348,DATEDIF($P1348,INT($B1348),"m")))/(EDATE($P1348,DATEDIF($P1348,INT($B1348),"m")+1)-EDATE($P1348,DATEDIF($P1348,INT($B1348),"m"))))/$R1348,0)*$R1348),$P1348))))),"")))</f>
      </c>
      <c r="M1348" s="223">
        <f>IF(OR($C1348="",N($L1348)=0,N($B1348)=0),"",IF(IF(MOD($L1348,1)=0,INT($B1348),$B1348)&lt;=$L1348,"Đúng hạn","Trễ hạn"))</f>
      </c>
      <c r="N1348" s="225">
        <f>IF($C1348="","",ROW())</f>
      </c>
      <c r="O1348" s="225">
        <f>IF($I1348="Công việc",MATCH($C1348,'Kế hoạch'!$A$6:$A$305,0),"")</f>
      </c>
      <c r="P1348" s="234">
        <f>IF($O1348="","",INDEX('Kế hoạch'!$I$6:$I$305,$O1348))</f>
      </c>
      <c r="Q1348" s="225">
        <f>IF($O1348="","",INDEX('Kế hoạch'!$AJ$6:$AJ$305,$O1348))</f>
      </c>
      <c r="R1348" s="225">
        <f>IF($O1348="","",INDEX('Kế hoạch'!$AK$6:$AK$305,$O1348))</f>
      </c>
    </row>
    <row r="1349">
      <c r="A1349" s="223">
        <f>IF($C1349="","",COUNTIF($C$6:$C1349,"?*"))</f>
      </c>
      <c r="B1349" s="217"/>
      <c r="C1349" s="216"/>
      <c r="D1349" s="240"/>
      <c r="E1349" s="218"/>
      <c r="F1349" s="218"/>
      <c r="G1349" s="218"/>
      <c r="H1349" s="219"/>
      <c r="I1349" s="223">
        <f>IF($C1349="","",IF(ISNUMBER(MATCH($C1349,'Phản ánh'!$A$6:$A$505,0)),"Phản ánh",IF(ISNUMBER(MATCH($C1349,'Kế hoạch'!$A$6:$A$305,0)),"Công việc","Mã chưa có")))</f>
      </c>
      <c r="J1349" s="221">
        <f>IF($I1349="Phản ánh",INDEX('Phản ánh'!$C$6:$C$505,MATCH($C1349,'Phản ánh'!$A$6:$A$505,0)),IF($I1349="Công việc",INDEX('Kế hoạch'!$C$6:$C$305,$O1349),""))</f>
      </c>
      <c r="K1349" s="221">
        <f>IF($I1349="Phản ánh",INDEX('Phản ánh'!$K$6:$K$505,MATCH($C1349,'Phản ánh'!$A$6:$A$505,0))&amp;"",IF($I1349="Công việc",INDEX('Kế hoạch'!$N$6:$N$305,$O1349)&amp;"",""))</f>
      </c>
      <c r="L1349" s="220">
        <f>IF(OR($C1349="",N($B1349)=0),"",IF(AND($I1349="Phản ánh",$E1349="Đã xử lý"),INDEX('Phản ánh'!$U$6:$U$505,MATCH($C1349,'Phản ánh'!$A$6:$A$505,0)),IF(AND($I1349="Công việc",OR($E1349="Hoàn thành",$E1349="Hoàn thành kỳ")),IF(INDEX('Kế hoạch'!$B$6:$B$305,$O1349)="Đột xuất",INDEX('Kế hoạch'!$AY$6:$AY$305,$O1349),IF(N($P1349)=0,"",IF(INT($B1349)&lt;$P1349,$P1349,IF($Q1349&gt;0,$P1349+ROUND((INT($B1349)-$P1349)/$Q1349,0)*$Q1349,IF($R1349&gt;0,EDATE($P1349,ROUND((DATEDIF($P1349,INT($B1349),"m")+(INT($B1349)-EDATE($P1349,DATEDIF($P1349,INT($B1349),"m")))/(EDATE($P1349,DATEDIF($P1349,INT($B1349),"m")+1)-EDATE($P1349,DATEDIF($P1349,INT($B1349),"m"))))/$R1349,0)*$R1349),$P1349))))),"")))</f>
      </c>
      <c r="M1349" s="223">
        <f>IF(OR($C1349="",N($L1349)=0,N($B1349)=0),"",IF(IF(MOD($L1349,1)=0,INT($B1349),$B1349)&lt;=$L1349,"Đúng hạn","Trễ hạn"))</f>
      </c>
      <c r="N1349" s="225">
        <f>IF($C1349="","",ROW())</f>
      </c>
      <c r="O1349" s="225">
        <f>IF($I1349="Công việc",MATCH($C1349,'Kế hoạch'!$A$6:$A$305,0),"")</f>
      </c>
      <c r="P1349" s="234">
        <f>IF($O1349="","",INDEX('Kế hoạch'!$I$6:$I$305,$O1349))</f>
      </c>
      <c r="Q1349" s="225">
        <f>IF($O1349="","",INDEX('Kế hoạch'!$AJ$6:$AJ$305,$O1349))</f>
      </c>
      <c r="R1349" s="225">
        <f>IF($O1349="","",INDEX('Kế hoạch'!$AK$6:$AK$305,$O1349))</f>
      </c>
    </row>
    <row r="1350">
      <c r="A1350" s="223">
        <f>IF($C1350="","",COUNTIF($C$6:$C1350,"?*"))</f>
      </c>
      <c r="B1350" s="217"/>
      <c r="C1350" s="216"/>
      <c r="D1350" s="240"/>
      <c r="E1350" s="218"/>
      <c r="F1350" s="218"/>
      <c r="G1350" s="218"/>
      <c r="H1350" s="219"/>
      <c r="I1350" s="223">
        <f>IF($C1350="","",IF(ISNUMBER(MATCH($C1350,'Phản ánh'!$A$6:$A$505,0)),"Phản ánh",IF(ISNUMBER(MATCH($C1350,'Kế hoạch'!$A$6:$A$305,0)),"Công việc","Mã chưa có")))</f>
      </c>
      <c r="J1350" s="221">
        <f>IF($I1350="Phản ánh",INDEX('Phản ánh'!$C$6:$C$505,MATCH($C1350,'Phản ánh'!$A$6:$A$505,0)),IF($I1350="Công việc",INDEX('Kế hoạch'!$C$6:$C$305,$O1350),""))</f>
      </c>
      <c r="K1350" s="221">
        <f>IF($I1350="Phản ánh",INDEX('Phản ánh'!$K$6:$K$505,MATCH($C1350,'Phản ánh'!$A$6:$A$505,0))&amp;"",IF($I1350="Công việc",INDEX('Kế hoạch'!$N$6:$N$305,$O1350)&amp;"",""))</f>
      </c>
      <c r="L1350" s="220">
        <f>IF(OR($C1350="",N($B1350)=0),"",IF(AND($I1350="Phản ánh",$E1350="Đã xử lý"),INDEX('Phản ánh'!$U$6:$U$505,MATCH($C1350,'Phản ánh'!$A$6:$A$505,0)),IF(AND($I1350="Công việc",OR($E1350="Hoàn thành",$E1350="Hoàn thành kỳ")),IF(INDEX('Kế hoạch'!$B$6:$B$305,$O1350)="Đột xuất",INDEX('Kế hoạch'!$AY$6:$AY$305,$O1350),IF(N($P1350)=0,"",IF(INT($B1350)&lt;$P1350,$P1350,IF($Q1350&gt;0,$P1350+ROUND((INT($B1350)-$P1350)/$Q1350,0)*$Q1350,IF($R1350&gt;0,EDATE($P1350,ROUND((DATEDIF($P1350,INT($B1350),"m")+(INT($B1350)-EDATE($P1350,DATEDIF($P1350,INT($B1350),"m")))/(EDATE($P1350,DATEDIF($P1350,INT($B1350),"m")+1)-EDATE($P1350,DATEDIF($P1350,INT($B1350),"m"))))/$R1350,0)*$R1350),$P1350))))),"")))</f>
      </c>
      <c r="M1350" s="223">
        <f>IF(OR($C1350="",N($L1350)=0,N($B1350)=0),"",IF(IF(MOD($L1350,1)=0,INT($B1350),$B1350)&lt;=$L1350,"Đúng hạn","Trễ hạn"))</f>
      </c>
      <c r="N1350" s="225">
        <f>IF($C1350="","",ROW())</f>
      </c>
      <c r="O1350" s="225">
        <f>IF($I1350="Công việc",MATCH($C1350,'Kế hoạch'!$A$6:$A$305,0),"")</f>
      </c>
      <c r="P1350" s="234">
        <f>IF($O1350="","",INDEX('Kế hoạch'!$I$6:$I$305,$O1350))</f>
      </c>
      <c r="Q1350" s="225">
        <f>IF($O1350="","",INDEX('Kế hoạch'!$AJ$6:$AJ$305,$O1350))</f>
      </c>
      <c r="R1350" s="225">
        <f>IF($O1350="","",INDEX('Kế hoạch'!$AK$6:$AK$305,$O1350))</f>
      </c>
    </row>
    <row r="1351">
      <c r="A1351" s="223">
        <f>IF($C1351="","",COUNTIF($C$6:$C1351,"?*"))</f>
      </c>
      <c r="B1351" s="217"/>
      <c r="C1351" s="216"/>
      <c r="D1351" s="240"/>
      <c r="E1351" s="218"/>
      <c r="F1351" s="218"/>
      <c r="G1351" s="218"/>
      <c r="H1351" s="219"/>
      <c r="I1351" s="223">
        <f>IF($C1351="","",IF(ISNUMBER(MATCH($C1351,'Phản ánh'!$A$6:$A$505,0)),"Phản ánh",IF(ISNUMBER(MATCH($C1351,'Kế hoạch'!$A$6:$A$305,0)),"Công việc","Mã chưa có")))</f>
      </c>
      <c r="J1351" s="221">
        <f>IF($I1351="Phản ánh",INDEX('Phản ánh'!$C$6:$C$505,MATCH($C1351,'Phản ánh'!$A$6:$A$505,0)),IF($I1351="Công việc",INDEX('Kế hoạch'!$C$6:$C$305,$O1351),""))</f>
      </c>
      <c r="K1351" s="221">
        <f>IF($I1351="Phản ánh",INDEX('Phản ánh'!$K$6:$K$505,MATCH($C1351,'Phản ánh'!$A$6:$A$505,0))&amp;"",IF($I1351="Công việc",INDEX('Kế hoạch'!$N$6:$N$305,$O1351)&amp;"",""))</f>
      </c>
      <c r="L1351" s="220">
        <f>IF(OR($C1351="",N($B1351)=0),"",IF(AND($I1351="Phản ánh",$E1351="Đã xử lý"),INDEX('Phản ánh'!$U$6:$U$505,MATCH($C1351,'Phản ánh'!$A$6:$A$505,0)),IF(AND($I1351="Công việc",OR($E1351="Hoàn thành",$E1351="Hoàn thành kỳ")),IF(INDEX('Kế hoạch'!$B$6:$B$305,$O1351)="Đột xuất",INDEX('Kế hoạch'!$AY$6:$AY$305,$O1351),IF(N($P1351)=0,"",IF(INT($B1351)&lt;$P1351,$P1351,IF($Q1351&gt;0,$P1351+ROUND((INT($B1351)-$P1351)/$Q1351,0)*$Q1351,IF($R1351&gt;0,EDATE($P1351,ROUND((DATEDIF($P1351,INT($B1351),"m")+(INT($B1351)-EDATE($P1351,DATEDIF($P1351,INT($B1351),"m")))/(EDATE($P1351,DATEDIF($P1351,INT($B1351),"m")+1)-EDATE($P1351,DATEDIF($P1351,INT($B1351),"m"))))/$R1351,0)*$R1351),$P1351))))),"")))</f>
      </c>
      <c r="M1351" s="223">
        <f>IF(OR($C1351="",N($L1351)=0,N($B1351)=0),"",IF(IF(MOD($L1351,1)=0,INT($B1351),$B1351)&lt;=$L1351,"Đúng hạn","Trễ hạn"))</f>
      </c>
      <c r="N1351" s="225">
        <f>IF($C1351="","",ROW())</f>
      </c>
      <c r="O1351" s="225">
        <f>IF($I1351="Công việc",MATCH($C1351,'Kế hoạch'!$A$6:$A$305,0),"")</f>
      </c>
      <c r="P1351" s="234">
        <f>IF($O1351="","",INDEX('Kế hoạch'!$I$6:$I$305,$O1351))</f>
      </c>
      <c r="Q1351" s="225">
        <f>IF($O1351="","",INDEX('Kế hoạch'!$AJ$6:$AJ$305,$O1351))</f>
      </c>
      <c r="R1351" s="225">
        <f>IF($O1351="","",INDEX('Kế hoạch'!$AK$6:$AK$305,$O1351))</f>
      </c>
    </row>
    <row r="1352">
      <c r="A1352" s="223">
        <f>IF($C1352="","",COUNTIF($C$6:$C1352,"?*"))</f>
      </c>
      <c r="B1352" s="217"/>
      <c r="C1352" s="216"/>
      <c r="D1352" s="240"/>
      <c r="E1352" s="218"/>
      <c r="F1352" s="218"/>
      <c r="G1352" s="218"/>
      <c r="H1352" s="219"/>
      <c r="I1352" s="223">
        <f>IF($C1352="","",IF(ISNUMBER(MATCH($C1352,'Phản ánh'!$A$6:$A$505,0)),"Phản ánh",IF(ISNUMBER(MATCH($C1352,'Kế hoạch'!$A$6:$A$305,0)),"Công việc","Mã chưa có")))</f>
      </c>
      <c r="J1352" s="221">
        <f>IF($I1352="Phản ánh",INDEX('Phản ánh'!$C$6:$C$505,MATCH($C1352,'Phản ánh'!$A$6:$A$505,0)),IF($I1352="Công việc",INDEX('Kế hoạch'!$C$6:$C$305,$O1352),""))</f>
      </c>
      <c r="K1352" s="221">
        <f>IF($I1352="Phản ánh",INDEX('Phản ánh'!$K$6:$K$505,MATCH($C1352,'Phản ánh'!$A$6:$A$505,0))&amp;"",IF($I1352="Công việc",INDEX('Kế hoạch'!$N$6:$N$305,$O1352)&amp;"",""))</f>
      </c>
      <c r="L1352" s="220">
        <f>IF(OR($C1352="",N($B1352)=0),"",IF(AND($I1352="Phản ánh",$E1352="Đã xử lý"),INDEX('Phản ánh'!$U$6:$U$505,MATCH($C1352,'Phản ánh'!$A$6:$A$505,0)),IF(AND($I1352="Công việc",OR($E1352="Hoàn thành",$E1352="Hoàn thành kỳ")),IF(INDEX('Kế hoạch'!$B$6:$B$305,$O1352)="Đột xuất",INDEX('Kế hoạch'!$AY$6:$AY$305,$O1352),IF(N($P1352)=0,"",IF(INT($B1352)&lt;$P1352,$P1352,IF($Q1352&gt;0,$P1352+ROUND((INT($B1352)-$P1352)/$Q1352,0)*$Q1352,IF($R1352&gt;0,EDATE($P1352,ROUND((DATEDIF($P1352,INT($B1352),"m")+(INT($B1352)-EDATE($P1352,DATEDIF($P1352,INT($B1352),"m")))/(EDATE($P1352,DATEDIF($P1352,INT($B1352),"m")+1)-EDATE($P1352,DATEDIF($P1352,INT($B1352),"m"))))/$R1352,0)*$R1352),$P1352))))),"")))</f>
      </c>
      <c r="M1352" s="223">
        <f>IF(OR($C1352="",N($L1352)=0,N($B1352)=0),"",IF(IF(MOD($L1352,1)=0,INT($B1352),$B1352)&lt;=$L1352,"Đúng hạn","Trễ hạn"))</f>
      </c>
      <c r="N1352" s="225">
        <f>IF($C1352="","",ROW())</f>
      </c>
      <c r="O1352" s="225">
        <f>IF($I1352="Công việc",MATCH($C1352,'Kế hoạch'!$A$6:$A$305,0),"")</f>
      </c>
      <c r="P1352" s="234">
        <f>IF($O1352="","",INDEX('Kế hoạch'!$I$6:$I$305,$O1352))</f>
      </c>
      <c r="Q1352" s="225">
        <f>IF($O1352="","",INDEX('Kế hoạch'!$AJ$6:$AJ$305,$O1352))</f>
      </c>
      <c r="R1352" s="225">
        <f>IF($O1352="","",INDEX('Kế hoạch'!$AK$6:$AK$305,$O1352))</f>
      </c>
    </row>
    <row r="1353">
      <c r="A1353" s="223">
        <f>IF($C1353="","",COUNTIF($C$6:$C1353,"?*"))</f>
      </c>
      <c r="B1353" s="217"/>
      <c r="C1353" s="216"/>
      <c r="D1353" s="240"/>
      <c r="E1353" s="218"/>
      <c r="F1353" s="218"/>
      <c r="G1353" s="218"/>
      <c r="H1353" s="219"/>
      <c r="I1353" s="223">
        <f>IF($C1353="","",IF(ISNUMBER(MATCH($C1353,'Phản ánh'!$A$6:$A$505,0)),"Phản ánh",IF(ISNUMBER(MATCH($C1353,'Kế hoạch'!$A$6:$A$305,0)),"Công việc","Mã chưa có")))</f>
      </c>
      <c r="J1353" s="221">
        <f>IF($I1353="Phản ánh",INDEX('Phản ánh'!$C$6:$C$505,MATCH($C1353,'Phản ánh'!$A$6:$A$505,0)),IF($I1353="Công việc",INDEX('Kế hoạch'!$C$6:$C$305,$O1353),""))</f>
      </c>
      <c r="K1353" s="221">
        <f>IF($I1353="Phản ánh",INDEX('Phản ánh'!$K$6:$K$505,MATCH($C1353,'Phản ánh'!$A$6:$A$505,0))&amp;"",IF($I1353="Công việc",INDEX('Kế hoạch'!$N$6:$N$305,$O1353)&amp;"",""))</f>
      </c>
      <c r="L1353" s="220">
        <f>IF(OR($C1353="",N($B1353)=0),"",IF(AND($I1353="Phản ánh",$E1353="Đã xử lý"),INDEX('Phản ánh'!$U$6:$U$505,MATCH($C1353,'Phản ánh'!$A$6:$A$505,0)),IF(AND($I1353="Công việc",OR($E1353="Hoàn thành",$E1353="Hoàn thành kỳ")),IF(INDEX('Kế hoạch'!$B$6:$B$305,$O1353)="Đột xuất",INDEX('Kế hoạch'!$AY$6:$AY$305,$O1353),IF(N($P1353)=0,"",IF(INT($B1353)&lt;$P1353,$P1353,IF($Q1353&gt;0,$P1353+ROUND((INT($B1353)-$P1353)/$Q1353,0)*$Q1353,IF($R1353&gt;0,EDATE($P1353,ROUND((DATEDIF($P1353,INT($B1353),"m")+(INT($B1353)-EDATE($P1353,DATEDIF($P1353,INT($B1353),"m")))/(EDATE($P1353,DATEDIF($P1353,INT($B1353),"m")+1)-EDATE($P1353,DATEDIF($P1353,INT($B1353),"m"))))/$R1353,0)*$R1353),$P1353))))),"")))</f>
      </c>
      <c r="M1353" s="223">
        <f>IF(OR($C1353="",N($L1353)=0,N($B1353)=0),"",IF(IF(MOD($L1353,1)=0,INT($B1353),$B1353)&lt;=$L1353,"Đúng hạn","Trễ hạn"))</f>
      </c>
      <c r="N1353" s="225">
        <f>IF($C1353="","",ROW())</f>
      </c>
      <c r="O1353" s="225">
        <f>IF($I1353="Công việc",MATCH($C1353,'Kế hoạch'!$A$6:$A$305,0),"")</f>
      </c>
      <c r="P1353" s="234">
        <f>IF($O1353="","",INDEX('Kế hoạch'!$I$6:$I$305,$O1353))</f>
      </c>
      <c r="Q1353" s="225">
        <f>IF($O1353="","",INDEX('Kế hoạch'!$AJ$6:$AJ$305,$O1353))</f>
      </c>
      <c r="R1353" s="225">
        <f>IF($O1353="","",INDEX('Kế hoạch'!$AK$6:$AK$305,$O1353))</f>
      </c>
    </row>
    <row r="1354">
      <c r="A1354" s="223">
        <f>IF($C1354="","",COUNTIF($C$6:$C1354,"?*"))</f>
      </c>
      <c r="B1354" s="217"/>
      <c r="C1354" s="216"/>
      <c r="D1354" s="240"/>
      <c r="E1354" s="218"/>
      <c r="F1354" s="218"/>
      <c r="G1354" s="218"/>
      <c r="H1354" s="219"/>
      <c r="I1354" s="223">
        <f>IF($C1354="","",IF(ISNUMBER(MATCH($C1354,'Phản ánh'!$A$6:$A$505,0)),"Phản ánh",IF(ISNUMBER(MATCH($C1354,'Kế hoạch'!$A$6:$A$305,0)),"Công việc","Mã chưa có")))</f>
      </c>
      <c r="J1354" s="221">
        <f>IF($I1354="Phản ánh",INDEX('Phản ánh'!$C$6:$C$505,MATCH($C1354,'Phản ánh'!$A$6:$A$505,0)),IF($I1354="Công việc",INDEX('Kế hoạch'!$C$6:$C$305,$O1354),""))</f>
      </c>
      <c r="K1354" s="221">
        <f>IF($I1354="Phản ánh",INDEX('Phản ánh'!$K$6:$K$505,MATCH($C1354,'Phản ánh'!$A$6:$A$505,0))&amp;"",IF($I1354="Công việc",INDEX('Kế hoạch'!$N$6:$N$305,$O1354)&amp;"",""))</f>
      </c>
      <c r="L1354" s="220">
        <f>IF(OR($C1354="",N($B1354)=0),"",IF(AND($I1354="Phản ánh",$E1354="Đã xử lý"),INDEX('Phản ánh'!$U$6:$U$505,MATCH($C1354,'Phản ánh'!$A$6:$A$505,0)),IF(AND($I1354="Công việc",OR($E1354="Hoàn thành",$E1354="Hoàn thành kỳ")),IF(INDEX('Kế hoạch'!$B$6:$B$305,$O1354)="Đột xuất",INDEX('Kế hoạch'!$AY$6:$AY$305,$O1354),IF(N($P1354)=0,"",IF(INT($B1354)&lt;$P1354,$P1354,IF($Q1354&gt;0,$P1354+ROUND((INT($B1354)-$P1354)/$Q1354,0)*$Q1354,IF($R1354&gt;0,EDATE($P1354,ROUND((DATEDIF($P1354,INT($B1354),"m")+(INT($B1354)-EDATE($P1354,DATEDIF($P1354,INT($B1354),"m")))/(EDATE($P1354,DATEDIF($P1354,INT($B1354),"m")+1)-EDATE($P1354,DATEDIF($P1354,INT($B1354),"m"))))/$R1354,0)*$R1354),$P1354))))),"")))</f>
      </c>
      <c r="M1354" s="223">
        <f>IF(OR($C1354="",N($L1354)=0,N($B1354)=0),"",IF(IF(MOD($L1354,1)=0,INT($B1354),$B1354)&lt;=$L1354,"Đúng hạn","Trễ hạn"))</f>
      </c>
      <c r="N1354" s="225">
        <f>IF($C1354="","",ROW())</f>
      </c>
      <c r="O1354" s="225">
        <f>IF($I1354="Công việc",MATCH($C1354,'Kế hoạch'!$A$6:$A$305,0),"")</f>
      </c>
      <c r="P1354" s="234">
        <f>IF($O1354="","",INDEX('Kế hoạch'!$I$6:$I$305,$O1354))</f>
      </c>
      <c r="Q1354" s="225">
        <f>IF($O1354="","",INDEX('Kế hoạch'!$AJ$6:$AJ$305,$O1354))</f>
      </c>
      <c r="R1354" s="225">
        <f>IF($O1354="","",INDEX('Kế hoạch'!$AK$6:$AK$305,$O1354))</f>
      </c>
    </row>
    <row r="1355">
      <c r="A1355" s="223">
        <f>IF($C1355="","",COUNTIF($C$6:$C1355,"?*"))</f>
      </c>
      <c r="B1355" s="217"/>
      <c r="C1355" s="216"/>
      <c r="D1355" s="240"/>
      <c r="E1355" s="218"/>
      <c r="F1355" s="218"/>
      <c r="G1355" s="218"/>
      <c r="H1355" s="219"/>
      <c r="I1355" s="223">
        <f>IF($C1355="","",IF(ISNUMBER(MATCH($C1355,'Phản ánh'!$A$6:$A$505,0)),"Phản ánh",IF(ISNUMBER(MATCH($C1355,'Kế hoạch'!$A$6:$A$305,0)),"Công việc","Mã chưa có")))</f>
      </c>
      <c r="J1355" s="221">
        <f>IF($I1355="Phản ánh",INDEX('Phản ánh'!$C$6:$C$505,MATCH($C1355,'Phản ánh'!$A$6:$A$505,0)),IF($I1355="Công việc",INDEX('Kế hoạch'!$C$6:$C$305,$O1355),""))</f>
      </c>
      <c r="K1355" s="221">
        <f>IF($I1355="Phản ánh",INDEX('Phản ánh'!$K$6:$K$505,MATCH($C1355,'Phản ánh'!$A$6:$A$505,0))&amp;"",IF($I1355="Công việc",INDEX('Kế hoạch'!$N$6:$N$305,$O1355)&amp;"",""))</f>
      </c>
      <c r="L1355" s="220">
        <f>IF(OR($C1355="",N($B1355)=0),"",IF(AND($I1355="Phản ánh",$E1355="Đã xử lý"),INDEX('Phản ánh'!$U$6:$U$505,MATCH($C1355,'Phản ánh'!$A$6:$A$505,0)),IF(AND($I1355="Công việc",OR($E1355="Hoàn thành",$E1355="Hoàn thành kỳ")),IF(INDEX('Kế hoạch'!$B$6:$B$305,$O1355)="Đột xuất",INDEX('Kế hoạch'!$AY$6:$AY$305,$O1355),IF(N($P1355)=0,"",IF(INT($B1355)&lt;$P1355,$P1355,IF($Q1355&gt;0,$P1355+ROUND((INT($B1355)-$P1355)/$Q1355,0)*$Q1355,IF($R1355&gt;0,EDATE($P1355,ROUND((DATEDIF($P1355,INT($B1355),"m")+(INT($B1355)-EDATE($P1355,DATEDIF($P1355,INT($B1355),"m")))/(EDATE($P1355,DATEDIF($P1355,INT($B1355),"m")+1)-EDATE($P1355,DATEDIF($P1355,INT($B1355),"m"))))/$R1355,0)*$R1355),$P1355))))),"")))</f>
      </c>
      <c r="M1355" s="223">
        <f>IF(OR($C1355="",N($L1355)=0,N($B1355)=0),"",IF(IF(MOD($L1355,1)=0,INT($B1355),$B1355)&lt;=$L1355,"Đúng hạn","Trễ hạn"))</f>
      </c>
      <c r="N1355" s="225">
        <f>IF($C1355="","",ROW())</f>
      </c>
      <c r="O1355" s="225">
        <f>IF($I1355="Công việc",MATCH($C1355,'Kế hoạch'!$A$6:$A$305,0),"")</f>
      </c>
      <c r="P1355" s="234">
        <f>IF($O1355="","",INDEX('Kế hoạch'!$I$6:$I$305,$O1355))</f>
      </c>
      <c r="Q1355" s="225">
        <f>IF($O1355="","",INDEX('Kế hoạch'!$AJ$6:$AJ$305,$O1355))</f>
      </c>
      <c r="R1355" s="225">
        <f>IF($O1355="","",INDEX('Kế hoạch'!$AK$6:$AK$305,$O1355))</f>
      </c>
    </row>
    <row r="1356">
      <c r="A1356" s="223">
        <f>IF($C1356="","",COUNTIF($C$6:$C1356,"?*"))</f>
      </c>
      <c r="B1356" s="217"/>
      <c r="C1356" s="216"/>
      <c r="D1356" s="240"/>
      <c r="E1356" s="218"/>
      <c r="F1356" s="218"/>
      <c r="G1356" s="218"/>
      <c r="H1356" s="219"/>
      <c r="I1356" s="223">
        <f>IF($C1356="","",IF(ISNUMBER(MATCH($C1356,'Phản ánh'!$A$6:$A$505,0)),"Phản ánh",IF(ISNUMBER(MATCH($C1356,'Kế hoạch'!$A$6:$A$305,0)),"Công việc","Mã chưa có")))</f>
      </c>
      <c r="J1356" s="221">
        <f>IF($I1356="Phản ánh",INDEX('Phản ánh'!$C$6:$C$505,MATCH($C1356,'Phản ánh'!$A$6:$A$505,0)),IF($I1356="Công việc",INDEX('Kế hoạch'!$C$6:$C$305,$O1356),""))</f>
      </c>
      <c r="K1356" s="221">
        <f>IF($I1356="Phản ánh",INDEX('Phản ánh'!$K$6:$K$505,MATCH($C1356,'Phản ánh'!$A$6:$A$505,0))&amp;"",IF($I1356="Công việc",INDEX('Kế hoạch'!$N$6:$N$305,$O1356)&amp;"",""))</f>
      </c>
      <c r="L1356" s="220">
        <f>IF(OR($C1356="",N($B1356)=0),"",IF(AND($I1356="Phản ánh",$E1356="Đã xử lý"),INDEX('Phản ánh'!$U$6:$U$505,MATCH($C1356,'Phản ánh'!$A$6:$A$505,0)),IF(AND($I1356="Công việc",OR($E1356="Hoàn thành",$E1356="Hoàn thành kỳ")),IF(INDEX('Kế hoạch'!$B$6:$B$305,$O1356)="Đột xuất",INDEX('Kế hoạch'!$AY$6:$AY$305,$O1356),IF(N($P1356)=0,"",IF(INT($B1356)&lt;$P1356,$P1356,IF($Q1356&gt;0,$P1356+ROUND((INT($B1356)-$P1356)/$Q1356,0)*$Q1356,IF($R1356&gt;0,EDATE($P1356,ROUND((DATEDIF($P1356,INT($B1356),"m")+(INT($B1356)-EDATE($P1356,DATEDIF($P1356,INT($B1356),"m")))/(EDATE($P1356,DATEDIF($P1356,INT($B1356),"m")+1)-EDATE($P1356,DATEDIF($P1356,INT($B1356),"m"))))/$R1356,0)*$R1356),$P1356))))),"")))</f>
      </c>
      <c r="M1356" s="223">
        <f>IF(OR($C1356="",N($L1356)=0,N($B1356)=0),"",IF(IF(MOD($L1356,1)=0,INT($B1356),$B1356)&lt;=$L1356,"Đúng hạn","Trễ hạn"))</f>
      </c>
      <c r="N1356" s="225">
        <f>IF($C1356="","",ROW())</f>
      </c>
      <c r="O1356" s="225">
        <f>IF($I1356="Công việc",MATCH($C1356,'Kế hoạch'!$A$6:$A$305,0),"")</f>
      </c>
      <c r="P1356" s="234">
        <f>IF($O1356="","",INDEX('Kế hoạch'!$I$6:$I$305,$O1356))</f>
      </c>
      <c r="Q1356" s="225">
        <f>IF($O1356="","",INDEX('Kế hoạch'!$AJ$6:$AJ$305,$O1356))</f>
      </c>
      <c r="R1356" s="225">
        <f>IF($O1356="","",INDEX('Kế hoạch'!$AK$6:$AK$305,$O1356))</f>
      </c>
    </row>
    <row r="1357">
      <c r="A1357" s="223">
        <f>IF($C1357="","",COUNTIF($C$6:$C1357,"?*"))</f>
      </c>
      <c r="B1357" s="217"/>
      <c r="C1357" s="216"/>
      <c r="D1357" s="240"/>
      <c r="E1357" s="218"/>
      <c r="F1357" s="218"/>
      <c r="G1357" s="218"/>
      <c r="H1357" s="219"/>
      <c r="I1357" s="223">
        <f>IF($C1357="","",IF(ISNUMBER(MATCH($C1357,'Phản ánh'!$A$6:$A$505,0)),"Phản ánh",IF(ISNUMBER(MATCH($C1357,'Kế hoạch'!$A$6:$A$305,0)),"Công việc","Mã chưa có")))</f>
      </c>
      <c r="J1357" s="221">
        <f>IF($I1357="Phản ánh",INDEX('Phản ánh'!$C$6:$C$505,MATCH($C1357,'Phản ánh'!$A$6:$A$505,0)),IF($I1357="Công việc",INDEX('Kế hoạch'!$C$6:$C$305,$O1357),""))</f>
      </c>
      <c r="K1357" s="221">
        <f>IF($I1357="Phản ánh",INDEX('Phản ánh'!$K$6:$K$505,MATCH($C1357,'Phản ánh'!$A$6:$A$505,0))&amp;"",IF($I1357="Công việc",INDEX('Kế hoạch'!$N$6:$N$305,$O1357)&amp;"",""))</f>
      </c>
      <c r="L1357" s="220">
        <f>IF(OR($C1357="",N($B1357)=0),"",IF(AND($I1357="Phản ánh",$E1357="Đã xử lý"),INDEX('Phản ánh'!$U$6:$U$505,MATCH($C1357,'Phản ánh'!$A$6:$A$505,0)),IF(AND($I1357="Công việc",OR($E1357="Hoàn thành",$E1357="Hoàn thành kỳ")),IF(INDEX('Kế hoạch'!$B$6:$B$305,$O1357)="Đột xuất",INDEX('Kế hoạch'!$AY$6:$AY$305,$O1357),IF(N($P1357)=0,"",IF(INT($B1357)&lt;$P1357,$P1357,IF($Q1357&gt;0,$P1357+ROUND((INT($B1357)-$P1357)/$Q1357,0)*$Q1357,IF($R1357&gt;0,EDATE($P1357,ROUND((DATEDIF($P1357,INT($B1357),"m")+(INT($B1357)-EDATE($P1357,DATEDIF($P1357,INT($B1357),"m")))/(EDATE($P1357,DATEDIF($P1357,INT($B1357),"m")+1)-EDATE($P1357,DATEDIF($P1357,INT($B1357),"m"))))/$R1357,0)*$R1357),$P1357))))),"")))</f>
      </c>
      <c r="M1357" s="223">
        <f>IF(OR($C1357="",N($L1357)=0,N($B1357)=0),"",IF(IF(MOD($L1357,1)=0,INT($B1357),$B1357)&lt;=$L1357,"Đúng hạn","Trễ hạn"))</f>
      </c>
      <c r="N1357" s="225">
        <f>IF($C1357="","",ROW())</f>
      </c>
      <c r="O1357" s="225">
        <f>IF($I1357="Công việc",MATCH($C1357,'Kế hoạch'!$A$6:$A$305,0),"")</f>
      </c>
      <c r="P1357" s="234">
        <f>IF($O1357="","",INDEX('Kế hoạch'!$I$6:$I$305,$O1357))</f>
      </c>
      <c r="Q1357" s="225">
        <f>IF($O1357="","",INDEX('Kế hoạch'!$AJ$6:$AJ$305,$O1357))</f>
      </c>
      <c r="R1357" s="225">
        <f>IF($O1357="","",INDEX('Kế hoạch'!$AK$6:$AK$305,$O1357))</f>
      </c>
    </row>
    <row r="1358">
      <c r="A1358" s="223">
        <f>IF($C1358="","",COUNTIF($C$6:$C1358,"?*"))</f>
      </c>
      <c r="B1358" s="217"/>
      <c r="C1358" s="216"/>
      <c r="D1358" s="240"/>
      <c r="E1358" s="218"/>
      <c r="F1358" s="218"/>
      <c r="G1358" s="218"/>
      <c r="H1358" s="219"/>
      <c r="I1358" s="223">
        <f>IF($C1358="","",IF(ISNUMBER(MATCH($C1358,'Phản ánh'!$A$6:$A$505,0)),"Phản ánh",IF(ISNUMBER(MATCH($C1358,'Kế hoạch'!$A$6:$A$305,0)),"Công việc","Mã chưa có")))</f>
      </c>
      <c r="J1358" s="221">
        <f>IF($I1358="Phản ánh",INDEX('Phản ánh'!$C$6:$C$505,MATCH($C1358,'Phản ánh'!$A$6:$A$505,0)),IF($I1358="Công việc",INDEX('Kế hoạch'!$C$6:$C$305,$O1358),""))</f>
      </c>
      <c r="K1358" s="221">
        <f>IF($I1358="Phản ánh",INDEX('Phản ánh'!$K$6:$K$505,MATCH($C1358,'Phản ánh'!$A$6:$A$505,0))&amp;"",IF($I1358="Công việc",INDEX('Kế hoạch'!$N$6:$N$305,$O1358)&amp;"",""))</f>
      </c>
      <c r="L1358" s="220">
        <f>IF(OR($C1358="",N($B1358)=0),"",IF(AND($I1358="Phản ánh",$E1358="Đã xử lý"),INDEX('Phản ánh'!$U$6:$U$505,MATCH($C1358,'Phản ánh'!$A$6:$A$505,0)),IF(AND($I1358="Công việc",OR($E1358="Hoàn thành",$E1358="Hoàn thành kỳ")),IF(INDEX('Kế hoạch'!$B$6:$B$305,$O1358)="Đột xuất",INDEX('Kế hoạch'!$AY$6:$AY$305,$O1358),IF(N($P1358)=0,"",IF(INT($B1358)&lt;$P1358,$P1358,IF($Q1358&gt;0,$P1358+ROUND((INT($B1358)-$P1358)/$Q1358,0)*$Q1358,IF($R1358&gt;0,EDATE($P1358,ROUND((DATEDIF($P1358,INT($B1358),"m")+(INT($B1358)-EDATE($P1358,DATEDIF($P1358,INT($B1358),"m")))/(EDATE($P1358,DATEDIF($P1358,INT($B1358),"m")+1)-EDATE($P1358,DATEDIF($P1358,INT($B1358),"m"))))/$R1358,0)*$R1358),$P1358))))),"")))</f>
      </c>
      <c r="M1358" s="223">
        <f>IF(OR($C1358="",N($L1358)=0,N($B1358)=0),"",IF(IF(MOD($L1358,1)=0,INT($B1358),$B1358)&lt;=$L1358,"Đúng hạn","Trễ hạn"))</f>
      </c>
      <c r="N1358" s="225">
        <f>IF($C1358="","",ROW())</f>
      </c>
      <c r="O1358" s="225">
        <f>IF($I1358="Công việc",MATCH($C1358,'Kế hoạch'!$A$6:$A$305,0),"")</f>
      </c>
      <c r="P1358" s="234">
        <f>IF($O1358="","",INDEX('Kế hoạch'!$I$6:$I$305,$O1358))</f>
      </c>
      <c r="Q1358" s="225">
        <f>IF($O1358="","",INDEX('Kế hoạch'!$AJ$6:$AJ$305,$O1358))</f>
      </c>
      <c r="R1358" s="225">
        <f>IF($O1358="","",INDEX('Kế hoạch'!$AK$6:$AK$305,$O1358))</f>
      </c>
    </row>
    <row r="1359">
      <c r="A1359" s="223">
        <f>IF($C1359="","",COUNTIF($C$6:$C1359,"?*"))</f>
      </c>
      <c r="B1359" s="217"/>
      <c r="C1359" s="216"/>
      <c r="D1359" s="240"/>
      <c r="E1359" s="218"/>
      <c r="F1359" s="218"/>
      <c r="G1359" s="218"/>
      <c r="H1359" s="219"/>
      <c r="I1359" s="223">
        <f>IF($C1359="","",IF(ISNUMBER(MATCH($C1359,'Phản ánh'!$A$6:$A$505,0)),"Phản ánh",IF(ISNUMBER(MATCH($C1359,'Kế hoạch'!$A$6:$A$305,0)),"Công việc","Mã chưa có")))</f>
      </c>
      <c r="J1359" s="221">
        <f>IF($I1359="Phản ánh",INDEX('Phản ánh'!$C$6:$C$505,MATCH($C1359,'Phản ánh'!$A$6:$A$505,0)),IF($I1359="Công việc",INDEX('Kế hoạch'!$C$6:$C$305,$O1359),""))</f>
      </c>
      <c r="K1359" s="221">
        <f>IF($I1359="Phản ánh",INDEX('Phản ánh'!$K$6:$K$505,MATCH($C1359,'Phản ánh'!$A$6:$A$505,0))&amp;"",IF($I1359="Công việc",INDEX('Kế hoạch'!$N$6:$N$305,$O1359)&amp;"",""))</f>
      </c>
      <c r="L1359" s="220">
        <f>IF(OR($C1359="",N($B1359)=0),"",IF(AND($I1359="Phản ánh",$E1359="Đã xử lý"),INDEX('Phản ánh'!$U$6:$U$505,MATCH($C1359,'Phản ánh'!$A$6:$A$505,0)),IF(AND($I1359="Công việc",OR($E1359="Hoàn thành",$E1359="Hoàn thành kỳ")),IF(INDEX('Kế hoạch'!$B$6:$B$305,$O1359)="Đột xuất",INDEX('Kế hoạch'!$AY$6:$AY$305,$O1359),IF(N($P1359)=0,"",IF(INT($B1359)&lt;$P1359,$P1359,IF($Q1359&gt;0,$P1359+ROUND((INT($B1359)-$P1359)/$Q1359,0)*$Q1359,IF($R1359&gt;0,EDATE($P1359,ROUND((DATEDIF($P1359,INT($B1359),"m")+(INT($B1359)-EDATE($P1359,DATEDIF($P1359,INT($B1359),"m")))/(EDATE($P1359,DATEDIF($P1359,INT($B1359),"m")+1)-EDATE($P1359,DATEDIF($P1359,INT($B1359),"m"))))/$R1359,0)*$R1359),$P1359))))),"")))</f>
      </c>
      <c r="M1359" s="223">
        <f>IF(OR($C1359="",N($L1359)=0,N($B1359)=0),"",IF(IF(MOD($L1359,1)=0,INT($B1359),$B1359)&lt;=$L1359,"Đúng hạn","Trễ hạn"))</f>
      </c>
      <c r="N1359" s="225">
        <f>IF($C1359="","",ROW())</f>
      </c>
      <c r="O1359" s="225">
        <f>IF($I1359="Công việc",MATCH($C1359,'Kế hoạch'!$A$6:$A$305,0),"")</f>
      </c>
      <c r="P1359" s="234">
        <f>IF($O1359="","",INDEX('Kế hoạch'!$I$6:$I$305,$O1359))</f>
      </c>
      <c r="Q1359" s="225">
        <f>IF($O1359="","",INDEX('Kế hoạch'!$AJ$6:$AJ$305,$O1359))</f>
      </c>
      <c r="R1359" s="225">
        <f>IF($O1359="","",INDEX('Kế hoạch'!$AK$6:$AK$305,$O1359))</f>
      </c>
    </row>
    <row r="1360">
      <c r="A1360" s="223">
        <f>IF($C1360="","",COUNTIF($C$6:$C1360,"?*"))</f>
      </c>
      <c r="B1360" s="217"/>
      <c r="C1360" s="216"/>
      <c r="D1360" s="240"/>
      <c r="E1360" s="218"/>
      <c r="F1360" s="218"/>
      <c r="G1360" s="218"/>
      <c r="H1360" s="219"/>
      <c r="I1360" s="223">
        <f>IF($C1360="","",IF(ISNUMBER(MATCH($C1360,'Phản ánh'!$A$6:$A$505,0)),"Phản ánh",IF(ISNUMBER(MATCH($C1360,'Kế hoạch'!$A$6:$A$305,0)),"Công việc","Mã chưa có")))</f>
      </c>
      <c r="J1360" s="221">
        <f>IF($I1360="Phản ánh",INDEX('Phản ánh'!$C$6:$C$505,MATCH($C1360,'Phản ánh'!$A$6:$A$505,0)),IF($I1360="Công việc",INDEX('Kế hoạch'!$C$6:$C$305,$O1360),""))</f>
      </c>
      <c r="K1360" s="221">
        <f>IF($I1360="Phản ánh",INDEX('Phản ánh'!$K$6:$K$505,MATCH($C1360,'Phản ánh'!$A$6:$A$505,0))&amp;"",IF($I1360="Công việc",INDEX('Kế hoạch'!$N$6:$N$305,$O1360)&amp;"",""))</f>
      </c>
      <c r="L1360" s="220">
        <f>IF(OR($C1360="",N($B1360)=0),"",IF(AND($I1360="Phản ánh",$E1360="Đã xử lý"),INDEX('Phản ánh'!$U$6:$U$505,MATCH($C1360,'Phản ánh'!$A$6:$A$505,0)),IF(AND($I1360="Công việc",OR($E1360="Hoàn thành",$E1360="Hoàn thành kỳ")),IF(INDEX('Kế hoạch'!$B$6:$B$305,$O1360)="Đột xuất",INDEX('Kế hoạch'!$AY$6:$AY$305,$O1360),IF(N($P1360)=0,"",IF(INT($B1360)&lt;$P1360,$P1360,IF($Q1360&gt;0,$P1360+ROUND((INT($B1360)-$P1360)/$Q1360,0)*$Q1360,IF($R1360&gt;0,EDATE($P1360,ROUND((DATEDIF($P1360,INT($B1360),"m")+(INT($B1360)-EDATE($P1360,DATEDIF($P1360,INT($B1360),"m")))/(EDATE($P1360,DATEDIF($P1360,INT($B1360),"m")+1)-EDATE($P1360,DATEDIF($P1360,INT($B1360),"m"))))/$R1360,0)*$R1360),$P1360))))),"")))</f>
      </c>
      <c r="M1360" s="223">
        <f>IF(OR($C1360="",N($L1360)=0,N($B1360)=0),"",IF(IF(MOD($L1360,1)=0,INT($B1360),$B1360)&lt;=$L1360,"Đúng hạn","Trễ hạn"))</f>
      </c>
      <c r="N1360" s="225">
        <f>IF($C1360="","",ROW())</f>
      </c>
      <c r="O1360" s="225">
        <f>IF($I1360="Công việc",MATCH($C1360,'Kế hoạch'!$A$6:$A$305,0),"")</f>
      </c>
      <c r="P1360" s="234">
        <f>IF($O1360="","",INDEX('Kế hoạch'!$I$6:$I$305,$O1360))</f>
      </c>
      <c r="Q1360" s="225">
        <f>IF($O1360="","",INDEX('Kế hoạch'!$AJ$6:$AJ$305,$O1360))</f>
      </c>
      <c r="R1360" s="225">
        <f>IF($O1360="","",INDEX('Kế hoạch'!$AK$6:$AK$305,$O1360))</f>
      </c>
    </row>
    <row r="1361">
      <c r="A1361" s="223">
        <f>IF($C1361="","",COUNTIF($C$6:$C1361,"?*"))</f>
      </c>
      <c r="B1361" s="217"/>
      <c r="C1361" s="216"/>
      <c r="D1361" s="240"/>
      <c r="E1361" s="218"/>
      <c r="F1361" s="218"/>
      <c r="G1361" s="218"/>
      <c r="H1361" s="219"/>
      <c r="I1361" s="223">
        <f>IF($C1361="","",IF(ISNUMBER(MATCH($C1361,'Phản ánh'!$A$6:$A$505,0)),"Phản ánh",IF(ISNUMBER(MATCH($C1361,'Kế hoạch'!$A$6:$A$305,0)),"Công việc","Mã chưa có")))</f>
      </c>
      <c r="J1361" s="221">
        <f>IF($I1361="Phản ánh",INDEX('Phản ánh'!$C$6:$C$505,MATCH($C1361,'Phản ánh'!$A$6:$A$505,0)),IF($I1361="Công việc",INDEX('Kế hoạch'!$C$6:$C$305,$O1361),""))</f>
      </c>
      <c r="K1361" s="221">
        <f>IF($I1361="Phản ánh",INDEX('Phản ánh'!$K$6:$K$505,MATCH($C1361,'Phản ánh'!$A$6:$A$505,0))&amp;"",IF($I1361="Công việc",INDEX('Kế hoạch'!$N$6:$N$305,$O1361)&amp;"",""))</f>
      </c>
      <c r="L1361" s="220">
        <f>IF(OR($C1361="",N($B1361)=0),"",IF(AND($I1361="Phản ánh",$E1361="Đã xử lý"),INDEX('Phản ánh'!$U$6:$U$505,MATCH($C1361,'Phản ánh'!$A$6:$A$505,0)),IF(AND($I1361="Công việc",OR($E1361="Hoàn thành",$E1361="Hoàn thành kỳ")),IF(INDEX('Kế hoạch'!$B$6:$B$305,$O1361)="Đột xuất",INDEX('Kế hoạch'!$AY$6:$AY$305,$O1361),IF(N($P1361)=0,"",IF(INT($B1361)&lt;$P1361,$P1361,IF($Q1361&gt;0,$P1361+ROUND((INT($B1361)-$P1361)/$Q1361,0)*$Q1361,IF($R1361&gt;0,EDATE($P1361,ROUND((DATEDIF($P1361,INT($B1361),"m")+(INT($B1361)-EDATE($P1361,DATEDIF($P1361,INT($B1361),"m")))/(EDATE($P1361,DATEDIF($P1361,INT($B1361),"m")+1)-EDATE($P1361,DATEDIF($P1361,INT($B1361),"m"))))/$R1361,0)*$R1361),$P1361))))),"")))</f>
      </c>
      <c r="M1361" s="223">
        <f>IF(OR($C1361="",N($L1361)=0,N($B1361)=0),"",IF(IF(MOD($L1361,1)=0,INT($B1361),$B1361)&lt;=$L1361,"Đúng hạn","Trễ hạn"))</f>
      </c>
      <c r="N1361" s="225">
        <f>IF($C1361="","",ROW())</f>
      </c>
      <c r="O1361" s="225">
        <f>IF($I1361="Công việc",MATCH($C1361,'Kế hoạch'!$A$6:$A$305,0),"")</f>
      </c>
      <c r="P1361" s="234">
        <f>IF($O1361="","",INDEX('Kế hoạch'!$I$6:$I$305,$O1361))</f>
      </c>
      <c r="Q1361" s="225">
        <f>IF($O1361="","",INDEX('Kế hoạch'!$AJ$6:$AJ$305,$O1361))</f>
      </c>
      <c r="R1361" s="225">
        <f>IF($O1361="","",INDEX('Kế hoạch'!$AK$6:$AK$305,$O1361))</f>
      </c>
    </row>
    <row r="1362">
      <c r="A1362" s="223">
        <f>IF($C1362="","",COUNTIF($C$6:$C1362,"?*"))</f>
      </c>
      <c r="B1362" s="217"/>
      <c r="C1362" s="216"/>
      <c r="D1362" s="240"/>
      <c r="E1362" s="218"/>
      <c r="F1362" s="218"/>
      <c r="G1362" s="218"/>
      <c r="H1362" s="219"/>
      <c r="I1362" s="223">
        <f>IF($C1362="","",IF(ISNUMBER(MATCH($C1362,'Phản ánh'!$A$6:$A$505,0)),"Phản ánh",IF(ISNUMBER(MATCH($C1362,'Kế hoạch'!$A$6:$A$305,0)),"Công việc","Mã chưa có")))</f>
      </c>
      <c r="J1362" s="221">
        <f>IF($I1362="Phản ánh",INDEX('Phản ánh'!$C$6:$C$505,MATCH($C1362,'Phản ánh'!$A$6:$A$505,0)),IF($I1362="Công việc",INDEX('Kế hoạch'!$C$6:$C$305,$O1362),""))</f>
      </c>
      <c r="K1362" s="221">
        <f>IF($I1362="Phản ánh",INDEX('Phản ánh'!$K$6:$K$505,MATCH($C1362,'Phản ánh'!$A$6:$A$505,0))&amp;"",IF($I1362="Công việc",INDEX('Kế hoạch'!$N$6:$N$305,$O1362)&amp;"",""))</f>
      </c>
      <c r="L1362" s="220">
        <f>IF(OR($C1362="",N($B1362)=0),"",IF(AND($I1362="Phản ánh",$E1362="Đã xử lý"),INDEX('Phản ánh'!$U$6:$U$505,MATCH($C1362,'Phản ánh'!$A$6:$A$505,0)),IF(AND($I1362="Công việc",OR($E1362="Hoàn thành",$E1362="Hoàn thành kỳ")),IF(INDEX('Kế hoạch'!$B$6:$B$305,$O1362)="Đột xuất",INDEX('Kế hoạch'!$AY$6:$AY$305,$O1362),IF(N($P1362)=0,"",IF(INT($B1362)&lt;$P1362,$P1362,IF($Q1362&gt;0,$P1362+ROUND((INT($B1362)-$P1362)/$Q1362,0)*$Q1362,IF($R1362&gt;0,EDATE($P1362,ROUND((DATEDIF($P1362,INT($B1362),"m")+(INT($B1362)-EDATE($P1362,DATEDIF($P1362,INT($B1362),"m")))/(EDATE($P1362,DATEDIF($P1362,INT($B1362),"m")+1)-EDATE($P1362,DATEDIF($P1362,INT($B1362),"m"))))/$R1362,0)*$R1362),$P1362))))),"")))</f>
      </c>
      <c r="M1362" s="223">
        <f>IF(OR($C1362="",N($L1362)=0,N($B1362)=0),"",IF(IF(MOD($L1362,1)=0,INT($B1362),$B1362)&lt;=$L1362,"Đúng hạn","Trễ hạn"))</f>
      </c>
      <c r="N1362" s="225">
        <f>IF($C1362="","",ROW())</f>
      </c>
      <c r="O1362" s="225">
        <f>IF($I1362="Công việc",MATCH($C1362,'Kế hoạch'!$A$6:$A$305,0),"")</f>
      </c>
      <c r="P1362" s="234">
        <f>IF($O1362="","",INDEX('Kế hoạch'!$I$6:$I$305,$O1362))</f>
      </c>
      <c r="Q1362" s="225">
        <f>IF($O1362="","",INDEX('Kế hoạch'!$AJ$6:$AJ$305,$O1362))</f>
      </c>
      <c r="R1362" s="225">
        <f>IF($O1362="","",INDEX('Kế hoạch'!$AK$6:$AK$305,$O1362))</f>
      </c>
    </row>
    <row r="1363">
      <c r="A1363" s="223">
        <f>IF($C1363="","",COUNTIF($C$6:$C1363,"?*"))</f>
      </c>
      <c r="B1363" s="217"/>
      <c r="C1363" s="216"/>
      <c r="D1363" s="240"/>
      <c r="E1363" s="218"/>
      <c r="F1363" s="218"/>
      <c r="G1363" s="218"/>
      <c r="H1363" s="219"/>
      <c r="I1363" s="223">
        <f>IF($C1363="","",IF(ISNUMBER(MATCH($C1363,'Phản ánh'!$A$6:$A$505,0)),"Phản ánh",IF(ISNUMBER(MATCH($C1363,'Kế hoạch'!$A$6:$A$305,0)),"Công việc","Mã chưa có")))</f>
      </c>
      <c r="J1363" s="221">
        <f>IF($I1363="Phản ánh",INDEX('Phản ánh'!$C$6:$C$505,MATCH($C1363,'Phản ánh'!$A$6:$A$505,0)),IF($I1363="Công việc",INDEX('Kế hoạch'!$C$6:$C$305,$O1363),""))</f>
      </c>
      <c r="K1363" s="221">
        <f>IF($I1363="Phản ánh",INDEX('Phản ánh'!$K$6:$K$505,MATCH($C1363,'Phản ánh'!$A$6:$A$505,0))&amp;"",IF($I1363="Công việc",INDEX('Kế hoạch'!$N$6:$N$305,$O1363)&amp;"",""))</f>
      </c>
      <c r="L1363" s="220">
        <f>IF(OR($C1363="",N($B1363)=0),"",IF(AND($I1363="Phản ánh",$E1363="Đã xử lý"),INDEX('Phản ánh'!$U$6:$U$505,MATCH($C1363,'Phản ánh'!$A$6:$A$505,0)),IF(AND($I1363="Công việc",OR($E1363="Hoàn thành",$E1363="Hoàn thành kỳ")),IF(INDEX('Kế hoạch'!$B$6:$B$305,$O1363)="Đột xuất",INDEX('Kế hoạch'!$AY$6:$AY$305,$O1363),IF(N($P1363)=0,"",IF(INT($B1363)&lt;$P1363,$P1363,IF($Q1363&gt;0,$P1363+ROUND((INT($B1363)-$P1363)/$Q1363,0)*$Q1363,IF($R1363&gt;0,EDATE($P1363,ROUND((DATEDIF($P1363,INT($B1363),"m")+(INT($B1363)-EDATE($P1363,DATEDIF($P1363,INT($B1363),"m")))/(EDATE($P1363,DATEDIF($P1363,INT($B1363),"m")+1)-EDATE($P1363,DATEDIF($P1363,INT($B1363),"m"))))/$R1363,0)*$R1363),$P1363))))),"")))</f>
      </c>
      <c r="M1363" s="223">
        <f>IF(OR($C1363="",N($L1363)=0,N($B1363)=0),"",IF(IF(MOD($L1363,1)=0,INT($B1363),$B1363)&lt;=$L1363,"Đúng hạn","Trễ hạn"))</f>
      </c>
      <c r="N1363" s="225">
        <f>IF($C1363="","",ROW())</f>
      </c>
      <c r="O1363" s="225">
        <f>IF($I1363="Công việc",MATCH($C1363,'Kế hoạch'!$A$6:$A$305,0),"")</f>
      </c>
      <c r="P1363" s="234">
        <f>IF($O1363="","",INDEX('Kế hoạch'!$I$6:$I$305,$O1363))</f>
      </c>
      <c r="Q1363" s="225">
        <f>IF($O1363="","",INDEX('Kế hoạch'!$AJ$6:$AJ$305,$O1363))</f>
      </c>
      <c r="R1363" s="225">
        <f>IF($O1363="","",INDEX('Kế hoạch'!$AK$6:$AK$305,$O1363))</f>
      </c>
    </row>
    <row r="1364">
      <c r="A1364" s="223">
        <f>IF($C1364="","",COUNTIF($C$6:$C1364,"?*"))</f>
      </c>
      <c r="B1364" s="217"/>
      <c r="C1364" s="216"/>
      <c r="D1364" s="240"/>
      <c r="E1364" s="218"/>
      <c r="F1364" s="218"/>
      <c r="G1364" s="218"/>
      <c r="H1364" s="219"/>
      <c r="I1364" s="223">
        <f>IF($C1364="","",IF(ISNUMBER(MATCH($C1364,'Phản ánh'!$A$6:$A$505,0)),"Phản ánh",IF(ISNUMBER(MATCH($C1364,'Kế hoạch'!$A$6:$A$305,0)),"Công việc","Mã chưa có")))</f>
      </c>
      <c r="J1364" s="221">
        <f>IF($I1364="Phản ánh",INDEX('Phản ánh'!$C$6:$C$505,MATCH($C1364,'Phản ánh'!$A$6:$A$505,0)),IF($I1364="Công việc",INDEX('Kế hoạch'!$C$6:$C$305,$O1364),""))</f>
      </c>
      <c r="K1364" s="221">
        <f>IF($I1364="Phản ánh",INDEX('Phản ánh'!$K$6:$K$505,MATCH($C1364,'Phản ánh'!$A$6:$A$505,0))&amp;"",IF($I1364="Công việc",INDEX('Kế hoạch'!$N$6:$N$305,$O1364)&amp;"",""))</f>
      </c>
      <c r="L1364" s="220">
        <f>IF(OR($C1364="",N($B1364)=0),"",IF(AND($I1364="Phản ánh",$E1364="Đã xử lý"),INDEX('Phản ánh'!$U$6:$U$505,MATCH($C1364,'Phản ánh'!$A$6:$A$505,0)),IF(AND($I1364="Công việc",OR($E1364="Hoàn thành",$E1364="Hoàn thành kỳ")),IF(INDEX('Kế hoạch'!$B$6:$B$305,$O1364)="Đột xuất",INDEX('Kế hoạch'!$AY$6:$AY$305,$O1364),IF(N($P1364)=0,"",IF(INT($B1364)&lt;$P1364,$P1364,IF($Q1364&gt;0,$P1364+ROUND((INT($B1364)-$P1364)/$Q1364,0)*$Q1364,IF($R1364&gt;0,EDATE($P1364,ROUND((DATEDIF($P1364,INT($B1364),"m")+(INT($B1364)-EDATE($P1364,DATEDIF($P1364,INT($B1364),"m")))/(EDATE($P1364,DATEDIF($P1364,INT($B1364),"m")+1)-EDATE($P1364,DATEDIF($P1364,INT($B1364),"m"))))/$R1364,0)*$R1364),$P1364))))),"")))</f>
      </c>
      <c r="M1364" s="223">
        <f>IF(OR($C1364="",N($L1364)=0,N($B1364)=0),"",IF(IF(MOD($L1364,1)=0,INT($B1364),$B1364)&lt;=$L1364,"Đúng hạn","Trễ hạn"))</f>
      </c>
      <c r="N1364" s="225">
        <f>IF($C1364="","",ROW())</f>
      </c>
      <c r="O1364" s="225">
        <f>IF($I1364="Công việc",MATCH($C1364,'Kế hoạch'!$A$6:$A$305,0),"")</f>
      </c>
      <c r="P1364" s="234">
        <f>IF($O1364="","",INDEX('Kế hoạch'!$I$6:$I$305,$O1364))</f>
      </c>
      <c r="Q1364" s="225">
        <f>IF($O1364="","",INDEX('Kế hoạch'!$AJ$6:$AJ$305,$O1364))</f>
      </c>
      <c r="R1364" s="225">
        <f>IF($O1364="","",INDEX('Kế hoạch'!$AK$6:$AK$305,$O1364))</f>
      </c>
    </row>
    <row r="1365">
      <c r="A1365" s="223">
        <f>IF($C1365="","",COUNTIF($C$6:$C1365,"?*"))</f>
      </c>
      <c r="B1365" s="217"/>
      <c r="C1365" s="216"/>
      <c r="D1365" s="240"/>
      <c r="E1365" s="218"/>
      <c r="F1365" s="218"/>
      <c r="G1365" s="218"/>
      <c r="H1365" s="219"/>
      <c r="I1365" s="223">
        <f>IF($C1365="","",IF(ISNUMBER(MATCH($C1365,'Phản ánh'!$A$6:$A$505,0)),"Phản ánh",IF(ISNUMBER(MATCH($C1365,'Kế hoạch'!$A$6:$A$305,0)),"Công việc","Mã chưa có")))</f>
      </c>
      <c r="J1365" s="221">
        <f>IF($I1365="Phản ánh",INDEX('Phản ánh'!$C$6:$C$505,MATCH($C1365,'Phản ánh'!$A$6:$A$505,0)),IF($I1365="Công việc",INDEX('Kế hoạch'!$C$6:$C$305,$O1365),""))</f>
      </c>
      <c r="K1365" s="221">
        <f>IF($I1365="Phản ánh",INDEX('Phản ánh'!$K$6:$K$505,MATCH($C1365,'Phản ánh'!$A$6:$A$505,0))&amp;"",IF($I1365="Công việc",INDEX('Kế hoạch'!$N$6:$N$305,$O1365)&amp;"",""))</f>
      </c>
      <c r="L1365" s="220">
        <f>IF(OR($C1365="",N($B1365)=0),"",IF(AND($I1365="Phản ánh",$E1365="Đã xử lý"),INDEX('Phản ánh'!$U$6:$U$505,MATCH($C1365,'Phản ánh'!$A$6:$A$505,0)),IF(AND($I1365="Công việc",OR($E1365="Hoàn thành",$E1365="Hoàn thành kỳ")),IF(INDEX('Kế hoạch'!$B$6:$B$305,$O1365)="Đột xuất",INDEX('Kế hoạch'!$AY$6:$AY$305,$O1365),IF(N($P1365)=0,"",IF(INT($B1365)&lt;$P1365,$P1365,IF($Q1365&gt;0,$P1365+ROUND((INT($B1365)-$P1365)/$Q1365,0)*$Q1365,IF($R1365&gt;0,EDATE($P1365,ROUND((DATEDIF($P1365,INT($B1365),"m")+(INT($B1365)-EDATE($P1365,DATEDIF($P1365,INT($B1365),"m")))/(EDATE($P1365,DATEDIF($P1365,INT($B1365),"m")+1)-EDATE($P1365,DATEDIF($P1365,INT($B1365),"m"))))/$R1365,0)*$R1365),$P1365))))),"")))</f>
      </c>
      <c r="M1365" s="223">
        <f>IF(OR($C1365="",N($L1365)=0,N($B1365)=0),"",IF(IF(MOD($L1365,1)=0,INT($B1365),$B1365)&lt;=$L1365,"Đúng hạn","Trễ hạn"))</f>
      </c>
      <c r="N1365" s="225">
        <f>IF($C1365="","",ROW())</f>
      </c>
      <c r="O1365" s="225">
        <f>IF($I1365="Công việc",MATCH($C1365,'Kế hoạch'!$A$6:$A$305,0),"")</f>
      </c>
      <c r="P1365" s="234">
        <f>IF($O1365="","",INDEX('Kế hoạch'!$I$6:$I$305,$O1365))</f>
      </c>
      <c r="Q1365" s="225">
        <f>IF($O1365="","",INDEX('Kế hoạch'!$AJ$6:$AJ$305,$O1365))</f>
      </c>
      <c r="R1365" s="225">
        <f>IF($O1365="","",INDEX('Kế hoạch'!$AK$6:$AK$305,$O1365))</f>
      </c>
    </row>
    <row r="1366">
      <c r="A1366" s="223">
        <f>IF($C1366="","",COUNTIF($C$6:$C1366,"?*"))</f>
      </c>
      <c r="B1366" s="217"/>
      <c r="C1366" s="216"/>
      <c r="D1366" s="240"/>
      <c r="E1366" s="218"/>
      <c r="F1366" s="218"/>
      <c r="G1366" s="218"/>
      <c r="H1366" s="219"/>
      <c r="I1366" s="223">
        <f>IF($C1366="","",IF(ISNUMBER(MATCH($C1366,'Phản ánh'!$A$6:$A$505,0)),"Phản ánh",IF(ISNUMBER(MATCH($C1366,'Kế hoạch'!$A$6:$A$305,0)),"Công việc","Mã chưa có")))</f>
      </c>
      <c r="J1366" s="221">
        <f>IF($I1366="Phản ánh",INDEX('Phản ánh'!$C$6:$C$505,MATCH($C1366,'Phản ánh'!$A$6:$A$505,0)),IF($I1366="Công việc",INDEX('Kế hoạch'!$C$6:$C$305,$O1366),""))</f>
      </c>
      <c r="K1366" s="221">
        <f>IF($I1366="Phản ánh",INDEX('Phản ánh'!$K$6:$K$505,MATCH($C1366,'Phản ánh'!$A$6:$A$505,0))&amp;"",IF($I1366="Công việc",INDEX('Kế hoạch'!$N$6:$N$305,$O1366)&amp;"",""))</f>
      </c>
      <c r="L1366" s="220">
        <f>IF(OR($C1366="",N($B1366)=0),"",IF(AND($I1366="Phản ánh",$E1366="Đã xử lý"),INDEX('Phản ánh'!$U$6:$U$505,MATCH($C1366,'Phản ánh'!$A$6:$A$505,0)),IF(AND($I1366="Công việc",OR($E1366="Hoàn thành",$E1366="Hoàn thành kỳ")),IF(INDEX('Kế hoạch'!$B$6:$B$305,$O1366)="Đột xuất",INDEX('Kế hoạch'!$AY$6:$AY$305,$O1366),IF(N($P1366)=0,"",IF(INT($B1366)&lt;$P1366,$P1366,IF($Q1366&gt;0,$P1366+ROUND((INT($B1366)-$P1366)/$Q1366,0)*$Q1366,IF($R1366&gt;0,EDATE($P1366,ROUND((DATEDIF($P1366,INT($B1366),"m")+(INT($B1366)-EDATE($P1366,DATEDIF($P1366,INT($B1366),"m")))/(EDATE($P1366,DATEDIF($P1366,INT($B1366),"m")+1)-EDATE($P1366,DATEDIF($P1366,INT($B1366),"m"))))/$R1366,0)*$R1366),$P1366))))),"")))</f>
      </c>
      <c r="M1366" s="223">
        <f>IF(OR($C1366="",N($L1366)=0,N($B1366)=0),"",IF(IF(MOD($L1366,1)=0,INT($B1366),$B1366)&lt;=$L1366,"Đúng hạn","Trễ hạn"))</f>
      </c>
      <c r="N1366" s="225">
        <f>IF($C1366="","",ROW())</f>
      </c>
      <c r="O1366" s="225">
        <f>IF($I1366="Công việc",MATCH($C1366,'Kế hoạch'!$A$6:$A$305,0),"")</f>
      </c>
      <c r="P1366" s="234">
        <f>IF($O1366="","",INDEX('Kế hoạch'!$I$6:$I$305,$O1366))</f>
      </c>
      <c r="Q1366" s="225">
        <f>IF($O1366="","",INDEX('Kế hoạch'!$AJ$6:$AJ$305,$O1366))</f>
      </c>
      <c r="R1366" s="225">
        <f>IF($O1366="","",INDEX('Kế hoạch'!$AK$6:$AK$305,$O1366))</f>
      </c>
    </row>
    <row r="1367">
      <c r="A1367" s="223">
        <f>IF($C1367="","",COUNTIF($C$6:$C1367,"?*"))</f>
      </c>
      <c r="B1367" s="217"/>
      <c r="C1367" s="216"/>
      <c r="D1367" s="240"/>
      <c r="E1367" s="218"/>
      <c r="F1367" s="218"/>
      <c r="G1367" s="218"/>
      <c r="H1367" s="219"/>
      <c r="I1367" s="223">
        <f>IF($C1367="","",IF(ISNUMBER(MATCH($C1367,'Phản ánh'!$A$6:$A$505,0)),"Phản ánh",IF(ISNUMBER(MATCH($C1367,'Kế hoạch'!$A$6:$A$305,0)),"Công việc","Mã chưa có")))</f>
      </c>
      <c r="J1367" s="221">
        <f>IF($I1367="Phản ánh",INDEX('Phản ánh'!$C$6:$C$505,MATCH($C1367,'Phản ánh'!$A$6:$A$505,0)),IF($I1367="Công việc",INDEX('Kế hoạch'!$C$6:$C$305,$O1367),""))</f>
      </c>
      <c r="K1367" s="221">
        <f>IF($I1367="Phản ánh",INDEX('Phản ánh'!$K$6:$K$505,MATCH($C1367,'Phản ánh'!$A$6:$A$505,0))&amp;"",IF($I1367="Công việc",INDEX('Kế hoạch'!$N$6:$N$305,$O1367)&amp;"",""))</f>
      </c>
      <c r="L1367" s="220">
        <f>IF(OR($C1367="",N($B1367)=0),"",IF(AND($I1367="Phản ánh",$E1367="Đã xử lý"),INDEX('Phản ánh'!$U$6:$U$505,MATCH($C1367,'Phản ánh'!$A$6:$A$505,0)),IF(AND($I1367="Công việc",OR($E1367="Hoàn thành",$E1367="Hoàn thành kỳ")),IF(INDEX('Kế hoạch'!$B$6:$B$305,$O1367)="Đột xuất",INDEX('Kế hoạch'!$AY$6:$AY$305,$O1367),IF(N($P1367)=0,"",IF(INT($B1367)&lt;$P1367,$P1367,IF($Q1367&gt;0,$P1367+ROUND((INT($B1367)-$P1367)/$Q1367,0)*$Q1367,IF($R1367&gt;0,EDATE($P1367,ROUND((DATEDIF($P1367,INT($B1367),"m")+(INT($B1367)-EDATE($P1367,DATEDIF($P1367,INT($B1367),"m")))/(EDATE($P1367,DATEDIF($P1367,INT($B1367),"m")+1)-EDATE($P1367,DATEDIF($P1367,INT($B1367),"m"))))/$R1367,0)*$R1367),$P1367))))),"")))</f>
      </c>
      <c r="M1367" s="223">
        <f>IF(OR($C1367="",N($L1367)=0,N($B1367)=0),"",IF(IF(MOD($L1367,1)=0,INT($B1367),$B1367)&lt;=$L1367,"Đúng hạn","Trễ hạn"))</f>
      </c>
      <c r="N1367" s="225">
        <f>IF($C1367="","",ROW())</f>
      </c>
      <c r="O1367" s="225">
        <f>IF($I1367="Công việc",MATCH($C1367,'Kế hoạch'!$A$6:$A$305,0),"")</f>
      </c>
      <c r="P1367" s="234">
        <f>IF($O1367="","",INDEX('Kế hoạch'!$I$6:$I$305,$O1367))</f>
      </c>
      <c r="Q1367" s="225">
        <f>IF($O1367="","",INDEX('Kế hoạch'!$AJ$6:$AJ$305,$O1367))</f>
      </c>
      <c r="R1367" s="225">
        <f>IF($O1367="","",INDEX('Kế hoạch'!$AK$6:$AK$305,$O1367))</f>
      </c>
    </row>
    <row r="1368">
      <c r="A1368" s="223">
        <f>IF($C1368="","",COUNTIF($C$6:$C1368,"?*"))</f>
      </c>
      <c r="B1368" s="217"/>
      <c r="C1368" s="216"/>
      <c r="D1368" s="240"/>
      <c r="E1368" s="218"/>
      <c r="F1368" s="218"/>
      <c r="G1368" s="218"/>
      <c r="H1368" s="219"/>
      <c r="I1368" s="223">
        <f>IF($C1368="","",IF(ISNUMBER(MATCH($C1368,'Phản ánh'!$A$6:$A$505,0)),"Phản ánh",IF(ISNUMBER(MATCH($C1368,'Kế hoạch'!$A$6:$A$305,0)),"Công việc","Mã chưa có")))</f>
      </c>
      <c r="J1368" s="221">
        <f>IF($I1368="Phản ánh",INDEX('Phản ánh'!$C$6:$C$505,MATCH($C1368,'Phản ánh'!$A$6:$A$505,0)),IF($I1368="Công việc",INDEX('Kế hoạch'!$C$6:$C$305,$O1368),""))</f>
      </c>
      <c r="K1368" s="221">
        <f>IF($I1368="Phản ánh",INDEX('Phản ánh'!$K$6:$K$505,MATCH($C1368,'Phản ánh'!$A$6:$A$505,0))&amp;"",IF($I1368="Công việc",INDEX('Kế hoạch'!$N$6:$N$305,$O1368)&amp;"",""))</f>
      </c>
      <c r="L1368" s="220">
        <f>IF(OR($C1368="",N($B1368)=0),"",IF(AND($I1368="Phản ánh",$E1368="Đã xử lý"),INDEX('Phản ánh'!$U$6:$U$505,MATCH($C1368,'Phản ánh'!$A$6:$A$505,0)),IF(AND($I1368="Công việc",OR($E1368="Hoàn thành",$E1368="Hoàn thành kỳ")),IF(INDEX('Kế hoạch'!$B$6:$B$305,$O1368)="Đột xuất",INDEX('Kế hoạch'!$AY$6:$AY$305,$O1368),IF(N($P1368)=0,"",IF(INT($B1368)&lt;$P1368,$P1368,IF($Q1368&gt;0,$P1368+ROUND((INT($B1368)-$P1368)/$Q1368,0)*$Q1368,IF($R1368&gt;0,EDATE($P1368,ROUND((DATEDIF($P1368,INT($B1368),"m")+(INT($B1368)-EDATE($P1368,DATEDIF($P1368,INT($B1368),"m")))/(EDATE($P1368,DATEDIF($P1368,INT($B1368),"m")+1)-EDATE($P1368,DATEDIF($P1368,INT($B1368),"m"))))/$R1368,0)*$R1368),$P1368))))),"")))</f>
      </c>
      <c r="M1368" s="223">
        <f>IF(OR($C1368="",N($L1368)=0,N($B1368)=0),"",IF(IF(MOD($L1368,1)=0,INT($B1368),$B1368)&lt;=$L1368,"Đúng hạn","Trễ hạn"))</f>
      </c>
      <c r="N1368" s="225">
        <f>IF($C1368="","",ROW())</f>
      </c>
      <c r="O1368" s="225">
        <f>IF($I1368="Công việc",MATCH($C1368,'Kế hoạch'!$A$6:$A$305,0),"")</f>
      </c>
      <c r="P1368" s="234">
        <f>IF($O1368="","",INDEX('Kế hoạch'!$I$6:$I$305,$O1368))</f>
      </c>
      <c r="Q1368" s="225">
        <f>IF($O1368="","",INDEX('Kế hoạch'!$AJ$6:$AJ$305,$O1368))</f>
      </c>
      <c r="R1368" s="225">
        <f>IF($O1368="","",INDEX('Kế hoạch'!$AK$6:$AK$305,$O1368))</f>
      </c>
    </row>
    <row r="1369">
      <c r="A1369" s="223">
        <f>IF($C1369="","",COUNTIF($C$6:$C1369,"?*"))</f>
      </c>
      <c r="B1369" s="217"/>
      <c r="C1369" s="216"/>
      <c r="D1369" s="240"/>
      <c r="E1369" s="218"/>
      <c r="F1369" s="218"/>
      <c r="G1369" s="218"/>
      <c r="H1369" s="219"/>
      <c r="I1369" s="223">
        <f>IF($C1369="","",IF(ISNUMBER(MATCH($C1369,'Phản ánh'!$A$6:$A$505,0)),"Phản ánh",IF(ISNUMBER(MATCH($C1369,'Kế hoạch'!$A$6:$A$305,0)),"Công việc","Mã chưa có")))</f>
      </c>
      <c r="J1369" s="221">
        <f>IF($I1369="Phản ánh",INDEX('Phản ánh'!$C$6:$C$505,MATCH($C1369,'Phản ánh'!$A$6:$A$505,0)),IF($I1369="Công việc",INDEX('Kế hoạch'!$C$6:$C$305,$O1369),""))</f>
      </c>
      <c r="K1369" s="221">
        <f>IF($I1369="Phản ánh",INDEX('Phản ánh'!$K$6:$K$505,MATCH($C1369,'Phản ánh'!$A$6:$A$505,0))&amp;"",IF($I1369="Công việc",INDEX('Kế hoạch'!$N$6:$N$305,$O1369)&amp;"",""))</f>
      </c>
      <c r="L1369" s="220">
        <f>IF(OR($C1369="",N($B1369)=0),"",IF(AND($I1369="Phản ánh",$E1369="Đã xử lý"),INDEX('Phản ánh'!$U$6:$U$505,MATCH($C1369,'Phản ánh'!$A$6:$A$505,0)),IF(AND($I1369="Công việc",OR($E1369="Hoàn thành",$E1369="Hoàn thành kỳ")),IF(INDEX('Kế hoạch'!$B$6:$B$305,$O1369)="Đột xuất",INDEX('Kế hoạch'!$AY$6:$AY$305,$O1369),IF(N($P1369)=0,"",IF(INT($B1369)&lt;$P1369,$P1369,IF($Q1369&gt;0,$P1369+ROUND((INT($B1369)-$P1369)/$Q1369,0)*$Q1369,IF($R1369&gt;0,EDATE($P1369,ROUND((DATEDIF($P1369,INT($B1369),"m")+(INT($B1369)-EDATE($P1369,DATEDIF($P1369,INT($B1369),"m")))/(EDATE($P1369,DATEDIF($P1369,INT($B1369),"m")+1)-EDATE($P1369,DATEDIF($P1369,INT($B1369),"m"))))/$R1369,0)*$R1369),$P1369))))),"")))</f>
      </c>
      <c r="M1369" s="223">
        <f>IF(OR($C1369="",N($L1369)=0,N($B1369)=0),"",IF(IF(MOD($L1369,1)=0,INT($B1369),$B1369)&lt;=$L1369,"Đúng hạn","Trễ hạn"))</f>
      </c>
      <c r="N1369" s="225">
        <f>IF($C1369="","",ROW())</f>
      </c>
      <c r="O1369" s="225">
        <f>IF($I1369="Công việc",MATCH($C1369,'Kế hoạch'!$A$6:$A$305,0),"")</f>
      </c>
      <c r="P1369" s="234">
        <f>IF($O1369="","",INDEX('Kế hoạch'!$I$6:$I$305,$O1369))</f>
      </c>
      <c r="Q1369" s="225">
        <f>IF($O1369="","",INDEX('Kế hoạch'!$AJ$6:$AJ$305,$O1369))</f>
      </c>
      <c r="R1369" s="225">
        <f>IF($O1369="","",INDEX('Kế hoạch'!$AK$6:$AK$305,$O1369))</f>
      </c>
    </row>
    <row r="1370">
      <c r="A1370" s="223">
        <f>IF($C1370="","",COUNTIF($C$6:$C1370,"?*"))</f>
      </c>
      <c r="B1370" s="217"/>
      <c r="C1370" s="216"/>
      <c r="D1370" s="240"/>
      <c r="E1370" s="218"/>
      <c r="F1370" s="218"/>
      <c r="G1370" s="218"/>
      <c r="H1370" s="219"/>
      <c r="I1370" s="223">
        <f>IF($C1370="","",IF(ISNUMBER(MATCH($C1370,'Phản ánh'!$A$6:$A$505,0)),"Phản ánh",IF(ISNUMBER(MATCH($C1370,'Kế hoạch'!$A$6:$A$305,0)),"Công việc","Mã chưa có")))</f>
      </c>
      <c r="J1370" s="221">
        <f>IF($I1370="Phản ánh",INDEX('Phản ánh'!$C$6:$C$505,MATCH($C1370,'Phản ánh'!$A$6:$A$505,0)),IF($I1370="Công việc",INDEX('Kế hoạch'!$C$6:$C$305,$O1370),""))</f>
      </c>
      <c r="K1370" s="221">
        <f>IF($I1370="Phản ánh",INDEX('Phản ánh'!$K$6:$K$505,MATCH($C1370,'Phản ánh'!$A$6:$A$505,0))&amp;"",IF($I1370="Công việc",INDEX('Kế hoạch'!$N$6:$N$305,$O1370)&amp;"",""))</f>
      </c>
      <c r="L1370" s="220">
        <f>IF(OR($C1370="",N($B1370)=0),"",IF(AND($I1370="Phản ánh",$E1370="Đã xử lý"),INDEX('Phản ánh'!$U$6:$U$505,MATCH($C1370,'Phản ánh'!$A$6:$A$505,0)),IF(AND($I1370="Công việc",OR($E1370="Hoàn thành",$E1370="Hoàn thành kỳ")),IF(INDEX('Kế hoạch'!$B$6:$B$305,$O1370)="Đột xuất",INDEX('Kế hoạch'!$AY$6:$AY$305,$O1370),IF(N($P1370)=0,"",IF(INT($B1370)&lt;$P1370,$P1370,IF($Q1370&gt;0,$P1370+ROUND((INT($B1370)-$P1370)/$Q1370,0)*$Q1370,IF($R1370&gt;0,EDATE($P1370,ROUND((DATEDIF($P1370,INT($B1370),"m")+(INT($B1370)-EDATE($P1370,DATEDIF($P1370,INT($B1370),"m")))/(EDATE($P1370,DATEDIF($P1370,INT($B1370),"m")+1)-EDATE($P1370,DATEDIF($P1370,INT($B1370),"m"))))/$R1370,0)*$R1370),$P1370))))),"")))</f>
      </c>
      <c r="M1370" s="223">
        <f>IF(OR($C1370="",N($L1370)=0,N($B1370)=0),"",IF(IF(MOD($L1370,1)=0,INT($B1370),$B1370)&lt;=$L1370,"Đúng hạn","Trễ hạn"))</f>
      </c>
      <c r="N1370" s="225">
        <f>IF($C1370="","",ROW())</f>
      </c>
      <c r="O1370" s="225">
        <f>IF($I1370="Công việc",MATCH($C1370,'Kế hoạch'!$A$6:$A$305,0),"")</f>
      </c>
      <c r="P1370" s="234">
        <f>IF($O1370="","",INDEX('Kế hoạch'!$I$6:$I$305,$O1370))</f>
      </c>
      <c r="Q1370" s="225">
        <f>IF($O1370="","",INDEX('Kế hoạch'!$AJ$6:$AJ$305,$O1370))</f>
      </c>
      <c r="R1370" s="225">
        <f>IF($O1370="","",INDEX('Kế hoạch'!$AK$6:$AK$305,$O1370))</f>
      </c>
    </row>
    <row r="1371">
      <c r="A1371" s="223">
        <f>IF($C1371="","",COUNTIF($C$6:$C1371,"?*"))</f>
      </c>
      <c r="B1371" s="217"/>
      <c r="C1371" s="216"/>
      <c r="D1371" s="240"/>
      <c r="E1371" s="218"/>
      <c r="F1371" s="218"/>
      <c r="G1371" s="218"/>
      <c r="H1371" s="219"/>
      <c r="I1371" s="223">
        <f>IF($C1371="","",IF(ISNUMBER(MATCH($C1371,'Phản ánh'!$A$6:$A$505,0)),"Phản ánh",IF(ISNUMBER(MATCH($C1371,'Kế hoạch'!$A$6:$A$305,0)),"Công việc","Mã chưa có")))</f>
      </c>
      <c r="J1371" s="221">
        <f>IF($I1371="Phản ánh",INDEX('Phản ánh'!$C$6:$C$505,MATCH($C1371,'Phản ánh'!$A$6:$A$505,0)),IF($I1371="Công việc",INDEX('Kế hoạch'!$C$6:$C$305,$O1371),""))</f>
      </c>
      <c r="K1371" s="221">
        <f>IF($I1371="Phản ánh",INDEX('Phản ánh'!$K$6:$K$505,MATCH($C1371,'Phản ánh'!$A$6:$A$505,0))&amp;"",IF($I1371="Công việc",INDEX('Kế hoạch'!$N$6:$N$305,$O1371)&amp;"",""))</f>
      </c>
      <c r="L1371" s="220">
        <f>IF(OR($C1371="",N($B1371)=0),"",IF(AND($I1371="Phản ánh",$E1371="Đã xử lý"),INDEX('Phản ánh'!$U$6:$U$505,MATCH($C1371,'Phản ánh'!$A$6:$A$505,0)),IF(AND($I1371="Công việc",OR($E1371="Hoàn thành",$E1371="Hoàn thành kỳ")),IF(INDEX('Kế hoạch'!$B$6:$B$305,$O1371)="Đột xuất",INDEX('Kế hoạch'!$AY$6:$AY$305,$O1371),IF(N($P1371)=0,"",IF(INT($B1371)&lt;$P1371,$P1371,IF($Q1371&gt;0,$P1371+ROUND((INT($B1371)-$P1371)/$Q1371,0)*$Q1371,IF($R1371&gt;0,EDATE($P1371,ROUND((DATEDIF($P1371,INT($B1371),"m")+(INT($B1371)-EDATE($P1371,DATEDIF($P1371,INT($B1371),"m")))/(EDATE($P1371,DATEDIF($P1371,INT($B1371),"m")+1)-EDATE($P1371,DATEDIF($P1371,INT($B1371),"m"))))/$R1371,0)*$R1371),$P1371))))),"")))</f>
      </c>
      <c r="M1371" s="223">
        <f>IF(OR($C1371="",N($L1371)=0,N($B1371)=0),"",IF(IF(MOD($L1371,1)=0,INT($B1371),$B1371)&lt;=$L1371,"Đúng hạn","Trễ hạn"))</f>
      </c>
      <c r="N1371" s="225">
        <f>IF($C1371="","",ROW())</f>
      </c>
      <c r="O1371" s="225">
        <f>IF($I1371="Công việc",MATCH($C1371,'Kế hoạch'!$A$6:$A$305,0),"")</f>
      </c>
      <c r="P1371" s="234">
        <f>IF($O1371="","",INDEX('Kế hoạch'!$I$6:$I$305,$O1371))</f>
      </c>
      <c r="Q1371" s="225">
        <f>IF($O1371="","",INDEX('Kế hoạch'!$AJ$6:$AJ$305,$O1371))</f>
      </c>
      <c r="R1371" s="225">
        <f>IF($O1371="","",INDEX('Kế hoạch'!$AK$6:$AK$305,$O1371))</f>
      </c>
    </row>
    <row r="1372">
      <c r="A1372" s="223">
        <f>IF($C1372="","",COUNTIF($C$6:$C1372,"?*"))</f>
      </c>
      <c r="B1372" s="217"/>
      <c r="C1372" s="216"/>
      <c r="D1372" s="240"/>
      <c r="E1372" s="218"/>
      <c r="F1372" s="218"/>
      <c r="G1372" s="218"/>
      <c r="H1372" s="219"/>
      <c r="I1372" s="223">
        <f>IF($C1372="","",IF(ISNUMBER(MATCH($C1372,'Phản ánh'!$A$6:$A$505,0)),"Phản ánh",IF(ISNUMBER(MATCH($C1372,'Kế hoạch'!$A$6:$A$305,0)),"Công việc","Mã chưa có")))</f>
      </c>
      <c r="J1372" s="221">
        <f>IF($I1372="Phản ánh",INDEX('Phản ánh'!$C$6:$C$505,MATCH($C1372,'Phản ánh'!$A$6:$A$505,0)),IF($I1372="Công việc",INDEX('Kế hoạch'!$C$6:$C$305,$O1372),""))</f>
      </c>
      <c r="K1372" s="221">
        <f>IF($I1372="Phản ánh",INDEX('Phản ánh'!$K$6:$K$505,MATCH($C1372,'Phản ánh'!$A$6:$A$505,0))&amp;"",IF($I1372="Công việc",INDEX('Kế hoạch'!$N$6:$N$305,$O1372)&amp;"",""))</f>
      </c>
      <c r="L1372" s="220">
        <f>IF(OR($C1372="",N($B1372)=0),"",IF(AND($I1372="Phản ánh",$E1372="Đã xử lý"),INDEX('Phản ánh'!$U$6:$U$505,MATCH($C1372,'Phản ánh'!$A$6:$A$505,0)),IF(AND($I1372="Công việc",OR($E1372="Hoàn thành",$E1372="Hoàn thành kỳ")),IF(INDEX('Kế hoạch'!$B$6:$B$305,$O1372)="Đột xuất",INDEX('Kế hoạch'!$AY$6:$AY$305,$O1372),IF(N($P1372)=0,"",IF(INT($B1372)&lt;$P1372,$P1372,IF($Q1372&gt;0,$P1372+ROUND((INT($B1372)-$P1372)/$Q1372,0)*$Q1372,IF($R1372&gt;0,EDATE($P1372,ROUND((DATEDIF($P1372,INT($B1372),"m")+(INT($B1372)-EDATE($P1372,DATEDIF($P1372,INT($B1372),"m")))/(EDATE($P1372,DATEDIF($P1372,INT($B1372),"m")+1)-EDATE($P1372,DATEDIF($P1372,INT($B1372),"m"))))/$R1372,0)*$R1372),$P1372))))),"")))</f>
      </c>
      <c r="M1372" s="223">
        <f>IF(OR($C1372="",N($L1372)=0,N($B1372)=0),"",IF(IF(MOD($L1372,1)=0,INT($B1372),$B1372)&lt;=$L1372,"Đúng hạn","Trễ hạn"))</f>
      </c>
      <c r="N1372" s="225">
        <f>IF($C1372="","",ROW())</f>
      </c>
      <c r="O1372" s="225">
        <f>IF($I1372="Công việc",MATCH($C1372,'Kế hoạch'!$A$6:$A$305,0),"")</f>
      </c>
      <c r="P1372" s="234">
        <f>IF($O1372="","",INDEX('Kế hoạch'!$I$6:$I$305,$O1372))</f>
      </c>
      <c r="Q1372" s="225">
        <f>IF($O1372="","",INDEX('Kế hoạch'!$AJ$6:$AJ$305,$O1372))</f>
      </c>
      <c r="R1372" s="225">
        <f>IF($O1372="","",INDEX('Kế hoạch'!$AK$6:$AK$305,$O1372))</f>
      </c>
    </row>
    <row r="1373">
      <c r="A1373" s="223">
        <f>IF($C1373="","",COUNTIF($C$6:$C1373,"?*"))</f>
      </c>
      <c r="B1373" s="217"/>
      <c r="C1373" s="216"/>
      <c r="D1373" s="240"/>
      <c r="E1373" s="218"/>
      <c r="F1373" s="218"/>
      <c r="G1373" s="218"/>
      <c r="H1373" s="219"/>
      <c r="I1373" s="223">
        <f>IF($C1373="","",IF(ISNUMBER(MATCH($C1373,'Phản ánh'!$A$6:$A$505,0)),"Phản ánh",IF(ISNUMBER(MATCH($C1373,'Kế hoạch'!$A$6:$A$305,0)),"Công việc","Mã chưa có")))</f>
      </c>
      <c r="J1373" s="221">
        <f>IF($I1373="Phản ánh",INDEX('Phản ánh'!$C$6:$C$505,MATCH($C1373,'Phản ánh'!$A$6:$A$505,0)),IF($I1373="Công việc",INDEX('Kế hoạch'!$C$6:$C$305,$O1373),""))</f>
      </c>
      <c r="K1373" s="221">
        <f>IF($I1373="Phản ánh",INDEX('Phản ánh'!$K$6:$K$505,MATCH($C1373,'Phản ánh'!$A$6:$A$505,0))&amp;"",IF($I1373="Công việc",INDEX('Kế hoạch'!$N$6:$N$305,$O1373)&amp;"",""))</f>
      </c>
      <c r="L1373" s="220">
        <f>IF(OR($C1373="",N($B1373)=0),"",IF(AND($I1373="Phản ánh",$E1373="Đã xử lý"),INDEX('Phản ánh'!$U$6:$U$505,MATCH($C1373,'Phản ánh'!$A$6:$A$505,0)),IF(AND($I1373="Công việc",OR($E1373="Hoàn thành",$E1373="Hoàn thành kỳ")),IF(INDEX('Kế hoạch'!$B$6:$B$305,$O1373)="Đột xuất",INDEX('Kế hoạch'!$AY$6:$AY$305,$O1373),IF(N($P1373)=0,"",IF(INT($B1373)&lt;$P1373,$P1373,IF($Q1373&gt;0,$P1373+ROUND((INT($B1373)-$P1373)/$Q1373,0)*$Q1373,IF($R1373&gt;0,EDATE($P1373,ROUND((DATEDIF($P1373,INT($B1373),"m")+(INT($B1373)-EDATE($P1373,DATEDIF($P1373,INT($B1373),"m")))/(EDATE($P1373,DATEDIF($P1373,INT($B1373),"m")+1)-EDATE($P1373,DATEDIF($P1373,INT($B1373),"m"))))/$R1373,0)*$R1373),$P1373))))),"")))</f>
      </c>
      <c r="M1373" s="223">
        <f>IF(OR($C1373="",N($L1373)=0,N($B1373)=0),"",IF(IF(MOD($L1373,1)=0,INT($B1373),$B1373)&lt;=$L1373,"Đúng hạn","Trễ hạn"))</f>
      </c>
      <c r="N1373" s="225">
        <f>IF($C1373="","",ROW())</f>
      </c>
      <c r="O1373" s="225">
        <f>IF($I1373="Công việc",MATCH($C1373,'Kế hoạch'!$A$6:$A$305,0),"")</f>
      </c>
      <c r="P1373" s="234">
        <f>IF($O1373="","",INDEX('Kế hoạch'!$I$6:$I$305,$O1373))</f>
      </c>
      <c r="Q1373" s="225">
        <f>IF($O1373="","",INDEX('Kế hoạch'!$AJ$6:$AJ$305,$O1373))</f>
      </c>
      <c r="R1373" s="225">
        <f>IF($O1373="","",INDEX('Kế hoạch'!$AK$6:$AK$305,$O1373))</f>
      </c>
    </row>
    <row r="1374">
      <c r="A1374" s="223">
        <f>IF($C1374="","",COUNTIF($C$6:$C1374,"?*"))</f>
      </c>
      <c r="B1374" s="217"/>
      <c r="C1374" s="216"/>
      <c r="D1374" s="240"/>
      <c r="E1374" s="218"/>
      <c r="F1374" s="218"/>
      <c r="G1374" s="218"/>
      <c r="H1374" s="219"/>
      <c r="I1374" s="223">
        <f>IF($C1374="","",IF(ISNUMBER(MATCH($C1374,'Phản ánh'!$A$6:$A$505,0)),"Phản ánh",IF(ISNUMBER(MATCH($C1374,'Kế hoạch'!$A$6:$A$305,0)),"Công việc","Mã chưa có")))</f>
      </c>
      <c r="J1374" s="221">
        <f>IF($I1374="Phản ánh",INDEX('Phản ánh'!$C$6:$C$505,MATCH($C1374,'Phản ánh'!$A$6:$A$505,0)),IF($I1374="Công việc",INDEX('Kế hoạch'!$C$6:$C$305,$O1374),""))</f>
      </c>
      <c r="K1374" s="221">
        <f>IF($I1374="Phản ánh",INDEX('Phản ánh'!$K$6:$K$505,MATCH($C1374,'Phản ánh'!$A$6:$A$505,0))&amp;"",IF($I1374="Công việc",INDEX('Kế hoạch'!$N$6:$N$305,$O1374)&amp;"",""))</f>
      </c>
      <c r="L1374" s="220">
        <f>IF(OR($C1374="",N($B1374)=0),"",IF(AND($I1374="Phản ánh",$E1374="Đã xử lý"),INDEX('Phản ánh'!$U$6:$U$505,MATCH($C1374,'Phản ánh'!$A$6:$A$505,0)),IF(AND($I1374="Công việc",OR($E1374="Hoàn thành",$E1374="Hoàn thành kỳ")),IF(INDEX('Kế hoạch'!$B$6:$B$305,$O1374)="Đột xuất",INDEX('Kế hoạch'!$AY$6:$AY$305,$O1374),IF(N($P1374)=0,"",IF(INT($B1374)&lt;$P1374,$P1374,IF($Q1374&gt;0,$P1374+ROUND((INT($B1374)-$P1374)/$Q1374,0)*$Q1374,IF($R1374&gt;0,EDATE($P1374,ROUND((DATEDIF($P1374,INT($B1374),"m")+(INT($B1374)-EDATE($P1374,DATEDIF($P1374,INT($B1374),"m")))/(EDATE($P1374,DATEDIF($P1374,INT($B1374),"m")+1)-EDATE($P1374,DATEDIF($P1374,INT($B1374),"m"))))/$R1374,0)*$R1374),$P1374))))),"")))</f>
      </c>
      <c r="M1374" s="223">
        <f>IF(OR($C1374="",N($L1374)=0,N($B1374)=0),"",IF(IF(MOD($L1374,1)=0,INT($B1374),$B1374)&lt;=$L1374,"Đúng hạn","Trễ hạn"))</f>
      </c>
      <c r="N1374" s="225">
        <f>IF($C1374="","",ROW())</f>
      </c>
      <c r="O1374" s="225">
        <f>IF($I1374="Công việc",MATCH($C1374,'Kế hoạch'!$A$6:$A$305,0),"")</f>
      </c>
      <c r="P1374" s="234">
        <f>IF($O1374="","",INDEX('Kế hoạch'!$I$6:$I$305,$O1374))</f>
      </c>
      <c r="Q1374" s="225">
        <f>IF($O1374="","",INDEX('Kế hoạch'!$AJ$6:$AJ$305,$O1374))</f>
      </c>
      <c r="R1374" s="225">
        <f>IF($O1374="","",INDEX('Kế hoạch'!$AK$6:$AK$305,$O1374))</f>
      </c>
    </row>
    <row r="1375">
      <c r="A1375" s="223">
        <f>IF($C1375="","",COUNTIF($C$6:$C1375,"?*"))</f>
      </c>
      <c r="B1375" s="217"/>
      <c r="C1375" s="216"/>
      <c r="D1375" s="240"/>
      <c r="E1375" s="218"/>
      <c r="F1375" s="218"/>
      <c r="G1375" s="218"/>
      <c r="H1375" s="219"/>
      <c r="I1375" s="223">
        <f>IF($C1375="","",IF(ISNUMBER(MATCH($C1375,'Phản ánh'!$A$6:$A$505,0)),"Phản ánh",IF(ISNUMBER(MATCH($C1375,'Kế hoạch'!$A$6:$A$305,0)),"Công việc","Mã chưa có")))</f>
      </c>
      <c r="J1375" s="221">
        <f>IF($I1375="Phản ánh",INDEX('Phản ánh'!$C$6:$C$505,MATCH($C1375,'Phản ánh'!$A$6:$A$505,0)),IF($I1375="Công việc",INDEX('Kế hoạch'!$C$6:$C$305,$O1375),""))</f>
      </c>
      <c r="K1375" s="221">
        <f>IF($I1375="Phản ánh",INDEX('Phản ánh'!$K$6:$K$505,MATCH($C1375,'Phản ánh'!$A$6:$A$505,0))&amp;"",IF($I1375="Công việc",INDEX('Kế hoạch'!$N$6:$N$305,$O1375)&amp;"",""))</f>
      </c>
      <c r="L1375" s="220">
        <f>IF(OR($C1375="",N($B1375)=0),"",IF(AND($I1375="Phản ánh",$E1375="Đã xử lý"),INDEX('Phản ánh'!$U$6:$U$505,MATCH($C1375,'Phản ánh'!$A$6:$A$505,0)),IF(AND($I1375="Công việc",OR($E1375="Hoàn thành",$E1375="Hoàn thành kỳ")),IF(INDEX('Kế hoạch'!$B$6:$B$305,$O1375)="Đột xuất",INDEX('Kế hoạch'!$AY$6:$AY$305,$O1375),IF(N($P1375)=0,"",IF(INT($B1375)&lt;$P1375,$P1375,IF($Q1375&gt;0,$P1375+ROUND((INT($B1375)-$P1375)/$Q1375,0)*$Q1375,IF($R1375&gt;0,EDATE($P1375,ROUND((DATEDIF($P1375,INT($B1375),"m")+(INT($B1375)-EDATE($P1375,DATEDIF($P1375,INT($B1375),"m")))/(EDATE($P1375,DATEDIF($P1375,INT($B1375),"m")+1)-EDATE($P1375,DATEDIF($P1375,INT($B1375),"m"))))/$R1375,0)*$R1375),$P1375))))),"")))</f>
      </c>
      <c r="M1375" s="223">
        <f>IF(OR($C1375="",N($L1375)=0,N($B1375)=0),"",IF(IF(MOD($L1375,1)=0,INT($B1375),$B1375)&lt;=$L1375,"Đúng hạn","Trễ hạn"))</f>
      </c>
      <c r="N1375" s="225">
        <f>IF($C1375="","",ROW())</f>
      </c>
      <c r="O1375" s="225">
        <f>IF($I1375="Công việc",MATCH($C1375,'Kế hoạch'!$A$6:$A$305,0),"")</f>
      </c>
      <c r="P1375" s="234">
        <f>IF($O1375="","",INDEX('Kế hoạch'!$I$6:$I$305,$O1375))</f>
      </c>
      <c r="Q1375" s="225">
        <f>IF($O1375="","",INDEX('Kế hoạch'!$AJ$6:$AJ$305,$O1375))</f>
      </c>
      <c r="R1375" s="225">
        <f>IF($O1375="","",INDEX('Kế hoạch'!$AK$6:$AK$305,$O1375))</f>
      </c>
    </row>
    <row r="1376">
      <c r="A1376" s="223">
        <f>IF($C1376="","",COUNTIF($C$6:$C1376,"?*"))</f>
      </c>
      <c r="B1376" s="217"/>
      <c r="C1376" s="216"/>
      <c r="D1376" s="240"/>
      <c r="E1376" s="218"/>
      <c r="F1376" s="218"/>
      <c r="G1376" s="218"/>
      <c r="H1376" s="219"/>
      <c r="I1376" s="223">
        <f>IF($C1376="","",IF(ISNUMBER(MATCH($C1376,'Phản ánh'!$A$6:$A$505,0)),"Phản ánh",IF(ISNUMBER(MATCH($C1376,'Kế hoạch'!$A$6:$A$305,0)),"Công việc","Mã chưa có")))</f>
      </c>
      <c r="J1376" s="221">
        <f>IF($I1376="Phản ánh",INDEX('Phản ánh'!$C$6:$C$505,MATCH($C1376,'Phản ánh'!$A$6:$A$505,0)),IF($I1376="Công việc",INDEX('Kế hoạch'!$C$6:$C$305,$O1376),""))</f>
      </c>
      <c r="K1376" s="221">
        <f>IF($I1376="Phản ánh",INDEX('Phản ánh'!$K$6:$K$505,MATCH($C1376,'Phản ánh'!$A$6:$A$505,0))&amp;"",IF($I1376="Công việc",INDEX('Kế hoạch'!$N$6:$N$305,$O1376)&amp;"",""))</f>
      </c>
      <c r="L1376" s="220">
        <f>IF(OR($C1376="",N($B1376)=0),"",IF(AND($I1376="Phản ánh",$E1376="Đã xử lý"),INDEX('Phản ánh'!$U$6:$U$505,MATCH($C1376,'Phản ánh'!$A$6:$A$505,0)),IF(AND($I1376="Công việc",OR($E1376="Hoàn thành",$E1376="Hoàn thành kỳ")),IF(INDEX('Kế hoạch'!$B$6:$B$305,$O1376)="Đột xuất",INDEX('Kế hoạch'!$AY$6:$AY$305,$O1376),IF(N($P1376)=0,"",IF(INT($B1376)&lt;$P1376,$P1376,IF($Q1376&gt;0,$P1376+ROUND((INT($B1376)-$P1376)/$Q1376,0)*$Q1376,IF($R1376&gt;0,EDATE($P1376,ROUND((DATEDIF($P1376,INT($B1376),"m")+(INT($B1376)-EDATE($P1376,DATEDIF($P1376,INT($B1376),"m")))/(EDATE($P1376,DATEDIF($P1376,INT($B1376),"m")+1)-EDATE($P1376,DATEDIF($P1376,INT($B1376),"m"))))/$R1376,0)*$R1376),$P1376))))),"")))</f>
      </c>
      <c r="M1376" s="223">
        <f>IF(OR($C1376="",N($L1376)=0,N($B1376)=0),"",IF(IF(MOD($L1376,1)=0,INT($B1376),$B1376)&lt;=$L1376,"Đúng hạn","Trễ hạn"))</f>
      </c>
      <c r="N1376" s="225">
        <f>IF($C1376="","",ROW())</f>
      </c>
      <c r="O1376" s="225">
        <f>IF($I1376="Công việc",MATCH($C1376,'Kế hoạch'!$A$6:$A$305,0),"")</f>
      </c>
      <c r="P1376" s="234">
        <f>IF($O1376="","",INDEX('Kế hoạch'!$I$6:$I$305,$O1376))</f>
      </c>
      <c r="Q1376" s="225">
        <f>IF($O1376="","",INDEX('Kế hoạch'!$AJ$6:$AJ$305,$O1376))</f>
      </c>
      <c r="R1376" s="225">
        <f>IF($O1376="","",INDEX('Kế hoạch'!$AK$6:$AK$305,$O1376))</f>
      </c>
    </row>
    <row r="1377">
      <c r="A1377" s="223">
        <f>IF($C1377="","",COUNTIF($C$6:$C1377,"?*"))</f>
      </c>
      <c r="B1377" s="217"/>
      <c r="C1377" s="216"/>
      <c r="D1377" s="240"/>
      <c r="E1377" s="218"/>
      <c r="F1377" s="218"/>
      <c r="G1377" s="218"/>
      <c r="H1377" s="219"/>
      <c r="I1377" s="223">
        <f>IF($C1377="","",IF(ISNUMBER(MATCH($C1377,'Phản ánh'!$A$6:$A$505,0)),"Phản ánh",IF(ISNUMBER(MATCH($C1377,'Kế hoạch'!$A$6:$A$305,0)),"Công việc","Mã chưa có")))</f>
      </c>
      <c r="J1377" s="221">
        <f>IF($I1377="Phản ánh",INDEX('Phản ánh'!$C$6:$C$505,MATCH($C1377,'Phản ánh'!$A$6:$A$505,0)),IF($I1377="Công việc",INDEX('Kế hoạch'!$C$6:$C$305,$O1377),""))</f>
      </c>
      <c r="K1377" s="221">
        <f>IF($I1377="Phản ánh",INDEX('Phản ánh'!$K$6:$K$505,MATCH($C1377,'Phản ánh'!$A$6:$A$505,0))&amp;"",IF($I1377="Công việc",INDEX('Kế hoạch'!$N$6:$N$305,$O1377)&amp;"",""))</f>
      </c>
      <c r="L1377" s="220">
        <f>IF(OR($C1377="",N($B1377)=0),"",IF(AND($I1377="Phản ánh",$E1377="Đã xử lý"),INDEX('Phản ánh'!$U$6:$U$505,MATCH($C1377,'Phản ánh'!$A$6:$A$505,0)),IF(AND($I1377="Công việc",OR($E1377="Hoàn thành",$E1377="Hoàn thành kỳ")),IF(INDEX('Kế hoạch'!$B$6:$B$305,$O1377)="Đột xuất",INDEX('Kế hoạch'!$AY$6:$AY$305,$O1377),IF(N($P1377)=0,"",IF(INT($B1377)&lt;$P1377,$P1377,IF($Q1377&gt;0,$P1377+ROUND((INT($B1377)-$P1377)/$Q1377,0)*$Q1377,IF($R1377&gt;0,EDATE($P1377,ROUND((DATEDIF($P1377,INT($B1377),"m")+(INT($B1377)-EDATE($P1377,DATEDIF($P1377,INT($B1377),"m")))/(EDATE($P1377,DATEDIF($P1377,INT($B1377),"m")+1)-EDATE($P1377,DATEDIF($P1377,INT($B1377),"m"))))/$R1377,0)*$R1377),$P1377))))),"")))</f>
      </c>
      <c r="M1377" s="223">
        <f>IF(OR($C1377="",N($L1377)=0,N($B1377)=0),"",IF(IF(MOD($L1377,1)=0,INT($B1377),$B1377)&lt;=$L1377,"Đúng hạn","Trễ hạn"))</f>
      </c>
      <c r="N1377" s="225">
        <f>IF($C1377="","",ROW())</f>
      </c>
      <c r="O1377" s="225">
        <f>IF($I1377="Công việc",MATCH($C1377,'Kế hoạch'!$A$6:$A$305,0),"")</f>
      </c>
      <c r="P1377" s="234">
        <f>IF($O1377="","",INDEX('Kế hoạch'!$I$6:$I$305,$O1377))</f>
      </c>
      <c r="Q1377" s="225">
        <f>IF($O1377="","",INDEX('Kế hoạch'!$AJ$6:$AJ$305,$O1377))</f>
      </c>
      <c r="R1377" s="225">
        <f>IF($O1377="","",INDEX('Kế hoạch'!$AK$6:$AK$305,$O1377))</f>
      </c>
    </row>
    <row r="1378">
      <c r="A1378" s="223">
        <f>IF($C1378="","",COUNTIF($C$6:$C1378,"?*"))</f>
      </c>
      <c r="B1378" s="217"/>
      <c r="C1378" s="216"/>
      <c r="D1378" s="240"/>
      <c r="E1378" s="218"/>
      <c r="F1378" s="218"/>
      <c r="G1378" s="218"/>
      <c r="H1378" s="219"/>
      <c r="I1378" s="223">
        <f>IF($C1378="","",IF(ISNUMBER(MATCH($C1378,'Phản ánh'!$A$6:$A$505,0)),"Phản ánh",IF(ISNUMBER(MATCH($C1378,'Kế hoạch'!$A$6:$A$305,0)),"Công việc","Mã chưa có")))</f>
      </c>
      <c r="J1378" s="221">
        <f>IF($I1378="Phản ánh",INDEX('Phản ánh'!$C$6:$C$505,MATCH($C1378,'Phản ánh'!$A$6:$A$505,0)),IF($I1378="Công việc",INDEX('Kế hoạch'!$C$6:$C$305,$O1378),""))</f>
      </c>
      <c r="K1378" s="221">
        <f>IF($I1378="Phản ánh",INDEX('Phản ánh'!$K$6:$K$505,MATCH($C1378,'Phản ánh'!$A$6:$A$505,0))&amp;"",IF($I1378="Công việc",INDEX('Kế hoạch'!$N$6:$N$305,$O1378)&amp;"",""))</f>
      </c>
      <c r="L1378" s="220">
        <f>IF(OR($C1378="",N($B1378)=0),"",IF(AND($I1378="Phản ánh",$E1378="Đã xử lý"),INDEX('Phản ánh'!$U$6:$U$505,MATCH($C1378,'Phản ánh'!$A$6:$A$505,0)),IF(AND($I1378="Công việc",OR($E1378="Hoàn thành",$E1378="Hoàn thành kỳ")),IF(INDEX('Kế hoạch'!$B$6:$B$305,$O1378)="Đột xuất",INDEX('Kế hoạch'!$AY$6:$AY$305,$O1378),IF(N($P1378)=0,"",IF(INT($B1378)&lt;$P1378,$P1378,IF($Q1378&gt;0,$P1378+ROUND((INT($B1378)-$P1378)/$Q1378,0)*$Q1378,IF($R1378&gt;0,EDATE($P1378,ROUND((DATEDIF($P1378,INT($B1378),"m")+(INT($B1378)-EDATE($P1378,DATEDIF($P1378,INT($B1378),"m")))/(EDATE($P1378,DATEDIF($P1378,INT($B1378),"m")+1)-EDATE($P1378,DATEDIF($P1378,INT($B1378),"m"))))/$R1378,0)*$R1378),$P1378))))),"")))</f>
      </c>
      <c r="M1378" s="223">
        <f>IF(OR($C1378="",N($L1378)=0,N($B1378)=0),"",IF(IF(MOD($L1378,1)=0,INT($B1378),$B1378)&lt;=$L1378,"Đúng hạn","Trễ hạn"))</f>
      </c>
      <c r="N1378" s="225">
        <f>IF($C1378="","",ROW())</f>
      </c>
      <c r="O1378" s="225">
        <f>IF($I1378="Công việc",MATCH($C1378,'Kế hoạch'!$A$6:$A$305,0),"")</f>
      </c>
      <c r="P1378" s="234">
        <f>IF($O1378="","",INDEX('Kế hoạch'!$I$6:$I$305,$O1378))</f>
      </c>
      <c r="Q1378" s="225">
        <f>IF($O1378="","",INDEX('Kế hoạch'!$AJ$6:$AJ$305,$O1378))</f>
      </c>
      <c r="R1378" s="225">
        <f>IF($O1378="","",INDEX('Kế hoạch'!$AK$6:$AK$305,$O1378))</f>
      </c>
    </row>
    <row r="1379">
      <c r="A1379" s="223">
        <f>IF($C1379="","",COUNTIF($C$6:$C1379,"?*"))</f>
      </c>
      <c r="B1379" s="217"/>
      <c r="C1379" s="216"/>
      <c r="D1379" s="240"/>
      <c r="E1379" s="218"/>
      <c r="F1379" s="218"/>
      <c r="G1379" s="218"/>
      <c r="H1379" s="219"/>
      <c r="I1379" s="223">
        <f>IF($C1379="","",IF(ISNUMBER(MATCH($C1379,'Phản ánh'!$A$6:$A$505,0)),"Phản ánh",IF(ISNUMBER(MATCH($C1379,'Kế hoạch'!$A$6:$A$305,0)),"Công việc","Mã chưa có")))</f>
      </c>
      <c r="J1379" s="221">
        <f>IF($I1379="Phản ánh",INDEX('Phản ánh'!$C$6:$C$505,MATCH($C1379,'Phản ánh'!$A$6:$A$505,0)),IF($I1379="Công việc",INDEX('Kế hoạch'!$C$6:$C$305,$O1379),""))</f>
      </c>
      <c r="K1379" s="221">
        <f>IF($I1379="Phản ánh",INDEX('Phản ánh'!$K$6:$K$505,MATCH($C1379,'Phản ánh'!$A$6:$A$505,0))&amp;"",IF($I1379="Công việc",INDEX('Kế hoạch'!$N$6:$N$305,$O1379)&amp;"",""))</f>
      </c>
      <c r="L1379" s="220">
        <f>IF(OR($C1379="",N($B1379)=0),"",IF(AND($I1379="Phản ánh",$E1379="Đã xử lý"),INDEX('Phản ánh'!$U$6:$U$505,MATCH($C1379,'Phản ánh'!$A$6:$A$505,0)),IF(AND($I1379="Công việc",OR($E1379="Hoàn thành",$E1379="Hoàn thành kỳ")),IF(INDEX('Kế hoạch'!$B$6:$B$305,$O1379)="Đột xuất",INDEX('Kế hoạch'!$AY$6:$AY$305,$O1379),IF(N($P1379)=0,"",IF(INT($B1379)&lt;$P1379,$P1379,IF($Q1379&gt;0,$P1379+ROUND((INT($B1379)-$P1379)/$Q1379,0)*$Q1379,IF($R1379&gt;0,EDATE($P1379,ROUND((DATEDIF($P1379,INT($B1379),"m")+(INT($B1379)-EDATE($P1379,DATEDIF($P1379,INT($B1379),"m")))/(EDATE($P1379,DATEDIF($P1379,INT($B1379),"m")+1)-EDATE($P1379,DATEDIF($P1379,INT($B1379),"m"))))/$R1379,0)*$R1379),$P1379))))),"")))</f>
      </c>
      <c r="M1379" s="223">
        <f>IF(OR($C1379="",N($L1379)=0,N($B1379)=0),"",IF(IF(MOD($L1379,1)=0,INT($B1379),$B1379)&lt;=$L1379,"Đúng hạn","Trễ hạn"))</f>
      </c>
      <c r="N1379" s="225">
        <f>IF($C1379="","",ROW())</f>
      </c>
      <c r="O1379" s="225">
        <f>IF($I1379="Công việc",MATCH($C1379,'Kế hoạch'!$A$6:$A$305,0),"")</f>
      </c>
      <c r="P1379" s="234">
        <f>IF($O1379="","",INDEX('Kế hoạch'!$I$6:$I$305,$O1379))</f>
      </c>
      <c r="Q1379" s="225">
        <f>IF($O1379="","",INDEX('Kế hoạch'!$AJ$6:$AJ$305,$O1379))</f>
      </c>
      <c r="R1379" s="225">
        <f>IF($O1379="","",INDEX('Kế hoạch'!$AK$6:$AK$305,$O1379))</f>
      </c>
    </row>
    <row r="1380">
      <c r="A1380" s="223">
        <f>IF($C1380="","",COUNTIF($C$6:$C1380,"?*"))</f>
      </c>
      <c r="B1380" s="217"/>
      <c r="C1380" s="216"/>
      <c r="D1380" s="240"/>
      <c r="E1380" s="218"/>
      <c r="F1380" s="218"/>
      <c r="G1380" s="218"/>
      <c r="H1380" s="219"/>
      <c r="I1380" s="223">
        <f>IF($C1380="","",IF(ISNUMBER(MATCH($C1380,'Phản ánh'!$A$6:$A$505,0)),"Phản ánh",IF(ISNUMBER(MATCH($C1380,'Kế hoạch'!$A$6:$A$305,0)),"Công việc","Mã chưa có")))</f>
      </c>
      <c r="J1380" s="221">
        <f>IF($I1380="Phản ánh",INDEX('Phản ánh'!$C$6:$C$505,MATCH($C1380,'Phản ánh'!$A$6:$A$505,0)),IF($I1380="Công việc",INDEX('Kế hoạch'!$C$6:$C$305,$O1380),""))</f>
      </c>
      <c r="K1380" s="221">
        <f>IF($I1380="Phản ánh",INDEX('Phản ánh'!$K$6:$K$505,MATCH($C1380,'Phản ánh'!$A$6:$A$505,0))&amp;"",IF($I1380="Công việc",INDEX('Kế hoạch'!$N$6:$N$305,$O1380)&amp;"",""))</f>
      </c>
      <c r="L1380" s="220">
        <f>IF(OR($C1380="",N($B1380)=0),"",IF(AND($I1380="Phản ánh",$E1380="Đã xử lý"),INDEX('Phản ánh'!$U$6:$U$505,MATCH($C1380,'Phản ánh'!$A$6:$A$505,0)),IF(AND($I1380="Công việc",OR($E1380="Hoàn thành",$E1380="Hoàn thành kỳ")),IF(INDEX('Kế hoạch'!$B$6:$B$305,$O1380)="Đột xuất",INDEX('Kế hoạch'!$AY$6:$AY$305,$O1380),IF(N($P1380)=0,"",IF(INT($B1380)&lt;$P1380,$P1380,IF($Q1380&gt;0,$P1380+ROUND((INT($B1380)-$P1380)/$Q1380,0)*$Q1380,IF($R1380&gt;0,EDATE($P1380,ROUND((DATEDIF($P1380,INT($B1380),"m")+(INT($B1380)-EDATE($P1380,DATEDIF($P1380,INT($B1380),"m")))/(EDATE($P1380,DATEDIF($P1380,INT($B1380),"m")+1)-EDATE($P1380,DATEDIF($P1380,INT($B1380),"m"))))/$R1380,0)*$R1380),$P1380))))),"")))</f>
      </c>
      <c r="M1380" s="223">
        <f>IF(OR($C1380="",N($L1380)=0,N($B1380)=0),"",IF(IF(MOD($L1380,1)=0,INT($B1380),$B1380)&lt;=$L1380,"Đúng hạn","Trễ hạn"))</f>
      </c>
      <c r="N1380" s="225">
        <f>IF($C1380="","",ROW())</f>
      </c>
      <c r="O1380" s="225">
        <f>IF($I1380="Công việc",MATCH($C1380,'Kế hoạch'!$A$6:$A$305,0),"")</f>
      </c>
      <c r="P1380" s="234">
        <f>IF($O1380="","",INDEX('Kế hoạch'!$I$6:$I$305,$O1380))</f>
      </c>
      <c r="Q1380" s="225">
        <f>IF($O1380="","",INDEX('Kế hoạch'!$AJ$6:$AJ$305,$O1380))</f>
      </c>
      <c r="R1380" s="225">
        <f>IF($O1380="","",INDEX('Kế hoạch'!$AK$6:$AK$305,$O1380))</f>
      </c>
    </row>
    <row r="1381">
      <c r="A1381" s="223">
        <f>IF($C1381="","",COUNTIF($C$6:$C1381,"?*"))</f>
      </c>
      <c r="B1381" s="217"/>
      <c r="C1381" s="216"/>
      <c r="D1381" s="240"/>
      <c r="E1381" s="218"/>
      <c r="F1381" s="218"/>
      <c r="G1381" s="218"/>
      <c r="H1381" s="219"/>
      <c r="I1381" s="223">
        <f>IF($C1381="","",IF(ISNUMBER(MATCH($C1381,'Phản ánh'!$A$6:$A$505,0)),"Phản ánh",IF(ISNUMBER(MATCH($C1381,'Kế hoạch'!$A$6:$A$305,0)),"Công việc","Mã chưa có")))</f>
      </c>
      <c r="J1381" s="221">
        <f>IF($I1381="Phản ánh",INDEX('Phản ánh'!$C$6:$C$505,MATCH($C1381,'Phản ánh'!$A$6:$A$505,0)),IF($I1381="Công việc",INDEX('Kế hoạch'!$C$6:$C$305,$O1381),""))</f>
      </c>
      <c r="K1381" s="221">
        <f>IF($I1381="Phản ánh",INDEX('Phản ánh'!$K$6:$K$505,MATCH($C1381,'Phản ánh'!$A$6:$A$505,0))&amp;"",IF($I1381="Công việc",INDEX('Kế hoạch'!$N$6:$N$305,$O1381)&amp;"",""))</f>
      </c>
      <c r="L1381" s="220">
        <f>IF(OR($C1381="",N($B1381)=0),"",IF(AND($I1381="Phản ánh",$E1381="Đã xử lý"),INDEX('Phản ánh'!$U$6:$U$505,MATCH($C1381,'Phản ánh'!$A$6:$A$505,0)),IF(AND($I1381="Công việc",OR($E1381="Hoàn thành",$E1381="Hoàn thành kỳ")),IF(INDEX('Kế hoạch'!$B$6:$B$305,$O1381)="Đột xuất",INDEX('Kế hoạch'!$AY$6:$AY$305,$O1381),IF(N($P1381)=0,"",IF(INT($B1381)&lt;$P1381,$P1381,IF($Q1381&gt;0,$P1381+ROUND((INT($B1381)-$P1381)/$Q1381,0)*$Q1381,IF($R1381&gt;0,EDATE($P1381,ROUND((DATEDIF($P1381,INT($B1381),"m")+(INT($B1381)-EDATE($P1381,DATEDIF($P1381,INT($B1381),"m")))/(EDATE($P1381,DATEDIF($P1381,INT($B1381),"m")+1)-EDATE($P1381,DATEDIF($P1381,INT($B1381),"m"))))/$R1381,0)*$R1381),$P1381))))),"")))</f>
      </c>
      <c r="M1381" s="223">
        <f>IF(OR($C1381="",N($L1381)=0,N($B1381)=0),"",IF(IF(MOD($L1381,1)=0,INT($B1381),$B1381)&lt;=$L1381,"Đúng hạn","Trễ hạn"))</f>
      </c>
      <c r="N1381" s="225">
        <f>IF($C1381="","",ROW())</f>
      </c>
      <c r="O1381" s="225">
        <f>IF($I1381="Công việc",MATCH($C1381,'Kế hoạch'!$A$6:$A$305,0),"")</f>
      </c>
      <c r="P1381" s="234">
        <f>IF($O1381="","",INDEX('Kế hoạch'!$I$6:$I$305,$O1381))</f>
      </c>
      <c r="Q1381" s="225">
        <f>IF($O1381="","",INDEX('Kế hoạch'!$AJ$6:$AJ$305,$O1381))</f>
      </c>
      <c r="R1381" s="225">
        <f>IF($O1381="","",INDEX('Kế hoạch'!$AK$6:$AK$305,$O1381))</f>
      </c>
    </row>
    <row r="1382">
      <c r="A1382" s="223">
        <f>IF($C1382="","",COUNTIF($C$6:$C1382,"?*"))</f>
      </c>
      <c r="B1382" s="217"/>
      <c r="C1382" s="216"/>
      <c r="D1382" s="240"/>
      <c r="E1382" s="218"/>
      <c r="F1382" s="218"/>
      <c r="G1382" s="218"/>
      <c r="H1382" s="219"/>
      <c r="I1382" s="223">
        <f>IF($C1382="","",IF(ISNUMBER(MATCH($C1382,'Phản ánh'!$A$6:$A$505,0)),"Phản ánh",IF(ISNUMBER(MATCH($C1382,'Kế hoạch'!$A$6:$A$305,0)),"Công việc","Mã chưa có")))</f>
      </c>
      <c r="J1382" s="221">
        <f>IF($I1382="Phản ánh",INDEX('Phản ánh'!$C$6:$C$505,MATCH($C1382,'Phản ánh'!$A$6:$A$505,0)),IF($I1382="Công việc",INDEX('Kế hoạch'!$C$6:$C$305,$O1382),""))</f>
      </c>
      <c r="K1382" s="221">
        <f>IF($I1382="Phản ánh",INDEX('Phản ánh'!$K$6:$K$505,MATCH($C1382,'Phản ánh'!$A$6:$A$505,0))&amp;"",IF($I1382="Công việc",INDEX('Kế hoạch'!$N$6:$N$305,$O1382)&amp;"",""))</f>
      </c>
      <c r="L1382" s="220">
        <f>IF(OR($C1382="",N($B1382)=0),"",IF(AND($I1382="Phản ánh",$E1382="Đã xử lý"),INDEX('Phản ánh'!$U$6:$U$505,MATCH($C1382,'Phản ánh'!$A$6:$A$505,0)),IF(AND($I1382="Công việc",OR($E1382="Hoàn thành",$E1382="Hoàn thành kỳ")),IF(INDEX('Kế hoạch'!$B$6:$B$305,$O1382)="Đột xuất",INDEX('Kế hoạch'!$AY$6:$AY$305,$O1382),IF(N($P1382)=0,"",IF(INT($B1382)&lt;$P1382,$P1382,IF($Q1382&gt;0,$P1382+ROUND((INT($B1382)-$P1382)/$Q1382,0)*$Q1382,IF($R1382&gt;0,EDATE($P1382,ROUND((DATEDIF($P1382,INT($B1382),"m")+(INT($B1382)-EDATE($P1382,DATEDIF($P1382,INT($B1382),"m")))/(EDATE($P1382,DATEDIF($P1382,INT($B1382),"m")+1)-EDATE($P1382,DATEDIF($P1382,INT($B1382),"m"))))/$R1382,0)*$R1382),$P1382))))),"")))</f>
      </c>
      <c r="M1382" s="223">
        <f>IF(OR($C1382="",N($L1382)=0,N($B1382)=0),"",IF(IF(MOD($L1382,1)=0,INT($B1382),$B1382)&lt;=$L1382,"Đúng hạn","Trễ hạn"))</f>
      </c>
      <c r="N1382" s="225">
        <f>IF($C1382="","",ROW())</f>
      </c>
      <c r="O1382" s="225">
        <f>IF($I1382="Công việc",MATCH($C1382,'Kế hoạch'!$A$6:$A$305,0),"")</f>
      </c>
      <c r="P1382" s="234">
        <f>IF($O1382="","",INDEX('Kế hoạch'!$I$6:$I$305,$O1382))</f>
      </c>
      <c r="Q1382" s="225">
        <f>IF($O1382="","",INDEX('Kế hoạch'!$AJ$6:$AJ$305,$O1382))</f>
      </c>
      <c r="R1382" s="225">
        <f>IF($O1382="","",INDEX('Kế hoạch'!$AK$6:$AK$305,$O1382))</f>
      </c>
    </row>
    <row r="1383">
      <c r="A1383" s="223">
        <f>IF($C1383="","",COUNTIF($C$6:$C1383,"?*"))</f>
      </c>
      <c r="B1383" s="217"/>
      <c r="C1383" s="216"/>
      <c r="D1383" s="240"/>
      <c r="E1383" s="218"/>
      <c r="F1383" s="218"/>
      <c r="G1383" s="218"/>
      <c r="H1383" s="219"/>
      <c r="I1383" s="223">
        <f>IF($C1383="","",IF(ISNUMBER(MATCH($C1383,'Phản ánh'!$A$6:$A$505,0)),"Phản ánh",IF(ISNUMBER(MATCH($C1383,'Kế hoạch'!$A$6:$A$305,0)),"Công việc","Mã chưa có")))</f>
      </c>
      <c r="J1383" s="221">
        <f>IF($I1383="Phản ánh",INDEX('Phản ánh'!$C$6:$C$505,MATCH($C1383,'Phản ánh'!$A$6:$A$505,0)),IF($I1383="Công việc",INDEX('Kế hoạch'!$C$6:$C$305,$O1383),""))</f>
      </c>
      <c r="K1383" s="221">
        <f>IF($I1383="Phản ánh",INDEX('Phản ánh'!$K$6:$K$505,MATCH($C1383,'Phản ánh'!$A$6:$A$505,0))&amp;"",IF($I1383="Công việc",INDEX('Kế hoạch'!$N$6:$N$305,$O1383)&amp;"",""))</f>
      </c>
      <c r="L1383" s="220">
        <f>IF(OR($C1383="",N($B1383)=0),"",IF(AND($I1383="Phản ánh",$E1383="Đã xử lý"),INDEX('Phản ánh'!$U$6:$U$505,MATCH($C1383,'Phản ánh'!$A$6:$A$505,0)),IF(AND($I1383="Công việc",OR($E1383="Hoàn thành",$E1383="Hoàn thành kỳ")),IF(INDEX('Kế hoạch'!$B$6:$B$305,$O1383)="Đột xuất",INDEX('Kế hoạch'!$AY$6:$AY$305,$O1383),IF(N($P1383)=0,"",IF(INT($B1383)&lt;$P1383,$P1383,IF($Q1383&gt;0,$P1383+ROUND((INT($B1383)-$P1383)/$Q1383,0)*$Q1383,IF($R1383&gt;0,EDATE($P1383,ROUND((DATEDIF($P1383,INT($B1383),"m")+(INT($B1383)-EDATE($P1383,DATEDIF($P1383,INT($B1383),"m")))/(EDATE($P1383,DATEDIF($P1383,INT($B1383),"m")+1)-EDATE($P1383,DATEDIF($P1383,INT($B1383),"m"))))/$R1383,0)*$R1383),$P1383))))),"")))</f>
      </c>
      <c r="M1383" s="223">
        <f>IF(OR($C1383="",N($L1383)=0,N($B1383)=0),"",IF(IF(MOD($L1383,1)=0,INT($B1383),$B1383)&lt;=$L1383,"Đúng hạn","Trễ hạn"))</f>
      </c>
      <c r="N1383" s="225">
        <f>IF($C1383="","",ROW())</f>
      </c>
      <c r="O1383" s="225">
        <f>IF($I1383="Công việc",MATCH($C1383,'Kế hoạch'!$A$6:$A$305,0),"")</f>
      </c>
      <c r="P1383" s="234">
        <f>IF($O1383="","",INDEX('Kế hoạch'!$I$6:$I$305,$O1383))</f>
      </c>
      <c r="Q1383" s="225">
        <f>IF($O1383="","",INDEX('Kế hoạch'!$AJ$6:$AJ$305,$O1383))</f>
      </c>
      <c r="R1383" s="225">
        <f>IF($O1383="","",INDEX('Kế hoạch'!$AK$6:$AK$305,$O1383))</f>
      </c>
    </row>
    <row r="1384">
      <c r="A1384" s="223">
        <f>IF($C1384="","",COUNTIF($C$6:$C1384,"?*"))</f>
      </c>
      <c r="B1384" s="217"/>
      <c r="C1384" s="216"/>
      <c r="D1384" s="240"/>
      <c r="E1384" s="218"/>
      <c r="F1384" s="218"/>
      <c r="G1384" s="218"/>
      <c r="H1384" s="219"/>
      <c r="I1384" s="223">
        <f>IF($C1384="","",IF(ISNUMBER(MATCH($C1384,'Phản ánh'!$A$6:$A$505,0)),"Phản ánh",IF(ISNUMBER(MATCH($C1384,'Kế hoạch'!$A$6:$A$305,0)),"Công việc","Mã chưa có")))</f>
      </c>
      <c r="J1384" s="221">
        <f>IF($I1384="Phản ánh",INDEX('Phản ánh'!$C$6:$C$505,MATCH($C1384,'Phản ánh'!$A$6:$A$505,0)),IF($I1384="Công việc",INDEX('Kế hoạch'!$C$6:$C$305,$O1384),""))</f>
      </c>
      <c r="K1384" s="221">
        <f>IF($I1384="Phản ánh",INDEX('Phản ánh'!$K$6:$K$505,MATCH($C1384,'Phản ánh'!$A$6:$A$505,0))&amp;"",IF($I1384="Công việc",INDEX('Kế hoạch'!$N$6:$N$305,$O1384)&amp;"",""))</f>
      </c>
      <c r="L1384" s="220">
        <f>IF(OR($C1384="",N($B1384)=0),"",IF(AND($I1384="Phản ánh",$E1384="Đã xử lý"),INDEX('Phản ánh'!$U$6:$U$505,MATCH($C1384,'Phản ánh'!$A$6:$A$505,0)),IF(AND($I1384="Công việc",OR($E1384="Hoàn thành",$E1384="Hoàn thành kỳ")),IF(INDEX('Kế hoạch'!$B$6:$B$305,$O1384)="Đột xuất",INDEX('Kế hoạch'!$AY$6:$AY$305,$O1384),IF(N($P1384)=0,"",IF(INT($B1384)&lt;$P1384,$P1384,IF($Q1384&gt;0,$P1384+ROUND((INT($B1384)-$P1384)/$Q1384,0)*$Q1384,IF($R1384&gt;0,EDATE($P1384,ROUND((DATEDIF($P1384,INT($B1384),"m")+(INT($B1384)-EDATE($P1384,DATEDIF($P1384,INT($B1384),"m")))/(EDATE($P1384,DATEDIF($P1384,INT($B1384),"m")+1)-EDATE($P1384,DATEDIF($P1384,INT($B1384),"m"))))/$R1384,0)*$R1384),$P1384))))),"")))</f>
      </c>
      <c r="M1384" s="223">
        <f>IF(OR($C1384="",N($L1384)=0,N($B1384)=0),"",IF(IF(MOD($L1384,1)=0,INT($B1384),$B1384)&lt;=$L1384,"Đúng hạn","Trễ hạn"))</f>
      </c>
      <c r="N1384" s="225">
        <f>IF($C1384="","",ROW())</f>
      </c>
      <c r="O1384" s="225">
        <f>IF($I1384="Công việc",MATCH($C1384,'Kế hoạch'!$A$6:$A$305,0),"")</f>
      </c>
      <c r="P1384" s="234">
        <f>IF($O1384="","",INDEX('Kế hoạch'!$I$6:$I$305,$O1384))</f>
      </c>
      <c r="Q1384" s="225">
        <f>IF($O1384="","",INDEX('Kế hoạch'!$AJ$6:$AJ$305,$O1384))</f>
      </c>
      <c r="R1384" s="225">
        <f>IF($O1384="","",INDEX('Kế hoạch'!$AK$6:$AK$305,$O1384))</f>
      </c>
    </row>
    <row r="1385">
      <c r="A1385" s="223">
        <f>IF($C1385="","",COUNTIF($C$6:$C1385,"?*"))</f>
      </c>
      <c r="B1385" s="217"/>
      <c r="C1385" s="216"/>
      <c r="D1385" s="240"/>
      <c r="E1385" s="218"/>
      <c r="F1385" s="218"/>
      <c r="G1385" s="218"/>
      <c r="H1385" s="219"/>
      <c r="I1385" s="223">
        <f>IF($C1385="","",IF(ISNUMBER(MATCH($C1385,'Phản ánh'!$A$6:$A$505,0)),"Phản ánh",IF(ISNUMBER(MATCH($C1385,'Kế hoạch'!$A$6:$A$305,0)),"Công việc","Mã chưa có")))</f>
      </c>
      <c r="J1385" s="221">
        <f>IF($I1385="Phản ánh",INDEX('Phản ánh'!$C$6:$C$505,MATCH($C1385,'Phản ánh'!$A$6:$A$505,0)),IF($I1385="Công việc",INDEX('Kế hoạch'!$C$6:$C$305,$O1385),""))</f>
      </c>
      <c r="K1385" s="221">
        <f>IF($I1385="Phản ánh",INDEX('Phản ánh'!$K$6:$K$505,MATCH($C1385,'Phản ánh'!$A$6:$A$505,0))&amp;"",IF($I1385="Công việc",INDEX('Kế hoạch'!$N$6:$N$305,$O1385)&amp;"",""))</f>
      </c>
      <c r="L1385" s="220">
        <f>IF(OR($C1385="",N($B1385)=0),"",IF(AND($I1385="Phản ánh",$E1385="Đã xử lý"),INDEX('Phản ánh'!$U$6:$U$505,MATCH($C1385,'Phản ánh'!$A$6:$A$505,0)),IF(AND($I1385="Công việc",OR($E1385="Hoàn thành",$E1385="Hoàn thành kỳ")),IF(INDEX('Kế hoạch'!$B$6:$B$305,$O1385)="Đột xuất",INDEX('Kế hoạch'!$AY$6:$AY$305,$O1385),IF(N($P1385)=0,"",IF(INT($B1385)&lt;$P1385,$P1385,IF($Q1385&gt;0,$P1385+ROUND((INT($B1385)-$P1385)/$Q1385,0)*$Q1385,IF($R1385&gt;0,EDATE($P1385,ROUND((DATEDIF($P1385,INT($B1385),"m")+(INT($B1385)-EDATE($P1385,DATEDIF($P1385,INT($B1385),"m")))/(EDATE($P1385,DATEDIF($P1385,INT($B1385),"m")+1)-EDATE($P1385,DATEDIF($P1385,INT($B1385),"m"))))/$R1385,0)*$R1385),$P1385))))),"")))</f>
      </c>
      <c r="M1385" s="223">
        <f>IF(OR($C1385="",N($L1385)=0,N($B1385)=0),"",IF(IF(MOD($L1385,1)=0,INT($B1385),$B1385)&lt;=$L1385,"Đúng hạn","Trễ hạn"))</f>
      </c>
      <c r="N1385" s="225">
        <f>IF($C1385="","",ROW())</f>
      </c>
      <c r="O1385" s="225">
        <f>IF($I1385="Công việc",MATCH($C1385,'Kế hoạch'!$A$6:$A$305,0),"")</f>
      </c>
      <c r="P1385" s="234">
        <f>IF($O1385="","",INDEX('Kế hoạch'!$I$6:$I$305,$O1385))</f>
      </c>
      <c r="Q1385" s="225">
        <f>IF($O1385="","",INDEX('Kế hoạch'!$AJ$6:$AJ$305,$O1385))</f>
      </c>
      <c r="R1385" s="225">
        <f>IF($O1385="","",INDEX('Kế hoạch'!$AK$6:$AK$305,$O1385))</f>
      </c>
    </row>
    <row r="1386">
      <c r="A1386" s="223">
        <f>IF($C1386="","",COUNTIF($C$6:$C1386,"?*"))</f>
      </c>
      <c r="B1386" s="217"/>
      <c r="C1386" s="216"/>
      <c r="D1386" s="240"/>
      <c r="E1386" s="218"/>
      <c r="F1386" s="218"/>
      <c r="G1386" s="218"/>
      <c r="H1386" s="219"/>
      <c r="I1386" s="223">
        <f>IF($C1386="","",IF(ISNUMBER(MATCH($C1386,'Phản ánh'!$A$6:$A$505,0)),"Phản ánh",IF(ISNUMBER(MATCH($C1386,'Kế hoạch'!$A$6:$A$305,0)),"Công việc","Mã chưa có")))</f>
      </c>
      <c r="J1386" s="221">
        <f>IF($I1386="Phản ánh",INDEX('Phản ánh'!$C$6:$C$505,MATCH($C1386,'Phản ánh'!$A$6:$A$505,0)),IF($I1386="Công việc",INDEX('Kế hoạch'!$C$6:$C$305,$O1386),""))</f>
      </c>
      <c r="K1386" s="221">
        <f>IF($I1386="Phản ánh",INDEX('Phản ánh'!$K$6:$K$505,MATCH($C1386,'Phản ánh'!$A$6:$A$505,0))&amp;"",IF($I1386="Công việc",INDEX('Kế hoạch'!$N$6:$N$305,$O1386)&amp;"",""))</f>
      </c>
      <c r="L1386" s="220">
        <f>IF(OR($C1386="",N($B1386)=0),"",IF(AND($I1386="Phản ánh",$E1386="Đã xử lý"),INDEX('Phản ánh'!$U$6:$U$505,MATCH($C1386,'Phản ánh'!$A$6:$A$505,0)),IF(AND($I1386="Công việc",OR($E1386="Hoàn thành",$E1386="Hoàn thành kỳ")),IF(INDEX('Kế hoạch'!$B$6:$B$305,$O1386)="Đột xuất",INDEX('Kế hoạch'!$AY$6:$AY$305,$O1386),IF(N($P1386)=0,"",IF(INT($B1386)&lt;$P1386,$P1386,IF($Q1386&gt;0,$P1386+ROUND((INT($B1386)-$P1386)/$Q1386,0)*$Q1386,IF($R1386&gt;0,EDATE($P1386,ROUND((DATEDIF($P1386,INT($B1386),"m")+(INT($B1386)-EDATE($P1386,DATEDIF($P1386,INT($B1386),"m")))/(EDATE($P1386,DATEDIF($P1386,INT($B1386),"m")+1)-EDATE($P1386,DATEDIF($P1386,INT($B1386),"m"))))/$R1386,0)*$R1386),$P1386))))),"")))</f>
      </c>
      <c r="M1386" s="223">
        <f>IF(OR($C1386="",N($L1386)=0,N($B1386)=0),"",IF(IF(MOD($L1386,1)=0,INT($B1386),$B1386)&lt;=$L1386,"Đúng hạn","Trễ hạn"))</f>
      </c>
      <c r="N1386" s="225">
        <f>IF($C1386="","",ROW())</f>
      </c>
      <c r="O1386" s="225">
        <f>IF($I1386="Công việc",MATCH($C1386,'Kế hoạch'!$A$6:$A$305,0),"")</f>
      </c>
      <c r="P1386" s="234">
        <f>IF($O1386="","",INDEX('Kế hoạch'!$I$6:$I$305,$O1386))</f>
      </c>
      <c r="Q1386" s="225">
        <f>IF($O1386="","",INDEX('Kế hoạch'!$AJ$6:$AJ$305,$O1386))</f>
      </c>
      <c r="R1386" s="225">
        <f>IF($O1386="","",INDEX('Kế hoạch'!$AK$6:$AK$305,$O1386))</f>
      </c>
    </row>
    <row r="1387">
      <c r="A1387" s="223">
        <f>IF($C1387="","",COUNTIF($C$6:$C1387,"?*"))</f>
      </c>
      <c r="B1387" s="217"/>
      <c r="C1387" s="216"/>
      <c r="D1387" s="240"/>
      <c r="E1387" s="218"/>
      <c r="F1387" s="218"/>
      <c r="G1387" s="218"/>
      <c r="H1387" s="219"/>
      <c r="I1387" s="223">
        <f>IF($C1387="","",IF(ISNUMBER(MATCH($C1387,'Phản ánh'!$A$6:$A$505,0)),"Phản ánh",IF(ISNUMBER(MATCH($C1387,'Kế hoạch'!$A$6:$A$305,0)),"Công việc","Mã chưa có")))</f>
      </c>
      <c r="J1387" s="221">
        <f>IF($I1387="Phản ánh",INDEX('Phản ánh'!$C$6:$C$505,MATCH($C1387,'Phản ánh'!$A$6:$A$505,0)),IF($I1387="Công việc",INDEX('Kế hoạch'!$C$6:$C$305,$O1387),""))</f>
      </c>
      <c r="K1387" s="221">
        <f>IF($I1387="Phản ánh",INDEX('Phản ánh'!$K$6:$K$505,MATCH($C1387,'Phản ánh'!$A$6:$A$505,0))&amp;"",IF($I1387="Công việc",INDEX('Kế hoạch'!$N$6:$N$305,$O1387)&amp;"",""))</f>
      </c>
      <c r="L1387" s="220">
        <f>IF(OR($C1387="",N($B1387)=0),"",IF(AND($I1387="Phản ánh",$E1387="Đã xử lý"),INDEX('Phản ánh'!$U$6:$U$505,MATCH($C1387,'Phản ánh'!$A$6:$A$505,0)),IF(AND($I1387="Công việc",OR($E1387="Hoàn thành",$E1387="Hoàn thành kỳ")),IF(INDEX('Kế hoạch'!$B$6:$B$305,$O1387)="Đột xuất",INDEX('Kế hoạch'!$AY$6:$AY$305,$O1387),IF(N($P1387)=0,"",IF(INT($B1387)&lt;$P1387,$P1387,IF($Q1387&gt;0,$P1387+ROUND((INT($B1387)-$P1387)/$Q1387,0)*$Q1387,IF($R1387&gt;0,EDATE($P1387,ROUND((DATEDIF($P1387,INT($B1387),"m")+(INT($B1387)-EDATE($P1387,DATEDIF($P1387,INT($B1387),"m")))/(EDATE($P1387,DATEDIF($P1387,INT($B1387),"m")+1)-EDATE($P1387,DATEDIF($P1387,INT($B1387),"m"))))/$R1387,0)*$R1387),$P1387))))),"")))</f>
      </c>
      <c r="M1387" s="223">
        <f>IF(OR($C1387="",N($L1387)=0,N($B1387)=0),"",IF(IF(MOD($L1387,1)=0,INT($B1387),$B1387)&lt;=$L1387,"Đúng hạn","Trễ hạn"))</f>
      </c>
      <c r="N1387" s="225">
        <f>IF($C1387="","",ROW())</f>
      </c>
      <c r="O1387" s="225">
        <f>IF($I1387="Công việc",MATCH($C1387,'Kế hoạch'!$A$6:$A$305,0),"")</f>
      </c>
      <c r="P1387" s="234">
        <f>IF($O1387="","",INDEX('Kế hoạch'!$I$6:$I$305,$O1387))</f>
      </c>
      <c r="Q1387" s="225">
        <f>IF($O1387="","",INDEX('Kế hoạch'!$AJ$6:$AJ$305,$O1387))</f>
      </c>
      <c r="R1387" s="225">
        <f>IF($O1387="","",INDEX('Kế hoạch'!$AK$6:$AK$305,$O1387))</f>
      </c>
    </row>
    <row r="1388">
      <c r="A1388" s="223">
        <f>IF($C1388="","",COUNTIF($C$6:$C1388,"?*"))</f>
      </c>
      <c r="B1388" s="217"/>
      <c r="C1388" s="216"/>
      <c r="D1388" s="240"/>
      <c r="E1388" s="218"/>
      <c r="F1388" s="218"/>
      <c r="G1388" s="218"/>
      <c r="H1388" s="219"/>
      <c r="I1388" s="223">
        <f>IF($C1388="","",IF(ISNUMBER(MATCH($C1388,'Phản ánh'!$A$6:$A$505,0)),"Phản ánh",IF(ISNUMBER(MATCH($C1388,'Kế hoạch'!$A$6:$A$305,0)),"Công việc","Mã chưa có")))</f>
      </c>
      <c r="J1388" s="221">
        <f>IF($I1388="Phản ánh",INDEX('Phản ánh'!$C$6:$C$505,MATCH($C1388,'Phản ánh'!$A$6:$A$505,0)),IF($I1388="Công việc",INDEX('Kế hoạch'!$C$6:$C$305,$O1388),""))</f>
      </c>
      <c r="K1388" s="221">
        <f>IF($I1388="Phản ánh",INDEX('Phản ánh'!$K$6:$K$505,MATCH($C1388,'Phản ánh'!$A$6:$A$505,0))&amp;"",IF($I1388="Công việc",INDEX('Kế hoạch'!$N$6:$N$305,$O1388)&amp;"",""))</f>
      </c>
      <c r="L1388" s="220">
        <f>IF(OR($C1388="",N($B1388)=0),"",IF(AND($I1388="Phản ánh",$E1388="Đã xử lý"),INDEX('Phản ánh'!$U$6:$U$505,MATCH($C1388,'Phản ánh'!$A$6:$A$505,0)),IF(AND($I1388="Công việc",OR($E1388="Hoàn thành",$E1388="Hoàn thành kỳ")),IF(INDEX('Kế hoạch'!$B$6:$B$305,$O1388)="Đột xuất",INDEX('Kế hoạch'!$AY$6:$AY$305,$O1388),IF(N($P1388)=0,"",IF(INT($B1388)&lt;$P1388,$P1388,IF($Q1388&gt;0,$P1388+ROUND((INT($B1388)-$P1388)/$Q1388,0)*$Q1388,IF($R1388&gt;0,EDATE($P1388,ROUND((DATEDIF($P1388,INT($B1388),"m")+(INT($B1388)-EDATE($P1388,DATEDIF($P1388,INT($B1388),"m")))/(EDATE($P1388,DATEDIF($P1388,INT($B1388),"m")+1)-EDATE($P1388,DATEDIF($P1388,INT($B1388),"m"))))/$R1388,0)*$R1388),$P1388))))),"")))</f>
      </c>
      <c r="M1388" s="223">
        <f>IF(OR($C1388="",N($L1388)=0,N($B1388)=0),"",IF(IF(MOD($L1388,1)=0,INT($B1388),$B1388)&lt;=$L1388,"Đúng hạn","Trễ hạn"))</f>
      </c>
      <c r="N1388" s="225">
        <f>IF($C1388="","",ROW())</f>
      </c>
      <c r="O1388" s="225">
        <f>IF($I1388="Công việc",MATCH($C1388,'Kế hoạch'!$A$6:$A$305,0),"")</f>
      </c>
      <c r="P1388" s="234">
        <f>IF($O1388="","",INDEX('Kế hoạch'!$I$6:$I$305,$O1388))</f>
      </c>
      <c r="Q1388" s="225">
        <f>IF($O1388="","",INDEX('Kế hoạch'!$AJ$6:$AJ$305,$O1388))</f>
      </c>
      <c r="R1388" s="225">
        <f>IF($O1388="","",INDEX('Kế hoạch'!$AK$6:$AK$305,$O1388))</f>
      </c>
    </row>
    <row r="1389">
      <c r="A1389" s="223">
        <f>IF($C1389="","",COUNTIF($C$6:$C1389,"?*"))</f>
      </c>
      <c r="B1389" s="217"/>
      <c r="C1389" s="216"/>
      <c r="D1389" s="240"/>
      <c r="E1389" s="218"/>
      <c r="F1389" s="218"/>
      <c r="G1389" s="218"/>
      <c r="H1389" s="219"/>
      <c r="I1389" s="223">
        <f>IF($C1389="","",IF(ISNUMBER(MATCH($C1389,'Phản ánh'!$A$6:$A$505,0)),"Phản ánh",IF(ISNUMBER(MATCH($C1389,'Kế hoạch'!$A$6:$A$305,0)),"Công việc","Mã chưa có")))</f>
      </c>
      <c r="J1389" s="221">
        <f>IF($I1389="Phản ánh",INDEX('Phản ánh'!$C$6:$C$505,MATCH($C1389,'Phản ánh'!$A$6:$A$505,0)),IF($I1389="Công việc",INDEX('Kế hoạch'!$C$6:$C$305,$O1389),""))</f>
      </c>
      <c r="K1389" s="221">
        <f>IF($I1389="Phản ánh",INDEX('Phản ánh'!$K$6:$K$505,MATCH($C1389,'Phản ánh'!$A$6:$A$505,0))&amp;"",IF($I1389="Công việc",INDEX('Kế hoạch'!$N$6:$N$305,$O1389)&amp;"",""))</f>
      </c>
      <c r="L1389" s="220">
        <f>IF(OR($C1389="",N($B1389)=0),"",IF(AND($I1389="Phản ánh",$E1389="Đã xử lý"),INDEX('Phản ánh'!$U$6:$U$505,MATCH($C1389,'Phản ánh'!$A$6:$A$505,0)),IF(AND($I1389="Công việc",OR($E1389="Hoàn thành",$E1389="Hoàn thành kỳ")),IF(INDEX('Kế hoạch'!$B$6:$B$305,$O1389)="Đột xuất",INDEX('Kế hoạch'!$AY$6:$AY$305,$O1389),IF(N($P1389)=0,"",IF(INT($B1389)&lt;$P1389,$P1389,IF($Q1389&gt;0,$P1389+ROUND((INT($B1389)-$P1389)/$Q1389,0)*$Q1389,IF($R1389&gt;0,EDATE($P1389,ROUND((DATEDIF($P1389,INT($B1389),"m")+(INT($B1389)-EDATE($P1389,DATEDIF($P1389,INT($B1389),"m")))/(EDATE($P1389,DATEDIF($P1389,INT($B1389),"m")+1)-EDATE($P1389,DATEDIF($P1389,INT($B1389),"m"))))/$R1389,0)*$R1389),$P1389))))),"")))</f>
      </c>
      <c r="M1389" s="223">
        <f>IF(OR($C1389="",N($L1389)=0,N($B1389)=0),"",IF(IF(MOD($L1389,1)=0,INT($B1389),$B1389)&lt;=$L1389,"Đúng hạn","Trễ hạn"))</f>
      </c>
      <c r="N1389" s="225">
        <f>IF($C1389="","",ROW())</f>
      </c>
      <c r="O1389" s="225">
        <f>IF($I1389="Công việc",MATCH($C1389,'Kế hoạch'!$A$6:$A$305,0),"")</f>
      </c>
      <c r="P1389" s="234">
        <f>IF($O1389="","",INDEX('Kế hoạch'!$I$6:$I$305,$O1389))</f>
      </c>
      <c r="Q1389" s="225">
        <f>IF($O1389="","",INDEX('Kế hoạch'!$AJ$6:$AJ$305,$O1389))</f>
      </c>
      <c r="R1389" s="225">
        <f>IF($O1389="","",INDEX('Kế hoạch'!$AK$6:$AK$305,$O1389))</f>
      </c>
    </row>
    <row r="1390">
      <c r="A1390" s="223">
        <f>IF($C1390="","",COUNTIF($C$6:$C1390,"?*"))</f>
      </c>
      <c r="B1390" s="217"/>
      <c r="C1390" s="216"/>
      <c r="D1390" s="240"/>
      <c r="E1390" s="218"/>
      <c r="F1390" s="218"/>
      <c r="G1390" s="218"/>
      <c r="H1390" s="219"/>
      <c r="I1390" s="223">
        <f>IF($C1390="","",IF(ISNUMBER(MATCH($C1390,'Phản ánh'!$A$6:$A$505,0)),"Phản ánh",IF(ISNUMBER(MATCH($C1390,'Kế hoạch'!$A$6:$A$305,0)),"Công việc","Mã chưa có")))</f>
      </c>
      <c r="J1390" s="221">
        <f>IF($I1390="Phản ánh",INDEX('Phản ánh'!$C$6:$C$505,MATCH($C1390,'Phản ánh'!$A$6:$A$505,0)),IF($I1390="Công việc",INDEX('Kế hoạch'!$C$6:$C$305,$O1390),""))</f>
      </c>
      <c r="K1390" s="221">
        <f>IF($I1390="Phản ánh",INDEX('Phản ánh'!$K$6:$K$505,MATCH($C1390,'Phản ánh'!$A$6:$A$505,0))&amp;"",IF($I1390="Công việc",INDEX('Kế hoạch'!$N$6:$N$305,$O1390)&amp;"",""))</f>
      </c>
      <c r="L1390" s="220">
        <f>IF(OR($C1390="",N($B1390)=0),"",IF(AND($I1390="Phản ánh",$E1390="Đã xử lý"),INDEX('Phản ánh'!$U$6:$U$505,MATCH($C1390,'Phản ánh'!$A$6:$A$505,0)),IF(AND($I1390="Công việc",OR($E1390="Hoàn thành",$E1390="Hoàn thành kỳ")),IF(INDEX('Kế hoạch'!$B$6:$B$305,$O1390)="Đột xuất",INDEX('Kế hoạch'!$AY$6:$AY$305,$O1390),IF(N($P1390)=0,"",IF(INT($B1390)&lt;$P1390,$P1390,IF($Q1390&gt;0,$P1390+ROUND((INT($B1390)-$P1390)/$Q1390,0)*$Q1390,IF($R1390&gt;0,EDATE($P1390,ROUND((DATEDIF($P1390,INT($B1390),"m")+(INT($B1390)-EDATE($P1390,DATEDIF($P1390,INT($B1390),"m")))/(EDATE($P1390,DATEDIF($P1390,INT($B1390),"m")+1)-EDATE($P1390,DATEDIF($P1390,INT($B1390),"m"))))/$R1390,0)*$R1390),$P1390))))),"")))</f>
      </c>
      <c r="M1390" s="223">
        <f>IF(OR($C1390="",N($L1390)=0,N($B1390)=0),"",IF(IF(MOD($L1390,1)=0,INT($B1390),$B1390)&lt;=$L1390,"Đúng hạn","Trễ hạn"))</f>
      </c>
      <c r="N1390" s="225">
        <f>IF($C1390="","",ROW())</f>
      </c>
      <c r="O1390" s="225">
        <f>IF($I1390="Công việc",MATCH($C1390,'Kế hoạch'!$A$6:$A$305,0),"")</f>
      </c>
      <c r="P1390" s="234">
        <f>IF($O1390="","",INDEX('Kế hoạch'!$I$6:$I$305,$O1390))</f>
      </c>
      <c r="Q1390" s="225">
        <f>IF($O1390="","",INDEX('Kế hoạch'!$AJ$6:$AJ$305,$O1390))</f>
      </c>
      <c r="R1390" s="225">
        <f>IF($O1390="","",INDEX('Kế hoạch'!$AK$6:$AK$305,$O1390))</f>
      </c>
    </row>
    <row r="1391">
      <c r="A1391" s="223">
        <f>IF($C1391="","",COUNTIF($C$6:$C1391,"?*"))</f>
      </c>
      <c r="B1391" s="217"/>
      <c r="C1391" s="216"/>
      <c r="D1391" s="240"/>
      <c r="E1391" s="218"/>
      <c r="F1391" s="218"/>
      <c r="G1391" s="218"/>
      <c r="H1391" s="219"/>
      <c r="I1391" s="223">
        <f>IF($C1391="","",IF(ISNUMBER(MATCH($C1391,'Phản ánh'!$A$6:$A$505,0)),"Phản ánh",IF(ISNUMBER(MATCH($C1391,'Kế hoạch'!$A$6:$A$305,0)),"Công việc","Mã chưa có")))</f>
      </c>
      <c r="J1391" s="221">
        <f>IF($I1391="Phản ánh",INDEX('Phản ánh'!$C$6:$C$505,MATCH($C1391,'Phản ánh'!$A$6:$A$505,0)),IF($I1391="Công việc",INDEX('Kế hoạch'!$C$6:$C$305,$O1391),""))</f>
      </c>
      <c r="K1391" s="221">
        <f>IF($I1391="Phản ánh",INDEX('Phản ánh'!$K$6:$K$505,MATCH($C1391,'Phản ánh'!$A$6:$A$505,0))&amp;"",IF($I1391="Công việc",INDEX('Kế hoạch'!$N$6:$N$305,$O1391)&amp;"",""))</f>
      </c>
      <c r="L1391" s="220">
        <f>IF(OR($C1391="",N($B1391)=0),"",IF(AND($I1391="Phản ánh",$E1391="Đã xử lý"),INDEX('Phản ánh'!$U$6:$U$505,MATCH($C1391,'Phản ánh'!$A$6:$A$505,0)),IF(AND($I1391="Công việc",OR($E1391="Hoàn thành",$E1391="Hoàn thành kỳ")),IF(INDEX('Kế hoạch'!$B$6:$B$305,$O1391)="Đột xuất",INDEX('Kế hoạch'!$AY$6:$AY$305,$O1391),IF(N($P1391)=0,"",IF(INT($B1391)&lt;$P1391,$P1391,IF($Q1391&gt;0,$P1391+ROUND((INT($B1391)-$P1391)/$Q1391,0)*$Q1391,IF($R1391&gt;0,EDATE($P1391,ROUND((DATEDIF($P1391,INT($B1391),"m")+(INT($B1391)-EDATE($P1391,DATEDIF($P1391,INT($B1391),"m")))/(EDATE($P1391,DATEDIF($P1391,INT($B1391),"m")+1)-EDATE($P1391,DATEDIF($P1391,INT($B1391),"m"))))/$R1391,0)*$R1391),$P1391))))),"")))</f>
      </c>
      <c r="M1391" s="223">
        <f>IF(OR($C1391="",N($L1391)=0,N($B1391)=0),"",IF(IF(MOD($L1391,1)=0,INT($B1391),$B1391)&lt;=$L1391,"Đúng hạn","Trễ hạn"))</f>
      </c>
      <c r="N1391" s="225">
        <f>IF($C1391="","",ROW())</f>
      </c>
      <c r="O1391" s="225">
        <f>IF($I1391="Công việc",MATCH($C1391,'Kế hoạch'!$A$6:$A$305,0),"")</f>
      </c>
      <c r="P1391" s="234">
        <f>IF($O1391="","",INDEX('Kế hoạch'!$I$6:$I$305,$O1391))</f>
      </c>
      <c r="Q1391" s="225">
        <f>IF($O1391="","",INDEX('Kế hoạch'!$AJ$6:$AJ$305,$O1391))</f>
      </c>
      <c r="R1391" s="225">
        <f>IF($O1391="","",INDEX('Kế hoạch'!$AK$6:$AK$305,$O1391))</f>
      </c>
    </row>
    <row r="1392">
      <c r="A1392" s="223">
        <f>IF($C1392="","",COUNTIF($C$6:$C1392,"?*"))</f>
      </c>
      <c r="B1392" s="217"/>
      <c r="C1392" s="216"/>
      <c r="D1392" s="240"/>
      <c r="E1392" s="218"/>
      <c r="F1392" s="218"/>
      <c r="G1392" s="218"/>
      <c r="H1392" s="219"/>
      <c r="I1392" s="223">
        <f>IF($C1392="","",IF(ISNUMBER(MATCH($C1392,'Phản ánh'!$A$6:$A$505,0)),"Phản ánh",IF(ISNUMBER(MATCH($C1392,'Kế hoạch'!$A$6:$A$305,0)),"Công việc","Mã chưa có")))</f>
      </c>
      <c r="J1392" s="221">
        <f>IF($I1392="Phản ánh",INDEX('Phản ánh'!$C$6:$C$505,MATCH($C1392,'Phản ánh'!$A$6:$A$505,0)),IF($I1392="Công việc",INDEX('Kế hoạch'!$C$6:$C$305,$O1392),""))</f>
      </c>
      <c r="K1392" s="221">
        <f>IF($I1392="Phản ánh",INDEX('Phản ánh'!$K$6:$K$505,MATCH($C1392,'Phản ánh'!$A$6:$A$505,0))&amp;"",IF($I1392="Công việc",INDEX('Kế hoạch'!$N$6:$N$305,$O1392)&amp;"",""))</f>
      </c>
      <c r="L1392" s="220">
        <f>IF(OR($C1392="",N($B1392)=0),"",IF(AND($I1392="Phản ánh",$E1392="Đã xử lý"),INDEX('Phản ánh'!$U$6:$U$505,MATCH($C1392,'Phản ánh'!$A$6:$A$505,0)),IF(AND($I1392="Công việc",OR($E1392="Hoàn thành",$E1392="Hoàn thành kỳ")),IF(INDEX('Kế hoạch'!$B$6:$B$305,$O1392)="Đột xuất",INDEX('Kế hoạch'!$AY$6:$AY$305,$O1392),IF(N($P1392)=0,"",IF(INT($B1392)&lt;$P1392,$P1392,IF($Q1392&gt;0,$P1392+ROUND((INT($B1392)-$P1392)/$Q1392,0)*$Q1392,IF($R1392&gt;0,EDATE($P1392,ROUND((DATEDIF($P1392,INT($B1392),"m")+(INT($B1392)-EDATE($P1392,DATEDIF($P1392,INT($B1392),"m")))/(EDATE($P1392,DATEDIF($P1392,INT($B1392),"m")+1)-EDATE($P1392,DATEDIF($P1392,INT($B1392),"m"))))/$R1392,0)*$R1392),$P1392))))),"")))</f>
      </c>
      <c r="M1392" s="223">
        <f>IF(OR($C1392="",N($L1392)=0,N($B1392)=0),"",IF(IF(MOD($L1392,1)=0,INT($B1392),$B1392)&lt;=$L1392,"Đúng hạn","Trễ hạn"))</f>
      </c>
      <c r="N1392" s="225">
        <f>IF($C1392="","",ROW())</f>
      </c>
      <c r="O1392" s="225">
        <f>IF($I1392="Công việc",MATCH($C1392,'Kế hoạch'!$A$6:$A$305,0),"")</f>
      </c>
      <c r="P1392" s="234">
        <f>IF($O1392="","",INDEX('Kế hoạch'!$I$6:$I$305,$O1392))</f>
      </c>
      <c r="Q1392" s="225">
        <f>IF($O1392="","",INDEX('Kế hoạch'!$AJ$6:$AJ$305,$O1392))</f>
      </c>
      <c r="R1392" s="225">
        <f>IF($O1392="","",INDEX('Kế hoạch'!$AK$6:$AK$305,$O1392))</f>
      </c>
    </row>
    <row r="1393">
      <c r="A1393" s="223">
        <f>IF($C1393="","",COUNTIF($C$6:$C1393,"?*"))</f>
      </c>
      <c r="B1393" s="217"/>
      <c r="C1393" s="216"/>
      <c r="D1393" s="240"/>
      <c r="E1393" s="218"/>
      <c r="F1393" s="218"/>
      <c r="G1393" s="218"/>
      <c r="H1393" s="219"/>
      <c r="I1393" s="223">
        <f>IF($C1393="","",IF(ISNUMBER(MATCH($C1393,'Phản ánh'!$A$6:$A$505,0)),"Phản ánh",IF(ISNUMBER(MATCH($C1393,'Kế hoạch'!$A$6:$A$305,0)),"Công việc","Mã chưa có")))</f>
      </c>
      <c r="J1393" s="221">
        <f>IF($I1393="Phản ánh",INDEX('Phản ánh'!$C$6:$C$505,MATCH($C1393,'Phản ánh'!$A$6:$A$505,0)),IF($I1393="Công việc",INDEX('Kế hoạch'!$C$6:$C$305,$O1393),""))</f>
      </c>
      <c r="K1393" s="221">
        <f>IF($I1393="Phản ánh",INDEX('Phản ánh'!$K$6:$K$505,MATCH($C1393,'Phản ánh'!$A$6:$A$505,0))&amp;"",IF($I1393="Công việc",INDEX('Kế hoạch'!$N$6:$N$305,$O1393)&amp;"",""))</f>
      </c>
      <c r="L1393" s="220">
        <f>IF(OR($C1393="",N($B1393)=0),"",IF(AND($I1393="Phản ánh",$E1393="Đã xử lý"),INDEX('Phản ánh'!$U$6:$U$505,MATCH($C1393,'Phản ánh'!$A$6:$A$505,0)),IF(AND($I1393="Công việc",OR($E1393="Hoàn thành",$E1393="Hoàn thành kỳ")),IF(INDEX('Kế hoạch'!$B$6:$B$305,$O1393)="Đột xuất",INDEX('Kế hoạch'!$AY$6:$AY$305,$O1393),IF(N($P1393)=0,"",IF(INT($B1393)&lt;$P1393,$P1393,IF($Q1393&gt;0,$P1393+ROUND((INT($B1393)-$P1393)/$Q1393,0)*$Q1393,IF($R1393&gt;0,EDATE($P1393,ROUND((DATEDIF($P1393,INT($B1393),"m")+(INT($B1393)-EDATE($P1393,DATEDIF($P1393,INT($B1393),"m")))/(EDATE($P1393,DATEDIF($P1393,INT($B1393),"m")+1)-EDATE($P1393,DATEDIF($P1393,INT($B1393),"m"))))/$R1393,0)*$R1393),$P1393))))),"")))</f>
      </c>
      <c r="M1393" s="223">
        <f>IF(OR($C1393="",N($L1393)=0,N($B1393)=0),"",IF(IF(MOD($L1393,1)=0,INT($B1393),$B1393)&lt;=$L1393,"Đúng hạn","Trễ hạn"))</f>
      </c>
      <c r="N1393" s="225">
        <f>IF($C1393="","",ROW())</f>
      </c>
      <c r="O1393" s="225">
        <f>IF($I1393="Công việc",MATCH($C1393,'Kế hoạch'!$A$6:$A$305,0),"")</f>
      </c>
      <c r="P1393" s="234">
        <f>IF($O1393="","",INDEX('Kế hoạch'!$I$6:$I$305,$O1393))</f>
      </c>
      <c r="Q1393" s="225">
        <f>IF($O1393="","",INDEX('Kế hoạch'!$AJ$6:$AJ$305,$O1393))</f>
      </c>
      <c r="R1393" s="225">
        <f>IF($O1393="","",INDEX('Kế hoạch'!$AK$6:$AK$305,$O1393))</f>
      </c>
    </row>
    <row r="1394">
      <c r="A1394" s="223">
        <f>IF($C1394="","",COUNTIF($C$6:$C1394,"?*"))</f>
      </c>
      <c r="B1394" s="217"/>
      <c r="C1394" s="216"/>
      <c r="D1394" s="240"/>
      <c r="E1394" s="218"/>
      <c r="F1394" s="218"/>
      <c r="G1394" s="218"/>
      <c r="H1394" s="219"/>
      <c r="I1394" s="223">
        <f>IF($C1394="","",IF(ISNUMBER(MATCH($C1394,'Phản ánh'!$A$6:$A$505,0)),"Phản ánh",IF(ISNUMBER(MATCH($C1394,'Kế hoạch'!$A$6:$A$305,0)),"Công việc","Mã chưa có")))</f>
      </c>
      <c r="J1394" s="221">
        <f>IF($I1394="Phản ánh",INDEX('Phản ánh'!$C$6:$C$505,MATCH($C1394,'Phản ánh'!$A$6:$A$505,0)),IF($I1394="Công việc",INDEX('Kế hoạch'!$C$6:$C$305,$O1394),""))</f>
      </c>
      <c r="K1394" s="221">
        <f>IF($I1394="Phản ánh",INDEX('Phản ánh'!$K$6:$K$505,MATCH($C1394,'Phản ánh'!$A$6:$A$505,0))&amp;"",IF($I1394="Công việc",INDEX('Kế hoạch'!$N$6:$N$305,$O1394)&amp;"",""))</f>
      </c>
      <c r="L1394" s="220">
        <f>IF(OR($C1394="",N($B1394)=0),"",IF(AND($I1394="Phản ánh",$E1394="Đã xử lý"),INDEX('Phản ánh'!$U$6:$U$505,MATCH($C1394,'Phản ánh'!$A$6:$A$505,0)),IF(AND($I1394="Công việc",OR($E1394="Hoàn thành",$E1394="Hoàn thành kỳ")),IF(INDEX('Kế hoạch'!$B$6:$B$305,$O1394)="Đột xuất",INDEX('Kế hoạch'!$AY$6:$AY$305,$O1394),IF(N($P1394)=0,"",IF(INT($B1394)&lt;$P1394,$P1394,IF($Q1394&gt;0,$P1394+ROUND((INT($B1394)-$P1394)/$Q1394,0)*$Q1394,IF($R1394&gt;0,EDATE($P1394,ROUND((DATEDIF($P1394,INT($B1394),"m")+(INT($B1394)-EDATE($P1394,DATEDIF($P1394,INT($B1394),"m")))/(EDATE($P1394,DATEDIF($P1394,INT($B1394),"m")+1)-EDATE($P1394,DATEDIF($P1394,INT($B1394),"m"))))/$R1394,0)*$R1394),$P1394))))),"")))</f>
      </c>
      <c r="M1394" s="223">
        <f>IF(OR($C1394="",N($L1394)=0,N($B1394)=0),"",IF(IF(MOD($L1394,1)=0,INT($B1394),$B1394)&lt;=$L1394,"Đúng hạn","Trễ hạn"))</f>
      </c>
      <c r="N1394" s="225">
        <f>IF($C1394="","",ROW())</f>
      </c>
      <c r="O1394" s="225">
        <f>IF($I1394="Công việc",MATCH($C1394,'Kế hoạch'!$A$6:$A$305,0),"")</f>
      </c>
      <c r="P1394" s="234">
        <f>IF($O1394="","",INDEX('Kế hoạch'!$I$6:$I$305,$O1394))</f>
      </c>
      <c r="Q1394" s="225">
        <f>IF($O1394="","",INDEX('Kế hoạch'!$AJ$6:$AJ$305,$O1394))</f>
      </c>
      <c r="R1394" s="225">
        <f>IF($O1394="","",INDEX('Kế hoạch'!$AK$6:$AK$305,$O1394))</f>
      </c>
    </row>
    <row r="1395">
      <c r="A1395" s="223">
        <f>IF($C1395="","",COUNTIF($C$6:$C1395,"?*"))</f>
      </c>
      <c r="B1395" s="217"/>
      <c r="C1395" s="216"/>
      <c r="D1395" s="240"/>
      <c r="E1395" s="218"/>
      <c r="F1395" s="218"/>
      <c r="G1395" s="218"/>
      <c r="H1395" s="219"/>
      <c r="I1395" s="223">
        <f>IF($C1395="","",IF(ISNUMBER(MATCH($C1395,'Phản ánh'!$A$6:$A$505,0)),"Phản ánh",IF(ISNUMBER(MATCH($C1395,'Kế hoạch'!$A$6:$A$305,0)),"Công việc","Mã chưa có")))</f>
      </c>
      <c r="J1395" s="221">
        <f>IF($I1395="Phản ánh",INDEX('Phản ánh'!$C$6:$C$505,MATCH($C1395,'Phản ánh'!$A$6:$A$505,0)),IF($I1395="Công việc",INDEX('Kế hoạch'!$C$6:$C$305,$O1395),""))</f>
      </c>
      <c r="K1395" s="221">
        <f>IF($I1395="Phản ánh",INDEX('Phản ánh'!$K$6:$K$505,MATCH($C1395,'Phản ánh'!$A$6:$A$505,0))&amp;"",IF($I1395="Công việc",INDEX('Kế hoạch'!$N$6:$N$305,$O1395)&amp;"",""))</f>
      </c>
      <c r="L1395" s="220">
        <f>IF(OR($C1395="",N($B1395)=0),"",IF(AND($I1395="Phản ánh",$E1395="Đã xử lý"),INDEX('Phản ánh'!$U$6:$U$505,MATCH($C1395,'Phản ánh'!$A$6:$A$505,0)),IF(AND($I1395="Công việc",OR($E1395="Hoàn thành",$E1395="Hoàn thành kỳ")),IF(INDEX('Kế hoạch'!$B$6:$B$305,$O1395)="Đột xuất",INDEX('Kế hoạch'!$AY$6:$AY$305,$O1395),IF(N($P1395)=0,"",IF(INT($B1395)&lt;$P1395,$P1395,IF($Q1395&gt;0,$P1395+ROUND((INT($B1395)-$P1395)/$Q1395,0)*$Q1395,IF($R1395&gt;0,EDATE($P1395,ROUND((DATEDIF($P1395,INT($B1395),"m")+(INT($B1395)-EDATE($P1395,DATEDIF($P1395,INT($B1395),"m")))/(EDATE($P1395,DATEDIF($P1395,INT($B1395),"m")+1)-EDATE($P1395,DATEDIF($P1395,INT($B1395),"m"))))/$R1395,0)*$R1395),$P1395))))),"")))</f>
      </c>
      <c r="M1395" s="223">
        <f>IF(OR($C1395="",N($L1395)=0,N($B1395)=0),"",IF(IF(MOD($L1395,1)=0,INT($B1395),$B1395)&lt;=$L1395,"Đúng hạn","Trễ hạn"))</f>
      </c>
      <c r="N1395" s="225">
        <f>IF($C1395="","",ROW())</f>
      </c>
      <c r="O1395" s="225">
        <f>IF($I1395="Công việc",MATCH($C1395,'Kế hoạch'!$A$6:$A$305,0),"")</f>
      </c>
      <c r="P1395" s="234">
        <f>IF($O1395="","",INDEX('Kế hoạch'!$I$6:$I$305,$O1395))</f>
      </c>
      <c r="Q1395" s="225">
        <f>IF($O1395="","",INDEX('Kế hoạch'!$AJ$6:$AJ$305,$O1395))</f>
      </c>
      <c r="R1395" s="225">
        <f>IF($O1395="","",INDEX('Kế hoạch'!$AK$6:$AK$305,$O1395))</f>
      </c>
    </row>
    <row r="1396">
      <c r="A1396" s="223">
        <f>IF($C1396="","",COUNTIF($C$6:$C1396,"?*"))</f>
      </c>
      <c r="B1396" s="217"/>
      <c r="C1396" s="216"/>
      <c r="D1396" s="240"/>
      <c r="E1396" s="218"/>
      <c r="F1396" s="218"/>
      <c r="G1396" s="218"/>
      <c r="H1396" s="219"/>
      <c r="I1396" s="223">
        <f>IF($C1396="","",IF(ISNUMBER(MATCH($C1396,'Phản ánh'!$A$6:$A$505,0)),"Phản ánh",IF(ISNUMBER(MATCH($C1396,'Kế hoạch'!$A$6:$A$305,0)),"Công việc","Mã chưa có")))</f>
      </c>
      <c r="J1396" s="221">
        <f>IF($I1396="Phản ánh",INDEX('Phản ánh'!$C$6:$C$505,MATCH($C1396,'Phản ánh'!$A$6:$A$505,0)),IF($I1396="Công việc",INDEX('Kế hoạch'!$C$6:$C$305,$O1396),""))</f>
      </c>
      <c r="K1396" s="221">
        <f>IF($I1396="Phản ánh",INDEX('Phản ánh'!$K$6:$K$505,MATCH($C1396,'Phản ánh'!$A$6:$A$505,0))&amp;"",IF($I1396="Công việc",INDEX('Kế hoạch'!$N$6:$N$305,$O1396)&amp;"",""))</f>
      </c>
      <c r="L1396" s="220">
        <f>IF(OR($C1396="",N($B1396)=0),"",IF(AND($I1396="Phản ánh",$E1396="Đã xử lý"),INDEX('Phản ánh'!$U$6:$U$505,MATCH($C1396,'Phản ánh'!$A$6:$A$505,0)),IF(AND($I1396="Công việc",OR($E1396="Hoàn thành",$E1396="Hoàn thành kỳ")),IF(INDEX('Kế hoạch'!$B$6:$B$305,$O1396)="Đột xuất",INDEX('Kế hoạch'!$AY$6:$AY$305,$O1396),IF(N($P1396)=0,"",IF(INT($B1396)&lt;$P1396,$P1396,IF($Q1396&gt;0,$P1396+ROUND((INT($B1396)-$P1396)/$Q1396,0)*$Q1396,IF($R1396&gt;0,EDATE($P1396,ROUND((DATEDIF($P1396,INT($B1396),"m")+(INT($B1396)-EDATE($P1396,DATEDIF($P1396,INT($B1396),"m")))/(EDATE($P1396,DATEDIF($P1396,INT($B1396),"m")+1)-EDATE($P1396,DATEDIF($P1396,INT($B1396),"m"))))/$R1396,0)*$R1396),$P1396))))),"")))</f>
      </c>
      <c r="M1396" s="223">
        <f>IF(OR($C1396="",N($L1396)=0,N($B1396)=0),"",IF(IF(MOD($L1396,1)=0,INT($B1396),$B1396)&lt;=$L1396,"Đúng hạn","Trễ hạn"))</f>
      </c>
      <c r="N1396" s="225">
        <f>IF($C1396="","",ROW())</f>
      </c>
      <c r="O1396" s="225">
        <f>IF($I1396="Công việc",MATCH($C1396,'Kế hoạch'!$A$6:$A$305,0),"")</f>
      </c>
      <c r="P1396" s="234">
        <f>IF($O1396="","",INDEX('Kế hoạch'!$I$6:$I$305,$O1396))</f>
      </c>
      <c r="Q1396" s="225">
        <f>IF($O1396="","",INDEX('Kế hoạch'!$AJ$6:$AJ$305,$O1396))</f>
      </c>
      <c r="R1396" s="225">
        <f>IF($O1396="","",INDEX('Kế hoạch'!$AK$6:$AK$305,$O1396))</f>
      </c>
    </row>
    <row r="1397">
      <c r="A1397" s="223">
        <f>IF($C1397="","",COUNTIF($C$6:$C1397,"?*"))</f>
      </c>
      <c r="B1397" s="217"/>
      <c r="C1397" s="216"/>
      <c r="D1397" s="240"/>
      <c r="E1397" s="218"/>
      <c r="F1397" s="218"/>
      <c r="G1397" s="218"/>
      <c r="H1397" s="219"/>
      <c r="I1397" s="223">
        <f>IF($C1397="","",IF(ISNUMBER(MATCH($C1397,'Phản ánh'!$A$6:$A$505,0)),"Phản ánh",IF(ISNUMBER(MATCH($C1397,'Kế hoạch'!$A$6:$A$305,0)),"Công việc","Mã chưa có")))</f>
      </c>
      <c r="J1397" s="221">
        <f>IF($I1397="Phản ánh",INDEX('Phản ánh'!$C$6:$C$505,MATCH($C1397,'Phản ánh'!$A$6:$A$505,0)),IF($I1397="Công việc",INDEX('Kế hoạch'!$C$6:$C$305,$O1397),""))</f>
      </c>
      <c r="K1397" s="221">
        <f>IF($I1397="Phản ánh",INDEX('Phản ánh'!$K$6:$K$505,MATCH($C1397,'Phản ánh'!$A$6:$A$505,0))&amp;"",IF($I1397="Công việc",INDEX('Kế hoạch'!$N$6:$N$305,$O1397)&amp;"",""))</f>
      </c>
      <c r="L1397" s="220">
        <f>IF(OR($C1397="",N($B1397)=0),"",IF(AND($I1397="Phản ánh",$E1397="Đã xử lý"),INDEX('Phản ánh'!$U$6:$U$505,MATCH($C1397,'Phản ánh'!$A$6:$A$505,0)),IF(AND($I1397="Công việc",OR($E1397="Hoàn thành",$E1397="Hoàn thành kỳ")),IF(INDEX('Kế hoạch'!$B$6:$B$305,$O1397)="Đột xuất",INDEX('Kế hoạch'!$AY$6:$AY$305,$O1397),IF(N($P1397)=0,"",IF(INT($B1397)&lt;$P1397,$P1397,IF($Q1397&gt;0,$P1397+ROUND((INT($B1397)-$P1397)/$Q1397,0)*$Q1397,IF($R1397&gt;0,EDATE($P1397,ROUND((DATEDIF($P1397,INT($B1397),"m")+(INT($B1397)-EDATE($P1397,DATEDIF($P1397,INT($B1397),"m")))/(EDATE($P1397,DATEDIF($P1397,INT($B1397),"m")+1)-EDATE($P1397,DATEDIF($P1397,INT($B1397),"m"))))/$R1397,0)*$R1397),$P1397))))),"")))</f>
      </c>
      <c r="M1397" s="223">
        <f>IF(OR($C1397="",N($L1397)=0,N($B1397)=0),"",IF(IF(MOD($L1397,1)=0,INT($B1397),$B1397)&lt;=$L1397,"Đúng hạn","Trễ hạn"))</f>
      </c>
      <c r="N1397" s="225">
        <f>IF($C1397="","",ROW())</f>
      </c>
      <c r="O1397" s="225">
        <f>IF($I1397="Công việc",MATCH($C1397,'Kế hoạch'!$A$6:$A$305,0),"")</f>
      </c>
      <c r="P1397" s="234">
        <f>IF($O1397="","",INDEX('Kế hoạch'!$I$6:$I$305,$O1397))</f>
      </c>
      <c r="Q1397" s="225">
        <f>IF($O1397="","",INDEX('Kế hoạch'!$AJ$6:$AJ$305,$O1397))</f>
      </c>
      <c r="R1397" s="225">
        <f>IF($O1397="","",INDEX('Kế hoạch'!$AK$6:$AK$305,$O1397))</f>
      </c>
    </row>
    <row r="1398">
      <c r="A1398" s="223">
        <f>IF($C1398="","",COUNTIF($C$6:$C1398,"?*"))</f>
      </c>
      <c r="B1398" s="217"/>
      <c r="C1398" s="216"/>
      <c r="D1398" s="240"/>
      <c r="E1398" s="218"/>
      <c r="F1398" s="218"/>
      <c r="G1398" s="218"/>
      <c r="H1398" s="219"/>
      <c r="I1398" s="223">
        <f>IF($C1398="","",IF(ISNUMBER(MATCH($C1398,'Phản ánh'!$A$6:$A$505,0)),"Phản ánh",IF(ISNUMBER(MATCH($C1398,'Kế hoạch'!$A$6:$A$305,0)),"Công việc","Mã chưa có")))</f>
      </c>
      <c r="J1398" s="221">
        <f>IF($I1398="Phản ánh",INDEX('Phản ánh'!$C$6:$C$505,MATCH($C1398,'Phản ánh'!$A$6:$A$505,0)),IF($I1398="Công việc",INDEX('Kế hoạch'!$C$6:$C$305,$O1398),""))</f>
      </c>
      <c r="K1398" s="221">
        <f>IF($I1398="Phản ánh",INDEX('Phản ánh'!$K$6:$K$505,MATCH($C1398,'Phản ánh'!$A$6:$A$505,0))&amp;"",IF($I1398="Công việc",INDEX('Kế hoạch'!$N$6:$N$305,$O1398)&amp;"",""))</f>
      </c>
      <c r="L1398" s="220">
        <f>IF(OR($C1398="",N($B1398)=0),"",IF(AND($I1398="Phản ánh",$E1398="Đã xử lý"),INDEX('Phản ánh'!$U$6:$U$505,MATCH($C1398,'Phản ánh'!$A$6:$A$505,0)),IF(AND($I1398="Công việc",OR($E1398="Hoàn thành",$E1398="Hoàn thành kỳ")),IF(INDEX('Kế hoạch'!$B$6:$B$305,$O1398)="Đột xuất",INDEX('Kế hoạch'!$AY$6:$AY$305,$O1398),IF(N($P1398)=0,"",IF(INT($B1398)&lt;$P1398,$P1398,IF($Q1398&gt;0,$P1398+ROUND((INT($B1398)-$P1398)/$Q1398,0)*$Q1398,IF($R1398&gt;0,EDATE($P1398,ROUND((DATEDIF($P1398,INT($B1398),"m")+(INT($B1398)-EDATE($P1398,DATEDIF($P1398,INT($B1398),"m")))/(EDATE($P1398,DATEDIF($P1398,INT($B1398),"m")+1)-EDATE($P1398,DATEDIF($P1398,INT($B1398),"m"))))/$R1398,0)*$R1398),$P1398))))),"")))</f>
      </c>
      <c r="M1398" s="223">
        <f>IF(OR($C1398="",N($L1398)=0,N($B1398)=0),"",IF(IF(MOD($L1398,1)=0,INT($B1398),$B1398)&lt;=$L1398,"Đúng hạn","Trễ hạn"))</f>
      </c>
      <c r="N1398" s="225">
        <f>IF($C1398="","",ROW())</f>
      </c>
      <c r="O1398" s="225">
        <f>IF($I1398="Công việc",MATCH($C1398,'Kế hoạch'!$A$6:$A$305,0),"")</f>
      </c>
      <c r="P1398" s="234">
        <f>IF($O1398="","",INDEX('Kế hoạch'!$I$6:$I$305,$O1398))</f>
      </c>
      <c r="Q1398" s="225">
        <f>IF($O1398="","",INDEX('Kế hoạch'!$AJ$6:$AJ$305,$O1398))</f>
      </c>
      <c r="R1398" s="225">
        <f>IF($O1398="","",INDEX('Kế hoạch'!$AK$6:$AK$305,$O1398))</f>
      </c>
    </row>
    <row r="1399">
      <c r="A1399" s="223">
        <f>IF($C1399="","",COUNTIF($C$6:$C1399,"?*"))</f>
      </c>
      <c r="B1399" s="217"/>
      <c r="C1399" s="216"/>
      <c r="D1399" s="240"/>
      <c r="E1399" s="218"/>
      <c r="F1399" s="218"/>
      <c r="G1399" s="218"/>
      <c r="H1399" s="219"/>
      <c r="I1399" s="223">
        <f>IF($C1399="","",IF(ISNUMBER(MATCH($C1399,'Phản ánh'!$A$6:$A$505,0)),"Phản ánh",IF(ISNUMBER(MATCH($C1399,'Kế hoạch'!$A$6:$A$305,0)),"Công việc","Mã chưa có")))</f>
      </c>
      <c r="J1399" s="221">
        <f>IF($I1399="Phản ánh",INDEX('Phản ánh'!$C$6:$C$505,MATCH($C1399,'Phản ánh'!$A$6:$A$505,0)),IF($I1399="Công việc",INDEX('Kế hoạch'!$C$6:$C$305,$O1399),""))</f>
      </c>
      <c r="K1399" s="221">
        <f>IF($I1399="Phản ánh",INDEX('Phản ánh'!$K$6:$K$505,MATCH($C1399,'Phản ánh'!$A$6:$A$505,0))&amp;"",IF($I1399="Công việc",INDEX('Kế hoạch'!$N$6:$N$305,$O1399)&amp;"",""))</f>
      </c>
      <c r="L1399" s="220">
        <f>IF(OR($C1399="",N($B1399)=0),"",IF(AND($I1399="Phản ánh",$E1399="Đã xử lý"),INDEX('Phản ánh'!$U$6:$U$505,MATCH($C1399,'Phản ánh'!$A$6:$A$505,0)),IF(AND($I1399="Công việc",OR($E1399="Hoàn thành",$E1399="Hoàn thành kỳ")),IF(INDEX('Kế hoạch'!$B$6:$B$305,$O1399)="Đột xuất",INDEX('Kế hoạch'!$AY$6:$AY$305,$O1399),IF(N($P1399)=0,"",IF(INT($B1399)&lt;$P1399,$P1399,IF($Q1399&gt;0,$P1399+ROUND((INT($B1399)-$P1399)/$Q1399,0)*$Q1399,IF($R1399&gt;0,EDATE($P1399,ROUND((DATEDIF($P1399,INT($B1399),"m")+(INT($B1399)-EDATE($P1399,DATEDIF($P1399,INT($B1399),"m")))/(EDATE($P1399,DATEDIF($P1399,INT($B1399),"m")+1)-EDATE($P1399,DATEDIF($P1399,INT($B1399),"m"))))/$R1399,0)*$R1399),$P1399))))),"")))</f>
      </c>
      <c r="M1399" s="223">
        <f>IF(OR($C1399="",N($L1399)=0,N($B1399)=0),"",IF(IF(MOD($L1399,1)=0,INT($B1399),$B1399)&lt;=$L1399,"Đúng hạn","Trễ hạn"))</f>
      </c>
      <c r="N1399" s="225">
        <f>IF($C1399="","",ROW())</f>
      </c>
      <c r="O1399" s="225">
        <f>IF($I1399="Công việc",MATCH($C1399,'Kế hoạch'!$A$6:$A$305,0),"")</f>
      </c>
      <c r="P1399" s="234">
        <f>IF($O1399="","",INDEX('Kế hoạch'!$I$6:$I$305,$O1399))</f>
      </c>
      <c r="Q1399" s="225">
        <f>IF($O1399="","",INDEX('Kế hoạch'!$AJ$6:$AJ$305,$O1399))</f>
      </c>
      <c r="R1399" s="225">
        <f>IF($O1399="","",INDEX('Kế hoạch'!$AK$6:$AK$305,$O1399))</f>
      </c>
    </row>
    <row r="1400">
      <c r="A1400" s="223">
        <f>IF($C1400="","",COUNTIF($C$6:$C1400,"?*"))</f>
      </c>
      <c r="B1400" s="217"/>
      <c r="C1400" s="216"/>
      <c r="D1400" s="240"/>
      <c r="E1400" s="218"/>
      <c r="F1400" s="218"/>
      <c r="G1400" s="218"/>
      <c r="H1400" s="219"/>
      <c r="I1400" s="223">
        <f>IF($C1400="","",IF(ISNUMBER(MATCH($C1400,'Phản ánh'!$A$6:$A$505,0)),"Phản ánh",IF(ISNUMBER(MATCH($C1400,'Kế hoạch'!$A$6:$A$305,0)),"Công việc","Mã chưa có")))</f>
      </c>
      <c r="J1400" s="221">
        <f>IF($I1400="Phản ánh",INDEX('Phản ánh'!$C$6:$C$505,MATCH($C1400,'Phản ánh'!$A$6:$A$505,0)),IF($I1400="Công việc",INDEX('Kế hoạch'!$C$6:$C$305,$O1400),""))</f>
      </c>
      <c r="K1400" s="221">
        <f>IF($I1400="Phản ánh",INDEX('Phản ánh'!$K$6:$K$505,MATCH($C1400,'Phản ánh'!$A$6:$A$505,0))&amp;"",IF($I1400="Công việc",INDEX('Kế hoạch'!$N$6:$N$305,$O1400)&amp;"",""))</f>
      </c>
      <c r="L1400" s="220">
        <f>IF(OR($C1400="",N($B1400)=0),"",IF(AND($I1400="Phản ánh",$E1400="Đã xử lý"),INDEX('Phản ánh'!$U$6:$U$505,MATCH($C1400,'Phản ánh'!$A$6:$A$505,0)),IF(AND($I1400="Công việc",OR($E1400="Hoàn thành",$E1400="Hoàn thành kỳ")),IF(INDEX('Kế hoạch'!$B$6:$B$305,$O1400)="Đột xuất",INDEX('Kế hoạch'!$AY$6:$AY$305,$O1400),IF(N($P1400)=0,"",IF(INT($B1400)&lt;$P1400,$P1400,IF($Q1400&gt;0,$P1400+ROUND((INT($B1400)-$P1400)/$Q1400,0)*$Q1400,IF($R1400&gt;0,EDATE($P1400,ROUND((DATEDIF($P1400,INT($B1400),"m")+(INT($B1400)-EDATE($P1400,DATEDIF($P1400,INT($B1400),"m")))/(EDATE($P1400,DATEDIF($P1400,INT($B1400),"m")+1)-EDATE($P1400,DATEDIF($P1400,INT($B1400),"m"))))/$R1400,0)*$R1400),$P1400))))),"")))</f>
      </c>
      <c r="M1400" s="223">
        <f>IF(OR($C1400="",N($L1400)=0,N($B1400)=0),"",IF(IF(MOD($L1400,1)=0,INT($B1400),$B1400)&lt;=$L1400,"Đúng hạn","Trễ hạn"))</f>
      </c>
      <c r="N1400" s="225">
        <f>IF($C1400="","",ROW())</f>
      </c>
      <c r="O1400" s="225">
        <f>IF($I1400="Công việc",MATCH($C1400,'Kế hoạch'!$A$6:$A$305,0),"")</f>
      </c>
      <c r="P1400" s="234">
        <f>IF($O1400="","",INDEX('Kế hoạch'!$I$6:$I$305,$O1400))</f>
      </c>
      <c r="Q1400" s="225">
        <f>IF($O1400="","",INDEX('Kế hoạch'!$AJ$6:$AJ$305,$O1400))</f>
      </c>
      <c r="R1400" s="225">
        <f>IF($O1400="","",INDEX('Kế hoạch'!$AK$6:$AK$305,$O1400))</f>
      </c>
    </row>
    <row r="1401">
      <c r="A1401" s="223">
        <f>IF($C1401="","",COUNTIF($C$6:$C1401,"?*"))</f>
      </c>
      <c r="B1401" s="217"/>
      <c r="C1401" s="216"/>
      <c r="D1401" s="240"/>
      <c r="E1401" s="218"/>
      <c r="F1401" s="218"/>
      <c r="G1401" s="218"/>
      <c r="H1401" s="219"/>
      <c r="I1401" s="223">
        <f>IF($C1401="","",IF(ISNUMBER(MATCH($C1401,'Phản ánh'!$A$6:$A$505,0)),"Phản ánh",IF(ISNUMBER(MATCH($C1401,'Kế hoạch'!$A$6:$A$305,0)),"Công việc","Mã chưa có")))</f>
      </c>
      <c r="J1401" s="221">
        <f>IF($I1401="Phản ánh",INDEX('Phản ánh'!$C$6:$C$505,MATCH($C1401,'Phản ánh'!$A$6:$A$505,0)),IF($I1401="Công việc",INDEX('Kế hoạch'!$C$6:$C$305,$O1401),""))</f>
      </c>
      <c r="K1401" s="221">
        <f>IF($I1401="Phản ánh",INDEX('Phản ánh'!$K$6:$K$505,MATCH($C1401,'Phản ánh'!$A$6:$A$505,0))&amp;"",IF($I1401="Công việc",INDEX('Kế hoạch'!$N$6:$N$305,$O1401)&amp;"",""))</f>
      </c>
      <c r="L1401" s="220">
        <f>IF(OR($C1401="",N($B1401)=0),"",IF(AND($I1401="Phản ánh",$E1401="Đã xử lý"),INDEX('Phản ánh'!$U$6:$U$505,MATCH($C1401,'Phản ánh'!$A$6:$A$505,0)),IF(AND($I1401="Công việc",OR($E1401="Hoàn thành",$E1401="Hoàn thành kỳ")),IF(INDEX('Kế hoạch'!$B$6:$B$305,$O1401)="Đột xuất",INDEX('Kế hoạch'!$AY$6:$AY$305,$O1401),IF(N($P1401)=0,"",IF(INT($B1401)&lt;$P1401,$P1401,IF($Q1401&gt;0,$P1401+ROUND((INT($B1401)-$P1401)/$Q1401,0)*$Q1401,IF($R1401&gt;0,EDATE($P1401,ROUND((DATEDIF($P1401,INT($B1401),"m")+(INT($B1401)-EDATE($P1401,DATEDIF($P1401,INT($B1401),"m")))/(EDATE($P1401,DATEDIF($P1401,INT($B1401),"m")+1)-EDATE($P1401,DATEDIF($P1401,INT($B1401),"m"))))/$R1401,0)*$R1401),$P1401))))),"")))</f>
      </c>
      <c r="M1401" s="223">
        <f>IF(OR($C1401="",N($L1401)=0,N($B1401)=0),"",IF(IF(MOD($L1401,1)=0,INT($B1401),$B1401)&lt;=$L1401,"Đúng hạn","Trễ hạn"))</f>
      </c>
      <c r="N1401" s="225">
        <f>IF($C1401="","",ROW())</f>
      </c>
      <c r="O1401" s="225">
        <f>IF($I1401="Công việc",MATCH($C1401,'Kế hoạch'!$A$6:$A$305,0),"")</f>
      </c>
      <c r="P1401" s="234">
        <f>IF($O1401="","",INDEX('Kế hoạch'!$I$6:$I$305,$O1401))</f>
      </c>
      <c r="Q1401" s="225">
        <f>IF($O1401="","",INDEX('Kế hoạch'!$AJ$6:$AJ$305,$O1401))</f>
      </c>
      <c r="R1401" s="225">
        <f>IF($O1401="","",INDEX('Kế hoạch'!$AK$6:$AK$305,$O1401))</f>
      </c>
    </row>
    <row r="1402">
      <c r="A1402" s="223">
        <f>IF($C1402="","",COUNTIF($C$6:$C1402,"?*"))</f>
      </c>
      <c r="B1402" s="217"/>
      <c r="C1402" s="216"/>
      <c r="D1402" s="240"/>
      <c r="E1402" s="218"/>
      <c r="F1402" s="218"/>
      <c r="G1402" s="218"/>
      <c r="H1402" s="219"/>
      <c r="I1402" s="223">
        <f>IF($C1402="","",IF(ISNUMBER(MATCH($C1402,'Phản ánh'!$A$6:$A$505,0)),"Phản ánh",IF(ISNUMBER(MATCH($C1402,'Kế hoạch'!$A$6:$A$305,0)),"Công việc","Mã chưa có")))</f>
      </c>
      <c r="J1402" s="221">
        <f>IF($I1402="Phản ánh",INDEX('Phản ánh'!$C$6:$C$505,MATCH($C1402,'Phản ánh'!$A$6:$A$505,0)),IF($I1402="Công việc",INDEX('Kế hoạch'!$C$6:$C$305,$O1402),""))</f>
      </c>
      <c r="K1402" s="221">
        <f>IF($I1402="Phản ánh",INDEX('Phản ánh'!$K$6:$K$505,MATCH($C1402,'Phản ánh'!$A$6:$A$505,0))&amp;"",IF($I1402="Công việc",INDEX('Kế hoạch'!$N$6:$N$305,$O1402)&amp;"",""))</f>
      </c>
      <c r="L1402" s="220">
        <f>IF(OR($C1402="",N($B1402)=0),"",IF(AND($I1402="Phản ánh",$E1402="Đã xử lý"),INDEX('Phản ánh'!$U$6:$U$505,MATCH($C1402,'Phản ánh'!$A$6:$A$505,0)),IF(AND($I1402="Công việc",OR($E1402="Hoàn thành",$E1402="Hoàn thành kỳ")),IF(INDEX('Kế hoạch'!$B$6:$B$305,$O1402)="Đột xuất",INDEX('Kế hoạch'!$AY$6:$AY$305,$O1402),IF(N($P1402)=0,"",IF(INT($B1402)&lt;$P1402,$P1402,IF($Q1402&gt;0,$P1402+ROUND((INT($B1402)-$P1402)/$Q1402,0)*$Q1402,IF($R1402&gt;0,EDATE($P1402,ROUND((DATEDIF($P1402,INT($B1402),"m")+(INT($B1402)-EDATE($P1402,DATEDIF($P1402,INT($B1402),"m")))/(EDATE($P1402,DATEDIF($P1402,INT($B1402),"m")+1)-EDATE($P1402,DATEDIF($P1402,INT($B1402),"m"))))/$R1402,0)*$R1402),$P1402))))),"")))</f>
      </c>
      <c r="M1402" s="223">
        <f>IF(OR($C1402="",N($L1402)=0,N($B1402)=0),"",IF(IF(MOD($L1402,1)=0,INT($B1402),$B1402)&lt;=$L1402,"Đúng hạn","Trễ hạn"))</f>
      </c>
      <c r="N1402" s="225">
        <f>IF($C1402="","",ROW())</f>
      </c>
      <c r="O1402" s="225">
        <f>IF($I1402="Công việc",MATCH($C1402,'Kế hoạch'!$A$6:$A$305,0),"")</f>
      </c>
      <c r="P1402" s="234">
        <f>IF($O1402="","",INDEX('Kế hoạch'!$I$6:$I$305,$O1402))</f>
      </c>
      <c r="Q1402" s="225">
        <f>IF($O1402="","",INDEX('Kế hoạch'!$AJ$6:$AJ$305,$O1402))</f>
      </c>
      <c r="R1402" s="225">
        <f>IF($O1402="","",INDEX('Kế hoạch'!$AK$6:$AK$305,$O1402))</f>
      </c>
    </row>
    <row r="1403">
      <c r="A1403" s="223">
        <f>IF($C1403="","",COUNTIF($C$6:$C1403,"?*"))</f>
      </c>
      <c r="B1403" s="217"/>
      <c r="C1403" s="216"/>
      <c r="D1403" s="240"/>
      <c r="E1403" s="218"/>
      <c r="F1403" s="218"/>
      <c r="G1403" s="218"/>
      <c r="H1403" s="219"/>
      <c r="I1403" s="223">
        <f>IF($C1403="","",IF(ISNUMBER(MATCH($C1403,'Phản ánh'!$A$6:$A$505,0)),"Phản ánh",IF(ISNUMBER(MATCH($C1403,'Kế hoạch'!$A$6:$A$305,0)),"Công việc","Mã chưa có")))</f>
      </c>
      <c r="J1403" s="221">
        <f>IF($I1403="Phản ánh",INDEX('Phản ánh'!$C$6:$C$505,MATCH($C1403,'Phản ánh'!$A$6:$A$505,0)),IF($I1403="Công việc",INDEX('Kế hoạch'!$C$6:$C$305,$O1403),""))</f>
      </c>
      <c r="K1403" s="221">
        <f>IF($I1403="Phản ánh",INDEX('Phản ánh'!$K$6:$K$505,MATCH($C1403,'Phản ánh'!$A$6:$A$505,0))&amp;"",IF($I1403="Công việc",INDEX('Kế hoạch'!$N$6:$N$305,$O1403)&amp;"",""))</f>
      </c>
      <c r="L1403" s="220">
        <f>IF(OR($C1403="",N($B1403)=0),"",IF(AND($I1403="Phản ánh",$E1403="Đã xử lý"),INDEX('Phản ánh'!$U$6:$U$505,MATCH($C1403,'Phản ánh'!$A$6:$A$505,0)),IF(AND($I1403="Công việc",OR($E1403="Hoàn thành",$E1403="Hoàn thành kỳ")),IF(INDEX('Kế hoạch'!$B$6:$B$305,$O1403)="Đột xuất",INDEX('Kế hoạch'!$AY$6:$AY$305,$O1403),IF(N($P1403)=0,"",IF(INT($B1403)&lt;$P1403,$P1403,IF($Q1403&gt;0,$P1403+ROUND((INT($B1403)-$P1403)/$Q1403,0)*$Q1403,IF($R1403&gt;0,EDATE($P1403,ROUND((DATEDIF($P1403,INT($B1403),"m")+(INT($B1403)-EDATE($P1403,DATEDIF($P1403,INT($B1403),"m")))/(EDATE($P1403,DATEDIF($P1403,INT($B1403),"m")+1)-EDATE($P1403,DATEDIF($P1403,INT($B1403),"m"))))/$R1403,0)*$R1403),$P1403))))),"")))</f>
      </c>
      <c r="M1403" s="223">
        <f>IF(OR($C1403="",N($L1403)=0,N($B1403)=0),"",IF(IF(MOD($L1403,1)=0,INT($B1403),$B1403)&lt;=$L1403,"Đúng hạn","Trễ hạn"))</f>
      </c>
      <c r="N1403" s="225">
        <f>IF($C1403="","",ROW())</f>
      </c>
      <c r="O1403" s="225">
        <f>IF($I1403="Công việc",MATCH($C1403,'Kế hoạch'!$A$6:$A$305,0),"")</f>
      </c>
      <c r="P1403" s="234">
        <f>IF($O1403="","",INDEX('Kế hoạch'!$I$6:$I$305,$O1403))</f>
      </c>
      <c r="Q1403" s="225">
        <f>IF($O1403="","",INDEX('Kế hoạch'!$AJ$6:$AJ$305,$O1403))</f>
      </c>
      <c r="R1403" s="225">
        <f>IF($O1403="","",INDEX('Kế hoạch'!$AK$6:$AK$305,$O1403))</f>
      </c>
    </row>
    <row r="1404">
      <c r="A1404" s="223">
        <f>IF($C1404="","",COUNTIF($C$6:$C1404,"?*"))</f>
      </c>
      <c r="B1404" s="217"/>
      <c r="C1404" s="216"/>
      <c r="D1404" s="240"/>
      <c r="E1404" s="218"/>
      <c r="F1404" s="218"/>
      <c r="G1404" s="218"/>
      <c r="H1404" s="219"/>
      <c r="I1404" s="223">
        <f>IF($C1404="","",IF(ISNUMBER(MATCH($C1404,'Phản ánh'!$A$6:$A$505,0)),"Phản ánh",IF(ISNUMBER(MATCH($C1404,'Kế hoạch'!$A$6:$A$305,0)),"Công việc","Mã chưa có")))</f>
      </c>
      <c r="J1404" s="221">
        <f>IF($I1404="Phản ánh",INDEX('Phản ánh'!$C$6:$C$505,MATCH($C1404,'Phản ánh'!$A$6:$A$505,0)),IF($I1404="Công việc",INDEX('Kế hoạch'!$C$6:$C$305,$O1404),""))</f>
      </c>
      <c r="K1404" s="221">
        <f>IF($I1404="Phản ánh",INDEX('Phản ánh'!$K$6:$K$505,MATCH($C1404,'Phản ánh'!$A$6:$A$505,0))&amp;"",IF($I1404="Công việc",INDEX('Kế hoạch'!$N$6:$N$305,$O1404)&amp;"",""))</f>
      </c>
      <c r="L1404" s="220">
        <f>IF(OR($C1404="",N($B1404)=0),"",IF(AND($I1404="Phản ánh",$E1404="Đã xử lý"),INDEX('Phản ánh'!$U$6:$U$505,MATCH($C1404,'Phản ánh'!$A$6:$A$505,0)),IF(AND($I1404="Công việc",OR($E1404="Hoàn thành",$E1404="Hoàn thành kỳ")),IF(INDEX('Kế hoạch'!$B$6:$B$305,$O1404)="Đột xuất",INDEX('Kế hoạch'!$AY$6:$AY$305,$O1404),IF(N($P1404)=0,"",IF(INT($B1404)&lt;$P1404,$P1404,IF($Q1404&gt;0,$P1404+ROUND((INT($B1404)-$P1404)/$Q1404,0)*$Q1404,IF($R1404&gt;0,EDATE($P1404,ROUND((DATEDIF($P1404,INT($B1404),"m")+(INT($B1404)-EDATE($P1404,DATEDIF($P1404,INT($B1404),"m")))/(EDATE($P1404,DATEDIF($P1404,INT($B1404),"m")+1)-EDATE($P1404,DATEDIF($P1404,INT($B1404),"m"))))/$R1404,0)*$R1404),$P1404))))),"")))</f>
      </c>
      <c r="M1404" s="223">
        <f>IF(OR($C1404="",N($L1404)=0,N($B1404)=0),"",IF(IF(MOD($L1404,1)=0,INT($B1404),$B1404)&lt;=$L1404,"Đúng hạn","Trễ hạn"))</f>
      </c>
      <c r="N1404" s="225">
        <f>IF($C1404="","",ROW())</f>
      </c>
      <c r="O1404" s="225">
        <f>IF($I1404="Công việc",MATCH($C1404,'Kế hoạch'!$A$6:$A$305,0),"")</f>
      </c>
      <c r="P1404" s="234">
        <f>IF($O1404="","",INDEX('Kế hoạch'!$I$6:$I$305,$O1404))</f>
      </c>
      <c r="Q1404" s="225">
        <f>IF($O1404="","",INDEX('Kế hoạch'!$AJ$6:$AJ$305,$O1404))</f>
      </c>
      <c r="R1404" s="225">
        <f>IF($O1404="","",INDEX('Kế hoạch'!$AK$6:$AK$305,$O1404))</f>
      </c>
    </row>
    <row r="1405">
      <c r="A1405" s="223">
        <f>IF($C1405="","",COUNTIF($C$6:$C1405,"?*"))</f>
      </c>
      <c r="B1405" s="217"/>
      <c r="C1405" s="216"/>
      <c r="D1405" s="240"/>
      <c r="E1405" s="218"/>
      <c r="F1405" s="218"/>
      <c r="G1405" s="218"/>
      <c r="H1405" s="219"/>
      <c r="I1405" s="223">
        <f>IF($C1405="","",IF(ISNUMBER(MATCH($C1405,'Phản ánh'!$A$6:$A$505,0)),"Phản ánh",IF(ISNUMBER(MATCH($C1405,'Kế hoạch'!$A$6:$A$305,0)),"Công việc","Mã chưa có")))</f>
      </c>
      <c r="J1405" s="221">
        <f>IF($I1405="Phản ánh",INDEX('Phản ánh'!$C$6:$C$505,MATCH($C1405,'Phản ánh'!$A$6:$A$505,0)),IF($I1405="Công việc",INDEX('Kế hoạch'!$C$6:$C$305,$O1405),""))</f>
      </c>
      <c r="K1405" s="221">
        <f>IF($I1405="Phản ánh",INDEX('Phản ánh'!$K$6:$K$505,MATCH($C1405,'Phản ánh'!$A$6:$A$505,0))&amp;"",IF($I1405="Công việc",INDEX('Kế hoạch'!$N$6:$N$305,$O1405)&amp;"",""))</f>
      </c>
      <c r="L1405" s="220">
        <f>IF(OR($C1405="",N($B1405)=0),"",IF(AND($I1405="Phản ánh",$E1405="Đã xử lý"),INDEX('Phản ánh'!$U$6:$U$505,MATCH($C1405,'Phản ánh'!$A$6:$A$505,0)),IF(AND($I1405="Công việc",OR($E1405="Hoàn thành",$E1405="Hoàn thành kỳ")),IF(INDEX('Kế hoạch'!$B$6:$B$305,$O1405)="Đột xuất",INDEX('Kế hoạch'!$AY$6:$AY$305,$O1405),IF(N($P1405)=0,"",IF(INT($B1405)&lt;$P1405,$P1405,IF($Q1405&gt;0,$P1405+ROUND((INT($B1405)-$P1405)/$Q1405,0)*$Q1405,IF($R1405&gt;0,EDATE($P1405,ROUND((DATEDIF($P1405,INT($B1405),"m")+(INT($B1405)-EDATE($P1405,DATEDIF($P1405,INT($B1405),"m")))/(EDATE($P1405,DATEDIF($P1405,INT($B1405),"m")+1)-EDATE($P1405,DATEDIF($P1405,INT($B1405),"m"))))/$R1405,0)*$R1405),$P1405))))),"")))</f>
      </c>
      <c r="M1405" s="223">
        <f>IF(OR($C1405="",N($L1405)=0,N($B1405)=0),"",IF(IF(MOD($L1405,1)=0,INT($B1405),$B1405)&lt;=$L1405,"Đúng hạn","Trễ hạn"))</f>
      </c>
      <c r="N1405" s="225">
        <f>IF($C1405="","",ROW())</f>
      </c>
      <c r="O1405" s="225">
        <f>IF($I1405="Công việc",MATCH($C1405,'Kế hoạch'!$A$6:$A$305,0),"")</f>
      </c>
      <c r="P1405" s="234">
        <f>IF($O1405="","",INDEX('Kế hoạch'!$I$6:$I$305,$O1405))</f>
      </c>
      <c r="Q1405" s="225">
        <f>IF($O1405="","",INDEX('Kế hoạch'!$AJ$6:$AJ$305,$O1405))</f>
      </c>
      <c r="R1405" s="225">
        <f>IF($O1405="","",INDEX('Kế hoạch'!$AK$6:$AK$305,$O1405))</f>
      </c>
    </row>
    <row r="1406">
      <c r="A1406" s="223">
        <f>IF($C1406="","",COUNTIF($C$6:$C1406,"?*"))</f>
      </c>
      <c r="B1406" s="217"/>
      <c r="C1406" s="216"/>
      <c r="D1406" s="240"/>
      <c r="E1406" s="218"/>
      <c r="F1406" s="218"/>
      <c r="G1406" s="218"/>
      <c r="H1406" s="219"/>
      <c r="I1406" s="223">
        <f>IF($C1406="","",IF(ISNUMBER(MATCH($C1406,'Phản ánh'!$A$6:$A$505,0)),"Phản ánh",IF(ISNUMBER(MATCH($C1406,'Kế hoạch'!$A$6:$A$305,0)),"Công việc","Mã chưa có")))</f>
      </c>
      <c r="J1406" s="221">
        <f>IF($I1406="Phản ánh",INDEX('Phản ánh'!$C$6:$C$505,MATCH($C1406,'Phản ánh'!$A$6:$A$505,0)),IF($I1406="Công việc",INDEX('Kế hoạch'!$C$6:$C$305,$O1406),""))</f>
      </c>
      <c r="K1406" s="221">
        <f>IF($I1406="Phản ánh",INDEX('Phản ánh'!$K$6:$K$505,MATCH($C1406,'Phản ánh'!$A$6:$A$505,0))&amp;"",IF($I1406="Công việc",INDEX('Kế hoạch'!$N$6:$N$305,$O1406)&amp;"",""))</f>
      </c>
      <c r="L1406" s="220">
        <f>IF(OR($C1406="",N($B1406)=0),"",IF(AND($I1406="Phản ánh",$E1406="Đã xử lý"),INDEX('Phản ánh'!$U$6:$U$505,MATCH($C1406,'Phản ánh'!$A$6:$A$505,0)),IF(AND($I1406="Công việc",OR($E1406="Hoàn thành",$E1406="Hoàn thành kỳ")),IF(INDEX('Kế hoạch'!$B$6:$B$305,$O1406)="Đột xuất",INDEX('Kế hoạch'!$AY$6:$AY$305,$O1406),IF(N($P1406)=0,"",IF(INT($B1406)&lt;$P1406,$P1406,IF($Q1406&gt;0,$P1406+ROUND((INT($B1406)-$P1406)/$Q1406,0)*$Q1406,IF($R1406&gt;0,EDATE($P1406,ROUND((DATEDIF($P1406,INT($B1406),"m")+(INT($B1406)-EDATE($P1406,DATEDIF($P1406,INT($B1406),"m")))/(EDATE($P1406,DATEDIF($P1406,INT($B1406),"m")+1)-EDATE($P1406,DATEDIF($P1406,INT($B1406),"m"))))/$R1406,0)*$R1406),$P1406))))),"")))</f>
      </c>
      <c r="M1406" s="223">
        <f>IF(OR($C1406="",N($L1406)=0,N($B1406)=0),"",IF(IF(MOD($L1406,1)=0,INT($B1406),$B1406)&lt;=$L1406,"Đúng hạn","Trễ hạn"))</f>
      </c>
      <c r="N1406" s="225">
        <f>IF($C1406="","",ROW())</f>
      </c>
      <c r="O1406" s="225">
        <f>IF($I1406="Công việc",MATCH($C1406,'Kế hoạch'!$A$6:$A$305,0),"")</f>
      </c>
      <c r="P1406" s="234">
        <f>IF($O1406="","",INDEX('Kế hoạch'!$I$6:$I$305,$O1406))</f>
      </c>
      <c r="Q1406" s="225">
        <f>IF($O1406="","",INDEX('Kế hoạch'!$AJ$6:$AJ$305,$O1406))</f>
      </c>
      <c r="R1406" s="225">
        <f>IF($O1406="","",INDEX('Kế hoạch'!$AK$6:$AK$305,$O1406))</f>
      </c>
    </row>
    <row r="1407">
      <c r="A1407" s="223">
        <f>IF($C1407="","",COUNTIF($C$6:$C1407,"?*"))</f>
      </c>
      <c r="B1407" s="217"/>
      <c r="C1407" s="216"/>
      <c r="D1407" s="240"/>
      <c r="E1407" s="218"/>
      <c r="F1407" s="218"/>
      <c r="G1407" s="218"/>
      <c r="H1407" s="219"/>
      <c r="I1407" s="223">
        <f>IF($C1407="","",IF(ISNUMBER(MATCH($C1407,'Phản ánh'!$A$6:$A$505,0)),"Phản ánh",IF(ISNUMBER(MATCH($C1407,'Kế hoạch'!$A$6:$A$305,0)),"Công việc","Mã chưa có")))</f>
      </c>
      <c r="J1407" s="221">
        <f>IF($I1407="Phản ánh",INDEX('Phản ánh'!$C$6:$C$505,MATCH($C1407,'Phản ánh'!$A$6:$A$505,0)),IF($I1407="Công việc",INDEX('Kế hoạch'!$C$6:$C$305,$O1407),""))</f>
      </c>
      <c r="K1407" s="221">
        <f>IF($I1407="Phản ánh",INDEX('Phản ánh'!$K$6:$K$505,MATCH($C1407,'Phản ánh'!$A$6:$A$505,0))&amp;"",IF($I1407="Công việc",INDEX('Kế hoạch'!$N$6:$N$305,$O1407)&amp;"",""))</f>
      </c>
      <c r="L1407" s="220">
        <f>IF(OR($C1407="",N($B1407)=0),"",IF(AND($I1407="Phản ánh",$E1407="Đã xử lý"),INDEX('Phản ánh'!$U$6:$U$505,MATCH($C1407,'Phản ánh'!$A$6:$A$505,0)),IF(AND($I1407="Công việc",OR($E1407="Hoàn thành",$E1407="Hoàn thành kỳ")),IF(INDEX('Kế hoạch'!$B$6:$B$305,$O1407)="Đột xuất",INDEX('Kế hoạch'!$AY$6:$AY$305,$O1407),IF(N($P1407)=0,"",IF(INT($B1407)&lt;$P1407,$P1407,IF($Q1407&gt;0,$P1407+ROUND((INT($B1407)-$P1407)/$Q1407,0)*$Q1407,IF($R1407&gt;0,EDATE($P1407,ROUND((DATEDIF($P1407,INT($B1407),"m")+(INT($B1407)-EDATE($P1407,DATEDIF($P1407,INT($B1407),"m")))/(EDATE($P1407,DATEDIF($P1407,INT($B1407),"m")+1)-EDATE($P1407,DATEDIF($P1407,INT($B1407),"m"))))/$R1407,0)*$R1407),$P1407))))),"")))</f>
      </c>
      <c r="M1407" s="223">
        <f>IF(OR($C1407="",N($L1407)=0,N($B1407)=0),"",IF(IF(MOD($L1407,1)=0,INT($B1407),$B1407)&lt;=$L1407,"Đúng hạn","Trễ hạn"))</f>
      </c>
      <c r="N1407" s="225">
        <f>IF($C1407="","",ROW())</f>
      </c>
      <c r="O1407" s="225">
        <f>IF($I1407="Công việc",MATCH($C1407,'Kế hoạch'!$A$6:$A$305,0),"")</f>
      </c>
      <c r="P1407" s="234">
        <f>IF($O1407="","",INDEX('Kế hoạch'!$I$6:$I$305,$O1407))</f>
      </c>
      <c r="Q1407" s="225">
        <f>IF($O1407="","",INDEX('Kế hoạch'!$AJ$6:$AJ$305,$O1407))</f>
      </c>
      <c r="R1407" s="225">
        <f>IF($O1407="","",INDEX('Kế hoạch'!$AK$6:$AK$305,$O1407))</f>
      </c>
    </row>
    <row r="1408">
      <c r="A1408" s="223">
        <f>IF($C1408="","",COUNTIF($C$6:$C1408,"?*"))</f>
      </c>
      <c r="B1408" s="217"/>
      <c r="C1408" s="216"/>
      <c r="D1408" s="240"/>
      <c r="E1408" s="218"/>
      <c r="F1408" s="218"/>
      <c r="G1408" s="218"/>
      <c r="H1408" s="219"/>
      <c r="I1408" s="223">
        <f>IF($C1408="","",IF(ISNUMBER(MATCH($C1408,'Phản ánh'!$A$6:$A$505,0)),"Phản ánh",IF(ISNUMBER(MATCH($C1408,'Kế hoạch'!$A$6:$A$305,0)),"Công việc","Mã chưa có")))</f>
      </c>
      <c r="J1408" s="221">
        <f>IF($I1408="Phản ánh",INDEX('Phản ánh'!$C$6:$C$505,MATCH($C1408,'Phản ánh'!$A$6:$A$505,0)),IF($I1408="Công việc",INDEX('Kế hoạch'!$C$6:$C$305,$O1408),""))</f>
      </c>
      <c r="K1408" s="221">
        <f>IF($I1408="Phản ánh",INDEX('Phản ánh'!$K$6:$K$505,MATCH($C1408,'Phản ánh'!$A$6:$A$505,0))&amp;"",IF($I1408="Công việc",INDEX('Kế hoạch'!$N$6:$N$305,$O1408)&amp;"",""))</f>
      </c>
      <c r="L1408" s="220">
        <f>IF(OR($C1408="",N($B1408)=0),"",IF(AND($I1408="Phản ánh",$E1408="Đã xử lý"),INDEX('Phản ánh'!$U$6:$U$505,MATCH($C1408,'Phản ánh'!$A$6:$A$505,0)),IF(AND($I1408="Công việc",OR($E1408="Hoàn thành",$E1408="Hoàn thành kỳ")),IF(INDEX('Kế hoạch'!$B$6:$B$305,$O1408)="Đột xuất",INDEX('Kế hoạch'!$AY$6:$AY$305,$O1408),IF(N($P1408)=0,"",IF(INT($B1408)&lt;$P1408,$P1408,IF($Q1408&gt;0,$P1408+ROUND((INT($B1408)-$P1408)/$Q1408,0)*$Q1408,IF($R1408&gt;0,EDATE($P1408,ROUND((DATEDIF($P1408,INT($B1408),"m")+(INT($B1408)-EDATE($P1408,DATEDIF($P1408,INT($B1408),"m")))/(EDATE($P1408,DATEDIF($P1408,INT($B1408),"m")+1)-EDATE($P1408,DATEDIF($P1408,INT($B1408),"m"))))/$R1408,0)*$R1408),$P1408))))),"")))</f>
      </c>
      <c r="M1408" s="223">
        <f>IF(OR($C1408="",N($L1408)=0,N($B1408)=0),"",IF(IF(MOD($L1408,1)=0,INT($B1408),$B1408)&lt;=$L1408,"Đúng hạn","Trễ hạn"))</f>
      </c>
      <c r="N1408" s="225">
        <f>IF($C1408="","",ROW())</f>
      </c>
      <c r="O1408" s="225">
        <f>IF($I1408="Công việc",MATCH($C1408,'Kế hoạch'!$A$6:$A$305,0),"")</f>
      </c>
      <c r="P1408" s="234">
        <f>IF($O1408="","",INDEX('Kế hoạch'!$I$6:$I$305,$O1408))</f>
      </c>
      <c r="Q1408" s="225">
        <f>IF($O1408="","",INDEX('Kế hoạch'!$AJ$6:$AJ$305,$O1408))</f>
      </c>
      <c r="R1408" s="225">
        <f>IF($O1408="","",INDEX('Kế hoạch'!$AK$6:$AK$305,$O1408))</f>
      </c>
    </row>
    <row r="1409">
      <c r="A1409" s="223">
        <f>IF($C1409="","",COUNTIF($C$6:$C1409,"?*"))</f>
      </c>
      <c r="B1409" s="217"/>
      <c r="C1409" s="216"/>
      <c r="D1409" s="240"/>
      <c r="E1409" s="218"/>
      <c r="F1409" s="218"/>
      <c r="G1409" s="218"/>
      <c r="H1409" s="219"/>
      <c r="I1409" s="223">
        <f>IF($C1409="","",IF(ISNUMBER(MATCH($C1409,'Phản ánh'!$A$6:$A$505,0)),"Phản ánh",IF(ISNUMBER(MATCH($C1409,'Kế hoạch'!$A$6:$A$305,0)),"Công việc","Mã chưa có")))</f>
      </c>
      <c r="J1409" s="221">
        <f>IF($I1409="Phản ánh",INDEX('Phản ánh'!$C$6:$C$505,MATCH($C1409,'Phản ánh'!$A$6:$A$505,0)),IF($I1409="Công việc",INDEX('Kế hoạch'!$C$6:$C$305,$O1409),""))</f>
      </c>
      <c r="K1409" s="221">
        <f>IF($I1409="Phản ánh",INDEX('Phản ánh'!$K$6:$K$505,MATCH($C1409,'Phản ánh'!$A$6:$A$505,0))&amp;"",IF($I1409="Công việc",INDEX('Kế hoạch'!$N$6:$N$305,$O1409)&amp;"",""))</f>
      </c>
      <c r="L1409" s="220">
        <f>IF(OR($C1409="",N($B1409)=0),"",IF(AND($I1409="Phản ánh",$E1409="Đã xử lý"),INDEX('Phản ánh'!$U$6:$U$505,MATCH($C1409,'Phản ánh'!$A$6:$A$505,0)),IF(AND($I1409="Công việc",OR($E1409="Hoàn thành",$E1409="Hoàn thành kỳ")),IF(INDEX('Kế hoạch'!$B$6:$B$305,$O1409)="Đột xuất",INDEX('Kế hoạch'!$AY$6:$AY$305,$O1409),IF(N($P1409)=0,"",IF(INT($B1409)&lt;$P1409,$P1409,IF($Q1409&gt;0,$P1409+ROUND((INT($B1409)-$P1409)/$Q1409,0)*$Q1409,IF($R1409&gt;0,EDATE($P1409,ROUND((DATEDIF($P1409,INT($B1409),"m")+(INT($B1409)-EDATE($P1409,DATEDIF($P1409,INT($B1409),"m")))/(EDATE($P1409,DATEDIF($P1409,INT($B1409),"m")+1)-EDATE($P1409,DATEDIF($P1409,INT($B1409),"m"))))/$R1409,0)*$R1409),$P1409))))),"")))</f>
      </c>
      <c r="M1409" s="223">
        <f>IF(OR($C1409="",N($L1409)=0,N($B1409)=0),"",IF(IF(MOD($L1409,1)=0,INT($B1409),$B1409)&lt;=$L1409,"Đúng hạn","Trễ hạn"))</f>
      </c>
      <c r="N1409" s="225">
        <f>IF($C1409="","",ROW())</f>
      </c>
      <c r="O1409" s="225">
        <f>IF($I1409="Công việc",MATCH($C1409,'Kế hoạch'!$A$6:$A$305,0),"")</f>
      </c>
      <c r="P1409" s="234">
        <f>IF($O1409="","",INDEX('Kế hoạch'!$I$6:$I$305,$O1409))</f>
      </c>
      <c r="Q1409" s="225">
        <f>IF($O1409="","",INDEX('Kế hoạch'!$AJ$6:$AJ$305,$O1409))</f>
      </c>
      <c r="R1409" s="225">
        <f>IF($O1409="","",INDEX('Kế hoạch'!$AK$6:$AK$305,$O1409))</f>
      </c>
    </row>
    <row r="1410">
      <c r="A1410" s="223">
        <f>IF($C1410="","",COUNTIF($C$6:$C1410,"?*"))</f>
      </c>
      <c r="B1410" s="217"/>
      <c r="C1410" s="216"/>
      <c r="D1410" s="240"/>
      <c r="E1410" s="218"/>
      <c r="F1410" s="218"/>
      <c r="G1410" s="218"/>
      <c r="H1410" s="219"/>
      <c r="I1410" s="223">
        <f>IF($C1410="","",IF(ISNUMBER(MATCH($C1410,'Phản ánh'!$A$6:$A$505,0)),"Phản ánh",IF(ISNUMBER(MATCH($C1410,'Kế hoạch'!$A$6:$A$305,0)),"Công việc","Mã chưa có")))</f>
      </c>
      <c r="J1410" s="221">
        <f>IF($I1410="Phản ánh",INDEX('Phản ánh'!$C$6:$C$505,MATCH($C1410,'Phản ánh'!$A$6:$A$505,0)),IF($I1410="Công việc",INDEX('Kế hoạch'!$C$6:$C$305,$O1410),""))</f>
      </c>
      <c r="K1410" s="221">
        <f>IF($I1410="Phản ánh",INDEX('Phản ánh'!$K$6:$K$505,MATCH($C1410,'Phản ánh'!$A$6:$A$505,0))&amp;"",IF($I1410="Công việc",INDEX('Kế hoạch'!$N$6:$N$305,$O1410)&amp;"",""))</f>
      </c>
      <c r="L1410" s="220">
        <f>IF(OR($C1410="",N($B1410)=0),"",IF(AND($I1410="Phản ánh",$E1410="Đã xử lý"),INDEX('Phản ánh'!$U$6:$U$505,MATCH($C1410,'Phản ánh'!$A$6:$A$505,0)),IF(AND($I1410="Công việc",OR($E1410="Hoàn thành",$E1410="Hoàn thành kỳ")),IF(INDEX('Kế hoạch'!$B$6:$B$305,$O1410)="Đột xuất",INDEX('Kế hoạch'!$AY$6:$AY$305,$O1410),IF(N($P1410)=0,"",IF(INT($B1410)&lt;$P1410,$P1410,IF($Q1410&gt;0,$P1410+ROUND((INT($B1410)-$P1410)/$Q1410,0)*$Q1410,IF($R1410&gt;0,EDATE($P1410,ROUND((DATEDIF($P1410,INT($B1410),"m")+(INT($B1410)-EDATE($P1410,DATEDIF($P1410,INT($B1410),"m")))/(EDATE($P1410,DATEDIF($P1410,INT($B1410),"m")+1)-EDATE($P1410,DATEDIF($P1410,INT($B1410),"m"))))/$R1410,0)*$R1410),$P1410))))),"")))</f>
      </c>
      <c r="M1410" s="223">
        <f>IF(OR($C1410="",N($L1410)=0,N($B1410)=0),"",IF(IF(MOD($L1410,1)=0,INT($B1410),$B1410)&lt;=$L1410,"Đúng hạn","Trễ hạn"))</f>
      </c>
      <c r="N1410" s="225">
        <f>IF($C1410="","",ROW())</f>
      </c>
      <c r="O1410" s="225">
        <f>IF($I1410="Công việc",MATCH($C1410,'Kế hoạch'!$A$6:$A$305,0),"")</f>
      </c>
      <c r="P1410" s="234">
        <f>IF($O1410="","",INDEX('Kế hoạch'!$I$6:$I$305,$O1410))</f>
      </c>
      <c r="Q1410" s="225">
        <f>IF($O1410="","",INDEX('Kế hoạch'!$AJ$6:$AJ$305,$O1410))</f>
      </c>
      <c r="R1410" s="225">
        <f>IF($O1410="","",INDEX('Kế hoạch'!$AK$6:$AK$305,$O1410))</f>
      </c>
    </row>
    <row r="1411">
      <c r="A1411" s="223">
        <f>IF($C1411="","",COUNTIF($C$6:$C1411,"?*"))</f>
      </c>
      <c r="B1411" s="217"/>
      <c r="C1411" s="216"/>
      <c r="D1411" s="240"/>
      <c r="E1411" s="218"/>
      <c r="F1411" s="218"/>
      <c r="G1411" s="218"/>
      <c r="H1411" s="219"/>
      <c r="I1411" s="223">
        <f>IF($C1411="","",IF(ISNUMBER(MATCH($C1411,'Phản ánh'!$A$6:$A$505,0)),"Phản ánh",IF(ISNUMBER(MATCH($C1411,'Kế hoạch'!$A$6:$A$305,0)),"Công việc","Mã chưa có")))</f>
      </c>
      <c r="J1411" s="221">
        <f>IF($I1411="Phản ánh",INDEX('Phản ánh'!$C$6:$C$505,MATCH($C1411,'Phản ánh'!$A$6:$A$505,0)),IF($I1411="Công việc",INDEX('Kế hoạch'!$C$6:$C$305,$O1411),""))</f>
      </c>
      <c r="K1411" s="221">
        <f>IF($I1411="Phản ánh",INDEX('Phản ánh'!$K$6:$K$505,MATCH($C1411,'Phản ánh'!$A$6:$A$505,0))&amp;"",IF($I1411="Công việc",INDEX('Kế hoạch'!$N$6:$N$305,$O1411)&amp;"",""))</f>
      </c>
      <c r="L1411" s="220">
        <f>IF(OR($C1411="",N($B1411)=0),"",IF(AND($I1411="Phản ánh",$E1411="Đã xử lý"),INDEX('Phản ánh'!$U$6:$U$505,MATCH($C1411,'Phản ánh'!$A$6:$A$505,0)),IF(AND($I1411="Công việc",OR($E1411="Hoàn thành",$E1411="Hoàn thành kỳ")),IF(INDEX('Kế hoạch'!$B$6:$B$305,$O1411)="Đột xuất",INDEX('Kế hoạch'!$AY$6:$AY$305,$O1411),IF(N($P1411)=0,"",IF(INT($B1411)&lt;$P1411,$P1411,IF($Q1411&gt;0,$P1411+ROUND((INT($B1411)-$P1411)/$Q1411,0)*$Q1411,IF($R1411&gt;0,EDATE($P1411,ROUND((DATEDIF($P1411,INT($B1411),"m")+(INT($B1411)-EDATE($P1411,DATEDIF($P1411,INT($B1411),"m")))/(EDATE($P1411,DATEDIF($P1411,INT($B1411),"m")+1)-EDATE($P1411,DATEDIF($P1411,INT($B1411),"m"))))/$R1411,0)*$R1411),$P1411))))),"")))</f>
      </c>
      <c r="M1411" s="223">
        <f>IF(OR($C1411="",N($L1411)=0,N($B1411)=0),"",IF(IF(MOD($L1411,1)=0,INT($B1411),$B1411)&lt;=$L1411,"Đúng hạn","Trễ hạn"))</f>
      </c>
      <c r="N1411" s="225">
        <f>IF($C1411="","",ROW())</f>
      </c>
      <c r="O1411" s="225">
        <f>IF($I1411="Công việc",MATCH($C1411,'Kế hoạch'!$A$6:$A$305,0),"")</f>
      </c>
      <c r="P1411" s="234">
        <f>IF($O1411="","",INDEX('Kế hoạch'!$I$6:$I$305,$O1411))</f>
      </c>
      <c r="Q1411" s="225">
        <f>IF($O1411="","",INDEX('Kế hoạch'!$AJ$6:$AJ$305,$O1411))</f>
      </c>
      <c r="R1411" s="225">
        <f>IF($O1411="","",INDEX('Kế hoạch'!$AK$6:$AK$305,$O1411))</f>
      </c>
    </row>
    <row r="1412">
      <c r="A1412" s="223">
        <f>IF($C1412="","",COUNTIF($C$6:$C1412,"?*"))</f>
      </c>
      <c r="B1412" s="217"/>
      <c r="C1412" s="216"/>
      <c r="D1412" s="240"/>
      <c r="E1412" s="218"/>
      <c r="F1412" s="218"/>
      <c r="G1412" s="218"/>
      <c r="H1412" s="219"/>
      <c r="I1412" s="223">
        <f>IF($C1412="","",IF(ISNUMBER(MATCH($C1412,'Phản ánh'!$A$6:$A$505,0)),"Phản ánh",IF(ISNUMBER(MATCH($C1412,'Kế hoạch'!$A$6:$A$305,0)),"Công việc","Mã chưa có")))</f>
      </c>
      <c r="J1412" s="221">
        <f>IF($I1412="Phản ánh",INDEX('Phản ánh'!$C$6:$C$505,MATCH($C1412,'Phản ánh'!$A$6:$A$505,0)),IF($I1412="Công việc",INDEX('Kế hoạch'!$C$6:$C$305,$O1412),""))</f>
      </c>
      <c r="K1412" s="221">
        <f>IF($I1412="Phản ánh",INDEX('Phản ánh'!$K$6:$K$505,MATCH($C1412,'Phản ánh'!$A$6:$A$505,0))&amp;"",IF($I1412="Công việc",INDEX('Kế hoạch'!$N$6:$N$305,$O1412)&amp;"",""))</f>
      </c>
      <c r="L1412" s="220">
        <f>IF(OR($C1412="",N($B1412)=0),"",IF(AND($I1412="Phản ánh",$E1412="Đã xử lý"),INDEX('Phản ánh'!$U$6:$U$505,MATCH($C1412,'Phản ánh'!$A$6:$A$505,0)),IF(AND($I1412="Công việc",OR($E1412="Hoàn thành",$E1412="Hoàn thành kỳ")),IF(INDEX('Kế hoạch'!$B$6:$B$305,$O1412)="Đột xuất",INDEX('Kế hoạch'!$AY$6:$AY$305,$O1412),IF(N($P1412)=0,"",IF(INT($B1412)&lt;$P1412,$P1412,IF($Q1412&gt;0,$P1412+ROUND((INT($B1412)-$P1412)/$Q1412,0)*$Q1412,IF($R1412&gt;0,EDATE($P1412,ROUND((DATEDIF($P1412,INT($B1412),"m")+(INT($B1412)-EDATE($P1412,DATEDIF($P1412,INT($B1412),"m")))/(EDATE($P1412,DATEDIF($P1412,INT($B1412),"m")+1)-EDATE($P1412,DATEDIF($P1412,INT($B1412),"m"))))/$R1412,0)*$R1412),$P1412))))),"")))</f>
      </c>
      <c r="M1412" s="223">
        <f>IF(OR($C1412="",N($L1412)=0,N($B1412)=0),"",IF(IF(MOD($L1412,1)=0,INT($B1412),$B1412)&lt;=$L1412,"Đúng hạn","Trễ hạn"))</f>
      </c>
      <c r="N1412" s="225">
        <f>IF($C1412="","",ROW())</f>
      </c>
      <c r="O1412" s="225">
        <f>IF($I1412="Công việc",MATCH($C1412,'Kế hoạch'!$A$6:$A$305,0),"")</f>
      </c>
      <c r="P1412" s="234">
        <f>IF($O1412="","",INDEX('Kế hoạch'!$I$6:$I$305,$O1412))</f>
      </c>
      <c r="Q1412" s="225">
        <f>IF($O1412="","",INDEX('Kế hoạch'!$AJ$6:$AJ$305,$O1412))</f>
      </c>
      <c r="R1412" s="225">
        <f>IF($O1412="","",INDEX('Kế hoạch'!$AK$6:$AK$305,$O1412))</f>
      </c>
    </row>
    <row r="1413">
      <c r="A1413" s="223">
        <f>IF($C1413="","",COUNTIF($C$6:$C1413,"?*"))</f>
      </c>
      <c r="B1413" s="217"/>
      <c r="C1413" s="216"/>
      <c r="D1413" s="240"/>
      <c r="E1413" s="218"/>
      <c r="F1413" s="218"/>
      <c r="G1413" s="218"/>
      <c r="H1413" s="219"/>
      <c r="I1413" s="223">
        <f>IF($C1413="","",IF(ISNUMBER(MATCH($C1413,'Phản ánh'!$A$6:$A$505,0)),"Phản ánh",IF(ISNUMBER(MATCH($C1413,'Kế hoạch'!$A$6:$A$305,0)),"Công việc","Mã chưa có")))</f>
      </c>
      <c r="J1413" s="221">
        <f>IF($I1413="Phản ánh",INDEX('Phản ánh'!$C$6:$C$505,MATCH($C1413,'Phản ánh'!$A$6:$A$505,0)),IF($I1413="Công việc",INDEX('Kế hoạch'!$C$6:$C$305,$O1413),""))</f>
      </c>
      <c r="K1413" s="221">
        <f>IF($I1413="Phản ánh",INDEX('Phản ánh'!$K$6:$K$505,MATCH($C1413,'Phản ánh'!$A$6:$A$505,0))&amp;"",IF($I1413="Công việc",INDEX('Kế hoạch'!$N$6:$N$305,$O1413)&amp;"",""))</f>
      </c>
      <c r="L1413" s="220">
        <f>IF(OR($C1413="",N($B1413)=0),"",IF(AND($I1413="Phản ánh",$E1413="Đã xử lý"),INDEX('Phản ánh'!$U$6:$U$505,MATCH($C1413,'Phản ánh'!$A$6:$A$505,0)),IF(AND($I1413="Công việc",OR($E1413="Hoàn thành",$E1413="Hoàn thành kỳ")),IF(INDEX('Kế hoạch'!$B$6:$B$305,$O1413)="Đột xuất",INDEX('Kế hoạch'!$AY$6:$AY$305,$O1413),IF(N($P1413)=0,"",IF(INT($B1413)&lt;$P1413,$P1413,IF($Q1413&gt;0,$P1413+ROUND((INT($B1413)-$P1413)/$Q1413,0)*$Q1413,IF($R1413&gt;0,EDATE($P1413,ROUND((DATEDIF($P1413,INT($B1413),"m")+(INT($B1413)-EDATE($P1413,DATEDIF($P1413,INT($B1413),"m")))/(EDATE($P1413,DATEDIF($P1413,INT($B1413),"m")+1)-EDATE($P1413,DATEDIF($P1413,INT($B1413),"m"))))/$R1413,0)*$R1413),$P1413))))),"")))</f>
      </c>
      <c r="M1413" s="223">
        <f>IF(OR($C1413="",N($L1413)=0,N($B1413)=0),"",IF(IF(MOD($L1413,1)=0,INT($B1413),$B1413)&lt;=$L1413,"Đúng hạn","Trễ hạn"))</f>
      </c>
      <c r="N1413" s="225">
        <f>IF($C1413="","",ROW())</f>
      </c>
      <c r="O1413" s="225">
        <f>IF($I1413="Công việc",MATCH($C1413,'Kế hoạch'!$A$6:$A$305,0),"")</f>
      </c>
      <c r="P1413" s="234">
        <f>IF($O1413="","",INDEX('Kế hoạch'!$I$6:$I$305,$O1413))</f>
      </c>
      <c r="Q1413" s="225">
        <f>IF($O1413="","",INDEX('Kế hoạch'!$AJ$6:$AJ$305,$O1413))</f>
      </c>
      <c r="R1413" s="225">
        <f>IF($O1413="","",INDEX('Kế hoạch'!$AK$6:$AK$305,$O1413))</f>
      </c>
    </row>
    <row r="1414">
      <c r="A1414" s="223">
        <f>IF($C1414="","",COUNTIF($C$6:$C1414,"?*"))</f>
      </c>
      <c r="B1414" s="217"/>
      <c r="C1414" s="216"/>
      <c r="D1414" s="240"/>
      <c r="E1414" s="218"/>
      <c r="F1414" s="218"/>
      <c r="G1414" s="218"/>
      <c r="H1414" s="219"/>
      <c r="I1414" s="223">
        <f>IF($C1414="","",IF(ISNUMBER(MATCH($C1414,'Phản ánh'!$A$6:$A$505,0)),"Phản ánh",IF(ISNUMBER(MATCH($C1414,'Kế hoạch'!$A$6:$A$305,0)),"Công việc","Mã chưa có")))</f>
      </c>
      <c r="J1414" s="221">
        <f>IF($I1414="Phản ánh",INDEX('Phản ánh'!$C$6:$C$505,MATCH($C1414,'Phản ánh'!$A$6:$A$505,0)),IF($I1414="Công việc",INDEX('Kế hoạch'!$C$6:$C$305,$O1414),""))</f>
      </c>
      <c r="K1414" s="221">
        <f>IF($I1414="Phản ánh",INDEX('Phản ánh'!$K$6:$K$505,MATCH($C1414,'Phản ánh'!$A$6:$A$505,0))&amp;"",IF($I1414="Công việc",INDEX('Kế hoạch'!$N$6:$N$305,$O1414)&amp;"",""))</f>
      </c>
      <c r="L1414" s="220">
        <f>IF(OR($C1414="",N($B1414)=0),"",IF(AND($I1414="Phản ánh",$E1414="Đã xử lý"),INDEX('Phản ánh'!$U$6:$U$505,MATCH($C1414,'Phản ánh'!$A$6:$A$505,0)),IF(AND($I1414="Công việc",OR($E1414="Hoàn thành",$E1414="Hoàn thành kỳ")),IF(INDEX('Kế hoạch'!$B$6:$B$305,$O1414)="Đột xuất",INDEX('Kế hoạch'!$AY$6:$AY$305,$O1414),IF(N($P1414)=0,"",IF(INT($B1414)&lt;$P1414,$P1414,IF($Q1414&gt;0,$P1414+ROUND((INT($B1414)-$P1414)/$Q1414,0)*$Q1414,IF($R1414&gt;0,EDATE($P1414,ROUND((DATEDIF($P1414,INT($B1414),"m")+(INT($B1414)-EDATE($P1414,DATEDIF($P1414,INT($B1414),"m")))/(EDATE($P1414,DATEDIF($P1414,INT($B1414),"m")+1)-EDATE($P1414,DATEDIF($P1414,INT($B1414),"m"))))/$R1414,0)*$R1414),$P1414))))),"")))</f>
      </c>
      <c r="M1414" s="223">
        <f>IF(OR($C1414="",N($L1414)=0,N($B1414)=0),"",IF(IF(MOD($L1414,1)=0,INT($B1414),$B1414)&lt;=$L1414,"Đúng hạn","Trễ hạn"))</f>
      </c>
      <c r="N1414" s="225">
        <f>IF($C1414="","",ROW())</f>
      </c>
      <c r="O1414" s="225">
        <f>IF($I1414="Công việc",MATCH($C1414,'Kế hoạch'!$A$6:$A$305,0),"")</f>
      </c>
      <c r="P1414" s="234">
        <f>IF($O1414="","",INDEX('Kế hoạch'!$I$6:$I$305,$O1414))</f>
      </c>
      <c r="Q1414" s="225">
        <f>IF($O1414="","",INDEX('Kế hoạch'!$AJ$6:$AJ$305,$O1414))</f>
      </c>
      <c r="R1414" s="225">
        <f>IF($O1414="","",INDEX('Kế hoạch'!$AK$6:$AK$305,$O1414))</f>
      </c>
    </row>
    <row r="1415">
      <c r="A1415" s="223">
        <f>IF($C1415="","",COUNTIF($C$6:$C1415,"?*"))</f>
      </c>
      <c r="B1415" s="217"/>
      <c r="C1415" s="216"/>
      <c r="D1415" s="240"/>
      <c r="E1415" s="218"/>
      <c r="F1415" s="218"/>
      <c r="G1415" s="218"/>
      <c r="H1415" s="219"/>
      <c r="I1415" s="223">
        <f>IF($C1415="","",IF(ISNUMBER(MATCH($C1415,'Phản ánh'!$A$6:$A$505,0)),"Phản ánh",IF(ISNUMBER(MATCH($C1415,'Kế hoạch'!$A$6:$A$305,0)),"Công việc","Mã chưa có")))</f>
      </c>
      <c r="J1415" s="221">
        <f>IF($I1415="Phản ánh",INDEX('Phản ánh'!$C$6:$C$505,MATCH($C1415,'Phản ánh'!$A$6:$A$505,0)),IF($I1415="Công việc",INDEX('Kế hoạch'!$C$6:$C$305,$O1415),""))</f>
      </c>
      <c r="K1415" s="221">
        <f>IF($I1415="Phản ánh",INDEX('Phản ánh'!$K$6:$K$505,MATCH($C1415,'Phản ánh'!$A$6:$A$505,0))&amp;"",IF($I1415="Công việc",INDEX('Kế hoạch'!$N$6:$N$305,$O1415)&amp;"",""))</f>
      </c>
      <c r="L1415" s="220">
        <f>IF(OR($C1415="",N($B1415)=0),"",IF(AND($I1415="Phản ánh",$E1415="Đã xử lý"),INDEX('Phản ánh'!$U$6:$U$505,MATCH($C1415,'Phản ánh'!$A$6:$A$505,0)),IF(AND($I1415="Công việc",OR($E1415="Hoàn thành",$E1415="Hoàn thành kỳ")),IF(INDEX('Kế hoạch'!$B$6:$B$305,$O1415)="Đột xuất",INDEX('Kế hoạch'!$AY$6:$AY$305,$O1415),IF(N($P1415)=0,"",IF(INT($B1415)&lt;$P1415,$P1415,IF($Q1415&gt;0,$P1415+ROUND((INT($B1415)-$P1415)/$Q1415,0)*$Q1415,IF($R1415&gt;0,EDATE($P1415,ROUND((DATEDIF($P1415,INT($B1415),"m")+(INT($B1415)-EDATE($P1415,DATEDIF($P1415,INT($B1415),"m")))/(EDATE($P1415,DATEDIF($P1415,INT($B1415),"m")+1)-EDATE($P1415,DATEDIF($P1415,INT($B1415),"m"))))/$R1415,0)*$R1415),$P1415))))),"")))</f>
      </c>
      <c r="M1415" s="223">
        <f>IF(OR($C1415="",N($L1415)=0,N($B1415)=0),"",IF(IF(MOD($L1415,1)=0,INT($B1415),$B1415)&lt;=$L1415,"Đúng hạn","Trễ hạn"))</f>
      </c>
      <c r="N1415" s="225">
        <f>IF($C1415="","",ROW())</f>
      </c>
      <c r="O1415" s="225">
        <f>IF($I1415="Công việc",MATCH($C1415,'Kế hoạch'!$A$6:$A$305,0),"")</f>
      </c>
      <c r="P1415" s="234">
        <f>IF($O1415="","",INDEX('Kế hoạch'!$I$6:$I$305,$O1415))</f>
      </c>
      <c r="Q1415" s="225">
        <f>IF($O1415="","",INDEX('Kế hoạch'!$AJ$6:$AJ$305,$O1415))</f>
      </c>
      <c r="R1415" s="225">
        <f>IF($O1415="","",INDEX('Kế hoạch'!$AK$6:$AK$305,$O1415))</f>
      </c>
    </row>
    <row r="1416">
      <c r="A1416" s="223">
        <f>IF($C1416="","",COUNTIF($C$6:$C1416,"?*"))</f>
      </c>
      <c r="B1416" s="217"/>
      <c r="C1416" s="216"/>
      <c r="D1416" s="240"/>
      <c r="E1416" s="218"/>
      <c r="F1416" s="218"/>
      <c r="G1416" s="218"/>
      <c r="H1416" s="219"/>
      <c r="I1416" s="223">
        <f>IF($C1416="","",IF(ISNUMBER(MATCH($C1416,'Phản ánh'!$A$6:$A$505,0)),"Phản ánh",IF(ISNUMBER(MATCH($C1416,'Kế hoạch'!$A$6:$A$305,0)),"Công việc","Mã chưa có")))</f>
      </c>
      <c r="J1416" s="221">
        <f>IF($I1416="Phản ánh",INDEX('Phản ánh'!$C$6:$C$505,MATCH($C1416,'Phản ánh'!$A$6:$A$505,0)),IF($I1416="Công việc",INDEX('Kế hoạch'!$C$6:$C$305,$O1416),""))</f>
      </c>
      <c r="K1416" s="221">
        <f>IF($I1416="Phản ánh",INDEX('Phản ánh'!$K$6:$K$505,MATCH($C1416,'Phản ánh'!$A$6:$A$505,0))&amp;"",IF($I1416="Công việc",INDEX('Kế hoạch'!$N$6:$N$305,$O1416)&amp;"",""))</f>
      </c>
      <c r="L1416" s="220">
        <f>IF(OR($C1416="",N($B1416)=0),"",IF(AND($I1416="Phản ánh",$E1416="Đã xử lý"),INDEX('Phản ánh'!$U$6:$U$505,MATCH($C1416,'Phản ánh'!$A$6:$A$505,0)),IF(AND($I1416="Công việc",OR($E1416="Hoàn thành",$E1416="Hoàn thành kỳ")),IF(INDEX('Kế hoạch'!$B$6:$B$305,$O1416)="Đột xuất",INDEX('Kế hoạch'!$AY$6:$AY$305,$O1416),IF(N($P1416)=0,"",IF(INT($B1416)&lt;$P1416,$P1416,IF($Q1416&gt;0,$P1416+ROUND((INT($B1416)-$P1416)/$Q1416,0)*$Q1416,IF($R1416&gt;0,EDATE($P1416,ROUND((DATEDIF($P1416,INT($B1416),"m")+(INT($B1416)-EDATE($P1416,DATEDIF($P1416,INT($B1416),"m")))/(EDATE($P1416,DATEDIF($P1416,INT($B1416),"m")+1)-EDATE($P1416,DATEDIF($P1416,INT($B1416),"m"))))/$R1416,0)*$R1416),$P1416))))),"")))</f>
      </c>
      <c r="M1416" s="223">
        <f>IF(OR($C1416="",N($L1416)=0,N($B1416)=0),"",IF(IF(MOD($L1416,1)=0,INT($B1416),$B1416)&lt;=$L1416,"Đúng hạn","Trễ hạn"))</f>
      </c>
      <c r="N1416" s="225">
        <f>IF($C1416="","",ROW())</f>
      </c>
      <c r="O1416" s="225">
        <f>IF($I1416="Công việc",MATCH($C1416,'Kế hoạch'!$A$6:$A$305,0),"")</f>
      </c>
      <c r="P1416" s="234">
        <f>IF($O1416="","",INDEX('Kế hoạch'!$I$6:$I$305,$O1416))</f>
      </c>
      <c r="Q1416" s="225">
        <f>IF($O1416="","",INDEX('Kế hoạch'!$AJ$6:$AJ$305,$O1416))</f>
      </c>
      <c r="R1416" s="225">
        <f>IF($O1416="","",INDEX('Kế hoạch'!$AK$6:$AK$305,$O1416))</f>
      </c>
    </row>
    <row r="1417">
      <c r="A1417" s="223">
        <f>IF($C1417="","",COUNTIF($C$6:$C1417,"?*"))</f>
      </c>
      <c r="B1417" s="217"/>
      <c r="C1417" s="216"/>
      <c r="D1417" s="240"/>
      <c r="E1417" s="218"/>
      <c r="F1417" s="218"/>
      <c r="G1417" s="218"/>
      <c r="H1417" s="219"/>
      <c r="I1417" s="223">
        <f>IF($C1417="","",IF(ISNUMBER(MATCH($C1417,'Phản ánh'!$A$6:$A$505,0)),"Phản ánh",IF(ISNUMBER(MATCH($C1417,'Kế hoạch'!$A$6:$A$305,0)),"Công việc","Mã chưa có")))</f>
      </c>
      <c r="J1417" s="221">
        <f>IF($I1417="Phản ánh",INDEX('Phản ánh'!$C$6:$C$505,MATCH($C1417,'Phản ánh'!$A$6:$A$505,0)),IF($I1417="Công việc",INDEX('Kế hoạch'!$C$6:$C$305,$O1417),""))</f>
      </c>
      <c r="K1417" s="221">
        <f>IF($I1417="Phản ánh",INDEX('Phản ánh'!$K$6:$K$505,MATCH($C1417,'Phản ánh'!$A$6:$A$505,0))&amp;"",IF($I1417="Công việc",INDEX('Kế hoạch'!$N$6:$N$305,$O1417)&amp;"",""))</f>
      </c>
      <c r="L1417" s="220">
        <f>IF(OR($C1417="",N($B1417)=0),"",IF(AND($I1417="Phản ánh",$E1417="Đã xử lý"),INDEX('Phản ánh'!$U$6:$U$505,MATCH($C1417,'Phản ánh'!$A$6:$A$505,0)),IF(AND($I1417="Công việc",OR($E1417="Hoàn thành",$E1417="Hoàn thành kỳ")),IF(INDEX('Kế hoạch'!$B$6:$B$305,$O1417)="Đột xuất",INDEX('Kế hoạch'!$AY$6:$AY$305,$O1417),IF(N($P1417)=0,"",IF(INT($B1417)&lt;$P1417,$P1417,IF($Q1417&gt;0,$P1417+ROUND((INT($B1417)-$P1417)/$Q1417,0)*$Q1417,IF($R1417&gt;0,EDATE($P1417,ROUND((DATEDIF($P1417,INT($B1417),"m")+(INT($B1417)-EDATE($P1417,DATEDIF($P1417,INT($B1417),"m")))/(EDATE($P1417,DATEDIF($P1417,INT($B1417),"m")+1)-EDATE($P1417,DATEDIF($P1417,INT($B1417),"m"))))/$R1417,0)*$R1417),$P1417))))),"")))</f>
      </c>
      <c r="M1417" s="223">
        <f>IF(OR($C1417="",N($L1417)=0,N($B1417)=0),"",IF(IF(MOD($L1417,1)=0,INT($B1417),$B1417)&lt;=$L1417,"Đúng hạn","Trễ hạn"))</f>
      </c>
      <c r="N1417" s="225">
        <f>IF($C1417="","",ROW())</f>
      </c>
      <c r="O1417" s="225">
        <f>IF($I1417="Công việc",MATCH($C1417,'Kế hoạch'!$A$6:$A$305,0),"")</f>
      </c>
      <c r="P1417" s="234">
        <f>IF($O1417="","",INDEX('Kế hoạch'!$I$6:$I$305,$O1417))</f>
      </c>
      <c r="Q1417" s="225">
        <f>IF($O1417="","",INDEX('Kế hoạch'!$AJ$6:$AJ$305,$O1417))</f>
      </c>
      <c r="R1417" s="225">
        <f>IF($O1417="","",INDEX('Kế hoạch'!$AK$6:$AK$305,$O1417))</f>
      </c>
    </row>
    <row r="1418">
      <c r="A1418" s="223">
        <f>IF($C1418="","",COUNTIF($C$6:$C1418,"?*"))</f>
      </c>
      <c r="B1418" s="217"/>
      <c r="C1418" s="216"/>
      <c r="D1418" s="240"/>
      <c r="E1418" s="218"/>
      <c r="F1418" s="218"/>
      <c r="G1418" s="218"/>
      <c r="H1418" s="219"/>
      <c r="I1418" s="223">
        <f>IF($C1418="","",IF(ISNUMBER(MATCH($C1418,'Phản ánh'!$A$6:$A$505,0)),"Phản ánh",IF(ISNUMBER(MATCH($C1418,'Kế hoạch'!$A$6:$A$305,0)),"Công việc","Mã chưa có")))</f>
      </c>
      <c r="J1418" s="221">
        <f>IF($I1418="Phản ánh",INDEX('Phản ánh'!$C$6:$C$505,MATCH($C1418,'Phản ánh'!$A$6:$A$505,0)),IF($I1418="Công việc",INDEX('Kế hoạch'!$C$6:$C$305,$O1418),""))</f>
      </c>
      <c r="K1418" s="221">
        <f>IF($I1418="Phản ánh",INDEX('Phản ánh'!$K$6:$K$505,MATCH($C1418,'Phản ánh'!$A$6:$A$505,0))&amp;"",IF($I1418="Công việc",INDEX('Kế hoạch'!$N$6:$N$305,$O1418)&amp;"",""))</f>
      </c>
      <c r="L1418" s="220">
        <f>IF(OR($C1418="",N($B1418)=0),"",IF(AND($I1418="Phản ánh",$E1418="Đã xử lý"),INDEX('Phản ánh'!$U$6:$U$505,MATCH($C1418,'Phản ánh'!$A$6:$A$505,0)),IF(AND($I1418="Công việc",OR($E1418="Hoàn thành",$E1418="Hoàn thành kỳ")),IF(INDEX('Kế hoạch'!$B$6:$B$305,$O1418)="Đột xuất",INDEX('Kế hoạch'!$AY$6:$AY$305,$O1418),IF(N($P1418)=0,"",IF(INT($B1418)&lt;$P1418,$P1418,IF($Q1418&gt;0,$P1418+ROUND((INT($B1418)-$P1418)/$Q1418,0)*$Q1418,IF($R1418&gt;0,EDATE($P1418,ROUND((DATEDIF($P1418,INT($B1418),"m")+(INT($B1418)-EDATE($P1418,DATEDIF($P1418,INT($B1418),"m")))/(EDATE($P1418,DATEDIF($P1418,INT($B1418),"m")+1)-EDATE($P1418,DATEDIF($P1418,INT($B1418),"m"))))/$R1418,0)*$R1418),$P1418))))),"")))</f>
      </c>
      <c r="M1418" s="223">
        <f>IF(OR($C1418="",N($L1418)=0,N($B1418)=0),"",IF(IF(MOD($L1418,1)=0,INT($B1418),$B1418)&lt;=$L1418,"Đúng hạn","Trễ hạn"))</f>
      </c>
      <c r="N1418" s="225">
        <f>IF($C1418="","",ROW())</f>
      </c>
      <c r="O1418" s="225">
        <f>IF($I1418="Công việc",MATCH($C1418,'Kế hoạch'!$A$6:$A$305,0),"")</f>
      </c>
      <c r="P1418" s="234">
        <f>IF($O1418="","",INDEX('Kế hoạch'!$I$6:$I$305,$O1418))</f>
      </c>
      <c r="Q1418" s="225">
        <f>IF($O1418="","",INDEX('Kế hoạch'!$AJ$6:$AJ$305,$O1418))</f>
      </c>
      <c r="R1418" s="225">
        <f>IF($O1418="","",INDEX('Kế hoạch'!$AK$6:$AK$305,$O1418))</f>
      </c>
    </row>
    <row r="1419">
      <c r="A1419" s="223">
        <f>IF($C1419="","",COUNTIF($C$6:$C1419,"?*"))</f>
      </c>
      <c r="B1419" s="217"/>
      <c r="C1419" s="216"/>
      <c r="D1419" s="240"/>
      <c r="E1419" s="218"/>
      <c r="F1419" s="218"/>
      <c r="G1419" s="218"/>
      <c r="H1419" s="219"/>
      <c r="I1419" s="223">
        <f>IF($C1419="","",IF(ISNUMBER(MATCH($C1419,'Phản ánh'!$A$6:$A$505,0)),"Phản ánh",IF(ISNUMBER(MATCH($C1419,'Kế hoạch'!$A$6:$A$305,0)),"Công việc","Mã chưa có")))</f>
      </c>
      <c r="J1419" s="221">
        <f>IF($I1419="Phản ánh",INDEX('Phản ánh'!$C$6:$C$505,MATCH($C1419,'Phản ánh'!$A$6:$A$505,0)),IF($I1419="Công việc",INDEX('Kế hoạch'!$C$6:$C$305,$O1419),""))</f>
      </c>
      <c r="K1419" s="221">
        <f>IF($I1419="Phản ánh",INDEX('Phản ánh'!$K$6:$K$505,MATCH($C1419,'Phản ánh'!$A$6:$A$505,0))&amp;"",IF($I1419="Công việc",INDEX('Kế hoạch'!$N$6:$N$305,$O1419)&amp;"",""))</f>
      </c>
      <c r="L1419" s="220">
        <f>IF(OR($C1419="",N($B1419)=0),"",IF(AND($I1419="Phản ánh",$E1419="Đã xử lý"),INDEX('Phản ánh'!$U$6:$U$505,MATCH($C1419,'Phản ánh'!$A$6:$A$505,0)),IF(AND($I1419="Công việc",OR($E1419="Hoàn thành",$E1419="Hoàn thành kỳ")),IF(INDEX('Kế hoạch'!$B$6:$B$305,$O1419)="Đột xuất",INDEX('Kế hoạch'!$AY$6:$AY$305,$O1419),IF(N($P1419)=0,"",IF(INT($B1419)&lt;$P1419,$P1419,IF($Q1419&gt;0,$P1419+ROUND((INT($B1419)-$P1419)/$Q1419,0)*$Q1419,IF($R1419&gt;0,EDATE($P1419,ROUND((DATEDIF($P1419,INT($B1419),"m")+(INT($B1419)-EDATE($P1419,DATEDIF($P1419,INT($B1419),"m")))/(EDATE($P1419,DATEDIF($P1419,INT($B1419),"m")+1)-EDATE($P1419,DATEDIF($P1419,INT($B1419),"m"))))/$R1419,0)*$R1419),$P1419))))),"")))</f>
      </c>
      <c r="M1419" s="223">
        <f>IF(OR($C1419="",N($L1419)=0,N($B1419)=0),"",IF(IF(MOD($L1419,1)=0,INT($B1419),$B1419)&lt;=$L1419,"Đúng hạn","Trễ hạn"))</f>
      </c>
      <c r="N1419" s="225">
        <f>IF($C1419="","",ROW())</f>
      </c>
      <c r="O1419" s="225">
        <f>IF($I1419="Công việc",MATCH($C1419,'Kế hoạch'!$A$6:$A$305,0),"")</f>
      </c>
      <c r="P1419" s="234">
        <f>IF($O1419="","",INDEX('Kế hoạch'!$I$6:$I$305,$O1419))</f>
      </c>
      <c r="Q1419" s="225">
        <f>IF($O1419="","",INDEX('Kế hoạch'!$AJ$6:$AJ$305,$O1419))</f>
      </c>
      <c r="R1419" s="225">
        <f>IF($O1419="","",INDEX('Kế hoạch'!$AK$6:$AK$305,$O1419))</f>
      </c>
    </row>
    <row r="1420">
      <c r="A1420" s="223">
        <f>IF($C1420="","",COUNTIF($C$6:$C1420,"?*"))</f>
      </c>
      <c r="B1420" s="217"/>
      <c r="C1420" s="216"/>
      <c r="D1420" s="240"/>
      <c r="E1420" s="218"/>
      <c r="F1420" s="218"/>
      <c r="G1420" s="218"/>
      <c r="H1420" s="219"/>
      <c r="I1420" s="223">
        <f>IF($C1420="","",IF(ISNUMBER(MATCH($C1420,'Phản ánh'!$A$6:$A$505,0)),"Phản ánh",IF(ISNUMBER(MATCH($C1420,'Kế hoạch'!$A$6:$A$305,0)),"Công việc","Mã chưa có")))</f>
      </c>
      <c r="J1420" s="221">
        <f>IF($I1420="Phản ánh",INDEX('Phản ánh'!$C$6:$C$505,MATCH($C1420,'Phản ánh'!$A$6:$A$505,0)),IF($I1420="Công việc",INDEX('Kế hoạch'!$C$6:$C$305,$O1420),""))</f>
      </c>
      <c r="K1420" s="221">
        <f>IF($I1420="Phản ánh",INDEX('Phản ánh'!$K$6:$K$505,MATCH($C1420,'Phản ánh'!$A$6:$A$505,0))&amp;"",IF($I1420="Công việc",INDEX('Kế hoạch'!$N$6:$N$305,$O1420)&amp;"",""))</f>
      </c>
      <c r="L1420" s="220">
        <f>IF(OR($C1420="",N($B1420)=0),"",IF(AND($I1420="Phản ánh",$E1420="Đã xử lý"),INDEX('Phản ánh'!$U$6:$U$505,MATCH($C1420,'Phản ánh'!$A$6:$A$505,0)),IF(AND($I1420="Công việc",OR($E1420="Hoàn thành",$E1420="Hoàn thành kỳ")),IF(INDEX('Kế hoạch'!$B$6:$B$305,$O1420)="Đột xuất",INDEX('Kế hoạch'!$AY$6:$AY$305,$O1420),IF(N($P1420)=0,"",IF(INT($B1420)&lt;$P1420,$P1420,IF($Q1420&gt;0,$P1420+ROUND((INT($B1420)-$P1420)/$Q1420,0)*$Q1420,IF($R1420&gt;0,EDATE($P1420,ROUND((DATEDIF($P1420,INT($B1420),"m")+(INT($B1420)-EDATE($P1420,DATEDIF($P1420,INT($B1420),"m")))/(EDATE($P1420,DATEDIF($P1420,INT($B1420),"m")+1)-EDATE($P1420,DATEDIF($P1420,INT($B1420),"m"))))/$R1420,0)*$R1420),$P1420))))),"")))</f>
      </c>
      <c r="M1420" s="223">
        <f>IF(OR($C1420="",N($L1420)=0,N($B1420)=0),"",IF(IF(MOD($L1420,1)=0,INT($B1420),$B1420)&lt;=$L1420,"Đúng hạn","Trễ hạn"))</f>
      </c>
      <c r="N1420" s="225">
        <f>IF($C1420="","",ROW())</f>
      </c>
      <c r="O1420" s="225">
        <f>IF($I1420="Công việc",MATCH($C1420,'Kế hoạch'!$A$6:$A$305,0),"")</f>
      </c>
      <c r="P1420" s="234">
        <f>IF($O1420="","",INDEX('Kế hoạch'!$I$6:$I$305,$O1420))</f>
      </c>
      <c r="Q1420" s="225">
        <f>IF($O1420="","",INDEX('Kế hoạch'!$AJ$6:$AJ$305,$O1420))</f>
      </c>
      <c r="R1420" s="225">
        <f>IF($O1420="","",INDEX('Kế hoạch'!$AK$6:$AK$305,$O1420))</f>
      </c>
    </row>
    <row r="1421">
      <c r="A1421" s="223">
        <f>IF($C1421="","",COUNTIF($C$6:$C1421,"?*"))</f>
      </c>
      <c r="B1421" s="217"/>
      <c r="C1421" s="216"/>
      <c r="D1421" s="240"/>
      <c r="E1421" s="218"/>
      <c r="F1421" s="218"/>
      <c r="G1421" s="218"/>
      <c r="H1421" s="219"/>
      <c r="I1421" s="223">
        <f>IF($C1421="","",IF(ISNUMBER(MATCH($C1421,'Phản ánh'!$A$6:$A$505,0)),"Phản ánh",IF(ISNUMBER(MATCH($C1421,'Kế hoạch'!$A$6:$A$305,0)),"Công việc","Mã chưa có")))</f>
      </c>
      <c r="J1421" s="221">
        <f>IF($I1421="Phản ánh",INDEX('Phản ánh'!$C$6:$C$505,MATCH($C1421,'Phản ánh'!$A$6:$A$505,0)),IF($I1421="Công việc",INDEX('Kế hoạch'!$C$6:$C$305,$O1421),""))</f>
      </c>
      <c r="K1421" s="221">
        <f>IF($I1421="Phản ánh",INDEX('Phản ánh'!$K$6:$K$505,MATCH($C1421,'Phản ánh'!$A$6:$A$505,0))&amp;"",IF($I1421="Công việc",INDEX('Kế hoạch'!$N$6:$N$305,$O1421)&amp;"",""))</f>
      </c>
      <c r="L1421" s="220">
        <f>IF(OR($C1421="",N($B1421)=0),"",IF(AND($I1421="Phản ánh",$E1421="Đã xử lý"),INDEX('Phản ánh'!$U$6:$U$505,MATCH($C1421,'Phản ánh'!$A$6:$A$505,0)),IF(AND($I1421="Công việc",OR($E1421="Hoàn thành",$E1421="Hoàn thành kỳ")),IF(INDEX('Kế hoạch'!$B$6:$B$305,$O1421)="Đột xuất",INDEX('Kế hoạch'!$AY$6:$AY$305,$O1421),IF(N($P1421)=0,"",IF(INT($B1421)&lt;$P1421,$P1421,IF($Q1421&gt;0,$P1421+ROUND((INT($B1421)-$P1421)/$Q1421,0)*$Q1421,IF($R1421&gt;0,EDATE($P1421,ROUND((DATEDIF($P1421,INT($B1421),"m")+(INT($B1421)-EDATE($P1421,DATEDIF($P1421,INT($B1421),"m")))/(EDATE($P1421,DATEDIF($P1421,INT($B1421),"m")+1)-EDATE($P1421,DATEDIF($P1421,INT($B1421),"m"))))/$R1421,0)*$R1421),$P1421))))),"")))</f>
      </c>
      <c r="M1421" s="223">
        <f>IF(OR($C1421="",N($L1421)=0,N($B1421)=0),"",IF(IF(MOD($L1421,1)=0,INT($B1421),$B1421)&lt;=$L1421,"Đúng hạn","Trễ hạn"))</f>
      </c>
      <c r="N1421" s="225">
        <f>IF($C1421="","",ROW())</f>
      </c>
      <c r="O1421" s="225">
        <f>IF($I1421="Công việc",MATCH($C1421,'Kế hoạch'!$A$6:$A$305,0),"")</f>
      </c>
      <c r="P1421" s="234">
        <f>IF($O1421="","",INDEX('Kế hoạch'!$I$6:$I$305,$O1421))</f>
      </c>
      <c r="Q1421" s="225">
        <f>IF($O1421="","",INDEX('Kế hoạch'!$AJ$6:$AJ$305,$O1421))</f>
      </c>
      <c r="R1421" s="225">
        <f>IF($O1421="","",INDEX('Kế hoạch'!$AK$6:$AK$305,$O1421))</f>
      </c>
    </row>
    <row r="1422">
      <c r="A1422" s="223">
        <f>IF($C1422="","",COUNTIF($C$6:$C1422,"?*"))</f>
      </c>
      <c r="B1422" s="217"/>
      <c r="C1422" s="216"/>
      <c r="D1422" s="240"/>
      <c r="E1422" s="218"/>
      <c r="F1422" s="218"/>
      <c r="G1422" s="218"/>
      <c r="H1422" s="219"/>
      <c r="I1422" s="223">
        <f>IF($C1422="","",IF(ISNUMBER(MATCH($C1422,'Phản ánh'!$A$6:$A$505,0)),"Phản ánh",IF(ISNUMBER(MATCH($C1422,'Kế hoạch'!$A$6:$A$305,0)),"Công việc","Mã chưa có")))</f>
      </c>
      <c r="J1422" s="221">
        <f>IF($I1422="Phản ánh",INDEX('Phản ánh'!$C$6:$C$505,MATCH($C1422,'Phản ánh'!$A$6:$A$505,0)),IF($I1422="Công việc",INDEX('Kế hoạch'!$C$6:$C$305,$O1422),""))</f>
      </c>
      <c r="K1422" s="221">
        <f>IF($I1422="Phản ánh",INDEX('Phản ánh'!$K$6:$K$505,MATCH($C1422,'Phản ánh'!$A$6:$A$505,0))&amp;"",IF($I1422="Công việc",INDEX('Kế hoạch'!$N$6:$N$305,$O1422)&amp;"",""))</f>
      </c>
      <c r="L1422" s="220">
        <f>IF(OR($C1422="",N($B1422)=0),"",IF(AND($I1422="Phản ánh",$E1422="Đã xử lý"),INDEX('Phản ánh'!$U$6:$U$505,MATCH($C1422,'Phản ánh'!$A$6:$A$505,0)),IF(AND($I1422="Công việc",OR($E1422="Hoàn thành",$E1422="Hoàn thành kỳ")),IF(INDEX('Kế hoạch'!$B$6:$B$305,$O1422)="Đột xuất",INDEX('Kế hoạch'!$AY$6:$AY$305,$O1422),IF(N($P1422)=0,"",IF(INT($B1422)&lt;$P1422,$P1422,IF($Q1422&gt;0,$P1422+ROUND((INT($B1422)-$P1422)/$Q1422,0)*$Q1422,IF($R1422&gt;0,EDATE($P1422,ROUND((DATEDIF($P1422,INT($B1422),"m")+(INT($B1422)-EDATE($P1422,DATEDIF($P1422,INT($B1422),"m")))/(EDATE($P1422,DATEDIF($P1422,INT($B1422),"m")+1)-EDATE($P1422,DATEDIF($P1422,INT($B1422),"m"))))/$R1422,0)*$R1422),$P1422))))),"")))</f>
      </c>
      <c r="M1422" s="223">
        <f>IF(OR($C1422="",N($L1422)=0,N($B1422)=0),"",IF(IF(MOD($L1422,1)=0,INT($B1422),$B1422)&lt;=$L1422,"Đúng hạn","Trễ hạn"))</f>
      </c>
      <c r="N1422" s="225">
        <f>IF($C1422="","",ROW())</f>
      </c>
      <c r="O1422" s="225">
        <f>IF($I1422="Công việc",MATCH($C1422,'Kế hoạch'!$A$6:$A$305,0),"")</f>
      </c>
      <c r="P1422" s="234">
        <f>IF($O1422="","",INDEX('Kế hoạch'!$I$6:$I$305,$O1422))</f>
      </c>
      <c r="Q1422" s="225">
        <f>IF($O1422="","",INDEX('Kế hoạch'!$AJ$6:$AJ$305,$O1422))</f>
      </c>
      <c r="R1422" s="225">
        <f>IF($O1422="","",INDEX('Kế hoạch'!$AK$6:$AK$305,$O1422))</f>
      </c>
    </row>
    <row r="1423">
      <c r="A1423" s="223">
        <f>IF($C1423="","",COUNTIF($C$6:$C1423,"?*"))</f>
      </c>
      <c r="B1423" s="217"/>
      <c r="C1423" s="216"/>
      <c r="D1423" s="240"/>
      <c r="E1423" s="218"/>
      <c r="F1423" s="218"/>
      <c r="G1423" s="218"/>
      <c r="H1423" s="219"/>
      <c r="I1423" s="223">
        <f>IF($C1423="","",IF(ISNUMBER(MATCH($C1423,'Phản ánh'!$A$6:$A$505,0)),"Phản ánh",IF(ISNUMBER(MATCH($C1423,'Kế hoạch'!$A$6:$A$305,0)),"Công việc","Mã chưa có")))</f>
      </c>
      <c r="J1423" s="221">
        <f>IF($I1423="Phản ánh",INDEX('Phản ánh'!$C$6:$C$505,MATCH($C1423,'Phản ánh'!$A$6:$A$505,0)),IF($I1423="Công việc",INDEX('Kế hoạch'!$C$6:$C$305,$O1423),""))</f>
      </c>
      <c r="K1423" s="221">
        <f>IF($I1423="Phản ánh",INDEX('Phản ánh'!$K$6:$K$505,MATCH($C1423,'Phản ánh'!$A$6:$A$505,0))&amp;"",IF($I1423="Công việc",INDEX('Kế hoạch'!$N$6:$N$305,$O1423)&amp;"",""))</f>
      </c>
      <c r="L1423" s="220">
        <f>IF(OR($C1423="",N($B1423)=0),"",IF(AND($I1423="Phản ánh",$E1423="Đã xử lý"),INDEX('Phản ánh'!$U$6:$U$505,MATCH($C1423,'Phản ánh'!$A$6:$A$505,0)),IF(AND($I1423="Công việc",OR($E1423="Hoàn thành",$E1423="Hoàn thành kỳ")),IF(INDEX('Kế hoạch'!$B$6:$B$305,$O1423)="Đột xuất",INDEX('Kế hoạch'!$AY$6:$AY$305,$O1423),IF(N($P1423)=0,"",IF(INT($B1423)&lt;$P1423,$P1423,IF($Q1423&gt;0,$P1423+ROUND((INT($B1423)-$P1423)/$Q1423,0)*$Q1423,IF($R1423&gt;0,EDATE($P1423,ROUND((DATEDIF($P1423,INT($B1423),"m")+(INT($B1423)-EDATE($P1423,DATEDIF($P1423,INT($B1423),"m")))/(EDATE($P1423,DATEDIF($P1423,INT($B1423),"m")+1)-EDATE($P1423,DATEDIF($P1423,INT($B1423),"m"))))/$R1423,0)*$R1423),$P1423))))),"")))</f>
      </c>
      <c r="M1423" s="223">
        <f>IF(OR($C1423="",N($L1423)=0,N($B1423)=0),"",IF(IF(MOD($L1423,1)=0,INT($B1423),$B1423)&lt;=$L1423,"Đúng hạn","Trễ hạn"))</f>
      </c>
      <c r="N1423" s="225">
        <f>IF($C1423="","",ROW())</f>
      </c>
      <c r="O1423" s="225">
        <f>IF($I1423="Công việc",MATCH($C1423,'Kế hoạch'!$A$6:$A$305,0),"")</f>
      </c>
      <c r="P1423" s="234">
        <f>IF($O1423="","",INDEX('Kế hoạch'!$I$6:$I$305,$O1423))</f>
      </c>
      <c r="Q1423" s="225">
        <f>IF($O1423="","",INDEX('Kế hoạch'!$AJ$6:$AJ$305,$O1423))</f>
      </c>
      <c r="R1423" s="225">
        <f>IF($O1423="","",INDEX('Kế hoạch'!$AK$6:$AK$305,$O1423))</f>
      </c>
    </row>
    <row r="1424">
      <c r="A1424" s="223">
        <f>IF($C1424="","",COUNTIF($C$6:$C1424,"?*"))</f>
      </c>
      <c r="B1424" s="217"/>
      <c r="C1424" s="216"/>
      <c r="D1424" s="240"/>
      <c r="E1424" s="218"/>
      <c r="F1424" s="218"/>
      <c r="G1424" s="218"/>
      <c r="H1424" s="219"/>
      <c r="I1424" s="223">
        <f>IF($C1424="","",IF(ISNUMBER(MATCH($C1424,'Phản ánh'!$A$6:$A$505,0)),"Phản ánh",IF(ISNUMBER(MATCH($C1424,'Kế hoạch'!$A$6:$A$305,0)),"Công việc","Mã chưa có")))</f>
      </c>
      <c r="J1424" s="221">
        <f>IF($I1424="Phản ánh",INDEX('Phản ánh'!$C$6:$C$505,MATCH($C1424,'Phản ánh'!$A$6:$A$505,0)),IF($I1424="Công việc",INDEX('Kế hoạch'!$C$6:$C$305,$O1424),""))</f>
      </c>
      <c r="K1424" s="221">
        <f>IF($I1424="Phản ánh",INDEX('Phản ánh'!$K$6:$K$505,MATCH($C1424,'Phản ánh'!$A$6:$A$505,0))&amp;"",IF($I1424="Công việc",INDEX('Kế hoạch'!$N$6:$N$305,$O1424)&amp;"",""))</f>
      </c>
      <c r="L1424" s="220">
        <f>IF(OR($C1424="",N($B1424)=0),"",IF(AND($I1424="Phản ánh",$E1424="Đã xử lý"),INDEX('Phản ánh'!$U$6:$U$505,MATCH($C1424,'Phản ánh'!$A$6:$A$505,0)),IF(AND($I1424="Công việc",OR($E1424="Hoàn thành",$E1424="Hoàn thành kỳ")),IF(INDEX('Kế hoạch'!$B$6:$B$305,$O1424)="Đột xuất",INDEX('Kế hoạch'!$AY$6:$AY$305,$O1424),IF(N($P1424)=0,"",IF(INT($B1424)&lt;$P1424,$P1424,IF($Q1424&gt;0,$P1424+ROUND((INT($B1424)-$P1424)/$Q1424,0)*$Q1424,IF($R1424&gt;0,EDATE($P1424,ROUND((DATEDIF($P1424,INT($B1424),"m")+(INT($B1424)-EDATE($P1424,DATEDIF($P1424,INT($B1424),"m")))/(EDATE($P1424,DATEDIF($P1424,INT($B1424),"m")+1)-EDATE($P1424,DATEDIF($P1424,INT($B1424),"m"))))/$R1424,0)*$R1424),$P1424))))),"")))</f>
      </c>
      <c r="M1424" s="223">
        <f>IF(OR($C1424="",N($L1424)=0,N($B1424)=0),"",IF(IF(MOD($L1424,1)=0,INT($B1424),$B1424)&lt;=$L1424,"Đúng hạn","Trễ hạn"))</f>
      </c>
      <c r="N1424" s="225">
        <f>IF($C1424="","",ROW())</f>
      </c>
      <c r="O1424" s="225">
        <f>IF($I1424="Công việc",MATCH($C1424,'Kế hoạch'!$A$6:$A$305,0),"")</f>
      </c>
      <c r="P1424" s="234">
        <f>IF($O1424="","",INDEX('Kế hoạch'!$I$6:$I$305,$O1424))</f>
      </c>
      <c r="Q1424" s="225">
        <f>IF($O1424="","",INDEX('Kế hoạch'!$AJ$6:$AJ$305,$O1424))</f>
      </c>
      <c r="R1424" s="225">
        <f>IF($O1424="","",INDEX('Kế hoạch'!$AK$6:$AK$305,$O1424))</f>
      </c>
    </row>
    <row r="1425">
      <c r="A1425" s="223">
        <f>IF($C1425="","",COUNTIF($C$6:$C1425,"?*"))</f>
      </c>
      <c r="B1425" s="217"/>
      <c r="C1425" s="216"/>
      <c r="D1425" s="240"/>
      <c r="E1425" s="218"/>
      <c r="F1425" s="218"/>
      <c r="G1425" s="218"/>
      <c r="H1425" s="219"/>
      <c r="I1425" s="223">
        <f>IF($C1425="","",IF(ISNUMBER(MATCH($C1425,'Phản ánh'!$A$6:$A$505,0)),"Phản ánh",IF(ISNUMBER(MATCH($C1425,'Kế hoạch'!$A$6:$A$305,0)),"Công việc","Mã chưa có")))</f>
      </c>
      <c r="J1425" s="221">
        <f>IF($I1425="Phản ánh",INDEX('Phản ánh'!$C$6:$C$505,MATCH($C1425,'Phản ánh'!$A$6:$A$505,0)),IF($I1425="Công việc",INDEX('Kế hoạch'!$C$6:$C$305,$O1425),""))</f>
      </c>
      <c r="K1425" s="221">
        <f>IF($I1425="Phản ánh",INDEX('Phản ánh'!$K$6:$K$505,MATCH($C1425,'Phản ánh'!$A$6:$A$505,0))&amp;"",IF($I1425="Công việc",INDEX('Kế hoạch'!$N$6:$N$305,$O1425)&amp;"",""))</f>
      </c>
      <c r="L1425" s="220">
        <f>IF(OR($C1425="",N($B1425)=0),"",IF(AND($I1425="Phản ánh",$E1425="Đã xử lý"),INDEX('Phản ánh'!$U$6:$U$505,MATCH($C1425,'Phản ánh'!$A$6:$A$505,0)),IF(AND($I1425="Công việc",OR($E1425="Hoàn thành",$E1425="Hoàn thành kỳ")),IF(INDEX('Kế hoạch'!$B$6:$B$305,$O1425)="Đột xuất",INDEX('Kế hoạch'!$AY$6:$AY$305,$O1425),IF(N($P1425)=0,"",IF(INT($B1425)&lt;$P1425,$P1425,IF($Q1425&gt;0,$P1425+ROUND((INT($B1425)-$P1425)/$Q1425,0)*$Q1425,IF($R1425&gt;0,EDATE($P1425,ROUND((DATEDIF($P1425,INT($B1425),"m")+(INT($B1425)-EDATE($P1425,DATEDIF($P1425,INT($B1425),"m")))/(EDATE($P1425,DATEDIF($P1425,INT($B1425),"m")+1)-EDATE($P1425,DATEDIF($P1425,INT($B1425),"m"))))/$R1425,0)*$R1425),$P1425))))),"")))</f>
      </c>
      <c r="M1425" s="223">
        <f>IF(OR($C1425="",N($L1425)=0,N($B1425)=0),"",IF(IF(MOD($L1425,1)=0,INT($B1425),$B1425)&lt;=$L1425,"Đúng hạn","Trễ hạn"))</f>
      </c>
      <c r="N1425" s="225">
        <f>IF($C1425="","",ROW())</f>
      </c>
      <c r="O1425" s="225">
        <f>IF($I1425="Công việc",MATCH($C1425,'Kế hoạch'!$A$6:$A$305,0),"")</f>
      </c>
      <c r="P1425" s="234">
        <f>IF($O1425="","",INDEX('Kế hoạch'!$I$6:$I$305,$O1425))</f>
      </c>
      <c r="Q1425" s="225">
        <f>IF($O1425="","",INDEX('Kế hoạch'!$AJ$6:$AJ$305,$O1425))</f>
      </c>
      <c r="R1425" s="225">
        <f>IF($O1425="","",INDEX('Kế hoạch'!$AK$6:$AK$305,$O1425))</f>
      </c>
    </row>
    <row r="1426">
      <c r="A1426" s="223">
        <f>IF($C1426="","",COUNTIF($C$6:$C1426,"?*"))</f>
      </c>
      <c r="B1426" s="217"/>
      <c r="C1426" s="216"/>
      <c r="D1426" s="240"/>
      <c r="E1426" s="218"/>
      <c r="F1426" s="218"/>
      <c r="G1426" s="218"/>
      <c r="H1426" s="219"/>
      <c r="I1426" s="223">
        <f>IF($C1426="","",IF(ISNUMBER(MATCH($C1426,'Phản ánh'!$A$6:$A$505,0)),"Phản ánh",IF(ISNUMBER(MATCH($C1426,'Kế hoạch'!$A$6:$A$305,0)),"Công việc","Mã chưa có")))</f>
      </c>
      <c r="J1426" s="221">
        <f>IF($I1426="Phản ánh",INDEX('Phản ánh'!$C$6:$C$505,MATCH($C1426,'Phản ánh'!$A$6:$A$505,0)),IF($I1426="Công việc",INDEX('Kế hoạch'!$C$6:$C$305,$O1426),""))</f>
      </c>
      <c r="K1426" s="221">
        <f>IF($I1426="Phản ánh",INDEX('Phản ánh'!$K$6:$K$505,MATCH($C1426,'Phản ánh'!$A$6:$A$505,0))&amp;"",IF($I1426="Công việc",INDEX('Kế hoạch'!$N$6:$N$305,$O1426)&amp;"",""))</f>
      </c>
      <c r="L1426" s="220">
        <f>IF(OR($C1426="",N($B1426)=0),"",IF(AND($I1426="Phản ánh",$E1426="Đã xử lý"),INDEX('Phản ánh'!$U$6:$U$505,MATCH($C1426,'Phản ánh'!$A$6:$A$505,0)),IF(AND($I1426="Công việc",OR($E1426="Hoàn thành",$E1426="Hoàn thành kỳ")),IF(INDEX('Kế hoạch'!$B$6:$B$305,$O1426)="Đột xuất",INDEX('Kế hoạch'!$AY$6:$AY$305,$O1426),IF(N($P1426)=0,"",IF(INT($B1426)&lt;$P1426,$P1426,IF($Q1426&gt;0,$P1426+ROUND((INT($B1426)-$P1426)/$Q1426,0)*$Q1426,IF($R1426&gt;0,EDATE($P1426,ROUND((DATEDIF($P1426,INT($B1426),"m")+(INT($B1426)-EDATE($P1426,DATEDIF($P1426,INT($B1426),"m")))/(EDATE($P1426,DATEDIF($P1426,INT($B1426),"m")+1)-EDATE($P1426,DATEDIF($P1426,INT($B1426),"m"))))/$R1426,0)*$R1426),$P1426))))),"")))</f>
      </c>
      <c r="M1426" s="223">
        <f>IF(OR($C1426="",N($L1426)=0,N($B1426)=0),"",IF(IF(MOD($L1426,1)=0,INT($B1426),$B1426)&lt;=$L1426,"Đúng hạn","Trễ hạn"))</f>
      </c>
      <c r="N1426" s="225">
        <f>IF($C1426="","",ROW())</f>
      </c>
      <c r="O1426" s="225">
        <f>IF($I1426="Công việc",MATCH($C1426,'Kế hoạch'!$A$6:$A$305,0),"")</f>
      </c>
      <c r="P1426" s="234">
        <f>IF($O1426="","",INDEX('Kế hoạch'!$I$6:$I$305,$O1426))</f>
      </c>
      <c r="Q1426" s="225">
        <f>IF($O1426="","",INDEX('Kế hoạch'!$AJ$6:$AJ$305,$O1426))</f>
      </c>
      <c r="R1426" s="225">
        <f>IF($O1426="","",INDEX('Kế hoạch'!$AK$6:$AK$305,$O1426))</f>
      </c>
    </row>
    <row r="1427">
      <c r="A1427" s="223">
        <f>IF($C1427="","",COUNTIF($C$6:$C1427,"?*"))</f>
      </c>
      <c r="B1427" s="217"/>
      <c r="C1427" s="216"/>
      <c r="D1427" s="240"/>
      <c r="E1427" s="218"/>
      <c r="F1427" s="218"/>
      <c r="G1427" s="218"/>
      <c r="H1427" s="219"/>
      <c r="I1427" s="223">
        <f>IF($C1427="","",IF(ISNUMBER(MATCH($C1427,'Phản ánh'!$A$6:$A$505,0)),"Phản ánh",IF(ISNUMBER(MATCH($C1427,'Kế hoạch'!$A$6:$A$305,0)),"Công việc","Mã chưa có")))</f>
      </c>
      <c r="J1427" s="221">
        <f>IF($I1427="Phản ánh",INDEX('Phản ánh'!$C$6:$C$505,MATCH($C1427,'Phản ánh'!$A$6:$A$505,0)),IF($I1427="Công việc",INDEX('Kế hoạch'!$C$6:$C$305,$O1427),""))</f>
      </c>
      <c r="K1427" s="221">
        <f>IF($I1427="Phản ánh",INDEX('Phản ánh'!$K$6:$K$505,MATCH($C1427,'Phản ánh'!$A$6:$A$505,0))&amp;"",IF($I1427="Công việc",INDEX('Kế hoạch'!$N$6:$N$305,$O1427)&amp;"",""))</f>
      </c>
      <c r="L1427" s="220">
        <f>IF(OR($C1427="",N($B1427)=0),"",IF(AND($I1427="Phản ánh",$E1427="Đã xử lý"),INDEX('Phản ánh'!$U$6:$U$505,MATCH($C1427,'Phản ánh'!$A$6:$A$505,0)),IF(AND($I1427="Công việc",OR($E1427="Hoàn thành",$E1427="Hoàn thành kỳ")),IF(INDEX('Kế hoạch'!$B$6:$B$305,$O1427)="Đột xuất",INDEX('Kế hoạch'!$AY$6:$AY$305,$O1427),IF(N($P1427)=0,"",IF(INT($B1427)&lt;$P1427,$P1427,IF($Q1427&gt;0,$P1427+ROUND((INT($B1427)-$P1427)/$Q1427,0)*$Q1427,IF($R1427&gt;0,EDATE($P1427,ROUND((DATEDIF($P1427,INT($B1427),"m")+(INT($B1427)-EDATE($P1427,DATEDIF($P1427,INT($B1427),"m")))/(EDATE($P1427,DATEDIF($P1427,INT($B1427),"m")+1)-EDATE($P1427,DATEDIF($P1427,INT($B1427),"m"))))/$R1427,0)*$R1427),$P1427))))),"")))</f>
      </c>
      <c r="M1427" s="223">
        <f>IF(OR($C1427="",N($L1427)=0,N($B1427)=0),"",IF(IF(MOD($L1427,1)=0,INT($B1427),$B1427)&lt;=$L1427,"Đúng hạn","Trễ hạn"))</f>
      </c>
      <c r="N1427" s="225">
        <f>IF($C1427="","",ROW())</f>
      </c>
      <c r="O1427" s="225">
        <f>IF($I1427="Công việc",MATCH($C1427,'Kế hoạch'!$A$6:$A$305,0),"")</f>
      </c>
      <c r="P1427" s="234">
        <f>IF($O1427="","",INDEX('Kế hoạch'!$I$6:$I$305,$O1427))</f>
      </c>
      <c r="Q1427" s="225">
        <f>IF($O1427="","",INDEX('Kế hoạch'!$AJ$6:$AJ$305,$O1427))</f>
      </c>
      <c r="R1427" s="225">
        <f>IF($O1427="","",INDEX('Kế hoạch'!$AK$6:$AK$305,$O1427))</f>
      </c>
    </row>
    <row r="1428">
      <c r="A1428" s="223">
        <f>IF($C1428="","",COUNTIF($C$6:$C1428,"?*"))</f>
      </c>
      <c r="B1428" s="217"/>
      <c r="C1428" s="216"/>
      <c r="D1428" s="240"/>
      <c r="E1428" s="218"/>
      <c r="F1428" s="218"/>
      <c r="G1428" s="218"/>
      <c r="H1428" s="219"/>
      <c r="I1428" s="223">
        <f>IF($C1428="","",IF(ISNUMBER(MATCH($C1428,'Phản ánh'!$A$6:$A$505,0)),"Phản ánh",IF(ISNUMBER(MATCH($C1428,'Kế hoạch'!$A$6:$A$305,0)),"Công việc","Mã chưa có")))</f>
      </c>
      <c r="J1428" s="221">
        <f>IF($I1428="Phản ánh",INDEX('Phản ánh'!$C$6:$C$505,MATCH($C1428,'Phản ánh'!$A$6:$A$505,0)),IF($I1428="Công việc",INDEX('Kế hoạch'!$C$6:$C$305,$O1428),""))</f>
      </c>
      <c r="K1428" s="221">
        <f>IF($I1428="Phản ánh",INDEX('Phản ánh'!$K$6:$K$505,MATCH($C1428,'Phản ánh'!$A$6:$A$505,0))&amp;"",IF($I1428="Công việc",INDEX('Kế hoạch'!$N$6:$N$305,$O1428)&amp;"",""))</f>
      </c>
      <c r="L1428" s="220">
        <f>IF(OR($C1428="",N($B1428)=0),"",IF(AND($I1428="Phản ánh",$E1428="Đã xử lý"),INDEX('Phản ánh'!$U$6:$U$505,MATCH($C1428,'Phản ánh'!$A$6:$A$505,0)),IF(AND($I1428="Công việc",OR($E1428="Hoàn thành",$E1428="Hoàn thành kỳ")),IF(INDEX('Kế hoạch'!$B$6:$B$305,$O1428)="Đột xuất",INDEX('Kế hoạch'!$AY$6:$AY$305,$O1428),IF(N($P1428)=0,"",IF(INT($B1428)&lt;$P1428,$P1428,IF($Q1428&gt;0,$P1428+ROUND((INT($B1428)-$P1428)/$Q1428,0)*$Q1428,IF($R1428&gt;0,EDATE($P1428,ROUND((DATEDIF($P1428,INT($B1428),"m")+(INT($B1428)-EDATE($P1428,DATEDIF($P1428,INT($B1428),"m")))/(EDATE($P1428,DATEDIF($P1428,INT($B1428),"m")+1)-EDATE($P1428,DATEDIF($P1428,INT($B1428),"m"))))/$R1428,0)*$R1428),$P1428))))),"")))</f>
      </c>
      <c r="M1428" s="223">
        <f>IF(OR($C1428="",N($L1428)=0,N($B1428)=0),"",IF(IF(MOD($L1428,1)=0,INT($B1428),$B1428)&lt;=$L1428,"Đúng hạn","Trễ hạn"))</f>
      </c>
      <c r="N1428" s="225">
        <f>IF($C1428="","",ROW())</f>
      </c>
      <c r="O1428" s="225">
        <f>IF($I1428="Công việc",MATCH($C1428,'Kế hoạch'!$A$6:$A$305,0),"")</f>
      </c>
      <c r="P1428" s="234">
        <f>IF($O1428="","",INDEX('Kế hoạch'!$I$6:$I$305,$O1428))</f>
      </c>
      <c r="Q1428" s="225">
        <f>IF($O1428="","",INDEX('Kế hoạch'!$AJ$6:$AJ$305,$O1428))</f>
      </c>
      <c r="R1428" s="225">
        <f>IF($O1428="","",INDEX('Kế hoạch'!$AK$6:$AK$305,$O1428))</f>
      </c>
    </row>
    <row r="1429">
      <c r="A1429" s="223">
        <f>IF($C1429="","",COUNTIF($C$6:$C1429,"?*"))</f>
      </c>
      <c r="B1429" s="217"/>
      <c r="C1429" s="216"/>
      <c r="D1429" s="240"/>
      <c r="E1429" s="218"/>
      <c r="F1429" s="218"/>
      <c r="G1429" s="218"/>
      <c r="H1429" s="219"/>
      <c r="I1429" s="223">
        <f>IF($C1429="","",IF(ISNUMBER(MATCH($C1429,'Phản ánh'!$A$6:$A$505,0)),"Phản ánh",IF(ISNUMBER(MATCH($C1429,'Kế hoạch'!$A$6:$A$305,0)),"Công việc","Mã chưa có")))</f>
      </c>
      <c r="J1429" s="221">
        <f>IF($I1429="Phản ánh",INDEX('Phản ánh'!$C$6:$C$505,MATCH($C1429,'Phản ánh'!$A$6:$A$505,0)),IF($I1429="Công việc",INDEX('Kế hoạch'!$C$6:$C$305,$O1429),""))</f>
      </c>
      <c r="K1429" s="221">
        <f>IF($I1429="Phản ánh",INDEX('Phản ánh'!$K$6:$K$505,MATCH($C1429,'Phản ánh'!$A$6:$A$505,0))&amp;"",IF($I1429="Công việc",INDEX('Kế hoạch'!$N$6:$N$305,$O1429)&amp;"",""))</f>
      </c>
      <c r="L1429" s="220">
        <f>IF(OR($C1429="",N($B1429)=0),"",IF(AND($I1429="Phản ánh",$E1429="Đã xử lý"),INDEX('Phản ánh'!$U$6:$U$505,MATCH($C1429,'Phản ánh'!$A$6:$A$505,0)),IF(AND($I1429="Công việc",OR($E1429="Hoàn thành",$E1429="Hoàn thành kỳ")),IF(INDEX('Kế hoạch'!$B$6:$B$305,$O1429)="Đột xuất",INDEX('Kế hoạch'!$AY$6:$AY$305,$O1429),IF(N($P1429)=0,"",IF(INT($B1429)&lt;$P1429,$P1429,IF($Q1429&gt;0,$P1429+ROUND((INT($B1429)-$P1429)/$Q1429,0)*$Q1429,IF($R1429&gt;0,EDATE($P1429,ROUND((DATEDIF($P1429,INT($B1429),"m")+(INT($B1429)-EDATE($P1429,DATEDIF($P1429,INT($B1429),"m")))/(EDATE($P1429,DATEDIF($P1429,INT($B1429),"m")+1)-EDATE($P1429,DATEDIF($P1429,INT($B1429),"m"))))/$R1429,0)*$R1429),$P1429))))),"")))</f>
      </c>
      <c r="M1429" s="223">
        <f>IF(OR($C1429="",N($L1429)=0,N($B1429)=0),"",IF(IF(MOD($L1429,1)=0,INT($B1429),$B1429)&lt;=$L1429,"Đúng hạn","Trễ hạn"))</f>
      </c>
      <c r="N1429" s="225">
        <f>IF($C1429="","",ROW())</f>
      </c>
      <c r="O1429" s="225">
        <f>IF($I1429="Công việc",MATCH($C1429,'Kế hoạch'!$A$6:$A$305,0),"")</f>
      </c>
      <c r="P1429" s="234">
        <f>IF($O1429="","",INDEX('Kế hoạch'!$I$6:$I$305,$O1429))</f>
      </c>
      <c r="Q1429" s="225">
        <f>IF($O1429="","",INDEX('Kế hoạch'!$AJ$6:$AJ$305,$O1429))</f>
      </c>
      <c r="R1429" s="225">
        <f>IF($O1429="","",INDEX('Kế hoạch'!$AK$6:$AK$305,$O1429))</f>
      </c>
    </row>
    <row r="1430">
      <c r="A1430" s="223">
        <f>IF($C1430="","",COUNTIF($C$6:$C1430,"?*"))</f>
      </c>
      <c r="B1430" s="217"/>
      <c r="C1430" s="216"/>
      <c r="D1430" s="240"/>
      <c r="E1430" s="218"/>
      <c r="F1430" s="218"/>
      <c r="G1430" s="218"/>
      <c r="H1430" s="219"/>
      <c r="I1430" s="223">
        <f>IF($C1430="","",IF(ISNUMBER(MATCH($C1430,'Phản ánh'!$A$6:$A$505,0)),"Phản ánh",IF(ISNUMBER(MATCH($C1430,'Kế hoạch'!$A$6:$A$305,0)),"Công việc","Mã chưa có")))</f>
      </c>
      <c r="J1430" s="221">
        <f>IF($I1430="Phản ánh",INDEX('Phản ánh'!$C$6:$C$505,MATCH($C1430,'Phản ánh'!$A$6:$A$505,0)),IF($I1430="Công việc",INDEX('Kế hoạch'!$C$6:$C$305,$O1430),""))</f>
      </c>
      <c r="K1430" s="221">
        <f>IF($I1430="Phản ánh",INDEX('Phản ánh'!$K$6:$K$505,MATCH($C1430,'Phản ánh'!$A$6:$A$505,0))&amp;"",IF($I1430="Công việc",INDEX('Kế hoạch'!$N$6:$N$305,$O1430)&amp;"",""))</f>
      </c>
      <c r="L1430" s="220">
        <f>IF(OR($C1430="",N($B1430)=0),"",IF(AND($I1430="Phản ánh",$E1430="Đã xử lý"),INDEX('Phản ánh'!$U$6:$U$505,MATCH($C1430,'Phản ánh'!$A$6:$A$505,0)),IF(AND($I1430="Công việc",OR($E1430="Hoàn thành",$E1430="Hoàn thành kỳ")),IF(INDEX('Kế hoạch'!$B$6:$B$305,$O1430)="Đột xuất",INDEX('Kế hoạch'!$AY$6:$AY$305,$O1430),IF(N($P1430)=0,"",IF(INT($B1430)&lt;$P1430,$P1430,IF($Q1430&gt;0,$P1430+ROUND((INT($B1430)-$P1430)/$Q1430,0)*$Q1430,IF($R1430&gt;0,EDATE($P1430,ROUND((DATEDIF($P1430,INT($B1430),"m")+(INT($B1430)-EDATE($P1430,DATEDIF($P1430,INT($B1430),"m")))/(EDATE($P1430,DATEDIF($P1430,INT($B1430),"m")+1)-EDATE($P1430,DATEDIF($P1430,INT($B1430),"m"))))/$R1430,0)*$R1430),$P1430))))),"")))</f>
      </c>
      <c r="M1430" s="223">
        <f>IF(OR($C1430="",N($L1430)=0,N($B1430)=0),"",IF(IF(MOD($L1430,1)=0,INT($B1430),$B1430)&lt;=$L1430,"Đúng hạn","Trễ hạn"))</f>
      </c>
      <c r="N1430" s="225">
        <f>IF($C1430="","",ROW())</f>
      </c>
      <c r="O1430" s="225">
        <f>IF($I1430="Công việc",MATCH($C1430,'Kế hoạch'!$A$6:$A$305,0),"")</f>
      </c>
      <c r="P1430" s="234">
        <f>IF($O1430="","",INDEX('Kế hoạch'!$I$6:$I$305,$O1430))</f>
      </c>
      <c r="Q1430" s="225">
        <f>IF($O1430="","",INDEX('Kế hoạch'!$AJ$6:$AJ$305,$O1430))</f>
      </c>
      <c r="R1430" s="225">
        <f>IF($O1430="","",INDEX('Kế hoạch'!$AK$6:$AK$305,$O1430))</f>
      </c>
    </row>
    <row r="1431">
      <c r="A1431" s="223">
        <f>IF($C1431="","",COUNTIF($C$6:$C1431,"?*"))</f>
      </c>
      <c r="B1431" s="217"/>
      <c r="C1431" s="216"/>
      <c r="D1431" s="240"/>
      <c r="E1431" s="218"/>
      <c r="F1431" s="218"/>
      <c r="G1431" s="218"/>
      <c r="H1431" s="219"/>
      <c r="I1431" s="223">
        <f>IF($C1431="","",IF(ISNUMBER(MATCH($C1431,'Phản ánh'!$A$6:$A$505,0)),"Phản ánh",IF(ISNUMBER(MATCH($C1431,'Kế hoạch'!$A$6:$A$305,0)),"Công việc","Mã chưa có")))</f>
      </c>
      <c r="J1431" s="221">
        <f>IF($I1431="Phản ánh",INDEX('Phản ánh'!$C$6:$C$505,MATCH($C1431,'Phản ánh'!$A$6:$A$505,0)),IF($I1431="Công việc",INDEX('Kế hoạch'!$C$6:$C$305,$O1431),""))</f>
      </c>
      <c r="K1431" s="221">
        <f>IF($I1431="Phản ánh",INDEX('Phản ánh'!$K$6:$K$505,MATCH($C1431,'Phản ánh'!$A$6:$A$505,0))&amp;"",IF($I1431="Công việc",INDEX('Kế hoạch'!$N$6:$N$305,$O1431)&amp;"",""))</f>
      </c>
      <c r="L1431" s="220">
        <f>IF(OR($C1431="",N($B1431)=0),"",IF(AND($I1431="Phản ánh",$E1431="Đã xử lý"),INDEX('Phản ánh'!$U$6:$U$505,MATCH($C1431,'Phản ánh'!$A$6:$A$505,0)),IF(AND($I1431="Công việc",OR($E1431="Hoàn thành",$E1431="Hoàn thành kỳ")),IF(INDEX('Kế hoạch'!$B$6:$B$305,$O1431)="Đột xuất",INDEX('Kế hoạch'!$AY$6:$AY$305,$O1431),IF(N($P1431)=0,"",IF(INT($B1431)&lt;$P1431,$P1431,IF($Q1431&gt;0,$P1431+ROUND((INT($B1431)-$P1431)/$Q1431,0)*$Q1431,IF($R1431&gt;0,EDATE($P1431,ROUND((DATEDIF($P1431,INT($B1431),"m")+(INT($B1431)-EDATE($P1431,DATEDIF($P1431,INT($B1431),"m")))/(EDATE($P1431,DATEDIF($P1431,INT($B1431),"m")+1)-EDATE($P1431,DATEDIF($P1431,INT($B1431),"m"))))/$R1431,0)*$R1431),$P1431))))),"")))</f>
      </c>
      <c r="M1431" s="223">
        <f>IF(OR($C1431="",N($L1431)=0,N($B1431)=0),"",IF(IF(MOD($L1431,1)=0,INT($B1431),$B1431)&lt;=$L1431,"Đúng hạn","Trễ hạn"))</f>
      </c>
      <c r="N1431" s="225">
        <f>IF($C1431="","",ROW())</f>
      </c>
      <c r="O1431" s="225">
        <f>IF($I1431="Công việc",MATCH($C1431,'Kế hoạch'!$A$6:$A$305,0),"")</f>
      </c>
      <c r="P1431" s="234">
        <f>IF($O1431="","",INDEX('Kế hoạch'!$I$6:$I$305,$O1431))</f>
      </c>
      <c r="Q1431" s="225">
        <f>IF($O1431="","",INDEX('Kế hoạch'!$AJ$6:$AJ$305,$O1431))</f>
      </c>
      <c r="R1431" s="225">
        <f>IF($O1431="","",INDEX('Kế hoạch'!$AK$6:$AK$305,$O1431))</f>
      </c>
    </row>
    <row r="1432">
      <c r="A1432" s="223">
        <f>IF($C1432="","",COUNTIF($C$6:$C1432,"?*"))</f>
      </c>
      <c r="B1432" s="217"/>
      <c r="C1432" s="216"/>
      <c r="D1432" s="240"/>
      <c r="E1432" s="218"/>
      <c r="F1432" s="218"/>
      <c r="G1432" s="218"/>
      <c r="H1432" s="219"/>
      <c r="I1432" s="223">
        <f>IF($C1432="","",IF(ISNUMBER(MATCH($C1432,'Phản ánh'!$A$6:$A$505,0)),"Phản ánh",IF(ISNUMBER(MATCH($C1432,'Kế hoạch'!$A$6:$A$305,0)),"Công việc","Mã chưa có")))</f>
      </c>
      <c r="J1432" s="221">
        <f>IF($I1432="Phản ánh",INDEX('Phản ánh'!$C$6:$C$505,MATCH($C1432,'Phản ánh'!$A$6:$A$505,0)),IF($I1432="Công việc",INDEX('Kế hoạch'!$C$6:$C$305,$O1432),""))</f>
      </c>
      <c r="K1432" s="221">
        <f>IF($I1432="Phản ánh",INDEX('Phản ánh'!$K$6:$K$505,MATCH($C1432,'Phản ánh'!$A$6:$A$505,0))&amp;"",IF($I1432="Công việc",INDEX('Kế hoạch'!$N$6:$N$305,$O1432)&amp;"",""))</f>
      </c>
      <c r="L1432" s="220">
        <f>IF(OR($C1432="",N($B1432)=0),"",IF(AND($I1432="Phản ánh",$E1432="Đã xử lý"),INDEX('Phản ánh'!$U$6:$U$505,MATCH($C1432,'Phản ánh'!$A$6:$A$505,0)),IF(AND($I1432="Công việc",OR($E1432="Hoàn thành",$E1432="Hoàn thành kỳ")),IF(INDEX('Kế hoạch'!$B$6:$B$305,$O1432)="Đột xuất",INDEX('Kế hoạch'!$AY$6:$AY$305,$O1432),IF(N($P1432)=0,"",IF(INT($B1432)&lt;$P1432,$P1432,IF($Q1432&gt;0,$P1432+ROUND((INT($B1432)-$P1432)/$Q1432,0)*$Q1432,IF($R1432&gt;0,EDATE($P1432,ROUND((DATEDIF($P1432,INT($B1432),"m")+(INT($B1432)-EDATE($P1432,DATEDIF($P1432,INT($B1432),"m")))/(EDATE($P1432,DATEDIF($P1432,INT($B1432),"m")+1)-EDATE($P1432,DATEDIF($P1432,INT($B1432),"m"))))/$R1432,0)*$R1432),$P1432))))),"")))</f>
      </c>
      <c r="M1432" s="223">
        <f>IF(OR($C1432="",N($L1432)=0,N($B1432)=0),"",IF(IF(MOD($L1432,1)=0,INT($B1432),$B1432)&lt;=$L1432,"Đúng hạn","Trễ hạn"))</f>
      </c>
      <c r="N1432" s="225">
        <f>IF($C1432="","",ROW())</f>
      </c>
      <c r="O1432" s="225">
        <f>IF($I1432="Công việc",MATCH($C1432,'Kế hoạch'!$A$6:$A$305,0),"")</f>
      </c>
      <c r="P1432" s="234">
        <f>IF($O1432="","",INDEX('Kế hoạch'!$I$6:$I$305,$O1432))</f>
      </c>
      <c r="Q1432" s="225">
        <f>IF($O1432="","",INDEX('Kế hoạch'!$AJ$6:$AJ$305,$O1432))</f>
      </c>
      <c r="R1432" s="225">
        <f>IF($O1432="","",INDEX('Kế hoạch'!$AK$6:$AK$305,$O1432))</f>
      </c>
    </row>
    <row r="1433">
      <c r="A1433" s="223">
        <f>IF($C1433="","",COUNTIF($C$6:$C1433,"?*"))</f>
      </c>
      <c r="B1433" s="217"/>
      <c r="C1433" s="216"/>
      <c r="D1433" s="240"/>
      <c r="E1433" s="218"/>
      <c r="F1433" s="218"/>
      <c r="G1433" s="218"/>
      <c r="H1433" s="219"/>
      <c r="I1433" s="223">
        <f>IF($C1433="","",IF(ISNUMBER(MATCH($C1433,'Phản ánh'!$A$6:$A$505,0)),"Phản ánh",IF(ISNUMBER(MATCH($C1433,'Kế hoạch'!$A$6:$A$305,0)),"Công việc","Mã chưa có")))</f>
      </c>
      <c r="J1433" s="221">
        <f>IF($I1433="Phản ánh",INDEX('Phản ánh'!$C$6:$C$505,MATCH($C1433,'Phản ánh'!$A$6:$A$505,0)),IF($I1433="Công việc",INDEX('Kế hoạch'!$C$6:$C$305,$O1433),""))</f>
      </c>
      <c r="K1433" s="221">
        <f>IF($I1433="Phản ánh",INDEX('Phản ánh'!$K$6:$K$505,MATCH($C1433,'Phản ánh'!$A$6:$A$505,0))&amp;"",IF($I1433="Công việc",INDEX('Kế hoạch'!$N$6:$N$305,$O1433)&amp;"",""))</f>
      </c>
      <c r="L1433" s="220">
        <f>IF(OR($C1433="",N($B1433)=0),"",IF(AND($I1433="Phản ánh",$E1433="Đã xử lý"),INDEX('Phản ánh'!$U$6:$U$505,MATCH($C1433,'Phản ánh'!$A$6:$A$505,0)),IF(AND($I1433="Công việc",OR($E1433="Hoàn thành",$E1433="Hoàn thành kỳ")),IF(INDEX('Kế hoạch'!$B$6:$B$305,$O1433)="Đột xuất",INDEX('Kế hoạch'!$AY$6:$AY$305,$O1433),IF(N($P1433)=0,"",IF(INT($B1433)&lt;$P1433,$P1433,IF($Q1433&gt;0,$P1433+ROUND((INT($B1433)-$P1433)/$Q1433,0)*$Q1433,IF($R1433&gt;0,EDATE($P1433,ROUND((DATEDIF($P1433,INT($B1433),"m")+(INT($B1433)-EDATE($P1433,DATEDIF($P1433,INT($B1433),"m")))/(EDATE($P1433,DATEDIF($P1433,INT($B1433),"m")+1)-EDATE($P1433,DATEDIF($P1433,INT($B1433),"m"))))/$R1433,0)*$R1433),$P1433))))),"")))</f>
      </c>
      <c r="M1433" s="223">
        <f>IF(OR($C1433="",N($L1433)=0,N($B1433)=0),"",IF(IF(MOD($L1433,1)=0,INT($B1433),$B1433)&lt;=$L1433,"Đúng hạn","Trễ hạn"))</f>
      </c>
      <c r="N1433" s="225">
        <f>IF($C1433="","",ROW())</f>
      </c>
      <c r="O1433" s="225">
        <f>IF($I1433="Công việc",MATCH($C1433,'Kế hoạch'!$A$6:$A$305,0),"")</f>
      </c>
      <c r="P1433" s="234">
        <f>IF($O1433="","",INDEX('Kế hoạch'!$I$6:$I$305,$O1433))</f>
      </c>
      <c r="Q1433" s="225">
        <f>IF($O1433="","",INDEX('Kế hoạch'!$AJ$6:$AJ$305,$O1433))</f>
      </c>
      <c r="R1433" s="225">
        <f>IF($O1433="","",INDEX('Kế hoạch'!$AK$6:$AK$305,$O1433))</f>
      </c>
    </row>
    <row r="1434">
      <c r="A1434" s="223">
        <f>IF($C1434="","",COUNTIF($C$6:$C1434,"?*"))</f>
      </c>
      <c r="B1434" s="217"/>
      <c r="C1434" s="216"/>
      <c r="D1434" s="240"/>
      <c r="E1434" s="218"/>
      <c r="F1434" s="218"/>
      <c r="G1434" s="218"/>
      <c r="H1434" s="219"/>
      <c r="I1434" s="223">
        <f>IF($C1434="","",IF(ISNUMBER(MATCH($C1434,'Phản ánh'!$A$6:$A$505,0)),"Phản ánh",IF(ISNUMBER(MATCH($C1434,'Kế hoạch'!$A$6:$A$305,0)),"Công việc","Mã chưa có")))</f>
      </c>
      <c r="J1434" s="221">
        <f>IF($I1434="Phản ánh",INDEX('Phản ánh'!$C$6:$C$505,MATCH($C1434,'Phản ánh'!$A$6:$A$505,0)),IF($I1434="Công việc",INDEX('Kế hoạch'!$C$6:$C$305,$O1434),""))</f>
      </c>
      <c r="K1434" s="221">
        <f>IF($I1434="Phản ánh",INDEX('Phản ánh'!$K$6:$K$505,MATCH($C1434,'Phản ánh'!$A$6:$A$505,0))&amp;"",IF($I1434="Công việc",INDEX('Kế hoạch'!$N$6:$N$305,$O1434)&amp;"",""))</f>
      </c>
      <c r="L1434" s="220">
        <f>IF(OR($C1434="",N($B1434)=0),"",IF(AND($I1434="Phản ánh",$E1434="Đã xử lý"),INDEX('Phản ánh'!$U$6:$U$505,MATCH($C1434,'Phản ánh'!$A$6:$A$505,0)),IF(AND($I1434="Công việc",OR($E1434="Hoàn thành",$E1434="Hoàn thành kỳ")),IF(INDEX('Kế hoạch'!$B$6:$B$305,$O1434)="Đột xuất",INDEX('Kế hoạch'!$AY$6:$AY$305,$O1434),IF(N($P1434)=0,"",IF(INT($B1434)&lt;$P1434,$P1434,IF($Q1434&gt;0,$P1434+ROUND((INT($B1434)-$P1434)/$Q1434,0)*$Q1434,IF($R1434&gt;0,EDATE($P1434,ROUND((DATEDIF($P1434,INT($B1434),"m")+(INT($B1434)-EDATE($P1434,DATEDIF($P1434,INT($B1434),"m")))/(EDATE($P1434,DATEDIF($P1434,INT($B1434),"m")+1)-EDATE($P1434,DATEDIF($P1434,INT($B1434),"m"))))/$R1434,0)*$R1434),$P1434))))),"")))</f>
      </c>
      <c r="M1434" s="223">
        <f>IF(OR($C1434="",N($L1434)=0,N($B1434)=0),"",IF(IF(MOD($L1434,1)=0,INT($B1434),$B1434)&lt;=$L1434,"Đúng hạn","Trễ hạn"))</f>
      </c>
      <c r="N1434" s="225">
        <f>IF($C1434="","",ROW())</f>
      </c>
      <c r="O1434" s="225">
        <f>IF($I1434="Công việc",MATCH($C1434,'Kế hoạch'!$A$6:$A$305,0),"")</f>
      </c>
      <c r="P1434" s="234">
        <f>IF($O1434="","",INDEX('Kế hoạch'!$I$6:$I$305,$O1434))</f>
      </c>
      <c r="Q1434" s="225">
        <f>IF($O1434="","",INDEX('Kế hoạch'!$AJ$6:$AJ$305,$O1434))</f>
      </c>
      <c r="R1434" s="225">
        <f>IF($O1434="","",INDEX('Kế hoạch'!$AK$6:$AK$305,$O1434))</f>
      </c>
    </row>
    <row r="1435">
      <c r="A1435" s="223">
        <f>IF($C1435="","",COUNTIF($C$6:$C1435,"?*"))</f>
      </c>
      <c r="B1435" s="217"/>
      <c r="C1435" s="216"/>
      <c r="D1435" s="240"/>
      <c r="E1435" s="218"/>
      <c r="F1435" s="218"/>
      <c r="G1435" s="218"/>
      <c r="H1435" s="219"/>
      <c r="I1435" s="223">
        <f>IF($C1435="","",IF(ISNUMBER(MATCH($C1435,'Phản ánh'!$A$6:$A$505,0)),"Phản ánh",IF(ISNUMBER(MATCH($C1435,'Kế hoạch'!$A$6:$A$305,0)),"Công việc","Mã chưa có")))</f>
      </c>
      <c r="J1435" s="221">
        <f>IF($I1435="Phản ánh",INDEX('Phản ánh'!$C$6:$C$505,MATCH($C1435,'Phản ánh'!$A$6:$A$505,0)),IF($I1435="Công việc",INDEX('Kế hoạch'!$C$6:$C$305,$O1435),""))</f>
      </c>
      <c r="K1435" s="221">
        <f>IF($I1435="Phản ánh",INDEX('Phản ánh'!$K$6:$K$505,MATCH($C1435,'Phản ánh'!$A$6:$A$505,0))&amp;"",IF($I1435="Công việc",INDEX('Kế hoạch'!$N$6:$N$305,$O1435)&amp;"",""))</f>
      </c>
      <c r="L1435" s="220">
        <f>IF(OR($C1435="",N($B1435)=0),"",IF(AND($I1435="Phản ánh",$E1435="Đã xử lý"),INDEX('Phản ánh'!$U$6:$U$505,MATCH($C1435,'Phản ánh'!$A$6:$A$505,0)),IF(AND($I1435="Công việc",OR($E1435="Hoàn thành",$E1435="Hoàn thành kỳ")),IF(INDEX('Kế hoạch'!$B$6:$B$305,$O1435)="Đột xuất",INDEX('Kế hoạch'!$AY$6:$AY$305,$O1435),IF(N($P1435)=0,"",IF(INT($B1435)&lt;$P1435,$P1435,IF($Q1435&gt;0,$P1435+ROUND((INT($B1435)-$P1435)/$Q1435,0)*$Q1435,IF($R1435&gt;0,EDATE($P1435,ROUND((DATEDIF($P1435,INT($B1435),"m")+(INT($B1435)-EDATE($P1435,DATEDIF($P1435,INT($B1435),"m")))/(EDATE($P1435,DATEDIF($P1435,INT($B1435),"m")+1)-EDATE($P1435,DATEDIF($P1435,INT($B1435),"m"))))/$R1435,0)*$R1435),$P1435))))),"")))</f>
      </c>
      <c r="M1435" s="223">
        <f>IF(OR($C1435="",N($L1435)=0,N($B1435)=0),"",IF(IF(MOD($L1435,1)=0,INT($B1435),$B1435)&lt;=$L1435,"Đúng hạn","Trễ hạn"))</f>
      </c>
      <c r="N1435" s="225">
        <f>IF($C1435="","",ROW())</f>
      </c>
      <c r="O1435" s="225">
        <f>IF($I1435="Công việc",MATCH($C1435,'Kế hoạch'!$A$6:$A$305,0),"")</f>
      </c>
      <c r="P1435" s="234">
        <f>IF($O1435="","",INDEX('Kế hoạch'!$I$6:$I$305,$O1435))</f>
      </c>
      <c r="Q1435" s="225">
        <f>IF($O1435="","",INDEX('Kế hoạch'!$AJ$6:$AJ$305,$O1435))</f>
      </c>
      <c r="R1435" s="225">
        <f>IF($O1435="","",INDEX('Kế hoạch'!$AK$6:$AK$305,$O1435))</f>
      </c>
    </row>
    <row r="1436">
      <c r="A1436" s="223">
        <f>IF($C1436="","",COUNTIF($C$6:$C1436,"?*"))</f>
      </c>
      <c r="B1436" s="217"/>
      <c r="C1436" s="216"/>
      <c r="D1436" s="240"/>
      <c r="E1436" s="218"/>
      <c r="F1436" s="218"/>
      <c r="G1436" s="218"/>
      <c r="H1436" s="219"/>
      <c r="I1436" s="223">
        <f>IF($C1436="","",IF(ISNUMBER(MATCH($C1436,'Phản ánh'!$A$6:$A$505,0)),"Phản ánh",IF(ISNUMBER(MATCH($C1436,'Kế hoạch'!$A$6:$A$305,0)),"Công việc","Mã chưa có")))</f>
      </c>
      <c r="J1436" s="221">
        <f>IF($I1436="Phản ánh",INDEX('Phản ánh'!$C$6:$C$505,MATCH($C1436,'Phản ánh'!$A$6:$A$505,0)),IF($I1436="Công việc",INDEX('Kế hoạch'!$C$6:$C$305,$O1436),""))</f>
      </c>
      <c r="K1436" s="221">
        <f>IF($I1436="Phản ánh",INDEX('Phản ánh'!$K$6:$K$505,MATCH($C1436,'Phản ánh'!$A$6:$A$505,0))&amp;"",IF($I1436="Công việc",INDEX('Kế hoạch'!$N$6:$N$305,$O1436)&amp;"",""))</f>
      </c>
      <c r="L1436" s="220">
        <f>IF(OR($C1436="",N($B1436)=0),"",IF(AND($I1436="Phản ánh",$E1436="Đã xử lý"),INDEX('Phản ánh'!$U$6:$U$505,MATCH($C1436,'Phản ánh'!$A$6:$A$505,0)),IF(AND($I1436="Công việc",OR($E1436="Hoàn thành",$E1436="Hoàn thành kỳ")),IF(INDEX('Kế hoạch'!$B$6:$B$305,$O1436)="Đột xuất",INDEX('Kế hoạch'!$AY$6:$AY$305,$O1436),IF(N($P1436)=0,"",IF(INT($B1436)&lt;$P1436,$P1436,IF($Q1436&gt;0,$P1436+ROUND((INT($B1436)-$P1436)/$Q1436,0)*$Q1436,IF($R1436&gt;0,EDATE($P1436,ROUND((DATEDIF($P1436,INT($B1436),"m")+(INT($B1436)-EDATE($P1436,DATEDIF($P1436,INT($B1436),"m")))/(EDATE($P1436,DATEDIF($P1436,INT($B1436),"m")+1)-EDATE($P1436,DATEDIF($P1436,INT($B1436),"m"))))/$R1436,0)*$R1436),$P1436))))),"")))</f>
      </c>
      <c r="M1436" s="223">
        <f>IF(OR($C1436="",N($L1436)=0,N($B1436)=0),"",IF(IF(MOD($L1436,1)=0,INT($B1436),$B1436)&lt;=$L1436,"Đúng hạn","Trễ hạn"))</f>
      </c>
      <c r="N1436" s="225">
        <f>IF($C1436="","",ROW())</f>
      </c>
      <c r="O1436" s="225">
        <f>IF($I1436="Công việc",MATCH($C1436,'Kế hoạch'!$A$6:$A$305,0),"")</f>
      </c>
      <c r="P1436" s="234">
        <f>IF($O1436="","",INDEX('Kế hoạch'!$I$6:$I$305,$O1436))</f>
      </c>
      <c r="Q1436" s="225">
        <f>IF($O1436="","",INDEX('Kế hoạch'!$AJ$6:$AJ$305,$O1436))</f>
      </c>
      <c r="R1436" s="225">
        <f>IF($O1436="","",INDEX('Kế hoạch'!$AK$6:$AK$305,$O1436))</f>
      </c>
    </row>
    <row r="1437">
      <c r="A1437" s="223">
        <f>IF($C1437="","",COUNTIF($C$6:$C1437,"?*"))</f>
      </c>
      <c r="B1437" s="217"/>
      <c r="C1437" s="216"/>
      <c r="D1437" s="240"/>
      <c r="E1437" s="218"/>
      <c r="F1437" s="218"/>
      <c r="G1437" s="218"/>
      <c r="H1437" s="219"/>
      <c r="I1437" s="223">
        <f>IF($C1437="","",IF(ISNUMBER(MATCH($C1437,'Phản ánh'!$A$6:$A$505,0)),"Phản ánh",IF(ISNUMBER(MATCH($C1437,'Kế hoạch'!$A$6:$A$305,0)),"Công việc","Mã chưa có")))</f>
      </c>
      <c r="J1437" s="221">
        <f>IF($I1437="Phản ánh",INDEX('Phản ánh'!$C$6:$C$505,MATCH($C1437,'Phản ánh'!$A$6:$A$505,0)),IF($I1437="Công việc",INDEX('Kế hoạch'!$C$6:$C$305,$O1437),""))</f>
      </c>
      <c r="K1437" s="221">
        <f>IF($I1437="Phản ánh",INDEX('Phản ánh'!$K$6:$K$505,MATCH($C1437,'Phản ánh'!$A$6:$A$505,0))&amp;"",IF($I1437="Công việc",INDEX('Kế hoạch'!$N$6:$N$305,$O1437)&amp;"",""))</f>
      </c>
      <c r="L1437" s="220">
        <f>IF(OR($C1437="",N($B1437)=0),"",IF(AND($I1437="Phản ánh",$E1437="Đã xử lý"),INDEX('Phản ánh'!$U$6:$U$505,MATCH($C1437,'Phản ánh'!$A$6:$A$505,0)),IF(AND($I1437="Công việc",OR($E1437="Hoàn thành",$E1437="Hoàn thành kỳ")),IF(INDEX('Kế hoạch'!$B$6:$B$305,$O1437)="Đột xuất",INDEX('Kế hoạch'!$AY$6:$AY$305,$O1437),IF(N($P1437)=0,"",IF(INT($B1437)&lt;$P1437,$P1437,IF($Q1437&gt;0,$P1437+ROUND((INT($B1437)-$P1437)/$Q1437,0)*$Q1437,IF($R1437&gt;0,EDATE($P1437,ROUND((DATEDIF($P1437,INT($B1437),"m")+(INT($B1437)-EDATE($P1437,DATEDIF($P1437,INT($B1437),"m")))/(EDATE($P1437,DATEDIF($P1437,INT($B1437),"m")+1)-EDATE($P1437,DATEDIF($P1437,INT($B1437),"m"))))/$R1437,0)*$R1437),$P1437))))),"")))</f>
      </c>
      <c r="M1437" s="223">
        <f>IF(OR($C1437="",N($L1437)=0,N($B1437)=0),"",IF(IF(MOD($L1437,1)=0,INT($B1437),$B1437)&lt;=$L1437,"Đúng hạn","Trễ hạn"))</f>
      </c>
      <c r="N1437" s="225">
        <f>IF($C1437="","",ROW())</f>
      </c>
      <c r="O1437" s="225">
        <f>IF($I1437="Công việc",MATCH($C1437,'Kế hoạch'!$A$6:$A$305,0),"")</f>
      </c>
      <c r="P1437" s="234">
        <f>IF($O1437="","",INDEX('Kế hoạch'!$I$6:$I$305,$O1437))</f>
      </c>
      <c r="Q1437" s="225">
        <f>IF($O1437="","",INDEX('Kế hoạch'!$AJ$6:$AJ$305,$O1437))</f>
      </c>
      <c r="R1437" s="225">
        <f>IF($O1437="","",INDEX('Kế hoạch'!$AK$6:$AK$305,$O1437))</f>
      </c>
    </row>
    <row r="1438">
      <c r="A1438" s="223">
        <f>IF($C1438="","",COUNTIF($C$6:$C1438,"?*"))</f>
      </c>
      <c r="B1438" s="217"/>
      <c r="C1438" s="216"/>
      <c r="D1438" s="240"/>
      <c r="E1438" s="218"/>
      <c r="F1438" s="218"/>
      <c r="G1438" s="218"/>
      <c r="H1438" s="219"/>
      <c r="I1438" s="223">
        <f>IF($C1438="","",IF(ISNUMBER(MATCH($C1438,'Phản ánh'!$A$6:$A$505,0)),"Phản ánh",IF(ISNUMBER(MATCH($C1438,'Kế hoạch'!$A$6:$A$305,0)),"Công việc","Mã chưa có")))</f>
      </c>
      <c r="J1438" s="221">
        <f>IF($I1438="Phản ánh",INDEX('Phản ánh'!$C$6:$C$505,MATCH($C1438,'Phản ánh'!$A$6:$A$505,0)),IF($I1438="Công việc",INDEX('Kế hoạch'!$C$6:$C$305,$O1438),""))</f>
      </c>
      <c r="K1438" s="221">
        <f>IF($I1438="Phản ánh",INDEX('Phản ánh'!$K$6:$K$505,MATCH($C1438,'Phản ánh'!$A$6:$A$505,0))&amp;"",IF($I1438="Công việc",INDEX('Kế hoạch'!$N$6:$N$305,$O1438)&amp;"",""))</f>
      </c>
      <c r="L1438" s="220">
        <f>IF(OR($C1438="",N($B1438)=0),"",IF(AND($I1438="Phản ánh",$E1438="Đã xử lý"),INDEX('Phản ánh'!$U$6:$U$505,MATCH($C1438,'Phản ánh'!$A$6:$A$505,0)),IF(AND($I1438="Công việc",OR($E1438="Hoàn thành",$E1438="Hoàn thành kỳ")),IF(INDEX('Kế hoạch'!$B$6:$B$305,$O1438)="Đột xuất",INDEX('Kế hoạch'!$AY$6:$AY$305,$O1438),IF(N($P1438)=0,"",IF(INT($B1438)&lt;$P1438,$P1438,IF($Q1438&gt;0,$P1438+ROUND((INT($B1438)-$P1438)/$Q1438,0)*$Q1438,IF($R1438&gt;0,EDATE($P1438,ROUND((DATEDIF($P1438,INT($B1438),"m")+(INT($B1438)-EDATE($P1438,DATEDIF($P1438,INT($B1438),"m")))/(EDATE($P1438,DATEDIF($P1438,INT($B1438),"m")+1)-EDATE($P1438,DATEDIF($P1438,INT($B1438),"m"))))/$R1438,0)*$R1438),$P1438))))),"")))</f>
      </c>
      <c r="M1438" s="223">
        <f>IF(OR($C1438="",N($L1438)=0,N($B1438)=0),"",IF(IF(MOD($L1438,1)=0,INT($B1438),$B1438)&lt;=$L1438,"Đúng hạn","Trễ hạn"))</f>
      </c>
      <c r="N1438" s="225">
        <f>IF($C1438="","",ROW())</f>
      </c>
      <c r="O1438" s="225">
        <f>IF($I1438="Công việc",MATCH($C1438,'Kế hoạch'!$A$6:$A$305,0),"")</f>
      </c>
      <c r="P1438" s="234">
        <f>IF($O1438="","",INDEX('Kế hoạch'!$I$6:$I$305,$O1438))</f>
      </c>
      <c r="Q1438" s="225">
        <f>IF($O1438="","",INDEX('Kế hoạch'!$AJ$6:$AJ$305,$O1438))</f>
      </c>
      <c r="R1438" s="225">
        <f>IF($O1438="","",INDEX('Kế hoạch'!$AK$6:$AK$305,$O1438))</f>
      </c>
    </row>
    <row r="1439">
      <c r="A1439" s="223">
        <f>IF($C1439="","",COUNTIF($C$6:$C1439,"?*"))</f>
      </c>
      <c r="B1439" s="217"/>
      <c r="C1439" s="216"/>
      <c r="D1439" s="240"/>
      <c r="E1439" s="218"/>
      <c r="F1439" s="218"/>
      <c r="G1439" s="218"/>
      <c r="H1439" s="219"/>
      <c r="I1439" s="223">
        <f>IF($C1439="","",IF(ISNUMBER(MATCH($C1439,'Phản ánh'!$A$6:$A$505,0)),"Phản ánh",IF(ISNUMBER(MATCH($C1439,'Kế hoạch'!$A$6:$A$305,0)),"Công việc","Mã chưa có")))</f>
      </c>
      <c r="J1439" s="221">
        <f>IF($I1439="Phản ánh",INDEX('Phản ánh'!$C$6:$C$505,MATCH($C1439,'Phản ánh'!$A$6:$A$505,0)),IF($I1439="Công việc",INDEX('Kế hoạch'!$C$6:$C$305,$O1439),""))</f>
      </c>
      <c r="K1439" s="221">
        <f>IF($I1439="Phản ánh",INDEX('Phản ánh'!$K$6:$K$505,MATCH($C1439,'Phản ánh'!$A$6:$A$505,0))&amp;"",IF($I1439="Công việc",INDEX('Kế hoạch'!$N$6:$N$305,$O1439)&amp;"",""))</f>
      </c>
      <c r="L1439" s="220">
        <f>IF(OR($C1439="",N($B1439)=0),"",IF(AND($I1439="Phản ánh",$E1439="Đã xử lý"),INDEX('Phản ánh'!$U$6:$U$505,MATCH($C1439,'Phản ánh'!$A$6:$A$505,0)),IF(AND($I1439="Công việc",OR($E1439="Hoàn thành",$E1439="Hoàn thành kỳ")),IF(INDEX('Kế hoạch'!$B$6:$B$305,$O1439)="Đột xuất",INDEX('Kế hoạch'!$AY$6:$AY$305,$O1439),IF(N($P1439)=0,"",IF(INT($B1439)&lt;$P1439,$P1439,IF($Q1439&gt;0,$P1439+ROUND((INT($B1439)-$P1439)/$Q1439,0)*$Q1439,IF($R1439&gt;0,EDATE($P1439,ROUND((DATEDIF($P1439,INT($B1439),"m")+(INT($B1439)-EDATE($P1439,DATEDIF($P1439,INT($B1439),"m")))/(EDATE($P1439,DATEDIF($P1439,INT($B1439),"m")+1)-EDATE($P1439,DATEDIF($P1439,INT($B1439),"m"))))/$R1439,0)*$R1439),$P1439))))),"")))</f>
      </c>
      <c r="M1439" s="223">
        <f>IF(OR($C1439="",N($L1439)=0,N($B1439)=0),"",IF(IF(MOD($L1439,1)=0,INT($B1439),$B1439)&lt;=$L1439,"Đúng hạn","Trễ hạn"))</f>
      </c>
      <c r="N1439" s="225">
        <f>IF($C1439="","",ROW())</f>
      </c>
      <c r="O1439" s="225">
        <f>IF($I1439="Công việc",MATCH($C1439,'Kế hoạch'!$A$6:$A$305,0),"")</f>
      </c>
      <c r="P1439" s="234">
        <f>IF($O1439="","",INDEX('Kế hoạch'!$I$6:$I$305,$O1439))</f>
      </c>
      <c r="Q1439" s="225">
        <f>IF($O1439="","",INDEX('Kế hoạch'!$AJ$6:$AJ$305,$O1439))</f>
      </c>
      <c r="R1439" s="225">
        <f>IF($O1439="","",INDEX('Kế hoạch'!$AK$6:$AK$305,$O1439))</f>
      </c>
    </row>
    <row r="1440">
      <c r="A1440" s="223">
        <f>IF($C1440="","",COUNTIF($C$6:$C1440,"?*"))</f>
      </c>
      <c r="B1440" s="217"/>
      <c r="C1440" s="216"/>
      <c r="D1440" s="240"/>
      <c r="E1440" s="218"/>
      <c r="F1440" s="218"/>
      <c r="G1440" s="218"/>
      <c r="H1440" s="219"/>
      <c r="I1440" s="223">
        <f>IF($C1440="","",IF(ISNUMBER(MATCH($C1440,'Phản ánh'!$A$6:$A$505,0)),"Phản ánh",IF(ISNUMBER(MATCH($C1440,'Kế hoạch'!$A$6:$A$305,0)),"Công việc","Mã chưa có")))</f>
      </c>
      <c r="J1440" s="221">
        <f>IF($I1440="Phản ánh",INDEX('Phản ánh'!$C$6:$C$505,MATCH($C1440,'Phản ánh'!$A$6:$A$505,0)),IF($I1440="Công việc",INDEX('Kế hoạch'!$C$6:$C$305,$O1440),""))</f>
      </c>
      <c r="K1440" s="221">
        <f>IF($I1440="Phản ánh",INDEX('Phản ánh'!$K$6:$K$505,MATCH($C1440,'Phản ánh'!$A$6:$A$505,0))&amp;"",IF($I1440="Công việc",INDEX('Kế hoạch'!$N$6:$N$305,$O1440)&amp;"",""))</f>
      </c>
      <c r="L1440" s="220">
        <f>IF(OR($C1440="",N($B1440)=0),"",IF(AND($I1440="Phản ánh",$E1440="Đã xử lý"),INDEX('Phản ánh'!$U$6:$U$505,MATCH($C1440,'Phản ánh'!$A$6:$A$505,0)),IF(AND($I1440="Công việc",OR($E1440="Hoàn thành",$E1440="Hoàn thành kỳ")),IF(INDEX('Kế hoạch'!$B$6:$B$305,$O1440)="Đột xuất",INDEX('Kế hoạch'!$AY$6:$AY$305,$O1440),IF(N($P1440)=0,"",IF(INT($B1440)&lt;$P1440,$P1440,IF($Q1440&gt;0,$P1440+ROUND((INT($B1440)-$P1440)/$Q1440,0)*$Q1440,IF($R1440&gt;0,EDATE($P1440,ROUND((DATEDIF($P1440,INT($B1440),"m")+(INT($B1440)-EDATE($P1440,DATEDIF($P1440,INT($B1440),"m")))/(EDATE($P1440,DATEDIF($P1440,INT($B1440),"m")+1)-EDATE($P1440,DATEDIF($P1440,INT($B1440),"m"))))/$R1440,0)*$R1440),$P1440))))),"")))</f>
      </c>
      <c r="M1440" s="223">
        <f>IF(OR($C1440="",N($L1440)=0,N($B1440)=0),"",IF(IF(MOD($L1440,1)=0,INT($B1440),$B1440)&lt;=$L1440,"Đúng hạn","Trễ hạn"))</f>
      </c>
      <c r="N1440" s="225">
        <f>IF($C1440="","",ROW())</f>
      </c>
      <c r="O1440" s="225">
        <f>IF($I1440="Công việc",MATCH($C1440,'Kế hoạch'!$A$6:$A$305,0),"")</f>
      </c>
      <c r="P1440" s="234">
        <f>IF($O1440="","",INDEX('Kế hoạch'!$I$6:$I$305,$O1440))</f>
      </c>
      <c r="Q1440" s="225">
        <f>IF($O1440="","",INDEX('Kế hoạch'!$AJ$6:$AJ$305,$O1440))</f>
      </c>
      <c r="R1440" s="225">
        <f>IF($O1440="","",INDEX('Kế hoạch'!$AK$6:$AK$305,$O1440))</f>
      </c>
    </row>
    <row r="1441">
      <c r="A1441" s="223">
        <f>IF($C1441="","",COUNTIF($C$6:$C1441,"?*"))</f>
      </c>
      <c r="B1441" s="217"/>
      <c r="C1441" s="216"/>
      <c r="D1441" s="240"/>
      <c r="E1441" s="218"/>
      <c r="F1441" s="218"/>
      <c r="G1441" s="218"/>
      <c r="H1441" s="219"/>
      <c r="I1441" s="223">
        <f>IF($C1441="","",IF(ISNUMBER(MATCH($C1441,'Phản ánh'!$A$6:$A$505,0)),"Phản ánh",IF(ISNUMBER(MATCH($C1441,'Kế hoạch'!$A$6:$A$305,0)),"Công việc","Mã chưa có")))</f>
      </c>
      <c r="J1441" s="221">
        <f>IF($I1441="Phản ánh",INDEX('Phản ánh'!$C$6:$C$505,MATCH($C1441,'Phản ánh'!$A$6:$A$505,0)),IF($I1441="Công việc",INDEX('Kế hoạch'!$C$6:$C$305,$O1441),""))</f>
      </c>
      <c r="K1441" s="221">
        <f>IF($I1441="Phản ánh",INDEX('Phản ánh'!$K$6:$K$505,MATCH($C1441,'Phản ánh'!$A$6:$A$505,0))&amp;"",IF($I1441="Công việc",INDEX('Kế hoạch'!$N$6:$N$305,$O1441)&amp;"",""))</f>
      </c>
      <c r="L1441" s="220">
        <f>IF(OR($C1441="",N($B1441)=0),"",IF(AND($I1441="Phản ánh",$E1441="Đã xử lý"),INDEX('Phản ánh'!$U$6:$U$505,MATCH($C1441,'Phản ánh'!$A$6:$A$505,0)),IF(AND($I1441="Công việc",OR($E1441="Hoàn thành",$E1441="Hoàn thành kỳ")),IF(INDEX('Kế hoạch'!$B$6:$B$305,$O1441)="Đột xuất",INDEX('Kế hoạch'!$AY$6:$AY$305,$O1441),IF(N($P1441)=0,"",IF(INT($B1441)&lt;$P1441,$P1441,IF($Q1441&gt;0,$P1441+ROUND((INT($B1441)-$P1441)/$Q1441,0)*$Q1441,IF($R1441&gt;0,EDATE($P1441,ROUND((DATEDIF($P1441,INT($B1441),"m")+(INT($B1441)-EDATE($P1441,DATEDIF($P1441,INT($B1441),"m")))/(EDATE($P1441,DATEDIF($P1441,INT($B1441),"m")+1)-EDATE($P1441,DATEDIF($P1441,INT($B1441),"m"))))/$R1441,0)*$R1441),$P1441))))),"")))</f>
      </c>
      <c r="M1441" s="223">
        <f>IF(OR($C1441="",N($L1441)=0,N($B1441)=0),"",IF(IF(MOD($L1441,1)=0,INT($B1441),$B1441)&lt;=$L1441,"Đúng hạn","Trễ hạn"))</f>
      </c>
      <c r="N1441" s="225">
        <f>IF($C1441="","",ROW())</f>
      </c>
      <c r="O1441" s="225">
        <f>IF($I1441="Công việc",MATCH($C1441,'Kế hoạch'!$A$6:$A$305,0),"")</f>
      </c>
      <c r="P1441" s="234">
        <f>IF($O1441="","",INDEX('Kế hoạch'!$I$6:$I$305,$O1441))</f>
      </c>
      <c r="Q1441" s="225">
        <f>IF($O1441="","",INDEX('Kế hoạch'!$AJ$6:$AJ$305,$O1441))</f>
      </c>
      <c r="R1441" s="225">
        <f>IF($O1441="","",INDEX('Kế hoạch'!$AK$6:$AK$305,$O1441))</f>
      </c>
    </row>
    <row r="1442">
      <c r="A1442" s="223">
        <f>IF($C1442="","",COUNTIF($C$6:$C1442,"?*"))</f>
      </c>
      <c r="B1442" s="217"/>
      <c r="C1442" s="216"/>
      <c r="D1442" s="240"/>
      <c r="E1442" s="218"/>
      <c r="F1442" s="218"/>
      <c r="G1442" s="218"/>
      <c r="H1442" s="219"/>
      <c r="I1442" s="223">
        <f>IF($C1442="","",IF(ISNUMBER(MATCH($C1442,'Phản ánh'!$A$6:$A$505,0)),"Phản ánh",IF(ISNUMBER(MATCH($C1442,'Kế hoạch'!$A$6:$A$305,0)),"Công việc","Mã chưa có")))</f>
      </c>
      <c r="J1442" s="221">
        <f>IF($I1442="Phản ánh",INDEX('Phản ánh'!$C$6:$C$505,MATCH($C1442,'Phản ánh'!$A$6:$A$505,0)),IF($I1442="Công việc",INDEX('Kế hoạch'!$C$6:$C$305,$O1442),""))</f>
      </c>
      <c r="K1442" s="221">
        <f>IF($I1442="Phản ánh",INDEX('Phản ánh'!$K$6:$K$505,MATCH($C1442,'Phản ánh'!$A$6:$A$505,0))&amp;"",IF($I1442="Công việc",INDEX('Kế hoạch'!$N$6:$N$305,$O1442)&amp;"",""))</f>
      </c>
      <c r="L1442" s="220">
        <f>IF(OR($C1442="",N($B1442)=0),"",IF(AND($I1442="Phản ánh",$E1442="Đã xử lý"),INDEX('Phản ánh'!$U$6:$U$505,MATCH($C1442,'Phản ánh'!$A$6:$A$505,0)),IF(AND($I1442="Công việc",OR($E1442="Hoàn thành",$E1442="Hoàn thành kỳ")),IF(INDEX('Kế hoạch'!$B$6:$B$305,$O1442)="Đột xuất",INDEX('Kế hoạch'!$AY$6:$AY$305,$O1442),IF(N($P1442)=0,"",IF(INT($B1442)&lt;$P1442,$P1442,IF($Q1442&gt;0,$P1442+ROUND((INT($B1442)-$P1442)/$Q1442,0)*$Q1442,IF($R1442&gt;0,EDATE($P1442,ROUND((DATEDIF($P1442,INT($B1442),"m")+(INT($B1442)-EDATE($P1442,DATEDIF($P1442,INT($B1442),"m")))/(EDATE($P1442,DATEDIF($P1442,INT($B1442),"m")+1)-EDATE($P1442,DATEDIF($P1442,INT($B1442),"m"))))/$R1442,0)*$R1442),$P1442))))),"")))</f>
      </c>
      <c r="M1442" s="223">
        <f>IF(OR($C1442="",N($L1442)=0,N($B1442)=0),"",IF(IF(MOD($L1442,1)=0,INT($B1442),$B1442)&lt;=$L1442,"Đúng hạn","Trễ hạn"))</f>
      </c>
      <c r="N1442" s="225">
        <f>IF($C1442="","",ROW())</f>
      </c>
      <c r="O1442" s="225">
        <f>IF($I1442="Công việc",MATCH($C1442,'Kế hoạch'!$A$6:$A$305,0),"")</f>
      </c>
      <c r="P1442" s="234">
        <f>IF($O1442="","",INDEX('Kế hoạch'!$I$6:$I$305,$O1442))</f>
      </c>
      <c r="Q1442" s="225">
        <f>IF($O1442="","",INDEX('Kế hoạch'!$AJ$6:$AJ$305,$O1442))</f>
      </c>
      <c r="R1442" s="225">
        <f>IF($O1442="","",INDEX('Kế hoạch'!$AK$6:$AK$305,$O1442))</f>
      </c>
    </row>
    <row r="1443">
      <c r="A1443" s="223">
        <f>IF($C1443="","",COUNTIF($C$6:$C1443,"?*"))</f>
      </c>
      <c r="B1443" s="217"/>
      <c r="C1443" s="216"/>
      <c r="D1443" s="240"/>
      <c r="E1443" s="218"/>
      <c r="F1443" s="218"/>
      <c r="G1443" s="218"/>
      <c r="H1443" s="219"/>
      <c r="I1443" s="223">
        <f>IF($C1443="","",IF(ISNUMBER(MATCH($C1443,'Phản ánh'!$A$6:$A$505,0)),"Phản ánh",IF(ISNUMBER(MATCH($C1443,'Kế hoạch'!$A$6:$A$305,0)),"Công việc","Mã chưa có")))</f>
      </c>
      <c r="J1443" s="221">
        <f>IF($I1443="Phản ánh",INDEX('Phản ánh'!$C$6:$C$505,MATCH($C1443,'Phản ánh'!$A$6:$A$505,0)),IF($I1443="Công việc",INDEX('Kế hoạch'!$C$6:$C$305,$O1443),""))</f>
      </c>
      <c r="K1443" s="221">
        <f>IF($I1443="Phản ánh",INDEX('Phản ánh'!$K$6:$K$505,MATCH($C1443,'Phản ánh'!$A$6:$A$505,0))&amp;"",IF($I1443="Công việc",INDEX('Kế hoạch'!$N$6:$N$305,$O1443)&amp;"",""))</f>
      </c>
      <c r="L1443" s="220">
        <f>IF(OR($C1443="",N($B1443)=0),"",IF(AND($I1443="Phản ánh",$E1443="Đã xử lý"),INDEX('Phản ánh'!$U$6:$U$505,MATCH($C1443,'Phản ánh'!$A$6:$A$505,0)),IF(AND($I1443="Công việc",OR($E1443="Hoàn thành",$E1443="Hoàn thành kỳ")),IF(INDEX('Kế hoạch'!$B$6:$B$305,$O1443)="Đột xuất",INDEX('Kế hoạch'!$AY$6:$AY$305,$O1443),IF(N($P1443)=0,"",IF(INT($B1443)&lt;$P1443,$P1443,IF($Q1443&gt;0,$P1443+ROUND((INT($B1443)-$P1443)/$Q1443,0)*$Q1443,IF($R1443&gt;0,EDATE($P1443,ROUND((DATEDIF($P1443,INT($B1443),"m")+(INT($B1443)-EDATE($P1443,DATEDIF($P1443,INT($B1443),"m")))/(EDATE($P1443,DATEDIF($P1443,INT($B1443),"m")+1)-EDATE($P1443,DATEDIF($P1443,INT($B1443),"m"))))/$R1443,0)*$R1443),$P1443))))),"")))</f>
      </c>
      <c r="M1443" s="223">
        <f>IF(OR($C1443="",N($L1443)=0,N($B1443)=0),"",IF(IF(MOD($L1443,1)=0,INT($B1443),$B1443)&lt;=$L1443,"Đúng hạn","Trễ hạn"))</f>
      </c>
      <c r="N1443" s="225">
        <f>IF($C1443="","",ROW())</f>
      </c>
      <c r="O1443" s="225">
        <f>IF($I1443="Công việc",MATCH($C1443,'Kế hoạch'!$A$6:$A$305,0),"")</f>
      </c>
      <c r="P1443" s="234">
        <f>IF($O1443="","",INDEX('Kế hoạch'!$I$6:$I$305,$O1443))</f>
      </c>
      <c r="Q1443" s="225">
        <f>IF($O1443="","",INDEX('Kế hoạch'!$AJ$6:$AJ$305,$O1443))</f>
      </c>
      <c r="R1443" s="225">
        <f>IF($O1443="","",INDEX('Kế hoạch'!$AK$6:$AK$305,$O1443))</f>
      </c>
    </row>
    <row r="1444">
      <c r="A1444" s="223">
        <f>IF($C1444="","",COUNTIF($C$6:$C1444,"?*"))</f>
      </c>
      <c r="B1444" s="217"/>
      <c r="C1444" s="216"/>
      <c r="D1444" s="240"/>
      <c r="E1444" s="218"/>
      <c r="F1444" s="218"/>
      <c r="G1444" s="218"/>
      <c r="H1444" s="219"/>
      <c r="I1444" s="223">
        <f>IF($C1444="","",IF(ISNUMBER(MATCH($C1444,'Phản ánh'!$A$6:$A$505,0)),"Phản ánh",IF(ISNUMBER(MATCH($C1444,'Kế hoạch'!$A$6:$A$305,0)),"Công việc","Mã chưa có")))</f>
      </c>
      <c r="J1444" s="221">
        <f>IF($I1444="Phản ánh",INDEX('Phản ánh'!$C$6:$C$505,MATCH($C1444,'Phản ánh'!$A$6:$A$505,0)),IF($I1444="Công việc",INDEX('Kế hoạch'!$C$6:$C$305,$O1444),""))</f>
      </c>
      <c r="K1444" s="221">
        <f>IF($I1444="Phản ánh",INDEX('Phản ánh'!$K$6:$K$505,MATCH($C1444,'Phản ánh'!$A$6:$A$505,0))&amp;"",IF($I1444="Công việc",INDEX('Kế hoạch'!$N$6:$N$305,$O1444)&amp;"",""))</f>
      </c>
      <c r="L1444" s="220">
        <f>IF(OR($C1444="",N($B1444)=0),"",IF(AND($I1444="Phản ánh",$E1444="Đã xử lý"),INDEX('Phản ánh'!$U$6:$U$505,MATCH($C1444,'Phản ánh'!$A$6:$A$505,0)),IF(AND($I1444="Công việc",OR($E1444="Hoàn thành",$E1444="Hoàn thành kỳ")),IF(INDEX('Kế hoạch'!$B$6:$B$305,$O1444)="Đột xuất",INDEX('Kế hoạch'!$AY$6:$AY$305,$O1444),IF(N($P1444)=0,"",IF(INT($B1444)&lt;$P1444,$P1444,IF($Q1444&gt;0,$P1444+ROUND((INT($B1444)-$P1444)/$Q1444,0)*$Q1444,IF($R1444&gt;0,EDATE($P1444,ROUND((DATEDIF($P1444,INT($B1444),"m")+(INT($B1444)-EDATE($P1444,DATEDIF($P1444,INT($B1444),"m")))/(EDATE($P1444,DATEDIF($P1444,INT($B1444),"m")+1)-EDATE($P1444,DATEDIF($P1444,INT($B1444),"m"))))/$R1444,0)*$R1444),$P1444))))),"")))</f>
      </c>
      <c r="M1444" s="223">
        <f>IF(OR($C1444="",N($L1444)=0,N($B1444)=0),"",IF(IF(MOD($L1444,1)=0,INT($B1444),$B1444)&lt;=$L1444,"Đúng hạn","Trễ hạn"))</f>
      </c>
      <c r="N1444" s="225">
        <f>IF($C1444="","",ROW())</f>
      </c>
      <c r="O1444" s="225">
        <f>IF($I1444="Công việc",MATCH($C1444,'Kế hoạch'!$A$6:$A$305,0),"")</f>
      </c>
      <c r="P1444" s="234">
        <f>IF($O1444="","",INDEX('Kế hoạch'!$I$6:$I$305,$O1444))</f>
      </c>
      <c r="Q1444" s="225">
        <f>IF($O1444="","",INDEX('Kế hoạch'!$AJ$6:$AJ$305,$O1444))</f>
      </c>
      <c r="R1444" s="225">
        <f>IF($O1444="","",INDEX('Kế hoạch'!$AK$6:$AK$305,$O1444))</f>
      </c>
    </row>
    <row r="1445">
      <c r="A1445" s="223">
        <f>IF($C1445="","",COUNTIF($C$6:$C1445,"?*"))</f>
      </c>
      <c r="B1445" s="217"/>
      <c r="C1445" s="216"/>
      <c r="D1445" s="240"/>
      <c r="E1445" s="218"/>
      <c r="F1445" s="218"/>
      <c r="G1445" s="218"/>
      <c r="H1445" s="219"/>
      <c r="I1445" s="223">
        <f>IF($C1445="","",IF(ISNUMBER(MATCH($C1445,'Phản ánh'!$A$6:$A$505,0)),"Phản ánh",IF(ISNUMBER(MATCH($C1445,'Kế hoạch'!$A$6:$A$305,0)),"Công việc","Mã chưa có")))</f>
      </c>
      <c r="J1445" s="221">
        <f>IF($I1445="Phản ánh",INDEX('Phản ánh'!$C$6:$C$505,MATCH($C1445,'Phản ánh'!$A$6:$A$505,0)),IF($I1445="Công việc",INDEX('Kế hoạch'!$C$6:$C$305,$O1445),""))</f>
      </c>
      <c r="K1445" s="221">
        <f>IF($I1445="Phản ánh",INDEX('Phản ánh'!$K$6:$K$505,MATCH($C1445,'Phản ánh'!$A$6:$A$505,0))&amp;"",IF($I1445="Công việc",INDEX('Kế hoạch'!$N$6:$N$305,$O1445)&amp;"",""))</f>
      </c>
      <c r="L1445" s="220">
        <f>IF(OR($C1445="",N($B1445)=0),"",IF(AND($I1445="Phản ánh",$E1445="Đã xử lý"),INDEX('Phản ánh'!$U$6:$U$505,MATCH($C1445,'Phản ánh'!$A$6:$A$505,0)),IF(AND($I1445="Công việc",OR($E1445="Hoàn thành",$E1445="Hoàn thành kỳ")),IF(INDEX('Kế hoạch'!$B$6:$B$305,$O1445)="Đột xuất",INDEX('Kế hoạch'!$AY$6:$AY$305,$O1445),IF(N($P1445)=0,"",IF(INT($B1445)&lt;$P1445,$P1445,IF($Q1445&gt;0,$P1445+ROUND((INT($B1445)-$P1445)/$Q1445,0)*$Q1445,IF($R1445&gt;0,EDATE($P1445,ROUND((DATEDIF($P1445,INT($B1445),"m")+(INT($B1445)-EDATE($P1445,DATEDIF($P1445,INT($B1445),"m")))/(EDATE($P1445,DATEDIF($P1445,INT($B1445),"m")+1)-EDATE($P1445,DATEDIF($P1445,INT($B1445),"m"))))/$R1445,0)*$R1445),$P1445))))),"")))</f>
      </c>
      <c r="M1445" s="223">
        <f>IF(OR($C1445="",N($L1445)=0,N($B1445)=0),"",IF(IF(MOD($L1445,1)=0,INT($B1445),$B1445)&lt;=$L1445,"Đúng hạn","Trễ hạn"))</f>
      </c>
      <c r="N1445" s="225">
        <f>IF($C1445="","",ROW())</f>
      </c>
      <c r="O1445" s="225">
        <f>IF($I1445="Công việc",MATCH($C1445,'Kế hoạch'!$A$6:$A$305,0),"")</f>
      </c>
      <c r="P1445" s="234">
        <f>IF($O1445="","",INDEX('Kế hoạch'!$I$6:$I$305,$O1445))</f>
      </c>
      <c r="Q1445" s="225">
        <f>IF($O1445="","",INDEX('Kế hoạch'!$AJ$6:$AJ$305,$O1445))</f>
      </c>
      <c r="R1445" s="225">
        <f>IF($O1445="","",INDEX('Kế hoạch'!$AK$6:$AK$305,$O1445))</f>
      </c>
    </row>
    <row r="1446">
      <c r="A1446" s="223">
        <f>IF($C1446="","",COUNTIF($C$6:$C1446,"?*"))</f>
      </c>
      <c r="B1446" s="217"/>
      <c r="C1446" s="216"/>
      <c r="D1446" s="240"/>
      <c r="E1446" s="218"/>
      <c r="F1446" s="218"/>
      <c r="G1446" s="218"/>
      <c r="H1446" s="219"/>
      <c r="I1446" s="223">
        <f>IF($C1446="","",IF(ISNUMBER(MATCH($C1446,'Phản ánh'!$A$6:$A$505,0)),"Phản ánh",IF(ISNUMBER(MATCH($C1446,'Kế hoạch'!$A$6:$A$305,0)),"Công việc","Mã chưa có")))</f>
      </c>
      <c r="J1446" s="221">
        <f>IF($I1446="Phản ánh",INDEX('Phản ánh'!$C$6:$C$505,MATCH($C1446,'Phản ánh'!$A$6:$A$505,0)),IF($I1446="Công việc",INDEX('Kế hoạch'!$C$6:$C$305,$O1446),""))</f>
      </c>
      <c r="K1446" s="221">
        <f>IF($I1446="Phản ánh",INDEX('Phản ánh'!$K$6:$K$505,MATCH($C1446,'Phản ánh'!$A$6:$A$505,0))&amp;"",IF($I1446="Công việc",INDEX('Kế hoạch'!$N$6:$N$305,$O1446)&amp;"",""))</f>
      </c>
      <c r="L1446" s="220">
        <f>IF(OR($C1446="",N($B1446)=0),"",IF(AND($I1446="Phản ánh",$E1446="Đã xử lý"),INDEX('Phản ánh'!$U$6:$U$505,MATCH($C1446,'Phản ánh'!$A$6:$A$505,0)),IF(AND($I1446="Công việc",OR($E1446="Hoàn thành",$E1446="Hoàn thành kỳ")),IF(INDEX('Kế hoạch'!$B$6:$B$305,$O1446)="Đột xuất",INDEX('Kế hoạch'!$AY$6:$AY$305,$O1446),IF(N($P1446)=0,"",IF(INT($B1446)&lt;$P1446,$P1446,IF($Q1446&gt;0,$P1446+ROUND((INT($B1446)-$P1446)/$Q1446,0)*$Q1446,IF($R1446&gt;0,EDATE($P1446,ROUND((DATEDIF($P1446,INT($B1446),"m")+(INT($B1446)-EDATE($P1446,DATEDIF($P1446,INT($B1446),"m")))/(EDATE($P1446,DATEDIF($P1446,INT($B1446),"m")+1)-EDATE($P1446,DATEDIF($P1446,INT($B1446),"m"))))/$R1446,0)*$R1446),$P1446))))),"")))</f>
      </c>
      <c r="M1446" s="223">
        <f>IF(OR($C1446="",N($L1446)=0,N($B1446)=0),"",IF(IF(MOD($L1446,1)=0,INT($B1446),$B1446)&lt;=$L1446,"Đúng hạn","Trễ hạn"))</f>
      </c>
      <c r="N1446" s="225">
        <f>IF($C1446="","",ROW())</f>
      </c>
      <c r="O1446" s="225">
        <f>IF($I1446="Công việc",MATCH($C1446,'Kế hoạch'!$A$6:$A$305,0),"")</f>
      </c>
      <c r="P1446" s="234">
        <f>IF($O1446="","",INDEX('Kế hoạch'!$I$6:$I$305,$O1446))</f>
      </c>
      <c r="Q1446" s="225">
        <f>IF($O1446="","",INDEX('Kế hoạch'!$AJ$6:$AJ$305,$O1446))</f>
      </c>
      <c r="R1446" s="225">
        <f>IF($O1446="","",INDEX('Kế hoạch'!$AK$6:$AK$305,$O1446))</f>
      </c>
    </row>
    <row r="1447">
      <c r="A1447" s="223">
        <f>IF($C1447="","",COUNTIF($C$6:$C1447,"?*"))</f>
      </c>
      <c r="B1447" s="217"/>
      <c r="C1447" s="216"/>
      <c r="D1447" s="240"/>
      <c r="E1447" s="218"/>
      <c r="F1447" s="218"/>
      <c r="G1447" s="218"/>
      <c r="H1447" s="219"/>
      <c r="I1447" s="223">
        <f>IF($C1447="","",IF(ISNUMBER(MATCH($C1447,'Phản ánh'!$A$6:$A$505,0)),"Phản ánh",IF(ISNUMBER(MATCH($C1447,'Kế hoạch'!$A$6:$A$305,0)),"Công việc","Mã chưa có")))</f>
      </c>
      <c r="J1447" s="221">
        <f>IF($I1447="Phản ánh",INDEX('Phản ánh'!$C$6:$C$505,MATCH($C1447,'Phản ánh'!$A$6:$A$505,0)),IF($I1447="Công việc",INDEX('Kế hoạch'!$C$6:$C$305,$O1447),""))</f>
      </c>
      <c r="K1447" s="221">
        <f>IF($I1447="Phản ánh",INDEX('Phản ánh'!$K$6:$K$505,MATCH($C1447,'Phản ánh'!$A$6:$A$505,0))&amp;"",IF($I1447="Công việc",INDEX('Kế hoạch'!$N$6:$N$305,$O1447)&amp;"",""))</f>
      </c>
      <c r="L1447" s="220">
        <f>IF(OR($C1447="",N($B1447)=0),"",IF(AND($I1447="Phản ánh",$E1447="Đã xử lý"),INDEX('Phản ánh'!$U$6:$U$505,MATCH($C1447,'Phản ánh'!$A$6:$A$505,0)),IF(AND($I1447="Công việc",OR($E1447="Hoàn thành",$E1447="Hoàn thành kỳ")),IF(INDEX('Kế hoạch'!$B$6:$B$305,$O1447)="Đột xuất",INDEX('Kế hoạch'!$AY$6:$AY$305,$O1447),IF(N($P1447)=0,"",IF(INT($B1447)&lt;$P1447,$P1447,IF($Q1447&gt;0,$P1447+ROUND((INT($B1447)-$P1447)/$Q1447,0)*$Q1447,IF($R1447&gt;0,EDATE($P1447,ROUND((DATEDIF($P1447,INT($B1447),"m")+(INT($B1447)-EDATE($P1447,DATEDIF($P1447,INT($B1447),"m")))/(EDATE($P1447,DATEDIF($P1447,INT($B1447),"m")+1)-EDATE($P1447,DATEDIF($P1447,INT($B1447),"m"))))/$R1447,0)*$R1447),$P1447))))),"")))</f>
      </c>
      <c r="M1447" s="223">
        <f>IF(OR($C1447="",N($L1447)=0,N($B1447)=0),"",IF(IF(MOD($L1447,1)=0,INT($B1447),$B1447)&lt;=$L1447,"Đúng hạn","Trễ hạn"))</f>
      </c>
      <c r="N1447" s="225">
        <f>IF($C1447="","",ROW())</f>
      </c>
      <c r="O1447" s="225">
        <f>IF($I1447="Công việc",MATCH($C1447,'Kế hoạch'!$A$6:$A$305,0),"")</f>
      </c>
      <c r="P1447" s="234">
        <f>IF($O1447="","",INDEX('Kế hoạch'!$I$6:$I$305,$O1447))</f>
      </c>
      <c r="Q1447" s="225">
        <f>IF($O1447="","",INDEX('Kế hoạch'!$AJ$6:$AJ$305,$O1447))</f>
      </c>
      <c r="R1447" s="225">
        <f>IF($O1447="","",INDEX('Kế hoạch'!$AK$6:$AK$305,$O1447))</f>
      </c>
    </row>
    <row r="1448">
      <c r="A1448" s="223">
        <f>IF($C1448="","",COUNTIF($C$6:$C1448,"?*"))</f>
      </c>
      <c r="B1448" s="217"/>
      <c r="C1448" s="216"/>
      <c r="D1448" s="240"/>
      <c r="E1448" s="218"/>
      <c r="F1448" s="218"/>
      <c r="G1448" s="218"/>
      <c r="H1448" s="219"/>
      <c r="I1448" s="223">
        <f>IF($C1448="","",IF(ISNUMBER(MATCH($C1448,'Phản ánh'!$A$6:$A$505,0)),"Phản ánh",IF(ISNUMBER(MATCH($C1448,'Kế hoạch'!$A$6:$A$305,0)),"Công việc","Mã chưa có")))</f>
      </c>
      <c r="J1448" s="221">
        <f>IF($I1448="Phản ánh",INDEX('Phản ánh'!$C$6:$C$505,MATCH($C1448,'Phản ánh'!$A$6:$A$505,0)),IF($I1448="Công việc",INDEX('Kế hoạch'!$C$6:$C$305,$O1448),""))</f>
      </c>
      <c r="K1448" s="221">
        <f>IF($I1448="Phản ánh",INDEX('Phản ánh'!$K$6:$K$505,MATCH($C1448,'Phản ánh'!$A$6:$A$505,0))&amp;"",IF($I1448="Công việc",INDEX('Kế hoạch'!$N$6:$N$305,$O1448)&amp;"",""))</f>
      </c>
      <c r="L1448" s="220">
        <f>IF(OR($C1448="",N($B1448)=0),"",IF(AND($I1448="Phản ánh",$E1448="Đã xử lý"),INDEX('Phản ánh'!$U$6:$U$505,MATCH($C1448,'Phản ánh'!$A$6:$A$505,0)),IF(AND($I1448="Công việc",OR($E1448="Hoàn thành",$E1448="Hoàn thành kỳ")),IF(INDEX('Kế hoạch'!$B$6:$B$305,$O1448)="Đột xuất",INDEX('Kế hoạch'!$AY$6:$AY$305,$O1448),IF(N($P1448)=0,"",IF(INT($B1448)&lt;$P1448,$P1448,IF($Q1448&gt;0,$P1448+ROUND((INT($B1448)-$P1448)/$Q1448,0)*$Q1448,IF($R1448&gt;0,EDATE($P1448,ROUND((DATEDIF($P1448,INT($B1448),"m")+(INT($B1448)-EDATE($P1448,DATEDIF($P1448,INT($B1448),"m")))/(EDATE($P1448,DATEDIF($P1448,INT($B1448),"m")+1)-EDATE($P1448,DATEDIF($P1448,INT($B1448),"m"))))/$R1448,0)*$R1448),$P1448))))),"")))</f>
      </c>
      <c r="M1448" s="223">
        <f>IF(OR($C1448="",N($L1448)=0,N($B1448)=0),"",IF(IF(MOD($L1448,1)=0,INT($B1448),$B1448)&lt;=$L1448,"Đúng hạn","Trễ hạn"))</f>
      </c>
      <c r="N1448" s="225">
        <f>IF($C1448="","",ROW())</f>
      </c>
      <c r="O1448" s="225">
        <f>IF($I1448="Công việc",MATCH($C1448,'Kế hoạch'!$A$6:$A$305,0),"")</f>
      </c>
      <c r="P1448" s="234">
        <f>IF($O1448="","",INDEX('Kế hoạch'!$I$6:$I$305,$O1448))</f>
      </c>
      <c r="Q1448" s="225">
        <f>IF($O1448="","",INDEX('Kế hoạch'!$AJ$6:$AJ$305,$O1448))</f>
      </c>
      <c r="R1448" s="225">
        <f>IF($O1448="","",INDEX('Kế hoạch'!$AK$6:$AK$305,$O1448))</f>
      </c>
    </row>
    <row r="1449">
      <c r="A1449" s="223">
        <f>IF($C1449="","",COUNTIF($C$6:$C1449,"?*"))</f>
      </c>
      <c r="B1449" s="217"/>
      <c r="C1449" s="216"/>
      <c r="D1449" s="240"/>
      <c r="E1449" s="218"/>
      <c r="F1449" s="218"/>
      <c r="G1449" s="218"/>
      <c r="H1449" s="219"/>
      <c r="I1449" s="223">
        <f>IF($C1449="","",IF(ISNUMBER(MATCH($C1449,'Phản ánh'!$A$6:$A$505,0)),"Phản ánh",IF(ISNUMBER(MATCH($C1449,'Kế hoạch'!$A$6:$A$305,0)),"Công việc","Mã chưa có")))</f>
      </c>
      <c r="J1449" s="221">
        <f>IF($I1449="Phản ánh",INDEX('Phản ánh'!$C$6:$C$505,MATCH($C1449,'Phản ánh'!$A$6:$A$505,0)),IF($I1449="Công việc",INDEX('Kế hoạch'!$C$6:$C$305,$O1449),""))</f>
      </c>
      <c r="K1449" s="221">
        <f>IF($I1449="Phản ánh",INDEX('Phản ánh'!$K$6:$K$505,MATCH($C1449,'Phản ánh'!$A$6:$A$505,0))&amp;"",IF($I1449="Công việc",INDEX('Kế hoạch'!$N$6:$N$305,$O1449)&amp;"",""))</f>
      </c>
      <c r="L1449" s="220">
        <f>IF(OR($C1449="",N($B1449)=0),"",IF(AND($I1449="Phản ánh",$E1449="Đã xử lý"),INDEX('Phản ánh'!$U$6:$U$505,MATCH($C1449,'Phản ánh'!$A$6:$A$505,0)),IF(AND($I1449="Công việc",OR($E1449="Hoàn thành",$E1449="Hoàn thành kỳ")),IF(INDEX('Kế hoạch'!$B$6:$B$305,$O1449)="Đột xuất",INDEX('Kế hoạch'!$AY$6:$AY$305,$O1449),IF(N($P1449)=0,"",IF(INT($B1449)&lt;$P1449,$P1449,IF($Q1449&gt;0,$P1449+ROUND((INT($B1449)-$P1449)/$Q1449,0)*$Q1449,IF($R1449&gt;0,EDATE($P1449,ROUND((DATEDIF($P1449,INT($B1449),"m")+(INT($B1449)-EDATE($P1449,DATEDIF($P1449,INT($B1449),"m")))/(EDATE($P1449,DATEDIF($P1449,INT($B1449),"m")+1)-EDATE($P1449,DATEDIF($P1449,INT($B1449),"m"))))/$R1449,0)*$R1449),$P1449))))),"")))</f>
      </c>
      <c r="M1449" s="223">
        <f>IF(OR($C1449="",N($L1449)=0,N($B1449)=0),"",IF(IF(MOD($L1449,1)=0,INT($B1449),$B1449)&lt;=$L1449,"Đúng hạn","Trễ hạn"))</f>
      </c>
      <c r="N1449" s="225">
        <f>IF($C1449="","",ROW())</f>
      </c>
      <c r="O1449" s="225">
        <f>IF($I1449="Công việc",MATCH($C1449,'Kế hoạch'!$A$6:$A$305,0),"")</f>
      </c>
      <c r="P1449" s="234">
        <f>IF($O1449="","",INDEX('Kế hoạch'!$I$6:$I$305,$O1449))</f>
      </c>
      <c r="Q1449" s="225">
        <f>IF($O1449="","",INDEX('Kế hoạch'!$AJ$6:$AJ$305,$O1449))</f>
      </c>
      <c r="R1449" s="225">
        <f>IF($O1449="","",INDEX('Kế hoạch'!$AK$6:$AK$305,$O1449))</f>
      </c>
    </row>
    <row r="1450">
      <c r="A1450" s="223">
        <f>IF($C1450="","",COUNTIF($C$6:$C1450,"?*"))</f>
      </c>
      <c r="B1450" s="217"/>
      <c r="C1450" s="216"/>
      <c r="D1450" s="240"/>
      <c r="E1450" s="218"/>
      <c r="F1450" s="218"/>
      <c r="G1450" s="218"/>
      <c r="H1450" s="219"/>
      <c r="I1450" s="223">
        <f>IF($C1450="","",IF(ISNUMBER(MATCH($C1450,'Phản ánh'!$A$6:$A$505,0)),"Phản ánh",IF(ISNUMBER(MATCH($C1450,'Kế hoạch'!$A$6:$A$305,0)),"Công việc","Mã chưa có")))</f>
      </c>
      <c r="J1450" s="221">
        <f>IF($I1450="Phản ánh",INDEX('Phản ánh'!$C$6:$C$505,MATCH($C1450,'Phản ánh'!$A$6:$A$505,0)),IF($I1450="Công việc",INDEX('Kế hoạch'!$C$6:$C$305,$O1450),""))</f>
      </c>
      <c r="K1450" s="221">
        <f>IF($I1450="Phản ánh",INDEX('Phản ánh'!$K$6:$K$505,MATCH($C1450,'Phản ánh'!$A$6:$A$505,0))&amp;"",IF($I1450="Công việc",INDEX('Kế hoạch'!$N$6:$N$305,$O1450)&amp;"",""))</f>
      </c>
      <c r="L1450" s="220">
        <f>IF(OR($C1450="",N($B1450)=0),"",IF(AND($I1450="Phản ánh",$E1450="Đã xử lý"),INDEX('Phản ánh'!$U$6:$U$505,MATCH($C1450,'Phản ánh'!$A$6:$A$505,0)),IF(AND($I1450="Công việc",OR($E1450="Hoàn thành",$E1450="Hoàn thành kỳ")),IF(INDEX('Kế hoạch'!$B$6:$B$305,$O1450)="Đột xuất",INDEX('Kế hoạch'!$AY$6:$AY$305,$O1450),IF(N($P1450)=0,"",IF(INT($B1450)&lt;$P1450,$P1450,IF($Q1450&gt;0,$P1450+ROUND((INT($B1450)-$P1450)/$Q1450,0)*$Q1450,IF($R1450&gt;0,EDATE($P1450,ROUND((DATEDIF($P1450,INT($B1450),"m")+(INT($B1450)-EDATE($P1450,DATEDIF($P1450,INT($B1450),"m")))/(EDATE($P1450,DATEDIF($P1450,INT($B1450),"m")+1)-EDATE($P1450,DATEDIF($P1450,INT($B1450),"m"))))/$R1450,0)*$R1450),$P1450))))),"")))</f>
      </c>
      <c r="M1450" s="223">
        <f>IF(OR($C1450="",N($L1450)=0,N($B1450)=0),"",IF(IF(MOD($L1450,1)=0,INT($B1450),$B1450)&lt;=$L1450,"Đúng hạn","Trễ hạn"))</f>
      </c>
      <c r="N1450" s="225">
        <f>IF($C1450="","",ROW())</f>
      </c>
      <c r="O1450" s="225">
        <f>IF($I1450="Công việc",MATCH($C1450,'Kế hoạch'!$A$6:$A$305,0),"")</f>
      </c>
      <c r="P1450" s="234">
        <f>IF($O1450="","",INDEX('Kế hoạch'!$I$6:$I$305,$O1450))</f>
      </c>
      <c r="Q1450" s="225">
        <f>IF($O1450="","",INDEX('Kế hoạch'!$AJ$6:$AJ$305,$O1450))</f>
      </c>
      <c r="R1450" s="225">
        <f>IF($O1450="","",INDEX('Kế hoạch'!$AK$6:$AK$305,$O1450))</f>
      </c>
    </row>
    <row r="1451">
      <c r="A1451" s="223">
        <f>IF($C1451="","",COUNTIF($C$6:$C1451,"?*"))</f>
      </c>
      <c r="B1451" s="217"/>
      <c r="C1451" s="216"/>
      <c r="D1451" s="240"/>
      <c r="E1451" s="218"/>
      <c r="F1451" s="218"/>
      <c r="G1451" s="218"/>
      <c r="H1451" s="219"/>
      <c r="I1451" s="223">
        <f>IF($C1451="","",IF(ISNUMBER(MATCH($C1451,'Phản ánh'!$A$6:$A$505,0)),"Phản ánh",IF(ISNUMBER(MATCH($C1451,'Kế hoạch'!$A$6:$A$305,0)),"Công việc","Mã chưa có")))</f>
      </c>
      <c r="J1451" s="221">
        <f>IF($I1451="Phản ánh",INDEX('Phản ánh'!$C$6:$C$505,MATCH($C1451,'Phản ánh'!$A$6:$A$505,0)),IF($I1451="Công việc",INDEX('Kế hoạch'!$C$6:$C$305,$O1451),""))</f>
      </c>
      <c r="K1451" s="221">
        <f>IF($I1451="Phản ánh",INDEX('Phản ánh'!$K$6:$K$505,MATCH($C1451,'Phản ánh'!$A$6:$A$505,0))&amp;"",IF($I1451="Công việc",INDEX('Kế hoạch'!$N$6:$N$305,$O1451)&amp;"",""))</f>
      </c>
      <c r="L1451" s="220">
        <f>IF(OR($C1451="",N($B1451)=0),"",IF(AND($I1451="Phản ánh",$E1451="Đã xử lý"),INDEX('Phản ánh'!$U$6:$U$505,MATCH($C1451,'Phản ánh'!$A$6:$A$505,0)),IF(AND($I1451="Công việc",OR($E1451="Hoàn thành",$E1451="Hoàn thành kỳ")),IF(INDEX('Kế hoạch'!$B$6:$B$305,$O1451)="Đột xuất",INDEX('Kế hoạch'!$AY$6:$AY$305,$O1451),IF(N($P1451)=0,"",IF(INT($B1451)&lt;$P1451,$P1451,IF($Q1451&gt;0,$P1451+ROUND((INT($B1451)-$P1451)/$Q1451,0)*$Q1451,IF($R1451&gt;0,EDATE($P1451,ROUND((DATEDIF($P1451,INT($B1451),"m")+(INT($B1451)-EDATE($P1451,DATEDIF($P1451,INT($B1451),"m")))/(EDATE($P1451,DATEDIF($P1451,INT($B1451),"m")+1)-EDATE($P1451,DATEDIF($P1451,INT($B1451),"m"))))/$R1451,0)*$R1451),$P1451))))),"")))</f>
      </c>
      <c r="M1451" s="223">
        <f>IF(OR($C1451="",N($L1451)=0,N($B1451)=0),"",IF(IF(MOD($L1451,1)=0,INT($B1451),$B1451)&lt;=$L1451,"Đúng hạn","Trễ hạn"))</f>
      </c>
      <c r="N1451" s="225">
        <f>IF($C1451="","",ROW())</f>
      </c>
      <c r="O1451" s="225">
        <f>IF($I1451="Công việc",MATCH($C1451,'Kế hoạch'!$A$6:$A$305,0),"")</f>
      </c>
      <c r="P1451" s="234">
        <f>IF($O1451="","",INDEX('Kế hoạch'!$I$6:$I$305,$O1451))</f>
      </c>
      <c r="Q1451" s="225">
        <f>IF($O1451="","",INDEX('Kế hoạch'!$AJ$6:$AJ$305,$O1451))</f>
      </c>
      <c r="R1451" s="225">
        <f>IF($O1451="","",INDEX('Kế hoạch'!$AK$6:$AK$305,$O1451))</f>
      </c>
    </row>
    <row r="1452">
      <c r="A1452" s="223">
        <f>IF($C1452="","",COUNTIF($C$6:$C1452,"?*"))</f>
      </c>
      <c r="B1452" s="217"/>
      <c r="C1452" s="216"/>
      <c r="D1452" s="240"/>
      <c r="E1452" s="218"/>
      <c r="F1452" s="218"/>
      <c r="G1452" s="218"/>
      <c r="H1452" s="219"/>
      <c r="I1452" s="223">
        <f>IF($C1452="","",IF(ISNUMBER(MATCH($C1452,'Phản ánh'!$A$6:$A$505,0)),"Phản ánh",IF(ISNUMBER(MATCH($C1452,'Kế hoạch'!$A$6:$A$305,0)),"Công việc","Mã chưa có")))</f>
      </c>
      <c r="J1452" s="221">
        <f>IF($I1452="Phản ánh",INDEX('Phản ánh'!$C$6:$C$505,MATCH($C1452,'Phản ánh'!$A$6:$A$505,0)),IF($I1452="Công việc",INDEX('Kế hoạch'!$C$6:$C$305,$O1452),""))</f>
      </c>
      <c r="K1452" s="221">
        <f>IF($I1452="Phản ánh",INDEX('Phản ánh'!$K$6:$K$505,MATCH($C1452,'Phản ánh'!$A$6:$A$505,0))&amp;"",IF($I1452="Công việc",INDEX('Kế hoạch'!$N$6:$N$305,$O1452)&amp;"",""))</f>
      </c>
      <c r="L1452" s="220">
        <f>IF(OR($C1452="",N($B1452)=0),"",IF(AND($I1452="Phản ánh",$E1452="Đã xử lý"),INDEX('Phản ánh'!$U$6:$U$505,MATCH($C1452,'Phản ánh'!$A$6:$A$505,0)),IF(AND($I1452="Công việc",OR($E1452="Hoàn thành",$E1452="Hoàn thành kỳ")),IF(INDEX('Kế hoạch'!$B$6:$B$305,$O1452)="Đột xuất",INDEX('Kế hoạch'!$AY$6:$AY$305,$O1452),IF(N($P1452)=0,"",IF(INT($B1452)&lt;$P1452,$P1452,IF($Q1452&gt;0,$P1452+ROUND((INT($B1452)-$P1452)/$Q1452,0)*$Q1452,IF($R1452&gt;0,EDATE($P1452,ROUND((DATEDIF($P1452,INT($B1452),"m")+(INT($B1452)-EDATE($P1452,DATEDIF($P1452,INT($B1452),"m")))/(EDATE($P1452,DATEDIF($P1452,INT($B1452),"m")+1)-EDATE($P1452,DATEDIF($P1452,INT($B1452),"m"))))/$R1452,0)*$R1452),$P1452))))),"")))</f>
      </c>
      <c r="M1452" s="223">
        <f>IF(OR($C1452="",N($L1452)=0,N($B1452)=0),"",IF(IF(MOD($L1452,1)=0,INT($B1452),$B1452)&lt;=$L1452,"Đúng hạn","Trễ hạn"))</f>
      </c>
      <c r="N1452" s="225">
        <f>IF($C1452="","",ROW())</f>
      </c>
      <c r="O1452" s="225">
        <f>IF($I1452="Công việc",MATCH($C1452,'Kế hoạch'!$A$6:$A$305,0),"")</f>
      </c>
      <c r="P1452" s="234">
        <f>IF($O1452="","",INDEX('Kế hoạch'!$I$6:$I$305,$O1452))</f>
      </c>
      <c r="Q1452" s="225">
        <f>IF($O1452="","",INDEX('Kế hoạch'!$AJ$6:$AJ$305,$O1452))</f>
      </c>
      <c r="R1452" s="225">
        <f>IF($O1452="","",INDEX('Kế hoạch'!$AK$6:$AK$305,$O1452))</f>
      </c>
    </row>
    <row r="1453">
      <c r="A1453" s="223">
        <f>IF($C1453="","",COUNTIF($C$6:$C1453,"?*"))</f>
      </c>
      <c r="B1453" s="217"/>
      <c r="C1453" s="216"/>
      <c r="D1453" s="240"/>
      <c r="E1453" s="218"/>
      <c r="F1453" s="218"/>
      <c r="G1453" s="218"/>
      <c r="H1453" s="219"/>
      <c r="I1453" s="223">
        <f>IF($C1453="","",IF(ISNUMBER(MATCH($C1453,'Phản ánh'!$A$6:$A$505,0)),"Phản ánh",IF(ISNUMBER(MATCH($C1453,'Kế hoạch'!$A$6:$A$305,0)),"Công việc","Mã chưa có")))</f>
      </c>
      <c r="J1453" s="221">
        <f>IF($I1453="Phản ánh",INDEX('Phản ánh'!$C$6:$C$505,MATCH($C1453,'Phản ánh'!$A$6:$A$505,0)),IF($I1453="Công việc",INDEX('Kế hoạch'!$C$6:$C$305,$O1453),""))</f>
      </c>
      <c r="K1453" s="221">
        <f>IF($I1453="Phản ánh",INDEX('Phản ánh'!$K$6:$K$505,MATCH($C1453,'Phản ánh'!$A$6:$A$505,0))&amp;"",IF($I1453="Công việc",INDEX('Kế hoạch'!$N$6:$N$305,$O1453)&amp;"",""))</f>
      </c>
      <c r="L1453" s="220">
        <f>IF(OR($C1453="",N($B1453)=0),"",IF(AND($I1453="Phản ánh",$E1453="Đã xử lý"),INDEX('Phản ánh'!$U$6:$U$505,MATCH($C1453,'Phản ánh'!$A$6:$A$505,0)),IF(AND($I1453="Công việc",OR($E1453="Hoàn thành",$E1453="Hoàn thành kỳ")),IF(INDEX('Kế hoạch'!$B$6:$B$305,$O1453)="Đột xuất",INDEX('Kế hoạch'!$AY$6:$AY$305,$O1453),IF(N($P1453)=0,"",IF(INT($B1453)&lt;$P1453,$P1453,IF($Q1453&gt;0,$P1453+ROUND((INT($B1453)-$P1453)/$Q1453,0)*$Q1453,IF($R1453&gt;0,EDATE($P1453,ROUND((DATEDIF($P1453,INT($B1453),"m")+(INT($B1453)-EDATE($P1453,DATEDIF($P1453,INT($B1453),"m")))/(EDATE($P1453,DATEDIF($P1453,INT($B1453),"m")+1)-EDATE($P1453,DATEDIF($P1453,INT($B1453),"m"))))/$R1453,0)*$R1453),$P1453))))),"")))</f>
      </c>
      <c r="M1453" s="223">
        <f>IF(OR($C1453="",N($L1453)=0,N($B1453)=0),"",IF(IF(MOD($L1453,1)=0,INT($B1453),$B1453)&lt;=$L1453,"Đúng hạn","Trễ hạn"))</f>
      </c>
      <c r="N1453" s="225">
        <f>IF($C1453="","",ROW())</f>
      </c>
      <c r="O1453" s="225">
        <f>IF($I1453="Công việc",MATCH($C1453,'Kế hoạch'!$A$6:$A$305,0),"")</f>
      </c>
      <c r="P1453" s="234">
        <f>IF($O1453="","",INDEX('Kế hoạch'!$I$6:$I$305,$O1453))</f>
      </c>
      <c r="Q1453" s="225">
        <f>IF($O1453="","",INDEX('Kế hoạch'!$AJ$6:$AJ$305,$O1453))</f>
      </c>
      <c r="R1453" s="225">
        <f>IF($O1453="","",INDEX('Kế hoạch'!$AK$6:$AK$305,$O1453))</f>
      </c>
    </row>
    <row r="1454">
      <c r="A1454" s="223">
        <f>IF($C1454="","",COUNTIF($C$6:$C1454,"?*"))</f>
      </c>
      <c r="B1454" s="217"/>
      <c r="C1454" s="216"/>
      <c r="D1454" s="240"/>
      <c r="E1454" s="218"/>
      <c r="F1454" s="218"/>
      <c r="G1454" s="218"/>
      <c r="H1454" s="219"/>
      <c r="I1454" s="223">
        <f>IF($C1454="","",IF(ISNUMBER(MATCH($C1454,'Phản ánh'!$A$6:$A$505,0)),"Phản ánh",IF(ISNUMBER(MATCH($C1454,'Kế hoạch'!$A$6:$A$305,0)),"Công việc","Mã chưa có")))</f>
      </c>
      <c r="J1454" s="221">
        <f>IF($I1454="Phản ánh",INDEX('Phản ánh'!$C$6:$C$505,MATCH($C1454,'Phản ánh'!$A$6:$A$505,0)),IF($I1454="Công việc",INDEX('Kế hoạch'!$C$6:$C$305,$O1454),""))</f>
      </c>
      <c r="K1454" s="221">
        <f>IF($I1454="Phản ánh",INDEX('Phản ánh'!$K$6:$K$505,MATCH($C1454,'Phản ánh'!$A$6:$A$505,0))&amp;"",IF($I1454="Công việc",INDEX('Kế hoạch'!$N$6:$N$305,$O1454)&amp;"",""))</f>
      </c>
      <c r="L1454" s="220">
        <f>IF(OR($C1454="",N($B1454)=0),"",IF(AND($I1454="Phản ánh",$E1454="Đã xử lý"),INDEX('Phản ánh'!$U$6:$U$505,MATCH($C1454,'Phản ánh'!$A$6:$A$505,0)),IF(AND($I1454="Công việc",OR($E1454="Hoàn thành",$E1454="Hoàn thành kỳ")),IF(INDEX('Kế hoạch'!$B$6:$B$305,$O1454)="Đột xuất",INDEX('Kế hoạch'!$AY$6:$AY$305,$O1454),IF(N($P1454)=0,"",IF(INT($B1454)&lt;$P1454,$P1454,IF($Q1454&gt;0,$P1454+ROUND((INT($B1454)-$P1454)/$Q1454,0)*$Q1454,IF($R1454&gt;0,EDATE($P1454,ROUND((DATEDIF($P1454,INT($B1454),"m")+(INT($B1454)-EDATE($P1454,DATEDIF($P1454,INT($B1454),"m")))/(EDATE($P1454,DATEDIF($P1454,INT($B1454),"m")+1)-EDATE($P1454,DATEDIF($P1454,INT($B1454),"m"))))/$R1454,0)*$R1454),$P1454))))),"")))</f>
      </c>
      <c r="M1454" s="223">
        <f>IF(OR($C1454="",N($L1454)=0,N($B1454)=0),"",IF(IF(MOD($L1454,1)=0,INT($B1454),$B1454)&lt;=$L1454,"Đúng hạn","Trễ hạn"))</f>
      </c>
      <c r="N1454" s="225">
        <f>IF($C1454="","",ROW())</f>
      </c>
      <c r="O1454" s="225">
        <f>IF($I1454="Công việc",MATCH($C1454,'Kế hoạch'!$A$6:$A$305,0),"")</f>
      </c>
      <c r="P1454" s="234">
        <f>IF($O1454="","",INDEX('Kế hoạch'!$I$6:$I$305,$O1454))</f>
      </c>
      <c r="Q1454" s="225">
        <f>IF($O1454="","",INDEX('Kế hoạch'!$AJ$6:$AJ$305,$O1454))</f>
      </c>
      <c r="R1454" s="225">
        <f>IF($O1454="","",INDEX('Kế hoạch'!$AK$6:$AK$305,$O1454))</f>
      </c>
    </row>
    <row r="1455">
      <c r="A1455" s="223">
        <f>IF($C1455="","",COUNTIF($C$6:$C1455,"?*"))</f>
      </c>
      <c r="B1455" s="217"/>
      <c r="C1455" s="216"/>
      <c r="D1455" s="240"/>
      <c r="E1455" s="218"/>
      <c r="F1455" s="218"/>
      <c r="G1455" s="218"/>
      <c r="H1455" s="219"/>
      <c r="I1455" s="223">
        <f>IF($C1455="","",IF(ISNUMBER(MATCH($C1455,'Phản ánh'!$A$6:$A$505,0)),"Phản ánh",IF(ISNUMBER(MATCH($C1455,'Kế hoạch'!$A$6:$A$305,0)),"Công việc","Mã chưa có")))</f>
      </c>
      <c r="J1455" s="221">
        <f>IF($I1455="Phản ánh",INDEX('Phản ánh'!$C$6:$C$505,MATCH($C1455,'Phản ánh'!$A$6:$A$505,0)),IF($I1455="Công việc",INDEX('Kế hoạch'!$C$6:$C$305,$O1455),""))</f>
      </c>
      <c r="K1455" s="221">
        <f>IF($I1455="Phản ánh",INDEX('Phản ánh'!$K$6:$K$505,MATCH($C1455,'Phản ánh'!$A$6:$A$505,0))&amp;"",IF($I1455="Công việc",INDEX('Kế hoạch'!$N$6:$N$305,$O1455)&amp;"",""))</f>
      </c>
      <c r="L1455" s="220">
        <f>IF(OR($C1455="",N($B1455)=0),"",IF(AND($I1455="Phản ánh",$E1455="Đã xử lý"),INDEX('Phản ánh'!$U$6:$U$505,MATCH($C1455,'Phản ánh'!$A$6:$A$505,0)),IF(AND($I1455="Công việc",OR($E1455="Hoàn thành",$E1455="Hoàn thành kỳ")),IF(INDEX('Kế hoạch'!$B$6:$B$305,$O1455)="Đột xuất",INDEX('Kế hoạch'!$AY$6:$AY$305,$O1455),IF(N($P1455)=0,"",IF(INT($B1455)&lt;$P1455,$P1455,IF($Q1455&gt;0,$P1455+ROUND((INT($B1455)-$P1455)/$Q1455,0)*$Q1455,IF($R1455&gt;0,EDATE($P1455,ROUND((DATEDIF($P1455,INT($B1455),"m")+(INT($B1455)-EDATE($P1455,DATEDIF($P1455,INT($B1455),"m")))/(EDATE($P1455,DATEDIF($P1455,INT($B1455),"m")+1)-EDATE($P1455,DATEDIF($P1455,INT($B1455),"m"))))/$R1455,0)*$R1455),$P1455))))),"")))</f>
      </c>
      <c r="M1455" s="223">
        <f>IF(OR($C1455="",N($L1455)=0,N($B1455)=0),"",IF(IF(MOD($L1455,1)=0,INT($B1455),$B1455)&lt;=$L1455,"Đúng hạn","Trễ hạn"))</f>
      </c>
      <c r="N1455" s="225">
        <f>IF($C1455="","",ROW())</f>
      </c>
      <c r="O1455" s="225">
        <f>IF($I1455="Công việc",MATCH($C1455,'Kế hoạch'!$A$6:$A$305,0),"")</f>
      </c>
      <c r="P1455" s="234">
        <f>IF($O1455="","",INDEX('Kế hoạch'!$I$6:$I$305,$O1455))</f>
      </c>
      <c r="Q1455" s="225">
        <f>IF($O1455="","",INDEX('Kế hoạch'!$AJ$6:$AJ$305,$O1455))</f>
      </c>
      <c r="R1455" s="225">
        <f>IF($O1455="","",INDEX('Kế hoạch'!$AK$6:$AK$305,$O1455))</f>
      </c>
    </row>
    <row r="1456">
      <c r="A1456" s="223">
        <f>IF($C1456="","",COUNTIF($C$6:$C1456,"?*"))</f>
      </c>
      <c r="B1456" s="217"/>
      <c r="C1456" s="216"/>
      <c r="D1456" s="240"/>
      <c r="E1456" s="218"/>
      <c r="F1456" s="218"/>
      <c r="G1456" s="218"/>
      <c r="H1456" s="219"/>
      <c r="I1456" s="223">
        <f>IF($C1456="","",IF(ISNUMBER(MATCH($C1456,'Phản ánh'!$A$6:$A$505,0)),"Phản ánh",IF(ISNUMBER(MATCH($C1456,'Kế hoạch'!$A$6:$A$305,0)),"Công việc","Mã chưa có")))</f>
      </c>
      <c r="J1456" s="221">
        <f>IF($I1456="Phản ánh",INDEX('Phản ánh'!$C$6:$C$505,MATCH($C1456,'Phản ánh'!$A$6:$A$505,0)),IF($I1456="Công việc",INDEX('Kế hoạch'!$C$6:$C$305,$O1456),""))</f>
      </c>
      <c r="K1456" s="221">
        <f>IF($I1456="Phản ánh",INDEX('Phản ánh'!$K$6:$K$505,MATCH($C1456,'Phản ánh'!$A$6:$A$505,0))&amp;"",IF($I1456="Công việc",INDEX('Kế hoạch'!$N$6:$N$305,$O1456)&amp;"",""))</f>
      </c>
      <c r="L1456" s="220">
        <f>IF(OR($C1456="",N($B1456)=0),"",IF(AND($I1456="Phản ánh",$E1456="Đã xử lý"),INDEX('Phản ánh'!$U$6:$U$505,MATCH($C1456,'Phản ánh'!$A$6:$A$505,0)),IF(AND($I1456="Công việc",OR($E1456="Hoàn thành",$E1456="Hoàn thành kỳ")),IF(INDEX('Kế hoạch'!$B$6:$B$305,$O1456)="Đột xuất",INDEX('Kế hoạch'!$AY$6:$AY$305,$O1456),IF(N($P1456)=0,"",IF(INT($B1456)&lt;$P1456,$P1456,IF($Q1456&gt;0,$P1456+ROUND((INT($B1456)-$P1456)/$Q1456,0)*$Q1456,IF($R1456&gt;0,EDATE($P1456,ROUND((DATEDIF($P1456,INT($B1456),"m")+(INT($B1456)-EDATE($P1456,DATEDIF($P1456,INT($B1456),"m")))/(EDATE($P1456,DATEDIF($P1456,INT($B1456),"m")+1)-EDATE($P1456,DATEDIF($P1456,INT($B1456),"m"))))/$R1456,0)*$R1456),$P1456))))),"")))</f>
      </c>
      <c r="M1456" s="223">
        <f>IF(OR($C1456="",N($L1456)=0,N($B1456)=0),"",IF(IF(MOD($L1456,1)=0,INT($B1456),$B1456)&lt;=$L1456,"Đúng hạn","Trễ hạn"))</f>
      </c>
      <c r="N1456" s="225">
        <f>IF($C1456="","",ROW())</f>
      </c>
      <c r="O1456" s="225">
        <f>IF($I1456="Công việc",MATCH($C1456,'Kế hoạch'!$A$6:$A$305,0),"")</f>
      </c>
      <c r="P1456" s="234">
        <f>IF($O1456="","",INDEX('Kế hoạch'!$I$6:$I$305,$O1456))</f>
      </c>
      <c r="Q1456" s="225">
        <f>IF($O1456="","",INDEX('Kế hoạch'!$AJ$6:$AJ$305,$O1456))</f>
      </c>
      <c r="R1456" s="225">
        <f>IF($O1456="","",INDEX('Kế hoạch'!$AK$6:$AK$305,$O1456))</f>
      </c>
    </row>
    <row r="1457">
      <c r="A1457" s="223">
        <f>IF($C1457="","",COUNTIF($C$6:$C1457,"?*"))</f>
      </c>
      <c r="B1457" s="217"/>
      <c r="C1457" s="216"/>
      <c r="D1457" s="240"/>
      <c r="E1457" s="218"/>
      <c r="F1457" s="218"/>
      <c r="G1457" s="218"/>
      <c r="H1457" s="219"/>
      <c r="I1457" s="223">
        <f>IF($C1457="","",IF(ISNUMBER(MATCH($C1457,'Phản ánh'!$A$6:$A$505,0)),"Phản ánh",IF(ISNUMBER(MATCH($C1457,'Kế hoạch'!$A$6:$A$305,0)),"Công việc","Mã chưa có")))</f>
      </c>
      <c r="J1457" s="221">
        <f>IF($I1457="Phản ánh",INDEX('Phản ánh'!$C$6:$C$505,MATCH($C1457,'Phản ánh'!$A$6:$A$505,0)),IF($I1457="Công việc",INDEX('Kế hoạch'!$C$6:$C$305,$O1457),""))</f>
      </c>
      <c r="K1457" s="221">
        <f>IF($I1457="Phản ánh",INDEX('Phản ánh'!$K$6:$K$505,MATCH($C1457,'Phản ánh'!$A$6:$A$505,0))&amp;"",IF($I1457="Công việc",INDEX('Kế hoạch'!$N$6:$N$305,$O1457)&amp;"",""))</f>
      </c>
      <c r="L1457" s="220">
        <f>IF(OR($C1457="",N($B1457)=0),"",IF(AND($I1457="Phản ánh",$E1457="Đã xử lý"),INDEX('Phản ánh'!$U$6:$U$505,MATCH($C1457,'Phản ánh'!$A$6:$A$505,0)),IF(AND($I1457="Công việc",OR($E1457="Hoàn thành",$E1457="Hoàn thành kỳ")),IF(INDEX('Kế hoạch'!$B$6:$B$305,$O1457)="Đột xuất",INDEX('Kế hoạch'!$AY$6:$AY$305,$O1457),IF(N($P1457)=0,"",IF(INT($B1457)&lt;$P1457,$P1457,IF($Q1457&gt;0,$P1457+ROUND((INT($B1457)-$P1457)/$Q1457,0)*$Q1457,IF($R1457&gt;0,EDATE($P1457,ROUND((DATEDIF($P1457,INT($B1457),"m")+(INT($B1457)-EDATE($P1457,DATEDIF($P1457,INT($B1457),"m")))/(EDATE($P1457,DATEDIF($P1457,INT($B1457),"m")+1)-EDATE($P1457,DATEDIF($P1457,INT($B1457),"m"))))/$R1457,0)*$R1457),$P1457))))),"")))</f>
      </c>
      <c r="M1457" s="223">
        <f>IF(OR($C1457="",N($L1457)=0,N($B1457)=0),"",IF(IF(MOD($L1457,1)=0,INT($B1457),$B1457)&lt;=$L1457,"Đúng hạn","Trễ hạn"))</f>
      </c>
      <c r="N1457" s="225">
        <f>IF($C1457="","",ROW())</f>
      </c>
      <c r="O1457" s="225">
        <f>IF($I1457="Công việc",MATCH($C1457,'Kế hoạch'!$A$6:$A$305,0),"")</f>
      </c>
      <c r="P1457" s="234">
        <f>IF($O1457="","",INDEX('Kế hoạch'!$I$6:$I$305,$O1457))</f>
      </c>
      <c r="Q1457" s="225">
        <f>IF($O1457="","",INDEX('Kế hoạch'!$AJ$6:$AJ$305,$O1457))</f>
      </c>
      <c r="R1457" s="225">
        <f>IF($O1457="","",INDEX('Kế hoạch'!$AK$6:$AK$305,$O1457))</f>
      </c>
    </row>
    <row r="1458">
      <c r="A1458" s="223">
        <f>IF($C1458="","",COUNTIF($C$6:$C1458,"?*"))</f>
      </c>
      <c r="B1458" s="217"/>
      <c r="C1458" s="216"/>
      <c r="D1458" s="240"/>
      <c r="E1458" s="218"/>
      <c r="F1458" s="218"/>
      <c r="G1458" s="218"/>
      <c r="H1458" s="219"/>
      <c r="I1458" s="223">
        <f>IF($C1458="","",IF(ISNUMBER(MATCH($C1458,'Phản ánh'!$A$6:$A$505,0)),"Phản ánh",IF(ISNUMBER(MATCH($C1458,'Kế hoạch'!$A$6:$A$305,0)),"Công việc","Mã chưa có")))</f>
      </c>
      <c r="J1458" s="221">
        <f>IF($I1458="Phản ánh",INDEX('Phản ánh'!$C$6:$C$505,MATCH($C1458,'Phản ánh'!$A$6:$A$505,0)),IF($I1458="Công việc",INDEX('Kế hoạch'!$C$6:$C$305,$O1458),""))</f>
      </c>
      <c r="K1458" s="221">
        <f>IF($I1458="Phản ánh",INDEX('Phản ánh'!$K$6:$K$505,MATCH($C1458,'Phản ánh'!$A$6:$A$505,0))&amp;"",IF($I1458="Công việc",INDEX('Kế hoạch'!$N$6:$N$305,$O1458)&amp;"",""))</f>
      </c>
      <c r="L1458" s="220">
        <f>IF(OR($C1458="",N($B1458)=0),"",IF(AND($I1458="Phản ánh",$E1458="Đã xử lý"),INDEX('Phản ánh'!$U$6:$U$505,MATCH($C1458,'Phản ánh'!$A$6:$A$505,0)),IF(AND($I1458="Công việc",OR($E1458="Hoàn thành",$E1458="Hoàn thành kỳ")),IF(INDEX('Kế hoạch'!$B$6:$B$305,$O1458)="Đột xuất",INDEX('Kế hoạch'!$AY$6:$AY$305,$O1458),IF(N($P1458)=0,"",IF(INT($B1458)&lt;$P1458,$P1458,IF($Q1458&gt;0,$P1458+ROUND((INT($B1458)-$P1458)/$Q1458,0)*$Q1458,IF($R1458&gt;0,EDATE($P1458,ROUND((DATEDIF($P1458,INT($B1458),"m")+(INT($B1458)-EDATE($P1458,DATEDIF($P1458,INT($B1458),"m")))/(EDATE($P1458,DATEDIF($P1458,INT($B1458),"m")+1)-EDATE($P1458,DATEDIF($P1458,INT($B1458),"m"))))/$R1458,0)*$R1458),$P1458))))),"")))</f>
      </c>
      <c r="M1458" s="223">
        <f>IF(OR($C1458="",N($L1458)=0,N($B1458)=0),"",IF(IF(MOD($L1458,1)=0,INT($B1458),$B1458)&lt;=$L1458,"Đúng hạn","Trễ hạn"))</f>
      </c>
      <c r="N1458" s="225">
        <f>IF($C1458="","",ROW())</f>
      </c>
      <c r="O1458" s="225">
        <f>IF($I1458="Công việc",MATCH($C1458,'Kế hoạch'!$A$6:$A$305,0),"")</f>
      </c>
      <c r="P1458" s="234">
        <f>IF($O1458="","",INDEX('Kế hoạch'!$I$6:$I$305,$O1458))</f>
      </c>
      <c r="Q1458" s="225">
        <f>IF($O1458="","",INDEX('Kế hoạch'!$AJ$6:$AJ$305,$O1458))</f>
      </c>
      <c r="R1458" s="225">
        <f>IF($O1458="","",INDEX('Kế hoạch'!$AK$6:$AK$305,$O1458))</f>
      </c>
    </row>
    <row r="1459">
      <c r="A1459" s="223">
        <f>IF($C1459="","",COUNTIF($C$6:$C1459,"?*"))</f>
      </c>
      <c r="B1459" s="217"/>
      <c r="C1459" s="216"/>
      <c r="D1459" s="240"/>
      <c r="E1459" s="218"/>
      <c r="F1459" s="218"/>
      <c r="G1459" s="218"/>
      <c r="H1459" s="219"/>
      <c r="I1459" s="223">
        <f>IF($C1459="","",IF(ISNUMBER(MATCH($C1459,'Phản ánh'!$A$6:$A$505,0)),"Phản ánh",IF(ISNUMBER(MATCH($C1459,'Kế hoạch'!$A$6:$A$305,0)),"Công việc","Mã chưa có")))</f>
      </c>
      <c r="J1459" s="221">
        <f>IF($I1459="Phản ánh",INDEX('Phản ánh'!$C$6:$C$505,MATCH($C1459,'Phản ánh'!$A$6:$A$505,0)),IF($I1459="Công việc",INDEX('Kế hoạch'!$C$6:$C$305,$O1459),""))</f>
      </c>
      <c r="K1459" s="221">
        <f>IF($I1459="Phản ánh",INDEX('Phản ánh'!$K$6:$K$505,MATCH($C1459,'Phản ánh'!$A$6:$A$505,0))&amp;"",IF($I1459="Công việc",INDEX('Kế hoạch'!$N$6:$N$305,$O1459)&amp;"",""))</f>
      </c>
      <c r="L1459" s="220">
        <f>IF(OR($C1459="",N($B1459)=0),"",IF(AND($I1459="Phản ánh",$E1459="Đã xử lý"),INDEX('Phản ánh'!$U$6:$U$505,MATCH($C1459,'Phản ánh'!$A$6:$A$505,0)),IF(AND($I1459="Công việc",OR($E1459="Hoàn thành",$E1459="Hoàn thành kỳ")),IF(INDEX('Kế hoạch'!$B$6:$B$305,$O1459)="Đột xuất",INDEX('Kế hoạch'!$AY$6:$AY$305,$O1459),IF(N($P1459)=0,"",IF(INT($B1459)&lt;$P1459,$P1459,IF($Q1459&gt;0,$P1459+ROUND((INT($B1459)-$P1459)/$Q1459,0)*$Q1459,IF($R1459&gt;0,EDATE($P1459,ROUND((DATEDIF($P1459,INT($B1459),"m")+(INT($B1459)-EDATE($P1459,DATEDIF($P1459,INT($B1459),"m")))/(EDATE($P1459,DATEDIF($P1459,INT($B1459),"m")+1)-EDATE($P1459,DATEDIF($P1459,INT($B1459),"m"))))/$R1459,0)*$R1459),$P1459))))),"")))</f>
      </c>
      <c r="M1459" s="223">
        <f>IF(OR($C1459="",N($L1459)=0,N($B1459)=0),"",IF(IF(MOD($L1459,1)=0,INT($B1459),$B1459)&lt;=$L1459,"Đúng hạn","Trễ hạn"))</f>
      </c>
      <c r="N1459" s="225">
        <f>IF($C1459="","",ROW())</f>
      </c>
      <c r="O1459" s="225">
        <f>IF($I1459="Công việc",MATCH($C1459,'Kế hoạch'!$A$6:$A$305,0),"")</f>
      </c>
      <c r="P1459" s="234">
        <f>IF($O1459="","",INDEX('Kế hoạch'!$I$6:$I$305,$O1459))</f>
      </c>
      <c r="Q1459" s="225">
        <f>IF($O1459="","",INDEX('Kế hoạch'!$AJ$6:$AJ$305,$O1459))</f>
      </c>
      <c r="R1459" s="225">
        <f>IF($O1459="","",INDEX('Kế hoạch'!$AK$6:$AK$305,$O1459))</f>
      </c>
    </row>
    <row r="1460">
      <c r="A1460" s="223">
        <f>IF($C1460="","",COUNTIF($C$6:$C1460,"?*"))</f>
      </c>
      <c r="B1460" s="217"/>
      <c r="C1460" s="216"/>
      <c r="D1460" s="240"/>
      <c r="E1460" s="218"/>
      <c r="F1460" s="218"/>
      <c r="G1460" s="218"/>
      <c r="H1460" s="219"/>
      <c r="I1460" s="223">
        <f>IF($C1460="","",IF(ISNUMBER(MATCH($C1460,'Phản ánh'!$A$6:$A$505,0)),"Phản ánh",IF(ISNUMBER(MATCH($C1460,'Kế hoạch'!$A$6:$A$305,0)),"Công việc","Mã chưa có")))</f>
      </c>
      <c r="J1460" s="221">
        <f>IF($I1460="Phản ánh",INDEX('Phản ánh'!$C$6:$C$505,MATCH($C1460,'Phản ánh'!$A$6:$A$505,0)),IF($I1460="Công việc",INDEX('Kế hoạch'!$C$6:$C$305,$O1460),""))</f>
      </c>
      <c r="K1460" s="221">
        <f>IF($I1460="Phản ánh",INDEX('Phản ánh'!$K$6:$K$505,MATCH($C1460,'Phản ánh'!$A$6:$A$505,0))&amp;"",IF($I1460="Công việc",INDEX('Kế hoạch'!$N$6:$N$305,$O1460)&amp;"",""))</f>
      </c>
      <c r="L1460" s="220">
        <f>IF(OR($C1460="",N($B1460)=0),"",IF(AND($I1460="Phản ánh",$E1460="Đã xử lý"),INDEX('Phản ánh'!$U$6:$U$505,MATCH($C1460,'Phản ánh'!$A$6:$A$505,0)),IF(AND($I1460="Công việc",OR($E1460="Hoàn thành",$E1460="Hoàn thành kỳ")),IF(INDEX('Kế hoạch'!$B$6:$B$305,$O1460)="Đột xuất",INDEX('Kế hoạch'!$AY$6:$AY$305,$O1460),IF(N($P1460)=0,"",IF(INT($B1460)&lt;$P1460,$P1460,IF($Q1460&gt;0,$P1460+ROUND((INT($B1460)-$P1460)/$Q1460,0)*$Q1460,IF($R1460&gt;0,EDATE($P1460,ROUND((DATEDIF($P1460,INT($B1460),"m")+(INT($B1460)-EDATE($P1460,DATEDIF($P1460,INT($B1460),"m")))/(EDATE($P1460,DATEDIF($P1460,INT($B1460),"m")+1)-EDATE($P1460,DATEDIF($P1460,INT($B1460),"m"))))/$R1460,0)*$R1460),$P1460))))),"")))</f>
      </c>
      <c r="M1460" s="223">
        <f>IF(OR($C1460="",N($L1460)=0,N($B1460)=0),"",IF(IF(MOD($L1460,1)=0,INT($B1460),$B1460)&lt;=$L1460,"Đúng hạn","Trễ hạn"))</f>
      </c>
      <c r="N1460" s="225">
        <f>IF($C1460="","",ROW())</f>
      </c>
      <c r="O1460" s="225">
        <f>IF($I1460="Công việc",MATCH($C1460,'Kế hoạch'!$A$6:$A$305,0),"")</f>
      </c>
      <c r="P1460" s="234">
        <f>IF($O1460="","",INDEX('Kế hoạch'!$I$6:$I$305,$O1460))</f>
      </c>
      <c r="Q1460" s="225">
        <f>IF($O1460="","",INDEX('Kế hoạch'!$AJ$6:$AJ$305,$O1460))</f>
      </c>
      <c r="R1460" s="225">
        <f>IF($O1460="","",INDEX('Kế hoạch'!$AK$6:$AK$305,$O1460))</f>
      </c>
    </row>
    <row r="1461">
      <c r="A1461" s="223">
        <f>IF($C1461="","",COUNTIF($C$6:$C1461,"?*"))</f>
      </c>
      <c r="B1461" s="217"/>
      <c r="C1461" s="216"/>
      <c r="D1461" s="240"/>
      <c r="E1461" s="218"/>
      <c r="F1461" s="218"/>
      <c r="G1461" s="218"/>
      <c r="H1461" s="219"/>
      <c r="I1461" s="223">
        <f>IF($C1461="","",IF(ISNUMBER(MATCH($C1461,'Phản ánh'!$A$6:$A$505,0)),"Phản ánh",IF(ISNUMBER(MATCH($C1461,'Kế hoạch'!$A$6:$A$305,0)),"Công việc","Mã chưa có")))</f>
      </c>
      <c r="J1461" s="221">
        <f>IF($I1461="Phản ánh",INDEX('Phản ánh'!$C$6:$C$505,MATCH($C1461,'Phản ánh'!$A$6:$A$505,0)),IF($I1461="Công việc",INDEX('Kế hoạch'!$C$6:$C$305,$O1461),""))</f>
      </c>
      <c r="K1461" s="221">
        <f>IF($I1461="Phản ánh",INDEX('Phản ánh'!$K$6:$K$505,MATCH($C1461,'Phản ánh'!$A$6:$A$505,0))&amp;"",IF($I1461="Công việc",INDEX('Kế hoạch'!$N$6:$N$305,$O1461)&amp;"",""))</f>
      </c>
      <c r="L1461" s="220">
        <f>IF(OR($C1461="",N($B1461)=0),"",IF(AND($I1461="Phản ánh",$E1461="Đã xử lý"),INDEX('Phản ánh'!$U$6:$U$505,MATCH($C1461,'Phản ánh'!$A$6:$A$505,0)),IF(AND($I1461="Công việc",OR($E1461="Hoàn thành",$E1461="Hoàn thành kỳ")),IF(INDEX('Kế hoạch'!$B$6:$B$305,$O1461)="Đột xuất",INDEX('Kế hoạch'!$AY$6:$AY$305,$O1461),IF(N($P1461)=0,"",IF(INT($B1461)&lt;$P1461,$P1461,IF($Q1461&gt;0,$P1461+ROUND((INT($B1461)-$P1461)/$Q1461,0)*$Q1461,IF($R1461&gt;0,EDATE($P1461,ROUND((DATEDIF($P1461,INT($B1461),"m")+(INT($B1461)-EDATE($P1461,DATEDIF($P1461,INT($B1461),"m")))/(EDATE($P1461,DATEDIF($P1461,INT($B1461),"m")+1)-EDATE($P1461,DATEDIF($P1461,INT($B1461),"m"))))/$R1461,0)*$R1461),$P1461))))),"")))</f>
      </c>
      <c r="M1461" s="223">
        <f>IF(OR($C1461="",N($L1461)=0,N($B1461)=0),"",IF(IF(MOD($L1461,1)=0,INT($B1461),$B1461)&lt;=$L1461,"Đúng hạn","Trễ hạn"))</f>
      </c>
      <c r="N1461" s="225">
        <f>IF($C1461="","",ROW())</f>
      </c>
      <c r="O1461" s="225">
        <f>IF($I1461="Công việc",MATCH($C1461,'Kế hoạch'!$A$6:$A$305,0),"")</f>
      </c>
      <c r="P1461" s="234">
        <f>IF($O1461="","",INDEX('Kế hoạch'!$I$6:$I$305,$O1461))</f>
      </c>
      <c r="Q1461" s="225">
        <f>IF($O1461="","",INDEX('Kế hoạch'!$AJ$6:$AJ$305,$O1461))</f>
      </c>
      <c r="R1461" s="225">
        <f>IF($O1461="","",INDEX('Kế hoạch'!$AK$6:$AK$305,$O1461))</f>
      </c>
    </row>
    <row r="1462">
      <c r="A1462" s="223">
        <f>IF($C1462="","",COUNTIF($C$6:$C1462,"?*"))</f>
      </c>
      <c r="B1462" s="217"/>
      <c r="C1462" s="216"/>
      <c r="D1462" s="240"/>
      <c r="E1462" s="218"/>
      <c r="F1462" s="218"/>
      <c r="G1462" s="218"/>
      <c r="H1462" s="219"/>
      <c r="I1462" s="223">
        <f>IF($C1462="","",IF(ISNUMBER(MATCH($C1462,'Phản ánh'!$A$6:$A$505,0)),"Phản ánh",IF(ISNUMBER(MATCH($C1462,'Kế hoạch'!$A$6:$A$305,0)),"Công việc","Mã chưa có")))</f>
      </c>
      <c r="J1462" s="221">
        <f>IF($I1462="Phản ánh",INDEX('Phản ánh'!$C$6:$C$505,MATCH($C1462,'Phản ánh'!$A$6:$A$505,0)),IF($I1462="Công việc",INDEX('Kế hoạch'!$C$6:$C$305,$O1462),""))</f>
      </c>
      <c r="K1462" s="221">
        <f>IF($I1462="Phản ánh",INDEX('Phản ánh'!$K$6:$K$505,MATCH($C1462,'Phản ánh'!$A$6:$A$505,0))&amp;"",IF($I1462="Công việc",INDEX('Kế hoạch'!$N$6:$N$305,$O1462)&amp;"",""))</f>
      </c>
      <c r="L1462" s="220">
        <f>IF(OR($C1462="",N($B1462)=0),"",IF(AND($I1462="Phản ánh",$E1462="Đã xử lý"),INDEX('Phản ánh'!$U$6:$U$505,MATCH($C1462,'Phản ánh'!$A$6:$A$505,0)),IF(AND($I1462="Công việc",OR($E1462="Hoàn thành",$E1462="Hoàn thành kỳ")),IF(INDEX('Kế hoạch'!$B$6:$B$305,$O1462)="Đột xuất",INDEX('Kế hoạch'!$AY$6:$AY$305,$O1462),IF(N($P1462)=0,"",IF(INT($B1462)&lt;$P1462,$P1462,IF($Q1462&gt;0,$P1462+ROUND((INT($B1462)-$P1462)/$Q1462,0)*$Q1462,IF($R1462&gt;0,EDATE($P1462,ROUND((DATEDIF($P1462,INT($B1462),"m")+(INT($B1462)-EDATE($P1462,DATEDIF($P1462,INT($B1462),"m")))/(EDATE($P1462,DATEDIF($P1462,INT($B1462),"m")+1)-EDATE($P1462,DATEDIF($P1462,INT($B1462),"m"))))/$R1462,0)*$R1462),$P1462))))),"")))</f>
      </c>
      <c r="M1462" s="223">
        <f>IF(OR($C1462="",N($L1462)=0,N($B1462)=0),"",IF(IF(MOD($L1462,1)=0,INT($B1462),$B1462)&lt;=$L1462,"Đúng hạn","Trễ hạn"))</f>
      </c>
      <c r="N1462" s="225">
        <f>IF($C1462="","",ROW())</f>
      </c>
      <c r="O1462" s="225">
        <f>IF($I1462="Công việc",MATCH($C1462,'Kế hoạch'!$A$6:$A$305,0),"")</f>
      </c>
      <c r="P1462" s="234">
        <f>IF($O1462="","",INDEX('Kế hoạch'!$I$6:$I$305,$O1462))</f>
      </c>
      <c r="Q1462" s="225">
        <f>IF($O1462="","",INDEX('Kế hoạch'!$AJ$6:$AJ$305,$O1462))</f>
      </c>
      <c r="R1462" s="225">
        <f>IF($O1462="","",INDEX('Kế hoạch'!$AK$6:$AK$305,$O1462))</f>
      </c>
    </row>
    <row r="1463">
      <c r="A1463" s="223">
        <f>IF($C1463="","",COUNTIF($C$6:$C1463,"?*"))</f>
      </c>
      <c r="B1463" s="217"/>
      <c r="C1463" s="216"/>
      <c r="D1463" s="240"/>
      <c r="E1463" s="218"/>
      <c r="F1463" s="218"/>
      <c r="G1463" s="218"/>
      <c r="H1463" s="219"/>
      <c r="I1463" s="223">
        <f>IF($C1463="","",IF(ISNUMBER(MATCH($C1463,'Phản ánh'!$A$6:$A$505,0)),"Phản ánh",IF(ISNUMBER(MATCH($C1463,'Kế hoạch'!$A$6:$A$305,0)),"Công việc","Mã chưa có")))</f>
      </c>
      <c r="J1463" s="221">
        <f>IF($I1463="Phản ánh",INDEX('Phản ánh'!$C$6:$C$505,MATCH($C1463,'Phản ánh'!$A$6:$A$505,0)),IF($I1463="Công việc",INDEX('Kế hoạch'!$C$6:$C$305,$O1463),""))</f>
      </c>
      <c r="K1463" s="221">
        <f>IF($I1463="Phản ánh",INDEX('Phản ánh'!$K$6:$K$505,MATCH($C1463,'Phản ánh'!$A$6:$A$505,0))&amp;"",IF($I1463="Công việc",INDEX('Kế hoạch'!$N$6:$N$305,$O1463)&amp;"",""))</f>
      </c>
      <c r="L1463" s="220">
        <f>IF(OR($C1463="",N($B1463)=0),"",IF(AND($I1463="Phản ánh",$E1463="Đã xử lý"),INDEX('Phản ánh'!$U$6:$U$505,MATCH($C1463,'Phản ánh'!$A$6:$A$505,0)),IF(AND($I1463="Công việc",OR($E1463="Hoàn thành",$E1463="Hoàn thành kỳ")),IF(INDEX('Kế hoạch'!$B$6:$B$305,$O1463)="Đột xuất",INDEX('Kế hoạch'!$AY$6:$AY$305,$O1463),IF(N($P1463)=0,"",IF(INT($B1463)&lt;$P1463,$P1463,IF($Q1463&gt;0,$P1463+ROUND((INT($B1463)-$P1463)/$Q1463,0)*$Q1463,IF($R1463&gt;0,EDATE($P1463,ROUND((DATEDIF($P1463,INT($B1463),"m")+(INT($B1463)-EDATE($P1463,DATEDIF($P1463,INT($B1463),"m")))/(EDATE($P1463,DATEDIF($P1463,INT($B1463),"m")+1)-EDATE($P1463,DATEDIF($P1463,INT($B1463),"m"))))/$R1463,0)*$R1463),$P1463))))),"")))</f>
      </c>
      <c r="M1463" s="223">
        <f>IF(OR($C1463="",N($L1463)=0,N($B1463)=0),"",IF(IF(MOD($L1463,1)=0,INT($B1463),$B1463)&lt;=$L1463,"Đúng hạn","Trễ hạn"))</f>
      </c>
      <c r="N1463" s="225">
        <f>IF($C1463="","",ROW())</f>
      </c>
      <c r="O1463" s="225">
        <f>IF($I1463="Công việc",MATCH($C1463,'Kế hoạch'!$A$6:$A$305,0),"")</f>
      </c>
      <c r="P1463" s="234">
        <f>IF($O1463="","",INDEX('Kế hoạch'!$I$6:$I$305,$O1463))</f>
      </c>
      <c r="Q1463" s="225">
        <f>IF($O1463="","",INDEX('Kế hoạch'!$AJ$6:$AJ$305,$O1463))</f>
      </c>
      <c r="R1463" s="225">
        <f>IF($O1463="","",INDEX('Kế hoạch'!$AK$6:$AK$305,$O1463))</f>
      </c>
    </row>
    <row r="1464">
      <c r="A1464" s="223">
        <f>IF($C1464="","",COUNTIF($C$6:$C1464,"?*"))</f>
      </c>
      <c r="B1464" s="217"/>
      <c r="C1464" s="216"/>
      <c r="D1464" s="240"/>
      <c r="E1464" s="218"/>
      <c r="F1464" s="218"/>
      <c r="G1464" s="218"/>
      <c r="H1464" s="219"/>
      <c r="I1464" s="223">
        <f>IF($C1464="","",IF(ISNUMBER(MATCH($C1464,'Phản ánh'!$A$6:$A$505,0)),"Phản ánh",IF(ISNUMBER(MATCH($C1464,'Kế hoạch'!$A$6:$A$305,0)),"Công việc","Mã chưa có")))</f>
      </c>
      <c r="J1464" s="221">
        <f>IF($I1464="Phản ánh",INDEX('Phản ánh'!$C$6:$C$505,MATCH($C1464,'Phản ánh'!$A$6:$A$505,0)),IF($I1464="Công việc",INDEX('Kế hoạch'!$C$6:$C$305,$O1464),""))</f>
      </c>
      <c r="K1464" s="221">
        <f>IF($I1464="Phản ánh",INDEX('Phản ánh'!$K$6:$K$505,MATCH($C1464,'Phản ánh'!$A$6:$A$505,0))&amp;"",IF($I1464="Công việc",INDEX('Kế hoạch'!$N$6:$N$305,$O1464)&amp;"",""))</f>
      </c>
      <c r="L1464" s="220">
        <f>IF(OR($C1464="",N($B1464)=0),"",IF(AND($I1464="Phản ánh",$E1464="Đã xử lý"),INDEX('Phản ánh'!$U$6:$U$505,MATCH($C1464,'Phản ánh'!$A$6:$A$505,0)),IF(AND($I1464="Công việc",OR($E1464="Hoàn thành",$E1464="Hoàn thành kỳ")),IF(INDEX('Kế hoạch'!$B$6:$B$305,$O1464)="Đột xuất",INDEX('Kế hoạch'!$AY$6:$AY$305,$O1464),IF(N($P1464)=0,"",IF(INT($B1464)&lt;$P1464,$P1464,IF($Q1464&gt;0,$P1464+ROUND((INT($B1464)-$P1464)/$Q1464,0)*$Q1464,IF($R1464&gt;0,EDATE($P1464,ROUND((DATEDIF($P1464,INT($B1464),"m")+(INT($B1464)-EDATE($P1464,DATEDIF($P1464,INT($B1464),"m")))/(EDATE($P1464,DATEDIF($P1464,INT($B1464),"m")+1)-EDATE($P1464,DATEDIF($P1464,INT($B1464),"m"))))/$R1464,0)*$R1464),$P1464))))),"")))</f>
      </c>
      <c r="M1464" s="223">
        <f>IF(OR($C1464="",N($L1464)=0,N($B1464)=0),"",IF(IF(MOD($L1464,1)=0,INT($B1464),$B1464)&lt;=$L1464,"Đúng hạn","Trễ hạn"))</f>
      </c>
      <c r="N1464" s="225">
        <f>IF($C1464="","",ROW())</f>
      </c>
      <c r="O1464" s="225">
        <f>IF($I1464="Công việc",MATCH($C1464,'Kế hoạch'!$A$6:$A$305,0),"")</f>
      </c>
      <c r="P1464" s="234">
        <f>IF($O1464="","",INDEX('Kế hoạch'!$I$6:$I$305,$O1464))</f>
      </c>
      <c r="Q1464" s="225">
        <f>IF($O1464="","",INDEX('Kế hoạch'!$AJ$6:$AJ$305,$O1464))</f>
      </c>
      <c r="R1464" s="225">
        <f>IF($O1464="","",INDEX('Kế hoạch'!$AK$6:$AK$305,$O1464))</f>
      </c>
    </row>
    <row r="1465">
      <c r="A1465" s="223">
        <f>IF($C1465="","",COUNTIF($C$6:$C1465,"?*"))</f>
      </c>
      <c r="B1465" s="217"/>
      <c r="C1465" s="216"/>
      <c r="D1465" s="240"/>
      <c r="E1465" s="218"/>
      <c r="F1465" s="218"/>
      <c r="G1465" s="218"/>
      <c r="H1465" s="219"/>
      <c r="I1465" s="223">
        <f>IF($C1465="","",IF(ISNUMBER(MATCH($C1465,'Phản ánh'!$A$6:$A$505,0)),"Phản ánh",IF(ISNUMBER(MATCH($C1465,'Kế hoạch'!$A$6:$A$305,0)),"Công việc","Mã chưa có")))</f>
      </c>
      <c r="J1465" s="221">
        <f>IF($I1465="Phản ánh",INDEX('Phản ánh'!$C$6:$C$505,MATCH($C1465,'Phản ánh'!$A$6:$A$505,0)),IF($I1465="Công việc",INDEX('Kế hoạch'!$C$6:$C$305,$O1465),""))</f>
      </c>
      <c r="K1465" s="221">
        <f>IF($I1465="Phản ánh",INDEX('Phản ánh'!$K$6:$K$505,MATCH($C1465,'Phản ánh'!$A$6:$A$505,0))&amp;"",IF($I1465="Công việc",INDEX('Kế hoạch'!$N$6:$N$305,$O1465)&amp;"",""))</f>
      </c>
      <c r="L1465" s="220">
        <f>IF(OR($C1465="",N($B1465)=0),"",IF(AND($I1465="Phản ánh",$E1465="Đã xử lý"),INDEX('Phản ánh'!$U$6:$U$505,MATCH($C1465,'Phản ánh'!$A$6:$A$505,0)),IF(AND($I1465="Công việc",OR($E1465="Hoàn thành",$E1465="Hoàn thành kỳ")),IF(INDEX('Kế hoạch'!$B$6:$B$305,$O1465)="Đột xuất",INDEX('Kế hoạch'!$AY$6:$AY$305,$O1465),IF(N($P1465)=0,"",IF(INT($B1465)&lt;$P1465,$P1465,IF($Q1465&gt;0,$P1465+ROUND((INT($B1465)-$P1465)/$Q1465,0)*$Q1465,IF($R1465&gt;0,EDATE($P1465,ROUND((DATEDIF($P1465,INT($B1465),"m")+(INT($B1465)-EDATE($P1465,DATEDIF($P1465,INT($B1465),"m")))/(EDATE($P1465,DATEDIF($P1465,INT($B1465),"m")+1)-EDATE($P1465,DATEDIF($P1465,INT($B1465),"m"))))/$R1465,0)*$R1465),$P1465))))),"")))</f>
      </c>
      <c r="M1465" s="223">
        <f>IF(OR($C1465="",N($L1465)=0,N($B1465)=0),"",IF(IF(MOD($L1465,1)=0,INT($B1465),$B1465)&lt;=$L1465,"Đúng hạn","Trễ hạn"))</f>
      </c>
      <c r="N1465" s="225">
        <f>IF($C1465="","",ROW())</f>
      </c>
      <c r="O1465" s="225">
        <f>IF($I1465="Công việc",MATCH($C1465,'Kế hoạch'!$A$6:$A$305,0),"")</f>
      </c>
      <c r="P1465" s="234">
        <f>IF($O1465="","",INDEX('Kế hoạch'!$I$6:$I$305,$O1465))</f>
      </c>
      <c r="Q1465" s="225">
        <f>IF($O1465="","",INDEX('Kế hoạch'!$AJ$6:$AJ$305,$O1465))</f>
      </c>
      <c r="R1465" s="225">
        <f>IF($O1465="","",INDEX('Kế hoạch'!$AK$6:$AK$305,$O1465))</f>
      </c>
    </row>
    <row r="1466">
      <c r="A1466" s="223">
        <f>IF($C1466="","",COUNTIF($C$6:$C1466,"?*"))</f>
      </c>
      <c r="B1466" s="217"/>
      <c r="C1466" s="216"/>
      <c r="D1466" s="240"/>
      <c r="E1466" s="218"/>
      <c r="F1466" s="218"/>
      <c r="G1466" s="218"/>
      <c r="H1466" s="219"/>
      <c r="I1466" s="223">
        <f>IF($C1466="","",IF(ISNUMBER(MATCH($C1466,'Phản ánh'!$A$6:$A$505,0)),"Phản ánh",IF(ISNUMBER(MATCH($C1466,'Kế hoạch'!$A$6:$A$305,0)),"Công việc","Mã chưa có")))</f>
      </c>
      <c r="J1466" s="221">
        <f>IF($I1466="Phản ánh",INDEX('Phản ánh'!$C$6:$C$505,MATCH($C1466,'Phản ánh'!$A$6:$A$505,0)),IF($I1466="Công việc",INDEX('Kế hoạch'!$C$6:$C$305,$O1466),""))</f>
      </c>
      <c r="K1466" s="221">
        <f>IF($I1466="Phản ánh",INDEX('Phản ánh'!$K$6:$K$505,MATCH($C1466,'Phản ánh'!$A$6:$A$505,0))&amp;"",IF($I1466="Công việc",INDEX('Kế hoạch'!$N$6:$N$305,$O1466)&amp;"",""))</f>
      </c>
      <c r="L1466" s="220">
        <f>IF(OR($C1466="",N($B1466)=0),"",IF(AND($I1466="Phản ánh",$E1466="Đã xử lý"),INDEX('Phản ánh'!$U$6:$U$505,MATCH($C1466,'Phản ánh'!$A$6:$A$505,0)),IF(AND($I1466="Công việc",OR($E1466="Hoàn thành",$E1466="Hoàn thành kỳ")),IF(INDEX('Kế hoạch'!$B$6:$B$305,$O1466)="Đột xuất",INDEX('Kế hoạch'!$AY$6:$AY$305,$O1466),IF(N($P1466)=0,"",IF(INT($B1466)&lt;$P1466,$P1466,IF($Q1466&gt;0,$P1466+ROUND((INT($B1466)-$P1466)/$Q1466,0)*$Q1466,IF($R1466&gt;0,EDATE($P1466,ROUND((DATEDIF($P1466,INT($B1466),"m")+(INT($B1466)-EDATE($P1466,DATEDIF($P1466,INT($B1466),"m")))/(EDATE($P1466,DATEDIF($P1466,INT($B1466),"m")+1)-EDATE($P1466,DATEDIF($P1466,INT($B1466),"m"))))/$R1466,0)*$R1466),$P1466))))),"")))</f>
      </c>
      <c r="M1466" s="223">
        <f>IF(OR($C1466="",N($L1466)=0,N($B1466)=0),"",IF(IF(MOD($L1466,1)=0,INT($B1466),$B1466)&lt;=$L1466,"Đúng hạn","Trễ hạn"))</f>
      </c>
      <c r="N1466" s="225">
        <f>IF($C1466="","",ROW())</f>
      </c>
      <c r="O1466" s="225">
        <f>IF($I1466="Công việc",MATCH($C1466,'Kế hoạch'!$A$6:$A$305,0),"")</f>
      </c>
      <c r="P1466" s="234">
        <f>IF($O1466="","",INDEX('Kế hoạch'!$I$6:$I$305,$O1466))</f>
      </c>
      <c r="Q1466" s="225">
        <f>IF($O1466="","",INDEX('Kế hoạch'!$AJ$6:$AJ$305,$O1466))</f>
      </c>
      <c r="R1466" s="225">
        <f>IF($O1466="","",INDEX('Kế hoạch'!$AK$6:$AK$305,$O1466))</f>
      </c>
    </row>
    <row r="1467">
      <c r="A1467" s="223">
        <f>IF($C1467="","",COUNTIF($C$6:$C1467,"?*"))</f>
      </c>
      <c r="B1467" s="217"/>
      <c r="C1467" s="216"/>
      <c r="D1467" s="240"/>
      <c r="E1467" s="218"/>
      <c r="F1467" s="218"/>
      <c r="G1467" s="218"/>
      <c r="H1467" s="219"/>
      <c r="I1467" s="223">
        <f>IF($C1467="","",IF(ISNUMBER(MATCH($C1467,'Phản ánh'!$A$6:$A$505,0)),"Phản ánh",IF(ISNUMBER(MATCH($C1467,'Kế hoạch'!$A$6:$A$305,0)),"Công việc","Mã chưa có")))</f>
      </c>
      <c r="J1467" s="221">
        <f>IF($I1467="Phản ánh",INDEX('Phản ánh'!$C$6:$C$505,MATCH($C1467,'Phản ánh'!$A$6:$A$505,0)),IF($I1467="Công việc",INDEX('Kế hoạch'!$C$6:$C$305,$O1467),""))</f>
      </c>
      <c r="K1467" s="221">
        <f>IF($I1467="Phản ánh",INDEX('Phản ánh'!$K$6:$K$505,MATCH($C1467,'Phản ánh'!$A$6:$A$505,0))&amp;"",IF($I1467="Công việc",INDEX('Kế hoạch'!$N$6:$N$305,$O1467)&amp;"",""))</f>
      </c>
      <c r="L1467" s="220">
        <f>IF(OR($C1467="",N($B1467)=0),"",IF(AND($I1467="Phản ánh",$E1467="Đã xử lý"),INDEX('Phản ánh'!$U$6:$U$505,MATCH($C1467,'Phản ánh'!$A$6:$A$505,0)),IF(AND($I1467="Công việc",OR($E1467="Hoàn thành",$E1467="Hoàn thành kỳ")),IF(INDEX('Kế hoạch'!$B$6:$B$305,$O1467)="Đột xuất",INDEX('Kế hoạch'!$AY$6:$AY$305,$O1467),IF(N($P1467)=0,"",IF(INT($B1467)&lt;$P1467,$P1467,IF($Q1467&gt;0,$P1467+ROUND((INT($B1467)-$P1467)/$Q1467,0)*$Q1467,IF($R1467&gt;0,EDATE($P1467,ROUND((DATEDIF($P1467,INT($B1467),"m")+(INT($B1467)-EDATE($P1467,DATEDIF($P1467,INT($B1467),"m")))/(EDATE($P1467,DATEDIF($P1467,INT($B1467),"m")+1)-EDATE($P1467,DATEDIF($P1467,INT($B1467),"m"))))/$R1467,0)*$R1467),$P1467))))),"")))</f>
      </c>
      <c r="M1467" s="223">
        <f>IF(OR($C1467="",N($L1467)=0,N($B1467)=0),"",IF(IF(MOD($L1467,1)=0,INT($B1467),$B1467)&lt;=$L1467,"Đúng hạn","Trễ hạn"))</f>
      </c>
      <c r="N1467" s="225">
        <f>IF($C1467="","",ROW())</f>
      </c>
      <c r="O1467" s="225">
        <f>IF($I1467="Công việc",MATCH($C1467,'Kế hoạch'!$A$6:$A$305,0),"")</f>
      </c>
      <c r="P1467" s="234">
        <f>IF($O1467="","",INDEX('Kế hoạch'!$I$6:$I$305,$O1467))</f>
      </c>
      <c r="Q1467" s="225">
        <f>IF($O1467="","",INDEX('Kế hoạch'!$AJ$6:$AJ$305,$O1467))</f>
      </c>
      <c r="R1467" s="225">
        <f>IF($O1467="","",INDEX('Kế hoạch'!$AK$6:$AK$305,$O1467))</f>
      </c>
    </row>
    <row r="1468">
      <c r="A1468" s="223">
        <f>IF($C1468="","",COUNTIF($C$6:$C1468,"?*"))</f>
      </c>
      <c r="B1468" s="217"/>
      <c r="C1468" s="216"/>
      <c r="D1468" s="240"/>
      <c r="E1468" s="218"/>
      <c r="F1468" s="218"/>
      <c r="G1468" s="218"/>
      <c r="H1468" s="219"/>
      <c r="I1468" s="223">
        <f>IF($C1468="","",IF(ISNUMBER(MATCH($C1468,'Phản ánh'!$A$6:$A$505,0)),"Phản ánh",IF(ISNUMBER(MATCH($C1468,'Kế hoạch'!$A$6:$A$305,0)),"Công việc","Mã chưa có")))</f>
      </c>
      <c r="J1468" s="221">
        <f>IF($I1468="Phản ánh",INDEX('Phản ánh'!$C$6:$C$505,MATCH($C1468,'Phản ánh'!$A$6:$A$505,0)),IF($I1468="Công việc",INDEX('Kế hoạch'!$C$6:$C$305,$O1468),""))</f>
      </c>
      <c r="K1468" s="221">
        <f>IF($I1468="Phản ánh",INDEX('Phản ánh'!$K$6:$K$505,MATCH($C1468,'Phản ánh'!$A$6:$A$505,0))&amp;"",IF($I1468="Công việc",INDEX('Kế hoạch'!$N$6:$N$305,$O1468)&amp;"",""))</f>
      </c>
      <c r="L1468" s="220">
        <f>IF(OR($C1468="",N($B1468)=0),"",IF(AND($I1468="Phản ánh",$E1468="Đã xử lý"),INDEX('Phản ánh'!$U$6:$U$505,MATCH($C1468,'Phản ánh'!$A$6:$A$505,0)),IF(AND($I1468="Công việc",OR($E1468="Hoàn thành",$E1468="Hoàn thành kỳ")),IF(INDEX('Kế hoạch'!$B$6:$B$305,$O1468)="Đột xuất",INDEX('Kế hoạch'!$AY$6:$AY$305,$O1468),IF(N($P1468)=0,"",IF(INT($B1468)&lt;$P1468,$P1468,IF($Q1468&gt;0,$P1468+ROUND((INT($B1468)-$P1468)/$Q1468,0)*$Q1468,IF($R1468&gt;0,EDATE($P1468,ROUND((DATEDIF($P1468,INT($B1468),"m")+(INT($B1468)-EDATE($P1468,DATEDIF($P1468,INT($B1468),"m")))/(EDATE($P1468,DATEDIF($P1468,INT($B1468),"m")+1)-EDATE($P1468,DATEDIF($P1468,INT($B1468),"m"))))/$R1468,0)*$R1468),$P1468))))),"")))</f>
      </c>
      <c r="M1468" s="223">
        <f>IF(OR($C1468="",N($L1468)=0,N($B1468)=0),"",IF(IF(MOD($L1468,1)=0,INT($B1468),$B1468)&lt;=$L1468,"Đúng hạn","Trễ hạn"))</f>
      </c>
      <c r="N1468" s="225">
        <f>IF($C1468="","",ROW())</f>
      </c>
      <c r="O1468" s="225">
        <f>IF($I1468="Công việc",MATCH($C1468,'Kế hoạch'!$A$6:$A$305,0),"")</f>
      </c>
      <c r="P1468" s="234">
        <f>IF($O1468="","",INDEX('Kế hoạch'!$I$6:$I$305,$O1468))</f>
      </c>
      <c r="Q1468" s="225">
        <f>IF($O1468="","",INDEX('Kế hoạch'!$AJ$6:$AJ$305,$O1468))</f>
      </c>
      <c r="R1468" s="225">
        <f>IF($O1468="","",INDEX('Kế hoạch'!$AK$6:$AK$305,$O1468))</f>
      </c>
    </row>
    <row r="1469">
      <c r="A1469" s="223">
        <f>IF($C1469="","",COUNTIF($C$6:$C1469,"?*"))</f>
      </c>
      <c r="B1469" s="217"/>
      <c r="C1469" s="216"/>
      <c r="D1469" s="240"/>
      <c r="E1469" s="218"/>
      <c r="F1469" s="218"/>
      <c r="G1469" s="218"/>
      <c r="H1469" s="219"/>
      <c r="I1469" s="223">
        <f>IF($C1469="","",IF(ISNUMBER(MATCH($C1469,'Phản ánh'!$A$6:$A$505,0)),"Phản ánh",IF(ISNUMBER(MATCH($C1469,'Kế hoạch'!$A$6:$A$305,0)),"Công việc","Mã chưa có")))</f>
      </c>
      <c r="J1469" s="221">
        <f>IF($I1469="Phản ánh",INDEX('Phản ánh'!$C$6:$C$505,MATCH($C1469,'Phản ánh'!$A$6:$A$505,0)),IF($I1469="Công việc",INDEX('Kế hoạch'!$C$6:$C$305,$O1469),""))</f>
      </c>
      <c r="K1469" s="221">
        <f>IF($I1469="Phản ánh",INDEX('Phản ánh'!$K$6:$K$505,MATCH($C1469,'Phản ánh'!$A$6:$A$505,0))&amp;"",IF($I1469="Công việc",INDEX('Kế hoạch'!$N$6:$N$305,$O1469)&amp;"",""))</f>
      </c>
      <c r="L1469" s="220">
        <f>IF(OR($C1469="",N($B1469)=0),"",IF(AND($I1469="Phản ánh",$E1469="Đã xử lý"),INDEX('Phản ánh'!$U$6:$U$505,MATCH($C1469,'Phản ánh'!$A$6:$A$505,0)),IF(AND($I1469="Công việc",OR($E1469="Hoàn thành",$E1469="Hoàn thành kỳ")),IF(INDEX('Kế hoạch'!$B$6:$B$305,$O1469)="Đột xuất",INDEX('Kế hoạch'!$AY$6:$AY$305,$O1469),IF(N($P1469)=0,"",IF(INT($B1469)&lt;$P1469,$P1469,IF($Q1469&gt;0,$P1469+ROUND((INT($B1469)-$P1469)/$Q1469,0)*$Q1469,IF($R1469&gt;0,EDATE($P1469,ROUND((DATEDIF($P1469,INT($B1469),"m")+(INT($B1469)-EDATE($P1469,DATEDIF($P1469,INT($B1469),"m")))/(EDATE($P1469,DATEDIF($P1469,INT($B1469),"m")+1)-EDATE($P1469,DATEDIF($P1469,INT($B1469),"m"))))/$R1469,0)*$R1469),$P1469))))),"")))</f>
      </c>
      <c r="M1469" s="223">
        <f>IF(OR($C1469="",N($L1469)=0,N($B1469)=0),"",IF(IF(MOD($L1469,1)=0,INT($B1469),$B1469)&lt;=$L1469,"Đúng hạn","Trễ hạn"))</f>
      </c>
      <c r="N1469" s="225">
        <f>IF($C1469="","",ROW())</f>
      </c>
      <c r="O1469" s="225">
        <f>IF($I1469="Công việc",MATCH($C1469,'Kế hoạch'!$A$6:$A$305,0),"")</f>
      </c>
      <c r="P1469" s="234">
        <f>IF($O1469="","",INDEX('Kế hoạch'!$I$6:$I$305,$O1469))</f>
      </c>
      <c r="Q1469" s="225">
        <f>IF($O1469="","",INDEX('Kế hoạch'!$AJ$6:$AJ$305,$O1469))</f>
      </c>
      <c r="R1469" s="225">
        <f>IF($O1469="","",INDEX('Kế hoạch'!$AK$6:$AK$305,$O1469))</f>
      </c>
    </row>
    <row r="1470">
      <c r="A1470" s="223">
        <f>IF($C1470="","",COUNTIF($C$6:$C1470,"?*"))</f>
      </c>
      <c r="B1470" s="217"/>
      <c r="C1470" s="216"/>
      <c r="D1470" s="240"/>
      <c r="E1470" s="218"/>
      <c r="F1470" s="218"/>
      <c r="G1470" s="218"/>
      <c r="H1470" s="219"/>
      <c r="I1470" s="223">
        <f>IF($C1470="","",IF(ISNUMBER(MATCH($C1470,'Phản ánh'!$A$6:$A$505,0)),"Phản ánh",IF(ISNUMBER(MATCH($C1470,'Kế hoạch'!$A$6:$A$305,0)),"Công việc","Mã chưa có")))</f>
      </c>
      <c r="J1470" s="221">
        <f>IF($I1470="Phản ánh",INDEX('Phản ánh'!$C$6:$C$505,MATCH($C1470,'Phản ánh'!$A$6:$A$505,0)),IF($I1470="Công việc",INDEX('Kế hoạch'!$C$6:$C$305,$O1470),""))</f>
      </c>
      <c r="K1470" s="221">
        <f>IF($I1470="Phản ánh",INDEX('Phản ánh'!$K$6:$K$505,MATCH($C1470,'Phản ánh'!$A$6:$A$505,0))&amp;"",IF($I1470="Công việc",INDEX('Kế hoạch'!$N$6:$N$305,$O1470)&amp;"",""))</f>
      </c>
      <c r="L1470" s="220">
        <f>IF(OR($C1470="",N($B1470)=0),"",IF(AND($I1470="Phản ánh",$E1470="Đã xử lý"),INDEX('Phản ánh'!$U$6:$U$505,MATCH($C1470,'Phản ánh'!$A$6:$A$505,0)),IF(AND($I1470="Công việc",OR($E1470="Hoàn thành",$E1470="Hoàn thành kỳ")),IF(INDEX('Kế hoạch'!$B$6:$B$305,$O1470)="Đột xuất",INDEX('Kế hoạch'!$AY$6:$AY$305,$O1470),IF(N($P1470)=0,"",IF(INT($B1470)&lt;$P1470,$P1470,IF($Q1470&gt;0,$P1470+ROUND((INT($B1470)-$P1470)/$Q1470,0)*$Q1470,IF($R1470&gt;0,EDATE($P1470,ROUND((DATEDIF($P1470,INT($B1470),"m")+(INT($B1470)-EDATE($P1470,DATEDIF($P1470,INT($B1470),"m")))/(EDATE($P1470,DATEDIF($P1470,INT($B1470),"m")+1)-EDATE($P1470,DATEDIF($P1470,INT($B1470),"m"))))/$R1470,0)*$R1470),$P1470))))),"")))</f>
      </c>
      <c r="M1470" s="223">
        <f>IF(OR($C1470="",N($L1470)=0,N($B1470)=0),"",IF(IF(MOD($L1470,1)=0,INT($B1470),$B1470)&lt;=$L1470,"Đúng hạn","Trễ hạn"))</f>
      </c>
      <c r="N1470" s="225">
        <f>IF($C1470="","",ROW())</f>
      </c>
      <c r="O1470" s="225">
        <f>IF($I1470="Công việc",MATCH($C1470,'Kế hoạch'!$A$6:$A$305,0),"")</f>
      </c>
      <c r="P1470" s="234">
        <f>IF($O1470="","",INDEX('Kế hoạch'!$I$6:$I$305,$O1470))</f>
      </c>
      <c r="Q1470" s="225">
        <f>IF($O1470="","",INDEX('Kế hoạch'!$AJ$6:$AJ$305,$O1470))</f>
      </c>
      <c r="R1470" s="225">
        <f>IF($O1470="","",INDEX('Kế hoạch'!$AK$6:$AK$305,$O1470))</f>
      </c>
    </row>
    <row r="1471">
      <c r="A1471" s="223">
        <f>IF($C1471="","",COUNTIF($C$6:$C1471,"?*"))</f>
      </c>
      <c r="B1471" s="217"/>
      <c r="C1471" s="216"/>
      <c r="D1471" s="240"/>
      <c r="E1471" s="218"/>
      <c r="F1471" s="218"/>
      <c r="G1471" s="218"/>
      <c r="H1471" s="219"/>
      <c r="I1471" s="223">
        <f>IF($C1471="","",IF(ISNUMBER(MATCH($C1471,'Phản ánh'!$A$6:$A$505,0)),"Phản ánh",IF(ISNUMBER(MATCH($C1471,'Kế hoạch'!$A$6:$A$305,0)),"Công việc","Mã chưa có")))</f>
      </c>
      <c r="J1471" s="221">
        <f>IF($I1471="Phản ánh",INDEX('Phản ánh'!$C$6:$C$505,MATCH($C1471,'Phản ánh'!$A$6:$A$505,0)),IF($I1471="Công việc",INDEX('Kế hoạch'!$C$6:$C$305,$O1471),""))</f>
      </c>
      <c r="K1471" s="221">
        <f>IF($I1471="Phản ánh",INDEX('Phản ánh'!$K$6:$K$505,MATCH($C1471,'Phản ánh'!$A$6:$A$505,0))&amp;"",IF($I1471="Công việc",INDEX('Kế hoạch'!$N$6:$N$305,$O1471)&amp;"",""))</f>
      </c>
      <c r="L1471" s="220">
        <f>IF(OR($C1471="",N($B1471)=0),"",IF(AND($I1471="Phản ánh",$E1471="Đã xử lý"),INDEX('Phản ánh'!$U$6:$U$505,MATCH($C1471,'Phản ánh'!$A$6:$A$505,0)),IF(AND($I1471="Công việc",OR($E1471="Hoàn thành",$E1471="Hoàn thành kỳ")),IF(INDEX('Kế hoạch'!$B$6:$B$305,$O1471)="Đột xuất",INDEX('Kế hoạch'!$AY$6:$AY$305,$O1471),IF(N($P1471)=0,"",IF(INT($B1471)&lt;$P1471,$P1471,IF($Q1471&gt;0,$P1471+ROUND((INT($B1471)-$P1471)/$Q1471,0)*$Q1471,IF($R1471&gt;0,EDATE($P1471,ROUND((DATEDIF($P1471,INT($B1471),"m")+(INT($B1471)-EDATE($P1471,DATEDIF($P1471,INT($B1471),"m")))/(EDATE($P1471,DATEDIF($P1471,INT($B1471),"m")+1)-EDATE($P1471,DATEDIF($P1471,INT($B1471),"m"))))/$R1471,0)*$R1471),$P1471))))),"")))</f>
      </c>
      <c r="M1471" s="223">
        <f>IF(OR($C1471="",N($L1471)=0,N($B1471)=0),"",IF(IF(MOD($L1471,1)=0,INT($B1471),$B1471)&lt;=$L1471,"Đúng hạn","Trễ hạn"))</f>
      </c>
      <c r="N1471" s="225">
        <f>IF($C1471="","",ROW())</f>
      </c>
      <c r="O1471" s="225">
        <f>IF($I1471="Công việc",MATCH($C1471,'Kế hoạch'!$A$6:$A$305,0),"")</f>
      </c>
      <c r="P1471" s="234">
        <f>IF($O1471="","",INDEX('Kế hoạch'!$I$6:$I$305,$O1471))</f>
      </c>
      <c r="Q1471" s="225">
        <f>IF($O1471="","",INDEX('Kế hoạch'!$AJ$6:$AJ$305,$O1471))</f>
      </c>
      <c r="R1471" s="225">
        <f>IF($O1471="","",INDEX('Kế hoạch'!$AK$6:$AK$305,$O1471))</f>
      </c>
    </row>
    <row r="1472">
      <c r="A1472" s="223">
        <f>IF($C1472="","",COUNTIF($C$6:$C1472,"?*"))</f>
      </c>
      <c r="B1472" s="217"/>
      <c r="C1472" s="216"/>
      <c r="D1472" s="240"/>
      <c r="E1472" s="218"/>
      <c r="F1472" s="218"/>
      <c r="G1472" s="218"/>
      <c r="H1472" s="219"/>
      <c r="I1472" s="223">
        <f>IF($C1472="","",IF(ISNUMBER(MATCH($C1472,'Phản ánh'!$A$6:$A$505,0)),"Phản ánh",IF(ISNUMBER(MATCH($C1472,'Kế hoạch'!$A$6:$A$305,0)),"Công việc","Mã chưa có")))</f>
      </c>
      <c r="J1472" s="221">
        <f>IF($I1472="Phản ánh",INDEX('Phản ánh'!$C$6:$C$505,MATCH($C1472,'Phản ánh'!$A$6:$A$505,0)),IF($I1472="Công việc",INDEX('Kế hoạch'!$C$6:$C$305,$O1472),""))</f>
      </c>
      <c r="K1472" s="221">
        <f>IF($I1472="Phản ánh",INDEX('Phản ánh'!$K$6:$K$505,MATCH($C1472,'Phản ánh'!$A$6:$A$505,0))&amp;"",IF($I1472="Công việc",INDEX('Kế hoạch'!$N$6:$N$305,$O1472)&amp;"",""))</f>
      </c>
      <c r="L1472" s="220">
        <f>IF(OR($C1472="",N($B1472)=0),"",IF(AND($I1472="Phản ánh",$E1472="Đã xử lý"),INDEX('Phản ánh'!$U$6:$U$505,MATCH($C1472,'Phản ánh'!$A$6:$A$505,0)),IF(AND($I1472="Công việc",OR($E1472="Hoàn thành",$E1472="Hoàn thành kỳ")),IF(INDEX('Kế hoạch'!$B$6:$B$305,$O1472)="Đột xuất",INDEX('Kế hoạch'!$AY$6:$AY$305,$O1472),IF(N($P1472)=0,"",IF(INT($B1472)&lt;$P1472,$P1472,IF($Q1472&gt;0,$P1472+ROUND((INT($B1472)-$P1472)/$Q1472,0)*$Q1472,IF($R1472&gt;0,EDATE($P1472,ROUND((DATEDIF($P1472,INT($B1472),"m")+(INT($B1472)-EDATE($P1472,DATEDIF($P1472,INT($B1472),"m")))/(EDATE($P1472,DATEDIF($P1472,INT($B1472),"m")+1)-EDATE($P1472,DATEDIF($P1472,INT($B1472),"m"))))/$R1472,0)*$R1472),$P1472))))),"")))</f>
      </c>
      <c r="M1472" s="223">
        <f>IF(OR($C1472="",N($L1472)=0,N($B1472)=0),"",IF(IF(MOD($L1472,1)=0,INT($B1472),$B1472)&lt;=$L1472,"Đúng hạn","Trễ hạn"))</f>
      </c>
      <c r="N1472" s="225">
        <f>IF($C1472="","",ROW())</f>
      </c>
      <c r="O1472" s="225">
        <f>IF($I1472="Công việc",MATCH($C1472,'Kế hoạch'!$A$6:$A$305,0),"")</f>
      </c>
      <c r="P1472" s="234">
        <f>IF($O1472="","",INDEX('Kế hoạch'!$I$6:$I$305,$O1472))</f>
      </c>
      <c r="Q1472" s="225">
        <f>IF($O1472="","",INDEX('Kế hoạch'!$AJ$6:$AJ$305,$O1472))</f>
      </c>
      <c r="R1472" s="225">
        <f>IF($O1472="","",INDEX('Kế hoạch'!$AK$6:$AK$305,$O1472))</f>
      </c>
    </row>
    <row r="1473">
      <c r="A1473" s="223">
        <f>IF($C1473="","",COUNTIF($C$6:$C1473,"?*"))</f>
      </c>
      <c r="B1473" s="217"/>
      <c r="C1473" s="216"/>
      <c r="D1473" s="240"/>
      <c r="E1473" s="218"/>
      <c r="F1473" s="218"/>
      <c r="G1473" s="218"/>
      <c r="H1473" s="219"/>
      <c r="I1473" s="223">
        <f>IF($C1473="","",IF(ISNUMBER(MATCH($C1473,'Phản ánh'!$A$6:$A$505,0)),"Phản ánh",IF(ISNUMBER(MATCH($C1473,'Kế hoạch'!$A$6:$A$305,0)),"Công việc","Mã chưa có")))</f>
      </c>
      <c r="J1473" s="221">
        <f>IF($I1473="Phản ánh",INDEX('Phản ánh'!$C$6:$C$505,MATCH($C1473,'Phản ánh'!$A$6:$A$505,0)),IF($I1473="Công việc",INDEX('Kế hoạch'!$C$6:$C$305,$O1473),""))</f>
      </c>
      <c r="K1473" s="221">
        <f>IF($I1473="Phản ánh",INDEX('Phản ánh'!$K$6:$K$505,MATCH($C1473,'Phản ánh'!$A$6:$A$505,0))&amp;"",IF($I1473="Công việc",INDEX('Kế hoạch'!$N$6:$N$305,$O1473)&amp;"",""))</f>
      </c>
      <c r="L1473" s="220">
        <f>IF(OR($C1473="",N($B1473)=0),"",IF(AND($I1473="Phản ánh",$E1473="Đã xử lý"),INDEX('Phản ánh'!$U$6:$U$505,MATCH($C1473,'Phản ánh'!$A$6:$A$505,0)),IF(AND($I1473="Công việc",OR($E1473="Hoàn thành",$E1473="Hoàn thành kỳ")),IF(INDEX('Kế hoạch'!$B$6:$B$305,$O1473)="Đột xuất",INDEX('Kế hoạch'!$AY$6:$AY$305,$O1473),IF(N($P1473)=0,"",IF(INT($B1473)&lt;$P1473,$P1473,IF($Q1473&gt;0,$P1473+ROUND((INT($B1473)-$P1473)/$Q1473,0)*$Q1473,IF($R1473&gt;0,EDATE($P1473,ROUND((DATEDIF($P1473,INT($B1473),"m")+(INT($B1473)-EDATE($P1473,DATEDIF($P1473,INT($B1473),"m")))/(EDATE($P1473,DATEDIF($P1473,INT($B1473),"m")+1)-EDATE($P1473,DATEDIF($P1473,INT($B1473),"m"))))/$R1473,0)*$R1473),$P1473))))),"")))</f>
      </c>
      <c r="M1473" s="223">
        <f>IF(OR($C1473="",N($L1473)=0,N($B1473)=0),"",IF(IF(MOD($L1473,1)=0,INT($B1473),$B1473)&lt;=$L1473,"Đúng hạn","Trễ hạn"))</f>
      </c>
      <c r="N1473" s="225">
        <f>IF($C1473="","",ROW())</f>
      </c>
      <c r="O1473" s="225">
        <f>IF($I1473="Công việc",MATCH($C1473,'Kế hoạch'!$A$6:$A$305,0),"")</f>
      </c>
      <c r="P1473" s="234">
        <f>IF($O1473="","",INDEX('Kế hoạch'!$I$6:$I$305,$O1473))</f>
      </c>
      <c r="Q1473" s="225">
        <f>IF($O1473="","",INDEX('Kế hoạch'!$AJ$6:$AJ$305,$O1473))</f>
      </c>
      <c r="R1473" s="225">
        <f>IF($O1473="","",INDEX('Kế hoạch'!$AK$6:$AK$305,$O1473))</f>
      </c>
    </row>
    <row r="1474">
      <c r="A1474" s="223">
        <f>IF($C1474="","",COUNTIF($C$6:$C1474,"?*"))</f>
      </c>
      <c r="B1474" s="217"/>
      <c r="C1474" s="216"/>
      <c r="D1474" s="240"/>
      <c r="E1474" s="218"/>
      <c r="F1474" s="218"/>
      <c r="G1474" s="218"/>
      <c r="H1474" s="219"/>
      <c r="I1474" s="223">
        <f>IF($C1474="","",IF(ISNUMBER(MATCH($C1474,'Phản ánh'!$A$6:$A$505,0)),"Phản ánh",IF(ISNUMBER(MATCH($C1474,'Kế hoạch'!$A$6:$A$305,0)),"Công việc","Mã chưa có")))</f>
      </c>
      <c r="J1474" s="221">
        <f>IF($I1474="Phản ánh",INDEX('Phản ánh'!$C$6:$C$505,MATCH($C1474,'Phản ánh'!$A$6:$A$505,0)),IF($I1474="Công việc",INDEX('Kế hoạch'!$C$6:$C$305,$O1474),""))</f>
      </c>
      <c r="K1474" s="221">
        <f>IF($I1474="Phản ánh",INDEX('Phản ánh'!$K$6:$K$505,MATCH($C1474,'Phản ánh'!$A$6:$A$505,0))&amp;"",IF($I1474="Công việc",INDEX('Kế hoạch'!$N$6:$N$305,$O1474)&amp;"",""))</f>
      </c>
      <c r="L1474" s="220">
        <f>IF(OR($C1474="",N($B1474)=0),"",IF(AND($I1474="Phản ánh",$E1474="Đã xử lý"),INDEX('Phản ánh'!$U$6:$U$505,MATCH($C1474,'Phản ánh'!$A$6:$A$505,0)),IF(AND($I1474="Công việc",OR($E1474="Hoàn thành",$E1474="Hoàn thành kỳ")),IF(INDEX('Kế hoạch'!$B$6:$B$305,$O1474)="Đột xuất",INDEX('Kế hoạch'!$AY$6:$AY$305,$O1474),IF(N($P1474)=0,"",IF(INT($B1474)&lt;$P1474,$P1474,IF($Q1474&gt;0,$P1474+ROUND((INT($B1474)-$P1474)/$Q1474,0)*$Q1474,IF($R1474&gt;0,EDATE($P1474,ROUND((DATEDIF($P1474,INT($B1474),"m")+(INT($B1474)-EDATE($P1474,DATEDIF($P1474,INT($B1474),"m")))/(EDATE($P1474,DATEDIF($P1474,INT($B1474),"m")+1)-EDATE($P1474,DATEDIF($P1474,INT($B1474),"m"))))/$R1474,0)*$R1474),$P1474))))),"")))</f>
      </c>
      <c r="M1474" s="223">
        <f>IF(OR($C1474="",N($L1474)=0,N($B1474)=0),"",IF(IF(MOD($L1474,1)=0,INT($B1474),$B1474)&lt;=$L1474,"Đúng hạn","Trễ hạn"))</f>
      </c>
      <c r="N1474" s="225">
        <f>IF($C1474="","",ROW())</f>
      </c>
      <c r="O1474" s="225">
        <f>IF($I1474="Công việc",MATCH($C1474,'Kế hoạch'!$A$6:$A$305,0),"")</f>
      </c>
      <c r="P1474" s="234">
        <f>IF($O1474="","",INDEX('Kế hoạch'!$I$6:$I$305,$O1474))</f>
      </c>
      <c r="Q1474" s="225">
        <f>IF($O1474="","",INDEX('Kế hoạch'!$AJ$6:$AJ$305,$O1474))</f>
      </c>
      <c r="R1474" s="225">
        <f>IF($O1474="","",INDEX('Kế hoạch'!$AK$6:$AK$305,$O1474))</f>
      </c>
    </row>
    <row r="1475">
      <c r="A1475" s="223">
        <f>IF($C1475="","",COUNTIF($C$6:$C1475,"?*"))</f>
      </c>
      <c r="B1475" s="217"/>
      <c r="C1475" s="216"/>
      <c r="D1475" s="240"/>
      <c r="E1475" s="218"/>
      <c r="F1475" s="218"/>
      <c r="G1475" s="218"/>
      <c r="H1475" s="219"/>
      <c r="I1475" s="223">
        <f>IF($C1475="","",IF(ISNUMBER(MATCH($C1475,'Phản ánh'!$A$6:$A$505,0)),"Phản ánh",IF(ISNUMBER(MATCH($C1475,'Kế hoạch'!$A$6:$A$305,0)),"Công việc","Mã chưa có")))</f>
      </c>
      <c r="J1475" s="221">
        <f>IF($I1475="Phản ánh",INDEX('Phản ánh'!$C$6:$C$505,MATCH($C1475,'Phản ánh'!$A$6:$A$505,0)),IF($I1475="Công việc",INDEX('Kế hoạch'!$C$6:$C$305,$O1475),""))</f>
      </c>
      <c r="K1475" s="221">
        <f>IF($I1475="Phản ánh",INDEX('Phản ánh'!$K$6:$K$505,MATCH($C1475,'Phản ánh'!$A$6:$A$505,0))&amp;"",IF($I1475="Công việc",INDEX('Kế hoạch'!$N$6:$N$305,$O1475)&amp;"",""))</f>
      </c>
      <c r="L1475" s="220">
        <f>IF(OR($C1475="",N($B1475)=0),"",IF(AND($I1475="Phản ánh",$E1475="Đã xử lý"),INDEX('Phản ánh'!$U$6:$U$505,MATCH($C1475,'Phản ánh'!$A$6:$A$505,0)),IF(AND($I1475="Công việc",OR($E1475="Hoàn thành",$E1475="Hoàn thành kỳ")),IF(INDEX('Kế hoạch'!$B$6:$B$305,$O1475)="Đột xuất",INDEX('Kế hoạch'!$AY$6:$AY$305,$O1475),IF(N($P1475)=0,"",IF(INT($B1475)&lt;$P1475,$P1475,IF($Q1475&gt;0,$P1475+ROUND((INT($B1475)-$P1475)/$Q1475,0)*$Q1475,IF($R1475&gt;0,EDATE($P1475,ROUND((DATEDIF($P1475,INT($B1475),"m")+(INT($B1475)-EDATE($P1475,DATEDIF($P1475,INT($B1475),"m")))/(EDATE($P1475,DATEDIF($P1475,INT($B1475),"m")+1)-EDATE($P1475,DATEDIF($P1475,INT($B1475),"m"))))/$R1475,0)*$R1475),$P1475))))),"")))</f>
      </c>
      <c r="M1475" s="223">
        <f>IF(OR($C1475="",N($L1475)=0,N($B1475)=0),"",IF(IF(MOD($L1475,1)=0,INT($B1475),$B1475)&lt;=$L1475,"Đúng hạn","Trễ hạn"))</f>
      </c>
      <c r="N1475" s="225">
        <f>IF($C1475="","",ROW())</f>
      </c>
      <c r="O1475" s="225">
        <f>IF($I1475="Công việc",MATCH($C1475,'Kế hoạch'!$A$6:$A$305,0),"")</f>
      </c>
      <c r="P1475" s="234">
        <f>IF($O1475="","",INDEX('Kế hoạch'!$I$6:$I$305,$O1475))</f>
      </c>
      <c r="Q1475" s="225">
        <f>IF($O1475="","",INDEX('Kế hoạch'!$AJ$6:$AJ$305,$O1475))</f>
      </c>
      <c r="R1475" s="225">
        <f>IF($O1475="","",INDEX('Kế hoạch'!$AK$6:$AK$305,$O1475))</f>
      </c>
    </row>
    <row r="1476">
      <c r="A1476" s="223">
        <f>IF($C1476="","",COUNTIF($C$6:$C1476,"?*"))</f>
      </c>
      <c r="B1476" s="217"/>
      <c r="C1476" s="216"/>
      <c r="D1476" s="240"/>
      <c r="E1476" s="218"/>
      <c r="F1476" s="218"/>
      <c r="G1476" s="218"/>
      <c r="H1476" s="219"/>
      <c r="I1476" s="223">
        <f>IF($C1476="","",IF(ISNUMBER(MATCH($C1476,'Phản ánh'!$A$6:$A$505,0)),"Phản ánh",IF(ISNUMBER(MATCH($C1476,'Kế hoạch'!$A$6:$A$305,0)),"Công việc","Mã chưa có")))</f>
      </c>
      <c r="J1476" s="221">
        <f>IF($I1476="Phản ánh",INDEX('Phản ánh'!$C$6:$C$505,MATCH($C1476,'Phản ánh'!$A$6:$A$505,0)),IF($I1476="Công việc",INDEX('Kế hoạch'!$C$6:$C$305,$O1476),""))</f>
      </c>
      <c r="K1476" s="221">
        <f>IF($I1476="Phản ánh",INDEX('Phản ánh'!$K$6:$K$505,MATCH($C1476,'Phản ánh'!$A$6:$A$505,0))&amp;"",IF($I1476="Công việc",INDEX('Kế hoạch'!$N$6:$N$305,$O1476)&amp;"",""))</f>
      </c>
      <c r="L1476" s="220">
        <f>IF(OR($C1476="",N($B1476)=0),"",IF(AND($I1476="Phản ánh",$E1476="Đã xử lý"),INDEX('Phản ánh'!$U$6:$U$505,MATCH($C1476,'Phản ánh'!$A$6:$A$505,0)),IF(AND($I1476="Công việc",OR($E1476="Hoàn thành",$E1476="Hoàn thành kỳ")),IF(INDEX('Kế hoạch'!$B$6:$B$305,$O1476)="Đột xuất",INDEX('Kế hoạch'!$AY$6:$AY$305,$O1476),IF(N($P1476)=0,"",IF(INT($B1476)&lt;$P1476,$P1476,IF($Q1476&gt;0,$P1476+ROUND((INT($B1476)-$P1476)/$Q1476,0)*$Q1476,IF($R1476&gt;0,EDATE($P1476,ROUND((DATEDIF($P1476,INT($B1476),"m")+(INT($B1476)-EDATE($P1476,DATEDIF($P1476,INT($B1476),"m")))/(EDATE($P1476,DATEDIF($P1476,INT($B1476),"m")+1)-EDATE($P1476,DATEDIF($P1476,INT($B1476),"m"))))/$R1476,0)*$R1476),$P1476))))),"")))</f>
      </c>
      <c r="M1476" s="223">
        <f>IF(OR($C1476="",N($L1476)=0,N($B1476)=0),"",IF(IF(MOD($L1476,1)=0,INT($B1476),$B1476)&lt;=$L1476,"Đúng hạn","Trễ hạn"))</f>
      </c>
      <c r="N1476" s="225">
        <f>IF($C1476="","",ROW())</f>
      </c>
      <c r="O1476" s="225">
        <f>IF($I1476="Công việc",MATCH($C1476,'Kế hoạch'!$A$6:$A$305,0),"")</f>
      </c>
      <c r="P1476" s="234">
        <f>IF($O1476="","",INDEX('Kế hoạch'!$I$6:$I$305,$O1476))</f>
      </c>
      <c r="Q1476" s="225">
        <f>IF($O1476="","",INDEX('Kế hoạch'!$AJ$6:$AJ$305,$O1476))</f>
      </c>
      <c r="R1476" s="225">
        <f>IF($O1476="","",INDEX('Kế hoạch'!$AK$6:$AK$305,$O1476))</f>
      </c>
    </row>
    <row r="1477">
      <c r="A1477" s="223">
        <f>IF($C1477="","",COUNTIF($C$6:$C1477,"?*"))</f>
      </c>
      <c r="B1477" s="217"/>
      <c r="C1477" s="216"/>
      <c r="D1477" s="240"/>
      <c r="E1477" s="218"/>
      <c r="F1477" s="218"/>
      <c r="G1477" s="218"/>
      <c r="H1477" s="219"/>
      <c r="I1477" s="223">
        <f>IF($C1477="","",IF(ISNUMBER(MATCH($C1477,'Phản ánh'!$A$6:$A$505,0)),"Phản ánh",IF(ISNUMBER(MATCH($C1477,'Kế hoạch'!$A$6:$A$305,0)),"Công việc","Mã chưa có")))</f>
      </c>
      <c r="J1477" s="221">
        <f>IF($I1477="Phản ánh",INDEX('Phản ánh'!$C$6:$C$505,MATCH($C1477,'Phản ánh'!$A$6:$A$505,0)),IF($I1477="Công việc",INDEX('Kế hoạch'!$C$6:$C$305,$O1477),""))</f>
      </c>
      <c r="K1477" s="221">
        <f>IF($I1477="Phản ánh",INDEX('Phản ánh'!$K$6:$K$505,MATCH($C1477,'Phản ánh'!$A$6:$A$505,0))&amp;"",IF($I1477="Công việc",INDEX('Kế hoạch'!$N$6:$N$305,$O1477)&amp;"",""))</f>
      </c>
      <c r="L1477" s="220">
        <f>IF(OR($C1477="",N($B1477)=0),"",IF(AND($I1477="Phản ánh",$E1477="Đã xử lý"),INDEX('Phản ánh'!$U$6:$U$505,MATCH($C1477,'Phản ánh'!$A$6:$A$505,0)),IF(AND($I1477="Công việc",OR($E1477="Hoàn thành",$E1477="Hoàn thành kỳ")),IF(INDEX('Kế hoạch'!$B$6:$B$305,$O1477)="Đột xuất",INDEX('Kế hoạch'!$AY$6:$AY$305,$O1477),IF(N($P1477)=0,"",IF(INT($B1477)&lt;$P1477,$P1477,IF($Q1477&gt;0,$P1477+ROUND((INT($B1477)-$P1477)/$Q1477,0)*$Q1477,IF($R1477&gt;0,EDATE($P1477,ROUND((DATEDIF($P1477,INT($B1477),"m")+(INT($B1477)-EDATE($P1477,DATEDIF($P1477,INT($B1477),"m")))/(EDATE($P1477,DATEDIF($P1477,INT($B1477),"m")+1)-EDATE($P1477,DATEDIF($P1477,INT($B1477),"m"))))/$R1477,0)*$R1477),$P1477))))),"")))</f>
      </c>
      <c r="M1477" s="223">
        <f>IF(OR($C1477="",N($L1477)=0,N($B1477)=0),"",IF(IF(MOD($L1477,1)=0,INT($B1477),$B1477)&lt;=$L1477,"Đúng hạn","Trễ hạn"))</f>
      </c>
      <c r="N1477" s="225">
        <f>IF($C1477="","",ROW())</f>
      </c>
      <c r="O1477" s="225">
        <f>IF($I1477="Công việc",MATCH($C1477,'Kế hoạch'!$A$6:$A$305,0),"")</f>
      </c>
      <c r="P1477" s="234">
        <f>IF($O1477="","",INDEX('Kế hoạch'!$I$6:$I$305,$O1477))</f>
      </c>
      <c r="Q1477" s="225">
        <f>IF($O1477="","",INDEX('Kế hoạch'!$AJ$6:$AJ$305,$O1477))</f>
      </c>
      <c r="R1477" s="225">
        <f>IF($O1477="","",INDEX('Kế hoạch'!$AK$6:$AK$305,$O1477))</f>
      </c>
    </row>
    <row r="1478">
      <c r="A1478" s="223">
        <f>IF($C1478="","",COUNTIF($C$6:$C1478,"?*"))</f>
      </c>
      <c r="B1478" s="217"/>
      <c r="C1478" s="216"/>
      <c r="D1478" s="240"/>
      <c r="E1478" s="218"/>
      <c r="F1478" s="218"/>
      <c r="G1478" s="218"/>
      <c r="H1478" s="219"/>
      <c r="I1478" s="223">
        <f>IF($C1478="","",IF(ISNUMBER(MATCH($C1478,'Phản ánh'!$A$6:$A$505,0)),"Phản ánh",IF(ISNUMBER(MATCH($C1478,'Kế hoạch'!$A$6:$A$305,0)),"Công việc","Mã chưa có")))</f>
      </c>
      <c r="J1478" s="221">
        <f>IF($I1478="Phản ánh",INDEX('Phản ánh'!$C$6:$C$505,MATCH($C1478,'Phản ánh'!$A$6:$A$505,0)),IF($I1478="Công việc",INDEX('Kế hoạch'!$C$6:$C$305,$O1478),""))</f>
      </c>
      <c r="K1478" s="221">
        <f>IF($I1478="Phản ánh",INDEX('Phản ánh'!$K$6:$K$505,MATCH($C1478,'Phản ánh'!$A$6:$A$505,0))&amp;"",IF($I1478="Công việc",INDEX('Kế hoạch'!$N$6:$N$305,$O1478)&amp;"",""))</f>
      </c>
      <c r="L1478" s="220">
        <f>IF(OR($C1478="",N($B1478)=0),"",IF(AND($I1478="Phản ánh",$E1478="Đã xử lý"),INDEX('Phản ánh'!$U$6:$U$505,MATCH($C1478,'Phản ánh'!$A$6:$A$505,0)),IF(AND($I1478="Công việc",OR($E1478="Hoàn thành",$E1478="Hoàn thành kỳ")),IF(INDEX('Kế hoạch'!$B$6:$B$305,$O1478)="Đột xuất",INDEX('Kế hoạch'!$AY$6:$AY$305,$O1478),IF(N($P1478)=0,"",IF(INT($B1478)&lt;$P1478,$P1478,IF($Q1478&gt;0,$P1478+ROUND((INT($B1478)-$P1478)/$Q1478,0)*$Q1478,IF($R1478&gt;0,EDATE($P1478,ROUND((DATEDIF($P1478,INT($B1478),"m")+(INT($B1478)-EDATE($P1478,DATEDIF($P1478,INT($B1478),"m")))/(EDATE($P1478,DATEDIF($P1478,INT($B1478),"m")+1)-EDATE($P1478,DATEDIF($P1478,INT($B1478),"m"))))/$R1478,0)*$R1478),$P1478))))),"")))</f>
      </c>
      <c r="M1478" s="223">
        <f>IF(OR($C1478="",N($L1478)=0,N($B1478)=0),"",IF(IF(MOD($L1478,1)=0,INT($B1478),$B1478)&lt;=$L1478,"Đúng hạn","Trễ hạn"))</f>
      </c>
      <c r="N1478" s="225">
        <f>IF($C1478="","",ROW())</f>
      </c>
      <c r="O1478" s="225">
        <f>IF($I1478="Công việc",MATCH($C1478,'Kế hoạch'!$A$6:$A$305,0),"")</f>
      </c>
      <c r="P1478" s="234">
        <f>IF($O1478="","",INDEX('Kế hoạch'!$I$6:$I$305,$O1478))</f>
      </c>
      <c r="Q1478" s="225">
        <f>IF($O1478="","",INDEX('Kế hoạch'!$AJ$6:$AJ$305,$O1478))</f>
      </c>
      <c r="R1478" s="225">
        <f>IF($O1478="","",INDEX('Kế hoạch'!$AK$6:$AK$305,$O1478))</f>
      </c>
    </row>
    <row r="1479">
      <c r="A1479" s="223">
        <f>IF($C1479="","",COUNTIF($C$6:$C1479,"?*"))</f>
      </c>
      <c r="B1479" s="217"/>
      <c r="C1479" s="216"/>
      <c r="D1479" s="240"/>
      <c r="E1479" s="218"/>
      <c r="F1479" s="218"/>
      <c r="G1479" s="218"/>
      <c r="H1479" s="219"/>
      <c r="I1479" s="223">
        <f>IF($C1479="","",IF(ISNUMBER(MATCH($C1479,'Phản ánh'!$A$6:$A$505,0)),"Phản ánh",IF(ISNUMBER(MATCH($C1479,'Kế hoạch'!$A$6:$A$305,0)),"Công việc","Mã chưa có")))</f>
      </c>
      <c r="J1479" s="221">
        <f>IF($I1479="Phản ánh",INDEX('Phản ánh'!$C$6:$C$505,MATCH($C1479,'Phản ánh'!$A$6:$A$505,0)),IF($I1479="Công việc",INDEX('Kế hoạch'!$C$6:$C$305,$O1479),""))</f>
      </c>
      <c r="K1479" s="221">
        <f>IF($I1479="Phản ánh",INDEX('Phản ánh'!$K$6:$K$505,MATCH($C1479,'Phản ánh'!$A$6:$A$505,0))&amp;"",IF($I1479="Công việc",INDEX('Kế hoạch'!$N$6:$N$305,$O1479)&amp;"",""))</f>
      </c>
      <c r="L1479" s="220">
        <f>IF(OR($C1479="",N($B1479)=0),"",IF(AND($I1479="Phản ánh",$E1479="Đã xử lý"),INDEX('Phản ánh'!$U$6:$U$505,MATCH($C1479,'Phản ánh'!$A$6:$A$505,0)),IF(AND($I1479="Công việc",OR($E1479="Hoàn thành",$E1479="Hoàn thành kỳ")),IF(INDEX('Kế hoạch'!$B$6:$B$305,$O1479)="Đột xuất",INDEX('Kế hoạch'!$AY$6:$AY$305,$O1479),IF(N($P1479)=0,"",IF(INT($B1479)&lt;$P1479,$P1479,IF($Q1479&gt;0,$P1479+ROUND((INT($B1479)-$P1479)/$Q1479,0)*$Q1479,IF($R1479&gt;0,EDATE($P1479,ROUND((DATEDIF($P1479,INT($B1479),"m")+(INT($B1479)-EDATE($P1479,DATEDIF($P1479,INT($B1479),"m")))/(EDATE($P1479,DATEDIF($P1479,INT($B1479),"m")+1)-EDATE($P1479,DATEDIF($P1479,INT($B1479),"m"))))/$R1479,0)*$R1479),$P1479))))),"")))</f>
      </c>
      <c r="M1479" s="223">
        <f>IF(OR($C1479="",N($L1479)=0,N($B1479)=0),"",IF(IF(MOD($L1479,1)=0,INT($B1479),$B1479)&lt;=$L1479,"Đúng hạn","Trễ hạn"))</f>
      </c>
      <c r="N1479" s="225">
        <f>IF($C1479="","",ROW())</f>
      </c>
      <c r="O1479" s="225">
        <f>IF($I1479="Công việc",MATCH($C1479,'Kế hoạch'!$A$6:$A$305,0),"")</f>
      </c>
      <c r="P1479" s="234">
        <f>IF($O1479="","",INDEX('Kế hoạch'!$I$6:$I$305,$O1479))</f>
      </c>
      <c r="Q1479" s="225">
        <f>IF($O1479="","",INDEX('Kế hoạch'!$AJ$6:$AJ$305,$O1479))</f>
      </c>
      <c r="R1479" s="225">
        <f>IF($O1479="","",INDEX('Kế hoạch'!$AK$6:$AK$305,$O1479))</f>
      </c>
    </row>
    <row r="1480">
      <c r="A1480" s="223">
        <f>IF($C1480="","",COUNTIF($C$6:$C1480,"?*"))</f>
      </c>
      <c r="B1480" s="217"/>
      <c r="C1480" s="216"/>
      <c r="D1480" s="240"/>
      <c r="E1480" s="218"/>
      <c r="F1480" s="218"/>
      <c r="G1480" s="218"/>
      <c r="H1480" s="219"/>
      <c r="I1480" s="223">
        <f>IF($C1480="","",IF(ISNUMBER(MATCH($C1480,'Phản ánh'!$A$6:$A$505,0)),"Phản ánh",IF(ISNUMBER(MATCH($C1480,'Kế hoạch'!$A$6:$A$305,0)),"Công việc","Mã chưa có")))</f>
      </c>
      <c r="J1480" s="221">
        <f>IF($I1480="Phản ánh",INDEX('Phản ánh'!$C$6:$C$505,MATCH($C1480,'Phản ánh'!$A$6:$A$505,0)),IF($I1480="Công việc",INDEX('Kế hoạch'!$C$6:$C$305,$O1480),""))</f>
      </c>
      <c r="K1480" s="221">
        <f>IF($I1480="Phản ánh",INDEX('Phản ánh'!$K$6:$K$505,MATCH($C1480,'Phản ánh'!$A$6:$A$505,0))&amp;"",IF($I1480="Công việc",INDEX('Kế hoạch'!$N$6:$N$305,$O1480)&amp;"",""))</f>
      </c>
      <c r="L1480" s="220">
        <f>IF(OR($C1480="",N($B1480)=0),"",IF(AND($I1480="Phản ánh",$E1480="Đã xử lý"),INDEX('Phản ánh'!$U$6:$U$505,MATCH($C1480,'Phản ánh'!$A$6:$A$505,0)),IF(AND($I1480="Công việc",OR($E1480="Hoàn thành",$E1480="Hoàn thành kỳ")),IF(INDEX('Kế hoạch'!$B$6:$B$305,$O1480)="Đột xuất",INDEX('Kế hoạch'!$AY$6:$AY$305,$O1480),IF(N($P1480)=0,"",IF(INT($B1480)&lt;$P1480,$P1480,IF($Q1480&gt;0,$P1480+ROUND((INT($B1480)-$P1480)/$Q1480,0)*$Q1480,IF($R1480&gt;0,EDATE($P1480,ROUND((DATEDIF($P1480,INT($B1480),"m")+(INT($B1480)-EDATE($P1480,DATEDIF($P1480,INT($B1480),"m")))/(EDATE($P1480,DATEDIF($P1480,INT($B1480),"m")+1)-EDATE($P1480,DATEDIF($P1480,INT($B1480),"m"))))/$R1480,0)*$R1480),$P1480))))),"")))</f>
      </c>
      <c r="M1480" s="223">
        <f>IF(OR($C1480="",N($L1480)=0,N($B1480)=0),"",IF(IF(MOD($L1480,1)=0,INT($B1480),$B1480)&lt;=$L1480,"Đúng hạn","Trễ hạn"))</f>
      </c>
      <c r="N1480" s="225">
        <f>IF($C1480="","",ROW())</f>
      </c>
      <c r="O1480" s="225">
        <f>IF($I1480="Công việc",MATCH($C1480,'Kế hoạch'!$A$6:$A$305,0),"")</f>
      </c>
      <c r="P1480" s="234">
        <f>IF($O1480="","",INDEX('Kế hoạch'!$I$6:$I$305,$O1480))</f>
      </c>
      <c r="Q1480" s="225">
        <f>IF($O1480="","",INDEX('Kế hoạch'!$AJ$6:$AJ$305,$O1480))</f>
      </c>
      <c r="R1480" s="225">
        <f>IF($O1480="","",INDEX('Kế hoạch'!$AK$6:$AK$305,$O1480))</f>
      </c>
    </row>
    <row r="1481">
      <c r="A1481" s="223">
        <f>IF($C1481="","",COUNTIF($C$6:$C1481,"?*"))</f>
      </c>
      <c r="B1481" s="217"/>
      <c r="C1481" s="216"/>
      <c r="D1481" s="240"/>
      <c r="E1481" s="218"/>
      <c r="F1481" s="218"/>
      <c r="G1481" s="218"/>
      <c r="H1481" s="219"/>
      <c r="I1481" s="223">
        <f>IF($C1481="","",IF(ISNUMBER(MATCH($C1481,'Phản ánh'!$A$6:$A$505,0)),"Phản ánh",IF(ISNUMBER(MATCH($C1481,'Kế hoạch'!$A$6:$A$305,0)),"Công việc","Mã chưa có")))</f>
      </c>
      <c r="J1481" s="221">
        <f>IF($I1481="Phản ánh",INDEX('Phản ánh'!$C$6:$C$505,MATCH($C1481,'Phản ánh'!$A$6:$A$505,0)),IF($I1481="Công việc",INDEX('Kế hoạch'!$C$6:$C$305,$O1481),""))</f>
      </c>
      <c r="K1481" s="221">
        <f>IF($I1481="Phản ánh",INDEX('Phản ánh'!$K$6:$K$505,MATCH($C1481,'Phản ánh'!$A$6:$A$505,0))&amp;"",IF($I1481="Công việc",INDEX('Kế hoạch'!$N$6:$N$305,$O1481)&amp;"",""))</f>
      </c>
      <c r="L1481" s="220">
        <f>IF(OR($C1481="",N($B1481)=0),"",IF(AND($I1481="Phản ánh",$E1481="Đã xử lý"),INDEX('Phản ánh'!$U$6:$U$505,MATCH($C1481,'Phản ánh'!$A$6:$A$505,0)),IF(AND($I1481="Công việc",OR($E1481="Hoàn thành",$E1481="Hoàn thành kỳ")),IF(INDEX('Kế hoạch'!$B$6:$B$305,$O1481)="Đột xuất",INDEX('Kế hoạch'!$AY$6:$AY$305,$O1481),IF(N($P1481)=0,"",IF(INT($B1481)&lt;$P1481,$P1481,IF($Q1481&gt;0,$P1481+ROUND((INT($B1481)-$P1481)/$Q1481,0)*$Q1481,IF($R1481&gt;0,EDATE($P1481,ROUND((DATEDIF($P1481,INT($B1481),"m")+(INT($B1481)-EDATE($P1481,DATEDIF($P1481,INT($B1481),"m")))/(EDATE($P1481,DATEDIF($P1481,INT($B1481),"m")+1)-EDATE($P1481,DATEDIF($P1481,INT($B1481),"m"))))/$R1481,0)*$R1481),$P1481))))),"")))</f>
      </c>
      <c r="M1481" s="223">
        <f>IF(OR($C1481="",N($L1481)=0,N($B1481)=0),"",IF(IF(MOD($L1481,1)=0,INT($B1481),$B1481)&lt;=$L1481,"Đúng hạn","Trễ hạn"))</f>
      </c>
      <c r="N1481" s="225">
        <f>IF($C1481="","",ROW())</f>
      </c>
      <c r="O1481" s="225">
        <f>IF($I1481="Công việc",MATCH($C1481,'Kế hoạch'!$A$6:$A$305,0),"")</f>
      </c>
      <c r="P1481" s="234">
        <f>IF($O1481="","",INDEX('Kế hoạch'!$I$6:$I$305,$O1481))</f>
      </c>
      <c r="Q1481" s="225">
        <f>IF($O1481="","",INDEX('Kế hoạch'!$AJ$6:$AJ$305,$O1481))</f>
      </c>
      <c r="R1481" s="225">
        <f>IF($O1481="","",INDEX('Kế hoạch'!$AK$6:$AK$305,$O1481))</f>
      </c>
    </row>
    <row r="1482">
      <c r="A1482" s="223">
        <f>IF($C1482="","",COUNTIF($C$6:$C1482,"?*"))</f>
      </c>
      <c r="B1482" s="217"/>
      <c r="C1482" s="216"/>
      <c r="D1482" s="240"/>
      <c r="E1482" s="218"/>
      <c r="F1482" s="218"/>
      <c r="G1482" s="218"/>
      <c r="H1482" s="219"/>
      <c r="I1482" s="223">
        <f>IF($C1482="","",IF(ISNUMBER(MATCH($C1482,'Phản ánh'!$A$6:$A$505,0)),"Phản ánh",IF(ISNUMBER(MATCH($C1482,'Kế hoạch'!$A$6:$A$305,0)),"Công việc","Mã chưa có")))</f>
      </c>
      <c r="J1482" s="221">
        <f>IF($I1482="Phản ánh",INDEX('Phản ánh'!$C$6:$C$505,MATCH($C1482,'Phản ánh'!$A$6:$A$505,0)),IF($I1482="Công việc",INDEX('Kế hoạch'!$C$6:$C$305,$O1482),""))</f>
      </c>
      <c r="K1482" s="221">
        <f>IF($I1482="Phản ánh",INDEX('Phản ánh'!$K$6:$K$505,MATCH($C1482,'Phản ánh'!$A$6:$A$505,0))&amp;"",IF($I1482="Công việc",INDEX('Kế hoạch'!$N$6:$N$305,$O1482)&amp;"",""))</f>
      </c>
      <c r="L1482" s="220">
        <f>IF(OR($C1482="",N($B1482)=0),"",IF(AND($I1482="Phản ánh",$E1482="Đã xử lý"),INDEX('Phản ánh'!$U$6:$U$505,MATCH($C1482,'Phản ánh'!$A$6:$A$505,0)),IF(AND($I1482="Công việc",OR($E1482="Hoàn thành",$E1482="Hoàn thành kỳ")),IF(INDEX('Kế hoạch'!$B$6:$B$305,$O1482)="Đột xuất",INDEX('Kế hoạch'!$AY$6:$AY$305,$O1482),IF(N($P1482)=0,"",IF(INT($B1482)&lt;$P1482,$P1482,IF($Q1482&gt;0,$P1482+ROUND((INT($B1482)-$P1482)/$Q1482,0)*$Q1482,IF($R1482&gt;0,EDATE($P1482,ROUND((DATEDIF($P1482,INT($B1482),"m")+(INT($B1482)-EDATE($P1482,DATEDIF($P1482,INT($B1482),"m")))/(EDATE($P1482,DATEDIF($P1482,INT($B1482),"m")+1)-EDATE($P1482,DATEDIF($P1482,INT($B1482),"m"))))/$R1482,0)*$R1482),$P1482))))),"")))</f>
      </c>
      <c r="M1482" s="223">
        <f>IF(OR($C1482="",N($L1482)=0,N($B1482)=0),"",IF(IF(MOD($L1482,1)=0,INT($B1482),$B1482)&lt;=$L1482,"Đúng hạn","Trễ hạn"))</f>
      </c>
      <c r="N1482" s="225">
        <f>IF($C1482="","",ROW())</f>
      </c>
      <c r="O1482" s="225">
        <f>IF($I1482="Công việc",MATCH($C1482,'Kế hoạch'!$A$6:$A$305,0),"")</f>
      </c>
      <c r="P1482" s="234">
        <f>IF($O1482="","",INDEX('Kế hoạch'!$I$6:$I$305,$O1482))</f>
      </c>
      <c r="Q1482" s="225">
        <f>IF($O1482="","",INDEX('Kế hoạch'!$AJ$6:$AJ$305,$O1482))</f>
      </c>
      <c r="R1482" s="225">
        <f>IF($O1482="","",INDEX('Kế hoạch'!$AK$6:$AK$305,$O1482))</f>
      </c>
    </row>
    <row r="1483">
      <c r="A1483" s="223">
        <f>IF($C1483="","",COUNTIF($C$6:$C1483,"?*"))</f>
      </c>
      <c r="B1483" s="217"/>
      <c r="C1483" s="216"/>
      <c r="D1483" s="240"/>
      <c r="E1483" s="218"/>
      <c r="F1483" s="218"/>
      <c r="G1483" s="218"/>
      <c r="H1483" s="219"/>
      <c r="I1483" s="223">
        <f>IF($C1483="","",IF(ISNUMBER(MATCH($C1483,'Phản ánh'!$A$6:$A$505,0)),"Phản ánh",IF(ISNUMBER(MATCH($C1483,'Kế hoạch'!$A$6:$A$305,0)),"Công việc","Mã chưa có")))</f>
      </c>
      <c r="J1483" s="221">
        <f>IF($I1483="Phản ánh",INDEX('Phản ánh'!$C$6:$C$505,MATCH($C1483,'Phản ánh'!$A$6:$A$505,0)),IF($I1483="Công việc",INDEX('Kế hoạch'!$C$6:$C$305,$O1483),""))</f>
      </c>
      <c r="K1483" s="221">
        <f>IF($I1483="Phản ánh",INDEX('Phản ánh'!$K$6:$K$505,MATCH($C1483,'Phản ánh'!$A$6:$A$505,0))&amp;"",IF($I1483="Công việc",INDEX('Kế hoạch'!$N$6:$N$305,$O1483)&amp;"",""))</f>
      </c>
      <c r="L1483" s="220">
        <f>IF(OR($C1483="",N($B1483)=0),"",IF(AND($I1483="Phản ánh",$E1483="Đã xử lý"),INDEX('Phản ánh'!$U$6:$U$505,MATCH($C1483,'Phản ánh'!$A$6:$A$505,0)),IF(AND($I1483="Công việc",OR($E1483="Hoàn thành",$E1483="Hoàn thành kỳ")),IF(INDEX('Kế hoạch'!$B$6:$B$305,$O1483)="Đột xuất",INDEX('Kế hoạch'!$AY$6:$AY$305,$O1483),IF(N($P1483)=0,"",IF(INT($B1483)&lt;$P1483,$P1483,IF($Q1483&gt;0,$P1483+ROUND((INT($B1483)-$P1483)/$Q1483,0)*$Q1483,IF($R1483&gt;0,EDATE($P1483,ROUND((DATEDIF($P1483,INT($B1483),"m")+(INT($B1483)-EDATE($P1483,DATEDIF($P1483,INT($B1483),"m")))/(EDATE($P1483,DATEDIF($P1483,INT($B1483),"m")+1)-EDATE($P1483,DATEDIF($P1483,INT($B1483),"m"))))/$R1483,0)*$R1483),$P1483))))),"")))</f>
      </c>
      <c r="M1483" s="223">
        <f>IF(OR($C1483="",N($L1483)=0,N($B1483)=0),"",IF(IF(MOD($L1483,1)=0,INT($B1483),$B1483)&lt;=$L1483,"Đúng hạn","Trễ hạn"))</f>
      </c>
      <c r="N1483" s="225">
        <f>IF($C1483="","",ROW())</f>
      </c>
      <c r="O1483" s="225">
        <f>IF($I1483="Công việc",MATCH($C1483,'Kế hoạch'!$A$6:$A$305,0),"")</f>
      </c>
      <c r="P1483" s="234">
        <f>IF($O1483="","",INDEX('Kế hoạch'!$I$6:$I$305,$O1483))</f>
      </c>
      <c r="Q1483" s="225">
        <f>IF($O1483="","",INDEX('Kế hoạch'!$AJ$6:$AJ$305,$O1483))</f>
      </c>
      <c r="R1483" s="225">
        <f>IF($O1483="","",INDEX('Kế hoạch'!$AK$6:$AK$305,$O1483))</f>
      </c>
    </row>
    <row r="1484">
      <c r="A1484" s="223">
        <f>IF($C1484="","",COUNTIF($C$6:$C1484,"?*"))</f>
      </c>
      <c r="B1484" s="217"/>
      <c r="C1484" s="216"/>
      <c r="D1484" s="240"/>
      <c r="E1484" s="218"/>
      <c r="F1484" s="218"/>
      <c r="G1484" s="218"/>
      <c r="H1484" s="219"/>
      <c r="I1484" s="223">
        <f>IF($C1484="","",IF(ISNUMBER(MATCH($C1484,'Phản ánh'!$A$6:$A$505,0)),"Phản ánh",IF(ISNUMBER(MATCH($C1484,'Kế hoạch'!$A$6:$A$305,0)),"Công việc","Mã chưa có")))</f>
      </c>
      <c r="J1484" s="221">
        <f>IF($I1484="Phản ánh",INDEX('Phản ánh'!$C$6:$C$505,MATCH($C1484,'Phản ánh'!$A$6:$A$505,0)),IF($I1484="Công việc",INDEX('Kế hoạch'!$C$6:$C$305,$O1484),""))</f>
      </c>
      <c r="K1484" s="221">
        <f>IF($I1484="Phản ánh",INDEX('Phản ánh'!$K$6:$K$505,MATCH($C1484,'Phản ánh'!$A$6:$A$505,0))&amp;"",IF($I1484="Công việc",INDEX('Kế hoạch'!$N$6:$N$305,$O1484)&amp;"",""))</f>
      </c>
      <c r="L1484" s="220">
        <f>IF(OR($C1484="",N($B1484)=0),"",IF(AND($I1484="Phản ánh",$E1484="Đã xử lý"),INDEX('Phản ánh'!$U$6:$U$505,MATCH($C1484,'Phản ánh'!$A$6:$A$505,0)),IF(AND($I1484="Công việc",OR($E1484="Hoàn thành",$E1484="Hoàn thành kỳ")),IF(INDEX('Kế hoạch'!$B$6:$B$305,$O1484)="Đột xuất",INDEX('Kế hoạch'!$AY$6:$AY$305,$O1484),IF(N($P1484)=0,"",IF(INT($B1484)&lt;$P1484,$P1484,IF($Q1484&gt;0,$P1484+ROUND((INT($B1484)-$P1484)/$Q1484,0)*$Q1484,IF($R1484&gt;0,EDATE($P1484,ROUND((DATEDIF($P1484,INT($B1484),"m")+(INT($B1484)-EDATE($P1484,DATEDIF($P1484,INT($B1484),"m")))/(EDATE($P1484,DATEDIF($P1484,INT($B1484),"m")+1)-EDATE($P1484,DATEDIF($P1484,INT($B1484),"m"))))/$R1484,0)*$R1484),$P1484))))),"")))</f>
      </c>
      <c r="M1484" s="223">
        <f>IF(OR($C1484="",N($L1484)=0,N($B1484)=0),"",IF(IF(MOD($L1484,1)=0,INT($B1484),$B1484)&lt;=$L1484,"Đúng hạn","Trễ hạn"))</f>
      </c>
      <c r="N1484" s="225">
        <f>IF($C1484="","",ROW())</f>
      </c>
      <c r="O1484" s="225">
        <f>IF($I1484="Công việc",MATCH($C1484,'Kế hoạch'!$A$6:$A$305,0),"")</f>
      </c>
      <c r="P1484" s="234">
        <f>IF($O1484="","",INDEX('Kế hoạch'!$I$6:$I$305,$O1484))</f>
      </c>
      <c r="Q1484" s="225">
        <f>IF($O1484="","",INDEX('Kế hoạch'!$AJ$6:$AJ$305,$O1484))</f>
      </c>
      <c r="R1484" s="225">
        <f>IF($O1484="","",INDEX('Kế hoạch'!$AK$6:$AK$305,$O1484))</f>
      </c>
    </row>
    <row r="1485">
      <c r="A1485" s="223">
        <f>IF($C1485="","",COUNTIF($C$6:$C1485,"?*"))</f>
      </c>
      <c r="B1485" s="217"/>
      <c r="C1485" s="216"/>
      <c r="D1485" s="240"/>
      <c r="E1485" s="218"/>
      <c r="F1485" s="218"/>
      <c r="G1485" s="218"/>
      <c r="H1485" s="219"/>
      <c r="I1485" s="223">
        <f>IF($C1485="","",IF(ISNUMBER(MATCH($C1485,'Phản ánh'!$A$6:$A$505,0)),"Phản ánh",IF(ISNUMBER(MATCH($C1485,'Kế hoạch'!$A$6:$A$305,0)),"Công việc","Mã chưa có")))</f>
      </c>
      <c r="J1485" s="221">
        <f>IF($I1485="Phản ánh",INDEX('Phản ánh'!$C$6:$C$505,MATCH($C1485,'Phản ánh'!$A$6:$A$505,0)),IF($I1485="Công việc",INDEX('Kế hoạch'!$C$6:$C$305,$O1485),""))</f>
      </c>
      <c r="K1485" s="221">
        <f>IF($I1485="Phản ánh",INDEX('Phản ánh'!$K$6:$K$505,MATCH($C1485,'Phản ánh'!$A$6:$A$505,0))&amp;"",IF($I1485="Công việc",INDEX('Kế hoạch'!$N$6:$N$305,$O1485)&amp;"",""))</f>
      </c>
      <c r="L1485" s="220">
        <f>IF(OR($C1485="",N($B1485)=0),"",IF(AND($I1485="Phản ánh",$E1485="Đã xử lý"),INDEX('Phản ánh'!$U$6:$U$505,MATCH($C1485,'Phản ánh'!$A$6:$A$505,0)),IF(AND($I1485="Công việc",OR($E1485="Hoàn thành",$E1485="Hoàn thành kỳ")),IF(INDEX('Kế hoạch'!$B$6:$B$305,$O1485)="Đột xuất",INDEX('Kế hoạch'!$AY$6:$AY$305,$O1485),IF(N($P1485)=0,"",IF(INT($B1485)&lt;$P1485,$P1485,IF($Q1485&gt;0,$P1485+ROUND((INT($B1485)-$P1485)/$Q1485,0)*$Q1485,IF($R1485&gt;0,EDATE($P1485,ROUND((DATEDIF($P1485,INT($B1485),"m")+(INT($B1485)-EDATE($P1485,DATEDIF($P1485,INT($B1485),"m")))/(EDATE($P1485,DATEDIF($P1485,INT($B1485),"m")+1)-EDATE($P1485,DATEDIF($P1485,INT($B1485),"m"))))/$R1485,0)*$R1485),$P1485))))),"")))</f>
      </c>
      <c r="M1485" s="223">
        <f>IF(OR($C1485="",N($L1485)=0,N($B1485)=0),"",IF(IF(MOD($L1485,1)=0,INT($B1485),$B1485)&lt;=$L1485,"Đúng hạn","Trễ hạn"))</f>
      </c>
      <c r="N1485" s="225">
        <f>IF($C1485="","",ROW())</f>
      </c>
      <c r="O1485" s="225">
        <f>IF($I1485="Công việc",MATCH($C1485,'Kế hoạch'!$A$6:$A$305,0),"")</f>
      </c>
      <c r="P1485" s="234">
        <f>IF($O1485="","",INDEX('Kế hoạch'!$I$6:$I$305,$O1485))</f>
      </c>
      <c r="Q1485" s="225">
        <f>IF($O1485="","",INDEX('Kế hoạch'!$AJ$6:$AJ$305,$O1485))</f>
      </c>
      <c r="R1485" s="225">
        <f>IF($O1485="","",INDEX('Kế hoạch'!$AK$6:$AK$305,$O1485))</f>
      </c>
    </row>
    <row r="1486">
      <c r="A1486" s="223">
        <f>IF($C1486="","",COUNTIF($C$6:$C1486,"?*"))</f>
      </c>
      <c r="B1486" s="217"/>
      <c r="C1486" s="216"/>
      <c r="D1486" s="240"/>
      <c r="E1486" s="218"/>
      <c r="F1486" s="218"/>
      <c r="G1486" s="218"/>
      <c r="H1486" s="219"/>
      <c r="I1486" s="223">
        <f>IF($C1486="","",IF(ISNUMBER(MATCH($C1486,'Phản ánh'!$A$6:$A$505,0)),"Phản ánh",IF(ISNUMBER(MATCH($C1486,'Kế hoạch'!$A$6:$A$305,0)),"Công việc","Mã chưa có")))</f>
      </c>
      <c r="J1486" s="221">
        <f>IF($I1486="Phản ánh",INDEX('Phản ánh'!$C$6:$C$505,MATCH($C1486,'Phản ánh'!$A$6:$A$505,0)),IF($I1486="Công việc",INDEX('Kế hoạch'!$C$6:$C$305,$O1486),""))</f>
      </c>
      <c r="K1486" s="221">
        <f>IF($I1486="Phản ánh",INDEX('Phản ánh'!$K$6:$K$505,MATCH($C1486,'Phản ánh'!$A$6:$A$505,0))&amp;"",IF($I1486="Công việc",INDEX('Kế hoạch'!$N$6:$N$305,$O1486)&amp;"",""))</f>
      </c>
      <c r="L1486" s="220">
        <f>IF(OR($C1486="",N($B1486)=0),"",IF(AND($I1486="Phản ánh",$E1486="Đã xử lý"),INDEX('Phản ánh'!$U$6:$U$505,MATCH($C1486,'Phản ánh'!$A$6:$A$505,0)),IF(AND($I1486="Công việc",OR($E1486="Hoàn thành",$E1486="Hoàn thành kỳ")),IF(INDEX('Kế hoạch'!$B$6:$B$305,$O1486)="Đột xuất",INDEX('Kế hoạch'!$AY$6:$AY$305,$O1486),IF(N($P1486)=0,"",IF(INT($B1486)&lt;$P1486,$P1486,IF($Q1486&gt;0,$P1486+ROUND((INT($B1486)-$P1486)/$Q1486,0)*$Q1486,IF($R1486&gt;0,EDATE($P1486,ROUND((DATEDIF($P1486,INT($B1486),"m")+(INT($B1486)-EDATE($P1486,DATEDIF($P1486,INT($B1486),"m")))/(EDATE($P1486,DATEDIF($P1486,INT($B1486),"m")+1)-EDATE($P1486,DATEDIF($P1486,INT($B1486),"m"))))/$R1486,0)*$R1486),$P1486))))),"")))</f>
      </c>
      <c r="M1486" s="223">
        <f>IF(OR($C1486="",N($L1486)=0,N($B1486)=0),"",IF(IF(MOD($L1486,1)=0,INT($B1486),$B1486)&lt;=$L1486,"Đúng hạn","Trễ hạn"))</f>
      </c>
      <c r="N1486" s="225">
        <f>IF($C1486="","",ROW())</f>
      </c>
      <c r="O1486" s="225">
        <f>IF($I1486="Công việc",MATCH($C1486,'Kế hoạch'!$A$6:$A$305,0),"")</f>
      </c>
      <c r="P1486" s="234">
        <f>IF($O1486="","",INDEX('Kế hoạch'!$I$6:$I$305,$O1486))</f>
      </c>
      <c r="Q1486" s="225">
        <f>IF($O1486="","",INDEX('Kế hoạch'!$AJ$6:$AJ$305,$O1486))</f>
      </c>
      <c r="R1486" s="225">
        <f>IF($O1486="","",INDEX('Kế hoạch'!$AK$6:$AK$305,$O1486))</f>
      </c>
    </row>
    <row r="1487">
      <c r="A1487" s="223">
        <f>IF($C1487="","",COUNTIF($C$6:$C1487,"?*"))</f>
      </c>
      <c r="B1487" s="217"/>
      <c r="C1487" s="216"/>
      <c r="D1487" s="240"/>
      <c r="E1487" s="218"/>
      <c r="F1487" s="218"/>
      <c r="G1487" s="218"/>
      <c r="H1487" s="219"/>
      <c r="I1487" s="223">
        <f>IF($C1487="","",IF(ISNUMBER(MATCH($C1487,'Phản ánh'!$A$6:$A$505,0)),"Phản ánh",IF(ISNUMBER(MATCH($C1487,'Kế hoạch'!$A$6:$A$305,0)),"Công việc","Mã chưa có")))</f>
      </c>
      <c r="J1487" s="221">
        <f>IF($I1487="Phản ánh",INDEX('Phản ánh'!$C$6:$C$505,MATCH($C1487,'Phản ánh'!$A$6:$A$505,0)),IF($I1487="Công việc",INDEX('Kế hoạch'!$C$6:$C$305,$O1487),""))</f>
      </c>
      <c r="K1487" s="221">
        <f>IF($I1487="Phản ánh",INDEX('Phản ánh'!$K$6:$K$505,MATCH($C1487,'Phản ánh'!$A$6:$A$505,0))&amp;"",IF($I1487="Công việc",INDEX('Kế hoạch'!$N$6:$N$305,$O1487)&amp;"",""))</f>
      </c>
      <c r="L1487" s="220">
        <f>IF(OR($C1487="",N($B1487)=0),"",IF(AND($I1487="Phản ánh",$E1487="Đã xử lý"),INDEX('Phản ánh'!$U$6:$U$505,MATCH($C1487,'Phản ánh'!$A$6:$A$505,0)),IF(AND($I1487="Công việc",OR($E1487="Hoàn thành",$E1487="Hoàn thành kỳ")),IF(INDEX('Kế hoạch'!$B$6:$B$305,$O1487)="Đột xuất",INDEX('Kế hoạch'!$AY$6:$AY$305,$O1487),IF(N($P1487)=0,"",IF(INT($B1487)&lt;$P1487,$P1487,IF($Q1487&gt;0,$P1487+ROUND((INT($B1487)-$P1487)/$Q1487,0)*$Q1487,IF($R1487&gt;0,EDATE($P1487,ROUND((DATEDIF($P1487,INT($B1487),"m")+(INT($B1487)-EDATE($P1487,DATEDIF($P1487,INT($B1487),"m")))/(EDATE($P1487,DATEDIF($P1487,INT($B1487),"m")+1)-EDATE($P1487,DATEDIF($P1487,INT($B1487),"m"))))/$R1487,0)*$R1487),$P1487))))),"")))</f>
      </c>
      <c r="M1487" s="223">
        <f>IF(OR($C1487="",N($L1487)=0,N($B1487)=0),"",IF(IF(MOD($L1487,1)=0,INT($B1487),$B1487)&lt;=$L1487,"Đúng hạn","Trễ hạn"))</f>
      </c>
      <c r="N1487" s="225">
        <f>IF($C1487="","",ROW())</f>
      </c>
      <c r="O1487" s="225">
        <f>IF($I1487="Công việc",MATCH($C1487,'Kế hoạch'!$A$6:$A$305,0),"")</f>
      </c>
      <c r="P1487" s="234">
        <f>IF($O1487="","",INDEX('Kế hoạch'!$I$6:$I$305,$O1487))</f>
      </c>
      <c r="Q1487" s="225">
        <f>IF($O1487="","",INDEX('Kế hoạch'!$AJ$6:$AJ$305,$O1487))</f>
      </c>
      <c r="R1487" s="225">
        <f>IF($O1487="","",INDEX('Kế hoạch'!$AK$6:$AK$305,$O1487))</f>
      </c>
    </row>
    <row r="1488">
      <c r="A1488" s="223">
        <f>IF($C1488="","",COUNTIF($C$6:$C1488,"?*"))</f>
      </c>
      <c r="B1488" s="217"/>
      <c r="C1488" s="216"/>
      <c r="D1488" s="240"/>
      <c r="E1488" s="218"/>
      <c r="F1488" s="218"/>
      <c r="G1488" s="218"/>
      <c r="H1488" s="219"/>
      <c r="I1488" s="223">
        <f>IF($C1488="","",IF(ISNUMBER(MATCH($C1488,'Phản ánh'!$A$6:$A$505,0)),"Phản ánh",IF(ISNUMBER(MATCH($C1488,'Kế hoạch'!$A$6:$A$305,0)),"Công việc","Mã chưa có")))</f>
      </c>
      <c r="J1488" s="221">
        <f>IF($I1488="Phản ánh",INDEX('Phản ánh'!$C$6:$C$505,MATCH($C1488,'Phản ánh'!$A$6:$A$505,0)),IF($I1488="Công việc",INDEX('Kế hoạch'!$C$6:$C$305,$O1488),""))</f>
      </c>
      <c r="K1488" s="221">
        <f>IF($I1488="Phản ánh",INDEX('Phản ánh'!$K$6:$K$505,MATCH($C1488,'Phản ánh'!$A$6:$A$505,0))&amp;"",IF($I1488="Công việc",INDEX('Kế hoạch'!$N$6:$N$305,$O1488)&amp;"",""))</f>
      </c>
      <c r="L1488" s="220">
        <f>IF(OR($C1488="",N($B1488)=0),"",IF(AND($I1488="Phản ánh",$E1488="Đã xử lý"),INDEX('Phản ánh'!$U$6:$U$505,MATCH($C1488,'Phản ánh'!$A$6:$A$505,0)),IF(AND($I1488="Công việc",OR($E1488="Hoàn thành",$E1488="Hoàn thành kỳ")),IF(INDEX('Kế hoạch'!$B$6:$B$305,$O1488)="Đột xuất",INDEX('Kế hoạch'!$AY$6:$AY$305,$O1488),IF(N($P1488)=0,"",IF(INT($B1488)&lt;$P1488,$P1488,IF($Q1488&gt;0,$P1488+ROUND((INT($B1488)-$P1488)/$Q1488,0)*$Q1488,IF($R1488&gt;0,EDATE($P1488,ROUND((DATEDIF($P1488,INT($B1488),"m")+(INT($B1488)-EDATE($P1488,DATEDIF($P1488,INT($B1488),"m")))/(EDATE($P1488,DATEDIF($P1488,INT($B1488),"m")+1)-EDATE($P1488,DATEDIF($P1488,INT($B1488),"m"))))/$R1488,0)*$R1488),$P1488))))),"")))</f>
      </c>
      <c r="M1488" s="223">
        <f>IF(OR($C1488="",N($L1488)=0,N($B1488)=0),"",IF(IF(MOD($L1488,1)=0,INT($B1488),$B1488)&lt;=$L1488,"Đúng hạn","Trễ hạn"))</f>
      </c>
      <c r="N1488" s="225">
        <f>IF($C1488="","",ROW())</f>
      </c>
      <c r="O1488" s="225">
        <f>IF($I1488="Công việc",MATCH($C1488,'Kế hoạch'!$A$6:$A$305,0),"")</f>
      </c>
      <c r="P1488" s="234">
        <f>IF($O1488="","",INDEX('Kế hoạch'!$I$6:$I$305,$O1488))</f>
      </c>
      <c r="Q1488" s="225">
        <f>IF($O1488="","",INDEX('Kế hoạch'!$AJ$6:$AJ$305,$O1488))</f>
      </c>
      <c r="R1488" s="225">
        <f>IF($O1488="","",INDEX('Kế hoạch'!$AK$6:$AK$305,$O1488))</f>
      </c>
    </row>
    <row r="1489">
      <c r="A1489" s="223">
        <f>IF($C1489="","",COUNTIF($C$6:$C1489,"?*"))</f>
      </c>
      <c r="B1489" s="217"/>
      <c r="C1489" s="216"/>
      <c r="D1489" s="240"/>
      <c r="E1489" s="218"/>
      <c r="F1489" s="218"/>
      <c r="G1489" s="218"/>
      <c r="H1489" s="219"/>
      <c r="I1489" s="223">
        <f>IF($C1489="","",IF(ISNUMBER(MATCH($C1489,'Phản ánh'!$A$6:$A$505,0)),"Phản ánh",IF(ISNUMBER(MATCH($C1489,'Kế hoạch'!$A$6:$A$305,0)),"Công việc","Mã chưa có")))</f>
      </c>
      <c r="J1489" s="221">
        <f>IF($I1489="Phản ánh",INDEX('Phản ánh'!$C$6:$C$505,MATCH($C1489,'Phản ánh'!$A$6:$A$505,0)),IF($I1489="Công việc",INDEX('Kế hoạch'!$C$6:$C$305,$O1489),""))</f>
      </c>
      <c r="K1489" s="221">
        <f>IF($I1489="Phản ánh",INDEX('Phản ánh'!$K$6:$K$505,MATCH($C1489,'Phản ánh'!$A$6:$A$505,0))&amp;"",IF($I1489="Công việc",INDEX('Kế hoạch'!$N$6:$N$305,$O1489)&amp;"",""))</f>
      </c>
      <c r="L1489" s="220">
        <f>IF(OR($C1489="",N($B1489)=0),"",IF(AND($I1489="Phản ánh",$E1489="Đã xử lý"),INDEX('Phản ánh'!$U$6:$U$505,MATCH($C1489,'Phản ánh'!$A$6:$A$505,0)),IF(AND($I1489="Công việc",OR($E1489="Hoàn thành",$E1489="Hoàn thành kỳ")),IF(INDEX('Kế hoạch'!$B$6:$B$305,$O1489)="Đột xuất",INDEX('Kế hoạch'!$AY$6:$AY$305,$O1489),IF(N($P1489)=0,"",IF(INT($B1489)&lt;$P1489,$P1489,IF($Q1489&gt;0,$P1489+ROUND((INT($B1489)-$P1489)/$Q1489,0)*$Q1489,IF($R1489&gt;0,EDATE($P1489,ROUND((DATEDIF($P1489,INT($B1489),"m")+(INT($B1489)-EDATE($P1489,DATEDIF($P1489,INT($B1489),"m")))/(EDATE($P1489,DATEDIF($P1489,INT($B1489),"m")+1)-EDATE($P1489,DATEDIF($P1489,INT($B1489),"m"))))/$R1489,0)*$R1489),$P1489))))),"")))</f>
      </c>
      <c r="M1489" s="223">
        <f>IF(OR($C1489="",N($L1489)=0,N($B1489)=0),"",IF(IF(MOD($L1489,1)=0,INT($B1489),$B1489)&lt;=$L1489,"Đúng hạn","Trễ hạn"))</f>
      </c>
      <c r="N1489" s="225">
        <f>IF($C1489="","",ROW())</f>
      </c>
      <c r="O1489" s="225">
        <f>IF($I1489="Công việc",MATCH($C1489,'Kế hoạch'!$A$6:$A$305,0),"")</f>
      </c>
      <c r="P1489" s="234">
        <f>IF($O1489="","",INDEX('Kế hoạch'!$I$6:$I$305,$O1489))</f>
      </c>
      <c r="Q1489" s="225">
        <f>IF($O1489="","",INDEX('Kế hoạch'!$AJ$6:$AJ$305,$O1489))</f>
      </c>
      <c r="R1489" s="225">
        <f>IF($O1489="","",INDEX('Kế hoạch'!$AK$6:$AK$305,$O1489))</f>
      </c>
    </row>
    <row r="1490">
      <c r="A1490" s="223">
        <f>IF($C1490="","",COUNTIF($C$6:$C1490,"?*"))</f>
      </c>
      <c r="B1490" s="217"/>
      <c r="C1490" s="216"/>
      <c r="D1490" s="240"/>
      <c r="E1490" s="218"/>
      <c r="F1490" s="218"/>
      <c r="G1490" s="218"/>
      <c r="H1490" s="219"/>
      <c r="I1490" s="223">
        <f>IF($C1490="","",IF(ISNUMBER(MATCH($C1490,'Phản ánh'!$A$6:$A$505,0)),"Phản ánh",IF(ISNUMBER(MATCH($C1490,'Kế hoạch'!$A$6:$A$305,0)),"Công việc","Mã chưa có")))</f>
      </c>
      <c r="J1490" s="221">
        <f>IF($I1490="Phản ánh",INDEX('Phản ánh'!$C$6:$C$505,MATCH($C1490,'Phản ánh'!$A$6:$A$505,0)),IF($I1490="Công việc",INDEX('Kế hoạch'!$C$6:$C$305,$O1490),""))</f>
      </c>
      <c r="K1490" s="221">
        <f>IF($I1490="Phản ánh",INDEX('Phản ánh'!$K$6:$K$505,MATCH($C1490,'Phản ánh'!$A$6:$A$505,0))&amp;"",IF($I1490="Công việc",INDEX('Kế hoạch'!$N$6:$N$305,$O1490)&amp;"",""))</f>
      </c>
      <c r="L1490" s="220">
        <f>IF(OR($C1490="",N($B1490)=0),"",IF(AND($I1490="Phản ánh",$E1490="Đã xử lý"),INDEX('Phản ánh'!$U$6:$U$505,MATCH($C1490,'Phản ánh'!$A$6:$A$505,0)),IF(AND($I1490="Công việc",OR($E1490="Hoàn thành",$E1490="Hoàn thành kỳ")),IF(INDEX('Kế hoạch'!$B$6:$B$305,$O1490)="Đột xuất",INDEX('Kế hoạch'!$AY$6:$AY$305,$O1490),IF(N($P1490)=0,"",IF(INT($B1490)&lt;$P1490,$P1490,IF($Q1490&gt;0,$P1490+ROUND((INT($B1490)-$P1490)/$Q1490,0)*$Q1490,IF($R1490&gt;0,EDATE($P1490,ROUND((DATEDIF($P1490,INT($B1490),"m")+(INT($B1490)-EDATE($P1490,DATEDIF($P1490,INT($B1490),"m")))/(EDATE($P1490,DATEDIF($P1490,INT($B1490),"m")+1)-EDATE($P1490,DATEDIF($P1490,INT($B1490),"m"))))/$R1490,0)*$R1490),$P1490))))),"")))</f>
      </c>
      <c r="M1490" s="223">
        <f>IF(OR($C1490="",N($L1490)=0,N($B1490)=0),"",IF(IF(MOD($L1490,1)=0,INT($B1490),$B1490)&lt;=$L1490,"Đúng hạn","Trễ hạn"))</f>
      </c>
      <c r="N1490" s="225">
        <f>IF($C1490="","",ROW())</f>
      </c>
      <c r="O1490" s="225">
        <f>IF($I1490="Công việc",MATCH($C1490,'Kế hoạch'!$A$6:$A$305,0),"")</f>
      </c>
      <c r="P1490" s="234">
        <f>IF($O1490="","",INDEX('Kế hoạch'!$I$6:$I$305,$O1490))</f>
      </c>
      <c r="Q1490" s="225">
        <f>IF($O1490="","",INDEX('Kế hoạch'!$AJ$6:$AJ$305,$O1490))</f>
      </c>
      <c r="R1490" s="225">
        <f>IF($O1490="","",INDEX('Kế hoạch'!$AK$6:$AK$305,$O1490))</f>
      </c>
    </row>
    <row r="1491">
      <c r="A1491" s="223">
        <f>IF($C1491="","",COUNTIF($C$6:$C1491,"?*"))</f>
      </c>
      <c r="B1491" s="217"/>
      <c r="C1491" s="216"/>
      <c r="D1491" s="240"/>
      <c r="E1491" s="218"/>
      <c r="F1491" s="218"/>
      <c r="G1491" s="218"/>
      <c r="H1491" s="219"/>
      <c r="I1491" s="223">
        <f>IF($C1491="","",IF(ISNUMBER(MATCH($C1491,'Phản ánh'!$A$6:$A$505,0)),"Phản ánh",IF(ISNUMBER(MATCH($C1491,'Kế hoạch'!$A$6:$A$305,0)),"Công việc","Mã chưa có")))</f>
      </c>
      <c r="J1491" s="221">
        <f>IF($I1491="Phản ánh",INDEX('Phản ánh'!$C$6:$C$505,MATCH($C1491,'Phản ánh'!$A$6:$A$505,0)),IF($I1491="Công việc",INDEX('Kế hoạch'!$C$6:$C$305,$O1491),""))</f>
      </c>
      <c r="K1491" s="221">
        <f>IF($I1491="Phản ánh",INDEX('Phản ánh'!$K$6:$K$505,MATCH($C1491,'Phản ánh'!$A$6:$A$505,0))&amp;"",IF($I1491="Công việc",INDEX('Kế hoạch'!$N$6:$N$305,$O1491)&amp;"",""))</f>
      </c>
      <c r="L1491" s="220">
        <f>IF(OR($C1491="",N($B1491)=0),"",IF(AND($I1491="Phản ánh",$E1491="Đã xử lý"),INDEX('Phản ánh'!$U$6:$U$505,MATCH($C1491,'Phản ánh'!$A$6:$A$505,0)),IF(AND($I1491="Công việc",OR($E1491="Hoàn thành",$E1491="Hoàn thành kỳ")),IF(INDEX('Kế hoạch'!$B$6:$B$305,$O1491)="Đột xuất",INDEX('Kế hoạch'!$AY$6:$AY$305,$O1491),IF(N($P1491)=0,"",IF(INT($B1491)&lt;$P1491,$P1491,IF($Q1491&gt;0,$P1491+ROUND((INT($B1491)-$P1491)/$Q1491,0)*$Q1491,IF($R1491&gt;0,EDATE($P1491,ROUND((DATEDIF($P1491,INT($B1491),"m")+(INT($B1491)-EDATE($P1491,DATEDIF($P1491,INT($B1491),"m")))/(EDATE($P1491,DATEDIF($P1491,INT($B1491),"m")+1)-EDATE($P1491,DATEDIF($P1491,INT($B1491),"m"))))/$R1491,0)*$R1491),$P1491))))),"")))</f>
      </c>
      <c r="M1491" s="223">
        <f>IF(OR($C1491="",N($L1491)=0,N($B1491)=0),"",IF(IF(MOD($L1491,1)=0,INT($B1491),$B1491)&lt;=$L1491,"Đúng hạn","Trễ hạn"))</f>
      </c>
      <c r="N1491" s="225">
        <f>IF($C1491="","",ROW())</f>
      </c>
      <c r="O1491" s="225">
        <f>IF($I1491="Công việc",MATCH($C1491,'Kế hoạch'!$A$6:$A$305,0),"")</f>
      </c>
      <c r="P1491" s="234">
        <f>IF($O1491="","",INDEX('Kế hoạch'!$I$6:$I$305,$O1491))</f>
      </c>
      <c r="Q1491" s="225">
        <f>IF($O1491="","",INDEX('Kế hoạch'!$AJ$6:$AJ$305,$O1491))</f>
      </c>
      <c r="R1491" s="225">
        <f>IF($O1491="","",INDEX('Kế hoạch'!$AK$6:$AK$305,$O1491))</f>
      </c>
    </row>
    <row r="1492">
      <c r="A1492" s="223">
        <f>IF($C1492="","",COUNTIF($C$6:$C1492,"?*"))</f>
      </c>
      <c r="B1492" s="217"/>
      <c r="C1492" s="216"/>
      <c r="D1492" s="240"/>
      <c r="E1492" s="218"/>
      <c r="F1492" s="218"/>
      <c r="G1492" s="218"/>
      <c r="H1492" s="219"/>
      <c r="I1492" s="223">
        <f>IF($C1492="","",IF(ISNUMBER(MATCH($C1492,'Phản ánh'!$A$6:$A$505,0)),"Phản ánh",IF(ISNUMBER(MATCH($C1492,'Kế hoạch'!$A$6:$A$305,0)),"Công việc","Mã chưa có")))</f>
      </c>
      <c r="J1492" s="221">
        <f>IF($I1492="Phản ánh",INDEX('Phản ánh'!$C$6:$C$505,MATCH($C1492,'Phản ánh'!$A$6:$A$505,0)),IF($I1492="Công việc",INDEX('Kế hoạch'!$C$6:$C$305,$O1492),""))</f>
      </c>
      <c r="K1492" s="221">
        <f>IF($I1492="Phản ánh",INDEX('Phản ánh'!$K$6:$K$505,MATCH($C1492,'Phản ánh'!$A$6:$A$505,0))&amp;"",IF($I1492="Công việc",INDEX('Kế hoạch'!$N$6:$N$305,$O1492)&amp;"",""))</f>
      </c>
      <c r="L1492" s="220">
        <f>IF(OR($C1492="",N($B1492)=0),"",IF(AND($I1492="Phản ánh",$E1492="Đã xử lý"),INDEX('Phản ánh'!$U$6:$U$505,MATCH($C1492,'Phản ánh'!$A$6:$A$505,0)),IF(AND($I1492="Công việc",OR($E1492="Hoàn thành",$E1492="Hoàn thành kỳ")),IF(INDEX('Kế hoạch'!$B$6:$B$305,$O1492)="Đột xuất",INDEX('Kế hoạch'!$AY$6:$AY$305,$O1492),IF(N($P1492)=0,"",IF(INT($B1492)&lt;$P1492,$P1492,IF($Q1492&gt;0,$P1492+ROUND((INT($B1492)-$P1492)/$Q1492,0)*$Q1492,IF($R1492&gt;0,EDATE($P1492,ROUND((DATEDIF($P1492,INT($B1492),"m")+(INT($B1492)-EDATE($P1492,DATEDIF($P1492,INT($B1492),"m")))/(EDATE($P1492,DATEDIF($P1492,INT($B1492),"m")+1)-EDATE($P1492,DATEDIF($P1492,INT($B1492),"m"))))/$R1492,0)*$R1492),$P1492))))),"")))</f>
      </c>
      <c r="M1492" s="223">
        <f>IF(OR($C1492="",N($L1492)=0,N($B1492)=0),"",IF(IF(MOD($L1492,1)=0,INT($B1492),$B1492)&lt;=$L1492,"Đúng hạn","Trễ hạn"))</f>
      </c>
      <c r="N1492" s="225">
        <f>IF($C1492="","",ROW())</f>
      </c>
      <c r="O1492" s="225">
        <f>IF($I1492="Công việc",MATCH($C1492,'Kế hoạch'!$A$6:$A$305,0),"")</f>
      </c>
      <c r="P1492" s="234">
        <f>IF($O1492="","",INDEX('Kế hoạch'!$I$6:$I$305,$O1492))</f>
      </c>
      <c r="Q1492" s="225">
        <f>IF($O1492="","",INDEX('Kế hoạch'!$AJ$6:$AJ$305,$O1492))</f>
      </c>
      <c r="R1492" s="225">
        <f>IF($O1492="","",INDEX('Kế hoạch'!$AK$6:$AK$305,$O1492))</f>
      </c>
    </row>
    <row r="1493">
      <c r="A1493" s="223">
        <f>IF($C1493="","",COUNTIF($C$6:$C1493,"?*"))</f>
      </c>
      <c r="B1493" s="217"/>
      <c r="C1493" s="216"/>
      <c r="D1493" s="240"/>
      <c r="E1493" s="218"/>
      <c r="F1493" s="218"/>
      <c r="G1493" s="218"/>
      <c r="H1493" s="219"/>
      <c r="I1493" s="223">
        <f>IF($C1493="","",IF(ISNUMBER(MATCH($C1493,'Phản ánh'!$A$6:$A$505,0)),"Phản ánh",IF(ISNUMBER(MATCH($C1493,'Kế hoạch'!$A$6:$A$305,0)),"Công việc","Mã chưa có")))</f>
      </c>
      <c r="J1493" s="221">
        <f>IF($I1493="Phản ánh",INDEX('Phản ánh'!$C$6:$C$505,MATCH($C1493,'Phản ánh'!$A$6:$A$505,0)),IF($I1493="Công việc",INDEX('Kế hoạch'!$C$6:$C$305,$O1493),""))</f>
      </c>
      <c r="K1493" s="221">
        <f>IF($I1493="Phản ánh",INDEX('Phản ánh'!$K$6:$K$505,MATCH($C1493,'Phản ánh'!$A$6:$A$505,0))&amp;"",IF($I1493="Công việc",INDEX('Kế hoạch'!$N$6:$N$305,$O1493)&amp;"",""))</f>
      </c>
      <c r="L1493" s="220">
        <f>IF(OR($C1493="",N($B1493)=0),"",IF(AND($I1493="Phản ánh",$E1493="Đã xử lý"),INDEX('Phản ánh'!$U$6:$U$505,MATCH($C1493,'Phản ánh'!$A$6:$A$505,0)),IF(AND($I1493="Công việc",OR($E1493="Hoàn thành",$E1493="Hoàn thành kỳ")),IF(INDEX('Kế hoạch'!$B$6:$B$305,$O1493)="Đột xuất",INDEX('Kế hoạch'!$AY$6:$AY$305,$O1493),IF(N($P1493)=0,"",IF(INT($B1493)&lt;$P1493,$P1493,IF($Q1493&gt;0,$P1493+ROUND((INT($B1493)-$P1493)/$Q1493,0)*$Q1493,IF($R1493&gt;0,EDATE($P1493,ROUND((DATEDIF($P1493,INT($B1493),"m")+(INT($B1493)-EDATE($P1493,DATEDIF($P1493,INT($B1493),"m")))/(EDATE($P1493,DATEDIF($P1493,INT($B1493),"m")+1)-EDATE($P1493,DATEDIF($P1493,INT($B1493),"m"))))/$R1493,0)*$R1493),$P1493))))),"")))</f>
      </c>
      <c r="M1493" s="223">
        <f>IF(OR($C1493="",N($L1493)=0,N($B1493)=0),"",IF(IF(MOD($L1493,1)=0,INT($B1493),$B1493)&lt;=$L1493,"Đúng hạn","Trễ hạn"))</f>
      </c>
      <c r="N1493" s="225">
        <f>IF($C1493="","",ROW())</f>
      </c>
      <c r="O1493" s="225">
        <f>IF($I1493="Công việc",MATCH($C1493,'Kế hoạch'!$A$6:$A$305,0),"")</f>
      </c>
      <c r="P1493" s="234">
        <f>IF($O1493="","",INDEX('Kế hoạch'!$I$6:$I$305,$O1493))</f>
      </c>
      <c r="Q1493" s="225">
        <f>IF($O1493="","",INDEX('Kế hoạch'!$AJ$6:$AJ$305,$O1493))</f>
      </c>
      <c r="R1493" s="225">
        <f>IF($O1493="","",INDEX('Kế hoạch'!$AK$6:$AK$305,$O1493))</f>
      </c>
    </row>
    <row r="1494">
      <c r="A1494" s="223">
        <f>IF($C1494="","",COUNTIF($C$6:$C1494,"?*"))</f>
      </c>
      <c r="B1494" s="217"/>
      <c r="C1494" s="216"/>
      <c r="D1494" s="240"/>
      <c r="E1494" s="218"/>
      <c r="F1494" s="218"/>
      <c r="G1494" s="218"/>
      <c r="H1494" s="219"/>
      <c r="I1494" s="223">
        <f>IF($C1494="","",IF(ISNUMBER(MATCH($C1494,'Phản ánh'!$A$6:$A$505,0)),"Phản ánh",IF(ISNUMBER(MATCH($C1494,'Kế hoạch'!$A$6:$A$305,0)),"Công việc","Mã chưa có")))</f>
      </c>
      <c r="J1494" s="221">
        <f>IF($I1494="Phản ánh",INDEX('Phản ánh'!$C$6:$C$505,MATCH($C1494,'Phản ánh'!$A$6:$A$505,0)),IF($I1494="Công việc",INDEX('Kế hoạch'!$C$6:$C$305,$O1494),""))</f>
      </c>
      <c r="K1494" s="221">
        <f>IF($I1494="Phản ánh",INDEX('Phản ánh'!$K$6:$K$505,MATCH($C1494,'Phản ánh'!$A$6:$A$505,0))&amp;"",IF($I1494="Công việc",INDEX('Kế hoạch'!$N$6:$N$305,$O1494)&amp;"",""))</f>
      </c>
      <c r="L1494" s="220">
        <f>IF(OR($C1494="",N($B1494)=0),"",IF(AND($I1494="Phản ánh",$E1494="Đã xử lý"),INDEX('Phản ánh'!$U$6:$U$505,MATCH($C1494,'Phản ánh'!$A$6:$A$505,0)),IF(AND($I1494="Công việc",OR($E1494="Hoàn thành",$E1494="Hoàn thành kỳ")),IF(INDEX('Kế hoạch'!$B$6:$B$305,$O1494)="Đột xuất",INDEX('Kế hoạch'!$AY$6:$AY$305,$O1494),IF(N($P1494)=0,"",IF(INT($B1494)&lt;$P1494,$P1494,IF($Q1494&gt;0,$P1494+ROUND((INT($B1494)-$P1494)/$Q1494,0)*$Q1494,IF($R1494&gt;0,EDATE($P1494,ROUND((DATEDIF($P1494,INT($B1494),"m")+(INT($B1494)-EDATE($P1494,DATEDIF($P1494,INT($B1494),"m")))/(EDATE($P1494,DATEDIF($P1494,INT($B1494),"m")+1)-EDATE($P1494,DATEDIF($P1494,INT($B1494),"m"))))/$R1494,0)*$R1494),$P1494))))),"")))</f>
      </c>
      <c r="M1494" s="223">
        <f>IF(OR($C1494="",N($L1494)=0,N($B1494)=0),"",IF(IF(MOD($L1494,1)=0,INT($B1494),$B1494)&lt;=$L1494,"Đúng hạn","Trễ hạn"))</f>
      </c>
      <c r="N1494" s="225">
        <f>IF($C1494="","",ROW())</f>
      </c>
      <c r="O1494" s="225">
        <f>IF($I1494="Công việc",MATCH($C1494,'Kế hoạch'!$A$6:$A$305,0),"")</f>
      </c>
      <c r="P1494" s="234">
        <f>IF($O1494="","",INDEX('Kế hoạch'!$I$6:$I$305,$O1494))</f>
      </c>
      <c r="Q1494" s="225">
        <f>IF($O1494="","",INDEX('Kế hoạch'!$AJ$6:$AJ$305,$O1494))</f>
      </c>
      <c r="R1494" s="225">
        <f>IF($O1494="","",INDEX('Kế hoạch'!$AK$6:$AK$305,$O1494))</f>
      </c>
    </row>
    <row r="1495">
      <c r="A1495" s="223">
        <f>IF($C1495="","",COUNTIF($C$6:$C1495,"?*"))</f>
      </c>
      <c r="B1495" s="217"/>
      <c r="C1495" s="216"/>
      <c r="D1495" s="240"/>
      <c r="E1495" s="218"/>
      <c r="F1495" s="218"/>
      <c r="G1495" s="218"/>
      <c r="H1495" s="219"/>
      <c r="I1495" s="223">
        <f>IF($C1495="","",IF(ISNUMBER(MATCH($C1495,'Phản ánh'!$A$6:$A$505,0)),"Phản ánh",IF(ISNUMBER(MATCH($C1495,'Kế hoạch'!$A$6:$A$305,0)),"Công việc","Mã chưa có")))</f>
      </c>
      <c r="J1495" s="221">
        <f>IF($I1495="Phản ánh",INDEX('Phản ánh'!$C$6:$C$505,MATCH($C1495,'Phản ánh'!$A$6:$A$505,0)),IF($I1495="Công việc",INDEX('Kế hoạch'!$C$6:$C$305,$O1495),""))</f>
      </c>
      <c r="K1495" s="221">
        <f>IF($I1495="Phản ánh",INDEX('Phản ánh'!$K$6:$K$505,MATCH($C1495,'Phản ánh'!$A$6:$A$505,0))&amp;"",IF($I1495="Công việc",INDEX('Kế hoạch'!$N$6:$N$305,$O1495)&amp;"",""))</f>
      </c>
      <c r="L1495" s="220">
        <f>IF(OR($C1495="",N($B1495)=0),"",IF(AND($I1495="Phản ánh",$E1495="Đã xử lý"),INDEX('Phản ánh'!$U$6:$U$505,MATCH($C1495,'Phản ánh'!$A$6:$A$505,0)),IF(AND($I1495="Công việc",OR($E1495="Hoàn thành",$E1495="Hoàn thành kỳ")),IF(INDEX('Kế hoạch'!$B$6:$B$305,$O1495)="Đột xuất",INDEX('Kế hoạch'!$AY$6:$AY$305,$O1495),IF(N($P1495)=0,"",IF(INT($B1495)&lt;$P1495,$P1495,IF($Q1495&gt;0,$P1495+ROUND((INT($B1495)-$P1495)/$Q1495,0)*$Q1495,IF($R1495&gt;0,EDATE($P1495,ROUND((DATEDIF($P1495,INT($B1495),"m")+(INT($B1495)-EDATE($P1495,DATEDIF($P1495,INT($B1495),"m")))/(EDATE($P1495,DATEDIF($P1495,INT($B1495),"m")+1)-EDATE($P1495,DATEDIF($P1495,INT($B1495),"m"))))/$R1495,0)*$R1495),$P1495))))),"")))</f>
      </c>
      <c r="M1495" s="223">
        <f>IF(OR($C1495="",N($L1495)=0,N($B1495)=0),"",IF(IF(MOD($L1495,1)=0,INT($B1495),$B1495)&lt;=$L1495,"Đúng hạn","Trễ hạn"))</f>
      </c>
      <c r="N1495" s="225">
        <f>IF($C1495="","",ROW())</f>
      </c>
      <c r="O1495" s="225">
        <f>IF($I1495="Công việc",MATCH($C1495,'Kế hoạch'!$A$6:$A$305,0),"")</f>
      </c>
      <c r="P1495" s="234">
        <f>IF($O1495="","",INDEX('Kế hoạch'!$I$6:$I$305,$O1495))</f>
      </c>
      <c r="Q1495" s="225">
        <f>IF($O1495="","",INDEX('Kế hoạch'!$AJ$6:$AJ$305,$O1495))</f>
      </c>
      <c r="R1495" s="225">
        <f>IF($O1495="","",INDEX('Kế hoạch'!$AK$6:$AK$305,$O1495))</f>
      </c>
    </row>
    <row r="1496">
      <c r="A1496" s="223">
        <f>IF($C1496="","",COUNTIF($C$6:$C1496,"?*"))</f>
      </c>
      <c r="B1496" s="217"/>
      <c r="C1496" s="216"/>
      <c r="D1496" s="240"/>
      <c r="E1496" s="218"/>
      <c r="F1496" s="218"/>
      <c r="G1496" s="218"/>
      <c r="H1496" s="219"/>
      <c r="I1496" s="223">
        <f>IF($C1496="","",IF(ISNUMBER(MATCH($C1496,'Phản ánh'!$A$6:$A$505,0)),"Phản ánh",IF(ISNUMBER(MATCH($C1496,'Kế hoạch'!$A$6:$A$305,0)),"Công việc","Mã chưa có")))</f>
      </c>
      <c r="J1496" s="221">
        <f>IF($I1496="Phản ánh",INDEX('Phản ánh'!$C$6:$C$505,MATCH($C1496,'Phản ánh'!$A$6:$A$505,0)),IF($I1496="Công việc",INDEX('Kế hoạch'!$C$6:$C$305,$O1496),""))</f>
      </c>
      <c r="K1496" s="221">
        <f>IF($I1496="Phản ánh",INDEX('Phản ánh'!$K$6:$K$505,MATCH($C1496,'Phản ánh'!$A$6:$A$505,0))&amp;"",IF($I1496="Công việc",INDEX('Kế hoạch'!$N$6:$N$305,$O1496)&amp;"",""))</f>
      </c>
      <c r="L1496" s="220">
        <f>IF(OR($C1496="",N($B1496)=0),"",IF(AND($I1496="Phản ánh",$E1496="Đã xử lý"),INDEX('Phản ánh'!$U$6:$U$505,MATCH($C1496,'Phản ánh'!$A$6:$A$505,0)),IF(AND($I1496="Công việc",OR($E1496="Hoàn thành",$E1496="Hoàn thành kỳ")),IF(INDEX('Kế hoạch'!$B$6:$B$305,$O1496)="Đột xuất",INDEX('Kế hoạch'!$AY$6:$AY$305,$O1496),IF(N($P1496)=0,"",IF(INT($B1496)&lt;$P1496,$P1496,IF($Q1496&gt;0,$P1496+ROUND((INT($B1496)-$P1496)/$Q1496,0)*$Q1496,IF($R1496&gt;0,EDATE($P1496,ROUND((DATEDIF($P1496,INT($B1496),"m")+(INT($B1496)-EDATE($P1496,DATEDIF($P1496,INT($B1496),"m")))/(EDATE($P1496,DATEDIF($P1496,INT($B1496),"m")+1)-EDATE($P1496,DATEDIF($P1496,INT($B1496),"m"))))/$R1496,0)*$R1496),$P1496))))),"")))</f>
      </c>
      <c r="M1496" s="223">
        <f>IF(OR($C1496="",N($L1496)=0,N($B1496)=0),"",IF(IF(MOD($L1496,1)=0,INT($B1496),$B1496)&lt;=$L1496,"Đúng hạn","Trễ hạn"))</f>
      </c>
      <c r="N1496" s="225">
        <f>IF($C1496="","",ROW())</f>
      </c>
      <c r="O1496" s="225">
        <f>IF($I1496="Công việc",MATCH($C1496,'Kế hoạch'!$A$6:$A$305,0),"")</f>
      </c>
      <c r="P1496" s="234">
        <f>IF($O1496="","",INDEX('Kế hoạch'!$I$6:$I$305,$O1496))</f>
      </c>
      <c r="Q1496" s="225">
        <f>IF($O1496="","",INDEX('Kế hoạch'!$AJ$6:$AJ$305,$O1496))</f>
      </c>
      <c r="R1496" s="225">
        <f>IF($O1496="","",INDEX('Kế hoạch'!$AK$6:$AK$305,$O1496))</f>
      </c>
    </row>
    <row r="1497">
      <c r="A1497" s="223">
        <f>IF($C1497="","",COUNTIF($C$6:$C1497,"?*"))</f>
      </c>
      <c r="B1497" s="217"/>
      <c r="C1497" s="216"/>
      <c r="D1497" s="240"/>
      <c r="E1497" s="218"/>
      <c r="F1497" s="218"/>
      <c r="G1497" s="218"/>
      <c r="H1497" s="219"/>
      <c r="I1497" s="223">
        <f>IF($C1497="","",IF(ISNUMBER(MATCH($C1497,'Phản ánh'!$A$6:$A$505,0)),"Phản ánh",IF(ISNUMBER(MATCH($C1497,'Kế hoạch'!$A$6:$A$305,0)),"Công việc","Mã chưa có")))</f>
      </c>
      <c r="J1497" s="221">
        <f>IF($I1497="Phản ánh",INDEX('Phản ánh'!$C$6:$C$505,MATCH($C1497,'Phản ánh'!$A$6:$A$505,0)),IF($I1497="Công việc",INDEX('Kế hoạch'!$C$6:$C$305,$O1497),""))</f>
      </c>
      <c r="K1497" s="221">
        <f>IF($I1497="Phản ánh",INDEX('Phản ánh'!$K$6:$K$505,MATCH($C1497,'Phản ánh'!$A$6:$A$505,0))&amp;"",IF($I1497="Công việc",INDEX('Kế hoạch'!$N$6:$N$305,$O1497)&amp;"",""))</f>
      </c>
      <c r="L1497" s="220">
        <f>IF(OR($C1497="",N($B1497)=0),"",IF(AND($I1497="Phản ánh",$E1497="Đã xử lý"),INDEX('Phản ánh'!$U$6:$U$505,MATCH($C1497,'Phản ánh'!$A$6:$A$505,0)),IF(AND($I1497="Công việc",OR($E1497="Hoàn thành",$E1497="Hoàn thành kỳ")),IF(INDEX('Kế hoạch'!$B$6:$B$305,$O1497)="Đột xuất",INDEX('Kế hoạch'!$AY$6:$AY$305,$O1497),IF(N($P1497)=0,"",IF(INT($B1497)&lt;$P1497,$P1497,IF($Q1497&gt;0,$P1497+ROUND((INT($B1497)-$P1497)/$Q1497,0)*$Q1497,IF($R1497&gt;0,EDATE($P1497,ROUND((DATEDIF($P1497,INT($B1497),"m")+(INT($B1497)-EDATE($P1497,DATEDIF($P1497,INT($B1497),"m")))/(EDATE($P1497,DATEDIF($P1497,INT($B1497),"m")+1)-EDATE($P1497,DATEDIF($P1497,INT($B1497),"m"))))/$R1497,0)*$R1497),$P1497))))),"")))</f>
      </c>
      <c r="M1497" s="223">
        <f>IF(OR($C1497="",N($L1497)=0,N($B1497)=0),"",IF(IF(MOD($L1497,1)=0,INT($B1497),$B1497)&lt;=$L1497,"Đúng hạn","Trễ hạn"))</f>
      </c>
      <c r="N1497" s="225">
        <f>IF($C1497="","",ROW())</f>
      </c>
      <c r="O1497" s="225">
        <f>IF($I1497="Công việc",MATCH($C1497,'Kế hoạch'!$A$6:$A$305,0),"")</f>
      </c>
      <c r="P1497" s="234">
        <f>IF($O1497="","",INDEX('Kế hoạch'!$I$6:$I$305,$O1497))</f>
      </c>
      <c r="Q1497" s="225">
        <f>IF($O1497="","",INDEX('Kế hoạch'!$AJ$6:$AJ$305,$O1497))</f>
      </c>
      <c r="R1497" s="225">
        <f>IF($O1497="","",INDEX('Kế hoạch'!$AK$6:$AK$305,$O1497))</f>
      </c>
    </row>
    <row r="1498">
      <c r="A1498" s="223">
        <f>IF($C1498="","",COUNTIF($C$6:$C1498,"?*"))</f>
      </c>
      <c r="B1498" s="217"/>
      <c r="C1498" s="216"/>
      <c r="D1498" s="240"/>
      <c r="E1498" s="218"/>
      <c r="F1498" s="218"/>
      <c r="G1498" s="218"/>
      <c r="H1498" s="219"/>
      <c r="I1498" s="223">
        <f>IF($C1498="","",IF(ISNUMBER(MATCH($C1498,'Phản ánh'!$A$6:$A$505,0)),"Phản ánh",IF(ISNUMBER(MATCH($C1498,'Kế hoạch'!$A$6:$A$305,0)),"Công việc","Mã chưa có")))</f>
      </c>
      <c r="J1498" s="221">
        <f>IF($I1498="Phản ánh",INDEX('Phản ánh'!$C$6:$C$505,MATCH($C1498,'Phản ánh'!$A$6:$A$505,0)),IF($I1498="Công việc",INDEX('Kế hoạch'!$C$6:$C$305,$O1498),""))</f>
      </c>
      <c r="K1498" s="221">
        <f>IF($I1498="Phản ánh",INDEX('Phản ánh'!$K$6:$K$505,MATCH($C1498,'Phản ánh'!$A$6:$A$505,0))&amp;"",IF($I1498="Công việc",INDEX('Kế hoạch'!$N$6:$N$305,$O1498)&amp;"",""))</f>
      </c>
      <c r="L1498" s="220">
        <f>IF(OR($C1498="",N($B1498)=0),"",IF(AND($I1498="Phản ánh",$E1498="Đã xử lý"),INDEX('Phản ánh'!$U$6:$U$505,MATCH($C1498,'Phản ánh'!$A$6:$A$505,0)),IF(AND($I1498="Công việc",OR($E1498="Hoàn thành",$E1498="Hoàn thành kỳ")),IF(INDEX('Kế hoạch'!$B$6:$B$305,$O1498)="Đột xuất",INDEX('Kế hoạch'!$AY$6:$AY$305,$O1498),IF(N($P1498)=0,"",IF(INT($B1498)&lt;$P1498,$P1498,IF($Q1498&gt;0,$P1498+ROUND((INT($B1498)-$P1498)/$Q1498,0)*$Q1498,IF($R1498&gt;0,EDATE($P1498,ROUND((DATEDIF($P1498,INT($B1498),"m")+(INT($B1498)-EDATE($P1498,DATEDIF($P1498,INT($B1498),"m")))/(EDATE($P1498,DATEDIF($P1498,INT($B1498),"m")+1)-EDATE($P1498,DATEDIF($P1498,INT($B1498),"m"))))/$R1498,0)*$R1498),$P1498))))),"")))</f>
      </c>
      <c r="M1498" s="223">
        <f>IF(OR($C1498="",N($L1498)=0,N($B1498)=0),"",IF(IF(MOD($L1498,1)=0,INT($B1498),$B1498)&lt;=$L1498,"Đúng hạn","Trễ hạn"))</f>
      </c>
      <c r="N1498" s="225">
        <f>IF($C1498="","",ROW())</f>
      </c>
      <c r="O1498" s="225">
        <f>IF($I1498="Công việc",MATCH($C1498,'Kế hoạch'!$A$6:$A$305,0),"")</f>
      </c>
      <c r="P1498" s="234">
        <f>IF($O1498="","",INDEX('Kế hoạch'!$I$6:$I$305,$O1498))</f>
      </c>
      <c r="Q1498" s="225">
        <f>IF($O1498="","",INDEX('Kế hoạch'!$AJ$6:$AJ$305,$O1498))</f>
      </c>
      <c r="R1498" s="225">
        <f>IF($O1498="","",INDEX('Kế hoạch'!$AK$6:$AK$305,$O1498))</f>
      </c>
    </row>
    <row r="1499">
      <c r="A1499" s="223">
        <f>IF($C1499="","",COUNTIF($C$6:$C1499,"?*"))</f>
      </c>
      <c r="B1499" s="217"/>
      <c r="C1499" s="216"/>
      <c r="D1499" s="240"/>
      <c r="E1499" s="218"/>
      <c r="F1499" s="218"/>
      <c r="G1499" s="218"/>
      <c r="H1499" s="219"/>
      <c r="I1499" s="223">
        <f>IF($C1499="","",IF(ISNUMBER(MATCH($C1499,'Phản ánh'!$A$6:$A$505,0)),"Phản ánh",IF(ISNUMBER(MATCH($C1499,'Kế hoạch'!$A$6:$A$305,0)),"Công việc","Mã chưa có")))</f>
      </c>
      <c r="J1499" s="221">
        <f>IF($I1499="Phản ánh",INDEX('Phản ánh'!$C$6:$C$505,MATCH($C1499,'Phản ánh'!$A$6:$A$505,0)),IF($I1499="Công việc",INDEX('Kế hoạch'!$C$6:$C$305,$O1499),""))</f>
      </c>
      <c r="K1499" s="221">
        <f>IF($I1499="Phản ánh",INDEX('Phản ánh'!$K$6:$K$505,MATCH($C1499,'Phản ánh'!$A$6:$A$505,0))&amp;"",IF($I1499="Công việc",INDEX('Kế hoạch'!$N$6:$N$305,$O1499)&amp;"",""))</f>
      </c>
      <c r="L1499" s="220">
        <f>IF(OR($C1499="",N($B1499)=0),"",IF(AND($I1499="Phản ánh",$E1499="Đã xử lý"),INDEX('Phản ánh'!$U$6:$U$505,MATCH($C1499,'Phản ánh'!$A$6:$A$505,0)),IF(AND($I1499="Công việc",OR($E1499="Hoàn thành",$E1499="Hoàn thành kỳ")),IF(INDEX('Kế hoạch'!$B$6:$B$305,$O1499)="Đột xuất",INDEX('Kế hoạch'!$AY$6:$AY$305,$O1499),IF(N($P1499)=0,"",IF(INT($B1499)&lt;$P1499,$P1499,IF($Q1499&gt;0,$P1499+ROUND((INT($B1499)-$P1499)/$Q1499,0)*$Q1499,IF($R1499&gt;0,EDATE($P1499,ROUND((DATEDIF($P1499,INT($B1499),"m")+(INT($B1499)-EDATE($P1499,DATEDIF($P1499,INT($B1499),"m")))/(EDATE($P1499,DATEDIF($P1499,INT($B1499),"m")+1)-EDATE($P1499,DATEDIF($P1499,INT($B1499),"m"))))/$R1499,0)*$R1499),$P1499))))),"")))</f>
      </c>
      <c r="M1499" s="223">
        <f>IF(OR($C1499="",N($L1499)=0,N($B1499)=0),"",IF(IF(MOD($L1499,1)=0,INT($B1499),$B1499)&lt;=$L1499,"Đúng hạn","Trễ hạn"))</f>
      </c>
      <c r="N1499" s="225">
        <f>IF($C1499="","",ROW())</f>
      </c>
      <c r="O1499" s="225">
        <f>IF($I1499="Công việc",MATCH($C1499,'Kế hoạch'!$A$6:$A$305,0),"")</f>
      </c>
      <c r="P1499" s="234">
        <f>IF($O1499="","",INDEX('Kế hoạch'!$I$6:$I$305,$O1499))</f>
      </c>
      <c r="Q1499" s="225">
        <f>IF($O1499="","",INDEX('Kế hoạch'!$AJ$6:$AJ$305,$O1499))</f>
      </c>
      <c r="R1499" s="225">
        <f>IF($O1499="","",INDEX('Kế hoạch'!$AK$6:$AK$305,$O1499))</f>
      </c>
    </row>
    <row r="1500">
      <c r="A1500" s="223">
        <f>IF($C1500="","",COUNTIF($C$6:$C1500,"?*"))</f>
      </c>
      <c r="B1500" s="217"/>
      <c r="C1500" s="216"/>
      <c r="D1500" s="240"/>
      <c r="E1500" s="218"/>
      <c r="F1500" s="218"/>
      <c r="G1500" s="218"/>
      <c r="H1500" s="219"/>
      <c r="I1500" s="223">
        <f>IF($C1500="","",IF(ISNUMBER(MATCH($C1500,'Phản ánh'!$A$6:$A$505,0)),"Phản ánh",IF(ISNUMBER(MATCH($C1500,'Kế hoạch'!$A$6:$A$305,0)),"Công việc","Mã chưa có")))</f>
      </c>
      <c r="J1500" s="221">
        <f>IF($I1500="Phản ánh",INDEX('Phản ánh'!$C$6:$C$505,MATCH($C1500,'Phản ánh'!$A$6:$A$505,0)),IF($I1500="Công việc",INDEX('Kế hoạch'!$C$6:$C$305,$O1500),""))</f>
      </c>
      <c r="K1500" s="221">
        <f>IF($I1500="Phản ánh",INDEX('Phản ánh'!$K$6:$K$505,MATCH($C1500,'Phản ánh'!$A$6:$A$505,0))&amp;"",IF($I1500="Công việc",INDEX('Kế hoạch'!$N$6:$N$305,$O1500)&amp;"",""))</f>
      </c>
      <c r="L1500" s="220">
        <f>IF(OR($C1500="",N($B1500)=0),"",IF(AND($I1500="Phản ánh",$E1500="Đã xử lý"),INDEX('Phản ánh'!$U$6:$U$505,MATCH($C1500,'Phản ánh'!$A$6:$A$505,0)),IF(AND($I1500="Công việc",OR($E1500="Hoàn thành",$E1500="Hoàn thành kỳ")),IF(INDEX('Kế hoạch'!$B$6:$B$305,$O1500)="Đột xuất",INDEX('Kế hoạch'!$AY$6:$AY$305,$O1500),IF(N($P1500)=0,"",IF(INT($B1500)&lt;$P1500,$P1500,IF($Q1500&gt;0,$P1500+ROUND((INT($B1500)-$P1500)/$Q1500,0)*$Q1500,IF($R1500&gt;0,EDATE($P1500,ROUND((DATEDIF($P1500,INT($B1500),"m")+(INT($B1500)-EDATE($P1500,DATEDIF($P1500,INT($B1500),"m")))/(EDATE($P1500,DATEDIF($P1500,INT($B1500),"m")+1)-EDATE($P1500,DATEDIF($P1500,INT($B1500),"m"))))/$R1500,0)*$R1500),$P1500))))),"")))</f>
      </c>
      <c r="M1500" s="223">
        <f>IF(OR($C1500="",N($L1500)=0,N($B1500)=0),"",IF(IF(MOD($L1500,1)=0,INT($B1500),$B1500)&lt;=$L1500,"Đúng hạn","Trễ hạn"))</f>
      </c>
      <c r="N1500" s="225">
        <f>IF($C1500="","",ROW())</f>
      </c>
      <c r="O1500" s="225">
        <f>IF($I1500="Công việc",MATCH($C1500,'Kế hoạch'!$A$6:$A$305,0),"")</f>
      </c>
      <c r="P1500" s="234">
        <f>IF($O1500="","",INDEX('Kế hoạch'!$I$6:$I$305,$O1500))</f>
      </c>
      <c r="Q1500" s="225">
        <f>IF($O1500="","",INDEX('Kế hoạch'!$AJ$6:$AJ$305,$O1500))</f>
      </c>
      <c r="R1500" s="225">
        <f>IF($O1500="","",INDEX('Kế hoạch'!$AK$6:$AK$305,$O1500))</f>
      </c>
    </row>
    <row r="1501">
      <c r="A1501" s="223">
        <f>IF($C1501="","",COUNTIF($C$6:$C1501,"?*"))</f>
      </c>
      <c r="B1501" s="217"/>
      <c r="C1501" s="216"/>
      <c r="D1501" s="240"/>
      <c r="E1501" s="218"/>
      <c r="F1501" s="218"/>
      <c r="G1501" s="218"/>
      <c r="H1501" s="219"/>
      <c r="I1501" s="223">
        <f>IF($C1501="","",IF(ISNUMBER(MATCH($C1501,'Phản ánh'!$A$6:$A$505,0)),"Phản ánh",IF(ISNUMBER(MATCH($C1501,'Kế hoạch'!$A$6:$A$305,0)),"Công việc","Mã chưa có")))</f>
      </c>
      <c r="J1501" s="221">
        <f>IF($I1501="Phản ánh",INDEX('Phản ánh'!$C$6:$C$505,MATCH($C1501,'Phản ánh'!$A$6:$A$505,0)),IF($I1501="Công việc",INDEX('Kế hoạch'!$C$6:$C$305,$O1501),""))</f>
      </c>
      <c r="K1501" s="221">
        <f>IF($I1501="Phản ánh",INDEX('Phản ánh'!$K$6:$K$505,MATCH($C1501,'Phản ánh'!$A$6:$A$505,0))&amp;"",IF($I1501="Công việc",INDEX('Kế hoạch'!$N$6:$N$305,$O1501)&amp;"",""))</f>
      </c>
      <c r="L1501" s="220">
        <f>IF(OR($C1501="",N($B1501)=0),"",IF(AND($I1501="Phản ánh",$E1501="Đã xử lý"),INDEX('Phản ánh'!$U$6:$U$505,MATCH($C1501,'Phản ánh'!$A$6:$A$505,0)),IF(AND($I1501="Công việc",OR($E1501="Hoàn thành",$E1501="Hoàn thành kỳ")),IF(INDEX('Kế hoạch'!$B$6:$B$305,$O1501)="Đột xuất",INDEX('Kế hoạch'!$AY$6:$AY$305,$O1501),IF(N($P1501)=0,"",IF(INT($B1501)&lt;$P1501,$P1501,IF($Q1501&gt;0,$P1501+ROUND((INT($B1501)-$P1501)/$Q1501,0)*$Q1501,IF($R1501&gt;0,EDATE($P1501,ROUND((DATEDIF($P1501,INT($B1501),"m")+(INT($B1501)-EDATE($P1501,DATEDIF($P1501,INT($B1501),"m")))/(EDATE($P1501,DATEDIF($P1501,INT($B1501),"m")+1)-EDATE($P1501,DATEDIF($P1501,INT($B1501),"m"))))/$R1501,0)*$R1501),$P1501))))),"")))</f>
      </c>
      <c r="M1501" s="223">
        <f>IF(OR($C1501="",N($L1501)=0,N($B1501)=0),"",IF(IF(MOD($L1501,1)=0,INT($B1501),$B1501)&lt;=$L1501,"Đúng hạn","Trễ hạn"))</f>
      </c>
      <c r="N1501" s="225">
        <f>IF($C1501="","",ROW())</f>
      </c>
      <c r="O1501" s="225">
        <f>IF($I1501="Công việc",MATCH($C1501,'Kế hoạch'!$A$6:$A$305,0),"")</f>
      </c>
      <c r="P1501" s="234">
        <f>IF($O1501="","",INDEX('Kế hoạch'!$I$6:$I$305,$O1501))</f>
      </c>
      <c r="Q1501" s="225">
        <f>IF($O1501="","",INDEX('Kế hoạch'!$AJ$6:$AJ$305,$O1501))</f>
      </c>
      <c r="R1501" s="225">
        <f>IF($O1501="","",INDEX('Kế hoạch'!$AK$6:$AK$305,$O1501))</f>
      </c>
    </row>
    <row r="1502">
      <c r="A1502" s="223">
        <f>IF($C1502="","",COUNTIF($C$6:$C1502,"?*"))</f>
      </c>
      <c r="B1502" s="217"/>
      <c r="C1502" s="216"/>
      <c r="D1502" s="240"/>
      <c r="E1502" s="218"/>
      <c r="F1502" s="218"/>
      <c r="G1502" s="218"/>
      <c r="H1502" s="219"/>
      <c r="I1502" s="223">
        <f>IF($C1502="","",IF(ISNUMBER(MATCH($C1502,'Phản ánh'!$A$6:$A$505,0)),"Phản ánh",IF(ISNUMBER(MATCH($C1502,'Kế hoạch'!$A$6:$A$305,0)),"Công việc","Mã chưa có")))</f>
      </c>
      <c r="J1502" s="221">
        <f>IF($I1502="Phản ánh",INDEX('Phản ánh'!$C$6:$C$505,MATCH($C1502,'Phản ánh'!$A$6:$A$505,0)),IF($I1502="Công việc",INDEX('Kế hoạch'!$C$6:$C$305,$O1502),""))</f>
      </c>
      <c r="K1502" s="221">
        <f>IF($I1502="Phản ánh",INDEX('Phản ánh'!$K$6:$K$505,MATCH($C1502,'Phản ánh'!$A$6:$A$505,0))&amp;"",IF($I1502="Công việc",INDEX('Kế hoạch'!$N$6:$N$305,$O1502)&amp;"",""))</f>
      </c>
      <c r="L1502" s="220">
        <f>IF(OR($C1502="",N($B1502)=0),"",IF(AND($I1502="Phản ánh",$E1502="Đã xử lý"),INDEX('Phản ánh'!$U$6:$U$505,MATCH($C1502,'Phản ánh'!$A$6:$A$505,0)),IF(AND($I1502="Công việc",OR($E1502="Hoàn thành",$E1502="Hoàn thành kỳ")),IF(INDEX('Kế hoạch'!$B$6:$B$305,$O1502)="Đột xuất",INDEX('Kế hoạch'!$AY$6:$AY$305,$O1502),IF(N($P1502)=0,"",IF(INT($B1502)&lt;$P1502,$P1502,IF($Q1502&gt;0,$P1502+ROUND((INT($B1502)-$P1502)/$Q1502,0)*$Q1502,IF($R1502&gt;0,EDATE($P1502,ROUND((DATEDIF($P1502,INT($B1502),"m")+(INT($B1502)-EDATE($P1502,DATEDIF($P1502,INT($B1502),"m")))/(EDATE($P1502,DATEDIF($P1502,INT($B1502),"m")+1)-EDATE($P1502,DATEDIF($P1502,INT($B1502),"m"))))/$R1502,0)*$R1502),$P1502))))),"")))</f>
      </c>
      <c r="M1502" s="223">
        <f>IF(OR($C1502="",N($L1502)=0,N($B1502)=0),"",IF(IF(MOD($L1502,1)=0,INT($B1502),$B1502)&lt;=$L1502,"Đúng hạn","Trễ hạn"))</f>
      </c>
      <c r="N1502" s="225">
        <f>IF($C1502="","",ROW())</f>
      </c>
      <c r="O1502" s="225">
        <f>IF($I1502="Công việc",MATCH($C1502,'Kế hoạch'!$A$6:$A$305,0),"")</f>
      </c>
      <c r="P1502" s="234">
        <f>IF($O1502="","",INDEX('Kế hoạch'!$I$6:$I$305,$O1502))</f>
      </c>
      <c r="Q1502" s="225">
        <f>IF($O1502="","",INDEX('Kế hoạch'!$AJ$6:$AJ$305,$O1502))</f>
      </c>
      <c r="R1502" s="225">
        <f>IF($O1502="","",INDEX('Kế hoạch'!$AK$6:$AK$305,$O1502))</f>
      </c>
    </row>
    <row r="1503">
      <c r="A1503" s="223">
        <f>IF($C1503="","",COUNTIF($C$6:$C1503,"?*"))</f>
      </c>
      <c r="B1503" s="217"/>
      <c r="C1503" s="216"/>
      <c r="D1503" s="240"/>
      <c r="E1503" s="218"/>
      <c r="F1503" s="218"/>
      <c r="G1503" s="218"/>
      <c r="H1503" s="219"/>
      <c r="I1503" s="223">
        <f>IF($C1503="","",IF(ISNUMBER(MATCH($C1503,'Phản ánh'!$A$6:$A$505,0)),"Phản ánh",IF(ISNUMBER(MATCH($C1503,'Kế hoạch'!$A$6:$A$305,0)),"Công việc","Mã chưa có")))</f>
      </c>
      <c r="J1503" s="221">
        <f>IF($I1503="Phản ánh",INDEX('Phản ánh'!$C$6:$C$505,MATCH($C1503,'Phản ánh'!$A$6:$A$505,0)),IF($I1503="Công việc",INDEX('Kế hoạch'!$C$6:$C$305,$O1503),""))</f>
      </c>
      <c r="K1503" s="221">
        <f>IF($I1503="Phản ánh",INDEX('Phản ánh'!$K$6:$K$505,MATCH($C1503,'Phản ánh'!$A$6:$A$505,0))&amp;"",IF($I1503="Công việc",INDEX('Kế hoạch'!$N$6:$N$305,$O1503)&amp;"",""))</f>
      </c>
      <c r="L1503" s="220">
        <f>IF(OR($C1503="",N($B1503)=0),"",IF(AND($I1503="Phản ánh",$E1503="Đã xử lý"),INDEX('Phản ánh'!$U$6:$U$505,MATCH($C1503,'Phản ánh'!$A$6:$A$505,0)),IF(AND($I1503="Công việc",OR($E1503="Hoàn thành",$E1503="Hoàn thành kỳ")),IF(INDEX('Kế hoạch'!$B$6:$B$305,$O1503)="Đột xuất",INDEX('Kế hoạch'!$AY$6:$AY$305,$O1503),IF(N($P1503)=0,"",IF(INT($B1503)&lt;$P1503,$P1503,IF($Q1503&gt;0,$P1503+ROUND((INT($B1503)-$P1503)/$Q1503,0)*$Q1503,IF($R1503&gt;0,EDATE($P1503,ROUND((DATEDIF($P1503,INT($B1503),"m")+(INT($B1503)-EDATE($P1503,DATEDIF($P1503,INT($B1503),"m")))/(EDATE($P1503,DATEDIF($P1503,INT($B1503),"m")+1)-EDATE($P1503,DATEDIF($P1503,INT($B1503),"m"))))/$R1503,0)*$R1503),$P1503))))),"")))</f>
      </c>
      <c r="M1503" s="223">
        <f>IF(OR($C1503="",N($L1503)=0,N($B1503)=0),"",IF(IF(MOD($L1503,1)=0,INT($B1503),$B1503)&lt;=$L1503,"Đúng hạn","Trễ hạn"))</f>
      </c>
      <c r="N1503" s="225">
        <f>IF($C1503="","",ROW())</f>
      </c>
      <c r="O1503" s="225">
        <f>IF($I1503="Công việc",MATCH($C1503,'Kế hoạch'!$A$6:$A$305,0),"")</f>
      </c>
      <c r="P1503" s="234">
        <f>IF($O1503="","",INDEX('Kế hoạch'!$I$6:$I$305,$O1503))</f>
      </c>
      <c r="Q1503" s="225">
        <f>IF($O1503="","",INDEX('Kế hoạch'!$AJ$6:$AJ$305,$O1503))</f>
      </c>
      <c r="R1503" s="225">
        <f>IF($O1503="","",INDEX('Kế hoạch'!$AK$6:$AK$305,$O1503))</f>
      </c>
    </row>
    <row r="1504">
      <c r="A1504" s="223">
        <f>IF($C1504="","",COUNTIF($C$6:$C1504,"?*"))</f>
      </c>
      <c r="B1504" s="217"/>
      <c r="C1504" s="216"/>
      <c r="D1504" s="240"/>
      <c r="E1504" s="218"/>
      <c r="F1504" s="218"/>
      <c r="G1504" s="218"/>
      <c r="H1504" s="219"/>
      <c r="I1504" s="223">
        <f>IF($C1504="","",IF(ISNUMBER(MATCH($C1504,'Phản ánh'!$A$6:$A$505,0)),"Phản ánh",IF(ISNUMBER(MATCH($C1504,'Kế hoạch'!$A$6:$A$305,0)),"Công việc","Mã chưa có")))</f>
      </c>
      <c r="J1504" s="221">
        <f>IF($I1504="Phản ánh",INDEX('Phản ánh'!$C$6:$C$505,MATCH($C1504,'Phản ánh'!$A$6:$A$505,0)),IF($I1504="Công việc",INDEX('Kế hoạch'!$C$6:$C$305,$O1504),""))</f>
      </c>
      <c r="K1504" s="221">
        <f>IF($I1504="Phản ánh",INDEX('Phản ánh'!$K$6:$K$505,MATCH($C1504,'Phản ánh'!$A$6:$A$505,0))&amp;"",IF($I1504="Công việc",INDEX('Kế hoạch'!$N$6:$N$305,$O1504)&amp;"",""))</f>
      </c>
      <c r="L1504" s="220">
        <f>IF(OR($C1504="",N($B1504)=0),"",IF(AND($I1504="Phản ánh",$E1504="Đã xử lý"),INDEX('Phản ánh'!$U$6:$U$505,MATCH($C1504,'Phản ánh'!$A$6:$A$505,0)),IF(AND($I1504="Công việc",OR($E1504="Hoàn thành",$E1504="Hoàn thành kỳ")),IF(INDEX('Kế hoạch'!$B$6:$B$305,$O1504)="Đột xuất",INDEX('Kế hoạch'!$AY$6:$AY$305,$O1504),IF(N($P1504)=0,"",IF(INT($B1504)&lt;$P1504,$P1504,IF($Q1504&gt;0,$P1504+ROUND((INT($B1504)-$P1504)/$Q1504,0)*$Q1504,IF($R1504&gt;0,EDATE($P1504,ROUND((DATEDIF($P1504,INT($B1504),"m")+(INT($B1504)-EDATE($P1504,DATEDIF($P1504,INT($B1504),"m")))/(EDATE($P1504,DATEDIF($P1504,INT($B1504),"m")+1)-EDATE($P1504,DATEDIF($P1504,INT($B1504),"m"))))/$R1504,0)*$R1504),$P1504))))),"")))</f>
      </c>
      <c r="M1504" s="223">
        <f>IF(OR($C1504="",N($L1504)=0,N($B1504)=0),"",IF(IF(MOD($L1504,1)=0,INT($B1504),$B1504)&lt;=$L1504,"Đúng hạn","Trễ hạn"))</f>
      </c>
      <c r="N1504" s="225">
        <f>IF($C1504="","",ROW())</f>
      </c>
      <c r="O1504" s="225">
        <f>IF($I1504="Công việc",MATCH($C1504,'Kế hoạch'!$A$6:$A$305,0),"")</f>
      </c>
      <c r="P1504" s="234">
        <f>IF($O1504="","",INDEX('Kế hoạch'!$I$6:$I$305,$O1504))</f>
      </c>
      <c r="Q1504" s="225">
        <f>IF($O1504="","",INDEX('Kế hoạch'!$AJ$6:$AJ$305,$O1504))</f>
      </c>
      <c r="R1504" s="225">
        <f>IF($O1504="","",INDEX('Kế hoạch'!$AK$6:$AK$305,$O1504))</f>
      </c>
    </row>
    <row r="1505">
      <c r="A1505" s="223">
        <f>IF($C1505="","",COUNTIF($C$6:$C1505,"?*"))</f>
      </c>
      <c r="B1505" s="217"/>
      <c r="C1505" s="216"/>
      <c r="D1505" s="240"/>
      <c r="E1505" s="218"/>
      <c r="F1505" s="218"/>
      <c r="G1505" s="218"/>
      <c r="H1505" s="219"/>
      <c r="I1505" s="223">
        <f>IF($C1505="","",IF(ISNUMBER(MATCH($C1505,'Phản ánh'!$A$6:$A$505,0)),"Phản ánh",IF(ISNUMBER(MATCH($C1505,'Kế hoạch'!$A$6:$A$305,0)),"Công việc","Mã chưa có")))</f>
      </c>
      <c r="J1505" s="221">
        <f>IF($I1505="Phản ánh",INDEX('Phản ánh'!$C$6:$C$505,MATCH($C1505,'Phản ánh'!$A$6:$A$505,0)),IF($I1505="Công việc",INDEX('Kế hoạch'!$C$6:$C$305,$O1505),""))</f>
      </c>
      <c r="K1505" s="221">
        <f>IF($I1505="Phản ánh",INDEX('Phản ánh'!$K$6:$K$505,MATCH($C1505,'Phản ánh'!$A$6:$A$505,0))&amp;"",IF($I1505="Công việc",INDEX('Kế hoạch'!$N$6:$N$305,$O1505)&amp;"",""))</f>
      </c>
      <c r="L1505" s="220">
        <f>IF(OR($C1505="",N($B1505)=0),"",IF(AND($I1505="Phản ánh",$E1505="Đã xử lý"),INDEX('Phản ánh'!$U$6:$U$505,MATCH($C1505,'Phản ánh'!$A$6:$A$505,0)),IF(AND($I1505="Công việc",OR($E1505="Hoàn thành",$E1505="Hoàn thành kỳ")),IF(INDEX('Kế hoạch'!$B$6:$B$305,$O1505)="Đột xuất",INDEX('Kế hoạch'!$AY$6:$AY$305,$O1505),IF(N($P1505)=0,"",IF(INT($B1505)&lt;$P1505,$P1505,IF($Q1505&gt;0,$P1505+ROUND((INT($B1505)-$P1505)/$Q1505,0)*$Q1505,IF($R1505&gt;0,EDATE($P1505,ROUND((DATEDIF($P1505,INT($B1505),"m")+(INT($B1505)-EDATE($P1505,DATEDIF($P1505,INT($B1505),"m")))/(EDATE($P1505,DATEDIF($P1505,INT($B1505),"m")+1)-EDATE($P1505,DATEDIF($P1505,INT($B1505),"m"))))/$R1505,0)*$R1505),$P1505))))),"")))</f>
      </c>
      <c r="M1505" s="223">
        <f>IF(OR($C1505="",N($L1505)=0,N($B1505)=0),"",IF(IF(MOD($L1505,1)=0,INT($B1505),$B1505)&lt;=$L1505,"Đúng hạn","Trễ hạn"))</f>
      </c>
      <c r="N1505" s="225">
        <f>IF($C1505="","",ROW())</f>
      </c>
      <c r="O1505" s="225">
        <f>IF($I1505="Công việc",MATCH($C1505,'Kế hoạch'!$A$6:$A$305,0),"")</f>
      </c>
      <c r="P1505" s="234">
        <f>IF($O1505="","",INDEX('Kế hoạch'!$I$6:$I$305,$O1505))</f>
      </c>
      <c r="Q1505" s="225">
        <f>IF($O1505="","",INDEX('Kế hoạch'!$AJ$6:$AJ$305,$O1505))</f>
      </c>
      <c r="R1505" s="225">
        <f>IF($O1505="","",INDEX('Kế hoạch'!$AK$6:$AK$305,$O1505))</f>
      </c>
    </row>
    <row r="1506">
      <c r="A1506" s="223">
        <f>IF($C1506="","",COUNTIF($C$6:$C1506,"?*"))</f>
      </c>
      <c r="B1506" s="217"/>
      <c r="C1506" s="216"/>
      <c r="D1506" s="240"/>
      <c r="E1506" s="218"/>
      <c r="F1506" s="218"/>
      <c r="G1506" s="218"/>
      <c r="H1506" s="219"/>
      <c r="I1506" s="223">
        <f>IF($C1506="","",IF(ISNUMBER(MATCH($C1506,'Phản ánh'!$A$6:$A$505,0)),"Phản ánh",IF(ISNUMBER(MATCH($C1506,'Kế hoạch'!$A$6:$A$305,0)),"Công việc","Mã chưa có")))</f>
      </c>
      <c r="J1506" s="221">
        <f>IF($I1506="Phản ánh",INDEX('Phản ánh'!$C$6:$C$505,MATCH($C1506,'Phản ánh'!$A$6:$A$505,0)),IF($I1506="Công việc",INDEX('Kế hoạch'!$C$6:$C$305,$O1506),""))</f>
      </c>
      <c r="K1506" s="221">
        <f>IF($I1506="Phản ánh",INDEX('Phản ánh'!$K$6:$K$505,MATCH($C1506,'Phản ánh'!$A$6:$A$505,0))&amp;"",IF($I1506="Công việc",INDEX('Kế hoạch'!$N$6:$N$305,$O1506)&amp;"",""))</f>
      </c>
      <c r="L1506" s="220">
        <f>IF(OR($C1506="",N($B1506)=0),"",IF(AND($I1506="Phản ánh",$E1506="Đã xử lý"),INDEX('Phản ánh'!$U$6:$U$505,MATCH($C1506,'Phản ánh'!$A$6:$A$505,0)),IF(AND($I1506="Công việc",OR($E1506="Hoàn thành",$E1506="Hoàn thành kỳ")),IF(INDEX('Kế hoạch'!$B$6:$B$305,$O1506)="Đột xuất",INDEX('Kế hoạch'!$AY$6:$AY$305,$O1506),IF(N($P1506)=0,"",IF(INT($B1506)&lt;$P1506,$P1506,IF($Q1506&gt;0,$P1506+ROUND((INT($B1506)-$P1506)/$Q1506,0)*$Q1506,IF($R1506&gt;0,EDATE($P1506,ROUND((DATEDIF($P1506,INT($B1506),"m")+(INT($B1506)-EDATE($P1506,DATEDIF($P1506,INT($B1506),"m")))/(EDATE($P1506,DATEDIF($P1506,INT($B1506),"m")+1)-EDATE($P1506,DATEDIF($P1506,INT($B1506),"m"))))/$R1506,0)*$R1506),$P1506))))),"")))</f>
      </c>
      <c r="M1506" s="223">
        <f>IF(OR($C1506="",N($L1506)=0,N($B1506)=0),"",IF(IF(MOD($L1506,1)=0,INT($B1506),$B1506)&lt;=$L1506,"Đúng hạn","Trễ hạn"))</f>
      </c>
      <c r="N1506" s="225">
        <f>IF($C1506="","",ROW())</f>
      </c>
      <c r="O1506" s="225">
        <f>IF($I1506="Công việc",MATCH($C1506,'Kế hoạch'!$A$6:$A$305,0),"")</f>
      </c>
      <c r="P1506" s="234">
        <f>IF($O1506="","",INDEX('Kế hoạch'!$I$6:$I$305,$O1506))</f>
      </c>
      <c r="Q1506" s="225">
        <f>IF($O1506="","",INDEX('Kế hoạch'!$AJ$6:$AJ$305,$O1506))</f>
      </c>
      <c r="R1506" s="225">
        <f>IF($O1506="","",INDEX('Kế hoạch'!$AK$6:$AK$305,$O1506))</f>
      </c>
    </row>
    <row r="1507">
      <c r="A1507" s="223">
        <f>IF($C1507="","",COUNTIF($C$6:$C1507,"?*"))</f>
      </c>
      <c r="B1507" s="217"/>
      <c r="C1507" s="216"/>
      <c r="D1507" s="240"/>
      <c r="E1507" s="218"/>
      <c r="F1507" s="218"/>
      <c r="G1507" s="218"/>
      <c r="H1507" s="219"/>
      <c r="I1507" s="223">
        <f>IF($C1507="","",IF(ISNUMBER(MATCH($C1507,'Phản ánh'!$A$6:$A$505,0)),"Phản ánh",IF(ISNUMBER(MATCH($C1507,'Kế hoạch'!$A$6:$A$305,0)),"Công việc","Mã chưa có")))</f>
      </c>
      <c r="J1507" s="221">
        <f>IF($I1507="Phản ánh",INDEX('Phản ánh'!$C$6:$C$505,MATCH($C1507,'Phản ánh'!$A$6:$A$505,0)),IF($I1507="Công việc",INDEX('Kế hoạch'!$C$6:$C$305,$O1507),""))</f>
      </c>
      <c r="K1507" s="221">
        <f>IF($I1507="Phản ánh",INDEX('Phản ánh'!$K$6:$K$505,MATCH($C1507,'Phản ánh'!$A$6:$A$505,0))&amp;"",IF($I1507="Công việc",INDEX('Kế hoạch'!$N$6:$N$305,$O1507)&amp;"",""))</f>
      </c>
      <c r="L1507" s="220">
        <f>IF(OR($C1507="",N($B1507)=0),"",IF(AND($I1507="Phản ánh",$E1507="Đã xử lý"),INDEX('Phản ánh'!$U$6:$U$505,MATCH($C1507,'Phản ánh'!$A$6:$A$505,0)),IF(AND($I1507="Công việc",OR($E1507="Hoàn thành",$E1507="Hoàn thành kỳ")),IF(INDEX('Kế hoạch'!$B$6:$B$305,$O1507)="Đột xuất",INDEX('Kế hoạch'!$AY$6:$AY$305,$O1507),IF(N($P1507)=0,"",IF(INT($B1507)&lt;$P1507,$P1507,IF($Q1507&gt;0,$P1507+ROUND((INT($B1507)-$P1507)/$Q1507,0)*$Q1507,IF($R1507&gt;0,EDATE($P1507,ROUND((DATEDIF($P1507,INT($B1507),"m")+(INT($B1507)-EDATE($P1507,DATEDIF($P1507,INT($B1507),"m")))/(EDATE($P1507,DATEDIF($P1507,INT($B1507),"m")+1)-EDATE($P1507,DATEDIF($P1507,INT($B1507),"m"))))/$R1507,0)*$R1507),$P1507))))),"")))</f>
      </c>
      <c r="M1507" s="223">
        <f>IF(OR($C1507="",N($L1507)=0,N($B1507)=0),"",IF(IF(MOD($L1507,1)=0,INT($B1507),$B1507)&lt;=$L1507,"Đúng hạn","Trễ hạn"))</f>
      </c>
      <c r="N1507" s="225">
        <f>IF($C1507="","",ROW())</f>
      </c>
      <c r="O1507" s="225">
        <f>IF($I1507="Công việc",MATCH($C1507,'Kế hoạch'!$A$6:$A$305,0),"")</f>
      </c>
      <c r="P1507" s="234">
        <f>IF($O1507="","",INDEX('Kế hoạch'!$I$6:$I$305,$O1507))</f>
      </c>
      <c r="Q1507" s="225">
        <f>IF($O1507="","",INDEX('Kế hoạch'!$AJ$6:$AJ$305,$O1507))</f>
      </c>
      <c r="R1507" s="225">
        <f>IF($O1507="","",INDEX('Kế hoạch'!$AK$6:$AK$305,$O1507))</f>
      </c>
    </row>
    <row r="1508">
      <c r="A1508" s="223">
        <f>IF($C1508="","",COUNTIF($C$6:$C1508,"?*"))</f>
      </c>
      <c r="B1508" s="217"/>
      <c r="C1508" s="216"/>
      <c r="D1508" s="240"/>
      <c r="E1508" s="218"/>
      <c r="F1508" s="218"/>
      <c r="G1508" s="218"/>
      <c r="H1508" s="219"/>
      <c r="I1508" s="223">
        <f>IF($C1508="","",IF(ISNUMBER(MATCH($C1508,'Phản ánh'!$A$6:$A$505,0)),"Phản ánh",IF(ISNUMBER(MATCH($C1508,'Kế hoạch'!$A$6:$A$305,0)),"Công việc","Mã chưa có")))</f>
      </c>
      <c r="J1508" s="221">
        <f>IF($I1508="Phản ánh",INDEX('Phản ánh'!$C$6:$C$505,MATCH($C1508,'Phản ánh'!$A$6:$A$505,0)),IF($I1508="Công việc",INDEX('Kế hoạch'!$C$6:$C$305,$O1508),""))</f>
      </c>
      <c r="K1508" s="221">
        <f>IF($I1508="Phản ánh",INDEX('Phản ánh'!$K$6:$K$505,MATCH($C1508,'Phản ánh'!$A$6:$A$505,0))&amp;"",IF($I1508="Công việc",INDEX('Kế hoạch'!$N$6:$N$305,$O1508)&amp;"",""))</f>
      </c>
      <c r="L1508" s="220">
        <f>IF(OR($C1508="",N($B1508)=0),"",IF(AND($I1508="Phản ánh",$E1508="Đã xử lý"),INDEX('Phản ánh'!$U$6:$U$505,MATCH($C1508,'Phản ánh'!$A$6:$A$505,0)),IF(AND($I1508="Công việc",OR($E1508="Hoàn thành",$E1508="Hoàn thành kỳ")),IF(INDEX('Kế hoạch'!$B$6:$B$305,$O1508)="Đột xuất",INDEX('Kế hoạch'!$AY$6:$AY$305,$O1508),IF(N($P1508)=0,"",IF(INT($B1508)&lt;$P1508,$P1508,IF($Q1508&gt;0,$P1508+ROUND((INT($B1508)-$P1508)/$Q1508,0)*$Q1508,IF($R1508&gt;0,EDATE($P1508,ROUND((DATEDIF($P1508,INT($B1508),"m")+(INT($B1508)-EDATE($P1508,DATEDIF($P1508,INT($B1508),"m")))/(EDATE($P1508,DATEDIF($P1508,INT($B1508),"m")+1)-EDATE($P1508,DATEDIF($P1508,INT($B1508),"m"))))/$R1508,0)*$R1508),$P1508))))),"")))</f>
      </c>
      <c r="M1508" s="223">
        <f>IF(OR($C1508="",N($L1508)=0,N($B1508)=0),"",IF(IF(MOD($L1508,1)=0,INT($B1508),$B1508)&lt;=$L1508,"Đúng hạn","Trễ hạn"))</f>
      </c>
      <c r="N1508" s="225">
        <f>IF($C1508="","",ROW())</f>
      </c>
      <c r="O1508" s="225">
        <f>IF($I1508="Công việc",MATCH($C1508,'Kế hoạch'!$A$6:$A$305,0),"")</f>
      </c>
      <c r="P1508" s="234">
        <f>IF($O1508="","",INDEX('Kế hoạch'!$I$6:$I$305,$O1508))</f>
      </c>
      <c r="Q1508" s="225">
        <f>IF($O1508="","",INDEX('Kế hoạch'!$AJ$6:$AJ$305,$O1508))</f>
      </c>
      <c r="R1508" s="225">
        <f>IF($O1508="","",INDEX('Kế hoạch'!$AK$6:$AK$305,$O1508))</f>
      </c>
    </row>
    <row r="1509">
      <c r="A1509" s="223">
        <f>IF($C1509="","",COUNTIF($C$6:$C1509,"?*"))</f>
      </c>
      <c r="B1509" s="217"/>
      <c r="C1509" s="216"/>
      <c r="D1509" s="240"/>
      <c r="E1509" s="218"/>
      <c r="F1509" s="218"/>
      <c r="G1509" s="218"/>
      <c r="H1509" s="219"/>
      <c r="I1509" s="223">
        <f>IF($C1509="","",IF(ISNUMBER(MATCH($C1509,'Phản ánh'!$A$6:$A$505,0)),"Phản ánh",IF(ISNUMBER(MATCH($C1509,'Kế hoạch'!$A$6:$A$305,0)),"Công việc","Mã chưa có")))</f>
      </c>
      <c r="J1509" s="221">
        <f>IF($I1509="Phản ánh",INDEX('Phản ánh'!$C$6:$C$505,MATCH($C1509,'Phản ánh'!$A$6:$A$505,0)),IF($I1509="Công việc",INDEX('Kế hoạch'!$C$6:$C$305,$O1509),""))</f>
      </c>
      <c r="K1509" s="221">
        <f>IF($I1509="Phản ánh",INDEX('Phản ánh'!$K$6:$K$505,MATCH($C1509,'Phản ánh'!$A$6:$A$505,0))&amp;"",IF($I1509="Công việc",INDEX('Kế hoạch'!$N$6:$N$305,$O1509)&amp;"",""))</f>
      </c>
      <c r="L1509" s="220">
        <f>IF(OR($C1509="",N($B1509)=0),"",IF(AND($I1509="Phản ánh",$E1509="Đã xử lý"),INDEX('Phản ánh'!$U$6:$U$505,MATCH($C1509,'Phản ánh'!$A$6:$A$505,0)),IF(AND($I1509="Công việc",OR($E1509="Hoàn thành",$E1509="Hoàn thành kỳ")),IF(INDEX('Kế hoạch'!$B$6:$B$305,$O1509)="Đột xuất",INDEX('Kế hoạch'!$AY$6:$AY$305,$O1509),IF(N($P1509)=0,"",IF(INT($B1509)&lt;$P1509,$P1509,IF($Q1509&gt;0,$P1509+ROUND((INT($B1509)-$P1509)/$Q1509,0)*$Q1509,IF($R1509&gt;0,EDATE($P1509,ROUND((DATEDIF($P1509,INT($B1509),"m")+(INT($B1509)-EDATE($P1509,DATEDIF($P1509,INT($B1509),"m")))/(EDATE($P1509,DATEDIF($P1509,INT($B1509),"m")+1)-EDATE($P1509,DATEDIF($P1509,INT($B1509),"m"))))/$R1509,0)*$R1509),$P1509))))),"")))</f>
      </c>
      <c r="M1509" s="223">
        <f>IF(OR($C1509="",N($L1509)=0,N($B1509)=0),"",IF(IF(MOD($L1509,1)=0,INT($B1509),$B1509)&lt;=$L1509,"Đúng hạn","Trễ hạn"))</f>
      </c>
      <c r="N1509" s="225">
        <f>IF($C1509="","",ROW())</f>
      </c>
      <c r="O1509" s="225">
        <f>IF($I1509="Công việc",MATCH($C1509,'Kế hoạch'!$A$6:$A$305,0),"")</f>
      </c>
      <c r="P1509" s="234">
        <f>IF($O1509="","",INDEX('Kế hoạch'!$I$6:$I$305,$O1509))</f>
      </c>
      <c r="Q1509" s="225">
        <f>IF($O1509="","",INDEX('Kế hoạch'!$AJ$6:$AJ$305,$O1509))</f>
      </c>
      <c r="R1509" s="225">
        <f>IF($O1509="","",INDEX('Kế hoạch'!$AK$6:$AK$305,$O1509))</f>
      </c>
    </row>
    <row r="1510">
      <c r="A1510" s="223">
        <f>IF($C1510="","",COUNTIF($C$6:$C1510,"?*"))</f>
      </c>
      <c r="B1510" s="217"/>
      <c r="C1510" s="216"/>
      <c r="D1510" s="240"/>
      <c r="E1510" s="218"/>
      <c r="F1510" s="218"/>
      <c r="G1510" s="218"/>
      <c r="H1510" s="219"/>
      <c r="I1510" s="223">
        <f>IF($C1510="","",IF(ISNUMBER(MATCH($C1510,'Phản ánh'!$A$6:$A$505,0)),"Phản ánh",IF(ISNUMBER(MATCH($C1510,'Kế hoạch'!$A$6:$A$305,0)),"Công việc","Mã chưa có")))</f>
      </c>
      <c r="J1510" s="221">
        <f>IF($I1510="Phản ánh",INDEX('Phản ánh'!$C$6:$C$505,MATCH($C1510,'Phản ánh'!$A$6:$A$505,0)),IF($I1510="Công việc",INDEX('Kế hoạch'!$C$6:$C$305,$O1510),""))</f>
      </c>
      <c r="K1510" s="221">
        <f>IF($I1510="Phản ánh",INDEX('Phản ánh'!$K$6:$K$505,MATCH($C1510,'Phản ánh'!$A$6:$A$505,0))&amp;"",IF($I1510="Công việc",INDEX('Kế hoạch'!$N$6:$N$305,$O1510)&amp;"",""))</f>
      </c>
      <c r="L1510" s="220">
        <f>IF(OR($C1510="",N($B1510)=0),"",IF(AND($I1510="Phản ánh",$E1510="Đã xử lý"),INDEX('Phản ánh'!$U$6:$U$505,MATCH($C1510,'Phản ánh'!$A$6:$A$505,0)),IF(AND($I1510="Công việc",OR($E1510="Hoàn thành",$E1510="Hoàn thành kỳ")),IF(INDEX('Kế hoạch'!$B$6:$B$305,$O1510)="Đột xuất",INDEX('Kế hoạch'!$AY$6:$AY$305,$O1510),IF(N($P1510)=0,"",IF(INT($B1510)&lt;$P1510,$P1510,IF($Q1510&gt;0,$P1510+ROUND((INT($B1510)-$P1510)/$Q1510,0)*$Q1510,IF($R1510&gt;0,EDATE($P1510,ROUND((DATEDIF($P1510,INT($B1510),"m")+(INT($B1510)-EDATE($P1510,DATEDIF($P1510,INT($B1510),"m")))/(EDATE($P1510,DATEDIF($P1510,INT($B1510),"m")+1)-EDATE($P1510,DATEDIF($P1510,INT($B1510),"m"))))/$R1510,0)*$R1510),$P1510))))),"")))</f>
      </c>
      <c r="M1510" s="223">
        <f>IF(OR($C1510="",N($L1510)=0,N($B1510)=0),"",IF(IF(MOD($L1510,1)=0,INT($B1510),$B1510)&lt;=$L1510,"Đúng hạn","Trễ hạn"))</f>
      </c>
      <c r="N1510" s="225">
        <f>IF($C1510="","",ROW())</f>
      </c>
      <c r="O1510" s="225">
        <f>IF($I1510="Công việc",MATCH($C1510,'Kế hoạch'!$A$6:$A$305,0),"")</f>
      </c>
      <c r="P1510" s="234">
        <f>IF($O1510="","",INDEX('Kế hoạch'!$I$6:$I$305,$O1510))</f>
      </c>
      <c r="Q1510" s="225">
        <f>IF($O1510="","",INDEX('Kế hoạch'!$AJ$6:$AJ$305,$O1510))</f>
      </c>
      <c r="R1510" s="225">
        <f>IF($O1510="","",INDEX('Kế hoạch'!$AK$6:$AK$305,$O1510))</f>
      </c>
    </row>
    <row r="1511">
      <c r="A1511" s="223">
        <f>IF($C1511="","",COUNTIF($C$6:$C1511,"?*"))</f>
      </c>
      <c r="B1511" s="217"/>
      <c r="C1511" s="216"/>
      <c r="D1511" s="240"/>
      <c r="E1511" s="218"/>
      <c r="F1511" s="218"/>
      <c r="G1511" s="218"/>
      <c r="H1511" s="219"/>
      <c r="I1511" s="223">
        <f>IF($C1511="","",IF(ISNUMBER(MATCH($C1511,'Phản ánh'!$A$6:$A$505,0)),"Phản ánh",IF(ISNUMBER(MATCH($C1511,'Kế hoạch'!$A$6:$A$305,0)),"Công việc","Mã chưa có")))</f>
      </c>
      <c r="J1511" s="221">
        <f>IF($I1511="Phản ánh",INDEX('Phản ánh'!$C$6:$C$505,MATCH($C1511,'Phản ánh'!$A$6:$A$505,0)),IF($I1511="Công việc",INDEX('Kế hoạch'!$C$6:$C$305,$O1511),""))</f>
      </c>
      <c r="K1511" s="221">
        <f>IF($I1511="Phản ánh",INDEX('Phản ánh'!$K$6:$K$505,MATCH($C1511,'Phản ánh'!$A$6:$A$505,0))&amp;"",IF($I1511="Công việc",INDEX('Kế hoạch'!$N$6:$N$305,$O1511)&amp;"",""))</f>
      </c>
      <c r="L1511" s="220">
        <f>IF(OR($C1511="",N($B1511)=0),"",IF(AND($I1511="Phản ánh",$E1511="Đã xử lý"),INDEX('Phản ánh'!$U$6:$U$505,MATCH($C1511,'Phản ánh'!$A$6:$A$505,0)),IF(AND($I1511="Công việc",OR($E1511="Hoàn thành",$E1511="Hoàn thành kỳ")),IF(INDEX('Kế hoạch'!$B$6:$B$305,$O1511)="Đột xuất",INDEX('Kế hoạch'!$AY$6:$AY$305,$O1511),IF(N($P1511)=0,"",IF(INT($B1511)&lt;$P1511,$P1511,IF($Q1511&gt;0,$P1511+ROUND((INT($B1511)-$P1511)/$Q1511,0)*$Q1511,IF($R1511&gt;0,EDATE($P1511,ROUND((DATEDIF($P1511,INT($B1511),"m")+(INT($B1511)-EDATE($P1511,DATEDIF($P1511,INT($B1511),"m")))/(EDATE($P1511,DATEDIF($P1511,INT($B1511),"m")+1)-EDATE($P1511,DATEDIF($P1511,INT($B1511),"m"))))/$R1511,0)*$R1511),$P1511))))),"")))</f>
      </c>
      <c r="M1511" s="223">
        <f>IF(OR($C1511="",N($L1511)=0,N($B1511)=0),"",IF(IF(MOD($L1511,1)=0,INT($B1511),$B1511)&lt;=$L1511,"Đúng hạn","Trễ hạn"))</f>
      </c>
      <c r="N1511" s="225">
        <f>IF($C1511="","",ROW())</f>
      </c>
      <c r="O1511" s="225">
        <f>IF($I1511="Công việc",MATCH($C1511,'Kế hoạch'!$A$6:$A$305,0),"")</f>
      </c>
      <c r="P1511" s="234">
        <f>IF($O1511="","",INDEX('Kế hoạch'!$I$6:$I$305,$O1511))</f>
      </c>
      <c r="Q1511" s="225">
        <f>IF($O1511="","",INDEX('Kế hoạch'!$AJ$6:$AJ$305,$O1511))</f>
      </c>
      <c r="R1511" s="225">
        <f>IF($O1511="","",INDEX('Kế hoạch'!$AK$6:$AK$305,$O1511))</f>
      </c>
    </row>
    <row r="1512">
      <c r="A1512" s="223">
        <f>IF($C1512="","",COUNTIF($C$6:$C1512,"?*"))</f>
      </c>
      <c r="B1512" s="217"/>
      <c r="C1512" s="216"/>
      <c r="D1512" s="240"/>
      <c r="E1512" s="218"/>
      <c r="F1512" s="218"/>
      <c r="G1512" s="218"/>
      <c r="H1512" s="219"/>
      <c r="I1512" s="223">
        <f>IF($C1512="","",IF(ISNUMBER(MATCH($C1512,'Phản ánh'!$A$6:$A$505,0)),"Phản ánh",IF(ISNUMBER(MATCH($C1512,'Kế hoạch'!$A$6:$A$305,0)),"Công việc","Mã chưa có")))</f>
      </c>
      <c r="J1512" s="221">
        <f>IF($I1512="Phản ánh",INDEX('Phản ánh'!$C$6:$C$505,MATCH($C1512,'Phản ánh'!$A$6:$A$505,0)),IF($I1512="Công việc",INDEX('Kế hoạch'!$C$6:$C$305,$O1512),""))</f>
      </c>
      <c r="K1512" s="221">
        <f>IF($I1512="Phản ánh",INDEX('Phản ánh'!$K$6:$K$505,MATCH($C1512,'Phản ánh'!$A$6:$A$505,0))&amp;"",IF($I1512="Công việc",INDEX('Kế hoạch'!$N$6:$N$305,$O1512)&amp;"",""))</f>
      </c>
      <c r="L1512" s="220">
        <f>IF(OR($C1512="",N($B1512)=0),"",IF(AND($I1512="Phản ánh",$E1512="Đã xử lý"),INDEX('Phản ánh'!$U$6:$U$505,MATCH($C1512,'Phản ánh'!$A$6:$A$505,0)),IF(AND($I1512="Công việc",OR($E1512="Hoàn thành",$E1512="Hoàn thành kỳ")),IF(INDEX('Kế hoạch'!$B$6:$B$305,$O1512)="Đột xuất",INDEX('Kế hoạch'!$AY$6:$AY$305,$O1512),IF(N($P1512)=0,"",IF(INT($B1512)&lt;$P1512,$P1512,IF($Q1512&gt;0,$P1512+ROUND((INT($B1512)-$P1512)/$Q1512,0)*$Q1512,IF($R1512&gt;0,EDATE($P1512,ROUND((DATEDIF($P1512,INT($B1512),"m")+(INT($B1512)-EDATE($P1512,DATEDIF($P1512,INT($B1512),"m")))/(EDATE($P1512,DATEDIF($P1512,INT($B1512),"m")+1)-EDATE($P1512,DATEDIF($P1512,INT($B1512),"m"))))/$R1512,0)*$R1512),$P1512))))),"")))</f>
      </c>
      <c r="M1512" s="223">
        <f>IF(OR($C1512="",N($L1512)=0,N($B1512)=0),"",IF(IF(MOD($L1512,1)=0,INT($B1512),$B1512)&lt;=$L1512,"Đúng hạn","Trễ hạn"))</f>
      </c>
      <c r="N1512" s="225">
        <f>IF($C1512="","",ROW())</f>
      </c>
      <c r="O1512" s="225">
        <f>IF($I1512="Công việc",MATCH($C1512,'Kế hoạch'!$A$6:$A$305,0),"")</f>
      </c>
      <c r="P1512" s="234">
        <f>IF($O1512="","",INDEX('Kế hoạch'!$I$6:$I$305,$O1512))</f>
      </c>
      <c r="Q1512" s="225">
        <f>IF($O1512="","",INDEX('Kế hoạch'!$AJ$6:$AJ$305,$O1512))</f>
      </c>
      <c r="R1512" s="225">
        <f>IF($O1512="","",INDEX('Kế hoạch'!$AK$6:$AK$305,$O1512))</f>
      </c>
    </row>
    <row r="1513">
      <c r="A1513" s="223">
        <f>IF($C1513="","",COUNTIF($C$6:$C1513,"?*"))</f>
      </c>
      <c r="B1513" s="217"/>
      <c r="C1513" s="216"/>
      <c r="D1513" s="240"/>
      <c r="E1513" s="218"/>
      <c r="F1513" s="218"/>
      <c r="G1513" s="218"/>
      <c r="H1513" s="219"/>
      <c r="I1513" s="223">
        <f>IF($C1513="","",IF(ISNUMBER(MATCH($C1513,'Phản ánh'!$A$6:$A$505,0)),"Phản ánh",IF(ISNUMBER(MATCH($C1513,'Kế hoạch'!$A$6:$A$305,0)),"Công việc","Mã chưa có")))</f>
      </c>
      <c r="J1513" s="221">
        <f>IF($I1513="Phản ánh",INDEX('Phản ánh'!$C$6:$C$505,MATCH($C1513,'Phản ánh'!$A$6:$A$505,0)),IF($I1513="Công việc",INDEX('Kế hoạch'!$C$6:$C$305,$O1513),""))</f>
      </c>
      <c r="K1513" s="221">
        <f>IF($I1513="Phản ánh",INDEX('Phản ánh'!$K$6:$K$505,MATCH($C1513,'Phản ánh'!$A$6:$A$505,0))&amp;"",IF($I1513="Công việc",INDEX('Kế hoạch'!$N$6:$N$305,$O1513)&amp;"",""))</f>
      </c>
      <c r="L1513" s="220">
        <f>IF(OR($C1513="",N($B1513)=0),"",IF(AND($I1513="Phản ánh",$E1513="Đã xử lý"),INDEX('Phản ánh'!$U$6:$U$505,MATCH($C1513,'Phản ánh'!$A$6:$A$505,0)),IF(AND($I1513="Công việc",OR($E1513="Hoàn thành",$E1513="Hoàn thành kỳ")),IF(INDEX('Kế hoạch'!$B$6:$B$305,$O1513)="Đột xuất",INDEX('Kế hoạch'!$AY$6:$AY$305,$O1513),IF(N($P1513)=0,"",IF(INT($B1513)&lt;$P1513,$P1513,IF($Q1513&gt;0,$P1513+ROUND((INT($B1513)-$P1513)/$Q1513,0)*$Q1513,IF($R1513&gt;0,EDATE($P1513,ROUND((DATEDIF($P1513,INT($B1513),"m")+(INT($B1513)-EDATE($P1513,DATEDIF($P1513,INT($B1513),"m")))/(EDATE($P1513,DATEDIF($P1513,INT($B1513),"m")+1)-EDATE($P1513,DATEDIF($P1513,INT($B1513),"m"))))/$R1513,0)*$R1513),$P1513))))),"")))</f>
      </c>
      <c r="M1513" s="223">
        <f>IF(OR($C1513="",N($L1513)=0,N($B1513)=0),"",IF(IF(MOD($L1513,1)=0,INT($B1513),$B1513)&lt;=$L1513,"Đúng hạn","Trễ hạn"))</f>
      </c>
      <c r="N1513" s="225">
        <f>IF($C1513="","",ROW())</f>
      </c>
      <c r="O1513" s="225">
        <f>IF($I1513="Công việc",MATCH($C1513,'Kế hoạch'!$A$6:$A$305,0),"")</f>
      </c>
      <c r="P1513" s="234">
        <f>IF($O1513="","",INDEX('Kế hoạch'!$I$6:$I$305,$O1513))</f>
      </c>
      <c r="Q1513" s="225">
        <f>IF($O1513="","",INDEX('Kế hoạch'!$AJ$6:$AJ$305,$O1513))</f>
      </c>
      <c r="R1513" s="225">
        <f>IF($O1513="","",INDEX('Kế hoạch'!$AK$6:$AK$305,$O1513))</f>
      </c>
    </row>
    <row r="1514">
      <c r="A1514" s="223">
        <f>IF($C1514="","",COUNTIF($C$6:$C1514,"?*"))</f>
      </c>
      <c r="B1514" s="217"/>
      <c r="C1514" s="216"/>
      <c r="D1514" s="240"/>
      <c r="E1514" s="218"/>
      <c r="F1514" s="218"/>
      <c r="G1514" s="218"/>
      <c r="H1514" s="219"/>
      <c r="I1514" s="223">
        <f>IF($C1514="","",IF(ISNUMBER(MATCH($C1514,'Phản ánh'!$A$6:$A$505,0)),"Phản ánh",IF(ISNUMBER(MATCH($C1514,'Kế hoạch'!$A$6:$A$305,0)),"Công việc","Mã chưa có")))</f>
      </c>
      <c r="J1514" s="221">
        <f>IF($I1514="Phản ánh",INDEX('Phản ánh'!$C$6:$C$505,MATCH($C1514,'Phản ánh'!$A$6:$A$505,0)),IF($I1514="Công việc",INDEX('Kế hoạch'!$C$6:$C$305,$O1514),""))</f>
      </c>
      <c r="K1514" s="221">
        <f>IF($I1514="Phản ánh",INDEX('Phản ánh'!$K$6:$K$505,MATCH($C1514,'Phản ánh'!$A$6:$A$505,0))&amp;"",IF($I1514="Công việc",INDEX('Kế hoạch'!$N$6:$N$305,$O1514)&amp;"",""))</f>
      </c>
      <c r="L1514" s="220">
        <f>IF(OR($C1514="",N($B1514)=0),"",IF(AND($I1514="Phản ánh",$E1514="Đã xử lý"),INDEX('Phản ánh'!$U$6:$U$505,MATCH($C1514,'Phản ánh'!$A$6:$A$505,0)),IF(AND($I1514="Công việc",OR($E1514="Hoàn thành",$E1514="Hoàn thành kỳ")),IF(INDEX('Kế hoạch'!$B$6:$B$305,$O1514)="Đột xuất",INDEX('Kế hoạch'!$AY$6:$AY$305,$O1514),IF(N($P1514)=0,"",IF(INT($B1514)&lt;$P1514,$P1514,IF($Q1514&gt;0,$P1514+ROUND((INT($B1514)-$P1514)/$Q1514,0)*$Q1514,IF($R1514&gt;0,EDATE($P1514,ROUND((DATEDIF($P1514,INT($B1514),"m")+(INT($B1514)-EDATE($P1514,DATEDIF($P1514,INT($B1514),"m")))/(EDATE($P1514,DATEDIF($P1514,INT($B1514),"m")+1)-EDATE($P1514,DATEDIF($P1514,INT($B1514),"m"))))/$R1514,0)*$R1514),$P1514))))),"")))</f>
      </c>
      <c r="M1514" s="223">
        <f>IF(OR($C1514="",N($L1514)=0,N($B1514)=0),"",IF(IF(MOD($L1514,1)=0,INT($B1514),$B1514)&lt;=$L1514,"Đúng hạn","Trễ hạn"))</f>
      </c>
      <c r="N1514" s="225">
        <f>IF($C1514="","",ROW())</f>
      </c>
      <c r="O1514" s="225">
        <f>IF($I1514="Công việc",MATCH($C1514,'Kế hoạch'!$A$6:$A$305,0),"")</f>
      </c>
      <c r="P1514" s="234">
        <f>IF($O1514="","",INDEX('Kế hoạch'!$I$6:$I$305,$O1514))</f>
      </c>
      <c r="Q1514" s="225">
        <f>IF($O1514="","",INDEX('Kế hoạch'!$AJ$6:$AJ$305,$O1514))</f>
      </c>
      <c r="R1514" s="225">
        <f>IF($O1514="","",INDEX('Kế hoạch'!$AK$6:$AK$305,$O1514))</f>
      </c>
    </row>
    <row r="1515">
      <c r="A1515" s="223">
        <f>IF($C1515="","",COUNTIF($C$6:$C1515,"?*"))</f>
      </c>
      <c r="B1515" s="217"/>
      <c r="C1515" s="216"/>
      <c r="D1515" s="240"/>
      <c r="E1515" s="218"/>
      <c r="F1515" s="218"/>
      <c r="G1515" s="218"/>
      <c r="H1515" s="219"/>
      <c r="I1515" s="223">
        <f>IF($C1515="","",IF(ISNUMBER(MATCH($C1515,'Phản ánh'!$A$6:$A$505,0)),"Phản ánh",IF(ISNUMBER(MATCH($C1515,'Kế hoạch'!$A$6:$A$305,0)),"Công việc","Mã chưa có")))</f>
      </c>
      <c r="J1515" s="221">
        <f>IF($I1515="Phản ánh",INDEX('Phản ánh'!$C$6:$C$505,MATCH($C1515,'Phản ánh'!$A$6:$A$505,0)),IF($I1515="Công việc",INDEX('Kế hoạch'!$C$6:$C$305,$O1515),""))</f>
      </c>
      <c r="K1515" s="221">
        <f>IF($I1515="Phản ánh",INDEX('Phản ánh'!$K$6:$K$505,MATCH($C1515,'Phản ánh'!$A$6:$A$505,0))&amp;"",IF($I1515="Công việc",INDEX('Kế hoạch'!$N$6:$N$305,$O1515)&amp;"",""))</f>
      </c>
      <c r="L1515" s="220">
        <f>IF(OR($C1515="",N($B1515)=0),"",IF(AND($I1515="Phản ánh",$E1515="Đã xử lý"),INDEX('Phản ánh'!$U$6:$U$505,MATCH($C1515,'Phản ánh'!$A$6:$A$505,0)),IF(AND($I1515="Công việc",OR($E1515="Hoàn thành",$E1515="Hoàn thành kỳ")),IF(INDEX('Kế hoạch'!$B$6:$B$305,$O1515)="Đột xuất",INDEX('Kế hoạch'!$AY$6:$AY$305,$O1515),IF(N($P1515)=0,"",IF(INT($B1515)&lt;$P1515,$P1515,IF($Q1515&gt;0,$P1515+ROUND((INT($B1515)-$P1515)/$Q1515,0)*$Q1515,IF($R1515&gt;0,EDATE($P1515,ROUND((DATEDIF($P1515,INT($B1515),"m")+(INT($B1515)-EDATE($P1515,DATEDIF($P1515,INT($B1515),"m")))/(EDATE($P1515,DATEDIF($P1515,INT($B1515),"m")+1)-EDATE($P1515,DATEDIF($P1515,INT($B1515),"m"))))/$R1515,0)*$R1515),$P1515))))),"")))</f>
      </c>
      <c r="M1515" s="223">
        <f>IF(OR($C1515="",N($L1515)=0,N($B1515)=0),"",IF(IF(MOD($L1515,1)=0,INT($B1515),$B1515)&lt;=$L1515,"Đúng hạn","Trễ hạn"))</f>
      </c>
      <c r="N1515" s="225">
        <f>IF($C1515="","",ROW())</f>
      </c>
      <c r="O1515" s="225">
        <f>IF($I1515="Công việc",MATCH($C1515,'Kế hoạch'!$A$6:$A$305,0),"")</f>
      </c>
      <c r="P1515" s="234">
        <f>IF($O1515="","",INDEX('Kế hoạch'!$I$6:$I$305,$O1515))</f>
      </c>
      <c r="Q1515" s="225">
        <f>IF($O1515="","",INDEX('Kế hoạch'!$AJ$6:$AJ$305,$O1515))</f>
      </c>
      <c r="R1515" s="225">
        <f>IF($O1515="","",INDEX('Kế hoạch'!$AK$6:$AK$305,$O1515))</f>
      </c>
    </row>
    <row r="1516">
      <c r="A1516" s="223">
        <f>IF($C1516="","",COUNTIF($C$6:$C1516,"?*"))</f>
      </c>
      <c r="B1516" s="217"/>
      <c r="C1516" s="216"/>
      <c r="D1516" s="240"/>
      <c r="E1516" s="218"/>
      <c r="F1516" s="218"/>
      <c r="G1516" s="218"/>
      <c r="H1516" s="219"/>
      <c r="I1516" s="223">
        <f>IF($C1516="","",IF(ISNUMBER(MATCH($C1516,'Phản ánh'!$A$6:$A$505,0)),"Phản ánh",IF(ISNUMBER(MATCH($C1516,'Kế hoạch'!$A$6:$A$305,0)),"Công việc","Mã chưa có")))</f>
      </c>
      <c r="J1516" s="221">
        <f>IF($I1516="Phản ánh",INDEX('Phản ánh'!$C$6:$C$505,MATCH($C1516,'Phản ánh'!$A$6:$A$505,0)),IF($I1516="Công việc",INDEX('Kế hoạch'!$C$6:$C$305,$O1516),""))</f>
      </c>
      <c r="K1516" s="221">
        <f>IF($I1516="Phản ánh",INDEX('Phản ánh'!$K$6:$K$505,MATCH($C1516,'Phản ánh'!$A$6:$A$505,0))&amp;"",IF($I1516="Công việc",INDEX('Kế hoạch'!$N$6:$N$305,$O1516)&amp;"",""))</f>
      </c>
      <c r="L1516" s="220">
        <f>IF(OR($C1516="",N($B1516)=0),"",IF(AND($I1516="Phản ánh",$E1516="Đã xử lý"),INDEX('Phản ánh'!$U$6:$U$505,MATCH($C1516,'Phản ánh'!$A$6:$A$505,0)),IF(AND($I1516="Công việc",OR($E1516="Hoàn thành",$E1516="Hoàn thành kỳ")),IF(INDEX('Kế hoạch'!$B$6:$B$305,$O1516)="Đột xuất",INDEX('Kế hoạch'!$AY$6:$AY$305,$O1516),IF(N($P1516)=0,"",IF(INT($B1516)&lt;$P1516,$P1516,IF($Q1516&gt;0,$P1516+ROUND((INT($B1516)-$P1516)/$Q1516,0)*$Q1516,IF($R1516&gt;0,EDATE($P1516,ROUND((DATEDIF($P1516,INT($B1516),"m")+(INT($B1516)-EDATE($P1516,DATEDIF($P1516,INT($B1516),"m")))/(EDATE($P1516,DATEDIF($P1516,INT($B1516),"m")+1)-EDATE($P1516,DATEDIF($P1516,INT($B1516),"m"))))/$R1516,0)*$R1516),$P1516))))),"")))</f>
      </c>
      <c r="M1516" s="223">
        <f>IF(OR($C1516="",N($L1516)=0,N($B1516)=0),"",IF(IF(MOD($L1516,1)=0,INT($B1516),$B1516)&lt;=$L1516,"Đúng hạn","Trễ hạn"))</f>
      </c>
      <c r="N1516" s="225">
        <f>IF($C1516="","",ROW())</f>
      </c>
      <c r="O1516" s="225">
        <f>IF($I1516="Công việc",MATCH($C1516,'Kế hoạch'!$A$6:$A$305,0),"")</f>
      </c>
      <c r="P1516" s="234">
        <f>IF($O1516="","",INDEX('Kế hoạch'!$I$6:$I$305,$O1516))</f>
      </c>
      <c r="Q1516" s="225">
        <f>IF($O1516="","",INDEX('Kế hoạch'!$AJ$6:$AJ$305,$O1516))</f>
      </c>
      <c r="R1516" s="225">
        <f>IF($O1516="","",INDEX('Kế hoạch'!$AK$6:$AK$305,$O1516))</f>
      </c>
    </row>
    <row r="1517">
      <c r="A1517" s="223">
        <f>IF($C1517="","",COUNTIF($C$6:$C1517,"?*"))</f>
      </c>
      <c r="B1517" s="217"/>
      <c r="C1517" s="216"/>
      <c r="D1517" s="240"/>
      <c r="E1517" s="218"/>
      <c r="F1517" s="218"/>
      <c r="G1517" s="218"/>
      <c r="H1517" s="219"/>
      <c r="I1517" s="223">
        <f>IF($C1517="","",IF(ISNUMBER(MATCH($C1517,'Phản ánh'!$A$6:$A$505,0)),"Phản ánh",IF(ISNUMBER(MATCH($C1517,'Kế hoạch'!$A$6:$A$305,0)),"Công việc","Mã chưa có")))</f>
      </c>
      <c r="J1517" s="221">
        <f>IF($I1517="Phản ánh",INDEX('Phản ánh'!$C$6:$C$505,MATCH($C1517,'Phản ánh'!$A$6:$A$505,0)),IF($I1517="Công việc",INDEX('Kế hoạch'!$C$6:$C$305,$O1517),""))</f>
      </c>
      <c r="K1517" s="221">
        <f>IF($I1517="Phản ánh",INDEX('Phản ánh'!$K$6:$K$505,MATCH($C1517,'Phản ánh'!$A$6:$A$505,0))&amp;"",IF($I1517="Công việc",INDEX('Kế hoạch'!$N$6:$N$305,$O1517)&amp;"",""))</f>
      </c>
      <c r="L1517" s="220">
        <f>IF(OR($C1517="",N($B1517)=0),"",IF(AND($I1517="Phản ánh",$E1517="Đã xử lý"),INDEX('Phản ánh'!$U$6:$U$505,MATCH($C1517,'Phản ánh'!$A$6:$A$505,0)),IF(AND($I1517="Công việc",OR($E1517="Hoàn thành",$E1517="Hoàn thành kỳ")),IF(INDEX('Kế hoạch'!$B$6:$B$305,$O1517)="Đột xuất",INDEX('Kế hoạch'!$AY$6:$AY$305,$O1517),IF(N($P1517)=0,"",IF(INT($B1517)&lt;$P1517,$P1517,IF($Q1517&gt;0,$P1517+ROUND((INT($B1517)-$P1517)/$Q1517,0)*$Q1517,IF($R1517&gt;0,EDATE($P1517,ROUND((DATEDIF($P1517,INT($B1517),"m")+(INT($B1517)-EDATE($P1517,DATEDIF($P1517,INT($B1517),"m")))/(EDATE($P1517,DATEDIF($P1517,INT($B1517),"m")+1)-EDATE($P1517,DATEDIF($P1517,INT($B1517),"m"))))/$R1517,0)*$R1517),$P1517))))),"")))</f>
      </c>
      <c r="M1517" s="223">
        <f>IF(OR($C1517="",N($L1517)=0,N($B1517)=0),"",IF(IF(MOD($L1517,1)=0,INT($B1517),$B1517)&lt;=$L1517,"Đúng hạn","Trễ hạn"))</f>
      </c>
      <c r="N1517" s="225">
        <f>IF($C1517="","",ROW())</f>
      </c>
      <c r="O1517" s="225">
        <f>IF($I1517="Công việc",MATCH($C1517,'Kế hoạch'!$A$6:$A$305,0),"")</f>
      </c>
      <c r="P1517" s="234">
        <f>IF($O1517="","",INDEX('Kế hoạch'!$I$6:$I$305,$O1517))</f>
      </c>
      <c r="Q1517" s="225">
        <f>IF($O1517="","",INDEX('Kế hoạch'!$AJ$6:$AJ$305,$O1517))</f>
      </c>
      <c r="R1517" s="225">
        <f>IF($O1517="","",INDEX('Kế hoạch'!$AK$6:$AK$305,$O1517))</f>
      </c>
    </row>
    <row r="1518">
      <c r="A1518" s="223">
        <f>IF($C1518="","",COUNTIF($C$6:$C1518,"?*"))</f>
      </c>
      <c r="B1518" s="217"/>
      <c r="C1518" s="216"/>
      <c r="D1518" s="240"/>
      <c r="E1518" s="218"/>
      <c r="F1518" s="218"/>
      <c r="G1518" s="218"/>
      <c r="H1518" s="219"/>
      <c r="I1518" s="223">
        <f>IF($C1518="","",IF(ISNUMBER(MATCH($C1518,'Phản ánh'!$A$6:$A$505,0)),"Phản ánh",IF(ISNUMBER(MATCH($C1518,'Kế hoạch'!$A$6:$A$305,0)),"Công việc","Mã chưa có")))</f>
      </c>
      <c r="J1518" s="221">
        <f>IF($I1518="Phản ánh",INDEX('Phản ánh'!$C$6:$C$505,MATCH($C1518,'Phản ánh'!$A$6:$A$505,0)),IF($I1518="Công việc",INDEX('Kế hoạch'!$C$6:$C$305,$O1518),""))</f>
      </c>
      <c r="K1518" s="221">
        <f>IF($I1518="Phản ánh",INDEX('Phản ánh'!$K$6:$K$505,MATCH($C1518,'Phản ánh'!$A$6:$A$505,0))&amp;"",IF($I1518="Công việc",INDEX('Kế hoạch'!$N$6:$N$305,$O1518)&amp;"",""))</f>
      </c>
      <c r="L1518" s="220">
        <f>IF(OR($C1518="",N($B1518)=0),"",IF(AND($I1518="Phản ánh",$E1518="Đã xử lý"),INDEX('Phản ánh'!$U$6:$U$505,MATCH($C1518,'Phản ánh'!$A$6:$A$505,0)),IF(AND($I1518="Công việc",OR($E1518="Hoàn thành",$E1518="Hoàn thành kỳ")),IF(INDEX('Kế hoạch'!$B$6:$B$305,$O1518)="Đột xuất",INDEX('Kế hoạch'!$AY$6:$AY$305,$O1518),IF(N($P1518)=0,"",IF(INT($B1518)&lt;$P1518,$P1518,IF($Q1518&gt;0,$P1518+ROUND((INT($B1518)-$P1518)/$Q1518,0)*$Q1518,IF($R1518&gt;0,EDATE($P1518,ROUND((DATEDIF($P1518,INT($B1518),"m")+(INT($B1518)-EDATE($P1518,DATEDIF($P1518,INT($B1518),"m")))/(EDATE($P1518,DATEDIF($P1518,INT($B1518),"m")+1)-EDATE($P1518,DATEDIF($P1518,INT($B1518),"m"))))/$R1518,0)*$R1518),$P1518))))),"")))</f>
      </c>
      <c r="M1518" s="223">
        <f>IF(OR($C1518="",N($L1518)=0,N($B1518)=0),"",IF(IF(MOD($L1518,1)=0,INT($B1518),$B1518)&lt;=$L1518,"Đúng hạn","Trễ hạn"))</f>
      </c>
      <c r="N1518" s="225">
        <f>IF($C1518="","",ROW())</f>
      </c>
      <c r="O1518" s="225">
        <f>IF($I1518="Công việc",MATCH($C1518,'Kế hoạch'!$A$6:$A$305,0),"")</f>
      </c>
      <c r="P1518" s="234">
        <f>IF($O1518="","",INDEX('Kế hoạch'!$I$6:$I$305,$O1518))</f>
      </c>
      <c r="Q1518" s="225">
        <f>IF($O1518="","",INDEX('Kế hoạch'!$AJ$6:$AJ$305,$O1518))</f>
      </c>
      <c r="R1518" s="225">
        <f>IF($O1518="","",INDEX('Kế hoạch'!$AK$6:$AK$305,$O1518))</f>
      </c>
    </row>
    <row r="1519">
      <c r="A1519" s="223">
        <f>IF($C1519="","",COUNTIF($C$6:$C1519,"?*"))</f>
      </c>
      <c r="B1519" s="217"/>
      <c r="C1519" s="216"/>
      <c r="D1519" s="240"/>
      <c r="E1519" s="218"/>
      <c r="F1519" s="218"/>
      <c r="G1519" s="218"/>
      <c r="H1519" s="219"/>
      <c r="I1519" s="223">
        <f>IF($C1519="","",IF(ISNUMBER(MATCH($C1519,'Phản ánh'!$A$6:$A$505,0)),"Phản ánh",IF(ISNUMBER(MATCH($C1519,'Kế hoạch'!$A$6:$A$305,0)),"Công việc","Mã chưa có")))</f>
      </c>
      <c r="J1519" s="221">
        <f>IF($I1519="Phản ánh",INDEX('Phản ánh'!$C$6:$C$505,MATCH($C1519,'Phản ánh'!$A$6:$A$505,0)),IF($I1519="Công việc",INDEX('Kế hoạch'!$C$6:$C$305,$O1519),""))</f>
      </c>
      <c r="K1519" s="221">
        <f>IF($I1519="Phản ánh",INDEX('Phản ánh'!$K$6:$K$505,MATCH($C1519,'Phản ánh'!$A$6:$A$505,0))&amp;"",IF($I1519="Công việc",INDEX('Kế hoạch'!$N$6:$N$305,$O1519)&amp;"",""))</f>
      </c>
      <c r="L1519" s="220">
        <f>IF(OR($C1519="",N($B1519)=0),"",IF(AND($I1519="Phản ánh",$E1519="Đã xử lý"),INDEX('Phản ánh'!$U$6:$U$505,MATCH($C1519,'Phản ánh'!$A$6:$A$505,0)),IF(AND($I1519="Công việc",OR($E1519="Hoàn thành",$E1519="Hoàn thành kỳ")),IF(INDEX('Kế hoạch'!$B$6:$B$305,$O1519)="Đột xuất",INDEX('Kế hoạch'!$AY$6:$AY$305,$O1519),IF(N($P1519)=0,"",IF(INT($B1519)&lt;$P1519,$P1519,IF($Q1519&gt;0,$P1519+ROUND((INT($B1519)-$P1519)/$Q1519,0)*$Q1519,IF($R1519&gt;0,EDATE($P1519,ROUND((DATEDIF($P1519,INT($B1519),"m")+(INT($B1519)-EDATE($P1519,DATEDIF($P1519,INT($B1519),"m")))/(EDATE($P1519,DATEDIF($P1519,INT($B1519),"m")+1)-EDATE($P1519,DATEDIF($P1519,INT($B1519),"m"))))/$R1519,0)*$R1519),$P1519))))),"")))</f>
      </c>
      <c r="M1519" s="223">
        <f>IF(OR($C1519="",N($L1519)=0,N($B1519)=0),"",IF(IF(MOD($L1519,1)=0,INT($B1519),$B1519)&lt;=$L1519,"Đúng hạn","Trễ hạn"))</f>
      </c>
      <c r="N1519" s="225">
        <f>IF($C1519="","",ROW())</f>
      </c>
      <c r="O1519" s="225">
        <f>IF($I1519="Công việc",MATCH($C1519,'Kế hoạch'!$A$6:$A$305,0),"")</f>
      </c>
      <c r="P1519" s="234">
        <f>IF($O1519="","",INDEX('Kế hoạch'!$I$6:$I$305,$O1519))</f>
      </c>
      <c r="Q1519" s="225">
        <f>IF($O1519="","",INDEX('Kế hoạch'!$AJ$6:$AJ$305,$O1519))</f>
      </c>
      <c r="R1519" s="225">
        <f>IF($O1519="","",INDEX('Kế hoạch'!$AK$6:$AK$305,$O1519))</f>
      </c>
    </row>
    <row r="1520">
      <c r="A1520" s="223">
        <f>IF($C1520="","",COUNTIF($C$6:$C1520,"?*"))</f>
      </c>
      <c r="B1520" s="217"/>
      <c r="C1520" s="216"/>
      <c r="D1520" s="240"/>
      <c r="E1520" s="218"/>
      <c r="F1520" s="218"/>
      <c r="G1520" s="218"/>
      <c r="H1520" s="219"/>
      <c r="I1520" s="223">
        <f>IF($C1520="","",IF(ISNUMBER(MATCH($C1520,'Phản ánh'!$A$6:$A$505,0)),"Phản ánh",IF(ISNUMBER(MATCH($C1520,'Kế hoạch'!$A$6:$A$305,0)),"Công việc","Mã chưa có")))</f>
      </c>
      <c r="J1520" s="221">
        <f>IF($I1520="Phản ánh",INDEX('Phản ánh'!$C$6:$C$505,MATCH($C1520,'Phản ánh'!$A$6:$A$505,0)),IF($I1520="Công việc",INDEX('Kế hoạch'!$C$6:$C$305,$O1520),""))</f>
      </c>
      <c r="K1520" s="221">
        <f>IF($I1520="Phản ánh",INDEX('Phản ánh'!$K$6:$K$505,MATCH($C1520,'Phản ánh'!$A$6:$A$505,0))&amp;"",IF($I1520="Công việc",INDEX('Kế hoạch'!$N$6:$N$305,$O1520)&amp;"",""))</f>
      </c>
      <c r="L1520" s="220">
        <f>IF(OR($C1520="",N($B1520)=0),"",IF(AND($I1520="Phản ánh",$E1520="Đã xử lý"),INDEX('Phản ánh'!$U$6:$U$505,MATCH($C1520,'Phản ánh'!$A$6:$A$505,0)),IF(AND($I1520="Công việc",OR($E1520="Hoàn thành",$E1520="Hoàn thành kỳ")),IF(INDEX('Kế hoạch'!$B$6:$B$305,$O1520)="Đột xuất",INDEX('Kế hoạch'!$AY$6:$AY$305,$O1520),IF(N($P1520)=0,"",IF(INT($B1520)&lt;$P1520,$P1520,IF($Q1520&gt;0,$P1520+ROUND((INT($B1520)-$P1520)/$Q1520,0)*$Q1520,IF($R1520&gt;0,EDATE($P1520,ROUND((DATEDIF($P1520,INT($B1520),"m")+(INT($B1520)-EDATE($P1520,DATEDIF($P1520,INT($B1520),"m")))/(EDATE($P1520,DATEDIF($P1520,INT($B1520),"m")+1)-EDATE($P1520,DATEDIF($P1520,INT($B1520),"m"))))/$R1520,0)*$R1520),$P1520))))),"")))</f>
      </c>
      <c r="M1520" s="223">
        <f>IF(OR($C1520="",N($L1520)=0,N($B1520)=0),"",IF(IF(MOD($L1520,1)=0,INT($B1520),$B1520)&lt;=$L1520,"Đúng hạn","Trễ hạn"))</f>
      </c>
      <c r="N1520" s="225">
        <f>IF($C1520="","",ROW())</f>
      </c>
      <c r="O1520" s="225">
        <f>IF($I1520="Công việc",MATCH($C1520,'Kế hoạch'!$A$6:$A$305,0),"")</f>
      </c>
      <c r="P1520" s="234">
        <f>IF($O1520="","",INDEX('Kế hoạch'!$I$6:$I$305,$O1520))</f>
      </c>
      <c r="Q1520" s="225">
        <f>IF($O1520="","",INDEX('Kế hoạch'!$AJ$6:$AJ$305,$O1520))</f>
      </c>
      <c r="R1520" s="225">
        <f>IF($O1520="","",INDEX('Kế hoạch'!$AK$6:$AK$305,$O1520))</f>
      </c>
    </row>
    <row r="1521">
      <c r="A1521" s="223">
        <f>IF($C1521="","",COUNTIF($C$6:$C1521,"?*"))</f>
      </c>
      <c r="B1521" s="217"/>
      <c r="C1521" s="216"/>
      <c r="D1521" s="240"/>
      <c r="E1521" s="218"/>
      <c r="F1521" s="218"/>
      <c r="G1521" s="218"/>
      <c r="H1521" s="219"/>
      <c r="I1521" s="223">
        <f>IF($C1521="","",IF(ISNUMBER(MATCH($C1521,'Phản ánh'!$A$6:$A$505,0)),"Phản ánh",IF(ISNUMBER(MATCH($C1521,'Kế hoạch'!$A$6:$A$305,0)),"Công việc","Mã chưa có")))</f>
      </c>
      <c r="J1521" s="221">
        <f>IF($I1521="Phản ánh",INDEX('Phản ánh'!$C$6:$C$505,MATCH($C1521,'Phản ánh'!$A$6:$A$505,0)),IF($I1521="Công việc",INDEX('Kế hoạch'!$C$6:$C$305,$O1521),""))</f>
      </c>
      <c r="K1521" s="221">
        <f>IF($I1521="Phản ánh",INDEX('Phản ánh'!$K$6:$K$505,MATCH($C1521,'Phản ánh'!$A$6:$A$505,0))&amp;"",IF($I1521="Công việc",INDEX('Kế hoạch'!$N$6:$N$305,$O1521)&amp;"",""))</f>
      </c>
      <c r="L1521" s="220">
        <f>IF(OR($C1521="",N($B1521)=0),"",IF(AND($I1521="Phản ánh",$E1521="Đã xử lý"),INDEX('Phản ánh'!$U$6:$U$505,MATCH($C1521,'Phản ánh'!$A$6:$A$505,0)),IF(AND($I1521="Công việc",OR($E1521="Hoàn thành",$E1521="Hoàn thành kỳ")),IF(INDEX('Kế hoạch'!$B$6:$B$305,$O1521)="Đột xuất",INDEX('Kế hoạch'!$AY$6:$AY$305,$O1521),IF(N($P1521)=0,"",IF(INT($B1521)&lt;$P1521,$P1521,IF($Q1521&gt;0,$P1521+ROUND((INT($B1521)-$P1521)/$Q1521,0)*$Q1521,IF($R1521&gt;0,EDATE($P1521,ROUND((DATEDIF($P1521,INT($B1521),"m")+(INT($B1521)-EDATE($P1521,DATEDIF($P1521,INT($B1521),"m")))/(EDATE($P1521,DATEDIF($P1521,INT($B1521),"m")+1)-EDATE($P1521,DATEDIF($P1521,INT($B1521),"m"))))/$R1521,0)*$R1521),$P1521))))),"")))</f>
      </c>
      <c r="M1521" s="223">
        <f>IF(OR($C1521="",N($L1521)=0,N($B1521)=0),"",IF(IF(MOD($L1521,1)=0,INT($B1521),$B1521)&lt;=$L1521,"Đúng hạn","Trễ hạn"))</f>
      </c>
      <c r="N1521" s="225">
        <f>IF($C1521="","",ROW())</f>
      </c>
      <c r="O1521" s="225">
        <f>IF($I1521="Công việc",MATCH($C1521,'Kế hoạch'!$A$6:$A$305,0),"")</f>
      </c>
      <c r="P1521" s="234">
        <f>IF($O1521="","",INDEX('Kế hoạch'!$I$6:$I$305,$O1521))</f>
      </c>
      <c r="Q1521" s="225">
        <f>IF($O1521="","",INDEX('Kế hoạch'!$AJ$6:$AJ$305,$O1521))</f>
      </c>
      <c r="R1521" s="225">
        <f>IF($O1521="","",INDEX('Kế hoạch'!$AK$6:$AK$305,$O1521))</f>
      </c>
    </row>
    <row r="1522">
      <c r="A1522" s="223">
        <f>IF($C1522="","",COUNTIF($C$6:$C1522,"?*"))</f>
      </c>
      <c r="B1522" s="217"/>
      <c r="C1522" s="216"/>
      <c r="D1522" s="240"/>
      <c r="E1522" s="218"/>
      <c r="F1522" s="218"/>
      <c r="G1522" s="218"/>
      <c r="H1522" s="219"/>
      <c r="I1522" s="223">
        <f>IF($C1522="","",IF(ISNUMBER(MATCH($C1522,'Phản ánh'!$A$6:$A$505,0)),"Phản ánh",IF(ISNUMBER(MATCH($C1522,'Kế hoạch'!$A$6:$A$305,0)),"Công việc","Mã chưa có")))</f>
      </c>
      <c r="J1522" s="221">
        <f>IF($I1522="Phản ánh",INDEX('Phản ánh'!$C$6:$C$505,MATCH($C1522,'Phản ánh'!$A$6:$A$505,0)),IF($I1522="Công việc",INDEX('Kế hoạch'!$C$6:$C$305,$O1522),""))</f>
      </c>
      <c r="K1522" s="221">
        <f>IF($I1522="Phản ánh",INDEX('Phản ánh'!$K$6:$K$505,MATCH($C1522,'Phản ánh'!$A$6:$A$505,0))&amp;"",IF($I1522="Công việc",INDEX('Kế hoạch'!$N$6:$N$305,$O1522)&amp;"",""))</f>
      </c>
      <c r="L1522" s="220">
        <f>IF(OR($C1522="",N($B1522)=0),"",IF(AND($I1522="Phản ánh",$E1522="Đã xử lý"),INDEX('Phản ánh'!$U$6:$U$505,MATCH($C1522,'Phản ánh'!$A$6:$A$505,0)),IF(AND($I1522="Công việc",OR($E1522="Hoàn thành",$E1522="Hoàn thành kỳ")),IF(INDEX('Kế hoạch'!$B$6:$B$305,$O1522)="Đột xuất",INDEX('Kế hoạch'!$AY$6:$AY$305,$O1522),IF(N($P1522)=0,"",IF(INT($B1522)&lt;$P1522,$P1522,IF($Q1522&gt;0,$P1522+ROUND((INT($B1522)-$P1522)/$Q1522,0)*$Q1522,IF($R1522&gt;0,EDATE($P1522,ROUND((DATEDIF($P1522,INT($B1522),"m")+(INT($B1522)-EDATE($P1522,DATEDIF($P1522,INT($B1522),"m")))/(EDATE($P1522,DATEDIF($P1522,INT($B1522),"m")+1)-EDATE($P1522,DATEDIF($P1522,INT($B1522),"m"))))/$R1522,0)*$R1522),$P1522))))),"")))</f>
      </c>
      <c r="M1522" s="223">
        <f>IF(OR($C1522="",N($L1522)=0,N($B1522)=0),"",IF(IF(MOD($L1522,1)=0,INT($B1522),$B1522)&lt;=$L1522,"Đúng hạn","Trễ hạn"))</f>
      </c>
      <c r="N1522" s="225">
        <f>IF($C1522="","",ROW())</f>
      </c>
      <c r="O1522" s="225">
        <f>IF($I1522="Công việc",MATCH($C1522,'Kế hoạch'!$A$6:$A$305,0),"")</f>
      </c>
      <c r="P1522" s="234">
        <f>IF($O1522="","",INDEX('Kế hoạch'!$I$6:$I$305,$O1522))</f>
      </c>
      <c r="Q1522" s="225">
        <f>IF($O1522="","",INDEX('Kế hoạch'!$AJ$6:$AJ$305,$O1522))</f>
      </c>
      <c r="R1522" s="225">
        <f>IF($O1522="","",INDEX('Kế hoạch'!$AK$6:$AK$305,$O1522))</f>
      </c>
    </row>
    <row r="1523">
      <c r="A1523" s="223">
        <f>IF($C1523="","",COUNTIF($C$6:$C1523,"?*"))</f>
      </c>
      <c r="B1523" s="217"/>
      <c r="C1523" s="216"/>
      <c r="D1523" s="240"/>
      <c r="E1523" s="218"/>
      <c r="F1523" s="218"/>
      <c r="G1523" s="218"/>
      <c r="H1523" s="219"/>
      <c r="I1523" s="223">
        <f>IF($C1523="","",IF(ISNUMBER(MATCH($C1523,'Phản ánh'!$A$6:$A$505,0)),"Phản ánh",IF(ISNUMBER(MATCH($C1523,'Kế hoạch'!$A$6:$A$305,0)),"Công việc","Mã chưa có")))</f>
      </c>
      <c r="J1523" s="221">
        <f>IF($I1523="Phản ánh",INDEX('Phản ánh'!$C$6:$C$505,MATCH($C1523,'Phản ánh'!$A$6:$A$505,0)),IF($I1523="Công việc",INDEX('Kế hoạch'!$C$6:$C$305,$O1523),""))</f>
      </c>
      <c r="K1523" s="221">
        <f>IF($I1523="Phản ánh",INDEX('Phản ánh'!$K$6:$K$505,MATCH($C1523,'Phản ánh'!$A$6:$A$505,0))&amp;"",IF($I1523="Công việc",INDEX('Kế hoạch'!$N$6:$N$305,$O1523)&amp;"",""))</f>
      </c>
      <c r="L1523" s="220">
        <f>IF(OR($C1523="",N($B1523)=0),"",IF(AND($I1523="Phản ánh",$E1523="Đã xử lý"),INDEX('Phản ánh'!$U$6:$U$505,MATCH($C1523,'Phản ánh'!$A$6:$A$505,0)),IF(AND($I1523="Công việc",OR($E1523="Hoàn thành",$E1523="Hoàn thành kỳ")),IF(INDEX('Kế hoạch'!$B$6:$B$305,$O1523)="Đột xuất",INDEX('Kế hoạch'!$AY$6:$AY$305,$O1523),IF(N($P1523)=0,"",IF(INT($B1523)&lt;$P1523,$P1523,IF($Q1523&gt;0,$P1523+ROUND((INT($B1523)-$P1523)/$Q1523,0)*$Q1523,IF($R1523&gt;0,EDATE($P1523,ROUND((DATEDIF($P1523,INT($B1523),"m")+(INT($B1523)-EDATE($P1523,DATEDIF($P1523,INT($B1523),"m")))/(EDATE($P1523,DATEDIF($P1523,INT($B1523),"m")+1)-EDATE($P1523,DATEDIF($P1523,INT($B1523),"m"))))/$R1523,0)*$R1523),$P1523))))),"")))</f>
      </c>
      <c r="M1523" s="223">
        <f>IF(OR($C1523="",N($L1523)=0,N($B1523)=0),"",IF(IF(MOD($L1523,1)=0,INT($B1523),$B1523)&lt;=$L1523,"Đúng hạn","Trễ hạn"))</f>
      </c>
      <c r="N1523" s="225">
        <f>IF($C1523="","",ROW())</f>
      </c>
      <c r="O1523" s="225">
        <f>IF($I1523="Công việc",MATCH($C1523,'Kế hoạch'!$A$6:$A$305,0),"")</f>
      </c>
      <c r="P1523" s="234">
        <f>IF($O1523="","",INDEX('Kế hoạch'!$I$6:$I$305,$O1523))</f>
      </c>
      <c r="Q1523" s="225">
        <f>IF($O1523="","",INDEX('Kế hoạch'!$AJ$6:$AJ$305,$O1523))</f>
      </c>
      <c r="R1523" s="225">
        <f>IF($O1523="","",INDEX('Kế hoạch'!$AK$6:$AK$305,$O1523))</f>
      </c>
    </row>
    <row r="1524">
      <c r="A1524" s="223">
        <f>IF($C1524="","",COUNTIF($C$6:$C1524,"?*"))</f>
      </c>
      <c r="B1524" s="217"/>
      <c r="C1524" s="216"/>
      <c r="D1524" s="240"/>
      <c r="E1524" s="218"/>
      <c r="F1524" s="218"/>
      <c r="G1524" s="218"/>
      <c r="H1524" s="219"/>
      <c r="I1524" s="223">
        <f>IF($C1524="","",IF(ISNUMBER(MATCH($C1524,'Phản ánh'!$A$6:$A$505,0)),"Phản ánh",IF(ISNUMBER(MATCH($C1524,'Kế hoạch'!$A$6:$A$305,0)),"Công việc","Mã chưa có")))</f>
      </c>
      <c r="J1524" s="221">
        <f>IF($I1524="Phản ánh",INDEX('Phản ánh'!$C$6:$C$505,MATCH($C1524,'Phản ánh'!$A$6:$A$505,0)),IF($I1524="Công việc",INDEX('Kế hoạch'!$C$6:$C$305,$O1524),""))</f>
      </c>
      <c r="K1524" s="221">
        <f>IF($I1524="Phản ánh",INDEX('Phản ánh'!$K$6:$K$505,MATCH($C1524,'Phản ánh'!$A$6:$A$505,0))&amp;"",IF($I1524="Công việc",INDEX('Kế hoạch'!$N$6:$N$305,$O1524)&amp;"",""))</f>
      </c>
      <c r="L1524" s="220">
        <f>IF(OR($C1524="",N($B1524)=0),"",IF(AND($I1524="Phản ánh",$E1524="Đã xử lý"),INDEX('Phản ánh'!$U$6:$U$505,MATCH($C1524,'Phản ánh'!$A$6:$A$505,0)),IF(AND($I1524="Công việc",OR($E1524="Hoàn thành",$E1524="Hoàn thành kỳ")),IF(INDEX('Kế hoạch'!$B$6:$B$305,$O1524)="Đột xuất",INDEX('Kế hoạch'!$AY$6:$AY$305,$O1524),IF(N($P1524)=0,"",IF(INT($B1524)&lt;$P1524,$P1524,IF($Q1524&gt;0,$P1524+ROUND((INT($B1524)-$P1524)/$Q1524,0)*$Q1524,IF($R1524&gt;0,EDATE($P1524,ROUND((DATEDIF($P1524,INT($B1524),"m")+(INT($B1524)-EDATE($P1524,DATEDIF($P1524,INT($B1524),"m")))/(EDATE($P1524,DATEDIF($P1524,INT($B1524),"m")+1)-EDATE($P1524,DATEDIF($P1524,INT($B1524),"m"))))/$R1524,0)*$R1524),$P1524))))),"")))</f>
      </c>
      <c r="M1524" s="223">
        <f>IF(OR($C1524="",N($L1524)=0,N($B1524)=0),"",IF(IF(MOD($L1524,1)=0,INT($B1524),$B1524)&lt;=$L1524,"Đúng hạn","Trễ hạn"))</f>
      </c>
      <c r="N1524" s="225">
        <f>IF($C1524="","",ROW())</f>
      </c>
      <c r="O1524" s="225">
        <f>IF($I1524="Công việc",MATCH($C1524,'Kế hoạch'!$A$6:$A$305,0),"")</f>
      </c>
      <c r="P1524" s="234">
        <f>IF($O1524="","",INDEX('Kế hoạch'!$I$6:$I$305,$O1524))</f>
      </c>
      <c r="Q1524" s="225">
        <f>IF($O1524="","",INDEX('Kế hoạch'!$AJ$6:$AJ$305,$O1524))</f>
      </c>
      <c r="R1524" s="225">
        <f>IF($O1524="","",INDEX('Kế hoạch'!$AK$6:$AK$305,$O1524))</f>
      </c>
    </row>
    <row r="1525">
      <c r="A1525" s="223">
        <f>IF($C1525="","",COUNTIF($C$6:$C1525,"?*"))</f>
      </c>
      <c r="B1525" s="217"/>
      <c r="C1525" s="216"/>
      <c r="D1525" s="240"/>
      <c r="E1525" s="218"/>
      <c r="F1525" s="218"/>
      <c r="G1525" s="218"/>
      <c r="H1525" s="219"/>
      <c r="I1525" s="223">
        <f>IF($C1525="","",IF(ISNUMBER(MATCH($C1525,'Phản ánh'!$A$6:$A$505,0)),"Phản ánh",IF(ISNUMBER(MATCH($C1525,'Kế hoạch'!$A$6:$A$305,0)),"Công việc","Mã chưa có")))</f>
      </c>
      <c r="J1525" s="221">
        <f>IF($I1525="Phản ánh",INDEX('Phản ánh'!$C$6:$C$505,MATCH($C1525,'Phản ánh'!$A$6:$A$505,0)),IF($I1525="Công việc",INDEX('Kế hoạch'!$C$6:$C$305,$O1525),""))</f>
      </c>
      <c r="K1525" s="221">
        <f>IF($I1525="Phản ánh",INDEX('Phản ánh'!$K$6:$K$505,MATCH($C1525,'Phản ánh'!$A$6:$A$505,0))&amp;"",IF($I1525="Công việc",INDEX('Kế hoạch'!$N$6:$N$305,$O1525)&amp;"",""))</f>
      </c>
      <c r="L1525" s="220">
        <f>IF(OR($C1525="",N($B1525)=0),"",IF(AND($I1525="Phản ánh",$E1525="Đã xử lý"),INDEX('Phản ánh'!$U$6:$U$505,MATCH($C1525,'Phản ánh'!$A$6:$A$505,0)),IF(AND($I1525="Công việc",OR($E1525="Hoàn thành",$E1525="Hoàn thành kỳ")),IF(INDEX('Kế hoạch'!$B$6:$B$305,$O1525)="Đột xuất",INDEX('Kế hoạch'!$AY$6:$AY$305,$O1525),IF(N($P1525)=0,"",IF(INT($B1525)&lt;$P1525,$P1525,IF($Q1525&gt;0,$P1525+ROUND((INT($B1525)-$P1525)/$Q1525,0)*$Q1525,IF($R1525&gt;0,EDATE($P1525,ROUND((DATEDIF($P1525,INT($B1525),"m")+(INT($B1525)-EDATE($P1525,DATEDIF($P1525,INT($B1525),"m")))/(EDATE($P1525,DATEDIF($P1525,INT($B1525),"m")+1)-EDATE($P1525,DATEDIF($P1525,INT($B1525),"m"))))/$R1525,0)*$R1525),$P1525))))),"")))</f>
      </c>
      <c r="M1525" s="223">
        <f>IF(OR($C1525="",N($L1525)=0,N($B1525)=0),"",IF(IF(MOD($L1525,1)=0,INT($B1525),$B1525)&lt;=$L1525,"Đúng hạn","Trễ hạn"))</f>
      </c>
      <c r="N1525" s="225">
        <f>IF($C1525="","",ROW())</f>
      </c>
      <c r="O1525" s="225">
        <f>IF($I1525="Công việc",MATCH($C1525,'Kế hoạch'!$A$6:$A$305,0),"")</f>
      </c>
      <c r="P1525" s="234">
        <f>IF($O1525="","",INDEX('Kế hoạch'!$I$6:$I$305,$O1525))</f>
      </c>
      <c r="Q1525" s="225">
        <f>IF($O1525="","",INDEX('Kế hoạch'!$AJ$6:$AJ$305,$O1525))</f>
      </c>
      <c r="R1525" s="225">
        <f>IF($O1525="","",INDEX('Kế hoạch'!$AK$6:$AK$305,$O1525))</f>
      </c>
    </row>
    <row r="1526">
      <c r="A1526" s="223">
        <f>IF($C1526="","",COUNTIF($C$6:$C1526,"?*"))</f>
      </c>
      <c r="B1526" s="217"/>
      <c r="C1526" s="216"/>
      <c r="D1526" s="240"/>
      <c r="E1526" s="218"/>
      <c r="F1526" s="218"/>
      <c r="G1526" s="218"/>
      <c r="H1526" s="219"/>
      <c r="I1526" s="223">
        <f>IF($C1526="","",IF(ISNUMBER(MATCH($C1526,'Phản ánh'!$A$6:$A$505,0)),"Phản ánh",IF(ISNUMBER(MATCH($C1526,'Kế hoạch'!$A$6:$A$305,0)),"Công việc","Mã chưa có")))</f>
      </c>
      <c r="J1526" s="221">
        <f>IF($I1526="Phản ánh",INDEX('Phản ánh'!$C$6:$C$505,MATCH($C1526,'Phản ánh'!$A$6:$A$505,0)),IF($I1526="Công việc",INDEX('Kế hoạch'!$C$6:$C$305,$O1526),""))</f>
      </c>
      <c r="K1526" s="221">
        <f>IF($I1526="Phản ánh",INDEX('Phản ánh'!$K$6:$K$505,MATCH($C1526,'Phản ánh'!$A$6:$A$505,0))&amp;"",IF($I1526="Công việc",INDEX('Kế hoạch'!$N$6:$N$305,$O1526)&amp;"",""))</f>
      </c>
      <c r="L1526" s="220">
        <f>IF(OR($C1526="",N($B1526)=0),"",IF(AND($I1526="Phản ánh",$E1526="Đã xử lý"),INDEX('Phản ánh'!$U$6:$U$505,MATCH($C1526,'Phản ánh'!$A$6:$A$505,0)),IF(AND($I1526="Công việc",OR($E1526="Hoàn thành",$E1526="Hoàn thành kỳ")),IF(INDEX('Kế hoạch'!$B$6:$B$305,$O1526)="Đột xuất",INDEX('Kế hoạch'!$AY$6:$AY$305,$O1526),IF(N($P1526)=0,"",IF(INT($B1526)&lt;$P1526,$P1526,IF($Q1526&gt;0,$P1526+ROUND((INT($B1526)-$P1526)/$Q1526,0)*$Q1526,IF($R1526&gt;0,EDATE($P1526,ROUND((DATEDIF($P1526,INT($B1526),"m")+(INT($B1526)-EDATE($P1526,DATEDIF($P1526,INT($B1526),"m")))/(EDATE($P1526,DATEDIF($P1526,INT($B1526),"m")+1)-EDATE($P1526,DATEDIF($P1526,INT($B1526),"m"))))/$R1526,0)*$R1526),$P1526))))),"")))</f>
      </c>
      <c r="M1526" s="223">
        <f>IF(OR($C1526="",N($L1526)=0,N($B1526)=0),"",IF(IF(MOD($L1526,1)=0,INT($B1526),$B1526)&lt;=$L1526,"Đúng hạn","Trễ hạn"))</f>
      </c>
      <c r="N1526" s="225">
        <f>IF($C1526="","",ROW())</f>
      </c>
      <c r="O1526" s="225">
        <f>IF($I1526="Công việc",MATCH($C1526,'Kế hoạch'!$A$6:$A$305,0),"")</f>
      </c>
      <c r="P1526" s="234">
        <f>IF($O1526="","",INDEX('Kế hoạch'!$I$6:$I$305,$O1526))</f>
      </c>
      <c r="Q1526" s="225">
        <f>IF($O1526="","",INDEX('Kế hoạch'!$AJ$6:$AJ$305,$O1526))</f>
      </c>
      <c r="R1526" s="225">
        <f>IF($O1526="","",INDEX('Kế hoạch'!$AK$6:$AK$305,$O1526))</f>
      </c>
    </row>
    <row r="1527">
      <c r="A1527" s="223">
        <f>IF($C1527="","",COUNTIF($C$6:$C1527,"?*"))</f>
      </c>
      <c r="B1527" s="217"/>
      <c r="C1527" s="216"/>
      <c r="D1527" s="240"/>
      <c r="E1527" s="218"/>
      <c r="F1527" s="218"/>
      <c r="G1527" s="218"/>
      <c r="H1527" s="219"/>
      <c r="I1527" s="223">
        <f>IF($C1527="","",IF(ISNUMBER(MATCH($C1527,'Phản ánh'!$A$6:$A$505,0)),"Phản ánh",IF(ISNUMBER(MATCH($C1527,'Kế hoạch'!$A$6:$A$305,0)),"Công việc","Mã chưa có")))</f>
      </c>
      <c r="J1527" s="221">
        <f>IF($I1527="Phản ánh",INDEX('Phản ánh'!$C$6:$C$505,MATCH($C1527,'Phản ánh'!$A$6:$A$505,0)),IF($I1527="Công việc",INDEX('Kế hoạch'!$C$6:$C$305,$O1527),""))</f>
      </c>
      <c r="K1527" s="221">
        <f>IF($I1527="Phản ánh",INDEX('Phản ánh'!$K$6:$K$505,MATCH($C1527,'Phản ánh'!$A$6:$A$505,0))&amp;"",IF($I1527="Công việc",INDEX('Kế hoạch'!$N$6:$N$305,$O1527)&amp;"",""))</f>
      </c>
      <c r="L1527" s="220">
        <f>IF(OR($C1527="",N($B1527)=0),"",IF(AND($I1527="Phản ánh",$E1527="Đã xử lý"),INDEX('Phản ánh'!$U$6:$U$505,MATCH($C1527,'Phản ánh'!$A$6:$A$505,0)),IF(AND($I1527="Công việc",OR($E1527="Hoàn thành",$E1527="Hoàn thành kỳ")),IF(INDEX('Kế hoạch'!$B$6:$B$305,$O1527)="Đột xuất",INDEX('Kế hoạch'!$AY$6:$AY$305,$O1527),IF(N($P1527)=0,"",IF(INT($B1527)&lt;$P1527,$P1527,IF($Q1527&gt;0,$P1527+ROUND((INT($B1527)-$P1527)/$Q1527,0)*$Q1527,IF($R1527&gt;0,EDATE($P1527,ROUND((DATEDIF($P1527,INT($B1527),"m")+(INT($B1527)-EDATE($P1527,DATEDIF($P1527,INT($B1527),"m")))/(EDATE($P1527,DATEDIF($P1527,INT($B1527),"m")+1)-EDATE($P1527,DATEDIF($P1527,INT($B1527),"m"))))/$R1527,0)*$R1527),$P1527))))),"")))</f>
      </c>
      <c r="M1527" s="223">
        <f>IF(OR($C1527="",N($L1527)=0,N($B1527)=0),"",IF(IF(MOD($L1527,1)=0,INT($B1527),$B1527)&lt;=$L1527,"Đúng hạn","Trễ hạn"))</f>
      </c>
      <c r="N1527" s="225">
        <f>IF($C1527="","",ROW())</f>
      </c>
      <c r="O1527" s="225">
        <f>IF($I1527="Công việc",MATCH($C1527,'Kế hoạch'!$A$6:$A$305,0),"")</f>
      </c>
      <c r="P1527" s="234">
        <f>IF($O1527="","",INDEX('Kế hoạch'!$I$6:$I$305,$O1527))</f>
      </c>
      <c r="Q1527" s="225">
        <f>IF($O1527="","",INDEX('Kế hoạch'!$AJ$6:$AJ$305,$O1527))</f>
      </c>
      <c r="R1527" s="225">
        <f>IF($O1527="","",INDEX('Kế hoạch'!$AK$6:$AK$305,$O1527))</f>
      </c>
    </row>
    <row r="1528">
      <c r="A1528" s="223">
        <f>IF($C1528="","",COUNTIF($C$6:$C1528,"?*"))</f>
      </c>
      <c r="B1528" s="217"/>
      <c r="C1528" s="216"/>
      <c r="D1528" s="240"/>
      <c r="E1528" s="218"/>
      <c r="F1528" s="218"/>
      <c r="G1528" s="218"/>
      <c r="H1528" s="219"/>
      <c r="I1528" s="223">
        <f>IF($C1528="","",IF(ISNUMBER(MATCH($C1528,'Phản ánh'!$A$6:$A$505,0)),"Phản ánh",IF(ISNUMBER(MATCH($C1528,'Kế hoạch'!$A$6:$A$305,0)),"Công việc","Mã chưa có")))</f>
      </c>
      <c r="J1528" s="221">
        <f>IF($I1528="Phản ánh",INDEX('Phản ánh'!$C$6:$C$505,MATCH($C1528,'Phản ánh'!$A$6:$A$505,0)),IF($I1528="Công việc",INDEX('Kế hoạch'!$C$6:$C$305,$O1528),""))</f>
      </c>
      <c r="K1528" s="221">
        <f>IF($I1528="Phản ánh",INDEX('Phản ánh'!$K$6:$K$505,MATCH($C1528,'Phản ánh'!$A$6:$A$505,0))&amp;"",IF($I1528="Công việc",INDEX('Kế hoạch'!$N$6:$N$305,$O1528)&amp;"",""))</f>
      </c>
      <c r="L1528" s="220">
        <f>IF(OR($C1528="",N($B1528)=0),"",IF(AND($I1528="Phản ánh",$E1528="Đã xử lý"),INDEX('Phản ánh'!$U$6:$U$505,MATCH($C1528,'Phản ánh'!$A$6:$A$505,0)),IF(AND($I1528="Công việc",OR($E1528="Hoàn thành",$E1528="Hoàn thành kỳ")),IF(INDEX('Kế hoạch'!$B$6:$B$305,$O1528)="Đột xuất",INDEX('Kế hoạch'!$AY$6:$AY$305,$O1528),IF(N($P1528)=0,"",IF(INT($B1528)&lt;$P1528,$P1528,IF($Q1528&gt;0,$P1528+ROUND((INT($B1528)-$P1528)/$Q1528,0)*$Q1528,IF($R1528&gt;0,EDATE($P1528,ROUND((DATEDIF($P1528,INT($B1528),"m")+(INT($B1528)-EDATE($P1528,DATEDIF($P1528,INT($B1528),"m")))/(EDATE($P1528,DATEDIF($P1528,INT($B1528),"m")+1)-EDATE($P1528,DATEDIF($P1528,INT($B1528),"m"))))/$R1528,0)*$R1528),$P1528))))),"")))</f>
      </c>
      <c r="M1528" s="223">
        <f>IF(OR($C1528="",N($L1528)=0,N($B1528)=0),"",IF(IF(MOD($L1528,1)=0,INT($B1528),$B1528)&lt;=$L1528,"Đúng hạn","Trễ hạn"))</f>
      </c>
      <c r="N1528" s="225">
        <f>IF($C1528="","",ROW())</f>
      </c>
      <c r="O1528" s="225">
        <f>IF($I1528="Công việc",MATCH($C1528,'Kế hoạch'!$A$6:$A$305,0),"")</f>
      </c>
      <c r="P1528" s="234">
        <f>IF($O1528="","",INDEX('Kế hoạch'!$I$6:$I$305,$O1528))</f>
      </c>
      <c r="Q1528" s="225">
        <f>IF($O1528="","",INDEX('Kế hoạch'!$AJ$6:$AJ$305,$O1528))</f>
      </c>
      <c r="R1528" s="225">
        <f>IF($O1528="","",INDEX('Kế hoạch'!$AK$6:$AK$305,$O1528))</f>
      </c>
    </row>
    <row r="1529">
      <c r="A1529" s="223">
        <f>IF($C1529="","",COUNTIF($C$6:$C1529,"?*"))</f>
      </c>
      <c r="B1529" s="217"/>
      <c r="C1529" s="216"/>
      <c r="D1529" s="240"/>
      <c r="E1529" s="218"/>
      <c r="F1529" s="218"/>
      <c r="G1529" s="218"/>
      <c r="H1529" s="219"/>
      <c r="I1529" s="223">
        <f>IF($C1529="","",IF(ISNUMBER(MATCH($C1529,'Phản ánh'!$A$6:$A$505,0)),"Phản ánh",IF(ISNUMBER(MATCH($C1529,'Kế hoạch'!$A$6:$A$305,0)),"Công việc","Mã chưa có")))</f>
      </c>
      <c r="J1529" s="221">
        <f>IF($I1529="Phản ánh",INDEX('Phản ánh'!$C$6:$C$505,MATCH($C1529,'Phản ánh'!$A$6:$A$505,0)),IF($I1529="Công việc",INDEX('Kế hoạch'!$C$6:$C$305,$O1529),""))</f>
      </c>
      <c r="K1529" s="221">
        <f>IF($I1529="Phản ánh",INDEX('Phản ánh'!$K$6:$K$505,MATCH($C1529,'Phản ánh'!$A$6:$A$505,0))&amp;"",IF($I1529="Công việc",INDEX('Kế hoạch'!$N$6:$N$305,$O1529)&amp;"",""))</f>
      </c>
      <c r="L1529" s="220">
        <f>IF(OR($C1529="",N($B1529)=0),"",IF(AND($I1529="Phản ánh",$E1529="Đã xử lý"),INDEX('Phản ánh'!$U$6:$U$505,MATCH($C1529,'Phản ánh'!$A$6:$A$505,0)),IF(AND($I1529="Công việc",OR($E1529="Hoàn thành",$E1529="Hoàn thành kỳ")),IF(INDEX('Kế hoạch'!$B$6:$B$305,$O1529)="Đột xuất",INDEX('Kế hoạch'!$AY$6:$AY$305,$O1529),IF(N($P1529)=0,"",IF(INT($B1529)&lt;$P1529,$P1529,IF($Q1529&gt;0,$P1529+ROUND((INT($B1529)-$P1529)/$Q1529,0)*$Q1529,IF($R1529&gt;0,EDATE($P1529,ROUND((DATEDIF($P1529,INT($B1529),"m")+(INT($B1529)-EDATE($P1529,DATEDIF($P1529,INT($B1529),"m")))/(EDATE($P1529,DATEDIF($P1529,INT($B1529),"m")+1)-EDATE($P1529,DATEDIF($P1529,INT($B1529),"m"))))/$R1529,0)*$R1529),$P1529))))),"")))</f>
      </c>
      <c r="M1529" s="223">
        <f>IF(OR($C1529="",N($L1529)=0,N($B1529)=0),"",IF(IF(MOD($L1529,1)=0,INT($B1529),$B1529)&lt;=$L1529,"Đúng hạn","Trễ hạn"))</f>
      </c>
      <c r="N1529" s="225">
        <f>IF($C1529="","",ROW())</f>
      </c>
      <c r="O1529" s="225">
        <f>IF($I1529="Công việc",MATCH($C1529,'Kế hoạch'!$A$6:$A$305,0),"")</f>
      </c>
      <c r="P1529" s="234">
        <f>IF($O1529="","",INDEX('Kế hoạch'!$I$6:$I$305,$O1529))</f>
      </c>
      <c r="Q1529" s="225">
        <f>IF($O1529="","",INDEX('Kế hoạch'!$AJ$6:$AJ$305,$O1529))</f>
      </c>
      <c r="R1529" s="225">
        <f>IF($O1529="","",INDEX('Kế hoạch'!$AK$6:$AK$305,$O1529))</f>
      </c>
    </row>
    <row r="1530">
      <c r="A1530" s="223">
        <f>IF($C1530="","",COUNTIF($C$6:$C1530,"?*"))</f>
      </c>
      <c r="B1530" s="217"/>
      <c r="C1530" s="216"/>
      <c r="D1530" s="240"/>
      <c r="E1530" s="218"/>
      <c r="F1530" s="218"/>
      <c r="G1530" s="218"/>
      <c r="H1530" s="219"/>
      <c r="I1530" s="223">
        <f>IF($C1530="","",IF(ISNUMBER(MATCH($C1530,'Phản ánh'!$A$6:$A$505,0)),"Phản ánh",IF(ISNUMBER(MATCH($C1530,'Kế hoạch'!$A$6:$A$305,0)),"Công việc","Mã chưa có")))</f>
      </c>
      <c r="J1530" s="221">
        <f>IF($I1530="Phản ánh",INDEX('Phản ánh'!$C$6:$C$505,MATCH($C1530,'Phản ánh'!$A$6:$A$505,0)),IF($I1530="Công việc",INDEX('Kế hoạch'!$C$6:$C$305,$O1530),""))</f>
      </c>
      <c r="K1530" s="221">
        <f>IF($I1530="Phản ánh",INDEX('Phản ánh'!$K$6:$K$505,MATCH($C1530,'Phản ánh'!$A$6:$A$505,0))&amp;"",IF($I1530="Công việc",INDEX('Kế hoạch'!$N$6:$N$305,$O1530)&amp;"",""))</f>
      </c>
      <c r="L1530" s="220">
        <f>IF(OR($C1530="",N($B1530)=0),"",IF(AND($I1530="Phản ánh",$E1530="Đã xử lý"),INDEX('Phản ánh'!$U$6:$U$505,MATCH($C1530,'Phản ánh'!$A$6:$A$505,0)),IF(AND($I1530="Công việc",OR($E1530="Hoàn thành",$E1530="Hoàn thành kỳ")),IF(INDEX('Kế hoạch'!$B$6:$B$305,$O1530)="Đột xuất",INDEX('Kế hoạch'!$AY$6:$AY$305,$O1530),IF(N($P1530)=0,"",IF(INT($B1530)&lt;$P1530,$P1530,IF($Q1530&gt;0,$P1530+ROUND((INT($B1530)-$P1530)/$Q1530,0)*$Q1530,IF($R1530&gt;0,EDATE($P1530,ROUND((DATEDIF($P1530,INT($B1530),"m")+(INT($B1530)-EDATE($P1530,DATEDIF($P1530,INT($B1530),"m")))/(EDATE($P1530,DATEDIF($P1530,INT($B1530),"m")+1)-EDATE($P1530,DATEDIF($P1530,INT($B1530),"m"))))/$R1530,0)*$R1530),$P1530))))),"")))</f>
      </c>
      <c r="M1530" s="223">
        <f>IF(OR($C1530="",N($L1530)=0,N($B1530)=0),"",IF(IF(MOD($L1530,1)=0,INT($B1530),$B1530)&lt;=$L1530,"Đúng hạn","Trễ hạn"))</f>
      </c>
      <c r="N1530" s="225">
        <f>IF($C1530="","",ROW())</f>
      </c>
      <c r="O1530" s="225">
        <f>IF($I1530="Công việc",MATCH($C1530,'Kế hoạch'!$A$6:$A$305,0),"")</f>
      </c>
      <c r="P1530" s="234">
        <f>IF($O1530="","",INDEX('Kế hoạch'!$I$6:$I$305,$O1530))</f>
      </c>
      <c r="Q1530" s="225">
        <f>IF($O1530="","",INDEX('Kế hoạch'!$AJ$6:$AJ$305,$O1530))</f>
      </c>
      <c r="R1530" s="225">
        <f>IF($O1530="","",INDEX('Kế hoạch'!$AK$6:$AK$305,$O1530))</f>
      </c>
    </row>
    <row r="1531">
      <c r="A1531" s="223">
        <f>IF($C1531="","",COUNTIF($C$6:$C1531,"?*"))</f>
      </c>
      <c r="B1531" s="217"/>
      <c r="C1531" s="216"/>
      <c r="D1531" s="240"/>
      <c r="E1531" s="218"/>
      <c r="F1531" s="218"/>
      <c r="G1531" s="218"/>
      <c r="H1531" s="219"/>
      <c r="I1531" s="223">
        <f>IF($C1531="","",IF(ISNUMBER(MATCH($C1531,'Phản ánh'!$A$6:$A$505,0)),"Phản ánh",IF(ISNUMBER(MATCH($C1531,'Kế hoạch'!$A$6:$A$305,0)),"Công việc","Mã chưa có")))</f>
      </c>
      <c r="J1531" s="221">
        <f>IF($I1531="Phản ánh",INDEX('Phản ánh'!$C$6:$C$505,MATCH($C1531,'Phản ánh'!$A$6:$A$505,0)),IF($I1531="Công việc",INDEX('Kế hoạch'!$C$6:$C$305,$O1531),""))</f>
      </c>
      <c r="K1531" s="221">
        <f>IF($I1531="Phản ánh",INDEX('Phản ánh'!$K$6:$K$505,MATCH($C1531,'Phản ánh'!$A$6:$A$505,0))&amp;"",IF($I1531="Công việc",INDEX('Kế hoạch'!$N$6:$N$305,$O1531)&amp;"",""))</f>
      </c>
      <c r="L1531" s="220">
        <f>IF(OR($C1531="",N($B1531)=0),"",IF(AND($I1531="Phản ánh",$E1531="Đã xử lý"),INDEX('Phản ánh'!$U$6:$U$505,MATCH($C1531,'Phản ánh'!$A$6:$A$505,0)),IF(AND($I1531="Công việc",OR($E1531="Hoàn thành",$E1531="Hoàn thành kỳ")),IF(INDEX('Kế hoạch'!$B$6:$B$305,$O1531)="Đột xuất",INDEX('Kế hoạch'!$AY$6:$AY$305,$O1531),IF(N($P1531)=0,"",IF(INT($B1531)&lt;$P1531,$P1531,IF($Q1531&gt;0,$P1531+ROUND((INT($B1531)-$P1531)/$Q1531,0)*$Q1531,IF($R1531&gt;0,EDATE($P1531,ROUND((DATEDIF($P1531,INT($B1531),"m")+(INT($B1531)-EDATE($P1531,DATEDIF($P1531,INT($B1531),"m")))/(EDATE($P1531,DATEDIF($P1531,INT($B1531),"m")+1)-EDATE($P1531,DATEDIF($P1531,INT($B1531),"m"))))/$R1531,0)*$R1531),$P1531))))),"")))</f>
      </c>
      <c r="M1531" s="223">
        <f>IF(OR($C1531="",N($L1531)=0,N($B1531)=0),"",IF(IF(MOD($L1531,1)=0,INT($B1531),$B1531)&lt;=$L1531,"Đúng hạn","Trễ hạn"))</f>
      </c>
      <c r="N1531" s="225">
        <f>IF($C1531="","",ROW())</f>
      </c>
      <c r="O1531" s="225">
        <f>IF($I1531="Công việc",MATCH($C1531,'Kế hoạch'!$A$6:$A$305,0),"")</f>
      </c>
      <c r="P1531" s="234">
        <f>IF($O1531="","",INDEX('Kế hoạch'!$I$6:$I$305,$O1531))</f>
      </c>
      <c r="Q1531" s="225">
        <f>IF($O1531="","",INDEX('Kế hoạch'!$AJ$6:$AJ$305,$O1531))</f>
      </c>
      <c r="R1531" s="225">
        <f>IF($O1531="","",INDEX('Kế hoạch'!$AK$6:$AK$305,$O1531))</f>
      </c>
    </row>
    <row r="1532">
      <c r="A1532" s="223">
        <f>IF($C1532="","",COUNTIF($C$6:$C1532,"?*"))</f>
      </c>
      <c r="B1532" s="217"/>
      <c r="C1532" s="216"/>
      <c r="D1532" s="240"/>
      <c r="E1532" s="218"/>
      <c r="F1532" s="218"/>
      <c r="G1532" s="218"/>
      <c r="H1532" s="219"/>
      <c r="I1532" s="223">
        <f>IF($C1532="","",IF(ISNUMBER(MATCH($C1532,'Phản ánh'!$A$6:$A$505,0)),"Phản ánh",IF(ISNUMBER(MATCH($C1532,'Kế hoạch'!$A$6:$A$305,0)),"Công việc","Mã chưa có")))</f>
      </c>
      <c r="J1532" s="221">
        <f>IF($I1532="Phản ánh",INDEX('Phản ánh'!$C$6:$C$505,MATCH($C1532,'Phản ánh'!$A$6:$A$505,0)),IF($I1532="Công việc",INDEX('Kế hoạch'!$C$6:$C$305,$O1532),""))</f>
      </c>
      <c r="K1532" s="221">
        <f>IF($I1532="Phản ánh",INDEX('Phản ánh'!$K$6:$K$505,MATCH($C1532,'Phản ánh'!$A$6:$A$505,0))&amp;"",IF($I1532="Công việc",INDEX('Kế hoạch'!$N$6:$N$305,$O1532)&amp;"",""))</f>
      </c>
      <c r="L1532" s="220">
        <f>IF(OR($C1532="",N($B1532)=0),"",IF(AND($I1532="Phản ánh",$E1532="Đã xử lý"),INDEX('Phản ánh'!$U$6:$U$505,MATCH($C1532,'Phản ánh'!$A$6:$A$505,0)),IF(AND($I1532="Công việc",OR($E1532="Hoàn thành",$E1532="Hoàn thành kỳ")),IF(INDEX('Kế hoạch'!$B$6:$B$305,$O1532)="Đột xuất",INDEX('Kế hoạch'!$AY$6:$AY$305,$O1532),IF(N($P1532)=0,"",IF(INT($B1532)&lt;$P1532,$P1532,IF($Q1532&gt;0,$P1532+ROUND((INT($B1532)-$P1532)/$Q1532,0)*$Q1532,IF($R1532&gt;0,EDATE($P1532,ROUND((DATEDIF($P1532,INT($B1532),"m")+(INT($B1532)-EDATE($P1532,DATEDIF($P1532,INT($B1532),"m")))/(EDATE($P1532,DATEDIF($P1532,INT($B1532),"m")+1)-EDATE($P1532,DATEDIF($P1532,INT($B1532),"m"))))/$R1532,0)*$R1532),$P1532))))),"")))</f>
      </c>
      <c r="M1532" s="223">
        <f>IF(OR($C1532="",N($L1532)=0,N($B1532)=0),"",IF(IF(MOD($L1532,1)=0,INT($B1532),$B1532)&lt;=$L1532,"Đúng hạn","Trễ hạn"))</f>
      </c>
      <c r="N1532" s="225">
        <f>IF($C1532="","",ROW())</f>
      </c>
      <c r="O1532" s="225">
        <f>IF($I1532="Công việc",MATCH($C1532,'Kế hoạch'!$A$6:$A$305,0),"")</f>
      </c>
      <c r="P1532" s="234">
        <f>IF($O1532="","",INDEX('Kế hoạch'!$I$6:$I$305,$O1532))</f>
      </c>
      <c r="Q1532" s="225">
        <f>IF($O1532="","",INDEX('Kế hoạch'!$AJ$6:$AJ$305,$O1532))</f>
      </c>
      <c r="R1532" s="225">
        <f>IF($O1532="","",INDEX('Kế hoạch'!$AK$6:$AK$305,$O1532))</f>
      </c>
    </row>
    <row r="1533">
      <c r="A1533" s="223">
        <f>IF($C1533="","",COUNTIF($C$6:$C1533,"?*"))</f>
      </c>
      <c r="B1533" s="217"/>
      <c r="C1533" s="216"/>
      <c r="D1533" s="240"/>
      <c r="E1533" s="218"/>
      <c r="F1533" s="218"/>
      <c r="G1533" s="218"/>
      <c r="H1533" s="219"/>
      <c r="I1533" s="223">
        <f>IF($C1533="","",IF(ISNUMBER(MATCH($C1533,'Phản ánh'!$A$6:$A$505,0)),"Phản ánh",IF(ISNUMBER(MATCH($C1533,'Kế hoạch'!$A$6:$A$305,0)),"Công việc","Mã chưa có")))</f>
      </c>
      <c r="J1533" s="221">
        <f>IF($I1533="Phản ánh",INDEX('Phản ánh'!$C$6:$C$505,MATCH($C1533,'Phản ánh'!$A$6:$A$505,0)),IF($I1533="Công việc",INDEX('Kế hoạch'!$C$6:$C$305,$O1533),""))</f>
      </c>
      <c r="K1533" s="221">
        <f>IF($I1533="Phản ánh",INDEX('Phản ánh'!$K$6:$K$505,MATCH($C1533,'Phản ánh'!$A$6:$A$505,0))&amp;"",IF($I1533="Công việc",INDEX('Kế hoạch'!$N$6:$N$305,$O1533)&amp;"",""))</f>
      </c>
      <c r="L1533" s="220">
        <f>IF(OR($C1533="",N($B1533)=0),"",IF(AND($I1533="Phản ánh",$E1533="Đã xử lý"),INDEX('Phản ánh'!$U$6:$U$505,MATCH($C1533,'Phản ánh'!$A$6:$A$505,0)),IF(AND($I1533="Công việc",OR($E1533="Hoàn thành",$E1533="Hoàn thành kỳ")),IF(INDEX('Kế hoạch'!$B$6:$B$305,$O1533)="Đột xuất",INDEX('Kế hoạch'!$AY$6:$AY$305,$O1533),IF(N($P1533)=0,"",IF(INT($B1533)&lt;$P1533,$P1533,IF($Q1533&gt;0,$P1533+ROUND((INT($B1533)-$P1533)/$Q1533,0)*$Q1533,IF($R1533&gt;0,EDATE($P1533,ROUND((DATEDIF($P1533,INT($B1533),"m")+(INT($B1533)-EDATE($P1533,DATEDIF($P1533,INT($B1533),"m")))/(EDATE($P1533,DATEDIF($P1533,INT($B1533),"m")+1)-EDATE($P1533,DATEDIF($P1533,INT($B1533),"m"))))/$R1533,0)*$R1533),$P1533))))),"")))</f>
      </c>
      <c r="M1533" s="223">
        <f>IF(OR($C1533="",N($L1533)=0,N($B1533)=0),"",IF(IF(MOD($L1533,1)=0,INT($B1533),$B1533)&lt;=$L1533,"Đúng hạn","Trễ hạn"))</f>
      </c>
      <c r="N1533" s="225">
        <f>IF($C1533="","",ROW())</f>
      </c>
      <c r="O1533" s="225">
        <f>IF($I1533="Công việc",MATCH($C1533,'Kế hoạch'!$A$6:$A$305,0),"")</f>
      </c>
      <c r="P1533" s="234">
        <f>IF($O1533="","",INDEX('Kế hoạch'!$I$6:$I$305,$O1533))</f>
      </c>
      <c r="Q1533" s="225">
        <f>IF($O1533="","",INDEX('Kế hoạch'!$AJ$6:$AJ$305,$O1533))</f>
      </c>
      <c r="R1533" s="225">
        <f>IF($O1533="","",INDEX('Kế hoạch'!$AK$6:$AK$305,$O1533))</f>
      </c>
    </row>
    <row r="1534">
      <c r="A1534" s="223">
        <f>IF($C1534="","",COUNTIF($C$6:$C1534,"?*"))</f>
      </c>
      <c r="B1534" s="217"/>
      <c r="C1534" s="216"/>
      <c r="D1534" s="240"/>
      <c r="E1534" s="218"/>
      <c r="F1534" s="218"/>
      <c r="G1534" s="218"/>
      <c r="H1534" s="219"/>
      <c r="I1534" s="223">
        <f>IF($C1534="","",IF(ISNUMBER(MATCH($C1534,'Phản ánh'!$A$6:$A$505,0)),"Phản ánh",IF(ISNUMBER(MATCH($C1534,'Kế hoạch'!$A$6:$A$305,0)),"Công việc","Mã chưa có")))</f>
      </c>
      <c r="J1534" s="221">
        <f>IF($I1534="Phản ánh",INDEX('Phản ánh'!$C$6:$C$505,MATCH($C1534,'Phản ánh'!$A$6:$A$505,0)),IF($I1534="Công việc",INDEX('Kế hoạch'!$C$6:$C$305,$O1534),""))</f>
      </c>
      <c r="K1534" s="221">
        <f>IF($I1534="Phản ánh",INDEX('Phản ánh'!$K$6:$K$505,MATCH($C1534,'Phản ánh'!$A$6:$A$505,0))&amp;"",IF($I1534="Công việc",INDEX('Kế hoạch'!$N$6:$N$305,$O1534)&amp;"",""))</f>
      </c>
      <c r="L1534" s="220">
        <f>IF(OR($C1534="",N($B1534)=0),"",IF(AND($I1534="Phản ánh",$E1534="Đã xử lý"),INDEX('Phản ánh'!$U$6:$U$505,MATCH($C1534,'Phản ánh'!$A$6:$A$505,0)),IF(AND($I1534="Công việc",OR($E1534="Hoàn thành",$E1534="Hoàn thành kỳ")),IF(INDEX('Kế hoạch'!$B$6:$B$305,$O1534)="Đột xuất",INDEX('Kế hoạch'!$AY$6:$AY$305,$O1534),IF(N($P1534)=0,"",IF(INT($B1534)&lt;$P1534,$P1534,IF($Q1534&gt;0,$P1534+ROUND((INT($B1534)-$P1534)/$Q1534,0)*$Q1534,IF($R1534&gt;0,EDATE($P1534,ROUND((DATEDIF($P1534,INT($B1534),"m")+(INT($B1534)-EDATE($P1534,DATEDIF($P1534,INT($B1534),"m")))/(EDATE($P1534,DATEDIF($P1534,INT($B1534),"m")+1)-EDATE($P1534,DATEDIF($P1534,INT($B1534),"m"))))/$R1534,0)*$R1534),$P1534))))),"")))</f>
      </c>
      <c r="M1534" s="223">
        <f>IF(OR($C1534="",N($L1534)=0,N($B1534)=0),"",IF(IF(MOD($L1534,1)=0,INT($B1534),$B1534)&lt;=$L1534,"Đúng hạn","Trễ hạn"))</f>
      </c>
      <c r="N1534" s="225">
        <f>IF($C1534="","",ROW())</f>
      </c>
      <c r="O1534" s="225">
        <f>IF($I1534="Công việc",MATCH($C1534,'Kế hoạch'!$A$6:$A$305,0),"")</f>
      </c>
      <c r="P1534" s="234">
        <f>IF($O1534="","",INDEX('Kế hoạch'!$I$6:$I$305,$O1534))</f>
      </c>
      <c r="Q1534" s="225">
        <f>IF($O1534="","",INDEX('Kế hoạch'!$AJ$6:$AJ$305,$O1534))</f>
      </c>
      <c r="R1534" s="225">
        <f>IF($O1534="","",INDEX('Kế hoạch'!$AK$6:$AK$305,$O1534))</f>
      </c>
    </row>
    <row r="1535">
      <c r="A1535" s="223">
        <f>IF($C1535="","",COUNTIF($C$6:$C1535,"?*"))</f>
      </c>
      <c r="B1535" s="217"/>
      <c r="C1535" s="216"/>
      <c r="D1535" s="240"/>
      <c r="E1535" s="218"/>
      <c r="F1535" s="218"/>
      <c r="G1535" s="218"/>
      <c r="H1535" s="219"/>
      <c r="I1535" s="223">
        <f>IF($C1535="","",IF(ISNUMBER(MATCH($C1535,'Phản ánh'!$A$6:$A$505,0)),"Phản ánh",IF(ISNUMBER(MATCH($C1535,'Kế hoạch'!$A$6:$A$305,0)),"Công việc","Mã chưa có")))</f>
      </c>
      <c r="J1535" s="221">
        <f>IF($I1535="Phản ánh",INDEX('Phản ánh'!$C$6:$C$505,MATCH($C1535,'Phản ánh'!$A$6:$A$505,0)),IF($I1535="Công việc",INDEX('Kế hoạch'!$C$6:$C$305,$O1535),""))</f>
      </c>
      <c r="K1535" s="221">
        <f>IF($I1535="Phản ánh",INDEX('Phản ánh'!$K$6:$K$505,MATCH($C1535,'Phản ánh'!$A$6:$A$505,0))&amp;"",IF($I1535="Công việc",INDEX('Kế hoạch'!$N$6:$N$305,$O1535)&amp;"",""))</f>
      </c>
      <c r="L1535" s="220">
        <f>IF(OR($C1535="",N($B1535)=0),"",IF(AND($I1535="Phản ánh",$E1535="Đã xử lý"),INDEX('Phản ánh'!$U$6:$U$505,MATCH($C1535,'Phản ánh'!$A$6:$A$505,0)),IF(AND($I1535="Công việc",OR($E1535="Hoàn thành",$E1535="Hoàn thành kỳ")),IF(INDEX('Kế hoạch'!$B$6:$B$305,$O1535)="Đột xuất",INDEX('Kế hoạch'!$AY$6:$AY$305,$O1535),IF(N($P1535)=0,"",IF(INT($B1535)&lt;$P1535,$P1535,IF($Q1535&gt;0,$P1535+ROUND((INT($B1535)-$P1535)/$Q1535,0)*$Q1535,IF($R1535&gt;0,EDATE($P1535,ROUND((DATEDIF($P1535,INT($B1535),"m")+(INT($B1535)-EDATE($P1535,DATEDIF($P1535,INT($B1535),"m")))/(EDATE($P1535,DATEDIF($P1535,INT($B1535),"m")+1)-EDATE($P1535,DATEDIF($P1535,INT($B1535),"m"))))/$R1535,0)*$R1535),$P1535))))),"")))</f>
      </c>
      <c r="M1535" s="223">
        <f>IF(OR($C1535="",N($L1535)=0,N($B1535)=0),"",IF(IF(MOD($L1535,1)=0,INT($B1535),$B1535)&lt;=$L1535,"Đúng hạn","Trễ hạn"))</f>
      </c>
      <c r="N1535" s="225">
        <f>IF($C1535="","",ROW())</f>
      </c>
      <c r="O1535" s="225">
        <f>IF($I1535="Công việc",MATCH($C1535,'Kế hoạch'!$A$6:$A$305,0),"")</f>
      </c>
      <c r="P1535" s="234">
        <f>IF($O1535="","",INDEX('Kế hoạch'!$I$6:$I$305,$O1535))</f>
      </c>
      <c r="Q1535" s="225">
        <f>IF($O1535="","",INDEX('Kế hoạch'!$AJ$6:$AJ$305,$O1535))</f>
      </c>
      <c r="R1535" s="225">
        <f>IF($O1535="","",INDEX('Kế hoạch'!$AK$6:$AK$305,$O1535))</f>
      </c>
    </row>
    <row r="1536">
      <c r="A1536" s="223">
        <f>IF($C1536="","",COUNTIF($C$6:$C1536,"?*"))</f>
      </c>
      <c r="B1536" s="217"/>
      <c r="C1536" s="216"/>
      <c r="D1536" s="240"/>
      <c r="E1536" s="218"/>
      <c r="F1536" s="218"/>
      <c r="G1536" s="218"/>
      <c r="H1536" s="219"/>
      <c r="I1536" s="223">
        <f>IF($C1536="","",IF(ISNUMBER(MATCH($C1536,'Phản ánh'!$A$6:$A$505,0)),"Phản ánh",IF(ISNUMBER(MATCH($C1536,'Kế hoạch'!$A$6:$A$305,0)),"Công việc","Mã chưa có")))</f>
      </c>
      <c r="J1536" s="221">
        <f>IF($I1536="Phản ánh",INDEX('Phản ánh'!$C$6:$C$505,MATCH($C1536,'Phản ánh'!$A$6:$A$505,0)),IF($I1536="Công việc",INDEX('Kế hoạch'!$C$6:$C$305,$O1536),""))</f>
      </c>
      <c r="K1536" s="221">
        <f>IF($I1536="Phản ánh",INDEX('Phản ánh'!$K$6:$K$505,MATCH($C1536,'Phản ánh'!$A$6:$A$505,0))&amp;"",IF($I1536="Công việc",INDEX('Kế hoạch'!$N$6:$N$305,$O1536)&amp;"",""))</f>
      </c>
      <c r="L1536" s="220">
        <f>IF(OR($C1536="",N($B1536)=0),"",IF(AND($I1536="Phản ánh",$E1536="Đã xử lý"),INDEX('Phản ánh'!$U$6:$U$505,MATCH($C1536,'Phản ánh'!$A$6:$A$505,0)),IF(AND($I1536="Công việc",OR($E1536="Hoàn thành",$E1536="Hoàn thành kỳ")),IF(INDEX('Kế hoạch'!$B$6:$B$305,$O1536)="Đột xuất",INDEX('Kế hoạch'!$AY$6:$AY$305,$O1536),IF(N($P1536)=0,"",IF(INT($B1536)&lt;$P1536,$P1536,IF($Q1536&gt;0,$P1536+ROUND((INT($B1536)-$P1536)/$Q1536,0)*$Q1536,IF($R1536&gt;0,EDATE($P1536,ROUND((DATEDIF($P1536,INT($B1536),"m")+(INT($B1536)-EDATE($P1536,DATEDIF($P1536,INT($B1536),"m")))/(EDATE($P1536,DATEDIF($P1536,INT($B1536),"m")+1)-EDATE($P1536,DATEDIF($P1536,INT($B1536),"m"))))/$R1536,0)*$R1536),$P1536))))),"")))</f>
      </c>
      <c r="M1536" s="223">
        <f>IF(OR($C1536="",N($L1536)=0,N($B1536)=0),"",IF(IF(MOD($L1536,1)=0,INT($B1536),$B1536)&lt;=$L1536,"Đúng hạn","Trễ hạn"))</f>
      </c>
      <c r="N1536" s="225">
        <f>IF($C1536="","",ROW())</f>
      </c>
      <c r="O1536" s="225">
        <f>IF($I1536="Công việc",MATCH($C1536,'Kế hoạch'!$A$6:$A$305,0),"")</f>
      </c>
      <c r="P1536" s="234">
        <f>IF($O1536="","",INDEX('Kế hoạch'!$I$6:$I$305,$O1536))</f>
      </c>
      <c r="Q1536" s="225">
        <f>IF($O1536="","",INDEX('Kế hoạch'!$AJ$6:$AJ$305,$O1536))</f>
      </c>
      <c r="R1536" s="225">
        <f>IF($O1536="","",INDEX('Kế hoạch'!$AK$6:$AK$305,$O1536))</f>
      </c>
    </row>
    <row r="1537">
      <c r="A1537" s="223">
        <f>IF($C1537="","",COUNTIF($C$6:$C1537,"?*"))</f>
      </c>
      <c r="B1537" s="217"/>
      <c r="C1537" s="216"/>
      <c r="D1537" s="240"/>
      <c r="E1537" s="218"/>
      <c r="F1537" s="218"/>
      <c r="G1537" s="218"/>
      <c r="H1537" s="219"/>
      <c r="I1537" s="223">
        <f>IF($C1537="","",IF(ISNUMBER(MATCH($C1537,'Phản ánh'!$A$6:$A$505,0)),"Phản ánh",IF(ISNUMBER(MATCH($C1537,'Kế hoạch'!$A$6:$A$305,0)),"Công việc","Mã chưa có")))</f>
      </c>
      <c r="J1537" s="221">
        <f>IF($I1537="Phản ánh",INDEX('Phản ánh'!$C$6:$C$505,MATCH($C1537,'Phản ánh'!$A$6:$A$505,0)),IF($I1537="Công việc",INDEX('Kế hoạch'!$C$6:$C$305,$O1537),""))</f>
      </c>
      <c r="K1537" s="221">
        <f>IF($I1537="Phản ánh",INDEX('Phản ánh'!$K$6:$K$505,MATCH($C1537,'Phản ánh'!$A$6:$A$505,0))&amp;"",IF($I1537="Công việc",INDEX('Kế hoạch'!$N$6:$N$305,$O1537)&amp;"",""))</f>
      </c>
      <c r="L1537" s="220">
        <f>IF(OR($C1537="",N($B1537)=0),"",IF(AND($I1537="Phản ánh",$E1537="Đã xử lý"),INDEX('Phản ánh'!$U$6:$U$505,MATCH($C1537,'Phản ánh'!$A$6:$A$505,0)),IF(AND($I1537="Công việc",OR($E1537="Hoàn thành",$E1537="Hoàn thành kỳ")),IF(INDEX('Kế hoạch'!$B$6:$B$305,$O1537)="Đột xuất",INDEX('Kế hoạch'!$AY$6:$AY$305,$O1537),IF(N($P1537)=0,"",IF(INT($B1537)&lt;$P1537,$P1537,IF($Q1537&gt;0,$P1537+ROUND((INT($B1537)-$P1537)/$Q1537,0)*$Q1537,IF($R1537&gt;0,EDATE($P1537,ROUND((DATEDIF($P1537,INT($B1537),"m")+(INT($B1537)-EDATE($P1537,DATEDIF($P1537,INT($B1537),"m")))/(EDATE($P1537,DATEDIF($P1537,INT($B1537),"m")+1)-EDATE($P1537,DATEDIF($P1537,INT($B1537),"m"))))/$R1537,0)*$R1537),$P1537))))),"")))</f>
      </c>
      <c r="M1537" s="223">
        <f>IF(OR($C1537="",N($L1537)=0,N($B1537)=0),"",IF(IF(MOD($L1537,1)=0,INT($B1537),$B1537)&lt;=$L1537,"Đúng hạn","Trễ hạn"))</f>
      </c>
      <c r="N1537" s="225">
        <f>IF($C1537="","",ROW())</f>
      </c>
      <c r="O1537" s="225">
        <f>IF($I1537="Công việc",MATCH($C1537,'Kế hoạch'!$A$6:$A$305,0),"")</f>
      </c>
      <c r="P1537" s="234">
        <f>IF($O1537="","",INDEX('Kế hoạch'!$I$6:$I$305,$O1537))</f>
      </c>
      <c r="Q1537" s="225">
        <f>IF($O1537="","",INDEX('Kế hoạch'!$AJ$6:$AJ$305,$O1537))</f>
      </c>
      <c r="R1537" s="225">
        <f>IF($O1537="","",INDEX('Kế hoạch'!$AK$6:$AK$305,$O1537))</f>
      </c>
    </row>
    <row r="1538">
      <c r="A1538" s="223">
        <f>IF($C1538="","",COUNTIF($C$6:$C1538,"?*"))</f>
      </c>
      <c r="B1538" s="217"/>
      <c r="C1538" s="216"/>
      <c r="D1538" s="240"/>
      <c r="E1538" s="218"/>
      <c r="F1538" s="218"/>
      <c r="G1538" s="218"/>
      <c r="H1538" s="219"/>
      <c r="I1538" s="223">
        <f>IF($C1538="","",IF(ISNUMBER(MATCH($C1538,'Phản ánh'!$A$6:$A$505,0)),"Phản ánh",IF(ISNUMBER(MATCH($C1538,'Kế hoạch'!$A$6:$A$305,0)),"Công việc","Mã chưa có")))</f>
      </c>
      <c r="J1538" s="221">
        <f>IF($I1538="Phản ánh",INDEX('Phản ánh'!$C$6:$C$505,MATCH($C1538,'Phản ánh'!$A$6:$A$505,0)),IF($I1538="Công việc",INDEX('Kế hoạch'!$C$6:$C$305,$O1538),""))</f>
      </c>
      <c r="K1538" s="221">
        <f>IF($I1538="Phản ánh",INDEX('Phản ánh'!$K$6:$K$505,MATCH($C1538,'Phản ánh'!$A$6:$A$505,0))&amp;"",IF($I1538="Công việc",INDEX('Kế hoạch'!$N$6:$N$305,$O1538)&amp;"",""))</f>
      </c>
      <c r="L1538" s="220">
        <f>IF(OR($C1538="",N($B1538)=0),"",IF(AND($I1538="Phản ánh",$E1538="Đã xử lý"),INDEX('Phản ánh'!$U$6:$U$505,MATCH($C1538,'Phản ánh'!$A$6:$A$505,0)),IF(AND($I1538="Công việc",OR($E1538="Hoàn thành",$E1538="Hoàn thành kỳ")),IF(INDEX('Kế hoạch'!$B$6:$B$305,$O1538)="Đột xuất",INDEX('Kế hoạch'!$AY$6:$AY$305,$O1538),IF(N($P1538)=0,"",IF(INT($B1538)&lt;$P1538,$P1538,IF($Q1538&gt;0,$P1538+ROUND((INT($B1538)-$P1538)/$Q1538,0)*$Q1538,IF($R1538&gt;0,EDATE($P1538,ROUND((DATEDIF($P1538,INT($B1538),"m")+(INT($B1538)-EDATE($P1538,DATEDIF($P1538,INT($B1538),"m")))/(EDATE($P1538,DATEDIF($P1538,INT($B1538),"m")+1)-EDATE($P1538,DATEDIF($P1538,INT($B1538),"m"))))/$R1538,0)*$R1538),$P1538))))),"")))</f>
      </c>
      <c r="M1538" s="223">
        <f>IF(OR($C1538="",N($L1538)=0,N($B1538)=0),"",IF(IF(MOD($L1538,1)=0,INT($B1538),$B1538)&lt;=$L1538,"Đúng hạn","Trễ hạn"))</f>
      </c>
      <c r="N1538" s="225">
        <f>IF($C1538="","",ROW())</f>
      </c>
      <c r="O1538" s="225">
        <f>IF($I1538="Công việc",MATCH($C1538,'Kế hoạch'!$A$6:$A$305,0),"")</f>
      </c>
      <c r="P1538" s="234">
        <f>IF($O1538="","",INDEX('Kế hoạch'!$I$6:$I$305,$O1538))</f>
      </c>
      <c r="Q1538" s="225">
        <f>IF($O1538="","",INDEX('Kế hoạch'!$AJ$6:$AJ$305,$O1538))</f>
      </c>
      <c r="R1538" s="225">
        <f>IF($O1538="","",INDEX('Kế hoạch'!$AK$6:$AK$305,$O1538))</f>
      </c>
    </row>
    <row r="1539">
      <c r="A1539" s="223">
        <f>IF($C1539="","",COUNTIF($C$6:$C1539,"?*"))</f>
      </c>
      <c r="B1539" s="217"/>
      <c r="C1539" s="216"/>
      <c r="D1539" s="240"/>
      <c r="E1539" s="218"/>
      <c r="F1539" s="218"/>
      <c r="G1539" s="218"/>
      <c r="H1539" s="219"/>
      <c r="I1539" s="223">
        <f>IF($C1539="","",IF(ISNUMBER(MATCH($C1539,'Phản ánh'!$A$6:$A$505,0)),"Phản ánh",IF(ISNUMBER(MATCH($C1539,'Kế hoạch'!$A$6:$A$305,0)),"Công việc","Mã chưa có")))</f>
      </c>
      <c r="J1539" s="221">
        <f>IF($I1539="Phản ánh",INDEX('Phản ánh'!$C$6:$C$505,MATCH($C1539,'Phản ánh'!$A$6:$A$505,0)),IF($I1539="Công việc",INDEX('Kế hoạch'!$C$6:$C$305,$O1539),""))</f>
      </c>
      <c r="K1539" s="221">
        <f>IF($I1539="Phản ánh",INDEX('Phản ánh'!$K$6:$K$505,MATCH($C1539,'Phản ánh'!$A$6:$A$505,0))&amp;"",IF($I1539="Công việc",INDEX('Kế hoạch'!$N$6:$N$305,$O1539)&amp;"",""))</f>
      </c>
      <c r="L1539" s="220">
        <f>IF(OR($C1539="",N($B1539)=0),"",IF(AND($I1539="Phản ánh",$E1539="Đã xử lý"),INDEX('Phản ánh'!$U$6:$U$505,MATCH($C1539,'Phản ánh'!$A$6:$A$505,0)),IF(AND($I1539="Công việc",OR($E1539="Hoàn thành",$E1539="Hoàn thành kỳ")),IF(INDEX('Kế hoạch'!$B$6:$B$305,$O1539)="Đột xuất",INDEX('Kế hoạch'!$AY$6:$AY$305,$O1539),IF(N($P1539)=0,"",IF(INT($B1539)&lt;$P1539,$P1539,IF($Q1539&gt;0,$P1539+ROUND((INT($B1539)-$P1539)/$Q1539,0)*$Q1539,IF($R1539&gt;0,EDATE($P1539,ROUND((DATEDIF($P1539,INT($B1539),"m")+(INT($B1539)-EDATE($P1539,DATEDIF($P1539,INT($B1539),"m")))/(EDATE($P1539,DATEDIF($P1539,INT($B1539),"m")+1)-EDATE($P1539,DATEDIF($P1539,INT($B1539),"m"))))/$R1539,0)*$R1539),$P1539))))),"")))</f>
      </c>
      <c r="M1539" s="223">
        <f>IF(OR($C1539="",N($L1539)=0,N($B1539)=0),"",IF(IF(MOD($L1539,1)=0,INT($B1539),$B1539)&lt;=$L1539,"Đúng hạn","Trễ hạn"))</f>
      </c>
      <c r="N1539" s="225">
        <f>IF($C1539="","",ROW())</f>
      </c>
      <c r="O1539" s="225">
        <f>IF($I1539="Công việc",MATCH($C1539,'Kế hoạch'!$A$6:$A$305,0),"")</f>
      </c>
      <c r="P1539" s="234">
        <f>IF($O1539="","",INDEX('Kế hoạch'!$I$6:$I$305,$O1539))</f>
      </c>
      <c r="Q1539" s="225">
        <f>IF($O1539="","",INDEX('Kế hoạch'!$AJ$6:$AJ$305,$O1539))</f>
      </c>
      <c r="R1539" s="225">
        <f>IF($O1539="","",INDEX('Kế hoạch'!$AK$6:$AK$305,$O1539))</f>
      </c>
    </row>
    <row r="1540">
      <c r="A1540" s="223">
        <f>IF($C1540="","",COUNTIF($C$6:$C1540,"?*"))</f>
      </c>
      <c r="B1540" s="217"/>
      <c r="C1540" s="216"/>
      <c r="D1540" s="240"/>
      <c r="E1540" s="218"/>
      <c r="F1540" s="218"/>
      <c r="G1540" s="218"/>
      <c r="H1540" s="219"/>
      <c r="I1540" s="223">
        <f>IF($C1540="","",IF(ISNUMBER(MATCH($C1540,'Phản ánh'!$A$6:$A$505,0)),"Phản ánh",IF(ISNUMBER(MATCH($C1540,'Kế hoạch'!$A$6:$A$305,0)),"Công việc","Mã chưa có")))</f>
      </c>
      <c r="J1540" s="221">
        <f>IF($I1540="Phản ánh",INDEX('Phản ánh'!$C$6:$C$505,MATCH($C1540,'Phản ánh'!$A$6:$A$505,0)),IF($I1540="Công việc",INDEX('Kế hoạch'!$C$6:$C$305,$O1540),""))</f>
      </c>
      <c r="K1540" s="221">
        <f>IF($I1540="Phản ánh",INDEX('Phản ánh'!$K$6:$K$505,MATCH($C1540,'Phản ánh'!$A$6:$A$505,0))&amp;"",IF($I1540="Công việc",INDEX('Kế hoạch'!$N$6:$N$305,$O1540)&amp;"",""))</f>
      </c>
      <c r="L1540" s="220">
        <f>IF(OR($C1540="",N($B1540)=0),"",IF(AND($I1540="Phản ánh",$E1540="Đã xử lý"),INDEX('Phản ánh'!$U$6:$U$505,MATCH($C1540,'Phản ánh'!$A$6:$A$505,0)),IF(AND($I1540="Công việc",OR($E1540="Hoàn thành",$E1540="Hoàn thành kỳ")),IF(INDEX('Kế hoạch'!$B$6:$B$305,$O1540)="Đột xuất",INDEX('Kế hoạch'!$AY$6:$AY$305,$O1540),IF(N($P1540)=0,"",IF(INT($B1540)&lt;$P1540,$P1540,IF($Q1540&gt;0,$P1540+ROUND((INT($B1540)-$P1540)/$Q1540,0)*$Q1540,IF($R1540&gt;0,EDATE($P1540,ROUND((DATEDIF($P1540,INT($B1540),"m")+(INT($B1540)-EDATE($P1540,DATEDIF($P1540,INT($B1540),"m")))/(EDATE($P1540,DATEDIF($P1540,INT($B1540),"m")+1)-EDATE($P1540,DATEDIF($P1540,INT($B1540),"m"))))/$R1540,0)*$R1540),$P1540))))),"")))</f>
      </c>
      <c r="M1540" s="223">
        <f>IF(OR($C1540="",N($L1540)=0,N($B1540)=0),"",IF(IF(MOD($L1540,1)=0,INT($B1540),$B1540)&lt;=$L1540,"Đúng hạn","Trễ hạn"))</f>
      </c>
      <c r="N1540" s="225">
        <f>IF($C1540="","",ROW())</f>
      </c>
      <c r="O1540" s="225">
        <f>IF($I1540="Công việc",MATCH($C1540,'Kế hoạch'!$A$6:$A$305,0),"")</f>
      </c>
      <c r="P1540" s="234">
        <f>IF($O1540="","",INDEX('Kế hoạch'!$I$6:$I$305,$O1540))</f>
      </c>
      <c r="Q1540" s="225">
        <f>IF($O1540="","",INDEX('Kế hoạch'!$AJ$6:$AJ$305,$O1540))</f>
      </c>
      <c r="R1540" s="225">
        <f>IF($O1540="","",INDEX('Kế hoạch'!$AK$6:$AK$305,$O1540))</f>
      </c>
    </row>
    <row r="1541">
      <c r="A1541" s="223">
        <f>IF($C1541="","",COUNTIF($C$6:$C1541,"?*"))</f>
      </c>
      <c r="B1541" s="217"/>
      <c r="C1541" s="216"/>
      <c r="D1541" s="240"/>
      <c r="E1541" s="218"/>
      <c r="F1541" s="218"/>
      <c r="G1541" s="218"/>
      <c r="H1541" s="219"/>
      <c r="I1541" s="223">
        <f>IF($C1541="","",IF(ISNUMBER(MATCH($C1541,'Phản ánh'!$A$6:$A$505,0)),"Phản ánh",IF(ISNUMBER(MATCH($C1541,'Kế hoạch'!$A$6:$A$305,0)),"Công việc","Mã chưa có")))</f>
      </c>
      <c r="J1541" s="221">
        <f>IF($I1541="Phản ánh",INDEX('Phản ánh'!$C$6:$C$505,MATCH($C1541,'Phản ánh'!$A$6:$A$505,0)),IF($I1541="Công việc",INDEX('Kế hoạch'!$C$6:$C$305,$O1541),""))</f>
      </c>
      <c r="K1541" s="221">
        <f>IF($I1541="Phản ánh",INDEX('Phản ánh'!$K$6:$K$505,MATCH($C1541,'Phản ánh'!$A$6:$A$505,0))&amp;"",IF($I1541="Công việc",INDEX('Kế hoạch'!$N$6:$N$305,$O1541)&amp;"",""))</f>
      </c>
      <c r="L1541" s="220">
        <f>IF(OR($C1541="",N($B1541)=0),"",IF(AND($I1541="Phản ánh",$E1541="Đã xử lý"),INDEX('Phản ánh'!$U$6:$U$505,MATCH($C1541,'Phản ánh'!$A$6:$A$505,0)),IF(AND($I1541="Công việc",OR($E1541="Hoàn thành",$E1541="Hoàn thành kỳ")),IF(INDEX('Kế hoạch'!$B$6:$B$305,$O1541)="Đột xuất",INDEX('Kế hoạch'!$AY$6:$AY$305,$O1541),IF(N($P1541)=0,"",IF(INT($B1541)&lt;$P1541,$P1541,IF($Q1541&gt;0,$P1541+ROUND((INT($B1541)-$P1541)/$Q1541,0)*$Q1541,IF($R1541&gt;0,EDATE($P1541,ROUND((DATEDIF($P1541,INT($B1541),"m")+(INT($B1541)-EDATE($P1541,DATEDIF($P1541,INT($B1541),"m")))/(EDATE($P1541,DATEDIF($P1541,INT($B1541),"m")+1)-EDATE($P1541,DATEDIF($P1541,INT($B1541),"m"))))/$R1541,0)*$R1541),$P1541))))),"")))</f>
      </c>
      <c r="M1541" s="223">
        <f>IF(OR($C1541="",N($L1541)=0,N($B1541)=0),"",IF(IF(MOD($L1541,1)=0,INT($B1541),$B1541)&lt;=$L1541,"Đúng hạn","Trễ hạn"))</f>
      </c>
      <c r="N1541" s="225">
        <f>IF($C1541="","",ROW())</f>
      </c>
      <c r="O1541" s="225">
        <f>IF($I1541="Công việc",MATCH($C1541,'Kế hoạch'!$A$6:$A$305,0),"")</f>
      </c>
      <c r="P1541" s="234">
        <f>IF($O1541="","",INDEX('Kế hoạch'!$I$6:$I$305,$O1541))</f>
      </c>
      <c r="Q1541" s="225">
        <f>IF($O1541="","",INDEX('Kế hoạch'!$AJ$6:$AJ$305,$O1541))</f>
      </c>
      <c r="R1541" s="225">
        <f>IF($O1541="","",INDEX('Kế hoạch'!$AK$6:$AK$305,$O1541))</f>
      </c>
    </row>
    <row r="1542">
      <c r="A1542" s="223">
        <f>IF($C1542="","",COUNTIF($C$6:$C1542,"?*"))</f>
      </c>
      <c r="B1542" s="217"/>
      <c r="C1542" s="216"/>
      <c r="D1542" s="240"/>
      <c r="E1542" s="218"/>
      <c r="F1542" s="218"/>
      <c r="G1542" s="218"/>
      <c r="H1542" s="219"/>
      <c r="I1542" s="223">
        <f>IF($C1542="","",IF(ISNUMBER(MATCH($C1542,'Phản ánh'!$A$6:$A$505,0)),"Phản ánh",IF(ISNUMBER(MATCH($C1542,'Kế hoạch'!$A$6:$A$305,0)),"Công việc","Mã chưa có")))</f>
      </c>
      <c r="J1542" s="221">
        <f>IF($I1542="Phản ánh",INDEX('Phản ánh'!$C$6:$C$505,MATCH($C1542,'Phản ánh'!$A$6:$A$505,0)),IF($I1542="Công việc",INDEX('Kế hoạch'!$C$6:$C$305,$O1542),""))</f>
      </c>
      <c r="K1542" s="221">
        <f>IF($I1542="Phản ánh",INDEX('Phản ánh'!$K$6:$K$505,MATCH($C1542,'Phản ánh'!$A$6:$A$505,0))&amp;"",IF($I1542="Công việc",INDEX('Kế hoạch'!$N$6:$N$305,$O1542)&amp;"",""))</f>
      </c>
      <c r="L1542" s="220">
        <f>IF(OR($C1542="",N($B1542)=0),"",IF(AND($I1542="Phản ánh",$E1542="Đã xử lý"),INDEX('Phản ánh'!$U$6:$U$505,MATCH($C1542,'Phản ánh'!$A$6:$A$505,0)),IF(AND($I1542="Công việc",OR($E1542="Hoàn thành",$E1542="Hoàn thành kỳ")),IF(INDEX('Kế hoạch'!$B$6:$B$305,$O1542)="Đột xuất",INDEX('Kế hoạch'!$AY$6:$AY$305,$O1542),IF(N($P1542)=0,"",IF(INT($B1542)&lt;$P1542,$P1542,IF($Q1542&gt;0,$P1542+ROUND((INT($B1542)-$P1542)/$Q1542,0)*$Q1542,IF($R1542&gt;0,EDATE($P1542,ROUND((DATEDIF($P1542,INT($B1542),"m")+(INT($B1542)-EDATE($P1542,DATEDIF($P1542,INT($B1542),"m")))/(EDATE($P1542,DATEDIF($P1542,INT($B1542),"m")+1)-EDATE($P1542,DATEDIF($P1542,INT($B1542),"m"))))/$R1542,0)*$R1542),$P1542))))),"")))</f>
      </c>
      <c r="M1542" s="223">
        <f>IF(OR($C1542="",N($L1542)=0,N($B1542)=0),"",IF(IF(MOD($L1542,1)=0,INT($B1542),$B1542)&lt;=$L1542,"Đúng hạn","Trễ hạn"))</f>
      </c>
      <c r="N1542" s="225">
        <f>IF($C1542="","",ROW())</f>
      </c>
      <c r="O1542" s="225">
        <f>IF($I1542="Công việc",MATCH($C1542,'Kế hoạch'!$A$6:$A$305,0),"")</f>
      </c>
      <c r="P1542" s="234">
        <f>IF($O1542="","",INDEX('Kế hoạch'!$I$6:$I$305,$O1542))</f>
      </c>
      <c r="Q1542" s="225">
        <f>IF($O1542="","",INDEX('Kế hoạch'!$AJ$6:$AJ$305,$O1542))</f>
      </c>
      <c r="R1542" s="225">
        <f>IF($O1542="","",INDEX('Kế hoạch'!$AK$6:$AK$305,$O1542))</f>
      </c>
    </row>
    <row r="1543">
      <c r="A1543" s="223">
        <f>IF($C1543="","",COUNTIF($C$6:$C1543,"?*"))</f>
      </c>
      <c r="B1543" s="217"/>
      <c r="C1543" s="216"/>
      <c r="D1543" s="240"/>
      <c r="E1543" s="218"/>
      <c r="F1543" s="218"/>
      <c r="G1543" s="218"/>
      <c r="H1543" s="219"/>
      <c r="I1543" s="223">
        <f>IF($C1543="","",IF(ISNUMBER(MATCH($C1543,'Phản ánh'!$A$6:$A$505,0)),"Phản ánh",IF(ISNUMBER(MATCH($C1543,'Kế hoạch'!$A$6:$A$305,0)),"Công việc","Mã chưa có")))</f>
      </c>
      <c r="J1543" s="221">
        <f>IF($I1543="Phản ánh",INDEX('Phản ánh'!$C$6:$C$505,MATCH($C1543,'Phản ánh'!$A$6:$A$505,0)),IF($I1543="Công việc",INDEX('Kế hoạch'!$C$6:$C$305,$O1543),""))</f>
      </c>
      <c r="K1543" s="221">
        <f>IF($I1543="Phản ánh",INDEX('Phản ánh'!$K$6:$K$505,MATCH($C1543,'Phản ánh'!$A$6:$A$505,0))&amp;"",IF($I1543="Công việc",INDEX('Kế hoạch'!$N$6:$N$305,$O1543)&amp;"",""))</f>
      </c>
      <c r="L1543" s="220">
        <f>IF(OR($C1543="",N($B1543)=0),"",IF(AND($I1543="Phản ánh",$E1543="Đã xử lý"),INDEX('Phản ánh'!$U$6:$U$505,MATCH($C1543,'Phản ánh'!$A$6:$A$505,0)),IF(AND($I1543="Công việc",OR($E1543="Hoàn thành",$E1543="Hoàn thành kỳ")),IF(INDEX('Kế hoạch'!$B$6:$B$305,$O1543)="Đột xuất",INDEX('Kế hoạch'!$AY$6:$AY$305,$O1543),IF(N($P1543)=0,"",IF(INT($B1543)&lt;$P1543,$P1543,IF($Q1543&gt;0,$P1543+ROUND((INT($B1543)-$P1543)/$Q1543,0)*$Q1543,IF($R1543&gt;0,EDATE($P1543,ROUND((DATEDIF($P1543,INT($B1543),"m")+(INT($B1543)-EDATE($P1543,DATEDIF($P1543,INT($B1543),"m")))/(EDATE($P1543,DATEDIF($P1543,INT($B1543),"m")+1)-EDATE($P1543,DATEDIF($P1543,INT($B1543),"m"))))/$R1543,0)*$R1543),$P1543))))),"")))</f>
      </c>
      <c r="M1543" s="223">
        <f>IF(OR($C1543="",N($L1543)=0,N($B1543)=0),"",IF(IF(MOD($L1543,1)=0,INT($B1543),$B1543)&lt;=$L1543,"Đúng hạn","Trễ hạn"))</f>
      </c>
      <c r="N1543" s="225">
        <f>IF($C1543="","",ROW())</f>
      </c>
      <c r="O1543" s="225">
        <f>IF($I1543="Công việc",MATCH($C1543,'Kế hoạch'!$A$6:$A$305,0),"")</f>
      </c>
      <c r="P1543" s="234">
        <f>IF($O1543="","",INDEX('Kế hoạch'!$I$6:$I$305,$O1543))</f>
      </c>
      <c r="Q1543" s="225">
        <f>IF($O1543="","",INDEX('Kế hoạch'!$AJ$6:$AJ$305,$O1543))</f>
      </c>
      <c r="R1543" s="225">
        <f>IF($O1543="","",INDEX('Kế hoạch'!$AK$6:$AK$305,$O1543))</f>
      </c>
    </row>
    <row r="1544">
      <c r="A1544" s="223">
        <f>IF($C1544="","",COUNTIF($C$6:$C1544,"?*"))</f>
      </c>
      <c r="B1544" s="217"/>
      <c r="C1544" s="216"/>
      <c r="D1544" s="240"/>
      <c r="E1544" s="218"/>
      <c r="F1544" s="218"/>
      <c r="G1544" s="218"/>
      <c r="H1544" s="219"/>
      <c r="I1544" s="223">
        <f>IF($C1544="","",IF(ISNUMBER(MATCH($C1544,'Phản ánh'!$A$6:$A$505,0)),"Phản ánh",IF(ISNUMBER(MATCH($C1544,'Kế hoạch'!$A$6:$A$305,0)),"Công việc","Mã chưa có")))</f>
      </c>
      <c r="J1544" s="221">
        <f>IF($I1544="Phản ánh",INDEX('Phản ánh'!$C$6:$C$505,MATCH($C1544,'Phản ánh'!$A$6:$A$505,0)),IF($I1544="Công việc",INDEX('Kế hoạch'!$C$6:$C$305,$O1544),""))</f>
      </c>
      <c r="K1544" s="221">
        <f>IF($I1544="Phản ánh",INDEX('Phản ánh'!$K$6:$K$505,MATCH($C1544,'Phản ánh'!$A$6:$A$505,0))&amp;"",IF($I1544="Công việc",INDEX('Kế hoạch'!$N$6:$N$305,$O1544)&amp;"",""))</f>
      </c>
      <c r="L1544" s="220">
        <f>IF(OR($C1544="",N($B1544)=0),"",IF(AND($I1544="Phản ánh",$E1544="Đã xử lý"),INDEX('Phản ánh'!$U$6:$U$505,MATCH($C1544,'Phản ánh'!$A$6:$A$505,0)),IF(AND($I1544="Công việc",OR($E1544="Hoàn thành",$E1544="Hoàn thành kỳ")),IF(INDEX('Kế hoạch'!$B$6:$B$305,$O1544)="Đột xuất",INDEX('Kế hoạch'!$AY$6:$AY$305,$O1544),IF(N($P1544)=0,"",IF(INT($B1544)&lt;$P1544,$P1544,IF($Q1544&gt;0,$P1544+ROUND((INT($B1544)-$P1544)/$Q1544,0)*$Q1544,IF($R1544&gt;0,EDATE($P1544,ROUND((DATEDIF($P1544,INT($B1544),"m")+(INT($B1544)-EDATE($P1544,DATEDIF($P1544,INT($B1544),"m")))/(EDATE($P1544,DATEDIF($P1544,INT($B1544),"m")+1)-EDATE($P1544,DATEDIF($P1544,INT($B1544),"m"))))/$R1544,0)*$R1544),$P1544))))),"")))</f>
      </c>
      <c r="M1544" s="223">
        <f>IF(OR($C1544="",N($L1544)=0,N($B1544)=0),"",IF(IF(MOD($L1544,1)=0,INT($B1544),$B1544)&lt;=$L1544,"Đúng hạn","Trễ hạn"))</f>
      </c>
      <c r="N1544" s="225">
        <f>IF($C1544="","",ROW())</f>
      </c>
      <c r="O1544" s="225">
        <f>IF($I1544="Công việc",MATCH($C1544,'Kế hoạch'!$A$6:$A$305,0),"")</f>
      </c>
      <c r="P1544" s="234">
        <f>IF($O1544="","",INDEX('Kế hoạch'!$I$6:$I$305,$O1544))</f>
      </c>
      <c r="Q1544" s="225">
        <f>IF($O1544="","",INDEX('Kế hoạch'!$AJ$6:$AJ$305,$O1544))</f>
      </c>
      <c r="R1544" s="225">
        <f>IF($O1544="","",INDEX('Kế hoạch'!$AK$6:$AK$305,$O1544))</f>
      </c>
    </row>
    <row r="1545">
      <c r="A1545" s="223">
        <f>IF($C1545="","",COUNTIF($C$6:$C1545,"?*"))</f>
      </c>
      <c r="B1545" s="217"/>
      <c r="C1545" s="216"/>
      <c r="D1545" s="240"/>
      <c r="E1545" s="218"/>
      <c r="F1545" s="218"/>
      <c r="G1545" s="218"/>
      <c r="H1545" s="219"/>
      <c r="I1545" s="223">
        <f>IF($C1545="","",IF(ISNUMBER(MATCH($C1545,'Phản ánh'!$A$6:$A$505,0)),"Phản ánh",IF(ISNUMBER(MATCH($C1545,'Kế hoạch'!$A$6:$A$305,0)),"Công việc","Mã chưa có")))</f>
      </c>
      <c r="J1545" s="221">
        <f>IF($I1545="Phản ánh",INDEX('Phản ánh'!$C$6:$C$505,MATCH($C1545,'Phản ánh'!$A$6:$A$505,0)),IF($I1545="Công việc",INDEX('Kế hoạch'!$C$6:$C$305,$O1545),""))</f>
      </c>
      <c r="K1545" s="221">
        <f>IF($I1545="Phản ánh",INDEX('Phản ánh'!$K$6:$K$505,MATCH($C1545,'Phản ánh'!$A$6:$A$505,0))&amp;"",IF($I1545="Công việc",INDEX('Kế hoạch'!$N$6:$N$305,$O1545)&amp;"",""))</f>
      </c>
      <c r="L1545" s="220">
        <f>IF(OR($C1545="",N($B1545)=0),"",IF(AND($I1545="Phản ánh",$E1545="Đã xử lý"),INDEX('Phản ánh'!$U$6:$U$505,MATCH($C1545,'Phản ánh'!$A$6:$A$505,0)),IF(AND($I1545="Công việc",OR($E1545="Hoàn thành",$E1545="Hoàn thành kỳ")),IF(INDEX('Kế hoạch'!$B$6:$B$305,$O1545)="Đột xuất",INDEX('Kế hoạch'!$AY$6:$AY$305,$O1545),IF(N($P1545)=0,"",IF(INT($B1545)&lt;$P1545,$P1545,IF($Q1545&gt;0,$P1545+ROUND((INT($B1545)-$P1545)/$Q1545,0)*$Q1545,IF($R1545&gt;0,EDATE($P1545,ROUND((DATEDIF($P1545,INT($B1545),"m")+(INT($B1545)-EDATE($P1545,DATEDIF($P1545,INT($B1545),"m")))/(EDATE($P1545,DATEDIF($P1545,INT($B1545),"m")+1)-EDATE($P1545,DATEDIF($P1545,INT($B1545),"m"))))/$R1545,0)*$R1545),$P1545))))),"")))</f>
      </c>
      <c r="M1545" s="223">
        <f>IF(OR($C1545="",N($L1545)=0,N($B1545)=0),"",IF(IF(MOD($L1545,1)=0,INT($B1545),$B1545)&lt;=$L1545,"Đúng hạn","Trễ hạn"))</f>
      </c>
      <c r="N1545" s="225">
        <f>IF($C1545="","",ROW())</f>
      </c>
      <c r="O1545" s="225">
        <f>IF($I1545="Công việc",MATCH($C1545,'Kế hoạch'!$A$6:$A$305,0),"")</f>
      </c>
      <c r="P1545" s="234">
        <f>IF($O1545="","",INDEX('Kế hoạch'!$I$6:$I$305,$O1545))</f>
      </c>
      <c r="Q1545" s="225">
        <f>IF($O1545="","",INDEX('Kế hoạch'!$AJ$6:$AJ$305,$O1545))</f>
      </c>
      <c r="R1545" s="225">
        <f>IF($O1545="","",INDEX('Kế hoạch'!$AK$6:$AK$305,$O1545))</f>
      </c>
    </row>
    <row r="1546">
      <c r="A1546" s="223">
        <f>IF($C1546="","",COUNTIF($C$6:$C1546,"?*"))</f>
      </c>
      <c r="B1546" s="217"/>
      <c r="C1546" s="216"/>
      <c r="D1546" s="240"/>
      <c r="E1546" s="218"/>
      <c r="F1546" s="218"/>
      <c r="G1546" s="218"/>
      <c r="H1546" s="219"/>
      <c r="I1546" s="223">
        <f>IF($C1546="","",IF(ISNUMBER(MATCH($C1546,'Phản ánh'!$A$6:$A$505,0)),"Phản ánh",IF(ISNUMBER(MATCH($C1546,'Kế hoạch'!$A$6:$A$305,0)),"Công việc","Mã chưa có")))</f>
      </c>
      <c r="J1546" s="221">
        <f>IF($I1546="Phản ánh",INDEX('Phản ánh'!$C$6:$C$505,MATCH($C1546,'Phản ánh'!$A$6:$A$505,0)),IF($I1546="Công việc",INDEX('Kế hoạch'!$C$6:$C$305,$O1546),""))</f>
      </c>
      <c r="K1546" s="221">
        <f>IF($I1546="Phản ánh",INDEX('Phản ánh'!$K$6:$K$505,MATCH($C1546,'Phản ánh'!$A$6:$A$505,0))&amp;"",IF($I1546="Công việc",INDEX('Kế hoạch'!$N$6:$N$305,$O1546)&amp;"",""))</f>
      </c>
      <c r="L1546" s="220">
        <f>IF(OR($C1546="",N($B1546)=0),"",IF(AND($I1546="Phản ánh",$E1546="Đã xử lý"),INDEX('Phản ánh'!$U$6:$U$505,MATCH($C1546,'Phản ánh'!$A$6:$A$505,0)),IF(AND($I1546="Công việc",OR($E1546="Hoàn thành",$E1546="Hoàn thành kỳ")),IF(INDEX('Kế hoạch'!$B$6:$B$305,$O1546)="Đột xuất",INDEX('Kế hoạch'!$AY$6:$AY$305,$O1546),IF(N($P1546)=0,"",IF(INT($B1546)&lt;$P1546,$P1546,IF($Q1546&gt;0,$P1546+ROUND((INT($B1546)-$P1546)/$Q1546,0)*$Q1546,IF($R1546&gt;0,EDATE($P1546,ROUND((DATEDIF($P1546,INT($B1546),"m")+(INT($B1546)-EDATE($P1546,DATEDIF($P1546,INT($B1546),"m")))/(EDATE($P1546,DATEDIF($P1546,INT($B1546),"m")+1)-EDATE($P1546,DATEDIF($P1546,INT($B1546),"m"))))/$R1546,0)*$R1546),$P1546))))),"")))</f>
      </c>
      <c r="M1546" s="223">
        <f>IF(OR($C1546="",N($L1546)=0,N($B1546)=0),"",IF(IF(MOD($L1546,1)=0,INT($B1546),$B1546)&lt;=$L1546,"Đúng hạn","Trễ hạn"))</f>
      </c>
      <c r="N1546" s="225">
        <f>IF($C1546="","",ROW())</f>
      </c>
      <c r="O1546" s="225">
        <f>IF($I1546="Công việc",MATCH($C1546,'Kế hoạch'!$A$6:$A$305,0),"")</f>
      </c>
      <c r="P1546" s="234">
        <f>IF($O1546="","",INDEX('Kế hoạch'!$I$6:$I$305,$O1546))</f>
      </c>
      <c r="Q1546" s="225">
        <f>IF($O1546="","",INDEX('Kế hoạch'!$AJ$6:$AJ$305,$O1546))</f>
      </c>
      <c r="R1546" s="225">
        <f>IF($O1546="","",INDEX('Kế hoạch'!$AK$6:$AK$305,$O1546))</f>
      </c>
    </row>
    <row r="1547">
      <c r="A1547" s="223">
        <f>IF($C1547="","",COUNTIF($C$6:$C1547,"?*"))</f>
      </c>
      <c r="B1547" s="217"/>
      <c r="C1547" s="216"/>
      <c r="D1547" s="240"/>
      <c r="E1547" s="218"/>
      <c r="F1547" s="218"/>
      <c r="G1547" s="218"/>
      <c r="H1547" s="219"/>
      <c r="I1547" s="223">
        <f>IF($C1547="","",IF(ISNUMBER(MATCH($C1547,'Phản ánh'!$A$6:$A$505,0)),"Phản ánh",IF(ISNUMBER(MATCH($C1547,'Kế hoạch'!$A$6:$A$305,0)),"Công việc","Mã chưa có")))</f>
      </c>
      <c r="J1547" s="221">
        <f>IF($I1547="Phản ánh",INDEX('Phản ánh'!$C$6:$C$505,MATCH($C1547,'Phản ánh'!$A$6:$A$505,0)),IF($I1547="Công việc",INDEX('Kế hoạch'!$C$6:$C$305,$O1547),""))</f>
      </c>
      <c r="K1547" s="221">
        <f>IF($I1547="Phản ánh",INDEX('Phản ánh'!$K$6:$K$505,MATCH($C1547,'Phản ánh'!$A$6:$A$505,0))&amp;"",IF($I1547="Công việc",INDEX('Kế hoạch'!$N$6:$N$305,$O1547)&amp;"",""))</f>
      </c>
      <c r="L1547" s="220">
        <f>IF(OR($C1547="",N($B1547)=0),"",IF(AND($I1547="Phản ánh",$E1547="Đã xử lý"),INDEX('Phản ánh'!$U$6:$U$505,MATCH($C1547,'Phản ánh'!$A$6:$A$505,0)),IF(AND($I1547="Công việc",OR($E1547="Hoàn thành",$E1547="Hoàn thành kỳ")),IF(INDEX('Kế hoạch'!$B$6:$B$305,$O1547)="Đột xuất",INDEX('Kế hoạch'!$AY$6:$AY$305,$O1547),IF(N($P1547)=0,"",IF(INT($B1547)&lt;$P1547,$P1547,IF($Q1547&gt;0,$P1547+ROUND((INT($B1547)-$P1547)/$Q1547,0)*$Q1547,IF($R1547&gt;0,EDATE($P1547,ROUND((DATEDIF($P1547,INT($B1547),"m")+(INT($B1547)-EDATE($P1547,DATEDIF($P1547,INT($B1547),"m")))/(EDATE($P1547,DATEDIF($P1547,INT($B1547),"m")+1)-EDATE($P1547,DATEDIF($P1547,INT($B1547),"m"))))/$R1547,0)*$R1547),$P1547))))),"")))</f>
      </c>
      <c r="M1547" s="223">
        <f>IF(OR($C1547="",N($L1547)=0,N($B1547)=0),"",IF(IF(MOD($L1547,1)=0,INT($B1547),$B1547)&lt;=$L1547,"Đúng hạn","Trễ hạn"))</f>
      </c>
      <c r="N1547" s="225">
        <f>IF($C1547="","",ROW())</f>
      </c>
      <c r="O1547" s="225">
        <f>IF($I1547="Công việc",MATCH($C1547,'Kế hoạch'!$A$6:$A$305,0),"")</f>
      </c>
      <c r="P1547" s="234">
        <f>IF($O1547="","",INDEX('Kế hoạch'!$I$6:$I$305,$O1547))</f>
      </c>
      <c r="Q1547" s="225">
        <f>IF($O1547="","",INDEX('Kế hoạch'!$AJ$6:$AJ$305,$O1547))</f>
      </c>
      <c r="R1547" s="225">
        <f>IF($O1547="","",INDEX('Kế hoạch'!$AK$6:$AK$305,$O1547))</f>
      </c>
    </row>
    <row r="1548">
      <c r="A1548" s="223">
        <f>IF($C1548="","",COUNTIF($C$6:$C1548,"?*"))</f>
      </c>
      <c r="B1548" s="217"/>
      <c r="C1548" s="216"/>
      <c r="D1548" s="240"/>
      <c r="E1548" s="218"/>
      <c r="F1548" s="218"/>
      <c r="G1548" s="218"/>
      <c r="H1548" s="219"/>
      <c r="I1548" s="223">
        <f>IF($C1548="","",IF(ISNUMBER(MATCH($C1548,'Phản ánh'!$A$6:$A$505,0)),"Phản ánh",IF(ISNUMBER(MATCH($C1548,'Kế hoạch'!$A$6:$A$305,0)),"Công việc","Mã chưa có")))</f>
      </c>
      <c r="J1548" s="221">
        <f>IF($I1548="Phản ánh",INDEX('Phản ánh'!$C$6:$C$505,MATCH($C1548,'Phản ánh'!$A$6:$A$505,0)),IF($I1548="Công việc",INDEX('Kế hoạch'!$C$6:$C$305,$O1548),""))</f>
      </c>
      <c r="K1548" s="221">
        <f>IF($I1548="Phản ánh",INDEX('Phản ánh'!$K$6:$K$505,MATCH($C1548,'Phản ánh'!$A$6:$A$505,0))&amp;"",IF($I1548="Công việc",INDEX('Kế hoạch'!$N$6:$N$305,$O1548)&amp;"",""))</f>
      </c>
      <c r="L1548" s="220">
        <f>IF(OR($C1548="",N($B1548)=0),"",IF(AND($I1548="Phản ánh",$E1548="Đã xử lý"),INDEX('Phản ánh'!$U$6:$U$505,MATCH($C1548,'Phản ánh'!$A$6:$A$505,0)),IF(AND($I1548="Công việc",OR($E1548="Hoàn thành",$E1548="Hoàn thành kỳ")),IF(INDEX('Kế hoạch'!$B$6:$B$305,$O1548)="Đột xuất",INDEX('Kế hoạch'!$AY$6:$AY$305,$O1548),IF(N($P1548)=0,"",IF(INT($B1548)&lt;$P1548,$P1548,IF($Q1548&gt;0,$P1548+ROUND((INT($B1548)-$P1548)/$Q1548,0)*$Q1548,IF($R1548&gt;0,EDATE($P1548,ROUND((DATEDIF($P1548,INT($B1548),"m")+(INT($B1548)-EDATE($P1548,DATEDIF($P1548,INT($B1548),"m")))/(EDATE($P1548,DATEDIF($P1548,INT($B1548),"m")+1)-EDATE($P1548,DATEDIF($P1548,INT($B1548),"m"))))/$R1548,0)*$R1548),$P1548))))),"")))</f>
      </c>
      <c r="M1548" s="223">
        <f>IF(OR($C1548="",N($L1548)=0,N($B1548)=0),"",IF(IF(MOD($L1548,1)=0,INT($B1548),$B1548)&lt;=$L1548,"Đúng hạn","Trễ hạn"))</f>
      </c>
      <c r="N1548" s="225">
        <f>IF($C1548="","",ROW())</f>
      </c>
      <c r="O1548" s="225">
        <f>IF($I1548="Công việc",MATCH($C1548,'Kế hoạch'!$A$6:$A$305,0),"")</f>
      </c>
      <c r="P1548" s="234">
        <f>IF($O1548="","",INDEX('Kế hoạch'!$I$6:$I$305,$O1548))</f>
      </c>
      <c r="Q1548" s="225">
        <f>IF($O1548="","",INDEX('Kế hoạch'!$AJ$6:$AJ$305,$O1548))</f>
      </c>
      <c r="R1548" s="225">
        <f>IF($O1548="","",INDEX('Kế hoạch'!$AK$6:$AK$305,$O1548))</f>
      </c>
    </row>
    <row r="1549">
      <c r="A1549" s="223">
        <f>IF($C1549="","",COUNTIF($C$6:$C1549,"?*"))</f>
      </c>
      <c r="B1549" s="217"/>
      <c r="C1549" s="216"/>
      <c r="D1549" s="240"/>
      <c r="E1549" s="218"/>
      <c r="F1549" s="218"/>
      <c r="G1549" s="218"/>
      <c r="H1549" s="219"/>
      <c r="I1549" s="223">
        <f>IF($C1549="","",IF(ISNUMBER(MATCH($C1549,'Phản ánh'!$A$6:$A$505,0)),"Phản ánh",IF(ISNUMBER(MATCH($C1549,'Kế hoạch'!$A$6:$A$305,0)),"Công việc","Mã chưa có")))</f>
      </c>
      <c r="J1549" s="221">
        <f>IF($I1549="Phản ánh",INDEX('Phản ánh'!$C$6:$C$505,MATCH($C1549,'Phản ánh'!$A$6:$A$505,0)),IF($I1549="Công việc",INDEX('Kế hoạch'!$C$6:$C$305,$O1549),""))</f>
      </c>
      <c r="K1549" s="221">
        <f>IF($I1549="Phản ánh",INDEX('Phản ánh'!$K$6:$K$505,MATCH($C1549,'Phản ánh'!$A$6:$A$505,0))&amp;"",IF($I1549="Công việc",INDEX('Kế hoạch'!$N$6:$N$305,$O1549)&amp;"",""))</f>
      </c>
      <c r="L1549" s="220">
        <f>IF(OR($C1549="",N($B1549)=0),"",IF(AND($I1549="Phản ánh",$E1549="Đã xử lý"),INDEX('Phản ánh'!$U$6:$U$505,MATCH($C1549,'Phản ánh'!$A$6:$A$505,0)),IF(AND($I1549="Công việc",OR($E1549="Hoàn thành",$E1549="Hoàn thành kỳ")),IF(INDEX('Kế hoạch'!$B$6:$B$305,$O1549)="Đột xuất",INDEX('Kế hoạch'!$AY$6:$AY$305,$O1549),IF(N($P1549)=0,"",IF(INT($B1549)&lt;$P1549,$P1549,IF($Q1549&gt;0,$P1549+ROUND((INT($B1549)-$P1549)/$Q1549,0)*$Q1549,IF($R1549&gt;0,EDATE($P1549,ROUND((DATEDIF($P1549,INT($B1549),"m")+(INT($B1549)-EDATE($P1549,DATEDIF($P1549,INT($B1549),"m")))/(EDATE($P1549,DATEDIF($P1549,INT($B1549),"m")+1)-EDATE($P1549,DATEDIF($P1549,INT($B1549),"m"))))/$R1549,0)*$R1549),$P1549))))),"")))</f>
      </c>
      <c r="M1549" s="223">
        <f>IF(OR($C1549="",N($L1549)=0,N($B1549)=0),"",IF(IF(MOD($L1549,1)=0,INT($B1549),$B1549)&lt;=$L1549,"Đúng hạn","Trễ hạn"))</f>
      </c>
      <c r="N1549" s="225">
        <f>IF($C1549="","",ROW())</f>
      </c>
      <c r="O1549" s="225">
        <f>IF($I1549="Công việc",MATCH($C1549,'Kế hoạch'!$A$6:$A$305,0),"")</f>
      </c>
      <c r="P1549" s="234">
        <f>IF($O1549="","",INDEX('Kế hoạch'!$I$6:$I$305,$O1549))</f>
      </c>
      <c r="Q1549" s="225">
        <f>IF($O1549="","",INDEX('Kế hoạch'!$AJ$6:$AJ$305,$O1549))</f>
      </c>
      <c r="R1549" s="225">
        <f>IF($O1549="","",INDEX('Kế hoạch'!$AK$6:$AK$305,$O1549))</f>
      </c>
    </row>
    <row r="1550">
      <c r="A1550" s="223">
        <f>IF($C1550="","",COUNTIF($C$6:$C1550,"?*"))</f>
      </c>
      <c r="B1550" s="217"/>
      <c r="C1550" s="216"/>
      <c r="D1550" s="240"/>
      <c r="E1550" s="218"/>
      <c r="F1550" s="218"/>
      <c r="G1550" s="218"/>
      <c r="H1550" s="219"/>
      <c r="I1550" s="223">
        <f>IF($C1550="","",IF(ISNUMBER(MATCH($C1550,'Phản ánh'!$A$6:$A$505,0)),"Phản ánh",IF(ISNUMBER(MATCH($C1550,'Kế hoạch'!$A$6:$A$305,0)),"Công việc","Mã chưa có")))</f>
      </c>
      <c r="J1550" s="221">
        <f>IF($I1550="Phản ánh",INDEX('Phản ánh'!$C$6:$C$505,MATCH($C1550,'Phản ánh'!$A$6:$A$505,0)),IF($I1550="Công việc",INDEX('Kế hoạch'!$C$6:$C$305,$O1550),""))</f>
      </c>
      <c r="K1550" s="221">
        <f>IF($I1550="Phản ánh",INDEX('Phản ánh'!$K$6:$K$505,MATCH($C1550,'Phản ánh'!$A$6:$A$505,0))&amp;"",IF($I1550="Công việc",INDEX('Kế hoạch'!$N$6:$N$305,$O1550)&amp;"",""))</f>
      </c>
      <c r="L1550" s="220">
        <f>IF(OR($C1550="",N($B1550)=0),"",IF(AND($I1550="Phản ánh",$E1550="Đã xử lý"),INDEX('Phản ánh'!$U$6:$U$505,MATCH($C1550,'Phản ánh'!$A$6:$A$505,0)),IF(AND($I1550="Công việc",OR($E1550="Hoàn thành",$E1550="Hoàn thành kỳ")),IF(INDEX('Kế hoạch'!$B$6:$B$305,$O1550)="Đột xuất",INDEX('Kế hoạch'!$AY$6:$AY$305,$O1550),IF(N($P1550)=0,"",IF(INT($B1550)&lt;$P1550,$P1550,IF($Q1550&gt;0,$P1550+ROUND((INT($B1550)-$P1550)/$Q1550,0)*$Q1550,IF($R1550&gt;0,EDATE($P1550,ROUND((DATEDIF($P1550,INT($B1550),"m")+(INT($B1550)-EDATE($P1550,DATEDIF($P1550,INT($B1550),"m")))/(EDATE($P1550,DATEDIF($P1550,INT($B1550),"m")+1)-EDATE($P1550,DATEDIF($P1550,INT($B1550),"m"))))/$R1550,0)*$R1550),$P1550))))),"")))</f>
      </c>
      <c r="M1550" s="223">
        <f>IF(OR($C1550="",N($L1550)=0,N($B1550)=0),"",IF(IF(MOD($L1550,1)=0,INT($B1550),$B1550)&lt;=$L1550,"Đúng hạn","Trễ hạn"))</f>
      </c>
      <c r="N1550" s="225">
        <f>IF($C1550="","",ROW())</f>
      </c>
      <c r="O1550" s="225">
        <f>IF($I1550="Công việc",MATCH($C1550,'Kế hoạch'!$A$6:$A$305,0),"")</f>
      </c>
      <c r="P1550" s="234">
        <f>IF($O1550="","",INDEX('Kế hoạch'!$I$6:$I$305,$O1550))</f>
      </c>
      <c r="Q1550" s="225">
        <f>IF($O1550="","",INDEX('Kế hoạch'!$AJ$6:$AJ$305,$O1550))</f>
      </c>
      <c r="R1550" s="225">
        <f>IF($O1550="","",INDEX('Kế hoạch'!$AK$6:$AK$305,$O1550))</f>
      </c>
    </row>
    <row r="1551">
      <c r="A1551" s="223">
        <f>IF($C1551="","",COUNTIF($C$6:$C1551,"?*"))</f>
      </c>
      <c r="B1551" s="217"/>
      <c r="C1551" s="216"/>
      <c r="D1551" s="240"/>
      <c r="E1551" s="218"/>
      <c r="F1551" s="218"/>
      <c r="G1551" s="218"/>
      <c r="H1551" s="219"/>
      <c r="I1551" s="223">
        <f>IF($C1551="","",IF(ISNUMBER(MATCH($C1551,'Phản ánh'!$A$6:$A$505,0)),"Phản ánh",IF(ISNUMBER(MATCH($C1551,'Kế hoạch'!$A$6:$A$305,0)),"Công việc","Mã chưa có")))</f>
      </c>
      <c r="J1551" s="221">
        <f>IF($I1551="Phản ánh",INDEX('Phản ánh'!$C$6:$C$505,MATCH($C1551,'Phản ánh'!$A$6:$A$505,0)),IF($I1551="Công việc",INDEX('Kế hoạch'!$C$6:$C$305,$O1551),""))</f>
      </c>
      <c r="K1551" s="221">
        <f>IF($I1551="Phản ánh",INDEX('Phản ánh'!$K$6:$K$505,MATCH($C1551,'Phản ánh'!$A$6:$A$505,0))&amp;"",IF($I1551="Công việc",INDEX('Kế hoạch'!$N$6:$N$305,$O1551)&amp;"",""))</f>
      </c>
      <c r="L1551" s="220">
        <f>IF(OR($C1551="",N($B1551)=0),"",IF(AND($I1551="Phản ánh",$E1551="Đã xử lý"),INDEX('Phản ánh'!$U$6:$U$505,MATCH($C1551,'Phản ánh'!$A$6:$A$505,0)),IF(AND($I1551="Công việc",OR($E1551="Hoàn thành",$E1551="Hoàn thành kỳ")),IF(INDEX('Kế hoạch'!$B$6:$B$305,$O1551)="Đột xuất",INDEX('Kế hoạch'!$AY$6:$AY$305,$O1551),IF(N($P1551)=0,"",IF(INT($B1551)&lt;$P1551,$P1551,IF($Q1551&gt;0,$P1551+ROUND((INT($B1551)-$P1551)/$Q1551,0)*$Q1551,IF($R1551&gt;0,EDATE($P1551,ROUND((DATEDIF($P1551,INT($B1551),"m")+(INT($B1551)-EDATE($P1551,DATEDIF($P1551,INT($B1551),"m")))/(EDATE($P1551,DATEDIF($P1551,INT($B1551),"m")+1)-EDATE($P1551,DATEDIF($P1551,INT($B1551),"m"))))/$R1551,0)*$R1551),$P1551))))),"")))</f>
      </c>
      <c r="M1551" s="223">
        <f>IF(OR($C1551="",N($L1551)=0,N($B1551)=0),"",IF(IF(MOD($L1551,1)=0,INT($B1551),$B1551)&lt;=$L1551,"Đúng hạn","Trễ hạn"))</f>
      </c>
      <c r="N1551" s="225">
        <f>IF($C1551="","",ROW())</f>
      </c>
      <c r="O1551" s="225">
        <f>IF($I1551="Công việc",MATCH($C1551,'Kế hoạch'!$A$6:$A$305,0),"")</f>
      </c>
      <c r="P1551" s="234">
        <f>IF($O1551="","",INDEX('Kế hoạch'!$I$6:$I$305,$O1551))</f>
      </c>
      <c r="Q1551" s="225">
        <f>IF($O1551="","",INDEX('Kế hoạch'!$AJ$6:$AJ$305,$O1551))</f>
      </c>
      <c r="R1551" s="225">
        <f>IF($O1551="","",INDEX('Kế hoạch'!$AK$6:$AK$305,$O1551))</f>
      </c>
    </row>
    <row r="1552">
      <c r="A1552" s="223">
        <f>IF($C1552="","",COUNTIF($C$6:$C1552,"?*"))</f>
      </c>
      <c r="B1552" s="217"/>
      <c r="C1552" s="216"/>
      <c r="D1552" s="240"/>
      <c r="E1552" s="218"/>
      <c r="F1552" s="218"/>
      <c r="G1552" s="218"/>
      <c r="H1552" s="219"/>
      <c r="I1552" s="223">
        <f>IF($C1552="","",IF(ISNUMBER(MATCH($C1552,'Phản ánh'!$A$6:$A$505,0)),"Phản ánh",IF(ISNUMBER(MATCH($C1552,'Kế hoạch'!$A$6:$A$305,0)),"Công việc","Mã chưa có")))</f>
      </c>
      <c r="J1552" s="221">
        <f>IF($I1552="Phản ánh",INDEX('Phản ánh'!$C$6:$C$505,MATCH($C1552,'Phản ánh'!$A$6:$A$505,0)),IF($I1552="Công việc",INDEX('Kế hoạch'!$C$6:$C$305,$O1552),""))</f>
      </c>
      <c r="K1552" s="221">
        <f>IF($I1552="Phản ánh",INDEX('Phản ánh'!$K$6:$K$505,MATCH($C1552,'Phản ánh'!$A$6:$A$505,0))&amp;"",IF($I1552="Công việc",INDEX('Kế hoạch'!$N$6:$N$305,$O1552)&amp;"",""))</f>
      </c>
      <c r="L1552" s="220">
        <f>IF(OR($C1552="",N($B1552)=0),"",IF(AND($I1552="Phản ánh",$E1552="Đã xử lý"),INDEX('Phản ánh'!$U$6:$U$505,MATCH($C1552,'Phản ánh'!$A$6:$A$505,0)),IF(AND($I1552="Công việc",OR($E1552="Hoàn thành",$E1552="Hoàn thành kỳ")),IF(INDEX('Kế hoạch'!$B$6:$B$305,$O1552)="Đột xuất",INDEX('Kế hoạch'!$AY$6:$AY$305,$O1552),IF(N($P1552)=0,"",IF(INT($B1552)&lt;$P1552,$P1552,IF($Q1552&gt;0,$P1552+ROUND((INT($B1552)-$P1552)/$Q1552,0)*$Q1552,IF($R1552&gt;0,EDATE($P1552,ROUND((DATEDIF($P1552,INT($B1552),"m")+(INT($B1552)-EDATE($P1552,DATEDIF($P1552,INT($B1552),"m")))/(EDATE($P1552,DATEDIF($P1552,INT($B1552),"m")+1)-EDATE($P1552,DATEDIF($P1552,INT($B1552),"m"))))/$R1552,0)*$R1552),$P1552))))),"")))</f>
      </c>
      <c r="M1552" s="223">
        <f>IF(OR($C1552="",N($L1552)=0,N($B1552)=0),"",IF(IF(MOD($L1552,1)=0,INT($B1552),$B1552)&lt;=$L1552,"Đúng hạn","Trễ hạn"))</f>
      </c>
      <c r="N1552" s="225">
        <f>IF($C1552="","",ROW())</f>
      </c>
      <c r="O1552" s="225">
        <f>IF($I1552="Công việc",MATCH($C1552,'Kế hoạch'!$A$6:$A$305,0),"")</f>
      </c>
      <c r="P1552" s="234">
        <f>IF($O1552="","",INDEX('Kế hoạch'!$I$6:$I$305,$O1552))</f>
      </c>
      <c r="Q1552" s="225">
        <f>IF($O1552="","",INDEX('Kế hoạch'!$AJ$6:$AJ$305,$O1552))</f>
      </c>
      <c r="R1552" s="225">
        <f>IF($O1552="","",INDEX('Kế hoạch'!$AK$6:$AK$305,$O1552))</f>
      </c>
    </row>
    <row r="1553">
      <c r="A1553" s="223">
        <f>IF($C1553="","",COUNTIF($C$6:$C1553,"?*"))</f>
      </c>
      <c r="B1553" s="217"/>
      <c r="C1553" s="216"/>
      <c r="D1553" s="240"/>
      <c r="E1553" s="218"/>
      <c r="F1553" s="218"/>
      <c r="G1553" s="218"/>
      <c r="H1553" s="219"/>
      <c r="I1553" s="223">
        <f>IF($C1553="","",IF(ISNUMBER(MATCH($C1553,'Phản ánh'!$A$6:$A$505,0)),"Phản ánh",IF(ISNUMBER(MATCH($C1553,'Kế hoạch'!$A$6:$A$305,0)),"Công việc","Mã chưa có")))</f>
      </c>
      <c r="J1553" s="221">
        <f>IF($I1553="Phản ánh",INDEX('Phản ánh'!$C$6:$C$505,MATCH($C1553,'Phản ánh'!$A$6:$A$505,0)),IF($I1553="Công việc",INDEX('Kế hoạch'!$C$6:$C$305,$O1553),""))</f>
      </c>
      <c r="K1553" s="221">
        <f>IF($I1553="Phản ánh",INDEX('Phản ánh'!$K$6:$K$505,MATCH($C1553,'Phản ánh'!$A$6:$A$505,0))&amp;"",IF($I1553="Công việc",INDEX('Kế hoạch'!$N$6:$N$305,$O1553)&amp;"",""))</f>
      </c>
      <c r="L1553" s="220">
        <f>IF(OR($C1553="",N($B1553)=0),"",IF(AND($I1553="Phản ánh",$E1553="Đã xử lý"),INDEX('Phản ánh'!$U$6:$U$505,MATCH($C1553,'Phản ánh'!$A$6:$A$505,0)),IF(AND($I1553="Công việc",OR($E1553="Hoàn thành",$E1553="Hoàn thành kỳ")),IF(INDEX('Kế hoạch'!$B$6:$B$305,$O1553)="Đột xuất",INDEX('Kế hoạch'!$AY$6:$AY$305,$O1553),IF(N($P1553)=0,"",IF(INT($B1553)&lt;$P1553,$P1553,IF($Q1553&gt;0,$P1553+ROUND((INT($B1553)-$P1553)/$Q1553,0)*$Q1553,IF($R1553&gt;0,EDATE($P1553,ROUND((DATEDIF($P1553,INT($B1553),"m")+(INT($B1553)-EDATE($P1553,DATEDIF($P1553,INT($B1553),"m")))/(EDATE($P1553,DATEDIF($P1553,INT($B1553),"m")+1)-EDATE($P1553,DATEDIF($P1553,INT($B1553),"m"))))/$R1553,0)*$R1553),$P1553))))),"")))</f>
      </c>
      <c r="M1553" s="223">
        <f>IF(OR($C1553="",N($L1553)=0,N($B1553)=0),"",IF(IF(MOD($L1553,1)=0,INT($B1553),$B1553)&lt;=$L1553,"Đúng hạn","Trễ hạn"))</f>
      </c>
      <c r="N1553" s="225">
        <f>IF($C1553="","",ROW())</f>
      </c>
      <c r="O1553" s="225">
        <f>IF($I1553="Công việc",MATCH($C1553,'Kế hoạch'!$A$6:$A$305,0),"")</f>
      </c>
      <c r="P1553" s="234">
        <f>IF($O1553="","",INDEX('Kế hoạch'!$I$6:$I$305,$O1553))</f>
      </c>
      <c r="Q1553" s="225">
        <f>IF($O1553="","",INDEX('Kế hoạch'!$AJ$6:$AJ$305,$O1553))</f>
      </c>
      <c r="R1553" s="225">
        <f>IF($O1553="","",INDEX('Kế hoạch'!$AK$6:$AK$305,$O1553))</f>
      </c>
    </row>
    <row r="1554">
      <c r="A1554" s="223">
        <f>IF($C1554="","",COUNTIF($C$6:$C1554,"?*"))</f>
      </c>
      <c r="B1554" s="217"/>
      <c r="C1554" s="216"/>
      <c r="D1554" s="240"/>
      <c r="E1554" s="218"/>
      <c r="F1554" s="218"/>
      <c r="G1554" s="218"/>
      <c r="H1554" s="219"/>
      <c r="I1554" s="223">
        <f>IF($C1554="","",IF(ISNUMBER(MATCH($C1554,'Phản ánh'!$A$6:$A$505,0)),"Phản ánh",IF(ISNUMBER(MATCH($C1554,'Kế hoạch'!$A$6:$A$305,0)),"Công việc","Mã chưa có")))</f>
      </c>
      <c r="J1554" s="221">
        <f>IF($I1554="Phản ánh",INDEX('Phản ánh'!$C$6:$C$505,MATCH($C1554,'Phản ánh'!$A$6:$A$505,0)),IF($I1554="Công việc",INDEX('Kế hoạch'!$C$6:$C$305,$O1554),""))</f>
      </c>
      <c r="K1554" s="221">
        <f>IF($I1554="Phản ánh",INDEX('Phản ánh'!$K$6:$K$505,MATCH($C1554,'Phản ánh'!$A$6:$A$505,0))&amp;"",IF($I1554="Công việc",INDEX('Kế hoạch'!$N$6:$N$305,$O1554)&amp;"",""))</f>
      </c>
      <c r="L1554" s="220">
        <f>IF(OR($C1554="",N($B1554)=0),"",IF(AND($I1554="Phản ánh",$E1554="Đã xử lý"),INDEX('Phản ánh'!$U$6:$U$505,MATCH($C1554,'Phản ánh'!$A$6:$A$505,0)),IF(AND($I1554="Công việc",OR($E1554="Hoàn thành",$E1554="Hoàn thành kỳ")),IF(INDEX('Kế hoạch'!$B$6:$B$305,$O1554)="Đột xuất",INDEX('Kế hoạch'!$AY$6:$AY$305,$O1554),IF(N($P1554)=0,"",IF(INT($B1554)&lt;$P1554,$P1554,IF($Q1554&gt;0,$P1554+ROUND((INT($B1554)-$P1554)/$Q1554,0)*$Q1554,IF($R1554&gt;0,EDATE($P1554,ROUND((DATEDIF($P1554,INT($B1554),"m")+(INT($B1554)-EDATE($P1554,DATEDIF($P1554,INT($B1554),"m")))/(EDATE($P1554,DATEDIF($P1554,INT($B1554),"m")+1)-EDATE($P1554,DATEDIF($P1554,INT($B1554),"m"))))/$R1554,0)*$R1554),$P1554))))),"")))</f>
      </c>
      <c r="M1554" s="223">
        <f>IF(OR($C1554="",N($L1554)=0,N($B1554)=0),"",IF(IF(MOD($L1554,1)=0,INT($B1554),$B1554)&lt;=$L1554,"Đúng hạn","Trễ hạn"))</f>
      </c>
      <c r="N1554" s="225">
        <f>IF($C1554="","",ROW())</f>
      </c>
      <c r="O1554" s="225">
        <f>IF($I1554="Công việc",MATCH($C1554,'Kế hoạch'!$A$6:$A$305,0),"")</f>
      </c>
      <c r="P1554" s="234">
        <f>IF($O1554="","",INDEX('Kế hoạch'!$I$6:$I$305,$O1554))</f>
      </c>
      <c r="Q1554" s="225">
        <f>IF($O1554="","",INDEX('Kế hoạch'!$AJ$6:$AJ$305,$O1554))</f>
      </c>
      <c r="R1554" s="225">
        <f>IF($O1554="","",INDEX('Kế hoạch'!$AK$6:$AK$305,$O1554))</f>
      </c>
    </row>
    <row r="1555">
      <c r="A1555" s="223">
        <f>IF($C1555="","",COUNTIF($C$6:$C1555,"?*"))</f>
      </c>
      <c r="B1555" s="217"/>
      <c r="C1555" s="216"/>
      <c r="D1555" s="240"/>
      <c r="E1555" s="218"/>
      <c r="F1555" s="218"/>
      <c r="G1555" s="218"/>
      <c r="H1555" s="219"/>
      <c r="I1555" s="223">
        <f>IF($C1555="","",IF(ISNUMBER(MATCH($C1555,'Phản ánh'!$A$6:$A$505,0)),"Phản ánh",IF(ISNUMBER(MATCH($C1555,'Kế hoạch'!$A$6:$A$305,0)),"Công việc","Mã chưa có")))</f>
      </c>
      <c r="J1555" s="221">
        <f>IF($I1555="Phản ánh",INDEX('Phản ánh'!$C$6:$C$505,MATCH($C1555,'Phản ánh'!$A$6:$A$505,0)),IF($I1555="Công việc",INDEX('Kế hoạch'!$C$6:$C$305,$O1555),""))</f>
      </c>
      <c r="K1555" s="221">
        <f>IF($I1555="Phản ánh",INDEX('Phản ánh'!$K$6:$K$505,MATCH($C1555,'Phản ánh'!$A$6:$A$505,0))&amp;"",IF($I1555="Công việc",INDEX('Kế hoạch'!$N$6:$N$305,$O1555)&amp;"",""))</f>
      </c>
      <c r="L1555" s="220">
        <f>IF(OR($C1555="",N($B1555)=0),"",IF(AND($I1555="Phản ánh",$E1555="Đã xử lý"),INDEX('Phản ánh'!$U$6:$U$505,MATCH($C1555,'Phản ánh'!$A$6:$A$505,0)),IF(AND($I1555="Công việc",OR($E1555="Hoàn thành",$E1555="Hoàn thành kỳ")),IF(INDEX('Kế hoạch'!$B$6:$B$305,$O1555)="Đột xuất",INDEX('Kế hoạch'!$AY$6:$AY$305,$O1555),IF(N($P1555)=0,"",IF(INT($B1555)&lt;$P1555,$P1555,IF($Q1555&gt;0,$P1555+ROUND((INT($B1555)-$P1555)/$Q1555,0)*$Q1555,IF($R1555&gt;0,EDATE($P1555,ROUND((DATEDIF($P1555,INT($B1555),"m")+(INT($B1555)-EDATE($P1555,DATEDIF($P1555,INT($B1555),"m")))/(EDATE($P1555,DATEDIF($P1555,INT($B1555),"m")+1)-EDATE($P1555,DATEDIF($P1555,INT($B1555),"m"))))/$R1555,0)*$R1555),$P1555))))),"")))</f>
      </c>
      <c r="M1555" s="223">
        <f>IF(OR($C1555="",N($L1555)=0,N($B1555)=0),"",IF(IF(MOD($L1555,1)=0,INT($B1555),$B1555)&lt;=$L1555,"Đúng hạn","Trễ hạn"))</f>
      </c>
      <c r="N1555" s="225">
        <f>IF($C1555="","",ROW())</f>
      </c>
      <c r="O1555" s="225">
        <f>IF($I1555="Công việc",MATCH($C1555,'Kế hoạch'!$A$6:$A$305,0),"")</f>
      </c>
      <c r="P1555" s="234">
        <f>IF($O1555="","",INDEX('Kế hoạch'!$I$6:$I$305,$O1555))</f>
      </c>
      <c r="Q1555" s="225">
        <f>IF($O1555="","",INDEX('Kế hoạch'!$AJ$6:$AJ$305,$O1555))</f>
      </c>
      <c r="R1555" s="225">
        <f>IF($O1555="","",INDEX('Kế hoạch'!$AK$6:$AK$305,$O1555))</f>
      </c>
    </row>
    <row r="1556">
      <c r="A1556" s="223">
        <f>IF($C1556="","",COUNTIF($C$6:$C1556,"?*"))</f>
      </c>
      <c r="B1556" s="217"/>
      <c r="C1556" s="216"/>
      <c r="D1556" s="240"/>
      <c r="E1556" s="218"/>
      <c r="F1556" s="218"/>
      <c r="G1556" s="218"/>
      <c r="H1556" s="219"/>
      <c r="I1556" s="223">
        <f>IF($C1556="","",IF(ISNUMBER(MATCH($C1556,'Phản ánh'!$A$6:$A$505,0)),"Phản ánh",IF(ISNUMBER(MATCH($C1556,'Kế hoạch'!$A$6:$A$305,0)),"Công việc","Mã chưa có")))</f>
      </c>
      <c r="J1556" s="221">
        <f>IF($I1556="Phản ánh",INDEX('Phản ánh'!$C$6:$C$505,MATCH($C1556,'Phản ánh'!$A$6:$A$505,0)),IF($I1556="Công việc",INDEX('Kế hoạch'!$C$6:$C$305,$O1556),""))</f>
      </c>
      <c r="K1556" s="221">
        <f>IF($I1556="Phản ánh",INDEX('Phản ánh'!$K$6:$K$505,MATCH($C1556,'Phản ánh'!$A$6:$A$505,0))&amp;"",IF($I1556="Công việc",INDEX('Kế hoạch'!$N$6:$N$305,$O1556)&amp;"",""))</f>
      </c>
      <c r="L1556" s="220">
        <f>IF(OR($C1556="",N($B1556)=0),"",IF(AND($I1556="Phản ánh",$E1556="Đã xử lý"),INDEX('Phản ánh'!$U$6:$U$505,MATCH($C1556,'Phản ánh'!$A$6:$A$505,0)),IF(AND($I1556="Công việc",OR($E1556="Hoàn thành",$E1556="Hoàn thành kỳ")),IF(INDEX('Kế hoạch'!$B$6:$B$305,$O1556)="Đột xuất",INDEX('Kế hoạch'!$AY$6:$AY$305,$O1556),IF(N($P1556)=0,"",IF(INT($B1556)&lt;$P1556,$P1556,IF($Q1556&gt;0,$P1556+ROUND((INT($B1556)-$P1556)/$Q1556,0)*$Q1556,IF($R1556&gt;0,EDATE($P1556,ROUND((DATEDIF($P1556,INT($B1556),"m")+(INT($B1556)-EDATE($P1556,DATEDIF($P1556,INT($B1556),"m")))/(EDATE($P1556,DATEDIF($P1556,INT($B1556),"m")+1)-EDATE($P1556,DATEDIF($P1556,INT($B1556),"m"))))/$R1556,0)*$R1556),$P1556))))),"")))</f>
      </c>
      <c r="M1556" s="223">
        <f>IF(OR($C1556="",N($L1556)=0,N($B1556)=0),"",IF(IF(MOD($L1556,1)=0,INT($B1556),$B1556)&lt;=$L1556,"Đúng hạn","Trễ hạn"))</f>
      </c>
      <c r="N1556" s="225">
        <f>IF($C1556="","",ROW())</f>
      </c>
      <c r="O1556" s="225">
        <f>IF($I1556="Công việc",MATCH($C1556,'Kế hoạch'!$A$6:$A$305,0),"")</f>
      </c>
      <c r="P1556" s="234">
        <f>IF($O1556="","",INDEX('Kế hoạch'!$I$6:$I$305,$O1556))</f>
      </c>
      <c r="Q1556" s="225">
        <f>IF($O1556="","",INDEX('Kế hoạch'!$AJ$6:$AJ$305,$O1556))</f>
      </c>
      <c r="R1556" s="225">
        <f>IF($O1556="","",INDEX('Kế hoạch'!$AK$6:$AK$305,$O1556))</f>
      </c>
    </row>
    <row r="1557">
      <c r="A1557" s="223">
        <f>IF($C1557="","",COUNTIF($C$6:$C1557,"?*"))</f>
      </c>
      <c r="B1557" s="217"/>
      <c r="C1557" s="216"/>
      <c r="D1557" s="240"/>
      <c r="E1557" s="218"/>
      <c r="F1557" s="218"/>
      <c r="G1557" s="218"/>
      <c r="H1557" s="219"/>
      <c r="I1557" s="223">
        <f>IF($C1557="","",IF(ISNUMBER(MATCH($C1557,'Phản ánh'!$A$6:$A$505,0)),"Phản ánh",IF(ISNUMBER(MATCH($C1557,'Kế hoạch'!$A$6:$A$305,0)),"Công việc","Mã chưa có")))</f>
      </c>
      <c r="J1557" s="221">
        <f>IF($I1557="Phản ánh",INDEX('Phản ánh'!$C$6:$C$505,MATCH($C1557,'Phản ánh'!$A$6:$A$505,0)),IF($I1557="Công việc",INDEX('Kế hoạch'!$C$6:$C$305,$O1557),""))</f>
      </c>
      <c r="K1557" s="221">
        <f>IF($I1557="Phản ánh",INDEX('Phản ánh'!$K$6:$K$505,MATCH($C1557,'Phản ánh'!$A$6:$A$505,0))&amp;"",IF($I1557="Công việc",INDEX('Kế hoạch'!$N$6:$N$305,$O1557)&amp;"",""))</f>
      </c>
      <c r="L1557" s="220">
        <f>IF(OR($C1557="",N($B1557)=0),"",IF(AND($I1557="Phản ánh",$E1557="Đã xử lý"),INDEX('Phản ánh'!$U$6:$U$505,MATCH($C1557,'Phản ánh'!$A$6:$A$505,0)),IF(AND($I1557="Công việc",OR($E1557="Hoàn thành",$E1557="Hoàn thành kỳ")),IF(INDEX('Kế hoạch'!$B$6:$B$305,$O1557)="Đột xuất",INDEX('Kế hoạch'!$AY$6:$AY$305,$O1557),IF(N($P1557)=0,"",IF(INT($B1557)&lt;$P1557,$P1557,IF($Q1557&gt;0,$P1557+ROUND((INT($B1557)-$P1557)/$Q1557,0)*$Q1557,IF($R1557&gt;0,EDATE($P1557,ROUND((DATEDIF($P1557,INT($B1557),"m")+(INT($B1557)-EDATE($P1557,DATEDIF($P1557,INT($B1557),"m")))/(EDATE($P1557,DATEDIF($P1557,INT($B1557),"m")+1)-EDATE($P1557,DATEDIF($P1557,INT($B1557),"m"))))/$R1557,0)*$R1557),$P1557))))),"")))</f>
      </c>
      <c r="M1557" s="223">
        <f>IF(OR($C1557="",N($L1557)=0,N($B1557)=0),"",IF(IF(MOD($L1557,1)=0,INT($B1557),$B1557)&lt;=$L1557,"Đúng hạn","Trễ hạn"))</f>
      </c>
      <c r="N1557" s="225">
        <f>IF($C1557="","",ROW())</f>
      </c>
      <c r="O1557" s="225">
        <f>IF($I1557="Công việc",MATCH($C1557,'Kế hoạch'!$A$6:$A$305,0),"")</f>
      </c>
      <c r="P1557" s="234">
        <f>IF($O1557="","",INDEX('Kế hoạch'!$I$6:$I$305,$O1557))</f>
      </c>
      <c r="Q1557" s="225">
        <f>IF($O1557="","",INDEX('Kế hoạch'!$AJ$6:$AJ$305,$O1557))</f>
      </c>
      <c r="R1557" s="225">
        <f>IF($O1557="","",INDEX('Kế hoạch'!$AK$6:$AK$305,$O1557))</f>
      </c>
    </row>
    <row r="1558">
      <c r="A1558" s="223">
        <f>IF($C1558="","",COUNTIF($C$6:$C1558,"?*"))</f>
      </c>
      <c r="B1558" s="217"/>
      <c r="C1558" s="216"/>
      <c r="D1558" s="240"/>
      <c r="E1558" s="218"/>
      <c r="F1558" s="218"/>
      <c r="G1558" s="218"/>
      <c r="H1558" s="219"/>
      <c r="I1558" s="223">
        <f>IF($C1558="","",IF(ISNUMBER(MATCH($C1558,'Phản ánh'!$A$6:$A$505,0)),"Phản ánh",IF(ISNUMBER(MATCH($C1558,'Kế hoạch'!$A$6:$A$305,0)),"Công việc","Mã chưa có")))</f>
      </c>
      <c r="J1558" s="221">
        <f>IF($I1558="Phản ánh",INDEX('Phản ánh'!$C$6:$C$505,MATCH($C1558,'Phản ánh'!$A$6:$A$505,0)),IF($I1558="Công việc",INDEX('Kế hoạch'!$C$6:$C$305,$O1558),""))</f>
      </c>
      <c r="K1558" s="221">
        <f>IF($I1558="Phản ánh",INDEX('Phản ánh'!$K$6:$K$505,MATCH($C1558,'Phản ánh'!$A$6:$A$505,0))&amp;"",IF($I1558="Công việc",INDEX('Kế hoạch'!$N$6:$N$305,$O1558)&amp;"",""))</f>
      </c>
      <c r="L1558" s="220">
        <f>IF(OR($C1558="",N($B1558)=0),"",IF(AND($I1558="Phản ánh",$E1558="Đã xử lý"),INDEX('Phản ánh'!$U$6:$U$505,MATCH($C1558,'Phản ánh'!$A$6:$A$505,0)),IF(AND($I1558="Công việc",OR($E1558="Hoàn thành",$E1558="Hoàn thành kỳ")),IF(INDEX('Kế hoạch'!$B$6:$B$305,$O1558)="Đột xuất",INDEX('Kế hoạch'!$AY$6:$AY$305,$O1558),IF(N($P1558)=0,"",IF(INT($B1558)&lt;$P1558,$P1558,IF($Q1558&gt;0,$P1558+ROUND((INT($B1558)-$P1558)/$Q1558,0)*$Q1558,IF($R1558&gt;0,EDATE($P1558,ROUND((DATEDIF($P1558,INT($B1558),"m")+(INT($B1558)-EDATE($P1558,DATEDIF($P1558,INT($B1558),"m")))/(EDATE($P1558,DATEDIF($P1558,INT($B1558),"m")+1)-EDATE($P1558,DATEDIF($P1558,INT($B1558),"m"))))/$R1558,0)*$R1558),$P1558))))),"")))</f>
      </c>
      <c r="M1558" s="223">
        <f>IF(OR($C1558="",N($L1558)=0,N($B1558)=0),"",IF(IF(MOD($L1558,1)=0,INT($B1558),$B1558)&lt;=$L1558,"Đúng hạn","Trễ hạn"))</f>
      </c>
      <c r="N1558" s="225">
        <f>IF($C1558="","",ROW())</f>
      </c>
      <c r="O1558" s="225">
        <f>IF($I1558="Công việc",MATCH($C1558,'Kế hoạch'!$A$6:$A$305,0),"")</f>
      </c>
      <c r="P1558" s="234">
        <f>IF($O1558="","",INDEX('Kế hoạch'!$I$6:$I$305,$O1558))</f>
      </c>
      <c r="Q1558" s="225">
        <f>IF($O1558="","",INDEX('Kế hoạch'!$AJ$6:$AJ$305,$O1558))</f>
      </c>
      <c r="R1558" s="225">
        <f>IF($O1558="","",INDEX('Kế hoạch'!$AK$6:$AK$305,$O1558))</f>
      </c>
    </row>
    <row r="1559">
      <c r="A1559" s="223">
        <f>IF($C1559="","",COUNTIF($C$6:$C1559,"?*"))</f>
      </c>
      <c r="B1559" s="217"/>
      <c r="C1559" s="216"/>
      <c r="D1559" s="240"/>
      <c r="E1559" s="218"/>
      <c r="F1559" s="218"/>
      <c r="G1559" s="218"/>
      <c r="H1559" s="219"/>
      <c r="I1559" s="223">
        <f>IF($C1559="","",IF(ISNUMBER(MATCH($C1559,'Phản ánh'!$A$6:$A$505,0)),"Phản ánh",IF(ISNUMBER(MATCH($C1559,'Kế hoạch'!$A$6:$A$305,0)),"Công việc","Mã chưa có")))</f>
      </c>
      <c r="J1559" s="221">
        <f>IF($I1559="Phản ánh",INDEX('Phản ánh'!$C$6:$C$505,MATCH($C1559,'Phản ánh'!$A$6:$A$505,0)),IF($I1559="Công việc",INDEX('Kế hoạch'!$C$6:$C$305,$O1559),""))</f>
      </c>
      <c r="K1559" s="221">
        <f>IF($I1559="Phản ánh",INDEX('Phản ánh'!$K$6:$K$505,MATCH($C1559,'Phản ánh'!$A$6:$A$505,0))&amp;"",IF($I1559="Công việc",INDEX('Kế hoạch'!$N$6:$N$305,$O1559)&amp;"",""))</f>
      </c>
      <c r="L1559" s="220">
        <f>IF(OR($C1559="",N($B1559)=0),"",IF(AND($I1559="Phản ánh",$E1559="Đã xử lý"),INDEX('Phản ánh'!$U$6:$U$505,MATCH($C1559,'Phản ánh'!$A$6:$A$505,0)),IF(AND($I1559="Công việc",OR($E1559="Hoàn thành",$E1559="Hoàn thành kỳ")),IF(INDEX('Kế hoạch'!$B$6:$B$305,$O1559)="Đột xuất",INDEX('Kế hoạch'!$AY$6:$AY$305,$O1559),IF(N($P1559)=0,"",IF(INT($B1559)&lt;$P1559,$P1559,IF($Q1559&gt;0,$P1559+ROUND((INT($B1559)-$P1559)/$Q1559,0)*$Q1559,IF($R1559&gt;0,EDATE($P1559,ROUND((DATEDIF($P1559,INT($B1559),"m")+(INT($B1559)-EDATE($P1559,DATEDIF($P1559,INT($B1559),"m")))/(EDATE($P1559,DATEDIF($P1559,INT($B1559),"m")+1)-EDATE($P1559,DATEDIF($P1559,INT($B1559),"m"))))/$R1559,0)*$R1559),$P1559))))),"")))</f>
      </c>
      <c r="M1559" s="223">
        <f>IF(OR($C1559="",N($L1559)=0,N($B1559)=0),"",IF(IF(MOD($L1559,1)=0,INT($B1559),$B1559)&lt;=$L1559,"Đúng hạn","Trễ hạn"))</f>
      </c>
      <c r="N1559" s="225">
        <f>IF($C1559="","",ROW())</f>
      </c>
      <c r="O1559" s="225">
        <f>IF($I1559="Công việc",MATCH($C1559,'Kế hoạch'!$A$6:$A$305,0),"")</f>
      </c>
      <c r="P1559" s="234">
        <f>IF($O1559="","",INDEX('Kế hoạch'!$I$6:$I$305,$O1559))</f>
      </c>
      <c r="Q1559" s="225">
        <f>IF($O1559="","",INDEX('Kế hoạch'!$AJ$6:$AJ$305,$O1559))</f>
      </c>
      <c r="R1559" s="225">
        <f>IF($O1559="","",INDEX('Kế hoạch'!$AK$6:$AK$305,$O1559))</f>
      </c>
    </row>
    <row r="1560">
      <c r="A1560" s="223">
        <f>IF($C1560="","",COUNTIF($C$6:$C1560,"?*"))</f>
      </c>
      <c r="B1560" s="217"/>
      <c r="C1560" s="216"/>
      <c r="D1560" s="240"/>
      <c r="E1560" s="218"/>
      <c r="F1560" s="218"/>
      <c r="G1560" s="218"/>
      <c r="H1560" s="219"/>
      <c r="I1560" s="223">
        <f>IF($C1560="","",IF(ISNUMBER(MATCH($C1560,'Phản ánh'!$A$6:$A$505,0)),"Phản ánh",IF(ISNUMBER(MATCH($C1560,'Kế hoạch'!$A$6:$A$305,0)),"Công việc","Mã chưa có")))</f>
      </c>
      <c r="J1560" s="221">
        <f>IF($I1560="Phản ánh",INDEX('Phản ánh'!$C$6:$C$505,MATCH($C1560,'Phản ánh'!$A$6:$A$505,0)),IF($I1560="Công việc",INDEX('Kế hoạch'!$C$6:$C$305,$O1560),""))</f>
      </c>
      <c r="K1560" s="221">
        <f>IF($I1560="Phản ánh",INDEX('Phản ánh'!$K$6:$K$505,MATCH($C1560,'Phản ánh'!$A$6:$A$505,0))&amp;"",IF($I1560="Công việc",INDEX('Kế hoạch'!$N$6:$N$305,$O1560)&amp;"",""))</f>
      </c>
      <c r="L1560" s="220">
        <f>IF(OR($C1560="",N($B1560)=0),"",IF(AND($I1560="Phản ánh",$E1560="Đã xử lý"),INDEX('Phản ánh'!$U$6:$U$505,MATCH($C1560,'Phản ánh'!$A$6:$A$505,0)),IF(AND($I1560="Công việc",OR($E1560="Hoàn thành",$E1560="Hoàn thành kỳ")),IF(INDEX('Kế hoạch'!$B$6:$B$305,$O1560)="Đột xuất",INDEX('Kế hoạch'!$AY$6:$AY$305,$O1560),IF(N($P1560)=0,"",IF(INT($B1560)&lt;$P1560,$P1560,IF($Q1560&gt;0,$P1560+ROUND((INT($B1560)-$P1560)/$Q1560,0)*$Q1560,IF($R1560&gt;0,EDATE($P1560,ROUND((DATEDIF($P1560,INT($B1560),"m")+(INT($B1560)-EDATE($P1560,DATEDIF($P1560,INT($B1560),"m")))/(EDATE($P1560,DATEDIF($P1560,INT($B1560),"m")+1)-EDATE($P1560,DATEDIF($P1560,INT($B1560),"m"))))/$R1560,0)*$R1560),$P1560))))),"")))</f>
      </c>
      <c r="M1560" s="223">
        <f>IF(OR($C1560="",N($L1560)=0,N($B1560)=0),"",IF(IF(MOD($L1560,1)=0,INT($B1560),$B1560)&lt;=$L1560,"Đúng hạn","Trễ hạn"))</f>
      </c>
      <c r="N1560" s="225">
        <f>IF($C1560="","",ROW())</f>
      </c>
      <c r="O1560" s="225">
        <f>IF($I1560="Công việc",MATCH($C1560,'Kế hoạch'!$A$6:$A$305,0),"")</f>
      </c>
      <c r="P1560" s="234">
        <f>IF($O1560="","",INDEX('Kế hoạch'!$I$6:$I$305,$O1560))</f>
      </c>
      <c r="Q1560" s="225">
        <f>IF($O1560="","",INDEX('Kế hoạch'!$AJ$6:$AJ$305,$O1560))</f>
      </c>
      <c r="R1560" s="225">
        <f>IF($O1560="","",INDEX('Kế hoạch'!$AK$6:$AK$305,$O1560))</f>
      </c>
    </row>
    <row r="1561">
      <c r="A1561" s="223">
        <f>IF($C1561="","",COUNTIF($C$6:$C1561,"?*"))</f>
      </c>
      <c r="B1561" s="217"/>
      <c r="C1561" s="216"/>
      <c r="D1561" s="240"/>
      <c r="E1561" s="218"/>
      <c r="F1561" s="218"/>
      <c r="G1561" s="218"/>
      <c r="H1561" s="219"/>
      <c r="I1561" s="223">
        <f>IF($C1561="","",IF(ISNUMBER(MATCH($C1561,'Phản ánh'!$A$6:$A$505,0)),"Phản ánh",IF(ISNUMBER(MATCH($C1561,'Kế hoạch'!$A$6:$A$305,0)),"Công việc","Mã chưa có")))</f>
      </c>
      <c r="J1561" s="221">
        <f>IF($I1561="Phản ánh",INDEX('Phản ánh'!$C$6:$C$505,MATCH($C1561,'Phản ánh'!$A$6:$A$505,0)),IF($I1561="Công việc",INDEX('Kế hoạch'!$C$6:$C$305,$O1561),""))</f>
      </c>
      <c r="K1561" s="221">
        <f>IF($I1561="Phản ánh",INDEX('Phản ánh'!$K$6:$K$505,MATCH($C1561,'Phản ánh'!$A$6:$A$505,0))&amp;"",IF($I1561="Công việc",INDEX('Kế hoạch'!$N$6:$N$305,$O1561)&amp;"",""))</f>
      </c>
      <c r="L1561" s="220">
        <f>IF(OR($C1561="",N($B1561)=0),"",IF(AND($I1561="Phản ánh",$E1561="Đã xử lý"),INDEX('Phản ánh'!$U$6:$U$505,MATCH($C1561,'Phản ánh'!$A$6:$A$505,0)),IF(AND($I1561="Công việc",OR($E1561="Hoàn thành",$E1561="Hoàn thành kỳ")),IF(INDEX('Kế hoạch'!$B$6:$B$305,$O1561)="Đột xuất",INDEX('Kế hoạch'!$AY$6:$AY$305,$O1561),IF(N($P1561)=0,"",IF(INT($B1561)&lt;$P1561,$P1561,IF($Q1561&gt;0,$P1561+ROUND((INT($B1561)-$P1561)/$Q1561,0)*$Q1561,IF($R1561&gt;0,EDATE($P1561,ROUND((DATEDIF($P1561,INT($B1561),"m")+(INT($B1561)-EDATE($P1561,DATEDIF($P1561,INT($B1561),"m")))/(EDATE($P1561,DATEDIF($P1561,INT($B1561),"m")+1)-EDATE($P1561,DATEDIF($P1561,INT($B1561),"m"))))/$R1561,0)*$R1561),$P1561))))),"")))</f>
      </c>
      <c r="M1561" s="223">
        <f>IF(OR($C1561="",N($L1561)=0,N($B1561)=0),"",IF(IF(MOD($L1561,1)=0,INT($B1561),$B1561)&lt;=$L1561,"Đúng hạn","Trễ hạn"))</f>
      </c>
      <c r="N1561" s="225">
        <f>IF($C1561="","",ROW())</f>
      </c>
      <c r="O1561" s="225">
        <f>IF($I1561="Công việc",MATCH($C1561,'Kế hoạch'!$A$6:$A$305,0),"")</f>
      </c>
      <c r="P1561" s="234">
        <f>IF($O1561="","",INDEX('Kế hoạch'!$I$6:$I$305,$O1561))</f>
      </c>
      <c r="Q1561" s="225">
        <f>IF($O1561="","",INDEX('Kế hoạch'!$AJ$6:$AJ$305,$O1561))</f>
      </c>
      <c r="R1561" s="225">
        <f>IF($O1561="","",INDEX('Kế hoạch'!$AK$6:$AK$305,$O1561))</f>
      </c>
    </row>
    <row r="1562">
      <c r="A1562" s="223">
        <f>IF($C1562="","",COUNTIF($C$6:$C1562,"?*"))</f>
      </c>
      <c r="B1562" s="217"/>
      <c r="C1562" s="216"/>
      <c r="D1562" s="240"/>
      <c r="E1562" s="218"/>
      <c r="F1562" s="218"/>
      <c r="G1562" s="218"/>
      <c r="H1562" s="219"/>
      <c r="I1562" s="223">
        <f>IF($C1562="","",IF(ISNUMBER(MATCH($C1562,'Phản ánh'!$A$6:$A$505,0)),"Phản ánh",IF(ISNUMBER(MATCH($C1562,'Kế hoạch'!$A$6:$A$305,0)),"Công việc","Mã chưa có")))</f>
      </c>
      <c r="J1562" s="221">
        <f>IF($I1562="Phản ánh",INDEX('Phản ánh'!$C$6:$C$505,MATCH($C1562,'Phản ánh'!$A$6:$A$505,0)),IF($I1562="Công việc",INDEX('Kế hoạch'!$C$6:$C$305,$O1562),""))</f>
      </c>
      <c r="K1562" s="221">
        <f>IF($I1562="Phản ánh",INDEX('Phản ánh'!$K$6:$K$505,MATCH($C1562,'Phản ánh'!$A$6:$A$505,0))&amp;"",IF($I1562="Công việc",INDEX('Kế hoạch'!$N$6:$N$305,$O1562)&amp;"",""))</f>
      </c>
      <c r="L1562" s="220">
        <f>IF(OR($C1562="",N($B1562)=0),"",IF(AND($I1562="Phản ánh",$E1562="Đã xử lý"),INDEX('Phản ánh'!$U$6:$U$505,MATCH($C1562,'Phản ánh'!$A$6:$A$505,0)),IF(AND($I1562="Công việc",OR($E1562="Hoàn thành",$E1562="Hoàn thành kỳ")),IF(INDEX('Kế hoạch'!$B$6:$B$305,$O1562)="Đột xuất",INDEX('Kế hoạch'!$AY$6:$AY$305,$O1562),IF(N($P1562)=0,"",IF(INT($B1562)&lt;$P1562,$P1562,IF($Q1562&gt;0,$P1562+ROUND((INT($B1562)-$P1562)/$Q1562,0)*$Q1562,IF($R1562&gt;0,EDATE($P1562,ROUND((DATEDIF($P1562,INT($B1562),"m")+(INT($B1562)-EDATE($P1562,DATEDIF($P1562,INT($B1562),"m")))/(EDATE($P1562,DATEDIF($P1562,INT($B1562),"m")+1)-EDATE($P1562,DATEDIF($P1562,INT($B1562),"m"))))/$R1562,0)*$R1562),$P1562))))),"")))</f>
      </c>
      <c r="M1562" s="223">
        <f>IF(OR($C1562="",N($L1562)=0,N($B1562)=0),"",IF(IF(MOD($L1562,1)=0,INT($B1562),$B1562)&lt;=$L1562,"Đúng hạn","Trễ hạn"))</f>
      </c>
      <c r="N1562" s="225">
        <f>IF($C1562="","",ROW())</f>
      </c>
      <c r="O1562" s="225">
        <f>IF($I1562="Công việc",MATCH($C1562,'Kế hoạch'!$A$6:$A$305,0),"")</f>
      </c>
      <c r="P1562" s="234">
        <f>IF($O1562="","",INDEX('Kế hoạch'!$I$6:$I$305,$O1562))</f>
      </c>
      <c r="Q1562" s="225">
        <f>IF($O1562="","",INDEX('Kế hoạch'!$AJ$6:$AJ$305,$O1562))</f>
      </c>
      <c r="R1562" s="225">
        <f>IF($O1562="","",INDEX('Kế hoạch'!$AK$6:$AK$305,$O1562))</f>
      </c>
    </row>
    <row r="1563">
      <c r="A1563" s="223">
        <f>IF($C1563="","",COUNTIF($C$6:$C1563,"?*"))</f>
      </c>
      <c r="B1563" s="217"/>
      <c r="C1563" s="216"/>
      <c r="D1563" s="240"/>
      <c r="E1563" s="218"/>
      <c r="F1563" s="218"/>
      <c r="G1563" s="218"/>
      <c r="H1563" s="219"/>
      <c r="I1563" s="223">
        <f>IF($C1563="","",IF(ISNUMBER(MATCH($C1563,'Phản ánh'!$A$6:$A$505,0)),"Phản ánh",IF(ISNUMBER(MATCH($C1563,'Kế hoạch'!$A$6:$A$305,0)),"Công việc","Mã chưa có")))</f>
      </c>
      <c r="J1563" s="221">
        <f>IF($I1563="Phản ánh",INDEX('Phản ánh'!$C$6:$C$505,MATCH($C1563,'Phản ánh'!$A$6:$A$505,0)),IF($I1563="Công việc",INDEX('Kế hoạch'!$C$6:$C$305,$O1563),""))</f>
      </c>
      <c r="K1563" s="221">
        <f>IF($I1563="Phản ánh",INDEX('Phản ánh'!$K$6:$K$505,MATCH($C1563,'Phản ánh'!$A$6:$A$505,0))&amp;"",IF($I1563="Công việc",INDEX('Kế hoạch'!$N$6:$N$305,$O1563)&amp;"",""))</f>
      </c>
      <c r="L1563" s="220">
        <f>IF(OR($C1563="",N($B1563)=0),"",IF(AND($I1563="Phản ánh",$E1563="Đã xử lý"),INDEX('Phản ánh'!$U$6:$U$505,MATCH($C1563,'Phản ánh'!$A$6:$A$505,0)),IF(AND($I1563="Công việc",OR($E1563="Hoàn thành",$E1563="Hoàn thành kỳ")),IF(INDEX('Kế hoạch'!$B$6:$B$305,$O1563)="Đột xuất",INDEX('Kế hoạch'!$AY$6:$AY$305,$O1563),IF(N($P1563)=0,"",IF(INT($B1563)&lt;$P1563,$P1563,IF($Q1563&gt;0,$P1563+ROUND((INT($B1563)-$P1563)/$Q1563,0)*$Q1563,IF($R1563&gt;0,EDATE($P1563,ROUND((DATEDIF($P1563,INT($B1563),"m")+(INT($B1563)-EDATE($P1563,DATEDIF($P1563,INT($B1563),"m")))/(EDATE($P1563,DATEDIF($P1563,INT($B1563),"m")+1)-EDATE($P1563,DATEDIF($P1563,INT($B1563),"m"))))/$R1563,0)*$R1563),$P1563))))),"")))</f>
      </c>
      <c r="M1563" s="223">
        <f>IF(OR($C1563="",N($L1563)=0,N($B1563)=0),"",IF(IF(MOD($L1563,1)=0,INT($B1563),$B1563)&lt;=$L1563,"Đúng hạn","Trễ hạn"))</f>
      </c>
      <c r="N1563" s="225">
        <f>IF($C1563="","",ROW())</f>
      </c>
      <c r="O1563" s="225">
        <f>IF($I1563="Công việc",MATCH($C1563,'Kế hoạch'!$A$6:$A$305,0),"")</f>
      </c>
      <c r="P1563" s="234">
        <f>IF($O1563="","",INDEX('Kế hoạch'!$I$6:$I$305,$O1563))</f>
      </c>
      <c r="Q1563" s="225">
        <f>IF($O1563="","",INDEX('Kế hoạch'!$AJ$6:$AJ$305,$O1563))</f>
      </c>
      <c r="R1563" s="225">
        <f>IF($O1563="","",INDEX('Kế hoạch'!$AK$6:$AK$305,$O1563))</f>
      </c>
    </row>
    <row r="1564">
      <c r="A1564" s="223">
        <f>IF($C1564="","",COUNTIF($C$6:$C1564,"?*"))</f>
      </c>
      <c r="B1564" s="217"/>
      <c r="C1564" s="216"/>
      <c r="D1564" s="240"/>
      <c r="E1564" s="218"/>
      <c r="F1564" s="218"/>
      <c r="G1564" s="218"/>
      <c r="H1564" s="219"/>
      <c r="I1564" s="223">
        <f>IF($C1564="","",IF(ISNUMBER(MATCH($C1564,'Phản ánh'!$A$6:$A$505,0)),"Phản ánh",IF(ISNUMBER(MATCH($C1564,'Kế hoạch'!$A$6:$A$305,0)),"Công việc","Mã chưa có")))</f>
      </c>
      <c r="J1564" s="221">
        <f>IF($I1564="Phản ánh",INDEX('Phản ánh'!$C$6:$C$505,MATCH($C1564,'Phản ánh'!$A$6:$A$505,0)),IF($I1564="Công việc",INDEX('Kế hoạch'!$C$6:$C$305,$O1564),""))</f>
      </c>
      <c r="K1564" s="221">
        <f>IF($I1564="Phản ánh",INDEX('Phản ánh'!$K$6:$K$505,MATCH($C1564,'Phản ánh'!$A$6:$A$505,0))&amp;"",IF($I1564="Công việc",INDEX('Kế hoạch'!$N$6:$N$305,$O1564)&amp;"",""))</f>
      </c>
      <c r="L1564" s="220">
        <f>IF(OR($C1564="",N($B1564)=0),"",IF(AND($I1564="Phản ánh",$E1564="Đã xử lý"),INDEX('Phản ánh'!$U$6:$U$505,MATCH($C1564,'Phản ánh'!$A$6:$A$505,0)),IF(AND($I1564="Công việc",OR($E1564="Hoàn thành",$E1564="Hoàn thành kỳ")),IF(INDEX('Kế hoạch'!$B$6:$B$305,$O1564)="Đột xuất",INDEX('Kế hoạch'!$AY$6:$AY$305,$O1564),IF(N($P1564)=0,"",IF(INT($B1564)&lt;$P1564,$P1564,IF($Q1564&gt;0,$P1564+ROUND((INT($B1564)-$P1564)/$Q1564,0)*$Q1564,IF($R1564&gt;0,EDATE($P1564,ROUND((DATEDIF($P1564,INT($B1564),"m")+(INT($B1564)-EDATE($P1564,DATEDIF($P1564,INT($B1564),"m")))/(EDATE($P1564,DATEDIF($P1564,INT($B1564),"m")+1)-EDATE($P1564,DATEDIF($P1564,INT($B1564),"m"))))/$R1564,0)*$R1564),$P1564))))),"")))</f>
      </c>
      <c r="M1564" s="223">
        <f>IF(OR($C1564="",N($L1564)=0,N($B1564)=0),"",IF(IF(MOD($L1564,1)=0,INT($B1564),$B1564)&lt;=$L1564,"Đúng hạn","Trễ hạn"))</f>
      </c>
      <c r="N1564" s="225">
        <f>IF($C1564="","",ROW())</f>
      </c>
      <c r="O1564" s="225">
        <f>IF($I1564="Công việc",MATCH($C1564,'Kế hoạch'!$A$6:$A$305,0),"")</f>
      </c>
      <c r="P1564" s="234">
        <f>IF($O1564="","",INDEX('Kế hoạch'!$I$6:$I$305,$O1564))</f>
      </c>
      <c r="Q1564" s="225">
        <f>IF($O1564="","",INDEX('Kế hoạch'!$AJ$6:$AJ$305,$O1564))</f>
      </c>
      <c r="R1564" s="225">
        <f>IF($O1564="","",INDEX('Kế hoạch'!$AK$6:$AK$305,$O1564))</f>
      </c>
    </row>
    <row r="1565">
      <c r="A1565" s="223">
        <f>IF($C1565="","",COUNTIF($C$6:$C1565,"?*"))</f>
      </c>
      <c r="B1565" s="217"/>
      <c r="C1565" s="216"/>
      <c r="D1565" s="240"/>
      <c r="E1565" s="218"/>
      <c r="F1565" s="218"/>
      <c r="G1565" s="218"/>
      <c r="H1565" s="219"/>
      <c r="I1565" s="223">
        <f>IF($C1565="","",IF(ISNUMBER(MATCH($C1565,'Phản ánh'!$A$6:$A$505,0)),"Phản ánh",IF(ISNUMBER(MATCH($C1565,'Kế hoạch'!$A$6:$A$305,0)),"Công việc","Mã chưa có")))</f>
      </c>
      <c r="J1565" s="221">
        <f>IF($I1565="Phản ánh",INDEX('Phản ánh'!$C$6:$C$505,MATCH($C1565,'Phản ánh'!$A$6:$A$505,0)),IF($I1565="Công việc",INDEX('Kế hoạch'!$C$6:$C$305,$O1565),""))</f>
      </c>
      <c r="K1565" s="221">
        <f>IF($I1565="Phản ánh",INDEX('Phản ánh'!$K$6:$K$505,MATCH($C1565,'Phản ánh'!$A$6:$A$505,0))&amp;"",IF($I1565="Công việc",INDEX('Kế hoạch'!$N$6:$N$305,$O1565)&amp;"",""))</f>
      </c>
      <c r="L1565" s="220">
        <f>IF(OR($C1565="",N($B1565)=0),"",IF(AND($I1565="Phản ánh",$E1565="Đã xử lý"),INDEX('Phản ánh'!$U$6:$U$505,MATCH($C1565,'Phản ánh'!$A$6:$A$505,0)),IF(AND($I1565="Công việc",OR($E1565="Hoàn thành",$E1565="Hoàn thành kỳ")),IF(INDEX('Kế hoạch'!$B$6:$B$305,$O1565)="Đột xuất",INDEX('Kế hoạch'!$AY$6:$AY$305,$O1565),IF(N($P1565)=0,"",IF(INT($B1565)&lt;$P1565,$P1565,IF($Q1565&gt;0,$P1565+ROUND((INT($B1565)-$P1565)/$Q1565,0)*$Q1565,IF($R1565&gt;0,EDATE($P1565,ROUND((DATEDIF($P1565,INT($B1565),"m")+(INT($B1565)-EDATE($P1565,DATEDIF($P1565,INT($B1565),"m")))/(EDATE($P1565,DATEDIF($P1565,INT($B1565),"m")+1)-EDATE($P1565,DATEDIF($P1565,INT($B1565),"m"))))/$R1565,0)*$R1565),$P1565))))),"")))</f>
      </c>
      <c r="M1565" s="223">
        <f>IF(OR($C1565="",N($L1565)=0,N($B1565)=0),"",IF(IF(MOD($L1565,1)=0,INT($B1565),$B1565)&lt;=$L1565,"Đúng hạn","Trễ hạn"))</f>
      </c>
      <c r="N1565" s="225">
        <f>IF($C1565="","",ROW())</f>
      </c>
      <c r="O1565" s="225">
        <f>IF($I1565="Công việc",MATCH($C1565,'Kế hoạch'!$A$6:$A$305,0),"")</f>
      </c>
      <c r="P1565" s="234">
        <f>IF($O1565="","",INDEX('Kế hoạch'!$I$6:$I$305,$O1565))</f>
      </c>
      <c r="Q1565" s="225">
        <f>IF($O1565="","",INDEX('Kế hoạch'!$AJ$6:$AJ$305,$O1565))</f>
      </c>
      <c r="R1565" s="225">
        <f>IF($O1565="","",INDEX('Kế hoạch'!$AK$6:$AK$305,$O1565))</f>
      </c>
    </row>
    <row r="1566">
      <c r="A1566" s="223">
        <f>IF($C1566="","",COUNTIF($C$6:$C1566,"?*"))</f>
      </c>
      <c r="B1566" s="217"/>
      <c r="C1566" s="216"/>
      <c r="D1566" s="240"/>
      <c r="E1566" s="218"/>
      <c r="F1566" s="218"/>
      <c r="G1566" s="218"/>
      <c r="H1566" s="219"/>
      <c r="I1566" s="223">
        <f>IF($C1566="","",IF(ISNUMBER(MATCH($C1566,'Phản ánh'!$A$6:$A$505,0)),"Phản ánh",IF(ISNUMBER(MATCH($C1566,'Kế hoạch'!$A$6:$A$305,0)),"Công việc","Mã chưa có")))</f>
      </c>
      <c r="J1566" s="221">
        <f>IF($I1566="Phản ánh",INDEX('Phản ánh'!$C$6:$C$505,MATCH($C1566,'Phản ánh'!$A$6:$A$505,0)),IF($I1566="Công việc",INDEX('Kế hoạch'!$C$6:$C$305,$O1566),""))</f>
      </c>
      <c r="K1566" s="221">
        <f>IF($I1566="Phản ánh",INDEX('Phản ánh'!$K$6:$K$505,MATCH($C1566,'Phản ánh'!$A$6:$A$505,0))&amp;"",IF($I1566="Công việc",INDEX('Kế hoạch'!$N$6:$N$305,$O1566)&amp;"",""))</f>
      </c>
      <c r="L1566" s="220">
        <f>IF(OR($C1566="",N($B1566)=0),"",IF(AND($I1566="Phản ánh",$E1566="Đã xử lý"),INDEX('Phản ánh'!$U$6:$U$505,MATCH($C1566,'Phản ánh'!$A$6:$A$505,0)),IF(AND($I1566="Công việc",OR($E1566="Hoàn thành",$E1566="Hoàn thành kỳ")),IF(INDEX('Kế hoạch'!$B$6:$B$305,$O1566)="Đột xuất",INDEX('Kế hoạch'!$AY$6:$AY$305,$O1566),IF(N($P1566)=0,"",IF(INT($B1566)&lt;$P1566,$P1566,IF($Q1566&gt;0,$P1566+ROUND((INT($B1566)-$P1566)/$Q1566,0)*$Q1566,IF($R1566&gt;0,EDATE($P1566,ROUND((DATEDIF($P1566,INT($B1566),"m")+(INT($B1566)-EDATE($P1566,DATEDIF($P1566,INT($B1566),"m")))/(EDATE($P1566,DATEDIF($P1566,INT($B1566),"m")+1)-EDATE($P1566,DATEDIF($P1566,INT($B1566),"m"))))/$R1566,0)*$R1566),$P1566))))),"")))</f>
      </c>
      <c r="M1566" s="223">
        <f>IF(OR($C1566="",N($L1566)=0,N($B1566)=0),"",IF(IF(MOD($L1566,1)=0,INT($B1566),$B1566)&lt;=$L1566,"Đúng hạn","Trễ hạn"))</f>
      </c>
      <c r="N1566" s="225">
        <f>IF($C1566="","",ROW())</f>
      </c>
      <c r="O1566" s="225">
        <f>IF($I1566="Công việc",MATCH($C1566,'Kế hoạch'!$A$6:$A$305,0),"")</f>
      </c>
      <c r="P1566" s="234">
        <f>IF($O1566="","",INDEX('Kế hoạch'!$I$6:$I$305,$O1566))</f>
      </c>
      <c r="Q1566" s="225">
        <f>IF($O1566="","",INDEX('Kế hoạch'!$AJ$6:$AJ$305,$O1566))</f>
      </c>
      <c r="R1566" s="225">
        <f>IF($O1566="","",INDEX('Kế hoạch'!$AK$6:$AK$305,$O1566))</f>
      </c>
    </row>
    <row r="1567">
      <c r="A1567" s="223">
        <f>IF($C1567="","",COUNTIF($C$6:$C1567,"?*"))</f>
      </c>
      <c r="B1567" s="217"/>
      <c r="C1567" s="216"/>
      <c r="D1567" s="240"/>
      <c r="E1567" s="218"/>
      <c r="F1567" s="218"/>
      <c r="G1567" s="218"/>
      <c r="H1567" s="219"/>
      <c r="I1567" s="223">
        <f>IF($C1567="","",IF(ISNUMBER(MATCH($C1567,'Phản ánh'!$A$6:$A$505,0)),"Phản ánh",IF(ISNUMBER(MATCH($C1567,'Kế hoạch'!$A$6:$A$305,0)),"Công việc","Mã chưa có")))</f>
      </c>
      <c r="J1567" s="221">
        <f>IF($I1567="Phản ánh",INDEX('Phản ánh'!$C$6:$C$505,MATCH($C1567,'Phản ánh'!$A$6:$A$505,0)),IF($I1567="Công việc",INDEX('Kế hoạch'!$C$6:$C$305,$O1567),""))</f>
      </c>
      <c r="K1567" s="221">
        <f>IF($I1567="Phản ánh",INDEX('Phản ánh'!$K$6:$K$505,MATCH($C1567,'Phản ánh'!$A$6:$A$505,0))&amp;"",IF($I1567="Công việc",INDEX('Kế hoạch'!$N$6:$N$305,$O1567)&amp;"",""))</f>
      </c>
      <c r="L1567" s="220">
        <f>IF(OR($C1567="",N($B1567)=0),"",IF(AND($I1567="Phản ánh",$E1567="Đã xử lý"),INDEX('Phản ánh'!$U$6:$U$505,MATCH($C1567,'Phản ánh'!$A$6:$A$505,0)),IF(AND($I1567="Công việc",OR($E1567="Hoàn thành",$E1567="Hoàn thành kỳ")),IF(INDEX('Kế hoạch'!$B$6:$B$305,$O1567)="Đột xuất",INDEX('Kế hoạch'!$AY$6:$AY$305,$O1567),IF(N($P1567)=0,"",IF(INT($B1567)&lt;$P1567,$P1567,IF($Q1567&gt;0,$P1567+ROUND((INT($B1567)-$P1567)/$Q1567,0)*$Q1567,IF($R1567&gt;0,EDATE($P1567,ROUND((DATEDIF($P1567,INT($B1567),"m")+(INT($B1567)-EDATE($P1567,DATEDIF($P1567,INT($B1567),"m")))/(EDATE($P1567,DATEDIF($P1567,INT($B1567),"m")+1)-EDATE($P1567,DATEDIF($P1567,INT($B1567),"m"))))/$R1567,0)*$R1567),$P1567))))),"")))</f>
      </c>
      <c r="M1567" s="223">
        <f>IF(OR($C1567="",N($L1567)=0,N($B1567)=0),"",IF(IF(MOD($L1567,1)=0,INT($B1567),$B1567)&lt;=$L1567,"Đúng hạn","Trễ hạn"))</f>
      </c>
      <c r="N1567" s="225">
        <f>IF($C1567="","",ROW())</f>
      </c>
      <c r="O1567" s="225">
        <f>IF($I1567="Công việc",MATCH($C1567,'Kế hoạch'!$A$6:$A$305,0),"")</f>
      </c>
      <c r="P1567" s="234">
        <f>IF($O1567="","",INDEX('Kế hoạch'!$I$6:$I$305,$O1567))</f>
      </c>
      <c r="Q1567" s="225">
        <f>IF($O1567="","",INDEX('Kế hoạch'!$AJ$6:$AJ$305,$O1567))</f>
      </c>
      <c r="R1567" s="225">
        <f>IF($O1567="","",INDEX('Kế hoạch'!$AK$6:$AK$305,$O1567))</f>
      </c>
    </row>
    <row r="1568">
      <c r="A1568" s="223">
        <f>IF($C1568="","",COUNTIF($C$6:$C1568,"?*"))</f>
      </c>
      <c r="B1568" s="217"/>
      <c r="C1568" s="216"/>
      <c r="D1568" s="240"/>
      <c r="E1568" s="218"/>
      <c r="F1568" s="218"/>
      <c r="G1568" s="218"/>
      <c r="H1568" s="219"/>
      <c r="I1568" s="223">
        <f>IF($C1568="","",IF(ISNUMBER(MATCH($C1568,'Phản ánh'!$A$6:$A$505,0)),"Phản ánh",IF(ISNUMBER(MATCH($C1568,'Kế hoạch'!$A$6:$A$305,0)),"Công việc","Mã chưa có")))</f>
      </c>
      <c r="J1568" s="221">
        <f>IF($I1568="Phản ánh",INDEX('Phản ánh'!$C$6:$C$505,MATCH($C1568,'Phản ánh'!$A$6:$A$505,0)),IF($I1568="Công việc",INDEX('Kế hoạch'!$C$6:$C$305,$O1568),""))</f>
      </c>
      <c r="K1568" s="221">
        <f>IF($I1568="Phản ánh",INDEX('Phản ánh'!$K$6:$K$505,MATCH($C1568,'Phản ánh'!$A$6:$A$505,0))&amp;"",IF($I1568="Công việc",INDEX('Kế hoạch'!$N$6:$N$305,$O1568)&amp;"",""))</f>
      </c>
      <c r="L1568" s="220">
        <f>IF(OR($C1568="",N($B1568)=0),"",IF(AND($I1568="Phản ánh",$E1568="Đã xử lý"),INDEX('Phản ánh'!$U$6:$U$505,MATCH($C1568,'Phản ánh'!$A$6:$A$505,0)),IF(AND($I1568="Công việc",OR($E1568="Hoàn thành",$E1568="Hoàn thành kỳ")),IF(INDEX('Kế hoạch'!$B$6:$B$305,$O1568)="Đột xuất",INDEX('Kế hoạch'!$AY$6:$AY$305,$O1568),IF(N($P1568)=0,"",IF(INT($B1568)&lt;$P1568,$P1568,IF($Q1568&gt;0,$P1568+ROUND((INT($B1568)-$P1568)/$Q1568,0)*$Q1568,IF($R1568&gt;0,EDATE($P1568,ROUND((DATEDIF($P1568,INT($B1568),"m")+(INT($B1568)-EDATE($P1568,DATEDIF($P1568,INT($B1568),"m")))/(EDATE($P1568,DATEDIF($P1568,INT($B1568),"m")+1)-EDATE($P1568,DATEDIF($P1568,INT($B1568),"m"))))/$R1568,0)*$R1568),$P1568))))),"")))</f>
      </c>
      <c r="M1568" s="223">
        <f>IF(OR($C1568="",N($L1568)=0,N($B1568)=0),"",IF(IF(MOD($L1568,1)=0,INT($B1568),$B1568)&lt;=$L1568,"Đúng hạn","Trễ hạn"))</f>
      </c>
      <c r="N1568" s="225">
        <f>IF($C1568="","",ROW())</f>
      </c>
      <c r="O1568" s="225">
        <f>IF($I1568="Công việc",MATCH($C1568,'Kế hoạch'!$A$6:$A$305,0),"")</f>
      </c>
      <c r="P1568" s="234">
        <f>IF($O1568="","",INDEX('Kế hoạch'!$I$6:$I$305,$O1568))</f>
      </c>
      <c r="Q1568" s="225">
        <f>IF($O1568="","",INDEX('Kế hoạch'!$AJ$6:$AJ$305,$O1568))</f>
      </c>
      <c r="R1568" s="225">
        <f>IF($O1568="","",INDEX('Kế hoạch'!$AK$6:$AK$305,$O1568))</f>
      </c>
    </row>
    <row r="1569">
      <c r="A1569" s="223">
        <f>IF($C1569="","",COUNTIF($C$6:$C1569,"?*"))</f>
      </c>
      <c r="B1569" s="217"/>
      <c r="C1569" s="216"/>
      <c r="D1569" s="240"/>
      <c r="E1569" s="218"/>
      <c r="F1569" s="218"/>
      <c r="G1569" s="218"/>
      <c r="H1569" s="219"/>
      <c r="I1569" s="223">
        <f>IF($C1569="","",IF(ISNUMBER(MATCH($C1569,'Phản ánh'!$A$6:$A$505,0)),"Phản ánh",IF(ISNUMBER(MATCH($C1569,'Kế hoạch'!$A$6:$A$305,0)),"Công việc","Mã chưa có")))</f>
      </c>
      <c r="J1569" s="221">
        <f>IF($I1569="Phản ánh",INDEX('Phản ánh'!$C$6:$C$505,MATCH($C1569,'Phản ánh'!$A$6:$A$505,0)),IF($I1569="Công việc",INDEX('Kế hoạch'!$C$6:$C$305,$O1569),""))</f>
      </c>
      <c r="K1569" s="221">
        <f>IF($I1569="Phản ánh",INDEX('Phản ánh'!$K$6:$K$505,MATCH($C1569,'Phản ánh'!$A$6:$A$505,0))&amp;"",IF($I1569="Công việc",INDEX('Kế hoạch'!$N$6:$N$305,$O1569)&amp;"",""))</f>
      </c>
      <c r="L1569" s="220">
        <f>IF(OR($C1569="",N($B1569)=0),"",IF(AND($I1569="Phản ánh",$E1569="Đã xử lý"),INDEX('Phản ánh'!$U$6:$U$505,MATCH($C1569,'Phản ánh'!$A$6:$A$505,0)),IF(AND($I1569="Công việc",OR($E1569="Hoàn thành",$E1569="Hoàn thành kỳ")),IF(INDEX('Kế hoạch'!$B$6:$B$305,$O1569)="Đột xuất",INDEX('Kế hoạch'!$AY$6:$AY$305,$O1569),IF(N($P1569)=0,"",IF(INT($B1569)&lt;$P1569,$P1569,IF($Q1569&gt;0,$P1569+ROUND((INT($B1569)-$P1569)/$Q1569,0)*$Q1569,IF($R1569&gt;0,EDATE($P1569,ROUND((DATEDIF($P1569,INT($B1569),"m")+(INT($B1569)-EDATE($P1569,DATEDIF($P1569,INT($B1569),"m")))/(EDATE($P1569,DATEDIF($P1569,INT($B1569),"m")+1)-EDATE($P1569,DATEDIF($P1569,INT($B1569),"m"))))/$R1569,0)*$R1569),$P1569))))),"")))</f>
      </c>
      <c r="M1569" s="223">
        <f>IF(OR($C1569="",N($L1569)=0,N($B1569)=0),"",IF(IF(MOD($L1569,1)=0,INT($B1569),$B1569)&lt;=$L1569,"Đúng hạn","Trễ hạn"))</f>
      </c>
      <c r="N1569" s="225">
        <f>IF($C1569="","",ROW())</f>
      </c>
      <c r="O1569" s="225">
        <f>IF($I1569="Công việc",MATCH($C1569,'Kế hoạch'!$A$6:$A$305,0),"")</f>
      </c>
      <c r="P1569" s="234">
        <f>IF($O1569="","",INDEX('Kế hoạch'!$I$6:$I$305,$O1569))</f>
      </c>
      <c r="Q1569" s="225">
        <f>IF($O1569="","",INDEX('Kế hoạch'!$AJ$6:$AJ$305,$O1569))</f>
      </c>
      <c r="R1569" s="225">
        <f>IF($O1569="","",INDEX('Kế hoạch'!$AK$6:$AK$305,$O1569))</f>
      </c>
    </row>
    <row r="1570">
      <c r="A1570" s="223">
        <f>IF($C1570="","",COUNTIF($C$6:$C1570,"?*"))</f>
      </c>
      <c r="B1570" s="217"/>
      <c r="C1570" s="216"/>
      <c r="D1570" s="240"/>
      <c r="E1570" s="218"/>
      <c r="F1570" s="218"/>
      <c r="G1570" s="218"/>
      <c r="H1570" s="219"/>
      <c r="I1570" s="223">
        <f>IF($C1570="","",IF(ISNUMBER(MATCH($C1570,'Phản ánh'!$A$6:$A$505,0)),"Phản ánh",IF(ISNUMBER(MATCH($C1570,'Kế hoạch'!$A$6:$A$305,0)),"Công việc","Mã chưa có")))</f>
      </c>
      <c r="J1570" s="221">
        <f>IF($I1570="Phản ánh",INDEX('Phản ánh'!$C$6:$C$505,MATCH($C1570,'Phản ánh'!$A$6:$A$505,0)),IF($I1570="Công việc",INDEX('Kế hoạch'!$C$6:$C$305,$O1570),""))</f>
      </c>
      <c r="K1570" s="221">
        <f>IF($I1570="Phản ánh",INDEX('Phản ánh'!$K$6:$K$505,MATCH($C1570,'Phản ánh'!$A$6:$A$505,0))&amp;"",IF($I1570="Công việc",INDEX('Kế hoạch'!$N$6:$N$305,$O1570)&amp;"",""))</f>
      </c>
      <c r="L1570" s="220">
        <f>IF(OR($C1570="",N($B1570)=0),"",IF(AND($I1570="Phản ánh",$E1570="Đã xử lý"),INDEX('Phản ánh'!$U$6:$U$505,MATCH($C1570,'Phản ánh'!$A$6:$A$505,0)),IF(AND($I1570="Công việc",OR($E1570="Hoàn thành",$E1570="Hoàn thành kỳ")),IF(INDEX('Kế hoạch'!$B$6:$B$305,$O1570)="Đột xuất",INDEX('Kế hoạch'!$AY$6:$AY$305,$O1570),IF(N($P1570)=0,"",IF(INT($B1570)&lt;$P1570,$P1570,IF($Q1570&gt;0,$P1570+ROUND((INT($B1570)-$P1570)/$Q1570,0)*$Q1570,IF($R1570&gt;0,EDATE($P1570,ROUND((DATEDIF($P1570,INT($B1570),"m")+(INT($B1570)-EDATE($P1570,DATEDIF($P1570,INT($B1570),"m")))/(EDATE($P1570,DATEDIF($P1570,INT($B1570),"m")+1)-EDATE($P1570,DATEDIF($P1570,INT($B1570),"m"))))/$R1570,0)*$R1570),$P1570))))),"")))</f>
      </c>
      <c r="M1570" s="223">
        <f>IF(OR($C1570="",N($L1570)=0,N($B1570)=0),"",IF(IF(MOD($L1570,1)=0,INT($B1570),$B1570)&lt;=$L1570,"Đúng hạn","Trễ hạn"))</f>
      </c>
      <c r="N1570" s="225">
        <f>IF($C1570="","",ROW())</f>
      </c>
      <c r="O1570" s="225">
        <f>IF($I1570="Công việc",MATCH($C1570,'Kế hoạch'!$A$6:$A$305,0),"")</f>
      </c>
      <c r="P1570" s="234">
        <f>IF($O1570="","",INDEX('Kế hoạch'!$I$6:$I$305,$O1570))</f>
      </c>
      <c r="Q1570" s="225">
        <f>IF($O1570="","",INDEX('Kế hoạch'!$AJ$6:$AJ$305,$O1570))</f>
      </c>
      <c r="R1570" s="225">
        <f>IF($O1570="","",INDEX('Kế hoạch'!$AK$6:$AK$305,$O1570))</f>
      </c>
    </row>
    <row r="1571">
      <c r="A1571" s="223">
        <f>IF($C1571="","",COUNTIF($C$6:$C1571,"?*"))</f>
      </c>
      <c r="B1571" s="217"/>
      <c r="C1571" s="216"/>
      <c r="D1571" s="240"/>
      <c r="E1571" s="218"/>
      <c r="F1571" s="218"/>
      <c r="G1571" s="218"/>
      <c r="H1571" s="219"/>
      <c r="I1571" s="223">
        <f>IF($C1571="","",IF(ISNUMBER(MATCH($C1571,'Phản ánh'!$A$6:$A$505,0)),"Phản ánh",IF(ISNUMBER(MATCH($C1571,'Kế hoạch'!$A$6:$A$305,0)),"Công việc","Mã chưa có")))</f>
      </c>
      <c r="J1571" s="221">
        <f>IF($I1571="Phản ánh",INDEX('Phản ánh'!$C$6:$C$505,MATCH($C1571,'Phản ánh'!$A$6:$A$505,0)),IF($I1571="Công việc",INDEX('Kế hoạch'!$C$6:$C$305,$O1571),""))</f>
      </c>
      <c r="K1571" s="221">
        <f>IF($I1571="Phản ánh",INDEX('Phản ánh'!$K$6:$K$505,MATCH($C1571,'Phản ánh'!$A$6:$A$505,0))&amp;"",IF($I1571="Công việc",INDEX('Kế hoạch'!$N$6:$N$305,$O1571)&amp;"",""))</f>
      </c>
      <c r="L1571" s="220">
        <f>IF(OR($C1571="",N($B1571)=0),"",IF(AND($I1571="Phản ánh",$E1571="Đã xử lý"),INDEX('Phản ánh'!$U$6:$U$505,MATCH($C1571,'Phản ánh'!$A$6:$A$505,0)),IF(AND($I1571="Công việc",OR($E1571="Hoàn thành",$E1571="Hoàn thành kỳ")),IF(INDEX('Kế hoạch'!$B$6:$B$305,$O1571)="Đột xuất",INDEX('Kế hoạch'!$AY$6:$AY$305,$O1571),IF(N($P1571)=0,"",IF(INT($B1571)&lt;$P1571,$P1571,IF($Q1571&gt;0,$P1571+ROUND((INT($B1571)-$P1571)/$Q1571,0)*$Q1571,IF($R1571&gt;0,EDATE($P1571,ROUND((DATEDIF($P1571,INT($B1571),"m")+(INT($B1571)-EDATE($P1571,DATEDIF($P1571,INT($B1571),"m")))/(EDATE($P1571,DATEDIF($P1571,INT($B1571),"m")+1)-EDATE($P1571,DATEDIF($P1571,INT($B1571),"m"))))/$R1571,0)*$R1571),$P1571))))),"")))</f>
      </c>
      <c r="M1571" s="223">
        <f>IF(OR($C1571="",N($L1571)=0,N($B1571)=0),"",IF(IF(MOD($L1571,1)=0,INT($B1571),$B1571)&lt;=$L1571,"Đúng hạn","Trễ hạn"))</f>
      </c>
      <c r="N1571" s="225">
        <f>IF($C1571="","",ROW())</f>
      </c>
      <c r="O1571" s="225">
        <f>IF($I1571="Công việc",MATCH($C1571,'Kế hoạch'!$A$6:$A$305,0),"")</f>
      </c>
      <c r="P1571" s="234">
        <f>IF($O1571="","",INDEX('Kế hoạch'!$I$6:$I$305,$O1571))</f>
      </c>
      <c r="Q1571" s="225">
        <f>IF($O1571="","",INDEX('Kế hoạch'!$AJ$6:$AJ$305,$O1571))</f>
      </c>
      <c r="R1571" s="225">
        <f>IF($O1571="","",INDEX('Kế hoạch'!$AK$6:$AK$305,$O1571))</f>
      </c>
    </row>
    <row r="1572">
      <c r="A1572" s="223">
        <f>IF($C1572="","",COUNTIF($C$6:$C1572,"?*"))</f>
      </c>
      <c r="B1572" s="217"/>
      <c r="C1572" s="216"/>
      <c r="D1572" s="240"/>
      <c r="E1572" s="218"/>
      <c r="F1572" s="218"/>
      <c r="G1572" s="218"/>
      <c r="H1572" s="219"/>
      <c r="I1572" s="223">
        <f>IF($C1572="","",IF(ISNUMBER(MATCH($C1572,'Phản ánh'!$A$6:$A$505,0)),"Phản ánh",IF(ISNUMBER(MATCH($C1572,'Kế hoạch'!$A$6:$A$305,0)),"Công việc","Mã chưa có")))</f>
      </c>
      <c r="J1572" s="221">
        <f>IF($I1572="Phản ánh",INDEX('Phản ánh'!$C$6:$C$505,MATCH($C1572,'Phản ánh'!$A$6:$A$505,0)),IF($I1572="Công việc",INDEX('Kế hoạch'!$C$6:$C$305,$O1572),""))</f>
      </c>
      <c r="K1572" s="221">
        <f>IF($I1572="Phản ánh",INDEX('Phản ánh'!$K$6:$K$505,MATCH($C1572,'Phản ánh'!$A$6:$A$505,0))&amp;"",IF($I1572="Công việc",INDEX('Kế hoạch'!$N$6:$N$305,$O1572)&amp;"",""))</f>
      </c>
      <c r="L1572" s="220">
        <f>IF(OR($C1572="",N($B1572)=0),"",IF(AND($I1572="Phản ánh",$E1572="Đã xử lý"),INDEX('Phản ánh'!$U$6:$U$505,MATCH($C1572,'Phản ánh'!$A$6:$A$505,0)),IF(AND($I1572="Công việc",OR($E1572="Hoàn thành",$E1572="Hoàn thành kỳ")),IF(INDEX('Kế hoạch'!$B$6:$B$305,$O1572)="Đột xuất",INDEX('Kế hoạch'!$AY$6:$AY$305,$O1572),IF(N($P1572)=0,"",IF(INT($B1572)&lt;$P1572,$P1572,IF($Q1572&gt;0,$P1572+ROUND((INT($B1572)-$P1572)/$Q1572,0)*$Q1572,IF($R1572&gt;0,EDATE($P1572,ROUND((DATEDIF($P1572,INT($B1572),"m")+(INT($B1572)-EDATE($P1572,DATEDIF($P1572,INT($B1572),"m")))/(EDATE($P1572,DATEDIF($P1572,INT($B1572),"m")+1)-EDATE($P1572,DATEDIF($P1572,INT($B1572),"m"))))/$R1572,0)*$R1572),$P1572))))),"")))</f>
      </c>
      <c r="M1572" s="223">
        <f>IF(OR($C1572="",N($L1572)=0,N($B1572)=0),"",IF(IF(MOD($L1572,1)=0,INT($B1572),$B1572)&lt;=$L1572,"Đúng hạn","Trễ hạn"))</f>
      </c>
      <c r="N1572" s="225">
        <f>IF($C1572="","",ROW())</f>
      </c>
      <c r="O1572" s="225">
        <f>IF($I1572="Công việc",MATCH($C1572,'Kế hoạch'!$A$6:$A$305,0),"")</f>
      </c>
      <c r="P1572" s="234">
        <f>IF($O1572="","",INDEX('Kế hoạch'!$I$6:$I$305,$O1572))</f>
      </c>
      <c r="Q1572" s="225">
        <f>IF($O1572="","",INDEX('Kế hoạch'!$AJ$6:$AJ$305,$O1572))</f>
      </c>
      <c r="R1572" s="225">
        <f>IF($O1572="","",INDEX('Kế hoạch'!$AK$6:$AK$305,$O1572))</f>
      </c>
    </row>
    <row r="1573">
      <c r="A1573" s="223">
        <f>IF($C1573="","",COUNTIF($C$6:$C1573,"?*"))</f>
      </c>
      <c r="B1573" s="217"/>
      <c r="C1573" s="216"/>
      <c r="D1573" s="240"/>
      <c r="E1573" s="218"/>
      <c r="F1573" s="218"/>
      <c r="G1573" s="218"/>
      <c r="H1573" s="219"/>
      <c r="I1573" s="223">
        <f>IF($C1573="","",IF(ISNUMBER(MATCH($C1573,'Phản ánh'!$A$6:$A$505,0)),"Phản ánh",IF(ISNUMBER(MATCH($C1573,'Kế hoạch'!$A$6:$A$305,0)),"Công việc","Mã chưa có")))</f>
      </c>
      <c r="J1573" s="221">
        <f>IF($I1573="Phản ánh",INDEX('Phản ánh'!$C$6:$C$505,MATCH($C1573,'Phản ánh'!$A$6:$A$505,0)),IF($I1573="Công việc",INDEX('Kế hoạch'!$C$6:$C$305,$O1573),""))</f>
      </c>
      <c r="K1573" s="221">
        <f>IF($I1573="Phản ánh",INDEX('Phản ánh'!$K$6:$K$505,MATCH($C1573,'Phản ánh'!$A$6:$A$505,0))&amp;"",IF($I1573="Công việc",INDEX('Kế hoạch'!$N$6:$N$305,$O1573)&amp;"",""))</f>
      </c>
      <c r="L1573" s="220">
        <f>IF(OR($C1573="",N($B1573)=0),"",IF(AND($I1573="Phản ánh",$E1573="Đã xử lý"),INDEX('Phản ánh'!$U$6:$U$505,MATCH($C1573,'Phản ánh'!$A$6:$A$505,0)),IF(AND($I1573="Công việc",OR($E1573="Hoàn thành",$E1573="Hoàn thành kỳ")),IF(INDEX('Kế hoạch'!$B$6:$B$305,$O1573)="Đột xuất",INDEX('Kế hoạch'!$AY$6:$AY$305,$O1573),IF(N($P1573)=0,"",IF(INT($B1573)&lt;$P1573,$P1573,IF($Q1573&gt;0,$P1573+ROUND((INT($B1573)-$P1573)/$Q1573,0)*$Q1573,IF($R1573&gt;0,EDATE($P1573,ROUND((DATEDIF($P1573,INT($B1573),"m")+(INT($B1573)-EDATE($P1573,DATEDIF($P1573,INT($B1573),"m")))/(EDATE($P1573,DATEDIF($P1573,INT($B1573),"m")+1)-EDATE($P1573,DATEDIF($P1573,INT($B1573),"m"))))/$R1573,0)*$R1573),$P1573))))),"")))</f>
      </c>
      <c r="M1573" s="223">
        <f>IF(OR($C1573="",N($L1573)=0,N($B1573)=0),"",IF(IF(MOD($L1573,1)=0,INT($B1573),$B1573)&lt;=$L1573,"Đúng hạn","Trễ hạn"))</f>
      </c>
      <c r="N1573" s="225">
        <f>IF($C1573="","",ROW())</f>
      </c>
      <c r="O1573" s="225">
        <f>IF($I1573="Công việc",MATCH($C1573,'Kế hoạch'!$A$6:$A$305,0),"")</f>
      </c>
      <c r="P1573" s="234">
        <f>IF($O1573="","",INDEX('Kế hoạch'!$I$6:$I$305,$O1573))</f>
      </c>
      <c r="Q1573" s="225">
        <f>IF($O1573="","",INDEX('Kế hoạch'!$AJ$6:$AJ$305,$O1573))</f>
      </c>
      <c r="R1573" s="225">
        <f>IF($O1573="","",INDEX('Kế hoạch'!$AK$6:$AK$305,$O1573))</f>
      </c>
    </row>
    <row r="1574">
      <c r="A1574" s="223">
        <f>IF($C1574="","",COUNTIF($C$6:$C1574,"?*"))</f>
      </c>
      <c r="B1574" s="217"/>
      <c r="C1574" s="216"/>
      <c r="D1574" s="240"/>
      <c r="E1574" s="218"/>
      <c r="F1574" s="218"/>
      <c r="G1574" s="218"/>
      <c r="H1574" s="219"/>
      <c r="I1574" s="223">
        <f>IF($C1574="","",IF(ISNUMBER(MATCH($C1574,'Phản ánh'!$A$6:$A$505,0)),"Phản ánh",IF(ISNUMBER(MATCH($C1574,'Kế hoạch'!$A$6:$A$305,0)),"Công việc","Mã chưa có")))</f>
      </c>
      <c r="J1574" s="221">
        <f>IF($I1574="Phản ánh",INDEX('Phản ánh'!$C$6:$C$505,MATCH($C1574,'Phản ánh'!$A$6:$A$505,0)),IF($I1574="Công việc",INDEX('Kế hoạch'!$C$6:$C$305,$O1574),""))</f>
      </c>
      <c r="K1574" s="221">
        <f>IF($I1574="Phản ánh",INDEX('Phản ánh'!$K$6:$K$505,MATCH($C1574,'Phản ánh'!$A$6:$A$505,0))&amp;"",IF($I1574="Công việc",INDEX('Kế hoạch'!$N$6:$N$305,$O1574)&amp;"",""))</f>
      </c>
      <c r="L1574" s="220">
        <f>IF(OR($C1574="",N($B1574)=0),"",IF(AND($I1574="Phản ánh",$E1574="Đã xử lý"),INDEX('Phản ánh'!$U$6:$U$505,MATCH($C1574,'Phản ánh'!$A$6:$A$505,0)),IF(AND($I1574="Công việc",OR($E1574="Hoàn thành",$E1574="Hoàn thành kỳ")),IF(INDEX('Kế hoạch'!$B$6:$B$305,$O1574)="Đột xuất",INDEX('Kế hoạch'!$AY$6:$AY$305,$O1574),IF(N($P1574)=0,"",IF(INT($B1574)&lt;$P1574,$P1574,IF($Q1574&gt;0,$P1574+ROUND((INT($B1574)-$P1574)/$Q1574,0)*$Q1574,IF($R1574&gt;0,EDATE($P1574,ROUND((DATEDIF($P1574,INT($B1574),"m")+(INT($B1574)-EDATE($P1574,DATEDIF($P1574,INT($B1574),"m")))/(EDATE($P1574,DATEDIF($P1574,INT($B1574),"m")+1)-EDATE($P1574,DATEDIF($P1574,INT($B1574),"m"))))/$R1574,0)*$R1574),$P1574))))),"")))</f>
      </c>
      <c r="M1574" s="223">
        <f>IF(OR($C1574="",N($L1574)=0,N($B1574)=0),"",IF(IF(MOD($L1574,1)=0,INT($B1574),$B1574)&lt;=$L1574,"Đúng hạn","Trễ hạn"))</f>
      </c>
      <c r="N1574" s="225">
        <f>IF($C1574="","",ROW())</f>
      </c>
      <c r="O1574" s="225">
        <f>IF($I1574="Công việc",MATCH($C1574,'Kế hoạch'!$A$6:$A$305,0),"")</f>
      </c>
      <c r="P1574" s="234">
        <f>IF($O1574="","",INDEX('Kế hoạch'!$I$6:$I$305,$O1574))</f>
      </c>
      <c r="Q1574" s="225">
        <f>IF($O1574="","",INDEX('Kế hoạch'!$AJ$6:$AJ$305,$O1574))</f>
      </c>
      <c r="R1574" s="225">
        <f>IF($O1574="","",INDEX('Kế hoạch'!$AK$6:$AK$305,$O1574))</f>
      </c>
    </row>
    <row r="1575">
      <c r="A1575" s="223">
        <f>IF($C1575="","",COUNTIF($C$6:$C1575,"?*"))</f>
      </c>
      <c r="B1575" s="217"/>
      <c r="C1575" s="216"/>
      <c r="D1575" s="240"/>
      <c r="E1575" s="218"/>
      <c r="F1575" s="218"/>
      <c r="G1575" s="218"/>
      <c r="H1575" s="219"/>
      <c r="I1575" s="223">
        <f>IF($C1575="","",IF(ISNUMBER(MATCH($C1575,'Phản ánh'!$A$6:$A$505,0)),"Phản ánh",IF(ISNUMBER(MATCH($C1575,'Kế hoạch'!$A$6:$A$305,0)),"Công việc","Mã chưa có")))</f>
      </c>
      <c r="J1575" s="221">
        <f>IF($I1575="Phản ánh",INDEX('Phản ánh'!$C$6:$C$505,MATCH($C1575,'Phản ánh'!$A$6:$A$505,0)),IF($I1575="Công việc",INDEX('Kế hoạch'!$C$6:$C$305,$O1575),""))</f>
      </c>
      <c r="K1575" s="221">
        <f>IF($I1575="Phản ánh",INDEX('Phản ánh'!$K$6:$K$505,MATCH($C1575,'Phản ánh'!$A$6:$A$505,0))&amp;"",IF($I1575="Công việc",INDEX('Kế hoạch'!$N$6:$N$305,$O1575)&amp;"",""))</f>
      </c>
      <c r="L1575" s="220">
        <f>IF(OR($C1575="",N($B1575)=0),"",IF(AND($I1575="Phản ánh",$E1575="Đã xử lý"),INDEX('Phản ánh'!$U$6:$U$505,MATCH($C1575,'Phản ánh'!$A$6:$A$505,0)),IF(AND($I1575="Công việc",OR($E1575="Hoàn thành",$E1575="Hoàn thành kỳ")),IF(INDEX('Kế hoạch'!$B$6:$B$305,$O1575)="Đột xuất",INDEX('Kế hoạch'!$AY$6:$AY$305,$O1575),IF(N($P1575)=0,"",IF(INT($B1575)&lt;$P1575,$P1575,IF($Q1575&gt;0,$P1575+ROUND((INT($B1575)-$P1575)/$Q1575,0)*$Q1575,IF($R1575&gt;0,EDATE($P1575,ROUND((DATEDIF($P1575,INT($B1575),"m")+(INT($B1575)-EDATE($P1575,DATEDIF($P1575,INT($B1575),"m")))/(EDATE($P1575,DATEDIF($P1575,INT($B1575),"m")+1)-EDATE($P1575,DATEDIF($P1575,INT($B1575),"m"))))/$R1575,0)*$R1575),$P1575))))),"")))</f>
      </c>
      <c r="M1575" s="223">
        <f>IF(OR($C1575="",N($L1575)=0,N($B1575)=0),"",IF(IF(MOD($L1575,1)=0,INT($B1575),$B1575)&lt;=$L1575,"Đúng hạn","Trễ hạn"))</f>
      </c>
      <c r="N1575" s="225">
        <f>IF($C1575="","",ROW())</f>
      </c>
      <c r="O1575" s="225">
        <f>IF($I1575="Công việc",MATCH($C1575,'Kế hoạch'!$A$6:$A$305,0),"")</f>
      </c>
      <c r="P1575" s="234">
        <f>IF($O1575="","",INDEX('Kế hoạch'!$I$6:$I$305,$O1575))</f>
      </c>
      <c r="Q1575" s="225">
        <f>IF($O1575="","",INDEX('Kế hoạch'!$AJ$6:$AJ$305,$O1575))</f>
      </c>
      <c r="R1575" s="225">
        <f>IF($O1575="","",INDEX('Kế hoạch'!$AK$6:$AK$305,$O1575))</f>
      </c>
    </row>
    <row r="1576">
      <c r="A1576" s="223">
        <f>IF($C1576="","",COUNTIF($C$6:$C1576,"?*"))</f>
      </c>
      <c r="B1576" s="217"/>
      <c r="C1576" s="216"/>
      <c r="D1576" s="240"/>
      <c r="E1576" s="218"/>
      <c r="F1576" s="218"/>
      <c r="G1576" s="218"/>
      <c r="H1576" s="219"/>
      <c r="I1576" s="223">
        <f>IF($C1576="","",IF(ISNUMBER(MATCH($C1576,'Phản ánh'!$A$6:$A$505,0)),"Phản ánh",IF(ISNUMBER(MATCH($C1576,'Kế hoạch'!$A$6:$A$305,0)),"Công việc","Mã chưa có")))</f>
      </c>
      <c r="J1576" s="221">
        <f>IF($I1576="Phản ánh",INDEX('Phản ánh'!$C$6:$C$505,MATCH($C1576,'Phản ánh'!$A$6:$A$505,0)),IF($I1576="Công việc",INDEX('Kế hoạch'!$C$6:$C$305,$O1576),""))</f>
      </c>
      <c r="K1576" s="221">
        <f>IF($I1576="Phản ánh",INDEX('Phản ánh'!$K$6:$K$505,MATCH($C1576,'Phản ánh'!$A$6:$A$505,0))&amp;"",IF($I1576="Công việc",INDEX('Kế hoạch'!$N$6:$N$305,$O1576)&amp;"",""))</f>
      </c>
      <c r="L1576" s="220">
        <f>IF(OR($C1576="",N($B1576)=0),"",IF(AND($I1576="Phản ánh",$E1576="Đã xử lý"),INDEX('Phản ánh'!$U$6:$U$505,MATCH($C1576,'Phản ánh'!$A$6:$A$505,0)),IF(AND($I1576="Công việc",OR($E1576="Hoàn thành",$E1576="Hoàn thành kỳ")),IF(INDEX('Kế hoạch'!$B$6:$B$305,$O1576)="Đột xuất",INDEX('Kế hoạch'!$AY$6:$AY$305,$O1576),IF(N($P1576)=0,"",IF(INT($B1576)&lt;$P1576,$P1576,IF($Q1576&gt;0,$P1576+ROUND((INT($B1576)-$P1576)/$Q1576,0)*$Q1576,IF($R1576&gt;0,EDATE($P1576,ROUND((DATEDIF($P1576,INT($B1576),"m")+(INT($B1576)-EDATE($P1576,DATEDIF($P1576,INT($B1576),"m")))/(EDATE($P1576,DATEDIF($P1576,INT($B1576),"m")+1)-EDATE($P1576,DATEDIF($P1576,INT($B1576),"m"))))/$R1576,0)*$R1576),$P1576))))),"")))</f>
      </c>
      <c r="M1576" s="223">
        <f>IF(OR($C1576="",N($L1576)=0,N($B1576)=0),"",IF(IF(MOD($L1576,1)=0,INT($B1576),$B1576)&lt;=$L1576,"Đúng hạn","Trễ hạn"))</f>
      </c>
      <c r="N1576" s="225">
        <f>IF($C1576="","",ROW())</f>
      </c>
      <c r="O1576" s="225">
        <f>IF($I1576="Công việc",MATCH($C1576,'Kế hoạch'!$A$6:$A$305,0),"")</f>
      </c>
      <c r="P1576" s="234">
        <f>IF($O1576="","",INDEX('Kế hoạch'!$I$6:$I$305,$O1576))</f>
      </c>
      <c r="Q1576" s="225">
        <f>IF($O1576="","",INDEX('Kế hoạch'!$AJ$6:$AJ$305,$O1576))</f>
      </c>
      <c r="R1576" s="225">
        <f>IF($O1576="","",INDEX('Kế hoạch'!$AK$6:$AK$305,$O1576))</f>
      </c>
    </row>
    <row r="1577">
      <c r="A1577" s="223">
        <f>IF($C1577="","",COUNTIF($C$6:$C1577,"?*"))</f>
      </c>
      <c r="B1577" s="217"/>
      <c r="C1577" s="216"/>
      <c r="D1577" s="240"/>
      <c r="E1577" s="218"/>
      <c r="F1577" s="218"/>
      <c r="G1577" s="218"/>
      <c r="H1577" s="219"/>
      <c r="I1577" s="223">
        <f>IF($C1577="","",IF(ISNUMBER(MATCH($C1577,'Phản ánh'!$A$6:$A$505,0)),"Phản ánh",IF(ISNUMBER(MATCH($C1577,'Kế hoạch'!$A$6:$A$305,0)),"Công việc","Mã chưa có")))</f>
      </c>
      <c r="J1577" s="221">
        <f>IF($I1577="Phản ánh",INDEX('Phản ánh'!$C$6:$C$505,MATCH($C1577,'Phản ánh'!$A$6:$A$505,0)),IF($I1577="Công việc",INDEX('Kế hoạch'!$C$6:$C$305,$O1577),""))</f>
      </c>
      <c r="K1577" s="221">
        <f>IF($I1577="Phản ánh",INDEX('Phản ánh'!$K$6:$K$505,MATCH($C1577,'Phản ánh'!$A$6:$A$505,0))&amp;"",IF($I1577="Công việc",INDEX('Kế hoạch'!$N$6:$N$305,$O1577)&amp;"",""))</f>
      </c>
      <c r="L1577" s="220">
        <f>IF(OR($C1577="",N($B1577)=0),"",IF(AND($I1577="Phản ánh",$E1577="Đã xử lý"),INDEX('Phản ánh'!$U$6:$U$505,MATCH($C1577,'Phản ánh'!$A$6:$A$505,0)),IF(AND($I1577="Công việc",OR($E1577="Hoàn thành",$E1577="Hoàn thành kỳ")),IF(INDEX('Kế hoạch'!$B$6:$B$305,$O1577)="Đột xuất",INDEX('Kế hoạch'!$AY$6:$AY$305,$O1577),IF(N($P1577)=0,"",IF(INT($B1577)&lt;$P1577,$P1577,IF($Q1577&gt;0,$P1577+ROUND((INT($B1577)-$P1577)/$Q1577,0)*$Q1577,IF($R1577&gt;0,EDATE($P1577,ROUND((DATEDIF($P1577,INT($B1577),"m")+(INT($B1577)-EDATE($P1577,DATEDIF($P1577,INT($B1577),"m")))/(EDATE($P1577,DATEDIF($P1577,INT($B1577),"m")+1)-EDATE($P1577,DATEDIF($P1577,INT($B1577),"m"))))/$R1577,0)*$R1577),$P1577))))),"")))</f>
      </c>
      <c r="M1577" s="223">
        <f>IF(OR($C1577="",N($L1577)=0,N($B1577)=0),"",IF(IF(MOD($L1577,1)=0,INT($B1577),$B1577)&lt;=$L1577,"Đúng hạn","Trễ hạn"))</f>
      </c>
      <c r="N1577" s="225">
        <f>IF($C1577="","",ROW())</f>
      </c>
      <c r="O1577" s="225">
        <f>IF($I1577="Công việc",MATCH($C1577,'Kế hoạch'!$A$6:$A$305,0),"")</f>
      </c>
      <c r="P1577" s="234">
        <f>IF($O1577="","",INDEX('Kế hoạch'!$I$6:$I$305,$O1577))</f>
      </c>
      <c r="Q1577" s="225">
        <f>IF($O1577="","",INDEX('Kế hoạch'!$AJ$6:$AJ$305,$O1577))</f>
      </c>
      <c r="R1577" s="225">
        <f>IF($O1577="","",INDEX('Kế hoạch'!$AK$6:$AK$305,$O1577))</f>
      </c>
    </row>
    <row r="1578">
      <c r="A1578" s="223">
        <f>IF($C1578="","",COUNTIF($C$6:$C1578,"?*"))</f>
      </c>
      <c r="B1578" s="217"/>
      <c r="C1578" s="216"/>
      <c r="D1578" s="240"/>
      <c r="E1578" s="218"/>
      <c r="F1578" s="218"/>
      <c r="G1578" s="218"/>
      <c r="H1578" s="219"/>
      <c r="I1578" s="223">
        <f>IF($C1578="","",IF(ISNUMBER(MATCH($C1578,'Phản ánh'!$A$6:$A$505,0)),"Phản ánh",IF(ISNUMBER(MATCH($C1578,'Kế hoạch'!$A$6:$A$305,0)),"Công việc","Mã chưa có")))</f>
      </c>
      <c r="J1578" s="221">
        <f>IF($I1578="Phản ánh",INDEX('Phản ánh'!$C$6:$C$505,MATCH($C1578,'Phản ánh'!$A$6:$A$505,0)),IF($I1578="Công việc",INDEX('Kế hoạch'!$C$6:$C$305,$O1578),""))</f>
      </c>
      <c r="K1578" s="221">
        <f>IF($I1578="Phản ánh",INDEX('Phản ánh'!$K$6:$K$505,MATCH($C1578,'Phản ánh'!$A$6:$A$505,0))&amp;"",IF($I1578="Công việc",INDEX('Kế hoạch'!$N$6:$N$305,$O1578)&amp;"",""))</f>
      </c>
      <c r="L1578" s="220">
        <f>IF(OR($C1578="",N($B1578)=0),"",IF(AND($I1578="Phản ánh",$E1578="Đã xử lý"),INDEX('Phản ánh'!$U$6:$U$505,MATCH($C1578,'Phản ánh'!$A$6:$A$505,0)),IF(AND($I1578="Công việc",OR($E1578="Hoàn thành",$E1578="Hoàn thành kỳ")),IF(INDEX('Kế hoạch'!$B$6:$B$305,$O1578)="Đột xuất",INDEX('Kế hoạch'!$AY$6:$AY$305,$O1578),IF(N($P1578)=0,"",IF(INT($B1578)&lt;$P1578,$P1578,IF($Q1578&gt;0,$P1578+ROUND((INT($B1578)-$P1578)/$Q1578,0)*$Q1578,IF($R1578&gt;0,EDATE($P1578,ROUND((DATEDIF($P1578,INT($B1578),"m")+(INT($B1578)-EDATE($P1578,DATEDIF($P1578,INT($B1578),"m")))/(EDATE($P1578,DATEDIF($P1578,INT($B1578),"m")+1)-EDATE($P1578,DATEDIF($P1578,INT($B1578),"m"))))/$R1578,0)*$R1578),$P1578))))),"")))</f>
      </c>
      <c r="M1578" s="223">
        <f>IF(OR($C1578="",N($L1578)=0,N($B1578)=0),"",IF(IF(MOD($L1578,1)=0,INT($B1578),$B1578)&lt;=$L1578,"Đúng hạn","Trễ hạn"))</f>
      </c>
      <c r="N1578" s="225">
        <f>IF($C1578="","",ROW())</f>
      </c>
      <c r="O1578" s="225">
        <f>IF($I1578="Công việc",MATCH($C1578,'Kế hoạch'!$A$6:$A$305,0),"")</f>
      </c>
      <c r="P1578" s="234">
        <f>IF($O1578="","",INDEX('Kế hoạch'!$I$6:$I$305,$O1578))</f>
      </c>
      <c r="Q1578" s="225">
        <f>IF($O1578="","",INDEX('Kế hoạch'!$AJ$6:$AJ$305,$O1578))</f>
      </c>
      <c r="R1578" s="225">
        <f>IF($O1578="","",INDEX('Kế hoạch'!$AK$6:$AK$305,$O1578))</f>
      </c>
    </row>
    <row r="1579">
      <c r="A1579" s="223">
        <f>IF($C1579="","",COUNTIF($C$6:$C1579,"?*"))</f>
      </c>
      <c r="B1579" s="217"/>
      <c r="C1579" s="216"/>
      <c r="D1579" s="240"/>
      <c r="E1579" s="218"/>
      <c r="F1579" s="218"/>
      <c r="G1579" s="218"/>
      <c r="H1579" s="219"/>
      <c r="I1579" s="223">
        <f>IF($C1579="","",IF(ISNUMBER(MATCH($C1579,'Phản ánh'!$A$6:$A$505,0)),"Phản ánh",IF(ISNUMBER(MATCH($C1579,'Kế hoạch'!$A$6:$A$305,0)),"Công việc","Mã chưa có")))</f>
      </c>
      <c r="J1579" s="221">
        <f>IF($I1579="Phản ánh",INDEX('Phản ánh'!$C$6:$C$505,MATCH($C1579,'Phản ánh'!$A$6:$A$505,0)),IF($I1579="Công việc",INDEX('Kế hoạch'!$C$6:$C$305,$O1579),""))</f>
      </c>
      <c r="K1579" s="221">
        <f>IF($I1579="Phản ánh",INDEX('Phản ánh'!$K$6:$K$505,MATCH($C1579,'Phản ánh'!$A$6:$A$505,0))&amp;"",IF($I1579="Công việc",INDEX('Kế hoạch'!$N$6:$N$305,$O1579)&amp;"",""))</f>
      </c>
      <c r="L1579" s="220">
        <f>IF(OR($C1579="",N($B1579)=0),"",IF(AND($I1579="Phản ánh",$E1579="Đã xử lý"),INDEX('Phản ánh'!$U$6:$U$505,MATCH($C1579,'Phản ánh'!$A$6:$A$505,0)),IF(AND($I1579="Công việc",OR($E1579="Hoàn thành",$E1579="Hoàn thành kỳ")),IF(INDEX('Kế hoạch'!$B$6:$B$305,$O1579)="Đột xuất",INDEX('Kế hoạch'!$AY$6:$AY$305,$O1579),IF(N($P1579)=0,"",IF(INT($B1579)&lt;$P1579,$P1579,IF($Q1579&gt;0,$P1579+ROUND((INT($B1579)-$P1579)/$Q1579,0)*$Q1579,IF($R1579&gt;0,EDATE($P1579,ROUND((DATEDIF($P1579,INT($B1579),"m")+(INT($B1579)-EDATE($P1579,DATEDIF($P1579,INT($B1579),"m")))/(EDATE($P1579,DATEDIF($P1579,INT($B1579),"m")+1)-EDATE($P1579,DATEDIF($P1579,INT($B1579),"m"))))/$R1579,0)*$R1579),$P1579))))),"")))</f>
      </c>
      <c r="M1579" s="223">
        <f>IF(OR($C1579="",N($L1579)=0,N($B1579)=0),"",IF(IF(MOD($L1579,1)=0,INT($B1579),$B1579)&lt;=$L1579,"Đúng hạn","Trễ hạn"))</f>
      </c>
      <c r="N1579" s="225">
        <f>IF($C1579="","",ROW())</f>
      </c>
      <c r="O1579" s="225">
        <f>IF($I1579="Công việc",MATCH($C1579,'Kế hoạch'!$A$6:$A$305,0),"")</f>
      </c>
      <c r="P1579" s="234">
        <f>IF($O1579="","",INDEX('Kế hoạch'!$I$6:$I$305,$O1579))</f>
      </c>
      <c r="Q1579" s="225">
        <f>IF($O1579="","",INDEX('Kế hoạch'!$AJ$6:$AJ$305,$O1579))</f>
      </c>
      <c r="R1579" s="225">
        <f>IF($O1579="","",INDEX('Kế hoạch'!$AK$6:$AK$305,$O1579))</f>
      </c>
    </row>
    <row r="1580">
      <c r="A1580" s="223">
        <f>IF($C1580="","",COUNTIF($C$6:$C1580,"?*"))</f>
      </c>
      <c r="B1580" s="217"/>
      <c r="C1580" s="216"/>
      <c r="D1580" s="240"/>
      <c r="E1580" s="218"/>
      <c r="F1580" s="218"/>
      <c r="G1580" s="218"/>
      <c r="H1580" s="219"/>
      <c r="I1580" s="223">
        <f>IF($C1580="","",IF(ISNUMBER(MATCH($C1580,'Phản ánh'!$A$6:$A$505,0)),"Phản ánh",IF(ISNUMBER(MATCH($C1580,'Kế hoạch'!$A$6:$A$305,0)),"Công việc","Mã chưa có")))</f>
      </c>
      <c r="J1580" s="221">
        <f>IF($I1580="Phản ánh",INDEX('Phản ánh'!$C$6:$C$505,MATCH($C1580,'Phản ánh'!$A$6:$A$505,0)),IF($I1580="Công việc",INDEX('Kế hoạch'!$C$6:$C$305,$O1580),""))</f>
      </c>
      <c r="K1580" s="221">
        <f>IF($I1580="Phản ánh",INDEX('Phản ánh'!$K$6:$K$505,MATCH($C1580,'Phản ánh'!$A$6:$A$505,0))&amp;"",IF($I1580="Công việc",INDEX('Kế hoạch'!$N$6:$N$305,$O1580)&amp;"",""))</f>
      </c>
      <c r="L1580" s="220">
        <f>IF(OR($C1580="",N($B1580)=0),"",IF(AND($I1580="Phản ánh",$E1580="Đã xử lý"),INDEX('Phản ánh'!$U$6:$U$505,MATCH($C1580,'Phản ánh'!$A$6:$A$505,0)),IF(AND($I1580="Công việc",OR($E1580="Hoàn thành",$E1580="Hoàn thành kỳ")),IF(INDEX('Kế hoạch'!$B$6:$B$305,$O1580)="Đột xuất",INDEX('Kế hoạch'!$AY$6:$AY$305,$O1580),IF(N($P1580)=0,"",IF(INT($B1580)&lt;$P1580,$P1580,IF($Q1580&gt;0,$P1580+ROUND((INT($B1580)-$P1580)/$Q1580,0)*$Q1580,IF($R1580&gt;0,EDATE($P1580,ROUND((DATEDIF($P1580,INT($B1580),"m")+(INT($B1580)-EDATE($P1580,DATEDIF($P1580,INT($B1580),"m")))/(EDATE($P1580,DATEDIF($P1580,INT($B1580),"m")+1)-EDATE($P1580,DATEDIF($P1580,INT($B1580),"m"))))/$R1580,0)*$R1580),$P1580))))),"")))</f>
      </c>
      <c r="M1580" s="223">
        <f>IF(OR($C1580="",N($L1580)=0,N($B1580)=0),"",IF(IF(MOD($L1580,1)=0,INT($B1580),$B1580)&lt;=$L1580,"Đúng hạn","Trễ hạn"))</f>
      </c>
      <c r="N1580" s="225">
        <f>IF($C1580="","",ROW())</f>
      </c>
      <c r="O1580" s="225">
        <f>IF($I1580="Công việc",MATCH($C1580,'Kế hoạch'!$A$6:$A$305,0),"")</f>
      </c>
      <c r="P1580" s="234">
        <f>IF($O1580="","",INDEX('Kế hoạch'!$I$6:$I$305,$O1580))</f>
      </c>
      <c r="Q1580" s="225">
        <f>IF($O1580="","",INDEX('Kế hoạch'!$AJ$6:$AJ$305,$O1580))</f>
      </c>
      <c r="R1580" s="225">
        <f>IF($O1580="","",INDEX('Kế hoạch'!$AK$6:$AK$305,$O1580))</f>
      </c>
    </row>
    <row r="1581">
      <c r="A1581" s="223">
        <f>IF($C1581="","",COUNTIF($C$6:$C1581,"?*"))</f>
      </c>
      <c r="B1581" s="217"/>
      <c r="C1581" s="216"/>
      <c r="D1581" s="240"/>
      <c r="E1581" s="218"/>
      <c r="F1581" s="218"/>
      <c r="G1581" s="218"/>
      <c r="H1581" s="219"/>
      <c r="I1581" s="223">
        <f>IF($C1581="","",IF(ISNUMBER(MATCH($C1581,'Phản ánh'!$A$6:$A$505,0)),"Phản ánh",IF(ISNUMBER(MATCH($C1581,'Kế hoạch'!$A$6:$A$305,0)),"Công việc","Mã chưa có")))</f>
      </c>
      <c r="J1581" s="221">
        <f>IF($I1581="Phản ánh",INDEX('Phản ánh'!$C$6:$C$505,MATCH($C1581,'Phản ánh'!$A$6:$A$505,0)),IF($I1581="Công việc",INDEX('Kế hoạch'!$C$6:$C$305,$O1581),""))</f>
      </c>
      <c r="K1581" s="221">
        <f>IF($I1581="Phản ánh",INDEX('Phản ánh'!$K$6:$K$505,MATCH($C1581,'Phản ánh'!$A$6:$A$505,0))&amp;"",IF($I1581="Công việc",INDEX('Kế hoạch'!$N$6:$N$305,$O1581)&amp;"",""))</f>
      </c>
      <c r="L1581" s="220">
        <f>IF(OR($C1581="",N($B1581)=0),"",IF(AND($I1581="Phản ánh",$E1581="Đã xử lý"),INDEX('Phản ánh'!$U$6:$U$505,MATCH($C1581,'Phản ánh'!$A$6:$A$505,0)),IF(AND($I1581="Công việc",OR($E1581="Hoàn thành",$E1581="Hoàn thành kỳ")),IF(INDEX('Kế hoạch'!$B$6:$B$305,$O1581)="Đột xuất",INDEX('Kế hoạch'!$AY$6:$AY$305,$O1581),IF(N($P1581)=0,"",IF(INT($B1581)&lt;$P1581,$P1581,IF($Q1581&gt;0,$P1581+ROUND((INT($B1581)-$P1581)/$Q1581,0)*$Q1581,IF($R1581&gt;0,EDATE($P1581,ROUND((DATEDIF($P1581,INT($B1581),"m")+(INT($B1581)-EDATE($P1581,DATEDIF($P1581,INT($B1581),"m")))/(EDATE($P1581,DATEDIF($P1581,INT($B1581),"m")+1)-EDATE($P1581,DATEDIF($P1581,INT($B1581),"m"))))/$R1581,0)*$R1581),$P1581))))),"")))</f>
      </c>
      <c r="M1581" s="223">
        <f>IF(OR($C1581="",N($L1581)=0,N($B1581)=0),"",IF(IF(MOD($L1581,1)=0,INT($B1581),$B1581)&lt;=$L1581,"Đúng hạn","Trễ hạn"))</f>
      </c>
      <c r="N1581" s="225">
        <f>IF($C1581="","",ROW())</f>
      </c>
      <c r="O1581" s="225">
        <f>IF($I1581="Công việc",MATCH($C1581,'Kế hoạch'!$A$6:$A$305,0),"")</f>
      </c>
      <c r="P1581" s="234">
        <f>IF($O1581="","",INDEX('Kế hoạch'!$I$6:$I$305,$O1581))</f>
      </c>
      <c r="Q1581" s="225">
        <f>IF($O1581="","",INDEX('Kế hoạch'!$AJ$6:$AJ$305,$O1581))</f>
      </c>
      <c r="R1581" s="225">
        <f>IF($O1581="","",INDEX('Kế hoạch'!$AK$6:$AK$305,$O1581))</f>
      </c>
    </row>
    <row r="1582">
      <c r="A1582" s="223">
        <f>IF($C1582="","",COUNTIF($C$6:$C1582,"?*"))</f>
      </c>
      <c r="B1582" s="217"/>
      <c r="C1582" s="216"/>
      <c r="D1582" s="240"/>
      <c r="E1582" s="218"/>
      <c r="F1582" s="218"/>
      <c r="G1582" s="218"/>
      <c r="H1582" s="219"/>
      <c r="I1582" s="223">
        <f>IF($C1582="","",IF(ISNUMBER(MATCH($C1582,'Phản ánh'!$A$6:$A$505,0)),"Phản ánh",IF(ISNUMBER(MATCH($C1582,'Kế hoạch'!$A$6:$A$305,0)),"Công việc","Mã chưa có")))</f>
      </c>
      <c r="J1582" s="221">
        <f>IF($I1582="Phản ánh",INDEX('Phản ánh'!$C$6:$C$505,MATCH($C1582,'Phản ánh'!$A$6:$A$505,0)),IF($I1582="Công việc",INDEX('Kế hoạch'!$C$6:$C$305,$O1582),""))</f>
      </c>
      <c r="K1582" s="221">
        <f>IF($I1582="Phản ánh",INDEX('Phản ánh'!$K$6:$K$505,MATCH($C1582,'Phản ánh'!$A$6:$A$505,0))&amp;"",IF($I1582="Công việc",INDEX('Kế hoạch'!$N$6:$N$305,$O1582)&amp;"",""))</f>
      </c>
      <c r="L1582" s="220">
        <f>IF(OR($C1582="",N($B1582)=0),"",IF(AND($I1582="Phản ánh",$E1582="Đã xử lý"),INDEX('Phản ánh'!$U$6:$U$505,MATCH($C1582,'Phản ánh'!$A$6:$A$505,0)),IF(AND($I1582="Công việc",OR($E1582="Hoàn thành",$E1582="Hoàn thành kỳ")),IF(INDEX('Kế hoạch'!$B$6:$B$305,$O1582)="Đột xuất",INDEX('Kế hoạch'!$AY$6:$AY$305,$O1582),IF(N($P1582)=0,"",IF(INT($B1582)&lt;$P1582,$P1582,IF($Q1582&gt;0,$P1582+ROUND((INT($B1582)-$P1582)/$Q1582,0)*$Q1582,IF($R1582&gt;0,EDATE($P1582,ROUND((DATEDIF($P1582,INT($B1582),"m")+(INT($B1582)-EDATE($P1582,DATEDIF($P1582,INT($B1582),"m")))/(EDATE($P1582,DATEDIF($P1582,INT($B1582),"m")+1)-EDATE($P1582,DATEDIF($P1582,INT($B1582),"m"))))/$R1582,0)*$R1582),$P1582))))),"")))</f>
      </c>
      <c r="M1582" s="223">
        <f>IF(OR($C1582="",N($L1582)=0,N($B1582)=0),"",IF(IF(MOD($L1582,1)=0,INT($B1582),$B1582)&lt;=$L1582,"Đúng hạn","Trễ hạn"))</f>
      </c>
      <c r="N1582" s="225">
        <f>IF($C1582="","",ROW())</f>
      </c>
      <c r="O1582" s="225">
        <f>IF($I1582="Công việc",MATCH($C1582,'Kế hoạch'!$A$6:$A$305,0),"")</f>
      </c>
      <c r="P1582" s="234">
        <f>IF($O1582="","",INDEX('Kế hoạch'!$I$6:$I$305,$O1582))</f>
      </c>
      <c r="Q1582" s="225">
        <f>IF($O1582="","",INDEX('Kế hoạch'!$AJ$6:$AJ$305,$O1582))</f>
      </c>
      <c r="R1582" s="225">
        <f>IF($O1582="","",INDEX('Kế hoạch'!$AK$6:$AK$305,$O1582))</f>
      </c>
    </row>
    <row r="1583">
      <c r="A1583" s="223">
        <f>IF($C1583="","",COUNTIF($C$6:$C1583,"?*"))</f>
      </c>
      <c r="B1583" s="217"/>
      <c r="C1583" s="216"/>
      <c r="D1583" s="240"/>
      <c r="E1583" s="218"/>
      <c r="F1583" s="218"/>
      <c r="G1583" s="218"/>
      <c r="H1583" s="219"/>
      <c r="I1583" s="223">
        <f>IF($C1583="","",IF(ISNUMBER(MATCH($C1583,'Phản ánh'!$A$6:$A$505,0)),"Phản ánh",IF(ISNUMBER(MATCH($C1583,'Kế hoạch'!$A$6:$A$305,0)),"Công việc","Mã chưa có")))</f>
      </c>
      <c r="J1583" s="221">
        <f>IF($I1583="Phản ánh",INDEX('Phản ánh'!$C$6:$C$505,MATCH($C1583,'Phản ánh'!$A$6:$A$505,0)),IF($I1583="Công việc",INDEX('Kế hoạch'!$C$6:$C$305,$O1583),""))</f>
      </c>
      <c r="K1583" s="221">
        <f>IF($I1583="Phản ánh",INDEX('Phản ánh'!$K$6:$K$505,MATCH($C1583,'Phản ánh'!$A$6:$A$505,0))&amp;"",IF($I1583="Công việc",INDEX('Kế hoạch'!$N$6:$N$305,$O1583)&amp;"",""))</f>
      </c>
      <c r="L1583" s="220">
        <f>IF(OR($C1583="",N($B1583)=0),"",IF(AND($I1583="Phản ánh",$E1583="Đã xử lý"),INDEX('Phản ánh'!$U$6:$U$505,MATCH($C1583,'Phản ánh'!$A$6:$A$505,0)),IF(AND($I1583="Công việc",OR($E1583="Hoàn thành",$E1583="Hoàn thành kỳ")),IF(INDEX('Kế hoạch'!$B$6:$B$305,$O1583)="Đột xuất",INDEX('Kế hoạch'!$AY$6:$AY$305,$O1583),IF(N($P1583)=0,"",IF(INT($B1583)&lt;$P1583,$P1583,IF($Q1583&gt;0,$P1583+ROUND((INT($B1583)-$P1583)/$Q1583,0)*$Q1583,IF($R1583&gt;0,EDATE($P1583,ROUND((DATEDIF($P1583,INT($B1583),"m")+(INT($B1583)-EDATE($P1583,DATEDIF($P1583,INT($B1583),"m")))/(EDATE($P1583,DATEDIF($P1583,INT($B1583),"m")+1)-EDATE($P1583,DATEDIF($P1583,INT($B1583),"m"))))/$R1583,0)*$R1583),$P1583))))),"")))</f>
      </c>
      <c r="M1583" s="223">
        <f>IF(OR($C1583="",N($L1583)=0,N($B1583)=0),"",IF(IF(MOD($L1583,1)=0,INT($B1583),$B1583)&lt;=$L1583,"Đúng hạn","Trễ hạn"))</f>
      </c>
      <c r="N1583" s="225">
        <f>IF($C1583="","",ROW())</f>
      </c>
      <c r="O1583" s="225">
        <f>IF($I1583="Công việc",MATCH($C1583,'Kế hoạch'!$A$6:$A$305,0),"")</f>
      </c>
      <c r="P1583" s="234">
        <f>IF($O1583="","",INDEX('Kế hoạch'!$I$6:$I$305,$O1583))</f>
      </c>
      <c r="Q1583" s="225">
        <f>IF($O1583="","",INDEX('Kế hoạch'!$AJ$6:$AJ$305,$O1583))</f>
      </c>
      <c r="R1583" s="225">
        <f>IF($O1583="","",INDEX('Kế hoạch'!$AK$6:$AK$305,$O1583))</f>
      </c>
    </row>
    <row r="1584">
      <c r="A1584" s="223">
        <f>IF($C1584="","",COUNTIF($C$6:$C1584,"?*"))</f>
      </c>
      <c r="B1584" s="217"/>
      <c r="C1584" s="216"/>
      <c r="D1584" s="240"/>
      <c r="E1584" s="218"/>
      <c r="F1584" s="218"/>
      <c r="G1584" s="218"/>
      <c r="H1584" s="219"/>
      <c r="I1584" s="223">
        <f>IF($C1584="","",IF(ISNUMBER(MATCH($C1584,'Phản ánh'!$A$6:$A$505,0)),"Phản ánh",IF(ISNUMBER(MATCH($C1584,'Kế hoạch'!$A$6:$A$305,0)),"Công việc","Mã chưa có")))</f>
      </c>
      <c r="J1584" s="221">
        <f>IF($I1584="Phản ánh",INDEX('Phản ánh'!$C$6:$C$505,MATCH($C1584,'Phản ánh'!$A$6:$A$505,0)),IF($I1584="Công việc",INDEX('Kế hoạch'!$C$6:$C$305,$O1584),""))</f>
      </c>
      <c r="K1584" s="221">
        <f>IF($I1584="Phản ánh",INDEX('Phản ánh'!$K$6:$K$505,MATCH($C1584,'Phản ánh'!$A$6:$A$505,0))&amp;"",IF($I1584="Công việc",INDEX('Kế hoạch'!$N$6:$N$305,$O1584)&amp;"",""))</f>
      </c>
      <c r="L1584" s="220">
        <f>IF(OR($C1584="",N($B1584)=0),"",IF(AND($I1584="Phản ánh",$E1584="Đã xử lý"),INDEX('Phản ánh'!$U$6:$U$505,MATCH($C1584,'Phản ánh'!$A$6:$A$505,0)),IF(AND($I1584="Công việc",OR($E1584="Hoàn thành",$E1584="Hoàn thành kỳ")),IF(INDEX('Kế hoạch'!$B$6:$B$305,$O1584)="Đột xuất",INDEX('Kế hoạch'!$AY$6:$AY$305,$O1584),IF(N($P1584)=0,"",IF(INT($B1584)&lt;$P1584,$P1584,IF($Q1584&gt;0,$P1584+ROUND((INT($B1584)-$P1584)/$Q1584,0)*$Q1584,IF($R1584&gt;0,EDATE($P1584,ROUND((DATEDIF($P1584,INT($B1584),"m")+(INT($B1584)-EDATE($P1584,DATEDIF($P1584,INT($B1584),"m")))/(EDATE($P1584,DATEDIF($P1584,INT($B1584),"m")+1)-EDATE($P1584,DATEDIF($P1584,INT($B1584),"m"))))/$R1584,0)*$R1584),$P1584))))),"")))</f>
      </c>
      <c r="M1584" s="223">
        <f>IF(OR($C1584="",N($L1584)=0,N($B1584)=0),"",IF(IF(MOD($L1584,1)=0,INT($B1584),$B1584)&lt;=$L1584,"Đúng hạn","Trễ hạn"))</f>
      </c>
      <c r="N1584" s="225">
        <f>IF($C1584="","",ROW())</f>
      </c>
      <c r="O1584" s="225">
        <f>IF($I1584="Công việc",MATCH($C1584,'Kế hoạch'!$A$6:$A$305,0),"")</f>
      </c>
      <c r="P1584" s="234">
        <f>IF($O1584="","",INDEX('Kế hoạch'!$I$6:$I$305,$O1584))</f>
      </c>
      <c r="Q1584" s="225">
        <f>IF($O1584="","",INDEX('Kế hoạch'!$AJ$6:$AJ$305,$O1584))</f>
      </c>
      <c r="R1584" s="225">
        <f>IF($O1584="","",INDEX('Kế hoạch'!$AK$6:$AK$305,$O1584))</f>
      </c>
    </row>
    <row r="1585">
      <c r="A1585" s="223">
        <f>IF($C1585="","",COUNTIF($C$6:$C1585,"?*"))</f>
      </c>
      <c r="B1585" s="217"/>
      <c r="C1585" s="216"/>
      <c r="D1585" s="240"/>
      <c r="E1585" s="218"/>
      <c r="F1585" s="218"/>
      <c r="G1585" s="218"/>
      <c r="H1585" s="219"/>
      <c r="I1585" s="223">
        <f>IF($C1585="","",IF(ISNUMBER(MATCH($C1585,'Phản ánh'!$A$6:$A$505,0)),"Phản ánh",IF(ISNUMBER(MATCH($C1585,'Kế hoạch'!$A$6:$A$305,0)),"Công việc","Mã chưa có")))</f>
      </c>
      <c r="J1585" s="221">
        <f>IF($I1585="Phản ánh",INDEX('Phản ánh'!$C$6:$C$505,MATCH($C1585,'Phản ánh'!$A$6:$A$505,0)),IF($I1585="Công việc",INDEX('Kế hoạch'!$C$6:$C$305,$O1585),""))</f>
      </c>
      <c r="K1585" s="221">
        <f>IF($I1585="Phản ánh",INDEX('Phản ánh'!$K$6:$K$505,MATCH($C1585,'Phản ánh'!$A$6:$A$505,0))&amp;"",IF($I1585="Công việc",INDEX('Kế hoạch'!$N$6:$N$305,$O1585)&amp;"",""))</f>
      </c>
      <c r="L1585" s="220">
        <f>IF(OR($C1585="",N($B1585)=0),"",IF(AND($I1585="Phản ánh",$E1585="Đã xử lý"),INDEX('Phản ánh'!$U$6:$U$505,MATCH($C1585,'Phản ánh'!$A$6:$A$505,0)),IF(AND($I1585="Công việc",OR($E1585="Hoàn thành",$E1585="Hoàn thành kỳ")),IF(INDEX('Kế hoạch'!$B$6:$B$305,$O1585)="Đột xuất",INDEX('Kế hoạch'!$AY$6:$AY$305,$O1585),IF(N($P1585)=0,"",IF(INT($B1585)&lt;$P1585,$P1585,IF($Q1585&gt;0,$P1585+ROUND((INT($B1585)-$P1585)/$Q1585,0)*$Q1585,IF($R1585&gt;0,EDATE($P1585,ROUND((DATEDIF($P1585,INT($B1585),"m")+(INT($B1585)-EDATE($P1585,DATEDIF($P1585,INT($B1585),"m")))/(EDATE($P1585,DATEDIF($P1585,INT($B1585),"m")+1)-EDATE($P1585,DATEDIF($P1585,INT($B1585),"m"))))/$R1585,0)*$R1585),$P1585))))),"")))</f>
      </c>
      <c r="M1585" s="223">
        <f>IF(OR($C1585="",N($L1585)=0,N($B1585)=0),"",IF(IF(MOD($L1585,1)=0,INT($B1585),$B1585)&lt;=$L1585,"Đúng hạn","Trễ hạn"))</f>
      </c>
      <c r="N1585" s="225">
        <f>IF($C1585="","",ROW())</f>
      </c>
      <c r="O1585" s="225">
        <f>IF($I1585="Công việc",MATCH($C1585,'Kế hoạch'!$A$6:$A$305,0),"")</f>
      </c>
      <c r="P1585" s="234">
        <f>IF($O1585="","",INDEX('Kế hoạch'!$I$6:$I$305,$O1585))</f>
      </c>
      <c r="Q1585" s="225">
        <f>IF($O1585="","",INDEX('Kế hoạch'!$AJ$6:$AJ$305,$O1585))</f>
      </c>
      <c r="R1585" s="225">
        <f>IF($O1585="","",INDEX('Kế hoạch'!$AK$6:$AK$305,$O1585))</f>
      </c>
    </row>
    <row r="1586">
      <c r="A1586" s="223">
        <f>IF($C1586="","",COUNTIF($C$6:$C1586,"?*"))</f>
      </c>
      <c r="B1586" s="217"/>
      <c r="C1586" s="216"/>
      <c r="D1586" s="240"/>
      <c r="E1586" s="218"/>
      <c r="F1586" s="218"/>
      <c r="G1586" s="218"/>
      <c r="H1586" s="219"/>
      <c r="I1586" s="223">
        <f>IF($C1586="","",IF(ISNUMBER(MATCH($C1586,'Phản ánh'!$A$6:$A$505,0)),"Phản ánh",IF(ISNUMBER(MATCH($C1586,'Kế hoạch'!$A$6:$A$305,0)),"Công việc","Mã chưa có")))</f>
      </c>
      <c r="J1586" s="221">
        <f>IF($I1586="Phản ánh",INDEX('Phản ánh'!$C$6:$C$505,MATCH($C1586,'Phản ánh'!$A$6:$A$505,0)),IF($I1586="Công việc",INDEX('Kế hoạch'!$C$6:$C$305,$O1586),""))</f>
      </c>
      <c r="K1586" s="221">
        <f>IF($I1586="Phản ánh",INDEX('Phản ánh'!$K$6:$K$505,MATCH($C1586,'Phản ánh'!$A$6:$A$505,0))&amp;"",IF($I1586="Công việc",INDEX('Kế hoạch'!$N$6:$N$305,$O1586)&amp;"",""))</f>
      </c>
      <c r="L1586" s="220">
        <f>IF(OR($C1586="",N($B1586)=0),"",IF(AND($I1586="Phản ánh",$E1586="Đã xử lý"),INDEX('Phản ánh'!$U$6:$U$505,MATCH($C1586,'Phản ánh'!$A$6:$A$505,0)),IF(AND($I1586="Công việc",OR($E1586="Hoàn thành",$E1586="Hoàn thành kỳ")),IF(INDEX('Kế hoạch'!$B$6:$B$305,$O1586)="Đột xuất",INDEX('Kế hoạch'!$AY$6:$AY$305,$O1586),IF(N($P1586)=0,"",IF(INT($B1586)&lt;$P1586,$P1586,IF($Q1586&gt;0,$P1586+ROUND((INT($B1586)-$P1586)/$Q1586,0)*$Q1586,IF($R1586&gt;0,EDATE($P1586,ROUND((DATEDIF($P1586,INT($B1586),"m")+(INT($B1586)-EDATE($P1586,DATEDIF($P1586,INT($B1586),"m")))/(EDATE($P1586,DATEDIF($P1586,INT($B1586),"m")+1)-EDATE($P1586,DATEDIF($P1586,INT($B1586),"m"))))/$R1586,0)*$R1586),$P1586))))),"")))</f>
      </c>
      <c r="M1586" s="223">
        <f>IF(OR($C1586="",N($L1586)=0,N($B1586)=0),"",IF(IF(MOD($L1586,1)=0,INT($B1586),$B1586)&lt;=$L1586,"Đúng hạn","Trễ hạn"))</f>
      </c>
      <c r="N1586" s="225">
        <f>IF($C1586="","",ROW())</f>
      </c>
      <c r="O1586" s="225">
        <f>IF($I1586="Công việc",MATCH($C1586,'Kế hoạch'!$A$6:$A$305,0),"")</f>
      </c>
      <c r="P1586" s="234">
        <f>IF($O1586="","",INDEX('Kế hoạch'!$I$6:$I$305,$O1586))</f>
      </c>
      <c r="Q1586" s="225">
        <f>IF($O1586="","",INDEX('Kế hoạch'!$AJ$6:$AJ$305,$O1586))</f>
      </c>
      <c r="R1586" s="225">
        <f>IF($O1586="","",INDEX('Kế hoạch'!$AK$6:$AK$305,$O1586))</f>
      </c>
    </row>
    <row r="1587">
      <c r="A1587" s="223">
        <f>IF($C1587="","",COUNTIF($C$6:$C1587,"?*"))</f>
      </c>
      <c r="B1587" s="217"/>
      <c r="C1587" s="216"/>
      <c r="D1587" s="240"/>
      <c r="E1587" s="218"/>
      <c r="F1587" s="218"/>
      <c r="G1587" s="218"/>
      <c r="H1587" s="219"/>
      <c r="I1587" s="223">
        <f>IF($C1587="","",IF(ISNUMBER(MATCH($C1587,'Phản ánh'!$A$6:$A$505,0)),"Phản ánh",IF(ISNUMBER(MATCH($C1587,'Kế hoạch'!$A$6:$A$305,0)),"Công việc","Mã chưa có")))</f>
      </c>
      <c r="J1587" s="221">
        <f>IF($I1587="Phản ánh",INDEX('Phản ánh'!$C$6:$C$505,MATCH($C1587,'Phản ánh'!$A$6:$A$505,0)),IF($I1587="Công việc",INDEX('Kế hoạch'!$C$6:$C$305,$O1587),""))</f>
      </c>
      <c r="K1587" s="221">
        <f>IF($I1587="Phản ánh",INDEX('Phản ánh'!$K$6:$K$505,MATCH($C1587,'Phản ánh'!$A$6:$A$505,0))&amp;"",IF($I1587="Công việc",INDEX('Kế hoạch'!$N$6:$N$305,$O1587)&amp;"",""))</f>
      </c>
      <c r="L1587" s="220">
        <f>IF(OR($C1587="",N($B1587)=0),"",IF(AND($I1587="Phản ánh",$E1587="Đã xử lý"),INDEX('Phản ánh'!$U$6:$U$505,MATCH($C1587,'Phản ánh'!$A$6:$A$505,0)),IF(AND($I1587="Công việc",OR($E1587="Hoàn thành",$E1587="Hoàn thành kỳ")),IF(INDEX('Kế hoạch'!$B$6:$B$305,$O1587)="Đột xuất",INDEX('Kế hoạch'!$AY$6:$AY$305,$O1587),IF(N($P1587)=0,"",IF(INT($B1587)&lt;$P1587,$P1587,IF($Q1587&gt;0,$P1587+ROUND((INT($B1587)-$P1587)/$Q1587,0)*$Q1587,IF($R1587&gt;0,EDATE($P1587,ROUND((DATEDIF($P1587,INT($B1587),"m")+(INT($B1587)-EDATE($P1587,DATEDIF($P1587,INT($B1587),"m")))/(EDATE($P1587,DATEDIF($P1587,INT($B1587),"m")+1)-EDATE($P1587,DATEDIF($P1587,INT($B1587),"m"))))/$R1587,0)*$R1587),$P1587))))),"")))</f>
      </c>
      <c r="M1587" s="223">
        <f>IF(OR($C1587="",N($L1587)=0,N($B1587)=0),"",IF(IF(MOD($L1587,1)=0,INT($B1587),$B1587)&lt;=$L1587,"Đúng hạn","Trễ hạn"))</f>
      </c>
      <c r="N1587" s="225">
        <f>IF($C1587="","",ROW())</f>
      </c>
      <c r="O1587" s="225">
        <f>IF($I1587="Công việc",MATCH($C1587,'Kế hoạch'!$A$6:$A$305,0),"")</f>
      </c>
      <c r="P1587" s="234">
        <f>IF($O1587="","",INDEX('Kế hoạch'!$I$6:$I$305,$O1587))</f>
      </c>
      <c r="Q1587" s="225">
        <f>IF($O1587="","",INDEX('Kế hoạch'!$AJ$6:$AJ$305,$O1587))</f>
      </c>
      <c r="R1587" s="225">
        <f>IF($O1587="","",INDEX('Kế hoạch'!$AK$6:$AK$305,$O1587))</f>
      </c>
    </row>
    <row r="1588">
      <c r="A1588" s="223">
        <f>IF($C1588="","",COUNTIF($C$6:$C1588,"?*"))</f>
      </c>
      <c r="B1588" s="217"/>
      <c r="C1588" s="216"/>
      <c r="D1588" s="240"/>
      <c r="E1588" s="218"/>
      <c r="F1588" s="218"/>
      <c r="G1588" s="218"/>
      <c r="H1588" s="219"/>
      <c r="I1588" s="223">
        <f>IF($C1588="","",IF(ISNUMBER(MATCH($C1588,'Phản ánh'!$A$6:$A$505,0)),"Phản ánh",IF(ISNUMBER(MATCH($C1588,'Kế hoạch'!$A$6:$A$305,0)),"Công việc","Mã chưa có")))</f>
      </c>
      <c r="J1588" s="221">
        <f>IF($I1588="Phản ánh",INDEX('Phản ánh'!$C$6:$C$505,MATCH($C1588,'Phản ánh'!$A$6:$A$505,0)),IF($I1588="Công việc",INDEX('Kế hoạch'!$C$6:$C$305,$O1588),""))</f>
      </c>
      <c r="K1588" s="221">
        <f>IF($I1588="Phản ánh",INDEX('Phản ánh'!$K$6:$K$505,MATCH($C1588,'Phản ánh'!$A$6:$A$505,0))&amp;"",IF($I1588="Công việc",INDEX('Kế hoạch'!$N$6:$N$305,$O1588)&amp;"",""))</f>
      </c>
      <c r="L1588" s="220">
        <f>IF(OR($C1588="",N($B1588)=0),"",IF(AND($I1588="Phản ánh",$E1588="Đã xử lý"),INDEX('Phản ánh'!$U$6:$U$505,MATCH($C1588,'Phản ánh'!$A$6:$A$505,0)),IF(AND($I1588="Công việc",OR($E1588="Hoàn thành",$E1588="Hoàn thành kỳ")),IF(INDEX('Kế hoạch'!$B$6:$B$305,$O1588)="Đột xuất",INDEX('Kế hoạch'!$AY$6:$AY$305,$O1588),IF(N($P1588)=0,"",IF(INT($B1588)&lt;$P1588,$P1588,IF($Q1588&gt;0,$P1588+ROUND((INT($B1588)-$P1588)/$Q1588,0)*$Q1588,IF($R1588&gt;0,EDATE($P1588,ROUND((DATEDIF($P1588,INT($B1588),"m")+(INT($B1588)-EDATE($P1588,DATEDIF($P1588,INT($B1588),"m")))/(EDATE($P1588,DATEDIF($P1588,INT($B1588),"m")+1)-EDATE($P1588,DATEDIF($P1588,INT($B1588),"m"))))/$R1588,0)*$R1588),$P1588))))),"")))</f>
      </c>
      <c r="M1588" s="223">
        <f>IF(OR($C1588="",N($L1588)=0,N($B1588)=0),"",IF(IF(MOD($L1588,1)=0,INT($B1588),$B1588)&lt;=$L1588,"Đúng hạn","Trễ hạn"))</f>
      </c>
      <c r="N1588" s="225">
        <f>IF($C1588="","",ROW())</f>
      </c>
      <c r="O1588" s="225">
        <f>IF($I1588="Công việc",MATCH($C1588,'Kế hoạch'!$A$6:$A$305,0),"")</f>
      </c>
      <c r="P1588" s="234">
        <f>IF($O1588="","",INDEX('Kế hoạch'!$I$6:$I$305,$O1588))</f>
      </c>
      <c r="Q1588" s="225">
        <f>IF($O1588="","",INDEX('Kế hoạch'!$AJ$6:$AJ$305,$O1588))</f>
      </c>
      <c r="R1588" s="225">
        <f>IF($O1588="","",INDEX('Kế hoạch'!$AK$6:$AK$305,$O1588))</f>
      </c>
    </row>
    <row r="1589">
      <c r="A1589" s="223">
        <f>IF($C1589="","",COUNTIF($C$6:$C1589,"?*"))</f>
      </c>
      <c r="B1589" s="217"/>
      <c r="C1589" s="216"/>
      <c r="D1589" s="240"/>
      <c r="E1589" s="218"/>
      <c r="F1589" s="218"/>
      <c r="G1589" s="218"/>
      <c r="H1589" s="219"/>
      <c r="I1589" s="223">
        <f>IF($C1589="","",IF(ISNUMBER(MATCH($C1589,'Phản ánh'!$A$6:$A$505,0)),"Phản ánh",IF(ISNUMBER(MATCH($C1589,'Kế hoạch'!$A$6:$A$305,0)),"Công việc","Mã chưa có")))</f>
      </c>
      <c r="J1589" s="221">
        <f>IF($I1589="Phản ánh",INDEX('Phản ánh'!$C$6:$C$505,MATCH($C1589,'Phản ánh'!$A$6:$A$505,0)),IF($I1589="Công việc",INDEX('Kế hoạch'!$C$6:$C$305,$O1589),""))</f>
      </c>
      <c r="K1589" s="221">
        <f>IF($I1589="Phản ánh",INDEX('Phản ánh'!$K$6:$K$505,MATCH($C1589,'Phản ánh'!$A$6:$A$505,0))&amp;"",IF($I1589="Công việc",INDEX('Kế hoạch'!$N$6:$N$305,$O1589)&amp;"",""))</f>
      </c>
      <c r="L1589" s="220">
        <f>IF(OR($C1589="",N($B1589)=0),"",IF(AND($I1589="Phản ánh",$E1589="Đã xử lý"),INDEX('Phản ánh'!$U$6:$U$505,MATCH($C1589,'Phản ánh'!$A$6:$A$505,0)),IF(AND($I1589="Công việc",OR($E1589="Hoàn thành",$E1589="Hoàn thành kỳ")),IF(INDEX('Kế hoạch'!$B$6:$B$305,$O1589)="Đột xuất",INDEX('Kế hoạch'!$AY$6:$AY$305,$O1589),IF(N($P1589)=0,"",IF(INT($B1589)&lt;$P1589,$P1589,IF($Q1589&gt;0,$P1589+ROUND((INT($B1589)-$P1589)/$Q1589,0)*$Q1589,IF($R1589&gt;0,EDATE($P1589,ROUND((DATEDIF($P1589,INT($B1589),"m")+(INT($B1589)-EDATE($P1589,DATEDIF($P1589,INT($B1589),"m")))/(EDATE($P1589,DATEDIF($P1589,INT($B1589),"m")+1)-EDATE($P1589,DATEDIF($P1589,INT($B1589),"m"))))/$R1589,0)*$R1589),$P1589))))),"")))</f>
      </c>
      <c r="M1589" s="223">
        <f>IF(OR($C1589="",N($L1589)=0,N($B1589)=0),"",IF(IF(MOD($L1589,1)=0,INT($B1589),$B1589)&lt;=$L1589,"Đúng hạn","Trễ hạn"))</f>
      </c>
      <c r="N1589" s="225">
        <f>IF($C1589="","",ROW())</f>
      </c>
      <c r="O1589" s="225">
        <f>IF($I1589="Công việc",MATCH($C1589,'Kế hoạch'!$A$6:$A$305,0),"")</f>
      </c>
      <c r="P1589" s="234">
        <f>IF($O1589="","",INDEX('Kế hoạch'!$I$6:$I$305,$O1589))</f>
      </c>
      <c r="Q1589" s="225">
        <f>IF($O1589="","",INDEX('Kế hoạch'!$AJ$6:$AJ$305,$O1589))</f>
      </c>
      <c r="R1589" s="225">
        <f>IF($O1589="","",INDEX('Kế hoạch'!$AK$6:$AK$305,$O1589))</f>
      </c>
    </row>
    <row r="1590">
      <c r="A1590" s="223">
        <f>IF($C1590="","",COUNTIF($C$6:$C1590,"?*"))</f>
      </c>
      <c r="B1590" s="217"/>
      <c r="C1590" s="216"/>
      <c r="D1590" s="240"/>
      <c r="E1590" s="218"/>
      <c r="F1590" s="218"/>
      <c r="G1590" s="218"/>
      <c r="H1590" s="219"/>
      <c r="I1590" s="223">
        <f>IF($C1590="","",IF(ISNUMBER(MATCH($C1590,'Phản ánh'!$A$6:$A$505,0)),"Phản ánh",IF(ISNUMBER(MATCH($C1590,'Kế hoạch'!$A$6:$A$305,0)),"Công việc","Mã chưa có")))</f>
      </c>
      <c r="J1590" s="221">
        <f>IF($I1590="Phản ánh",INDEX('Phản ánh'!$C$6:$C$505,MATCH($C1590,'Phản ánh'!$A$6:$A$505,0)),IF($I1590="Công việc",INDEX('Kế hoạch'!$C$6:$C$305,$O1590),""))</f>
      </c>
      <c r="K1590" s="221">
        <f>IF($I1590="Phản ánh",INDEX('Phản ánh'!$K$6:$K$505,MATCH($C1590,'Phản ánh'!$A$6:$A$505,0))&amp;"",IF($I1590="Công việc",INDEX('Kế hoạch'!$N$6:$N$305,$O1590)&amp;"",""))</f>
      </c>
      <c r="L1590" s="220">
        <f>IF(OR($C1590="",N($B1590)=0),"",IF(AND($I1590="Phản ánh",$E1590="Đã xử lý"),INDEX('Phản ánh'!$U$6:$U$505,MATCH($C1590,'Phản ánh'!$A$6:$A$505,0)),IF(AND($I1590="Công việc",OR($E1590="Hoàn thành",$E1590="Hoàn thành kỳ")),IF(INDEX('Kế hoạch'!$B$6:$B$305,$O1590)="Đột xuất",INDEX('Kế hoạch'!$AY$6:$AY$305,$O1590),IF(N($P1590)=0,"",IF(INT($B1590)&lt;$P1590,$P1590,IF($Q1590&gt;0,$P1590+ROUND((INT($B1590)-$P1590)/$Q1590,0)*$Q1590,IF($R1590&gt;0,EDATE($P1590,ROUND((DATEDIF($P1590,INT($B1590),"m")+(INT($B1590)-EDATE($P1590,DATEDIF($P1590,INT($B1590),"m")))/(EDATE($P1590,DATEDIF($P1590,INT($B1590),"m")+1)-EDATE($P1590,DATEDIF($P1590,INT($B1590),"m"))))/$R1590,0)*$R1590),$P1590))))),"")))</f>
      </c>
      <c r="M1590" s="223">
        <f>IF(OR($C1590="",N($L1590)=0,N($B1590)=0),"",IF(IF(MOD($L1590,1)=0,INT($B1590),$B1590)&lt;=$L1590,"Đúng hạn","Trễ hạn"))</f>
      </c>
      <c r="N1590" s="225">
        <f>IF($C1590="","",ROW())</f>
      </c>
      <c r="O1590" s="225">
        <f>IF($I1590="Công việc",MATCH($C1590,'Kế hoạch'!$A$6:$A$305,0),"")</f>
      </c>
      <c r="P1590" s="234">
        <f>IF($O1590="","",INDEX('Kế hoạch'!$I$6:$I$305,$O1590))</f>
      </c>
      <c r="Q1590" s="225">
        <f>IF($O1590="","",INDEX('Kế hoạch'!$AJ$6:$AJ$305,$O1590))</f>
      </c>
      <c r="R1590" s="225">
        <f>IF($O1590="","",INDEX('Kế hoạch'!$AK$6:$AK$305,$O1590))</f>
      </c>
    </row>
    <row r="1591">
      <c r="A1591" s="223">
        <f>IF($C1591="","",COUNTIF($C$6:$C1591,"?*"))</f>
      </c>
      <c r="B1591" s="217"/>
      <c r="C1591" s="216"/>
      <c r="D1591" s="240"/>
      <c r="E1591" s="218"/>
      <c r="F1591" s="218"/>
      <c r="G1591" s="218"/>
      <c r="H1591" s="219"/>
      <c r="I1591" s="223">
        <f>IF($C1591="","",IF(ISNUMBER(MATCH($C1591,'Phản ánh'!$A$6:$A$505,0)),"Phản ánh",IF(ISNUMBER(MATCH($C1591,'Kế hoạch'!$A$6:$A$305,0)),"Công việc","Mã chưa có")))</f>
      </c>
      <c r="J1591" s="221">
        <f>IF($I1591="Phản ánh",INDEX('Phản ánh'!$C$6:$C$505,MATCH($C1591,'Phản ánh'!$A$6:$A$505,0)),IF($I1591="Công việc",INDEX('Kế hoạch'!$C$6:$C$305,$O1591),""))</f>
      </c>
      <c r="K1591" s="221">
        <f>IF($I1591="Phản ánh",INDEX('Phản ánh'!$K$6:$K$505,MATCH($C1591,'Phản ánh'!$A$6:$A$505,0))&amp;"",IF($I1591="Công việc",INDEX('Kế hoạch'!$N$6:$N$305,$O1591)&amp;"",""))</f>
      </c>
      <c r="L1591" s="220">
        <f>IF(OR($C1591="",N($B1591)=0),"",IF(AND($I1591="Phản ánh",$E1591="Đã xử lý"),INDEX('Phản ánh'!$U$6:$U$505,MATCH($C1591,'Phản ánh'!$A$6:$A$505,0)),IF(AND($I1591="Công việc",OR($E1591="Hoàn thành",$E1591="Hoàn thành kỳ")),IF(INDEX('Kế hoạch'!$B$6:$B$305,$O1591)="Đột xuất",INDEX('Kế hoạch'!$AY$6:$AY$305,$O1591),IF(N($P1591)=0,"",IF(INT($B1591)&lt;$P1591,$P1591,IF($Q1591&gt;0,$P1591+ROUND((INT($B1591)-$P1591)/$Q1591,0)*$Q1591,IF($R1591&gt;0,EDATE($P1591,ROUND((DATEDIF($P1591,INT($B1591),"m")+(INT($B1591)-EDATE($P1591,DATEDIF($P1591,INT($B1591),"m")))/(EDATE($P1591,DATEDIF($P1591,INT($B1591),"m")+1)-EDATE($P1591,DATEDIF($P1591,INT($B1591),"m"))))/$R1591,0)*$R1591),$P1591))))),"")))</f>
      </c>
      <c r="M1591" s="223">
        <f>IF(OR($C1591="",N($L1591)=0,N($B1591)=0),"",IF(IF(MOD($L1591,1)=0,INT($B1591),$B1591)&lt;=$L1591,"Đúng hạn","Trễ hạn"))</f>
      </c>
      <c r="N1591" s="225">
        <f>IF($C1591="","",ROW())</f>
      </c>
      <c r="O1591" s="225">
        <f>IF($I1591="Công việc",MATCH($C1591,'Kế hoạch'!$A$6:$A$305,0),"")</f>
      </c>
      <c r="P1591" s="234">
        <f>IF($O1591="","",INDEX('Kế hoạch'!$I$6:$I$305,$O1591))</f>
      </c>
      <c r="Q1591" s="225">
        <f>IF($O1591="","",INDEX('Kế hoạch'!$AJ$6:$AJ$305,$O1591))</f>
      </c>
      <c r="R1591" s="225">
        <f>IF($O1591="","",INDEX('Kế hoạch'!$AK$6:$AK$305,$O1591))</f>
      </c>
    </row>
    <row r="1592">
      <c r="A1592" s="223">
        <f>IF($C1592="","",COUNTIF($C$6:$C1592,"?*"))</f>
      </c>
      <c r="B1592" s="217"/>
      <c r="C1592" s="216"/>
      <c r="D1592" s="240"/>
      <c r="E1592" s="218"/>
      <c r="F1592" s="218"/>
      <c r="G1592" s="218"/>
      <c r="H1592" s="219"/>
      <c r="I1592" s="223">
        <f>IF($C1592="","",IF(ISNUMBER(MATCH($C1592,'Phản ánh'!$A$6:$A$505,0)),"Phản ánh",IF(ISNUMBER(MATCH($C1592,'Kế hoạch'!$A$6:$A$305,0)),"Công việc","Mã chưa có")))</f>
      </c>
      <c r="J1592" s="221">
        <f>IF($I1592="Phản ánh",INDEX('Phản ánh'!$C$6:$C$505,MATCH($C1592,'Phản ánh'!$A$6:$A$505,0)),IF($I1592="Công việc",INDEX('Kế hoạch'!$C$6:$C$305,$O1592),""))</f>
      </c>
      <c r="K1592" s="221">
        <f>IF($I1592="Phản ánh",INDEX('Phản ánh'!$K$6:$K$505,MATCH($C1592,'Phản ánh'!$A$6:$A$505,0))&amp;"",IF($I1592="Công việc",INDEX('Kế hoạch'!$N$6:$N$305,$O1592)&amp;"",""))</f>
      </c>
      <c r="L1592" s="220">
        <f>IF(OR($C1592="",N($B1592)=0),"",IF(AND($I1592="Phản ánh",$E1592="Đã xử lý"),INDEX('Phản ánh'!$U$6:$U$505,MATCH($C1592,'Phản ánh'!$A$6:$A$505,0)),IF(AND($I1592="Công việc",OR($E1592="Hoàn thành",$E1592="Hoàn thành kỳ")),IF(INDEX('Kế hoạch'!$B$6:$B$305,$O1592)="Đột xuất",INDEX('Kế hoạch'!$AY$6:$AY$305,$O1592),IF(N($P1592)=0,"",IF(INT($B1592)&lt;$P1592,$P1592,IF($Q1592&gt;0,$P1592+ROUND((INT($B1592)-$P1592)/$Q1592,0)*$Q1592,IF($R1592&gt;0,EDATE($P1592,ROUND((DATEDIF($P1592,INT($B1592),"m")+(INT($B1592)-EDATE($P1592,DATEDIF($P1592,INT($B1592),"m")))/(EDATE($P1592,DATEDIF($P1592,INT($B1592),"m")+1)-EDATE($P1592,DATEDIF($P1592,INT($B1592),"m"))))/$R1592,0)*$R1592),$P1592))))),"")))</f>
      </c>
      <c r="M1592" s="223">
        <f>IF(OR($C1592="",N($L1592)=0,N($B1592)=0),"",IF(IF(MOD($L1592,1)=0,INT($B1592),$B1592)&lt;=$L1592,"Đúng hạn","Trễ hạn"))</f>
      </c>
      <c r="N1592" s="225">
        <f>IF($C1592="","",ROW())</f>
      </c>
      <c r="O1592" s="225">
        <f>IF($I1592="Công việc",MATCH($C1592,'Kế hoạch'!$A$6:$A$305,0),"")</f>
      </c>
      <c r="P1592" s="234">
        <f>IF($O1592="","",INDEX('Kế hoạch'!$I$6:$I$305,$O1592))</f>
      </c>
      <c r="Q1592" s="225">
        <f>IF($O1592="","",INDEX('Kế hoạch'!$AJ$6:$AJ$305,$O1592))</f>
      </c>
      <c r="R1592" s="225">
        <f>IF($O1592="","",INDEX('Kế hoạch'!$AK$6:$AK$305,$O1592))</f>
      </c>
    </row>
    <row r="1593">
      <c r="A1593" s="223">
        <f>IF($C1593="","",COUNTIF($C$6:$C1593,"?*"))</f>
      </c>
      <c r="B1593" s="217"/>
      <c r="C1593" s="216"/>
      <c r="D1593" s="240"/>
      <c r="E1593" s="218"/>
      <c r="F1593" s="218"/>
      <c r="G1593" s="218"/>
      <c r="H1593" s="219"/>
      <c r="I1593" s="223">
        <f>IF($C1593="","",IF(ISNUMBER(MATCH($C1593,'Phản ánh'!$A$6:$A$505,0)),"Phản ánh",IF(ISNUMBER(MATCH($C1593,'Kế hoạch'!$A$6:$A$305,0)),"Công việc","Mã chưa có")))</f>
      </c>
      <c r="J1593" s="221">
        <f>IF($I1593="Phản ánh",INDEX('Phản ánh'!$C$6:$C$505,MATCH($C1593,'Phản ánh'!$A$6:$A$505,0)),IF($I1593="Công việc",INDEX('Kế hoạch'!$C$6:$C$305,$O1593),""))</f>
      </c>
      <c r="K1593" s="221">
        <f>IF($I1593="Phản ánh",INDEX('Phản ánh'!$K$6:$K$505,MATCH($C1593,'Phản ánh'!$A$6:$A$505,0))&amp;"",IF($I1593="Công việc",INDEX('Kế hoạch'!$N$6:$N$305,$O1593)&amp;"",""))</f>
      </c>
      <c r="L1593" s="220">
        <f>IF(OR($C1593="",N($B1593)=0),"",IF(AND($I1593="Phản ánh",$E1593="Đã xử lý"),INDEX('Phản ánh'!$U$6:$U$505,MATCH($C1593,'Phản ánh'!$A$6:$A$505,0)),IF(AND($I1593="Công việc",OR($E1593="Hoàn thành",$E1593="Hoàn thành kỳ")),IF(INDEX('Kế hoạch'!$B$6:$B$305,$O1593)="Đột xuất",INDEX('Kế hoạch'!$AY$6:$AY$305,$O1593),IF(N($P1593)=0,"",IF(INT($B1593)&lt;$P1593,$P1593,IF($Q1593&gt;0,$P1593+ROUND((INT($B1593)-$P1593)/$Q1593,0)*$Q1593,IF($R1593&gt;0,EDATE($P1593,ROUND((DATEDIF($P1593,INT($B1593),"m")+(INT($B1593)-EDATE($P1593,DATEDIF($P1593,INT($B1593),"m")))/(EDATE($P1593,DATEDIF($P1593,INT($B1593),"m")+1)-EDATE($P1593,DATEDIF($P1593,INT($B1593),"m"))))/$R1593,0)*$R1593),$P1593))))),"")))</f>
      </c>
      <c r="M1593" s="223">
        <f>IF(OR($C1593="",N($L1593)=0,N($B1593)=0),"",IF(IF(MOD($L1593,1)=0,INT($B1593),$B1593)&lt;=$L1593,"Đúng hạn","Trễ hạn"))</f>
      </c>
      <c r="N1593" s="225">
        <f>IF($C1593="","",ROW())</f>
      </c>
      <c r="O1593" s="225">
        <f>IF($I1593="Công việc",MATCH($C1593,'Kế hoạch'!$A$6:$A$305,0),"")</f>
      </c>
      <c r="P1593" s="234">
        <f>IF($O1593="","",INDEX('Kế hoạch'!$I$6:$I$305,$O1593))</f>
      </c>
      <c r="Q1593" s="225">
        <f>IF($O1593="","",INDEX('Kế hoạch'!$AJ$6:$AJ$305,$O1593))</f>
      </c>
      <c r="R1593" s="225">
        <f>IF($O1593="","",INDEX('Kế hoạch'!$AK$6:$AK$305,$O1593))</f>
      </c>
    </row>
    <row r="1594">
      <c r="A1594" s="223">
        <f>IF($C1594="","",COUNTIF($C$6:$C1594,"?*"))</f>
      </c>
      <c r="B1594" s="217"/>
      <c r="C1594" s="216"/>
      <c r="D1594" s="240"/>
      <c r="E1594" s="218"/>
      <c r="F1594" s="218"/>
      <c r="G1594" s="218"/>
      <c r="H1594" s="219"/>
      <c r="I1594" s="223">
        <f>IF($C1594="","",IF(ISNUMBER(MATCH($C1594,'Phản ánh'!$A$6:$A$505,0)),"Phản ánh",IF(ISNUMBER(MATCH($C1594,'Kế hoạch'!$A$6:$A$305,0)),"Công việc","Mã chưa có")))</f>
      </c>
      <c r="J1594" s="221">
        <f>IF($I1594="Phản ánh",INDEX('Phản ánh'!$C$6:$C$505,MATCH($C1594,'Phản ánh'!$A$6:$A$505,0)),IF($I1594="Công việc",INDEX('Kế hoạch'!$C$6:$C$305,$O1594),""))</f>
      </c>
      <c r="K1594" s="221">
        <f>IF($I1594="Phản ánh",INDEX('Phản ánh'!$K$6:$K$505,MATCH($C1594,'Phản ánh'!$A$6:$A$505,0))&amp;"",IF($I1594="Công việc",INDEX('Kế hoạch'!$N$6:$N$305,$O1594)&amp;"",""))</f>
      </c>
      <c r="L1594" s="220">
        <f>IF(OR($C1594="",N($B1594)=0),"",IF(AND($I1594="Phản ánh",$E1594="Đã xử lý"),INDEX('Phản ánh'!$U$6:$U$505,MATCH($C1594,'Phản ánh'!$A$6:$A$505,0)),IF(AND($I1594="Công việc",OR($E1594="Hoàn thành",$E1594="Hoàn thành kỳ")),IF(INDEX('Kế hoạch'!$B$6:$B$305,$O1594)="Đột xuất",INDEX('Kế hoạch'!$AY$6:$AY$305,$O1594),IF(N($P1594)=0,"",IF(INT($B1594)&lt;$P1594,$P1594,IF($Q1594&gt;0,$P1594+ROUND((INT($B1594)-$P1594)/$Q1594,0)*$Q1594,IF($R1594&gt;0,EDATE($P1594,ROUND((DATEDIF($P1594,INT($B1594),"m")+(INT($B1594)-EDATE($P1594,DATEDIF($P1594,INT($B1594),"m")))/(EDATE($P1594,DATEDIF($P1594,INT($B1594),"m")+1)-EDATE($P1594,DATEDIF($P1594,INT($B1594),"m"))))/$R1594,0)*$R1594),$P1594))))),"")))</f>
      </c>
      <c r="M1594" s="223">
        <f>IF(OR($C1594="",N($L1594)=0,N($B1594)=0),"",IF(IF(MOD($L1594,1)=0,INT($B1594),$B1594)&lt;=$L1594,"Đúng hạn","Trễ hạn"))</f>
      </c>
      <c r="N1594" s="225">
        <f>IF($C1594="","",ROW())</f>
      </c>
      <c r="O1594" s="225">
        <f>IF($I1594="Công việc",MATCH($C1594,'Kế hoạch'!$A$6:$A$305,0),"")</f>
      </c>
      <c r="P1594" s="234">
        <f>IF($O1594="","",INDEX('Kế hoạch'!$I$6:$I$305,$O1594))</f>
      </c>
      <c r="Q1594" s="225">
        <f>IF($O1594="","",INDEX('Kế hoạch'!$AJ$6:$AJ$305,$O1594))</f>
      </c>
      <c r="R1594" s="225">
        <f>IF($O1594="","",INDEX('Kế hoạch'!$AK$6:$AK$305,$O1594))</f>
      </c>
    </row>
    <row r="1595">
      <c r="A1595" s="223">
        <f>IF($C1595="","",COUNTIF($C$6:$C1595,"?*"))</f>
      </c>
      <c r="B1595" s="217"/>
      <c r="C1595" s="216"/>
      <c r="D1595" s="240"/>
      <c r="E1595" s="218"/>
      <c r="F1595" s="218"/>
      <c r="G1595" s="218"/>
      <c r="H1595" s="219"/>
      <c r="I1595" s="223">
        <f>IF($C1595="","",IF(ISNUMBER(MATCH($C1595,'Phản ánh'!$A$6:$A$505,0)),"Phản ánh",IF(ISNUMBER(MATCH($C1595,'Kế hoạch'!$A$6:$A$305,0)),"Công việc","Mã chưa có")))</f>
      </c>
      <c r="J1595" s="221">
        <f>IF($I1595="Phản ánh",INDEX('Phản ánh'!$C$6:$C$505,MATCH($C1595,'Phản ánh'!$A$6:$A$505,0)),IF($I1595="Công việc",INDEX('Kế hoạch'!$C$6:$C$305,$O1595),""))</f>
      </c>
      <c r="K1595" s="221">
        <f>IF($I1595="Phản ánh",INDEX('Phản ánh'!$K$6:$K$505,MATCH($C1595,'Phản ánh'!$A$6:$A$505,0))&amp;"",IF($I1595="Công việc",INDEX('Kế hoạch'!$N$6:$N$305,$O1595)&amp;"",""))</f>
      </c>
      <c r="L1595" s="220">
        <f>IF(OR($C1595="",N($B1595)=0),"",IF(AND($I1595="Phản ánh",$E1595="Đã xử lý"),INDEX('Phản ánh'!$U$6:$U$505,MATCH($C1595,'Phản ánh'!$A$6:$A$505,0)),IF(AND($I1595="Công việc",OR($E1595="Hoàn thành",$E1595="Hoàn thành kỳ")),IF(INDEX('Kế hoạch'!$B$6:$B$305,$O1595)="Đột xuất",INDEX('Kế hoạch'!$AY$6:$AY$305,$O1595),IF(N($P1595)=0,"",IF(INT($B1595)&lt;$P1595,$P1595,IF($Q1595&gt;0,$P1595+ROUND((INT($B1595)-$P1595)/$Q1595,0)*$Q1595,IF($R1595&gt;0,EDATE($P1595,ROUND((DATEDIF($P1595,INT($B1595),"m")+(INT($B1595)-EDATE($P1595,DATEDIF($P1595,INT($B1595),"m")))/(EDATE($P1595,DATEDIF($P1595,INT($B1595),"m")+1)-EDATE($P1595,DATEDIF($P1595,INT($B1595),"m"))))/$R1595,0)*$R1595),$P1595))))),"")))</f>
      </c>
      <c r="M1595" s="223">
        <f>IF(OR($C1595="",N($L1595)=0,N($B1595)=0),"",IF(IF(MOD($L1595,1)=0,INT($B1595),$B1595)&lt;=$L1595,"Đúng hạn","Trễ hạn"))</f>
      </c>
      <c r="N1595" s="225">
        <f>IF($C1595="","",ROW())</f>
      </c>
      <c r="O1595" s="225">
        <f>IF($I1595="Công việc",MATCH($C1595,'Kế hoạch'!$A$6:$A$305,0),"")</f>
      </c>
      <c r="P1595" s="234">
        <f>IF($O1595="","",INDEX('Kế hoạch'!$I$6:$I$305,$O1595))</f>
      </c>
      <c r="Q1595" s="225">
        <f>IF($O1595="","",INDEX('Kế hoạch'!$AJ$6:$AJ$305,$O1595))</f>
      </c>
      <c r="R1595" s="225">
        <f>IF($O1595="","",INDEX('Kế hoạch'!$AK$6:$AK$305,$O1595))</f>
      </c>
    </row>
    <row r="1596">
      <c r="A1596" s="223">
        <f>IF($C1596="","",COUNTIF($C$6:$C1596,"?*"))</f>
      </c>
      <c r="B1596" s="217"/>
      <c r="C1596" s="216"/>
      <c r="D1596" s="240"/>
      <c r="E1596" s="218"/>
      <c r="F1596" s="218"/>
      <c r="G1596" s="218"/>
      <c r="H1596" s="219"/>
      <c r="I1596" s="223">
        <f>IF($C1596="","",IF(ISNUMBER(MATCH($C1596,'Phản ánh'!$A$6:$A$505,0)),"Phản ánh",IF(ISNUMBER(MATCH($C1596,'Kế hoạch'!$A$6:$A$305,0)),"Công việc","Mã chưa có")))</f>
      </c>
      <c r="J1596" s="221">
        <f>IF($I1596="Phản ánh",INDEX('Phản ánh'!$C$6:$C$505,MATCH($C1596,'Phản ánh'!$A$6:$A$505,0)),IF($I1596="Công việc",INDEX('Kế hoạch'!$C$6:$C$305,$O1596),""))</f>
      </c>
      <c r="K1596" s="221">
        <f>IF($I1596="Phản ánh",INDEX('Phản ánh'!$K$6:$K$505,MATCH($C1596,'Phản ánh'!$A$6:$A$505,0))&amp;"",IF($I1596="Công việc",INDEX('Kế hoạch'!$N$6:$N$305,$O1596)&amp;"",""))</f>
      </c>
      <c r="L1596" s="220">
        <f>IF(OR($C1596="",N($B1596)=0),"",IF(AND($I1596="Phản ánh",$E1596="Đã xử lý"),INDEX('Phản ánh'!$U$6:$U$505,MATCH($C1596,'Phản ánh'!$A$6:$A$505,0)),IF(AND($I1596="Công việc",OR($E1596="Hoàn thành",$E1596="Hoàn thành kỳ")),IF(INDEX('Kế hoạch'!$B$6:$B$305,$O1596)="Đột xuất",INDEX('Kế hoạch'!$AY$6:$AY$305,$O1596),IF(N($P1596)=0,"",IF(INT($B1596)&lt;$P1596,$P1596,IF($Q1596&gt;0,$P1596+ROUND((INT($B1596)-$P1596)/$Q1596,0)*$Q1596,IF($R1596&gt;0,EDATE($P1596,ROUND((DATEDIF($P1596,INT($B1596),"m")+(INT($B1596)-EDATE($P1596,DATEDIF($P1596,INT($B1596),"m")))/(EDATE($P1596,DATEDIF($P1596,INT($B1596),"m")+1)-EDATE($P1596,DATEDIF($P1596,INT($B1596),"m"))))/$R1596,0)*$R1596),$P1596))))),"")))</f>
      </c>
      <c r="M1596" s="223">
        <f>IF(OR($C1596="",N($L1596)=0,N($B1596)=0),"",IF(IF(MOD($L1596,1)=0,INT($B1596),$B1596)&lt;=$L1596,"Đúng hạn","Trễ hạn"))</f>
      </c>
      <c r="N1596" s="225">
        <f>IF($C1596="","",ROW())</f>
      </c>
      <c r="O1596" s="225">
        <f>IF($I1596="Công việc",MATCH($C1596,'Kế hoạch'!$A$6:$A$305,0),"")</f>
      </c>
      <c r="P1596" s="234">
        <f>IF($O1596="","",INDEX('Kế hoạch'!$I$6:$I$305,$O1596))</f>
      </c>
      <c r="Q1596" s="225">
        <f>IF($O1596="","",INDEX('Kế hoạch'!$AJ$6:$AJ$305,$O1596))</f>
      </c>
      <c r="R1596" s="225">
        <f>IF($O1596="","",INDEX('Kế hoạch'!$AK$6:$AK$305,$O1596))</f>
      </c>
    </row>
    <row r="1597">
      <c r="A1597" s="223">
        <f>IF($C1597="","",COUNTIF($C$6:$C1597,"?*"))</f>
      </c>
      <c r="B1597" s="217"/>
      <c r="C1597" s="216"/>
      <c r="D1597" s="240"/>
      <c r="E1597" s="218"/>
      <c r="F1597" s="218"/>
      <c r="G1597" s="218"/>
      <c r="H1597" s="219"/>
      <c r="I1597" s="223">
        <f>IF($C1597="","",IF(ISNUMBER(MATCH($C1597,'Phản ánh'!$A$6:$A$505,0)),"Phản ánh",IF(ISNUMBER(MATCH($C1597,'Kế hoạch'!$A$6:$A$305,0)),"Công việc","Mã chưa có")))</f>
      </c>
      <c r="J1597" s="221">
        <f>IF($I1597="Phản ánh",INDEX('Phản ánh'!$C$6:$C$505,MATCH($C1597,'Phản ánh'!$A$6:$A$505,0)),IF($I1597="Công việc",INDEX('Kế hoạch'!$C$6:$C$305,$O1597),""))</f>
      </c>
      <c r="K1597" s="221">
        <f>IF($I1597="Phản ánh",INDEX('Phản ánh'!$K$6:$K$505,MATCH($C1597,'Phản ánh'!$A$6:$A$505,0))&amp;"",IF($I1597="Công việc",INDEX('Kế hoạch'!$N$6:$N$305,$O1597)&amp;"",""))</f>
      </c>
      <c r="L1597" s="220">
        <f>IF(OR($C1597="",N($B1597)=0),"",IF(AND($I1597="Phản ánh",$E1597="Đã xử lý"),INDEX('Phản ánh'!$U$6:$U$505,MATCH($C1597,'Phản ánh'!$A$6:$A$505,0)),IF(AND($I1597="Công việc",OR($E1597="Hoàn thành",$E1597="Hoàn thành kỳ")),IF(INDEX('Kế hoạch'!$B$6:$B$305,$O1597)="Đột xuất",INDEX('Kế hoạch'!$AY$6:$AY$305,$O1597),IF(N($P1597)=0,"",IF(INT($B1597)&lt;$P1597,$P1597,IF($Q1597&gt;0,$P1597+ROUND((INT($B1597)-$P1597)/$Q1597,0)*$Q1597,IF($R1597&gt;0,EDATE($P1597,ROUND((DATEDIF($P1597,INT($B1597),"m")+(INT($B1597)-EDATE($P1597,DATEDIF($P1597,INT($B1597),"m")))/(EDATE($P1597,DATEDIF($P1597,INT($B1597),"m")+1)-EDATE($P1597,DATEDIF($P1597,INT($B1597),"m"))))/$R1597,0)*$R1597),$P1597))))),"")))</f>
      </c>
      <c r="M1597" s="223">
        <f>IF(OR($C1597="",N($L1597)=0,N($B1597)=0),"",IF(IF(MOD($L1597,1)=0,INT($B1597),$B1597)&lt;=$L1597,"Đúng hạn","Trễ hạn"))</f>
      </c>
      <c r="N1597" s="225">
        <f>IF($C1597="","",ROW())</f>
      </c>
      <c r="O1597" s="225">
        <f>IF($I1597="Công việc",MATCH($C1597,'Kế hoạch'!$A$6:$A$305,0),"")</f>
      </c>
      <c r="P1597" s="234">
        <f>IF($O1597="","",INDEX('Kế hoạch'!$I$6:$I$305,$O1597))</f>
      </c>
      <c r="Q1597" s="225">
        <f>IF($O1597="","",INDEX('Kế hoạch'!$AJ$6:$AJ$305,$O1597))</f>
      </c>
      <c r="R1597" s="225">
        <f>IF($O1597="","",INDEX('Kế hoạch'!$AK$6:$AK$305,$O1597))</f>
      </c>
    </row>
    <row r="1598">
      <c r="A1598" s="223">
        <f>IF($C1598="","",COUNTIF($C$6:$C1598,"?*"))</f>
      </c>
      <c r="B1598" s="217"/>
      <c r="C1598" s="216"/>
      <c r="D1598" s="240"/>
      <c r="E1598" s="218"/>
      <c r="F1598" s="218"/>
      <c r="G1598" s="218"/>
      <c r="H1598" s="219"/>
      <c r="I1598" s="223">
        <f>IF($C1598="","",IF(ISNUMBER(MATCH($C1598,'Phản ánh'!$A$6:$A$505,0)),"Phản ánh",IF(ISNUMBER(MATCH($C1598,'Kế hoạch'!$A$6:$A$305,0)),"Công việc","Mã chưa có")))</f>
      </c>
      <c r="J1598" s="221">
        <f>IF($I1598="Phản ánh",INDEX('Phản ánh'!$C$6:$C$505,MATCH($C1598,'Phản ánh'!$A$6:$A$505,0)),IF($I1598="Công việc",INDEX('Kế hoạch'!$C$6:$C$305,$O1598),""))</f>
      </c>
      <c r="K1598" s="221">
        <f>IF($I1598="Phản ánh",INDEX('Phản ánh'!$K$6:$K$505,MATCH($C1598,'Phản ánh'!$A$6:$A$505,0))&amp;"",IF($I1598="Công việc",INDEX('Kế hoạch'!$N$6:$N$305,$O1598)&amp;"",""))</f>
      </c>
      <c r="L1598" s="220">
        <f>IF(OR($C1598="",N($B1598)=0),"",IF(AND($I1598="Phản ánh",$E1598="Đã xử lý"),INDEX('Phản ánh'!$U$6:$U$505,MATCH($C1598,'Phản ánh'!$A$6:$A$505,0)),IF(AND($I1598="Công việc",OR($E1598="Hoàn thành",$E1598="Hoàn thành kỳ")),IF(INDEX('Kế hoạch'!$B$6:$B$305,$O1598)="Đột xuất",INDEX('Kế hoạch'!$AY$6:$AY$305,$O1598),IF(N($P1598)=0,"",IF(INT($B1598)&lt;$P1598,$P1598,IF($Q1598&gt;0,$P1598+ROUND((INT($B1598)-$P1598)/$Q1598,0)*$Q1598,IF($R1598&gt;0,EDATE($P1598,ROUND((DATEDIF($P1598,INT($B1598),"m")+(INT($B1598)-EDATE($P1598,DATEDIF($P1598,INT($B1598),"m")))/(EDATE($P1598,DATEDIF($P1598,INT($B1598),"m")+1)-EDATE($P1598,DATEDIF($P1598,INT($B1598),"m"))))/$R1598,0)*$R1598),$P1598))))),"")))</f>
      </c>
      <c r="M1598" s="223">
        <f>IF(OR($C1598="",N($L1598)=0,N($B1598)=0),"",IF(IF(MOD($L1598,1)=0,INT($B1598),$B1598)&lt;=$L1598,"Đúng hạn","Trễ hạn"))</f>
      </c>
      <c r="N1598" s="225">
        <f>IF($C1598="","",ROW())</f>
      </c>
      <c r="O1598" s="225">
        <f>IF($I1598="Công việc",MATCH($C1598,'Kế hoạch'!$A$6:$A$305,0),"")</f>
      </c>
      <c r="P1598" s="234">
        <f>IF($O1598="","",INDEX('Kế hoạch'!$I$6:$I$305,$O1598))</f>
      </c>
      <c r="Q1598" s="225">
        <f>IF($O1598="","",INDEX('Kế hoạch'!$AJ$6:$AJ$305,$O1598))</f>
      </c>
      <c r="R1598" s="225">
        <f>IF($O1598="","",INDEX('Kế hoạch'!$AK$6:$AK$305,$O1598))</f>
      </c>
    </row>
    <row r="1599">
      <c r="A1599" s="223">
        <f>IF($C1599="","",COUNTIF($C$6:$C1599,"?*"))</f>
      </c>
      <c r="B1599" s="217"/>
      <c r="C1599" s="216"/>
      <c r="D1599" s="240"/>
      <c r="E1599" s="218"/>
      <c r="F1599" s="218"/>
      <c r="G1599" s="218"/>
      <c r="H1599" s="219"/>
      <c r="I1599" s="223">
        <f>IF($C1599="","",IF(ISNUMBER(MATCH($C1599,'Phản ánh'!$A$6:$A$505,0)),"Phản ánh",IF(ISNUMBER(MATCH($C1599,'Kế hoạch'!$A$6:$A$305,0)),"Công việc","Mã chưa có")))</f>
      </c>
      <c r="J1599" s="221">
        <f>IF($I1599="Phản ánh",INDEX('Phản ánh'!$C$6:$C$505,MATCH($C1599,'Phản ánh'!$A$6:$A$505,0)),IF($I1599="Công việc",INDEX('Kế hoạch'!$C$6:$C$305,$O1599),""))</f>
      </c>
      <c r="K1599" s="221">
        <f>IF($I1599="Phản ánh",INDEX('Phản ánh'!$K$6:$K$505,MATCH($C1599,'Phản ánh'!$A$6:$A$505,0))&amp;"",IF($I1599="Công việc",INDEX('Kế hoạch'!$N$6:$N$305,$O1599)&amp;"",""))</f>
      </c>
      <c r="L1599" s="220">
        <f>IF(OR($C1599="",N($B1599)=0),"",IF(AND($I1599="Phản ánh",$E1599="Đã xử lý"),INDEX('Phản ánh'!$U$6:$U$505,MATCH($C1599,'Phản ánh'!$A$6:$A$505,0)),IF(AND($I1599="Công việc",OR($E1599="Hoàn thành",$E1599="Hoàn thành kỳ")),IF(INDEX('Kế hoạch'!$B$6:$B$305,$O1599)="Đột xuất",INDEX('Kế hoạch'!$AY$6:$AY$305,$O1599),IF(N($P1599)=0,"",IF(INT($B1599)&lt;$P1599,$P1599,IF($Q1599&gt;0,$P1599+ROUND((INT($B1599)-$P1599)/$Q1599,0)*$Q1599,IF($R1599&gt;0,EDATE($P1599,ROUND((DATEDIF($P1599,INT($B1599),"m")+(INT($B1599)-EDATE($P1599,DATEDIF($P1599,INT($B1599),"m")))/(EDATE($P1599,DATEDIF($P1599,INT($B1599),"m")+1)-EDATE($P1599,DATEDIF($P1599,INT($B1599),"m"))))/$R1599,0)*$R1599),$P1599))))),"")))</f>
      </c>
      <c r="M1599" s="223">
        <f>IF(OR($C1599="",N($L1599)=0,N($B1599)=0),"",IF(IF(MOD($L1599,1)=0,INT($B1599),$B1599)&lt;=$L1599,"Đúng hạn","Trễ hạn"))</f>
      </c>
      <c r="N1599" s="225">
        <f>IF($C1599="","",ROW())</f>
      </c>
      <c r="O1599" s="225">
        <f>IF($I1599="Công việc",MATCH($C1599,'Kế hoạch'!$A$6:$A$305,0),"")</f>
      </c>
      <c r="P1599" s="234">
        <f>IF($O1599="","",INDEX('Kế hoạch'!$I$6:$I$305,$O1599))</f>
      </c>
      <c r="Q1599" s="225">
        <f>IF($O1599="","",INDEX('Kế hoạch'!$AJ$6:$AJ$305,$O1599))</f>
      </c>
      <c r="R1599" s="225">
        <f>IF($O1599="","",INDEX('Kế hoạch'!$AK$6:$AK$305,$O1599))</f>
      </c>
    </row>
    <row r="1600">
      <c r="A1600" s="223">
        <f>IF($C1600="","",COUNTIF($C$6:$C1600,"?*"))</f>
      </c>
      <c r="B1600" s="217"/>
      <c r="C1600" s="216"/>
      <c r="D1600" s="240"/>
      <c r="E1600" s="218"/>
      <c r="F1600" s="218"/>
      <c r="G1600" s="218"/>
      <c r="H1600" s="219"/>
      <c r="I1600" s="223">
        <f>IF($C1600="","",IF(ISNUMBER(MATCH($C1600,'Phản ánh'!$A$6:$A$505,0)),"Phản ánh",IF(ISNUMBER(MATCH($C1600,'Kế hoạch'!$A$6:$A$305,0)),"Công việc","Mã chưa có")))</f>
      </c>
      <c r="J1600" s="221">
        <f>IF($I1600="Phản ánh",INDEX('Phản ánh'!$C$6:$C$505,MATCH($C1600,'Phản ánh'!$A$6:$A$505,0)),IF($I1600="Công việc",INDEX('Kế hoạch'!$C$6:$C$305,$O1600),""))</f>
      </c>
      <c r="K1600" s="221">
        <f>IF($I1600="Phản ánh",INDEX('Phản ánh'!$K$6:$K$505,MATCH($C1600,'Phản ánh'!$A$6:$A$505,0))&amp;"",IF($I1600="Công việc",INDEX('Kế hoạch'!$N$6:$N$305,$O1600)&amp;"",""))</f>
      </c>
      <c r="L1600" s="220">
        <f>IF(OR($C1600="",N($B1600)=0),"",IF(AND($I1600="Phản ánh",$E1600="Đã xử lý"),INDEX('Phản ánh'!$U$6:$U$505,MATCH($C1600,'Phản ánh'!$A$6:$A$505,0)),IF(AND($I1600="Công việc",OR($E1600="Hoàn thành",$E1600="Hoàn thành kỳ")),IF(INDEX('Kế hoạch'!$B$6:$B$305,$O1600)="Đột xuất",INDEX('Kế hoạch'!$AY$6:$AY$305,$O1600),IF(N($P1600)=0,"",IF(INT($B1600)&lt;$P1600,$P1600,IF($Q1600&gt;0,$P1600+ROUND((INT($B1600)-$P1600)/$Q1600,0)*$Q1600,IF($R1600&gt;0,EDATE($P1600,ROUND((DATEDIF($P1600,INT($B1600),"m")+(INT($B1600)-EDATE($P1600,DATEDIF($P1600,INT($B1600),"m")))/(EDATE($P1600,DATEDIF($P1600,INT($B1600),"m")+1)-EDATE($P1600,DATEDIF($P1600,INT($B1600),"m"))))/$R1600,0)*$R1600),$P1600))))),"")))</f>
      </c>
      <c r="M1600" s="223">
        <f>IF(OR($C1600="",N($L1600)=0,N($B1600)=0),"",IF(IF(MOD($L1600,1)=0,INT($B1600),$B1600)&lt;=$L1600,"Đúng hạn","Trễ hạn"))</f>
      </c>
      <c r="N1600" s="225">
        <f>IF($C1600="","",ROW())</f>
      </c>
      <c r="O1600" s="225">
        <f>IF($I1600="Công việc",MATCH($C1600,'Kế hoạch'!$A$6:$A$305,0),"")</f>
      </c>
      <c r="P1600" s="234">
        <f>IF($O1600="","",INDEX('Kế hoạch'!$I$6:$I$305,$O1600))</f>
      </c>
      <c r="Q1600" s="225">
        <f>IF($O1600="","",INDEX('Kế hoạch'!$AJ$6:$AJ$305,$O1600))</f>
      </c>
      <c r="R1600" s="225">
        <f>IF($O1600="","",INDEX('Kế hoạch'!$AK$6:$AK$305,$O1600))</f>
      </c>
    </row>
    <row r="1601">
      <c r="A1601" s="223">
        <f>IF($C1601="","",COUNTIF($C$6:$C1601,"?*"))</f>
      </c>
      <c r="B1601" s="217"/>
      <c r="C1601" s="216"/>
      <c r="D1601" s="240"/>
      <c r="E1601" s="218"/>
      <c r="F1601" s="218"/>
      <c r="G1601" s="218"/>
      <c r="H1601" s="219"/>
      <c r="I1601" s="223">
        <f>IF($C1601="","",IF(ISNUMBER(MATCH($C1601,'Phản ánh'!$A$6:$A$505,0)),"Phản ánh",IF(ISNUMBER(MATCH($C1601,'Kế hoạch'!$A$6:$A$305,0)),"Công việc","Mã chưa có")))</f>
      </c>
      <c r="J1601" s="221">
        <f>IF($I1601="Phản ánh",INDEX('Phản ánh'!$C$6:$C$505,MATCH($C1601,'Phản ánh'!$A$6:$A$505,0)),IF($I1601="Công việc",INDEX('Kế hoạch'!$C$6:$C$305,$O1601),""))</f>
      </c>
      <c r="K1601" s="221">
        <f>IF($I1601="Phản ánh",INDEX('Phản ánh'!$K$6:$K$505,MATCH($C1601,'Phản ánh'!$A$6:$A$505,0))&amp;"",IF($I1601="Công việc",INDEX('Kế hoạch'!$N$6:$N$305,$O1601)&amp;"",""))</f>
      </c>
      <c r="L1601" s="220">
        <f>IF(OR($C1601="",N($B1601)=0),"",IF(AND($I1601="Phản ánh",$E1601="Đã xử lý"),INDEX('Phản ánh'!$U$6:$U$505,MATCH($C1601,'Phản ánh'!$A$6:$A$505,0)),IF(AND($I1601="Công việc",OR($E1601="Hoàn thành",$E1601="Hoàn thành kỳ")),IF(INDEX('Kế hoạch'!$B$6:$B$305,$O1601)="Đột xuất",INDEX('Kế hoạch'!$AY$6:$AY$305,$O1601),IF(N($P1601)=0,"",IF(INT($B1601)&lt;$P1601,$P1601,IF($Q1601&gt;0,$P1601+ROUND((INT($B1601)-$P1601)/$Q1601,0)*$Q1601,IF($R1601&gt;0,EDATE($P1601,ROUND((DATEDIF($P1601,INT($B1601),"m")+(INT($B1601)-EDATE($P1601,DATEDIF($P1601,INT($B1601),"m")))/(EDATE($P1601,DATEDIF($P1601,INT($B1601),"m")+1)-EDATE($P1601,DATEDIF($P1601,INT($B1601),"m"))))/$R1601,0)*$R1601),$P1601))))),"")))</f>
      </c>
      <c r="M1601" s="223">
        <f>IF(OR($C1601="",N($L1601)=0,N($B1601)=0),"",IF(IF(MOD($L1601,1)=0,INT($B1601),$B1601)&lt;=$L1601,"Đúng hạn","Trễ hạn"))</f>
      </c>
      <c r="N1601" s="225">
        <f>IF($C1601="","",ROW())</f>
      </c>
      <c r="O1601" s="225">
        <f>IF($I1601="Công việc",MATCH($C1601,'Kế hoạch'!$A$6:$A$305,0),"")</f>
      </c>
      <c r="P1601" s="234">
        <f>IF($O1601="","",INDEX('Kế hoạch'!$I$6:$I$305,$O1601))</f>
      </c>
      <c r="Q1601" s="225">
        <f>IF($O1601="","",INDEX('Kế hoạch'!$AJ$6:$AJ$305,$O1601))</f>
      </c>
      <c r="R1601" s="225">
        <f>IF($O1601="","",INDEX('Kế hoạch'!$AK$6:$AK$305,$O1601))</f>
      </c>
    </row>
    <row r="1602">
      <c r="A1602" s="223">
        <f>IF($C1602="","",COUNTIF($C$6:$C1602,"?*"))</f>
      </c>
      <c r="B1602" s="217"/>
      <c r="C1602" s="216"/>
      <c r="D1602" s="240"/>
      <c r="E1602" s="218"/>
      <c r="F1602" s="218"/>
      <c r="G1602" s="218"/>
      <c r="H1602" s="219"/>
      <c r="I1602" s="223">
        <f>IF($C1602="","",IF(ISNUMBER(MATCH($C1602,'Phản ánh'!$A$6:$A$505,0)),"Phản ánh",IF(ISNUMBER(MATCH($C1602,'Kế hoạch'!$A$6:$A$305,0)),"Công việc","Mã chưa có")))</f>
      </c>
      <c r="J1602" s="221">
        <f>IF($I1602="Phản ánh",INDEX('Phản ánh'!$C$6:$C$505,MATCH($C1602,'Phản ánh'!$A$6:$A$505,0)),IF($I1602="Công việc",INDEX('Kế hoạch'!$C$6:$C$305,$O1602),""))</f>
      </c>
      <c r="K1602" s="221">
        <f>IF($I1602="Phản ánh",INDEX('Phản ánh'!$K$6:$K$505,MATCH($C1602,'Phản ánh'!$A$6:$A$505,0))&amp;"",IF($I1602="Công việc",INDEX('Kế hoạch'!$N$6:$N$305,$O1602)&amp;"",""))</f>
      </c>
      <c r="L1602" s="220">
        <f>IF(OR($C1602="",N($B1602)=0),"",IF(AND($I1602="Phản ánh",$E1602="Đã xử lý"),INDEX('Phản ánh'!$U$6:$U$505,MATCH($C1602,'Phản ánh'!$A$6:$A$505,0)),IF(AND($I1602="Công việc",OR($E1602="Hoàn thành",$E1602="Hoàn thành kỳ")),IF(INDEX('Kế hoạch'!$B$6:$B$305,$O1602)="Đột xuất",INDEX('Kế hoạch'!$AY$6:$AY$305,$O1602),IF(N($P1602)=0,"",IF(INT($B1602)&lt;$P1602,$P1602,IF($Q1602&gt;0,$P1602+ROUND((INT($B1602)-$P1602)/$Q1602,0)*$Q1602,IF($R1602&gt;0,EDATE($P1602,ROUND((DATEDIF($P1602,INT($B1602),"m")+(INT($B1602)-EDATE($P1602,DATEDIF($P1602,INT($B1602),"m")))/(EDATE($P1602,DATEDIF($P1602,INT($B1602),"m")+1)-EDATE($P1602,DATEDIF($P1602,INT($B1602),"m"))))/$R1602,0)*$R1602),$P1602))))),"")))</f>
      </c>
      <c r="M1602" s="223">
        <f>IF(OR($C1602="",N($L1602)=0,N($B1602)=0),"",IF(IF(MOD($L1602,1)=0,INT($B1602),$B1602)&lt;=$L1602,"Đúng hạn","Trễ hạn"))</f>
      </c>
      <c r="N1602" s="225">
        <f>IF($C1602="","",ROW())</f>
      </c>
      <c r="O1602" s="225">
        <f>IF($I1602="Công việc",MATCH($C1602,'Kế hoạch'!$A$6:$A$305,0),"")</f>
      </c>
      <c r="P1602" s="234">
        <f>IF($O1602="","",INDEX('Kế hoạch'!$I$6:$I$305,$O1602))</f>
      </c>
      <c r="Q1602" s="225">
        <f>IF($O1602="","",INDEX('Kế hoạch'!$AJ$6:$AJ$305,$O1602))</f>
      </c>
      <c r="R1602" s="225">
        <f>IF($O1602="","",INDEX('Kế hoạch'!$AK$6:$AK$305,$O1602))</f>
      </c>
    </row>
    <row r="1603">
      <c r="A1603" s="223">
        <f>IF($C1603="","",COUNTIF($C$6:$C1603,"?*"))</f>
      </c>
      <c r="B1603" s="217"/>
      <c r="C1603" s="216"/>
      <c r="D1603" s="240"/>
      <c r="E1603" s="218"/>
      <c r="F1603" s="218"/>
      <c r="G1603" s="218"/>
      <c r="H1603" s="219"/>
      <c r="I1603" s="223">
        <f>IF($C1603="","",IF(ISNUMBER(MATCH($C1603,'Phản ánh'!$A$6:$A$505,0)),"Phản ánh",IF(ISNUMBER(MATCH($C1603,'Kế hoạch'!$A$6:$A$305,0)),"Công việc","Mã chưa có")))</f>
      </c>
      <c r="J1603" s="221">
        <f>IF($I1603="Phản ánh",INDEX('Phản ánh'!$C$6:$C$505,MATCH($C1603,'Phản ánh'!$A$6:$A$505,0)),IF($I1603="Công việc",INDEX('Kế hoạch'!$C$6:$C$305,$O1603),""))</f>
      </c>
      <c r="K1603" s="221">
        <f>IF($I1603="Phản ánh",INDEX('Phản ánh'!$K$6:$K$505,MATCH($C1603,'Phản ánh'!$A$6:$A$505,0))&amp;"",IF($I1603="Công việc",INDEX('Kế hoạch'!$N$6:$N$305,$O1603)&amp;"",""))</f>
      </c>
      <c r="L1603" s="220">
        <f>IF(OR($C1603="",N($B1603)=0),"",IF(AND($I1603="Phản ánh",$E1603="Đã xử lý"),INDEX('Phản ánh'!$U$6:$U$505,MATCH($C1603,'Phản ánh'!$A$6:$A$505,0)),IF(AND($I1603="Công việc",OR($E1603="Hoàn thành",$E1603="Hoàn thành kỳ")),IF(INDEX('Kế hoạch'!$B$6:$B$305,$O1603)="Đột xuất",INDEX('Kế hoạch'!$AY$6:$AY$305,$O1603),IF(N($P1603)=0,"",IF(INT($B1603)&lt;$P1603,$P1603,IF($Q1603&gt;0,$P1603+ROUND((INT($B1603)-$P1603)/$Q1603,0)*$Q1603,IF($R1603&gt;0,EDATE($P1603,ROUND((DATEDIF($P1603,INT($B1603),"m")+(INT($B1603)-EDATE($P1603,DATEDIF($P1603,INT($B1603),"m")))/(EDATE($P1603,DATEDIF($P1603,INT($B1603),"m")+1)-EDATE($P1603,DATEDIF($P1603,INT($B1603),"m"))))/$R1603,0)*$R1603),$P1603))))),"")))</f>
      </c>
      <c r="M1603" s="223">
        <f>IF(OR($C1603="",N($L1603)=0,N($B1603)=0),"",IF(IF(MOD($L1603,1)=0,INT($B1603),$B1603)&lt;=$L1603,"Đúng hạn","Trễ hạn"))</f>
      </c>
      <c r="N1603" s="225">
        <f>IF($C1603="","",ROW())</f>
      </c>
      <c r="O1603" s="225">
        <f>IF($I1603="Công việc",MATCH($C1603,'Kế hoạch'!$A$6:$A$305,0),"")</f>
      </c>
      <c r="P1603" s="234">
        <f>IF($O1603="","",INDEX('Kế hoạch'!$I$6:$I$305,$O1603))</f>
      </c>
      <c r="Q1603" s="225">
        <f>IF($O1603="","",INDEX('Kế hoạch'!$AJ$6:$AJ$305,$O1603))</f>
      </c>
      <c r="R1603" s="225">
        <f>IF($O1603="","",INDEX('Kế hoạch'!$AK$6:$AK$305,$O1603))</f>
      </c>
    </row>
    <row r="1604">
      <c r="A1604" s="223">
        <f>IF($C1604="","",COUNTIF($C$6:$C1604,"?*"))</f>
      </c>
      <c r="B1604" s="217"/>
      <c r="C1604" s="216"/>
      <c r="D1604" s="240"/>
      <c r="E1604" s="218"/>
      <c r="F1604" s="218"/>
      <c r="G1604" s="218"/>
      <c r="H1604" s="219"/>
      <c r="I1604" s="223">
        <f>IF($C1604="","",IF(ISNUMBER(MATCH($C1604,'Phản ánh'!$A$6:$A$505,0)),"Phản ánh",IF(ISNUMBER(MATCH($C1604,'Kế hoạch'!$A$6:$A$305,0)),"Công việc","Mã chưa có")))</f>
      </c>
      <c r="J1604" s="221">
        <f>IF($I1604="Phản ánh",INDEX('Phản ánh'!$C$6:$C$505,MATCH($C1604,'Phản ánh'!$A$6:$A$505,0)),IF($I1604="Công việc",INDEX('Kế hoạch'!$C$6:$C$305,$O1604),""))</f>
      </c>
      <c r="K1604" s="221">
        <f>IF($I1604="Phản ánh",INDEX('Phản ánh'!$K$6:$K$505,MATCH($C1604,'Phản ánh'!$A$6:$A$505,0))&amp;"",IF($I1604="Công việc",INDEX('Kế hoạch'!$N$6:$N$305,$O1604)&amp;"",""))</f>
      </c>
      <c r="L1604" s="220">
        <f>IF(OR($C1604="",N($B1604)=0),"",IF(AND($I1604="Phản ánh",$E1604="Đã xử lý"),INDEX('Phản ánh'!$U$6:$U$505,MATCH($C1604,'Phản ánh'!$A$6:$A$505,0)),IF(AND($I1604="Công việc",OR($E1604="Hoàn thành",$E1604="Hoàn thành kỳ")),IF(INDEX('Kế hoạch'!$B$6:$B$305,$O1604)="Đột xuất",INDEX('Kế hoạch'!$AY$6:$AY$305,$O1604),IF(N($P1604)=0,"",IF(INT($B1604)&lt;$P1604,$P1604,IF($Q1604&gt;0,$P1604+ROUND((INT($B1604)-$P1604)/$Q1604,0)*$Q1604,IF($R1604&gt;0,EDATE($P1604,ROUND((DATEDIF($P1604,INT($B1604),"m")+(INT($B1604)-EDATE($P1604,DATEDIF($P1604,INT($B1604),"m")))/(EDATE($P1604,DATEDIF($P1604,INT($B1604),"m")+1)-EDATE($P1604,DATEDIF($P1604,INT($B1604),"m"))))/$R1604,0)*$R1604),$P1604))))),"")))</f>
      </c>
      <c r="M1604" s="223">
        <f>IF(OR($C1604="",N($L1604)=0,N($B1604)=0),"",IF(IF(MOD($L1604,1)=0,INT($B1604),$B1604)&lt;=$L1604,"Đúng hạn","Trễ hạn"))</f>
      </c>
      <c r="N1604" s="225">
        <f>IF($C1604="","",ROW())</f>
      </c>
      <c r="O1604" s="225">
        <f>IF($I1604="Công việc",MATCH($C1604,'Kế hoạch'!$A$6:$A$305,0),"")</f>
      </c>
      <c r="P1604" s="234">
        <f>IF($O1604="","",INDEX('Kế hoạch'!$I$6:$I$305,$O1604))</f>
      </c>
      <c r="Q1604" s="225">
        <f>IF($O1604="","",INDEX('Kế hoạch'!$AJ$6:$AJ$305,$O1604))</f>
      </c>
      <c r="R1604" s="225">
        <f>IF($O1604="","",INDEX('Kế hoạch'!$AK$6:$AK$305,$O1604))</f>
      </c>
    </row>
    <row r="1605">
      <c r="A1605" s="223">
        <f>IF($C1605="","",COUNTIF($C$6:$C1605,"?*"))</f>
      </c>
      <c r="B1605" s="217"/>
      <c r="C1605" s="216"/>
      <c r="D1605" s="240"/>
      <c r="E1605" s="218"/>
      <c r="F1605" s="218"/>
      <c r="G1605" s="218"/>
      <c r="H1605" s="219"/>
      <c r="I1605" s="223">
        <f>IF($C1605="","",IF(ISNUMBER(MATCH($C1605,'Phản ánh'!$A$6:$A$505,0)),"Phản ánh",IF(ISNUMBER(MATCH($C1605,'Kế hoạch'!$A$6:$A$305,0)),"Công việc","Mã chưa có")))</f>
      </c>
      <c r="J1605" s="221">
        <f>IF($I1605="Phản ánh",INDEX('Phản ánh'!$C$6:$C$505,MATCH($C1605,'Phản ánh'!$A$6:$A$505,0)),IF($I1605="Công việc",INDEX('Kế hoạch'!$C$6:$C$305,$O1605),""))</f>
      </c>
      <c r="K1605" s="221">
        <f>IF($I1605="Phản ánh",INDEX('Phản ánh'!$K$6:$K$505,MATCH($C1605,'Phản ánh'!$A$6:$A$505,0))&amp;"",IF($I1605="Công việc",INDEX('Kế hoạch'!$N$6:$N$305,$O1605)&amp;"",""))</f>
      </c>
      <c r="L1605" s="220">
        <f>IF(OR($C1605="",N($B1605)=0),"",IF(AND($I1605="Phản ánh",$E1605="Đã xử lý"),INDEX('Phản ánh'!$U$6:$U$505,MATCH($C1605,'Phản ánh'!$A$6:$A$505,0)),IF(AND($I1605="Công việc",OR($E1605="Hoàn thành",$E1605="Hoàn thành kỳ")),IF(INDEX('Kế hoạch'!$B$6:$B$305,$O1605)="Đột xuất",INDEX('Kế hoạch'!$AY$6:$AY$305,$O1605),IF(N($P1605)=0,"",IF(INT($B1605)&lt;$P1605,$P1605,IF($Q1605&gt;0,$P1605+ROUND((INT($B1605)-$P1605)/$Q1605,0)*$Q1605,IF($R1605&gt;0,EDATE($P1605,ROUND((DATEDIF($P1605,INT($B1605),"m")+(INT($B1605)-EDATE($P1605,DATEDIF($P1605,INT($B1605),"m")))/(EDATE($P1605,DATEDIF($P1605,INT($B1605),"m")+1)-EDATE($P1605,DATEDIF($P1605,INT($B1605),"m"))))/$R1605,0)*$R1605),$P1605))))),"")))</f>
      </c>
      <c r="M1605" s="223">
        <f>IF(OR($C1605="",N($L1605)=0,N($B1605)=0),"",IF(IF(MOD($L1605,1)=0,INT($B1605),$B1605)&lt;=$L1605,"Đúng hạn","Trễ hạn"))</f>
      </c>
      <c r="N1605" s="225">
        <f>IF($C1605="","",ROW())</f>
      </c>
      <c r="O1605" s="225">
        <f>IF($I1605="Công việc",MATCH($C1605,'Kế hoạch'!$A$6:$A$305,0),"")</f>
      </c>
      <c r="P1605" s="234">
        <f>IF($O1605="","",INDEX('Kế hoạch'!$I$6:$I$305,$O1605))</f>
      </c>
      <c r="Q1605" s="225">
        <f>IF($O1605="","",INDEX('Kế hoạch'!$AJ$6:$AJ$305,$O1605))</f>
      </c>
      <c r="R1605" s="225">
        <f>IF($O1605="","",INDEX('Kế hoạch'!$AK$6:$AK$305,$O1605))</f>
      </c>
    </row>
    <row r="1606">
      <c r="A1606" s="223">
        <f>IF($C1606="","",COUNTIF($C$6:$C1606,"?*"))</f>
      </c>
      <c r="B1606" s="217"/>
      <c r="C1606" s="216"/>
      <c r="D1606" s="240"/>
      <c r="E1606" s="218"/>
      <c r="F1606" s="218"/>
      <c r="G1606" s="218"/>
      <c r="H1606" s="219"/>
      <c r="I1606" s="223">
        <f>IF($C1606="","",IF(ISNUMBER(MATCH($C1606,'Phản ánh'!$A$6:$A$505,0)),"Phản ánh",IF(ISNUMBER(MATCH($C1606,'Kế hoạch'!$A$6:$A$305,0)),"Công việc","Mã chưa có")))</f>
      </c>
      <c r="J1606" s="221">
        <f>IF($I1606="Phản ánh",INDEX('Phản ánh'!$C$6:$C$505,MATCH($C1606,'Phản ánh'!$A$6:$A$505,0)),IF($I1606="Công việc",INDEX('Kế hoạch'!$C$6:$C$305,$O1606),""))</f>
      </c>
      <c r="K1606" s="221">
        <f>IF($I1606="Phản ánh",INDEX('Phản ánh'!$K$6:$K$505,MATCH($C1606,'Phản ánh'!$A$6:$A$505,0))&amp;"",IF($I1606="Công việc",INDEX('Kế hoạch'!$N$6:$N$305,$O1606)&amp;"",""))</f>
      </c>
      <c r="L1606" s="220">
        <f>IF(OR($C1606="",N($B1606)=0),"",IF(AND($I1606="Phản ánh",$E1606="Đã xử lý"),INDEX('Phản ánh'!$U$6:$U$505,MATCH($C1606,'Phản ánh'!$A$6:$A$505,0)),IF(AND($I1606="Công việc",OR($E1606="Hoàn thành",$E1606="Hoàn thành kỳ")),IF(INDEX('Kế hoạch'!$B$6:$B$305,$O1606)="Đột xuất",INDEX('Kế hoạch'!$AY$6:$AY$305,$O1606),IF(N($P1606)=0,"",IF(INT($B1606)&lt;$P1606,$P1606,IF($Q1606&gt;0,$P1606+ROUND((INT($B1606)-$P1606)/$Q1606,0)*$Q1606,IF($R1606&gt;0,EDATE($P1606,ROUND((DATEDIF($P1606,INT($B1606),"m")+(INT($B1606)-EDATE($P1606,DATEDIF($P1606,INT($B1606),"m")))/(EDATE($P1606,DATEDIF($P1606,INT($B1606),"m")+1)-EDATE($P1606,DATEDIF($P1606,INT($B1606),"m"))))/$R1606,0)*$R1606),$P1606))))),"")))</f>
      </c>
      <c r="M1606" s="223">
        <f>IF(OR($C1606="",N($L1606)=0,N($B1606)=0),"",IF(IF(MOD($L1606,1)=0,INT($B1606),$B1606)&lt;=$L1606,"Đúng hạn","Trễ hạn"))</f>
      </c>
      <c r="N1606" s="225">
        <f>IF($C1606="","",ROW())</f>
      </c>
      <c r="O1606" s="225">
        <f>IF($I1606="Công việc",MATCH($C1606,'Kế hoạch'!$A$6:$A$305,0),"")</f>
      </c>
      <c r="P1606" s="234">
        <f>IF($O1606="","",INDEX('Kế hoạch'!$I$6:$I$305,$O1606))</f>
      </c>
      <c r="Q1606" s="225">
        <f>IF($O1606="","",INDEX('Kế hoạch'!$AJ$6:$AJ$305,$O1606))</f>
      </c>
      <c r="R1606" s="225">
        <f>IF($O1606="","",INDEX('Kế hoạch'!$AK$6:$AK$305,$O1606))</f>
      </c>
    </row>
    <row r="1607">
      <c r="A1607" s="223">
        <f>IF($C1607="","",COUNTIF($C$6:$C1607,"?*"))</f>
      </c>
      <c r="B1607" s="217"/>
      <c r="C1607" s="216"/>
      <c r="D1607" s="240"/>
      <c r="E1607" s="218"/>
      <c r="F1607" s="218"/>
      <c r="G1607" s="218"/>
      <c r="H1607" s="219"/>
      <c r="I1607" s="223">
        <f>IF($C1607="","",IF(ISNUMBER(MATCH($C1607,'Phản ánh'!$A$6:$A$505,0)),"Phản ánh",IF(ISNUMBER(MATCH($C1607,'Kế hoạch'!$A$6:$A$305,0)),"Công việc","Mã chưa có")))</f>
      </c>
      <c r="J1607" s="221">
        <f>IF($I1607="Phản ánh",INDEX('Phản ánh'!$C$6:$C$505,MATCH($C1607,'Phản ánh'!$A$6:$A$505,0)),IF($I1607="Công việc",INDEX('Kế hoạch'!$C$6:$C$305,$O1607),""))</f>
      </c>
      <c r="K1607" s="221">
        <f>IF($I1607="Phản ánh",INDEX('Phản ánh'!$K$6:$K$505,MATCH($C1607,'Phản ánh'!$A$6:$A$505,0))&amp;"",IF($I1607="Công việc",INDEX('Kế hoạch'!$N$6:$N$305,$O1607)&amp;"",""))</f>
      </c>
      <c r="L1607" s="220">
        <f>IF(OR($C1607="",N($B1607)=0),"",IF(AND($I1607="Phản ánh",$E1607="Đã xử lý"),INDEX('Phản ánh'!$U$6:$U$505,MATCH($C1607,'Phản ánh'!$A$6:$A$505,0)),IF(AND($I1607="Công việc",OR($E1607="Hoàn thành",$E1607="Hoàn thành kỳ")),IF(INDEX('Kế hoạch'!$B$6:$B$305,$O1607)="Đột xuất",INDEX('Kế hoạch'!$AY$6:$AY$305,$O1607),IF(N($P1607)=0,"",IF(INT($B1607)&lt;$P1607,$P1607,IF($Q1607&gt;0,$P1607+ROUND((INT($B1607)-$P1607)/$Q1607,0)*$Q1607,IF($R1607&gt;0,EDATE($P1607,ROUND((DATEDIF($P1607,INT($B1607),"m")+(INT($B1607)-EDATE($P1607,DATEDIF($P1607,INT($B1607),"m")))/(EDATE($P1607,DATEDIF($P1607,INT($B1607),"m")+1)-EDATE($P1607,DATEDIF($P1607,INT($B1607),"m"))))/$R1607,0)*$R1607),$P1607))))),"")))</f>
      </c>
      <c r="M1607" s="223">
        <f>IF(OR($C1607="",N($L1607)=0,N($B1607)=0),"",IF(IF(MOD($L1607,1)=0,INT($B1607),$B1607)&lt;=$L1607,"Đúng hạn","Trễ hạn"))</f>
      </c>
      <c r="N1607" s="225">
        <f>IF($C1607="","",ROW())</f>
      </c>
      <c r="O1607" s="225">
        <f>IF($I1607="Công việc",MATCH($C1607,'Kế hoạch'!$A$6:$A$305,0),"")</f>
      </c>
      <c r="P1607" s="234">
        <f>IF($O1607="","",INDEX('Kế hoạch'!$I$6:$I$305,$O1607))</f>
      </c>
      <c r="Q1607" s="225">
        <f>IF($O1607="","",INDEX('Kế hoạch'!$AJ$6:$AJ$305,$O1607))</f>
      </c>
      <c r="R1607" s="225">
        <f>IF($O1607="","",INDEX('Kế hoạch'!$AK$6:$AK$305,$O1607))</f>
      </c>
    </row>
    <row r="1608">
      <c r="A1608" s="223">
        <f>IF($C1608="","",COUNTIF($C$6:$C1608,"?*"))</f>
      </c>
      <c r="B1608" s="217"/>
      <c r="C1608" s="216"/>
      <c r="D1608" s="240"/>
      <c r="E1608" s="218"/>
      <c r="F1608" s="218"/>
      <c r="G1608" s="218"/>
      <c r="H1608" s="219"/>
      <c r="I1608" s="223">
        <f>IF($C1608="","",IF(ISNUMBER(MATCH($C1608,'Phản ánh'!$A$6:$A$505,0)),"Phản ánh",IF(ISNUMBER(MATCH($C1608,'Kế hoạch'!$A$6:$A$305,0)),"Công việc","Mã chưa có")))</f>
      </c>
      <c r="J1608" s="221">
        <f>IF($I1608="Phản ánh",INDEX('Phản ánh'!$C$6:$C$505,MATCH($C1608,'Phản ánh'!$A$6:$A$505,0)),IF($I1608="Công việc",INDEX('Kế hoạch'!$C$6:$C$305,$O1608),""))</f>
      </c>
      <c r="K1608" s="221">
        <f>IF($I1608="Phản ánh",INDEX('Phản ánh'!$K$6:$K$505,MATCH($C1608,'Phản ánh'!$A$6:$A$505,0))&amp;"",IF($I1608="Công việc",INDEX('Kế hoạch'!$N$6:$N$305,$O1608)&amp;"",""))</f>
      </c>
      <c r="L1608" s="220">
        <f>IF(OR($C1608="",N($B1608)=0),"",IF(AND($I1608="Phản ánh",$E1608="Đã xử lý"),INDEX('Phản ánh'!$U$6:$U$505,MATCH($C1608,'Phản ánh'!$A$6:$A$505,0)),IF(AND($I1608="Công việc",OR($E1608="Hoàn thành",$E1608="Hoàn thành kỳ")),IF(INDEX('Kế hoạch'!$B$6:$B$305,$O1608)="Đột xuất",INDEX('Kế hoạch'!$AY$6:$AY$305,$O1608),IF(N($P1608)=0,"",IF(INT($B1608)&lt;$P1608,$P1608,IF($Q1608&gt;0,$P1608+ROUND((INT($B1608)-$P1608)/$Q1608,0)*$Q1608,IF($R1608&gt;0,EDATE($P1608,ROUND((DATEDIF($P1608,INT($B1608),"m")+(INT($B1608)-EDATE($P1608,DATEDIF($P1608,INT($B1608),"m")))/(EDATE($P1608,DATEDIF($P1608,INT($B1608),"m")+1)-EDATE($P1608,DATEDIF($P1608,INT($B1608),"m"))))/$R1608,0)*$R1608),$P1608))))),"")))</f>
      </c>
      <c r="M1608" s="223">
        <f>IF(OR($C1608="",N($L1608)=0,N($B1608)=0),"",IF(IF(MOD($L1608,1)=0,INT($B1608),$B1608)&lt;=$L1608,"Đúng hạn","Trễ hạn"))</f>
      </c>
      <c r="N1608" s="225">
        <f>IF($C1608="","",ROW())</f>
      </c>
      <c r="O1608" s="225">
        <f>IF($I1608="Công việc",MATCH($C1608,'Kế hoạch'!$A$6:$A$305,0),"")</f>
      </c>
      <c r="P1608" s="234">
        <f>IF($O1608="","",INDEX('Kế hoạch'!$I$6:$I$305,$O1608))</f>
      </c>
      <c r="Q1608" s="225">
        <f>IF($O1608="","",INDEX('Kế hoạch'!$AJ$6:$AJ$305,$O1608))</f>
      </c>
      <c r="R1608" s="225">
        <f>IF($O1608="","",INDEX('Kế hoạch'!$AK$6:$AK$305,$O1608))</f>
      </c>
    </row>
    <row r="1609">
      <c r="A1609" s="223">
        <f>IF($C1609="","",COUNTIF($C$6:$C1609,"?*"))</f>
      </c>
      <c r="B1609" s="217"/>
      <c r="C1609" s="216"/>
      <c r="D1609" s="240"/>
      <c r="E1609" s="218"/>
      <c r="F1609" s="218"/>
      <c r="G1609" s="218"/>
      <c r="H1609" s="219"/>
      <c r="I1609" s="223">
        <f>IF($C1609="","",IF(ISNUMBER(MATCH($C1609,'Phản ánh'!$A$6:$A$505,0)),"Phản ánh",IF(ISNUMBER(MATCH($C1609,'Kế hoạch'!$A$6:$A$305,0)),"Công việc","Mã chưa có")))</f>
      </c>
      <c r="J1609" s="221">
        <f>IF($I1609="Phản ánh",INDEX('Phản ánh'!$C$6:$C$505,MATCH($C1609,'Phản ánh'!$A$6:$A$505,0)),IF($I1609="Công việc",INDEX('Kế hoạch'!$C$6:$C$305,$O1609),""))</f>
      </c>
      <c r="K1609" s="221">
        <f>IF($I1609="Phản ánh",INDEX('Phản ánh'!$K$6:$K$505,MATCH($C1609,'Phản ánh'!$A$6:$A$505,0))&amp;"",IF($I1609="Công việc",INDEX('Kế hoạch'!$N$6:$N$305,$O1609)&amp;"",""))</f>
      </c>
      <c r="L1609" s="220">
        <f>IF(OR($C1609="",N($B1609)=0),"",IF(AND($I1609="Phản ánh",$E1609="Đã xử lý"),INDEX('Phản ánh'!$U$6:$U$505,MATCH($C1609,'Phản ánh'!$A$6:$A$505,0)),IF(AND($I1609="Công việc",OR($E1609="Hoàn thành",$E1609="Hoàn thành kỳ")),IF(INDEX('Kế hoạch'!$B$6:$B$305,$O1609)="Đột xuất",INDEX('Kế hoạch'!$AY$6:$AY$305,$O1609),IF(N($P1609)=0,"",IF(INT($B1609)&lt;$P1609,$P1609,IF($Q1609&gt;0,$P1609+ROUND((INT($B1609)-$P1609)/$Q1609,0)*$Q1609,IF($R1609&gt;0,EDATE($P1609,ROUND((DATEDIF($P1609,INT($B1609),"m")+(INT($B1609)-EDATE($P1609,DATEDIF($P1609,INT($B1609),"m")))/(EDATE($P1609,DATEDIF($P1609,INT($B1609),"m")+1)-EDATE($P1609,DATEDIF($P1609,INT($B1609),"m"))))/$R1609,0)*$R1609),$P1609))))),"")))</f>
      </c>
      <c r="M1609" s="223">
        <f>IF(OR($C1609="",N($L1609)=0,N($B1609)=0),"",IF(IF(MOD($L1609,1)=0,INT($B1609),$B1609)&lt;=$L1609,"Đúng hạn","Trễ hạn"))</f>
      </c>
      <c r="N1609" s="225">
        <f>IF($C1609="","",ROW())</f>
      </c>
      <c r="O1609" s="225">
        <f>IF($I1609="Công việc",MATCH($C1609,'Kế hoạch'!$A$6:$A$305,0),"")</f>
      </c>
      <c r="P1609" s="234">
        <f>IF($O1609="","",INDEX('Kế hoạch'!$I$6:$I$305,$O1609))</f>
      </c>
      <c r="Q1609" s="225">
        <f>IF($O1609="","",INDEX('Kế hoạch'!$AJ$6:$AJ$305,$O1609))</f>
      </c>
      <c r="R1609" s="225">
        <f>IF($O1609="","",INDEX('Kế hoạch'!$AK$6:$AK$305,$O1609))</f>
      </c>
    </row>
    <row r="1610">
      <c r="A1610" s="223">
        <f>IF($C1610="","",COUNTIF($C$6:$C1610,"?*"))</f>
      </c>
      <c r="B1610" s="217"/>
      <c r="C1610" s="216"/>
      <c r="D1610" s="240"/>
      <c r="E1610" s="218"/>
      <c r="F1610" s="218"/>
      <c r="G1610" s="218"/>
      <c r="H1610" s="219"/>
      <c r="I1610" s="223">
        <f>IF($C1610="","",IF(ISNUMBER(MATCH($C1610,'Phản ánh'!$A$6:$A$505,0)),"Phản ánh",IF(ISNUMBER(MATCH($C1610,'Kế hoạch'!$A$6:$A$305,0)),"Công việc","Mã chưa có")))</f>
      </c>
      <c r="J1610" s="221">
        <f>IF($I1610="Phản ánh",INDEX('Phản ánh'!$C$6:$C$505,MATCH($C1610,'Phản ánh'!$A$6:$A$505,0)),IF($I1610="Công việc",INDEX('Kế hoạch'!$C$6:$C$305,$O1610),""))</f>
      </c>
      <c r="K1610" s="221">
        <f>IF($I1610="Phản ánh",INDEX('Phản ánh'!$K$6:$K$505,MATCH($C1610,'Phản ánh'!$A$6:$A$505,0))&amp;"",IF($I1610="Công việc",INDEX('Kế hoạch'!$N$6:$N$305,$O1610)&amp;"",""))</f>
      </c>
      <c r="L1610" s="220">
        <f>IF(OR($C1610="",N($B1610)=0),"",IF(AND($I1610="Phản ánh",$E1610="Đã xử lý"),INDEX('Phản ánh'!$U$6:$U$505,MATCH($C1610,'Phản ánh'!$A$6:$A$505,0)),IF(AND($I1610="Công việc",OR($E1610="Hoàn thành",$E1610="Hoàn thành kỳ")),IF(INDEX('Kế hoạch'!$B$6:$B$305,$O1610)="Đột xuất",INDEX('Kế hoạch'!$AY$6:$AY$305,$O1610),IF(N($P1610)=0,"",IF(INT($B1610)&lt;$P1610,$P1610,IF($Q1610&gt;0,$P1610+ROUND((INT($B1610)-$P1610)/$Q1610,0)*$Q1610,IF($R1610&gt;0,EDATE($P1610,ROUND((DATEDIF($P1610,INT($B1610),"m")+(INT($B1610)-EDATE($P1610,DATEDIF($P1610,INT($B1610),"m")))/(EDATE($P1610,DATEDIF($P1610,INT($B1610),"m")+1)-EDATE($P1610,DATEDIF($P1610,INT($B1610),"m"))))/$R1610,0)*$R1610),$P1610))))),"")))</f>
      </c>
      <c r="M1610" s="223">
        <f>IF(OR($C1610="",N($L1610)=0,N($B1610)=0),"",IF(IF(MOD($L1610,1)=0,INT($B1610),$B1610)&lt;=$L1610,"Đúng hạn","Trễ hạn"))</f>
      </c>
      <c r="N1610" s="225">
        <f>IF($C1610="","",ROW())</f>
      </c>
      <c r="O1610" s="225">
        <f>IF($I1610="Công việc",MATCH($C1610,'Kế hoạch'!$A$6:$A$305,0),"")</f>
      </c>
      <c r="P1610" s="234">
        <f>IF($O1610="","",INDEX('Kế hoạch'!$I$6:$I$305,$O1610))</f>
      </c>
      <c r="Q1610" s="225">
        <f>IF($O1610="","",INDEX('Kế hoạch'!$AJ$6:$AJ$305,$O1610))</f>
      </c>
      <c r="R1610" s="225">
        <f>IF($O1610="","",INDEX('Kế hoạch'!$AK$6:$AK$305,$O1610))</f>
      </c>
    </row>
    <row r="1611">
      <c r="A1611" s="223">
        <f>IF($C1611="","",COUNTIF($C$6:$C1611,"?*"))</f>
      </c>
      <c r="B1611" s="217"/>
      <c r="C1611" s="216"/>
      <c r="D1611" s="240"/>
      <c r="E1611" s="218"/>
      <c r="F1611" s="218"/>
      <c r="G1611" s="218"/>
      <c r="H1611" s="219"/>
      <c r="I1611" s="223">
        <f>IF($C1611="","",IF(ISNUMBER(MATCH($C1611,'Phản ánh'!$A$6:$A$505,0)),"Phản ánh",IF(ISNUMBER(MATCH($C1611,'Kế hoạch'!$A$6:$A$305,0)),"Công việc","Mã chưa có")))</f>
      </c>
      <c r="J1611" s="221">
        <f>IF($I1611="Phản ánh",INDEX('Phản ánh'!$C$6:$C$505,MATCH($C1611,'Phản ánh'!$A$6:$A$505,0)),IF($I1611="Công việc",INDEX('Kế hoạch'!$C$6:$C$305,$O1611),""))</f>
      </c>
      <c r="K1611" s="221">
        <f>IF($I1611="Phản ánh",INDEX('Phản ánh'!$K$6:$K$505,MATCH($C1611,'Phản ánh'!$A$6:$A$505,0))&amp;"",IF($I1611="Công việc",INDEX('Kế hoạch'!$N$6:$N$305,$O1611)&amp;"",""))</f>
      </c>
      <c r="L1611" s="220">
        <f>IF(OR($C1611="",N($B1611)=0),"",IF(AND($I1611="Phản ánh",$E1611="Đã xử lý"),INDEX('Phản ánh'!$U$6:$U$505,MATCH($C1611,'Phản ánh'!$A$6:$A$505,0)),IF(AND($I1611="Công việc",OR($E1611="Hoàn thành",$E1611="Hoàn thành kỳ")),IF(INDEX('Kế hoạch'!$B$6:$B$305,$O1611)="Đột xuất",INDEX('Kế hoạch'!$AY$6:$AY$305,$O1611),IF(N($P1611)=0,"",IF(INT($B1611)&lt;$P1611,$P1611,IF($Q1611&gt;0,$P1611+ROUND((INT($B1611)-$P1611)/$Q1611,0)*$Q1611,IF($R1611&gt;0,EDATE($P1611,ROUND((DATEDIF($P1611,INT($B1611),"m")+(INT($B1611)-EDATE($P1611,DATEDIF($P1611,INT($B1611),"m")))/(EDATE($P1611,DATEDIF($P1611,INT($B1611),"m")+1)-EDATE($P1611,DATEDIF($P1611,INT($B1611),"m"))))/$R1611,0)*$R1611),$P1611))))),"")))</f>
      </c>
      <c r="M1611" s="223">
        <f>IF(OR($C1611="",N($L1611)=0,N($B1611)=0),"",IF(IF(MOD($L1611,1)=0,INT($B1611),$B1611)&lt;=$L1611,"Đúng hạn","Trễ hạn"))</f>
      </c>
      <c r="N1611" s="225">
        <f>IF($C1611="","",ROW())</f>
      </c>
      <c r="O1611" s="225">
        <f>IF($I1611="Công việc",MATCH($C1611,'Kế hoạch'!$A$6:$A$305,0),"")</f>
      </c>
      <c r="P1611" s="234">
        <f>IF($O1611="","",INDEX('Kế hoạch'!$I$6:$I$305,$O1611))</f>
      </c>
      <c r="Q1611" s="225">
        <f>IF($O1611="","",INDEX('Kế hoạch'!$AJ$6:$AJ$305,$O1611))</f>
      </c>
      <c r="R1611" s="225">
        <f>IF($O1611="","",INDEX('Kế hoạch'!$AK$6:$AK$305,$O1611))</f>
      </c>
    </row>
    <row r="1612">
      <c r="A1612" s="223">
        <f>IF($C1612="","",COUNTIF($C$6:$C1612,"?*"))</f>
      </c>
      <c r="B1612" s="217"/>
      <c r="C1612" s="216"/>
      <c r="D1612" s="240"/>
      <c r="E1612" s="218"/>
      <c r="F1612" s="218"/>
      <c r="G1612" s="218"/>
      <c r="H1612" s="219"/>
      <c r="I1612" s="223">
        <f>IF($C1612="","",IF(ISNUMBER(MATCH($C1612,'Phản ánh'!$A$6:$A$505,0)),"Phản ánh",IF(ISNUMBER(MATCH($C1612,'Kế hoạch'!$A$6:$A$305,0)),"Công việc","Mã chưa có")))</f>
      </c>
      <c r="J1612" s="221">
        <f>IF($I1612="Phản ánh",INDEX('Phản ánh'!$C$6:$C$505,MATCH($C1612,'Phản ánh'!$A$6:$A$505,0)),IF($I1612="Công việc",INDEX('Kế hoạch'!$C$6:$C$305,$O1612),""))</f>
      </c>
      <c r="K1612" s="221">
        <f>IF($I1612="Phản ánh",INDEX('Phản ánh'!$K$6:$K$505,MATCH($C1612,'Phản ánh'!$A$6:$A$505,0))&amp;"",IF($I1612="Công việc",INDEX('Kế hoạch'!$N$6:$N$305,$O1612)&amp;"",""))</f>
      </c>
      <c r="L1612" s="220">
        <f>IF(OR($C1612="",N($B1612)=0),"",IF(AND($I1612="Phản ánh",$E1612="Đã xử lý"),INDEX('Phản ánh'!$U$6:$U$505,MATCH($C1612,'Phản ánh'!$A$6:$A$505,0)),IF(AND($I1612="Công việc",OR($E1612="Hoàn thành",$E1612="Hoàn thành kỳ")),IF(INDEX('Kế hoạch'!$B$6:$B$305,$O1612)="Đột xuất",INDEX('Kế hoạch'!$AY$6:$AY$305,$O1612),IF(N($P1612)=0,"",IF(INT($B1612)&lt;$P1612,$P1612,IF($Q1612&gt;0,$P1612+ROUND((INT($B1612)-$P1612)/$Q1612,0)*$Q1612,IF($R1612&gt;0,EDATE($P1612,ROUND((DATEDIF($P1612,INT($B1612),"m")+(INT($B1612)-EDATE($P1612,DATEDIF($P1612,INT($B1612),"m")))/(EDATE($P1612,DATEDIF($P1612,INT($B1612),"m")+1)-EDATE($P1612,DATEDIF($P1612,INT($B1612),"m"))))/$R1612,0)*$R1612),$P1612))))),"")))</f>
      </c>
      <c r="M1612" s="223">
        <f>IF(OR($C1612="",N($L1612)=0,N($B1612)=0),"",IF(IF(MOD($L1612,1)=0,INT($B1612),$B1612)&lt;=$L1612,"Đúng hạn","Trễ hạn"))</f>
      </c>
      <c r="N1612" s="225">
        <f>IF($C1612="","",ROW())</f>
      </c>
      <c r="O1612" s="225">
        <f>IF($I1612="Công việc",MATCH($C1612,'Kế hoạch'!$A$6:$A$305,0),"")</f>
      </c>
      <c r="P1612" s="234">
        <f>IF($O1612="","",INDEX('Kế hoạch'!$I$6:$I$305,$O1612))</f>
      </c>
      <c r="Q1612" s="225">
        <f>IF($O1612="","",INDEX('Kế hoạch'!$AJ$6:$AJ$305,$O1612))</f>
      </c>
      <c r="R1612" s="225">
        <f>IF($O1612="","",INDEX('Kế hoạch'!$AK$6:$AK$305,$O1612))</f>
      </c>
    </row>
    <row r="1613">
      <c r="A1613" s="223">
        <f>IF($C1613="","",COUNTIF($C$6:$C1613,"?*"))</f>
      </c>
      <c r="B1613" s="217"/>
      <c r="C1613" s="216"/>
      <c r="D1613" s="240"/>
      <c r="E1613" s="218"/>
      <c r="F1613" s="218"/>
      <c r="G1613" s="218"/>
      <c r="H1613" s="219"/>
      <c r="I1613" s="223">
        <f>IF($C1613="","",IF(ISNUMBER(MATCH($C1613,'Phản ánh'!$A$6:$A$505,0)),"Phản ánh",IF(ISNUMBER(MATCH($C1613,'Kế hoạch'!$A$6:$A$305,0)),"Công việc","Mã chưa có")))</f>
      </c>
      <c r="J1613" s="221">
        <f>IF($I1613="Phản ánh",INDEX('Phản ánh'!$C$6:$C$505,MATCH($C1613,'Phản ánh'!$A$6:$A$505,0)),IF($I1613="Công việc",INDEX('Kế hoạch'!$C$6:$C$305,$O1613),""))</f>
      </c>
      <c r="K1613" s="221">
        <f>IF($I1613="Phản ánh",INDEX('Phản ánh'!$K$6:$K$505,MATCH($C1613,'Phản ánh'!$A$6:$A$505,0))&amp;"",IF($I1613="Công việc",INDEX('Kế hoạch'!$N$6:$N$305,$O1613)&amp;"",""))</f>
      </c>
      <c r="L1613" s="220">
        <f>IF(OR($C1613="",N($B1613)=0),"",IF(AND($I1613="Phản ánh",$E1613="Đã xử lý"),INDEX('Phản ánh'!$U$6:$U$505,MATCH($C1613,'Phản ánh'!$A$6:$A$505,0)),IF(AND($I1613="Công việc",OR($E1613="Hoàn thành",$E1613="Hoàn thành kỳ")),IF(INDEX('Kế hoạch'!$B$6:$B$305,$O1613)="Đột xuất",INDEX('Kế hoạch'!$AY$6:$AY$305,$O1613),IF(N($P1613)=0,"",IF(INT($B1613)&lt;$P1613,$P1613,IF($Q1613&gt;0,$P1613+ROUND((INT($B1613)-$P1613)/$Q1613,0)*$Q1613,IF($R1613&gt;0,EDATE($P1613,ROUND((DATEDIF($P1613,INT($B1613),"m")+(INT($B1613)-EDATE($P1613,DATEDIF($P1613,INT($B1613),"m")))/(EDATE($P1613,DATEDIF($P1613,INT($B1613),"m")+1)-EDATE($P1613,DATEDIF($P1613,INT($B1613),"m"))))/$R1613,0)*$R1613),$P1613))))),"")))</f>
      </c>
      <c r="M1613" s="223">
        <f>IF(OR($C1613="",N($L1613)=0,N($B1613)=0),"",IF(IF(MOD($L1613,1)=0,INT($B1613),$B1613)&lt;=$L1613,"Đúng hạn","Trễ hạn"))</f>
      </c>
      <c r="N1613" s="225">
        <f>IF($C1613="","",ROW())</f>
      </c>
      <c r="O1613" s="225">
        <f>IF($I1613="Công việc",MATCH($C1613,'Kế hoạch'!$A$6:$A$305,0),"")</f>
      </c>
      <c r="P1613" s="234">
        <f>IF($O1613="","",INDEX('Kế hoạch'!$I$6:$I$305,$O1613))</f>
      </c>
      <c r="Q1613" s="225">
        <f>IF($O1613="","",INDEX('Kế hoạch'!$AJ$6:$AJ$305,$O1613))</f>
      </c>
      <c r="R1613" s="225">
        <f>IF($O1613="","",INDEX('Kế hoạch'!$AK$6:$AK$305,$O1613))</f>
      </c>
    </row>
    <row r="1614">
      <c r="A1614" s="223">
        <f>IF($C1614="","",COUNTIF($C$6:$C1614,"?*"))</f>
      </c>
      <c r="B1614" s="217"/>
      <c r="C1614" s="216"/>
      <c r="D1614" s="240"/>
      <c r="E1614" s="218"/>
      <c r="F1614" s="218"/>
      <c r="G1614" s="218"/>
      <c r="H1614" s="219"/>
      <c r="I1614" s="223">
        <f>IF($C1614="","",IF(ISNUMBER(MATCH($C1614,'Phản ánh'!$A$6:$A$505,0)),"Phản ánh",IF(ISNUMBER(MATCH($C1614,'Kế hoạch'!$A$6:$A$305,0)),"Công việc","Mã chưa có")))</f>
      </c>
      <c r="J1614" s="221">
        <f>IF($I1614="Phản ánh",INDEX('Phản ánh'!$C$6:$C$505,MATCH($C1614,'Phản ánh'!$A$6:$A$505,0)),IF($I1614="Công việc",INDEX('Kế hoạch'!$C$6:$C$305,$O1614),""))</f>
      </c>
      <c r="K1614" s="221">
        <f>IF($I1614="Phản ánh",INDEX('Phản ánh'!$K$6:$K$505,MATCH($C1614,'Phản ánh'!$A$6:$A$505,0))&amp;"",IF($I1614="Công việc",INDEX('Kế hoạch'!$N$6:$N$305,$O1614)&amp;"",""))</f>
      </c>
      <c r="L1614" s="220">
        <f>IF(OR($C1614="",N($B1614)=0),"",IF(AND($I1614="Phản ánh",$E1614="Đã xử lý"),INDEX('Phản ánh'!$U$6:$U$505,MATCH($C1614,'Phản ánh'!$A$6:$A$505,0)),IF(AND($I1614="Công việc",OR($E1614="Hoàn thành",$E1614="Hoàn thành kỳ")),IF(INDEX('Kế hoạch'!$B$6:$B$305,$O1614)="Đột xuất",INDEX('Kế hoạch'!$AY$6:$AY$305,$O1614),IF(N($P1614)=0,"",IF(INT($B1614)&lt;$P1614,$P1614,IF($Q1614&gt;0,$P1614+ROUND((INT($B1614)-$P1614)/$Q1614,0)*$Q1614,IF($R1614&gt;0,EDATE($P1614,ROUND((DATEDIF($P1614,INT($B1614),"m")+(INT($B1614)-EDATE($P1614,DATEDIF($P1614,INT($B1614),"m")))/(EDATE($P1614,DATEDIF($P1614,INT($B1614),"m")+1)-EDATE($P1614,DATEDIF($P1614,INT($B1614),"m"))))/$R1614,0)*$R1614),$P1614))))),"")))</f>
      </c>
      <c r="M1614" s="223">
        <f>IF(OR($C1614="",N($L1614)=0,N($B1614)=0),"",IF(IF(MOD($L1614,1)=0,INT($B1614),$B1614)&lt;=$L1614,"Đúng hạn","Trễ hạn"))</f>
      </c>
      <c r="N1614" s="225">
        <f>IF($C1614="","",ROW())</f>
      </c>
      <c r="O1614" s="225">
        <f>IF($I1614="Công việc",MATCH($C1614,'Kế hoạch'!$A$6:$A$305,0),"")</f>
      </c>
      <c r="P1614" s="234">
        <f>IF($O1614="","",INDEX('Kế hoạch'!$I$6:$I$305,$O1614))</f>
      </c>
      <c r="Q1614" s="225">
        <f>IF($O1614="","",INDEX('Kế hoạch'!$AJ$6:$AJ$305,$O1614))</f>
      </c>
      <c r="R1614" s="225">
        <f>IF($O1614="","",INDEX('Kế hoạch'!$AK$6:$AK$305,$O1614))</f>
      </c>
    </row>
    <row r="1615">
      <c r="A1615" s="223">
        <f>IF($C1615="","",COUNTIF($C$6:$C1615,"?*"))</f>
      </c>
      <c r="B1615" s="217"/>
      <c r="C1615" s="216"/>
      <c r="D1615" s="240"/>
      <c r="E1615" s="218"/>
      <c r="F1615" s="218"/>
      <c r="G1615" s="218"/>
      <c r="H1615" s="219"/>
      <c r="I1615" s="223">
        <f>IF($C1615="","",IF(ISNUMBER(MATCH($C1615,'Phản ánh'!$A$6:$A$505,0)),"Phản ánh",IF(ISNUMBER(MATCH($C1615,'Kế hoạch'!$A$6:$A$305,0)),"Công việc","Mã chưa có")))</f>
      </c>
      <c r="J1615" s="221">
        <f>IF($I1615="Phản ánh",INDEX('Phản ánh'!$C$6:$C$505,MATCH($C1615,'Phản ánh'!$A$6:$A$505,0)),IF($I1615="Công việc",INDEX('Kế hoạch'!$C$6:$C$305,$O1615),""))</f>
      </c>
      <c r="K1615" s="221">
        <f>IF($I1615="Phản ánh",INDEX('Phản ánh'!$K$6:$K$505,MATCH($C1615,'Phản ánh'!$A$6:$A$505,0))&amp;"",IF($I1615="Công việc",INDEX('Kế hoạch'!$N$6:$N$305,$O1615)&amp;"",""))</f>
      </c>
      <c r="L1615" s="220">
        <f>IF(OR($C1615="",N($B1615)=0),"",IF(AND($I1615="Phản ánh",$E1615="Đã xử lý"),INDEX('Phản ánh'!$U$6:$U$505,MATCH($C1615,'Phản ánh'!$A$6:$A$505,0)),IF(AND($I1615="Công việc",OR($E1615="Hoàn thành",$E1615="Hoàn thành kỳ")),IF(INDEX('Kế hoạch'!$B$6:$B$305,$O1615)="Đột xuất",INDEX('Kế hoạch'!$AY$6:$AY$305,$O1615),IF(N($P1615)=0,"",IF(INT($B1615)&lt;$P1615,$P1615,IF($Q1615&gt;0,$P1615+ROUND((INT($B1615)-$P1615)/$Q1615,0)*$Q1615,IF($R1615&gt;0,EDATE($P1615,ROUND((DATEDIF($P1615,INT($B1615),"m")+(INT($B1615)-EDATE($P1615,DATEDIF($P1615,INT($B1615),"m")))/(EDATE($P1615,DATEDIF($P1615,INT($B1615),"m")+1)-EDATE($P1615,DATEDIF($P1615,INT($B1615),"m"))))/$R1615,0)*$R1615),$P1615))))),"")))</f>
      </c>
      <c r="M1615" s="223">
        <f>IF(OR($C1615="",N($L1615)=0,N($B1615)=0),"",IF(IF(MOD($L1615,1)=0,INT($B1615),$B1615)&lt;=$L1615,"Đúng hạn","Trễ hạn"))</f>
      </c>
      <c r="N1615" s="225">
        <f>IF($C1615="","",ROW())</f>
      </c>
      <c r="O1615" s="225">
        <f>IF($I1615="Công việc",MATCH($C1615,'Kế hoạch'!$A$6:$A$305,0),"")</f>
      </c>
      <c r="P1615" s="234">
        <f>IF($O1615="","",INDEX('Kế hoạch'!$I$6:$I$305,$O1615))</f>
      </c>
      <c r="Q1615" s="225">
        <f>IF($O1615="","",INDEX('Kế hoạch'!$AJ$6:$AJ$305,$O1615))</f>
      </c>
      <c r="R1615" s="225">
        <f>IF($O1615="","",INDEX('Kế hoạch'!$AK$6:$AK$305,$O1615))</f>
      </c>
    </row>
    <row r="1616">
      <c r="A1616" s="223">
        <f>IF($C1616="","",COUNTIF($C$6:$C1616,"?*"))</f>
      </c>
      <c r="B1616" s="217"/>
      <c r="C1616" s="216"/>
      <c r="D1616" s="240"/>
      <c r="E1616" s="218"/>
      <c r="F1616" s="218"/>
      <c r="G1616" s="218"/>
      <c r="H1616" s="219"/>
      <c r="I1616" s="223">
        <f>IF($C1616="","",IF(ISNUMBER(MATCH($C1616,'Phản ánh'!$A$6:$A$505,0)),"Phản ánh",IF(ISNUMBER(MATCH($C1616,'Kế hoạch'!$A$6:$A$305,0)),"Công việc","Mã chưa có")))</f>
      </c>
      <c r="J1616" s="221">
        <f>IF($I1616="Phản ánh",INDEX('Phản ánh'!$C$6:$C$505,MATCH($C1616,'Phản ánh'!$A$6:$A$505,0)),IF($I1616="Công việc",INDEX('Kế hoạch'!$C$6:$C$305,$O1616),""))</f>
      </c>
      <c r="K1616" s="221">
        <f>IF($I1616="Phản ánh",INDEX('Phản ánh'!$K$6:$K$505,MATCH($C1616,'Phản ánh'!$A$6:$A$505,0))&amp;"",IF($I1616="Công việc",INDEX('Kế hoạch'!$N$6:$N$305,$O1616)&amp;"",""))</f>
      </c>
      <c r="L1616" s="220">
        <f>IF(OR($C1616="",N($B1616)=0),"",IF(AND($I1616="Phản ánh",$E1616="Đã xử lý"),INDEX('Phản ánh'!$U$6:$U$505,MATCH($C1616,'Phản ánh'!$A$6:$A$505,0)),IF(AND($I1616="Công việc",OR($E1616="Hoàn thành",$E1616="Hoàn thành kỳ")),IF(INDEX('Kế hoạch'!$B$6:$B$305,$O1616)="Đột xuất",INDEX('Kế hoạch'!$AY$6:$AY$305,$O1616),IF(N($P1616)=0,"",IF(INT($B1616)&lt;$P1616,$P1616,IF($Q1616&gt;0,$P1616+ROUND((INT($B1616)-$P1616)/$Q1616,0)*$Q1616,IF($R1616&gt;0,EDATE($P1616,ROUND((DATEDIF($P1616,INT($B1616),"m")+(INT($B1616)-EDATE($P1616,DATEDIF($P1616,INT($B1616),"m")))/(EDATE($P1616,DATEDIF($P1616,INT($B1616),"m")+1)-EDATE($P1616,DATEDIF($P1616,INT($B1616),"m"))))/$R1616,0)*$R1616),$P1616))))),"")))</f>
      </c>
      <c r="M1616" s="223">
        <f>IF(OR($C1616="",N($L1616)=0,N($B1616)=0),"",IF(IF(MOD($L1616,1)=0,INT($B1616),$B1616)&lt;=$L1616,"Đúng hạn","Trễ hạn"))</f>
      </c>
      <c r="N1616" s="225">
        <f>IF($C1616="","",ROW())</f>
      </c>
      <c r="O1616" s="225">
        <f>IF($I1616="Công việc",MATCH($C1616,'Kế hoạch'!$A$6:$A$305,0),"")</f>
      </c>
      <c r="P1616" s="234">
        <f>IF($O1616="","",INDEX('Kế hoạch'!$I$6:$I$305,$O1616))</f>
      </c>
      <c r="Q1616" s="225">
        <f>IF($O1616="","",INDEX('Kế hoạch'!$AJ$6:$AJ$305,$O1616))</f>
      </c>
      <c r="R1616" s="225">
        <f>IF($O1616="","",INDEX('Kế hoạch'!$AK$6:$AK$305,$O1616))</f>
      </c>
    </row>
    <row r="1617">
      <c r="A1617" s="223">
        <f>IF($C1617="","",COUNTIF($C$6:$C1617,"?*"))</f>
      </c>
      <c r="B1617" s="217"/>
      <c r="C1617" s="216"/>
      <c r="D1617" s="240"/>
      <c r="E1617" s="218"/>
      <c r="F1617" s="218"/>
      <c r="G1617" s="218"/>
      <c r="H1617" s="219"/>
      <c r="I1617" s="223">
        <f>IF($C1617="","",IF(ISNUMBER(MATCH($C1617,'Phản ánh'!$A$6:$A$505,0)),"Phản ánh",IF(ISNUMBER(MATCH($C1617,'Kế hoạch'!$A$6:$A$305,0)),"Công việc","Mã chưa có")))</f>
      </c>
      <c r="J1617" s="221">
        <f>IF($I1617="Phản ánh",INDEX('Phản ánh'!$C$6:$C$505,MATCH($C1617,'Phản ánh'!$A$6:$A$505,0)),IF($I1617="Công việc",INDEX('Kế hoạch'!$C$6:$C$305,$O1617),""))</f>
      </c>
      <c r="K1617" s="221">
        <f>IF($I1617="Phản ánh",INDEX('Phản ánh'!$K$6:$K$505,MATCH($C1617,'Phản ánh'!$A$6:$A$505,0))&amp;"",IF($I1617="Công việc",INDEX('Kế hoạch'!$N$6:$N$305,$O1617)&amp;"",""))</f>
      </c>
      <c r="L1617" s="220">
        <f>IF(OR($C1617="",N($B1617)=0),"",IF(AND($I1617="Phản ánh",$E1617="Đã xử lý"),INDEX('Phản ánh'!$U$6:$U$505,MATCH($C1617,'Phản ánh'!$A$6:$A$505,0)),IF(AND($I1617="Công việc",OR($E1617="Hoàn thành",$E1617="Hoàn thành kỳ")),IF(INDEX('Kế hoạch'!$B$6:$B$305,$O1617)="Đột xuất",INDEX('Kế hoạch'!$AY$6:$AY$305,$O1617),IF(N($P1617)=0,"",IF(INT($B1617)&lt;$P1617,$P1617,IF($Q1617&gt;0,$P1617+ROUND((INT($B1617)-$P1617)/$Q1617,0)*$Q1617,IF($R1617&gt;0,EDATE($P1617,ROUND((DATEDIF($P1617,INT($B1617),"m")+(INT($B1617)-EDATE($P1617,DATEDIF($P1617,INT($B1617),"m")))/(EDATE($P1617,DATEDIF($P1617,INT($B1617),"m")+1)-EDATE($P1617,DATEDIF($P1617,INT($B1617),"m"))))/$R1617,0)*$R1617),$P1617))))),"")))</f>
      </c>
      <c r="M1617" s="223">
        <f>IF(OR($C1617="",N($L1617)=0,N($B1617)=0),"",IF(IF(MOD($L1617,1)=0,INT($B1617),$B1617)&lt;=$L1617,"Đúng hạn","Trễ hạn"))</f>
      </c>
      <c r="N1617" s="225">
        <f>IF($C1617="","",ROW())</f>
      </c>
      <c r="O1617" s="225">
        <f>IF($I1617="Công việc",MATCH($C1617,'Kế hoạch'!$A$6:$A$305,0),"")</f>
      </c>
      <c r="P1617" s="234">
        <f>IF($O1617="","",INDEX('Kế hoạch'!$I$6:$I$305,$O1617))</f>
      </c>
      <c r="Q1617" s="225">
        <f>IF($O1617="","",INDEX('Kế hoạch'!$AJ$6:$AJ$305,$O1617))</f>
      </c>
      <c r="R1617" s="225">
        <f>IF($O1617="","",INDEX('Kế hoạch'!$AK$6:$AK$305,$O1617))</f>
      </c>
    </row>
    <row r="1618">
      <c r="A1618" s="223">
        <f>IF($C1618="","",COUNTIF($C$6:$C1618,"?*"))</f>
      </c>
      <c r="B1618" s="217"/>
      <c r="C1618" s="216"/>
      <c r="D1618" s="240"/>
      <c r="E1618" s="218"/>
      <c r="F1618" s="218"/>
      <c r="G1618" s="218"/>
      <c r="H1618" s="219"/>
      <c r="I1618" s="223">
        <f>IF($C1618="","",IF(ISNUMBER(MATCH($C1618,'Phản ánh'!$A$6:$A$505,0)),"Phản ánh",IF(ISNUMBER(MATCH($C1618,'Kế hoạch'!$A$6:$A$305,0)),"Công việc","Mã chưa có")))</f>
      </c>
      <c r="J1618" s="221">
        <f>IF($I1618="Phản ánh",INDEX('Phản ánh'!$C$6:$C$505,MATCH($C1618,'Phản ánh'!$A$6:$A$505,0)),IF($I1618="Công việc",INDEX('Kế hoạch'!$C$6:$C$305,$O1618),""))</f>
      </c>
      <c r="K1618" s="221">
        <f>IF($I1618="Phản ánh",INDEX('Phản ánh'!$K$6:$K$505,MATCH($C1618,'Phản ánh'!$A$6:$A$505,0))&amp;"",IF($I1618="Công việc",INDEX('Kế hoạch'!$N$6:$N$305,$O1618)&amp;"",""))</f>
      </c>
      <c r="L1618" s="220">
        <f>IF(OR($C1618="",N($B1618)=0),"",IF(AND($I1618="Phản ánh",$E1618="Đã xử lý"),INDEX('Phản ánh'!$U$6:$U$505,MATCH($C1618,'Phản ánh'!$A$6:$A$505,0)),IF(AND($I1618="Công việc",OR($E1618="Hoàn thành",$E1618="Hoàn thành kỳ")),IF(INDEX('Kế hoạch'!$B$6:$B$305,$O1618)="Đột xuất",INDEX('Kế hoạch'!$AY$6:$AY$305,$O1618),IF(N($P1618)=0,"",IF(INT($B1618)&lt;$P1618,$P1618,IF($Q1618&gt;0,$P1618+ROUND((INT($B1618)-$P1618)/$Q1618,0)*$Q1618,IF($R1618&gt;0,EDATE($P1618,ROUND((DATEDIF($P1618,INT($B1618),"m")+(INT($B1618)-EDATE($P1618,DATEDIF($P1618,INT($B1618),"m")))/(EDATE($P1618,DATEDIF($P1618,INT($B1618),"m")+1)-EDATE($P1618,DATEDIF($P1618,INT($B1618),"m"))))/$R1618,0)*$R1618),$P1618))))),"")))</f>
      </c>
      <c r="M1618" s="223">
        <f>IF(OR($C1618="",N($L1618)=0,N($B1618)=0),"",IF(IF(MOD($L1618,1)=0,INT($B1618),$B1618)&lt;=$L1618,"Đúng hạn","Trễ hạn"))</f>
      </c>
      <c r="N1618" s="225">
        <f>IF($C1618="","",ROW())</f>
      </c>
      <c r="O1618" s="225">
        <f>IF($I1618="Công việc",MATCH($C1618,'Kế hoạch'!$A$6:$A$305,0),"")</f>
      </c>
      <c r="P1618" s="234">
        <f>IF($O1618="","",INDEX('Kế hoạch'!$I$6:$I$305,$O1618))</f>
      </c>
      <c r="Q1618" s="225">
        <f>IF($O1618="","",INDEX('Kế hoạch'!$AJ$6:$AJ$305,$O1618))</f>
      </c>
      <c r="R1618" s="225">
        <f>IF($O1618="","",INDEX('Kế hoạch'!$AK$6:$AK$305,$O1618))</f>
      </c>
    </row>
    <row r="1619">
      <c r="A1619" s="223">
        <f>IF($C1619="","",COUNTIF($C$6:$C1619,"?*"))</f>
      </c>
      <c r="B1619" s="217"/>
      <c r="C1619" s="216"/>
      <c r="D1619" s="240"/>
      <c r="E1619" s="218"/>
      <c r="F1619" s="218"/>
      <c r="G1619" s="218"/>
      <c r="H1619" s="219"/>
      <c r="I1619" s="223">
        <f>IF($C1619="","",IF(ISNUMBER(MATCH($C1619,'Phản ánh'!$A$6:$A$505,0)),"Phản ánh",IF(ISNUMBER(MATCH($C1619,'Kế hoạch'!$A$6:$A$305,0)),"Công việc","Mã chưa có")))</f>
      </c>
      <c r="J1619" s="221">
        <f>IF($I1619="Phản ánh",INDEX('Phản ánh'!$C$6:$C$505,MATCH($C1619,'Phản ánh'!$A$6:$A$505,0)),IF($I1619="Công việc",INDEX('Kế hoạch'!$C$6:$C$305,$O1619),""))</f>
      </c>
      <c r="K1619" s="221">
        <f>IF($I1619="Phản ánh",INDEX('Phản ánh'!$K$6:$K$505,MATCH($C1619,'Phản ánh'!$A$6:$A$505,0))&amp;"",IF($I1619="Công việc",INDEX('Kế hoạch'!$N$6:$N$305,$O1619)&amp;"",""))</f>
      </c>
      <c r="L1619" s="220">
        <f>IF(OR($C1619="",N($B1619)=0),"",IF(AND($I1619="Phản ánh",$E1619="Đã xử lý"),INDEX('Phản ánh'!$U$6:$U$505,MATCH($C1619,'Phản ánh'!$A$6:$A$505,0)),IF(AND($I1619="Công việc",OR($E1619="Hoàn thành",$E1619="Hoàn thành kỳ")),IF(INDEX('Kế hoạch'!$B$6:$B$305,$O1619)="Đột xuất",INDEX('Kế hoạch'!$AY$6:$AY$305,$O1619),IF(N($P1619)=0,"",IF(INT($B1619)&lt;$P1619,$P1619,IF($Q1619&gt;0,$P1619+ROUND((INT($B1619)-$P1619)/$Q1619,0)*$Q1619,IF($R1619&gt;0,EDATE($P1619,ROUND((DATEDIF($P1619,INT($B1619),"m")+(INT($B1619)-EDATE($P1619,DATEDIF($P1619,INT($B1619),"m")))/(EDATE($P1619,DATEDIF($P1619,INT($B1619),"m")+1)-EDATE($P1619,DATEDIF($P1619,INT($B1619),"m"))))/$R1619,0)*$R1619),$P1619))))),"")))</f>
      </c>
      <c r="M1619" s="223">
        <f>IF(OR($C1619="",N($L1619)=0,N($B1619)=0),"",IF(IF(MOD($L1619,1)=0,INT($B1619),$B1619)&lt;=$L1619,"Đúng hạn","Trễ hạn"))</f>
      </c>
      <c r="N1619" s="225">
        <f>IF($C1619="","",ROW())</f>
      </c>
      <c r="O1619" s="225">
        <f>IF($I1619="Công việc",MATCH($C1619,'Kế hoạch'!$A$6:$A$305,0),"")</f>
      </c>
      <c r="P1619" s="234">
        <f>IF($O1619="","",INDEX('Kế hoạch'!$I$6:$I$305,$O1619))</f>
      </c>
      <c r="Q1619" s="225">
        <f>IF($O1619="","",INDEX('Kế hoạch'!$AJ$6:$AJ$305,$O1619))</f>
      </c>
      <c r="R1619" s="225">
        <f>IF($O1619="","",INDEX('Kế hoạch'!$AK$6:$AK$305,$O1619))</f>
      </c>
    </row>
    <row r="1620">
      <c r="A1620" s="223">
        <f>IF($C1620="","",COUNTIF($C$6:$C1620,"?*"))</f>
      </c>
      <c r="B1620" s="217"/>
      <c r="C1620" s="216"/>
      <c r="D1620" s="240"/>
      <c r="E1620" s="218"/>
      <c r="F1620" s="218"/>
      <c r="G1620" s="218"/>
      <c r="H1620" s="219"/>
      <c r="I1620" s="223">
        <f>IF($C1620="","",IF(ISNUMBER(MATCH($C1620,'Phản ánh'!$A$6:$A$505,0)),"Phản ánh",IF(ISNUMBER(MATCH($C1620,'Kế hoạch'!$A$6:$A$305,0)),"Công việc","Mã chưa có")))</f>
      </c>
      <c r="J1620" s="221">
        <f>IF($I1620="Phản ánh",INDEX('Phản ánh'!$C$6:$C$505,MATCH($C1620,'Phản ánh'!$A$6:$A$505,0)),IF($I1620="Công việc",INDEX('Kế hoạch'!$C$6:$C$305,$O1620),""))</f>
      </c>
      <c r="K1620" s="221">
        <f>IF($I1620="Phản ánh",INDEX('Phản ánh'!$K$6:$K$505,MATCH($C1620,'Phản ánh'!$A$6:$A$505,0))&amp;"",IF($I1620="Công việc",INDEX('Kế hoạch'!$N$6:$N$305,$O1620)&amp;"",""))</f>
      </c>
      <c r="L1620" s="220">
        <f>IF(OR($C1620="",N($B1620)=0),"",IF(AND($I1620="Phản ánh",$E1620="Đã xử lý"),INDEX('Phản ánh'!$U$6:$U$505,MATCH($C1620,'Phản ánh'!$A$6:$A$505,0)),IF(AND($I1620="Công việc",OR($E1620="Hoàn thành",$E1620="Hoàn thành kỳ")),IF(INDEX('Kế hoạch'!$B$6:$B$305,$O1620)="Đột xuất",INDEX('Kế hoạch'!$AY$6:$AY$305,$O1620),IF(N($P1620)=0,"",IF(INT($B1620)&lt;$P1620,$P1620,IF($Q1620&gt;0,$P1620+ROUND((INT($B1620)-$P1620)/$Q1620,0)*$Q1620,IF($R1620&gt;0,EDATE($P1620,ROUND((DATEDIF($P1620,INT($B1620),"m")+(INT($B1620)-EDATE($P1620,DATEDIF($P1620,INT($B1620),"m")))/(EDATE($P1620,DATEDIF($P1620,INT($B1620),"m")+1)-EDATE($P1620,DATEDIF($P1620,INT($B1620),"m"))))/$R1620,0)*$R1620),$P1620))))),"")))</f>
      </c>
      <c r="M1620" s="223">
        <f>IF(OR($C1620="",N($L1620)=0,N($B1620)=0),"",IF(IF(MOD($L1620,1)=0,INT($B1620),$B1620)&lt;=$L1620,"Đúng hạn","Trễ hạn"))</f>
      </c>
      <c r="N1620" s="225">
        <f>IF($C1620="","",ROW())</f>
      </c>
      <c r="O1620" s="225">
        <f>IF($I1620="Công việc",MATCH($C1620,'Kế hoạch'!$A$6:$A$305,0),"")</f>
      </c>
      <c r="P1620" s="234">
        <f>IF($O1620="","",INDEX('Kế hoạch'!$I$6:$I$305,$O1620))</f>
      </c>
      <c r="Q1620" s="225">
        <f>IF($O1620="","",INDEX('Kế hoạch'!$AJ$6:$AJ$305,$O1620))</f>
      </c>
      <c r="R1620" s="225">
        <f>IF($O1620="","",INDEX('Kế hoạch'!$AK$6:$AK$305,$O1620))</f>
      </c>
    </row>
    <row r="1621">
      <c r="A1621" s="223">
        <f>IF($C1621="","",COUNTIF($C$6:$C1621,"?*"))</f>
      </c>
      <c r="B1621" s="217"/>
      <c r="C1621" s="216"/>
      <c r="D1621" s="240"/>
      <c r="E1621" s="218"/>
      <c r="F1621" s="218"/>
      <c r="G1621" s="218"/>
      <c r="H1621" s="219"/>
      <c r="I1621" s="223">
        <f>IF($C1621="","",IF(ISNUMBER(MATCH($C1621,'Phản ánh'!$A$6:$A$505,0)),"Phản ánh",IF(ISNUMBER(MATCH($C1621,'Kế hoạch'!$A$6:$A$305,0)),"Công việc","Mã chưa có")))</f>
      </c>
      <c r="J1621" s="221">
        <f>IF($I1621="Phản ánh",INDEX('Phản ánh'!$C$6:$C$505,MATCH($C1621,'Phản ánh'!$A$6:$A$505,0)),IF($I1621="Công việc",INDEX('Kế hoạch'!$C$6:$C$305,$O1621),""))</f>
      </c>
      <c r="K1621" s="221">
        <f>IF($I1621="Phản ánh",INDEX('Phản ánh'!$K$6:$K$505,MATCH($C1621,'Phản ánh'!$A$6:$A$505,0))&amp;"",IF($I1621="Công việc",INDEX('Kế hoạch'!$N$6:$N$305,$O1621)&amp;"",""))</f>
      </c>
      <c r="L1621" s="220">
        <f>IF(OR($C1621="",N($B1621)=0),"",IF(AND($I1621="Phản ánh",$E1621="Đã xử lý"),INDEX('Phản ánh'!$U$6:$U$505,MATCH($C1621,'Phản ánh'!$A$6:$A$505,0)),IF(AND($I1621="Công việc",OR($E1621="Hoàn thành",$E1621="Hoàn thành kỳ")),IF(INDEX('Kế hoạch'!$B$6:$B$305,$O1621)="Đột xuất",INDEX('Kế hoạch'!$AY$6:$AY$305,$O1621),IF(N($P1621)=0,"",IF(INT($B1621)&lt;$P1621,$P1621,IF($Q1621&gt;0,$P1621+ROUND((INT($B1621)-$P1621)/$Q1621,0)*$Q1621,IF($R1621&gt;0,EDATE($P1621,ROUND((DATEDIF($P1621,INT($B1621),"m")+(INT($B1621)-EDATE($P1621,DATEDIF($P1621,INT($B1621),"m")))/(EDATE($P1621,DATEDIF($P1621,INT($B1621),"m")+1)-EDATE($P1621,DATEDIF($P1621,INT($B1621),"m"))))/$R1621,0)*$R1621),$P1621))))),"")))</f>
      </c>
      <c r="M1621" s="223">
        <f>IF(OR($C1621="",N($L1621)=0,N($B1621)=0),"",IF(IF(MOD($L1621,1)=0,INT($B1621),$B1621)&lt;=$L1621,"Đúng hạn","Trễ hạn"))</f>
      </c>
      <c r="N1621" s="225">
        <f>IF($C1621="","",ROW())</f>
      </c>
      <c r="O1621" s="225">
        <f>IF($I1621="Công việc",MATCH($C1621,'Kế hoạch'!$A$6:$A$305,0),"")</f>
      </c>
      <c r="P1621" s="234">
        <f>IF($O1621="","",INDEX('Kế hoạch'!$I$6:$I$305,$O1621))</f>
      </c>
      <c r="Q1621" s="225">
        <f>IF($O1621="","",INDEX('Kế hoạch'!$AJ$6:$AJ$305,$O1621))</f>
      </c>
      <c r="R1621" s="225">
        <f>IF($O1621="","",INDEX('Kế hoạch'!$AK$6:$AK$305,$O1621))</f>
      </c>
    </row>
    <row r="1622">
      <c r="A1622" s="223">
        <f>IF($C1622="","",COUNTIF($C$6:$C1622,"?*"))</f>
      </c>
      <c r="B1622" s="217"/>
      <c r="C1622" s="216"/>
      <c r="D1622" s="240"/>
      <c r="E1622" s="218"/>
      <c r="F1622" s="218"/>
      <c r="G1622" s="218"/>
      <c r="H1622" s="219"/>
      <c r="I1622" s="223">
        <f>IF($C1622="","",IF(ISNUMBER(MATCH($C1622,'Phản ánh'!$A$6:$A$505,0)),"Phản ánh",IF(ISNUMBER(MATCH($C1622,'Kế hoạch'!$A$6:$A$305,0)),"Công việc","Mã chưa có")))</f>
      </c>
      <c r="J1622" s="221">
        <f>IF($I1622="Phản ánh",INDEX('Phản ánh'!$C$6:$C$505,MATCH($C1622,'Phản ánh'!$A$6:$A$505,0)),IF($I1622="Công việc",INDEX('Kế hoạch'!$C$6:$C$305,$O1622),""))</f>
      </c>
      <c r="K1622" s="221">
        <f>IF($I1622="Phản ánh",INDEX('Phản ánh'!$K$6:$K$505,MATCH($C1622,'Phản ánh'!$A$6:$A$505,0))&amp;"",IF($I1622="Công việc",INDEX('Kế hoạch'!$N$6:$N$305,$O1622)&amp;"",""))</f>
      </c>
      <c r="L1622" s="220">
        <f>IF(OR($C1622="",N($B1622)=0),"",IF(AND($I1622="Phản ánh",$E1622="Đã xử lý"),INDEX('Phản ánh'!$U$6:$U$505,MATCH($C1622,'Phản ánh'!$A$6:$A$505,0)),IF(AND($I1622="Công việc",OR($E1622="Hoàn thành",$E1622="Hoàn thành kỳ")),IF(INDEX('Kế hoạch'!$B$6:$B$305,$O1622)="Đột xuất",INDEX('Kế hoạch'!$AY$6:$AY$305,$O1622),IF(N($P1622)=0,"",IF(INT($B1622)&lt;$P1622,$P1622,IF($Q1622&gt;0,$P1622+ROUND((INT($B1622)-$P1622)/$Q1622,0)*$Q1622,IF($R1622&gt;0,EDATE($P1622,ROUND((DATEDIF($P1622,INT($B1622),"m")+(INT($B1622)-EDATE($P1622,DATEDIF($P1622,INT($B1622),"m")))/(EDATE($P1622,DATEDIF($P1622,INT($B1622),"m")+1)-EDATE($P1622,DATEDIF($P1622,INT($B1622),"m"))))/$R1622,0)*$R1622),$P1622))))),"")))</f>
      </c>
      <c r="M1622" s="223">
        <f>IF(OR($C1622="",N($L1622)=0,N($B1622)=0),"",IF(IF(MOD($L1622,1)=0,INT($B1622),$B1622)&lt;=$L1622,"Đúng hạn","Trễ hạn"))</f>
      </c>
      <c r="N1622" s="225">
        <f>IF($C1622="","",ROW())</f>
      </c>
      <c r="O1622" s="225">
        <f>IF($I1622="Công việc",MATCH($C1622,'Kế hoạch'!$A$6:$A$305,0),"")</f>
      </c>
      <c r="P1622" s="234">
        <f>IF($O1622="","",INDEX('Kế hoạch'!$I$6:$I$305,$O1622))</f>
      </c>
      <c r="Q1622" s="225">
        <f>IF($O1622="","",INDEX('Kế hoạch'!$AJ$6:$AJ$305,$O1622))</f>
      </c>
      <c r="R1622" s="225">
        <f>IF($O1622="","",INDEX('Kế hoạch'!$AK$6:$AK$305,$O1622))</f>
      </c>
    </row>
    <row r="1623">
      <c r="A1623" s="223">
        <f>IF($C1623="","",COUNTIF($C$6:$C1623,"?*"))</f>
      </c>
      <c r="B1623" s="217"/>
      <c r="C1623" s="216"/>
      <c r="D1623" s="240"/>
      <c r="E1623" s="218"/>
      <c r="F1623" s="218"/>
      <c r="G1623" s="218"/>
      <c r="H1623" s="219"/>
      <c r="I1623" s="223">
        <f>IF($C1623="","",IF(ISNUMBER(MATCH($C1623,'Phản ánh'!$A$6:$A$505,0)),"Phản ánh",IF(ISNUMBER(MATCH($C1623,'Kế hoạch'!$A$6:$A$305,0)),"Công việc","Mã chưa có")))</f>
      </c>
      <c r="J1623" s="221">
        <f>IF($I1623="Phản ánh",INDEX('Phản ánh'!$C$6:$C$505,MATCH($C1623,'Phản ánh'!$A$6:$A$505,0)),IF($I1623="Công việc",INDEX('Kế hoạch'!$C$6:$C$305,$O1623),""))</f>
      </c>
      <c r="K1623" s="221">
        <f>IF($I1623="Phản ánh",INDEX('Phản ánh'!$K$6:$K$505,MATCH($C1623,'Phản ánh'!$A$6:$A$505,0))&amp;"",IF($I1623="Công việc",INDEX('Kế hoạch'!$N$6:$N$305,$O1623)&amp;"",""))</f>
      </c>
      <c r="L1623" s="220">
        <f>IF(OR($C1623="",N($B1623)=0),"",IF(AND($I1623="Phản ánh",$E1623="Đã xử lý"),INDEX('Phản ánh'!$U$6:$U$505,MATCH($C1623,'Phản ánh'!$A$6:$A$505,0)),IF(AND($I1623="Công việc",OR($E1623="Hoàn thành",$E1623="Hoàn thành kỳ")),IF(INDEX('Kế hoạch'!$B$6:$B$305,$O1623)="Đột xuất",INDEX('Kế hoạch'!$AY$6:$AY$305,$O1623),IF(N($P1623)=0,"",IF(INT($B1623)&lt;$P1623,$P1623,IF($Q1623&gt;0,$P1623+ROUND((INT($B1623)-$P1623)/$Q1623,0)*$Q1623,IF($R1623&gt;0,EDATE($P1623,ROUND((DATEDIF($P1623,INT($B1623),"m")+(INT($B1623)-EDATE($P1623,DATEDIF($P1623,INT($B1623),"m")))/(EDATE($P1623,DATEDIF($P1623,INT($B1623),"m")+1)-EDATE($P1623,DATEDIF($P1623,INT($B1623),"m"))))/$R1623,0)*$R1623),$P1623))))),"")))</f>
      </c>
      <c r="M1623" s="223">
        <f>IF(OR($C1623="",N($L1623)=0,N($B1623)=0),"",IF(IF(MOD($L1623,1)=0,INT($B1623),$B1623)&lt;=$L1623,"Đúng hạn","Trễ hạn"))</f>
      </c>
      <c r="N1623" s="225">
        <f>IF($C1623="","",ROW())</f>
      </c>
      <c r="O1623" s="225">
        <f>IF($I1623="Công việc",MATCH($C1623,'Kế hoạch'!$A$6:$A$305,0),"")</f>
      </c>
      <c r="P1623" s="234">
        <f>IF($O1623="","",INDEX('Kế hoạch'!$I$6:$I$305,$O1623))</f>
      </c>
      <c r="Q1623" s="225">
        <f>IF($O1623="","",INDEX('Kế hoạch'!$AJ$6:$AJ$305,$O1623))</f>
      </c>
      <c r="R1623" s="225">
        <f>IF($O1623="","",INDEX('Kế hoạch'!$AK$6:$AK$305,$O1623))</f>
      </c>
    </row>
    <row r="1624">
      <c r="A1624" s="223">
        <f>IF($C1624="","",COUNTIF($C$6:$C1624,"?*"))</f>
      </c>
      <c r="B1624" s="217"/>
      <c r="C1624" s="216"/>
      <c r="D1624" s="240"/>
      <c r="E1624" s="218"/>
      <c r="F1624" s="218"/>
      <c r="G1624" s="218"/>
      <c r="H1624" s="219"/>
      <c r="I1624" s="223">
        <f>IF($C1624="","",IF(ISNUMBER(MATCH($C1624,'Phản ánh'!$A$6:$A$505,0)),"Phản ánh",IF(ISNUMBER(MATCH($C1624,'Kế hoạch'!$A$6:$A$305,0)),"Công việc","Mã chưa có")))</f>
      </c>
      <c r="J1624" s="221">
        <f>IF($I1624="Phản ánh",INDEX('Phản ánh'!$C$6:$C$505,MATCH($C1624,'Phản ánh'!$A$6:$A$505,0)),IF($I1624="Công việc",INDEX('Kế hoạch'!$C$6:$C$305,$O1624),""))</f>
      </c>
      <c r="K1624" s="221">
        <f>IF($I1624="Phản ánh",INDEX('Phản ánh'!$K$6:$K$505,MATCH($C1624,'Phản ánh'!$A$6:$A$505,0))&amp;"",IF($I1624="Công việc",INDEX('Kế hoạch'!$N$6:$N$305,$O1624)&amp;"",""))</f>
      </c>
      <c r="L1624" s="220">
        <f>IF(OR($C1624="",N($B1624)=0),"",IF(AND($I1624="Phản ánh",$E1624="Đã xử lý"),INDEX('Phản ánh'!$U$6:$U$505,MATCH($C1624,'Phản ánh'!$A$6:$A$505,0)),IF(AND($I1624="Công việc",OR($E1624="Hoàn thành",$E1624="Hoàn thành kỳ")),IF(INDEX('Kế hoạch'!$B$6:$B$305,$O1624)="Đột xuất",INDEX('Kế hoạch'!$AY$6:$AY$305,$O1624),IF(N($P1624)=0,"",IF(INT($B1624)&lt;$P1624,$P1624,IF($Q1624&gt;0,$P1624+ROUND((INT($B1624)-$P1624)/$Q1624,0)*$Q1624,IF($R1624&gt;0,EDATE($P1624,ROUND((DATEDIF($P1624,INT($B1624),"m")+(INT($B1624)-EDATE($P1624,DATEDIF($P1624,INT($B1624),"m")))/(EDATE($P1624,DATEDIF($P1624,INT($B1624),"m")+1)-EDATE($P1624,DATEDIF($P1624,INT($B1624),"m"))))/$R1624,0)*$R1624),$P1624))))),"")))</f>
      </c>
      <c r="M1624" s="223">
        <f>IF(OR($C1624="",N($L1624)=0,N($B1624)=0),"",IF(IF(MOD($L1624,1)=0,INT($B1624),$B1624)&lt;=$L1624,"Đúng hạn","Trễ hạn"))</f>
      </c>
      <c r="N1624" s="225">
        <f>IF($C1624="","",ROW())</f>
      </c>
      <c r="O1624" s="225">
        <f>IF($I1624="Công việc",MATCH($C1624,'Kế hoạch'!$A$6:$A$305,0),"")</f>
      </c>
      <c r="P1624" s="234">
        <f>IF($O1624="","",INDEX('Kế hoạch'!$I$6:$I$305,$O1624))</f>
      </c>
      <c r="Q1624" s="225">
        <f>IF($O1624="","",INDEX('Kế hoạch'!$AJ$6:$AJ$305,$O1624))</f>
      </c>
      <c r="R1624" s="225">
        <f>IF($O1624="","",INDEX('Kế hoạch'!$AK$6:$AK$305,$O1624))</f>
      </c>
    </row>
    <row r="1625">
      <c r="A1625" s="223">
        <f>IF($C1625="","",COUNTIF($C$6:$C1625,"?*"))</f>
      </c>
      <c r="B1625" s="217"/>
      <c r="C1625" s="216"/>
      <c r="D1625" s="240"/>
      <c r="E1625" s="218"/>
      <c r="F1625" s="218"/>
      <c r="G1625" s="218"/>
      <c r="H1625" s="219"/>
      <c r="I1625" s="223">
        <f>IF($C1625="","",IF(ISNUMBER(MATCH($C1625,'Phản ánh'!$A$6:$A$505,0)),"Phản ánh",IF(ISNUMBER(MATCH($C1625,'Kế hoạch'!$A$6:$A$305,0)),"Công việc","Mã chưa có")))</f>
      </c>
      <c r="J1625" s="221">
        <f>IF($I1625="Phản ánh",INDEX('Phản ánh'!$C$6:$C$505,MATCH($C1625,'Phản ánh'!$A$6:$A$505,0)),IF($I1625="Công việc",INDEX('Kế hoạch'!$C$6:$C$305,$O1625),""))</f>
      </c>
      <c r="K1625" s="221">
        <f>IF($I1625="Phản ánh",INDEX('Phản ánh'!$K$6:$K$505,MATCH($C1625,'Phản ánh'!$A$6:$A$505,0))&amp;"",IF($I1625="Công việc",INDEX('Kế hoạch'!$N$6:$N$305,$O1625)&amp;"",""))</f>
      </c>
      <c r="L1625" s="220">
        <f>IF(OR($C1625="",N($B1625)=0),"",IF(AND($I1625="Phản ánh",$E1625="Đã xử lý"),INDEX('Phản ánh'!$U$6:$U$505,MATCH($C1625,'Phản ánh'!$A$6:$A$505,0)),IF(AND($I1625="Công việc",OR($E1625="Hoàn thành",$E1625="Hoàn thành kỳ")),IF(INDEX('Kế hoạch'!$B$6:$B$305,$O1625)="Đột xuất",INDEX('Kế hoạch'!$AY$6:$AY$305,$O1625),IF(N($P1625)=0,"",IF(INT($B1625)&lt;$P1625,$P1625,IF($Q1625&gt;0,$P1625+ROUND((INT($B1625)-$P1625)/$Q1625,0)*$Q1625,IF($R1625&gt;0,EDATE($P1625,ROUND((DATEDIF($P1625,INT($B1625),"m")+(INT($B1625)-EDATE($P1625,DATEDIF($P1625,INT($B1625),"m")))/(EDATE($P1625,DATEDIF($P1625,INT($B1625),"m")+1)-EDATE($P1625,DATEDIF($P1625,INT($B1625),"m"))))/$R1625,0)*$R1625),$P1625))))),"")))</f>
      </c>
      <c r="M1625" s="223">
        <f>IF(OR($C1625="",N($L1625)=0,N($B1625)=0),"",IF(IF(MOD($L1625,1)=0,INT($B1625),$B1625)&lt;=$L1625,"Đúng hạn","Trễ hạn"))</f>
      </c>
      <c r="N1625" s="225">
        <f>IF($C1625="","",ROW())</f>
      </c>
      <c r="O1625" s="225">
        <f>IF($I1625="Công việc",MATCH($C1625,'Kế hoạch'!$A$6:$A$305,0),"")</f>
      </c>
      <c r="P1625" s="234">
        <f>IF($O1625="","",INDEX('Kế hoạch'!$I$6:$I$305,$O1625))</f>
      </c>
      <c r="Q1625" s="225">
        <f>IF($O1625="","",INDEX('Kế hoạch'!$AJ$6:$AJ$305,$O1625))</f>
      </c>
      <c r="R1625" s="225">
        <f>IF($O1625="","",INDEX('Kế hoạch'!$AK$6:$AK$305,$O1625))</f>
      </c>
    </row>
    <row r="1626">
      <c r="A1626" s="223">
        <f>IF($C1626="","",COUNTIF($C$6:$C1626,"?*"))</f>
      </c>
      <c r="B1626" s="217"/>
      <c r="C1626" s="216"/>
      <c r="D1626" s="240"/>
      <c r="E1626" s="218"/>
      <c r="F1626" s="218"/>
      <c r="G1626" s="218"/>
      <c r="H1626" s="219"/>
      <c r="I1626" s="223">
        <f>IF($C1626="","",IF(ISNUMBER(MATCH($C1626,'Phản ánh'!$A$6:$A$505,0)),"Phản ánh",IF(ISNUMBER(MATCH($C1626,'Kế hoạch'!$A$6:$A$305,0)),"Công việc","Mã chưa có")))</f>
      </c>
      <c r="J1626" s="221">
        <f>IF($I1626="Phản ánh",INDEX('Phản ánh'!$C$6:$C$505,MATCH($C1626,'Phản ánh'!$A$6:$A$505,0)),IF($I1626="Công việc",INDEX('Kế hoạch'!$C$6:$C$305,$O1626),""))</f>
      </c>
      <c r="K1626" s="221">
        <f>IF($I1626="Phản ánh",INDEX('Phản ánh'!$K$6:$K$505,MATCH($C1626,'Phản ánh'!$A$6:$A$505,0))&amp;"",IF($I1626="Công việc",INDEX('Kế hoạch'!$N$6:$N$305,$O1626)&amp;"",""))</f>
      </c>
      <c r="L1626" s="220">
        <f>IF(OR($C1626="",N($B1626)=0),"",IF(AND($I1626="Phản ánh",$E1626="Đã xử lý"),INDEX('Phản ánh'!$U$6:$U$505,MATCH($C1626,'Phản ánh'!$A$6:$A$505,0)),IF(AND($I1626="Công việc",OR($E1626="Hoàn thành",$E1626="Hoàn thành kỳ")),IF(INDEX('Kế hoạch'!$B$6:$B$305,$O1626)="Đột xuất",INDEX('Kế hoạch'!$AY$6:$AY$305,$O1626),IF(N($P1626)=0,"",IF(INT($B1626)&lt;$P1626,$P1626,IF($Q1626&gt;0,$P1626+ROUND((INT($B1626)-$P1626)/$Q1626,0)*$Q1626,IF($R1626&gt;0,EDATE($P1626,ROUND((DATEDIF($P1626,INT($B1626),"m")+(INT($B1626)-EDATE($P1626,DATEDIF($P1626,INT($B1626),"m")))/(EDATE($P1626,DATEDIF($P1626,INT($B1626),"m")+1)-EDATE($P1626,DATEDIF($P1626,INT($B1626),"m"))))/$R1626,0)*$R1626),$P1626))))),"")))</f>
      </c>
      <c r="M1626" s="223">
        <f>IF(OR($C1626="",N($L1626)=0,N($B1626)=0),"",IF(IF(MOD($L1626,1)=0,INT($B1626),$B1626)&lt;=$L1626,"Đúng hạn","Trễ hạn"))</f>
      </c>
      <c r="N1626" s="225">
        <f>IF($C1626="","",ROW())</f>
      </c>
      <c r="O1626" s="225">
        <f>IF($I1626="Công việc",MATCH($C1626,'Kế hoạch'!$A$6:$A$305,0),"")</f>
      </c>
      <c r="P1626" s="234">
        <f>IF($O1626="","",INDEX('Kế hoạch'!$I$6:$I$305,$O1626))</f>
      </c>
      <c r="Q1626" s="225">
        <f>IF($O1626="","",INDEX('Kế hoạch'!$AJ$6:$AJ$305,$O1626))</f>
      </c>
      <c r="R1626" s="225">
        <f>IF($O1626="","",INDEX('Kế hoạch'!$AK$6:$AK$305,$O1626))</f>
      </c>
    </row>
    <row r="1627">
      <c r="A1627" s="223">
        <f>IF($C1627="","",COUNTIF($C$6:$C1627,"?*"))</f>
      </c>
      <c r="B1627" s="217"/>
      <c r="C1627" s="216"/>
      <c r="D1627" s="240"/>
      <c r="E1627" s="218"/>
      <c r="F1627" s="218"/>
      <c r="G1627" s="218"/>
      <c r="H1627" s="219"/>
      <c r="I1627" s="223">
        <f>IF($C1627="","",IF(ISNUMBER(MATCH($C1627,'Phản ánh'!$A$6:$A$505,0)),"Phản ánh",IF(ISNUMBER(MATCH($C1627,'Kế hoạch'!$A$6:$A$305,0)),"Công việc","Mã chưa có")))</f>
      </c>
      <c r="J1627" s="221">
        <f>IF($I1627="Phản ánh",INDEX('Phản ánh'!$C$6:$C$505,MATCH($C1627,'Phản ánh'!$A$6:$A$505,0)),IF($I1627="Công việc",INDEX('Kế hoạch'!$C$6:$C$305,$O1627),""))</f>
      </c>
      <c r="K1627" s="221">
        <f>IF($I1627="Phản ánh",INDEX('Phản ánh'!$K$6:$K$505,MATCH($C1627,'Phản ánh'!$A$6:$A$505,0))&amp;"",IF($I1627="Công việc",INDEX('Kế hoạch'!$N$6:$N$305,$O1627)&amp;"",""))</f>
      </c>
      <c r="L1627" s="220">
        <f>IF(OR($C1627="",N($B1627)=0),"",IF(AND($I1627="Phản ánh",$E1627="Đã xử lý"),INDEX('Phản ánh'!$U$6:$U$505,MATCH($C1627,'Phản ánh'!$A$6:$A$505,0)),IF(AND($I1627="Công việc",OR($E1627="Hoàn thành",$E1627="Hoàn thành kỳ")),IF(INDEX('Kế hoạch'!$B$6:$B$305,$O1627)="Đột xuất",INDEX('Kế hoạch'!$AY$6:$AY$305,$O1627),IF(N($P1627)=0,"",IF(INT($B1627)&lt;$P1627,$P1627,IF($Q1627&gt;0,$P1627+ROUND((INT($B1627)-$P1627)/$Q1627,0)*$Q1627,IF($R1627&gt;0,EDATE($P1627,ROUND((DATEDIF($P1627,INT($B1627),"m")+(INT($B1627)-EDATE($P1627,DATEDIF($P1627,INT($B1627),"m")))/(EDATE($P1627,DATEDIF($P1627,INT($B1627),"m")+1)-EDATE($P1627,DATEDIF($P1627,INT($B1627),"m"))))/$R1627,0)*$R1627),$P1627))))),"")))</f>
      </c>
      <c r="M1627" s="223">
        <f>IF(OR($C1627="",N($L1627)=0,N($B1627)=0),"",IF(IF(MOD($L1627,1)=0,INT($B1627),$B1627)&lt;=$L1627,"Đúng hạn","Trễ hạn"))</f>
      </c>
      <c r="N1627" s="225">
        <f>IF($C1627="","",ROW())</f>
      </c>
      <c r="O1627" s="225">
        <f>IF($I1627="Công việc",MATCH($C1627,'Kế hoạch'!$A$6:$A$305,0),"")</f>
      </c>
      <c r="P1627" s="234">
        <f>IF($O1627="","",INDEX('Kế hoạch'!$I$6:$I$305,$O1627))</f>
      </c>
      <c r="Q1627" s="225">
        <f>IF($O1627="","",INDEX('Kế hoạch'!$AJ$6:$AJ$305,$O1627))</f>
      </c>
      <c r="R1627" s="225">
        <f>IF($O1627="","",INDEX('Kế hoạch'!$AK$6:$AK$305,$O1627))</f>
      </c>
    </row>
    <row r="1628">
      <c r="A1628" s="223">
        <f>IF($C1628="","",COUNTIF($C$6:$C1628,"?*"))</f>
      </c>
      <c r="B1628" s="217"/>
      <c r="C1628" s="216"/>
      <c r="D1628" s="240"/>
      <c r="E1628" s="218"/>
      <c r="F1628" s="218"/>
      <c r="G1628" s="218"/>
      <c r="H1628" s="219"/>
      <c r="I1628" s="223">
        <f>IF($C1628="","",IF(ISNUMBER(MATCH($C1628,'Phản ánh'!$A$6:$A$505,0)),"Phản ánh",IF(ISNUMBER(MATCH($C1628,'Kế hoạch'!$A$6:$A$305,0)),"Công việc","Mã chưa có")))</f>
      </c>
      <c r="J1628" s="221">
        <f>IF($I1628="Phản ánh",INDEX('Phản ánh'!$C$6:$C$505,MATCH($C1628,'Phản ánh'!$A$6:$A$505,0)),IF($I1628="Công việc",INDEX('Kế hoạch'!$C$6:$C$305,$O1628),""))</f>
      </c>
      <c r="K1628" s="221">
        <f>IF($I1628="Phản ánh",INDEX('Phản ánh'!$K$6:$K$505,MATCH($C1628,'Phản ánh'!$A$6:$A$505,0))&amp;"",IF($I1628="Công việc",INDEX('Kế hoạch'!$N$6:$N$305,$O1628)&amp;"",""))</f>
      </c>
      <c r="L1628" s="220">
        <f>IF(OR($C1628="",N($B1628)=0),"",IF(AND($I1628="Phản ánh",$E1628="Đã xử lý"),INDEX('Phản ánh'!$U$6:$U$505,MATCH($C1628,'Phản ánh'!$A$6:$A$505,0)),IF(AND($I1628="Công việc",OR($E1628="Hoàn thành",$E1628="Hoàn thành kỳ")),IF(INDEX('Kế hoạch'!$B$6:$B$305,$O1628)="Đột xuất",INDEX('Kế hoạch'!$AY$6:$AY$305,$O1628),IF(N($P1628)=0,"",IF(INT($B1628)&lt;$P1628,$P1628,IF($Q1628&gt;0,$P1628+ROUND((INT($B1628)-$P1628)/$Q1628,0)*$Q1628,IF($R1628&gt;0,EDATE($P1628,ROUND((DATEDIF($P1628,INT($B1628),"m")+(INT($B1628)-EDATE($P1628,DATEDIF($P1628,INT($B1628),"m")))/(EDATE($P1628,DATEDIF($P1628,INT($B1628),"m")+1)-EDATE($P1628,DATEDIF($P1628,INT($B1628),"m"))))/$R1628,0)*$R1628),$P1628))))),"")))</f>
      </c>
      <c r="M1628" s="223">
        <f>IF(OR($C1628="",N($L1628)=0,N($B1628)=0),"",IF(IF(MOD($L1628,1)=0,INT($B1628),$B1628)&lt;=$L1628,"Đúng hạn","Trễ hạn"))</f>
      </c>
      <c r="N1628" s="225">
        <f>IF($C1628="","",ROW())</f>
      </c>
      <c r="O1628" s="225">
        <f>IF($I1628="Công việc",MATCH($C1628,'Kế hoạch'!$A$6:$A$305,0),"")</f>
      </c>
      <c r="P1628" s="234">
        <f>IF($O1628="","",INDEX('Kế hoạch'!$I$6:$I$305,$O1628))</f>
      </c>
      <c r="Q1628" s="225">
        <f>IF($O1628="","",INDEX('Kế hoạch'!$AJ$6:$AJ$305,$O1628))</f>
      </c>
      <c r="R1628" s="225">
        <f>IF($O1628="","",INDEX('Kế hoạch'!$AK$6:$AK$305,$O1628))</f>
      </c>
    </row>
    <row r="1629">
      <c r="A1629" s="223">
        <f>IF($C1629="","",COUNTIF($C$6:$C1629,"?*"))</f>
      </c>
      <c r="B1629" s="217"/>
      <c r="C1629" s="216"/>
      <c r="D1629" s="240"/>
      <c r="E1629" s="218"/>
      <c r="F1629" s="218"/>
      <c r="G1629" s="218"/>
      <c r="H1629" s="219"/>
      <c r="I1629" s="223">
        <f>IF($C1629="","",IF(ISNUMBER(MATCH($C1629,'Phản ánh'!$A$6:$A$505,0)),"Phản ánh",IF(ISNUMBER(MATCH($C1629,'Kế hoạch'!$A$6:$A$305,0)),"Công việc","Mã chưa có")))</f>
      </c>
      <c r="J1629" s="221">
        <f>IF($I1629="Phản ánh",INDEX('Phản ánh'!$C$6:$C$505,MATCH($C1629,'Phản ánh'!$A$6:$A$505,0)),IF($I1629="Công việc",INDEX('Kế hoạch'!$C$6:$C$305,$O1629),""))</f>
      </c>
      <c r="K1629" s="221">
        <f>IF($I1629="Phản ánh",INDEX('Phản ánh'!$K$6:$K$505,MATCH($C1629,'Phản ánh'!$A$6:$A$505,0))&amp;"",IF($I1629="Công việc",INDEX('Kế hoạch'!$N$6:$N$305,$O1629)&amp;"",""))</f>
      </c>
      <c r="L1629" s="220">
        <f>IF(OR($C1629="",N($B1629)=0),"",IF(AND($I1629="Phản ánh",$E1629="Đã xử lý"),INDEX('Phản ánh'!$U$6:$U$505,MATCH($C1629,'Phản ánh'!$A$6:$A$505,0)),IF(AND($I1629="Công việc",OR($E1629="Hoàn thành",$E1629="Hoàn thành kỳ")),IF(INDEX('Kế hoạch'!$B$6:$B$305,$O1629)="Đột xuất",INDEX('Kế hoạch'!$AY$6:$AY$305,$O1629),IF(N($P1629)=0,"",IF(INT($B1629)&lt;$P1629,$P1629,IF($Q1629&gt;0,$P1629+ROUND((INT($B1629)-$P1629)/$Q1629,0)*$Q1629,IF($R1629&gt;0,EDATE($P1629,ROUND((DATEDIF($P1629,INT($B1629),"m")+(INT($B1629)-EDATE($P1629,DATEDIF($P1629,INT($B1629),"m")))/(EDATE($P1629,DATEDIF($P1629,INT($B1629),"m")+1)-EDATE($P1629,DATEDIF($P1629,INT($B1629),"m"))))/$R1629,0)*$R1629),$P1629))))),"")))</f>
      </c>
      <c r="M1629" s="223">
        <f>IF(OR($C1629="",N($L1629)=0,N($B1629)=0),"",IF(IF(MOD($L1629,1)=0,INT($B1629),$B1629)&lt;=$L1629,"Đúng hạn","Trễ hạn"))</f>
      </c>
      <c r="N1629" s="225">
        <f>IF($C1629="","",ROW())</f>
      </c>
      <c r="O1629" s="225">
        <f>IF($I1629="Công việc",MATCH($C1629,'Kế hoạch'!$A$6:$A$305,0),"")</f>
      </c>
      <c r="P1629" s="234">
        <f>IF($O1629="","",INDEX('Kế hoạch'!$I$6:$I$305,$O1629))</f>
      </c>
      <c r="Q1629" s="225">
        <f>IF($O1629="","",INDEX('Kế hoạch'!$AJ$6:$AJ$305,$O1629))</f>
      </c>
      <c r="R1629" s="225">
        <f>IF($O1629="","",INDEX('Kế hoạch'!$AK$6:$AK$305,$O1629))</f>
      </c>
    </row>
    <row r="1630">
      <c r="A1630" s="223">
        <f>IF($C1630="","",COUNTIF($C$6:$C1630,"?*"))</f>
      </c>
      <c r="B1630" s="217"/>
      <c r="C1630" s="216"/>
      <c r="D1630" s="240"/>
      <c r="E1630" s="218"/>
      <c r="F1630" s="218"/>
      <c r="G1630" s="218"/>
      <c r="H1630" s="219"/>
      <c r="I1630" s="223">
        <f>IF($C1630="","",IF(ISNUMBER(MATCH($C1630,'Phản ánh'!$A$6:$A$505,0)),"Phản ánh",IF(ISNUMBER(MATCH($C1630,'Kế hoạch'!$A$6:$A$305,0)),"Công việc","Mã chưa có")))</f>
      </c>
      <c r="J1630" s="221">
        <f>IF($I1630="Phản ánh",INDEX('Phản ánh'!$C$6:$C$505,MATCH($C1630,'Phản ánh'!$A$6:$A$505,0)),IF($I1630="Công việc",INDEX('Kế hoạch'!$C$6:$C$305,$O1630),""))</f>
      </c>
      <c r="K1630" s="221">
        <f>IF($I1630="Phản ánh",INDEX('Phản ánh'!$K$6:$K$505,MATCH($C1630,'Phản ánh'!$A$6:$A$505,0))&amp;"",IF($I1630="Công việc",INDEX('Kế hoạch'!$N$6:$N$305,$O1630)&amp;"",""))</f>
      </c>
      <c r="L1630" s="220">
        <f>IF(OR($C1630="",N($B1630)=0),"",IF(AND($I1630="Phản ánh",$E1630="Đã xử lý"),INDEX('Phản ánh'!$U$6:$U$505,MATCH($C1630,'Phản ánh'!$A$6:$A$505,0)),IF(AND($I1630="Công việc",OR($E1630="Hoàn thành",$E1630="Hoàn thành kỳ")),IF(INDEX('Kế hoạch'!$B$6:$B$305,$O1630)="Đột xuất",INDEX('Kế hoạch'!$AY$6:$AY$305,$O1630),IF(N($P1630)=0,"",IF(INT($B1630)&lt;$P1630,$P1630,IF($Q1630&gt;0,$P1630+ROUND((INT($B1630)-$P1630)/$Q1630,0)*$Q1630,IF($R1630&gt;0,EDATE($P1630,ROUND((DATEDIF($P1630,INT($B1630),"m")+(INT($B1630)-EDATE($P1630,DATEDIF($P1630,INT($B1630),"m")))/(EDATE($P1630,DATEDIF($P1630,INT($B1630),"m")+1)-EDATE($P1630,DATEDIF($P1630,INT($B1630),"m"))))/$R1630,0)*$R1630),$P1630))))),"")))</f>
      </c>
      <c r="M1630" s="223">
        <f>IF(OR($C1630="",N($L1630)=0,N($B1630)=0),"",IF(IF(MOD($L1630,1)=0,INT($B1630),$B1630)&lt;=$L1630,"Đúng hạn","Trễ hạn"))</f>
      </c>
      <c r="N1630" s="225">
        <f>IF($C1630="","",ROW())</f>
      </c>
      <c r="O1630" s="225">
        <f>IF($I1630="Công việc",MATCH($C1630,'Kế hoạch'!$A$6:$A$305,0),"")</f>
      </c>
      <c r="P1630" s="234">
        <f>IF($O1630="","",INDEX('Kế hoạch'!$I$6:$I$305,$O1630))</f>
      </c>
      <c r="Q1630" s="225">
        <f>IF($O1630="","",INDEX('Kế hoạch'!$AJ$6:$AJ$305,$O1630))</f>
      </c>
      <c r="R1630" s="225">
        <f>IF($O1630="","",INDEX('Kế hoạch'!$AK$6:$AK$305,$O1630))</f>
      </c>
    </row>
    <row r="1631">
      <c r="A1631" s="223">
        <f>IF($C1631="","",COUNTIF($C$6:$C1631,"?*"))</f>
      </c>
      <c r="B1631" s="217"/>
      <c r="C1631" s="216"/>
      <c r="D1631" s="240"/>
      <c r="E1631" s="218"/>
      <c r="F1631" s="218"/>
      <c r="G1631" s="218"/>
      <c r="H1631" s="219"/>
      <c r="I1631" s="223">
        <f>IF($C1631="","",IF(ISNUMBER(MATCH($C1631,'Phản ánh'!$A$6:$A$505,0)),"Phản ánh",IF(ISNUMBER(MATCH($C1631,'Kế hoạch'!$A$6:$A$305,0)),"Công việc","Mã chưa có")))</f>
      </c>
      <c r="J1631" s="221">
        <f>IF($I1631="Phản ánh",INDEX('Phản ánh'!$C$6:$C$505,MATCH($C1631,'Phản ánh'!$A$6:$A$505,0)),IF($I1631="Công việc",INDEX('Kế hoạch'!$C$6:$C$305,$O1631),""))</f>
      </c>
      <c r="K1631" s="221">
        <f>IF($I1631="Phản ánh",INDEX('Phản ánh'!$K$6:$K$505,MATCH($C1631,'Phản ánh'!$A$6:$A$505,0))&amp;"",IF($I1631="Công việc",INDEX('Kế hoạch'!$N$6:$N$305,$O1631)&amp;"",""))</f>
      </c>
      <c r="L1631" s="220">
        <f>IF(OR($C1631="",N($B1631)=0),"",IF(AND($I1631="Phản ánh",$E1631="Đã xử lý"),INDEX('Phản ánh'!$U$6:$U$505,MATCH($C1631,'Phản ánh'!$A$6:$A$505,0)),IF(AND($I1631="Công việc",OR($E1631="Hoàn thành",$E1631="Hoàn thành kỳ")),IF(INDEX('Kế hoạch'!$B$6:$B$305,$O1631)="Đột xuất",INDEX('Kế hoạch'!$AY$6:$AY$305,$O1631),IF(N($P1631)=0,"",IF(INT($B1631)&lt;$P1631,$P1631,IF($Q1631&gt;0,$P1631+ROUND((INT($B1631)-$P1631)/$Q1631,0)*$Q1631,IF($R1631&gt;0,EDATE($P1631,ROUND((DATEDIF($P1631,INT($B1631),"m")+(INT($B1631)-EDATE($P1631,DATEDIF($P1631,INT($B1631),"m")))/(EDATE($P1631,DATEDIF($P1631,INT($B1631),"m")+1)-EDATE($P1631,DATEDIF($P1631,INT($B1631),"m"))))/$R1631,0)*$R1631),$P1631))))),"")))</f>
      </c>
      <c r="M1631" s="223">
        <f>IF(OR($C1631="",N($L1631)=0,N($B1631)=0),"",IF(IF(MOD($L1631,1)=0,INT($B1631),$B1631)&lt;=$L1631,"Đúng hạn","Trễ hạn"))</f>
      </c>
      <c r="N1631" s="225">
        <f>IF($C1631="","",ROW())</f>
      </c>
      <c r="O1631" s="225">
        <f>IF($I1631="Công việc",MATCH($C1631,'Kế hoạch'!$A$6:$A$305,0),"")</f>
      </c>
      <c r="P1631" s="234">
        <f>IF($O1631="","",INDEX('Kế hoạch'!$I$6:$I$305,$O1631))</f>
      </c>
      <c r="Q1631" s="225">
        <f>IF($O1631="","",INDEX('Kế hoạch'!$AJ$6:$AJ$305,$O1631))</f>
      </c>
      <c r="R1631" s="225">
        <f>IF($O1631="","",INDEX('Kế hoạch'!$AK$6:$AK$305,$O1631))</f>
      </c>
    </row>
    <row r="1632">
      <c r="A1632" s="223">
        <f>IF($C1632="","",COUNTIF($C$6:$C1632,"?*"))</f>
      </c>
      <c r="B1632" s="217"/>
      <c r="C1632" s="216"/>
      <c r="D1632" s="240"/>
      <c r="E1632" s="218"/>
      <c r="F1632" s="218"/>
      <c r="G1632" s="218"/>
      <c r="H1632" s="219"/>
      <c r="I1632" s="223">
        <f>IF($C1632="","",IF(ISNUMBER(MATCH($C1632,'Phản ánh'!$A$6:$A$505,0)),"Phản ánh",IF(ISNUMBER(MATCH($C1632,'Kế hoạch'!$A$6:$A$305,0)),"Công việc","Mã chưa có")))</f>
      </c>
      <c r="J1632" s="221">
        <f>IF($I1632="Phản ánh",INDEX('Phản ánh'!$C$6:$C$505,MATCH($C1632,'Phản ánh'!$A$6:$A$505,0)),IF($I1632="Công việc",INDEX('Kế hoạch'!$C$6:$C$305,$O1632),""))</f>
      </c>
      <c r="K1632" s="221">
        <f>IF($I1632="Phản ánh",INDEX('Phản ánh'!$K$6:$K$505,MATCH($C1632,'Phản ánh'!$A$6:$A$505,0))&amp;"",IF($I1632="Công việc",INDEX('Kế hoạch'!$N$6:$N$305,$O1632)&amp;"",""))</f>
      </c>
      <c r="L1632" s="220">
        <f>IF(OR($C1632="",N($B1632)=0),"",IF(AND($I1632="Phản ánh",$E1632="Đã xử lý"),INDEX('Phản ánh'!$U$6:$U$505,MATCH($C1632,'Phản ánh'!$A$6:$A$505,0)),IF(AND($I1632="Công việc",OR($E1632="Hoàn thành",$E1632="Hoàn thành kỳ")),IF(INDEX('Kế hoạch'!$B$6:$B$305,$O1632)="Đột xuất",INDEX('Kế hoạch'!$AY$6:$AY$305,$O1632),IF(N($P1632)=0,"",IF(INT($B1632)&lt;$P1632,$P1632,IF($Q1632&gt;0,$P1632+ROUND((INT($B1632)-$P1632)/$Q1632,0)*$Q1632,IF($R1632&gt;0,EDATE($P1632,ROUND((DATEDIF($P1632,INT($B1632),"m")+(INT($B1632)-EDATE($P1632,DATEDIF($P1632,INT($B1632),"m")))/(EDATE($P1632,DATEDIF($P1632,INT($B1632),"m")+1)-EDATE($P1632,DATEDIF($P1632,INT($B1632),"m"))))/$R1632,0)*$R1632),$P1632))))),"")))</f>
      </c>
      <c r="M1632" s="223">
        <f>IF(OR($C1632="",N($L1632)=0,N($B1632)=0),"",IF(IF(MOD($L1632,1)=0,INT($B1632),$B1632)&lt;=$L1632,"Đúng hạn","Trễ hạn"))</f>
      </c>
      <c r="N1632" s="225">
        <f>IF($C1632="","",ROW())</f>
      </c>
      <c r="O1632" s="225">
        <f>IF($I1632="Công việc",MATCH($C1632,'Kế hoạch'!$A$6:$A$305,0),"")</f>
      </c>
      <c r="P1632" s="234">
        <f>IF($O1632="","",INDEX('Kế hoạch'!$I$6:$I$305,$O1632))</f>
      </c>
      <c r="Q1632" s="225">
        <f>IF($O1632="","",INDEX('Kế hoạch'!$AJ$6:$AJ$305,$O1632))</f>
      </c>
      <c r="R1632" s="225">
        <f>IF($O1632="","",INDEX('Kế hoạch'!$AK$6:$AK$305,$O1632))</f>
      </c>
    </row>
    <row r="1633">
      <c r="A1633" s="223">
        <f>IF($C1633="","",COUNTIF($C$6:$C1633,"?*"))</f>
      </c>
      <c r="B1633" s="217"/>
      <c r="C1633" s="216"/>
      <c r="D1633" s="240"/>
      <c r="E1633" s="218"/>
      <c r="F1633" s="218"/>
      <c r="G1633" s="218"/>
      <c r="H1633" s="219"/>
      <c r="I1633" s="223">
        <f>IF($C1633="","",IF(ISNUMBER(MATCH($C1633,'Phản ánh'!$A$6:$A$505,0)),"Phản ánh",IF(ISNUMBER(MATCH($C1633,'Kế hoạch'!$A$6:$A$305,0)),"Công việc","Mã chưa có")))</f>
      </c>
      <c r="J1633" s="221">
        <f>IF($I1633="Phản ánh",INDEX('Phản ánh'!$C$6:$C$505,MATCH($C1633,'Phản ánh'!$A$6:$A$505,0)),IF($I1633="Công việc",INDEX('Kế hoạch'!$C$6:$C$305,$O1633),""))</f>
      </c>
      <c r="K1633" s="221">
        <f>IF($I1633="Phản ánh",INDEX('Phản ánh'!$K$6:$K$505,MATCH($C1633,'Phản ánh'!$A$6:$A$505,0))&amp;"",IF($I1633="Công việc",INDEX('Kế hoạch'!$N$6:$N$305,$O1633)&amp;"",""))</f>
      </c>
      <c r="L1633" s="220">
        <f>IF(OR($C1633="",N($B1633)=0),"",IF(AND($I1633="Phản ánh",$E1633="Đã xử lý"),INDEX('Phản ánh'!$U$6:$U$505,MATCH($C1633,'Phản ánh'!$A$6:$A$505,0)),IF(AND($I1633="Công việc",OR($E1633="Hoàn thành",$E1633="Hoàn thành kỳ")),IF(INDEX('Kế hoạch'!$B$6:$B$305,$O1633)="Đột xuất",INDEX('Kế hoạch'!$AY$6:$AY$305,$O1633),IF(N($P1633)=0,"",IF(INT($B1633)&lt;$P1633,$P1633,IF($Q1633&gt;0,$P1633+ROUND((INT($B1633)-$P1633)/$Q1633,0)*$Q1633,IF($R1633&gt;0,EDATE($P1633,ROUND((DATEDIF($P1633,INT($B1633),"m")+(INT($B1633)-EDATE($P1633,DATEDIF($P1633,INT($B1633),"m")))/(EDATE($P1633,DATEDIF($P1633,INT($B1633),"m")+1)-EDATE($P1633,DATEDIF($P1633,INT($B1633),"m"))))/$R1633,0)*$R1633),$P1633))))),"")))</f>
      </c>
      <c r="M1633" s="223">
        <f>IF(OR($C1633="",N($L1633)=0,N($B1633)=0),"",IF(IF(MOD($L1633,1)=0,INT($B1633),$B1633)&lt;=$L1633,"Đúng hạn","Trễ hạn"))</f>
      </c>
      <c r="N1633" s="225">
        <f>IF($C1633="","",ROW())</f>
      </c>
      <c r="O1633" s="225">
        <f>IF($I1633="Công việc",MATCH($C1633,'Kế hoạch'!$A$6:$A$305,0),"")</f>
      </c>
      <c r="P1633" s="234">
        <f>IF($O1633="","",INDEX('Kế hoạch'!$I$6:$I$305,$O1633))</f>
      </c>
      <c r="Q1633" s="225">
        <f>IF($O1633="","",INDEX('Kế hoạch'!$AJ$6:$AJ$305,$O1633))</f>
      </c>
      <c r="R1633" s="225">
        <f>IF($O1633="","",INDEX('Kế hoạch'!$AK$6:$AK$305,$O1633))</f>
      </c>
    </row>
    <row r="1634">
      <c r="A1634" s="223">
        <f>IF($C1634="","",COUNTIF($C$6:$C1634,"?*"))</f>
      </c>
      <c r="B1634" s="217"/>
      <c r="C1634" s="216"/>
      <c r="D1634" s="240"/>
      <c r="E1634" s="218"/>
      <c r="F1634" s="218"/>
      <c r="G1634" s="218"/>
      <c r="H1634" s="219"/>
      <c r="I1634" s="223">
        <f>IF($C1634="","",IF(ISNUMBER(MATCH($C1634,'Phản ánh'!$A$6:$A$505,0)),"Phản ánh",IF(ISNUMBER(MATCH($C1634,'Kế hoạch'!$A$6:$A$305,0)),"Công việc","Mã chưa có")))</f>
      </c>
      <c r="J1634" s="221">
        <f>IF($I1634="Phản ánh",INDEX('Phản ánh'!$C$6:$C$505,MATCH($C1634,'Phản ánh'!$A$6:$A$505,0)),IF($I1634="Công việc",INDEX('Kế hoạch'!$C$6:$C$305,$O1634),""))</f>
      </c>
      <c r="K1634" s="221">
        <f>IF($I1634="Phản ánh",INDEX('Phản ánh'!$K$6:$K$505,MATCH($C1634,'Phản ánh'!$A$6:$A$505,0))&amp;"",IF($I1634="Công việc",INDEX('Kế hoạch'!$N$6:$N$305,$O1634)&amp;"",""))</f>
      </c>
      <c r="L1634" s="220">
        <f>IF(OR($C1634="",N($B1634)=0),"",IF(AND($I1634="Phản ánh",$E1634="Đã xử lý"),INDEX('Phản ánh'!$U$6:$U$505,MATCH($C1634,'Phản ánh'!$A$6:$A$505,0)),IF(AND($I1634="Công việc",OR($E1634="Hoàn thành",$E1634="Hoàn thành kỳ")),IF(INDEX('Kế hoạch'!$B$6:$B$305,$O1634)="Đột xuất",INDEX('Kế hoạch'!$AY$6:$AY$305,$O1634),IF(N($P1634)=0,"",IF(INT($B1634)&lt;$P1634,$P1634,IF($Q1634&gt;0,$P1634+ROUND((INT($B1634)-$P1634)/$Q1634,0)*$Q1634,IF($R1634&gt;0,EDATE($P1634,ROUND((DATEDIF($P1634,INT($B1634),"m")+(INT($B1634)-EDATE($P1634,DATEDIF($P1634,INT($B1634),"m")))/(EDATE($P1634,DATEDIF($P1634,INT($B1634),"m")+1)-EDATE($P1634,DATEDIF($P1634,INT($B1634),"m"))))/$R1634,0)*$R1634),$P1634))))),"")))</f>
      </c>
      <c r="M1634" s="223">
        <f>IF(OR($C1634="",N($L1634)=0,N($B1634)=0),"",IF(IF(MOD($L1634,1)=0,INT($B1634),$B1634)&lt;=$L1634,"Đúng hạn","Trễ hạn"))</f>
      </c>
      <c r="N1634" s="225">
        <f>IF($C1634="","",ROW())</f>
      </c>
      <c r="O1634" s="225">
        <f>IF($I1634="Công việc",MATCH($C1634,'Kế hoạch'!$A$6:$A$305,0),"")</f>
      </c>
      <c r="P1634" s="234">
        <f>IF($O1634="","",INDEX('Kế hoạch'!$I$6:$I$305,$O1634))</f>
      </c>
      <c r="Q1634" s="225">
        <f>IF($O1634="","",INDEX('Kế hoạch'!$AJ$6:$AJ$305,$O1634))</f>
      </c>
      <c r="R1634" s="225">
        <f>IF($O1634="","",INDEX('Kế hoạch'!$AK$6:$AK$305,$O1634))</f>
      </c>
    </row>
    <row r="1635">
      <c r="A1635" s="223">
        <f>IF($C1635="","",COUNTIF($C$6:$C1635,"?*"))</f>
      </c>
      <c r="B1635" s="217"/>
      <c r="C1635" s="216"/>
      <c r="D1635" s="240"/>
      <c r="E1635" s="218"/>
      <c r="F1635" s="218"/>
      <c r="G1635" s="218"/>
      <c r="H1635" s="219"/>
      <c r="I1635" s="223">
        <f>IF($C1635="","",IF(ISNUMBER(MATCH($C1635,'Phản ánh'!$A$6:$A$505,0)),"Phản ánh",IF(ISNUMBER(MATCH($C1635,'Kế hoạch'!$A$6:$A$305,0)),"Công việc","Mã chưa có")))</f>
      </c>
      <c r="J1635" s="221">
        <f>IF($I1635="Phản ánh",INDEX('Phản ánh'!$C$6:$C$505,MATCH($C1635,'Phản ánh'!$A$6:$A$505,0)),IF($I1635="Công việc",INDEX('Kế hoạch'!$C$6:$C$305,$O1635),""))</f>
      </c>
      <c r="K1635" s="221">
        <f>IF($I1635="Phản ánh",INDEX('Phản ánh'!$K$6:$K$505,MATCH($C1635,'Phản ánh'!$A$6:$A$505,0))&amp;"",IF($I1635="Công việc",INDEX('Kế hoạch'!$N$6:$N$305,$O1635)&amp;"",""))</f>
      </c>
      <c r="L1635" s="220">
        <f>IF(OR($C1635="",N($B1635)=0),"",IF(AND($I1635="Phản ánh",$E1635="Đã xử lý"),INDEX('Phản ánh'!$U$6:$U$505,MATCH($C1635,'Phản ánh'!$A$6:$A$505,0)),IF(AND($I1635="Công việc",OR($E1635="Hoàn thành",$E1635="Hoàn thành kỳ")),IF(INDEX('Kế hoạch'!$B$6:$B$305,$O1635)="Đột xuất",INDEX('Kế hoạch'!$AY$6:$AY$305,$O1635),IF(N($P1635)=0,"",IF(INT($B1635)&lt;$P1635,$P1635,IF($Q1635&gt;0,$P1635+ROUND((INT($B1635)-$P1635)/$Q1635,0)*$Q1635,IF($R1635&gt;0,EDATE($P1635,ROUND((DATEDIF($P1635,INT($B1635),"m")+(INT($B1635)-EDATE($P1635,DATEDIF($P1635,INT($B1635),"m")))/(EDATE($P1635,DATEDIF($P1635,INT($B1635),"m")+1)-EDATE($P1635,DATEDIF($P1635,INT($B1635),"m"))))/$R1635,0)*$R1635),$P1635))))),"")))</f>
      </c>
      <c r="M1635" s="223">
        <f>IF(OR($C1635="",N($L1635)=0,N($B1635)=0),"",IF(IF(MOD($L1635,1)=0,INT($B1635),$B1635)&lt;=$L1635,"Đúng hạn","Trễ hạn"))</f>
      </c>
      <c r="N1635" s="225">
        <f>IF($C1635="","",ROW())</f>
      </c>
      <c r="O1635" s="225">
        <f>IF($I1635="Công việc",MATCH($C1635,'Kế hoạch'!$A$6:$A$305,0),"")</f>
      </c>
      <c r="P1635" s="234">
        <f>IF($O1635="","",INDEX('Kế hoạch'!$I$6:$I$305,$O1635))</f>
      </c>
      <c r="Q1635" s="225">
        <f>IF($O1635="","",INDEX('Kế hoạch'!$AJ$6:$AJ$305,$O1635))</f>
      </c>
      <c r="R1635" s="225">
        <f>IF($O1635="","",INDEX('Kế hoạch'!$AK$6:$AK$305,$O1635))</f>
      </c>
    </row>
    <row r="1636">
      <c r="A1636" s="223">
        <f>IF($C1636="","",COUNTIF($C$6:$C1636,"?*"))</f>
      </c>
      <c r="B1636" s="217"/>
      <c r="C1636" s="216"/>
      <c r="D1636" s="240"/>
      <c r="E1636" s="218"/>
      <c r="F1636" s="218"/>
      <c r="G1636" s="218"/>
      <c r="H1636" s="219"/>
      <c r="I1636" s="223">
        <f>IF($C1636="","",IF(ISNUMBER(MATCH($C1636,'Phản ánh'!$A$6:$A$505,0)),"Phản ánh",IF(ISNUMBER(MATCH($C1636,'Kế hoạch'!$A$6:$A$305,0)),"Công việc","Mã chưa có")))</f>
      </c>
      <c r="J1636" s="221">
        <f>IF($I1636="Phản ánh",INDEX('Phản ánh'!$C$6:$C$505,MATCH($C1636,'Phản ánh'!$A$6:$A$505,0)),IF($I1636="Công việc",INDEX('Kế hoạch'!$C$6:$C$305,$O1636),""))</f>
      </c>
      <c r="K1636" s="221">
        <f>IF($I1636="Phản ánh",INDEX('Phản ánh'!$K$6:$K$505,MATCH($C1636,'Phản ánh'!$A$6:$A$505,0))&amp;"",IF($I1636="Công việc",INDEX('Kế hoạch'!$N$6:$N$305,$O1636)&amp;"",""))</f>
      </c>
      <c r="L1636" s="220">
        <f>IF(OR($C1636="",N($B1636)=0),"",IF(AND($I1636="Phản ánh",$E1636="Đã xử lý"),INDEX('Phản ánh'!$U$6:$U$505,MATCH($C1636,'Phản ánh'!$A$6:$A$505,0)),IF(AND($I1636="Công việc",OR($E1636="Hoàn thành",$E1636="Hoàn thành kỳ")),IF(INDEX('Kế hoạch'!$B$6:$B$305,$O1636)="Đột xuất",INDEX('Kế hoạch'!$AY$6:$AY$305,$O1636),IF(N($P1636)=0,"",IF(INT($B1636)&lt;$P1636,$P1636,IF($Q1636&gt;0,$P1636+ROUND((INT($B1636)-$P1636)/$Q1636,0)*$Q1636,IF($R1636&gt;0,EDATE($P1636,ROUND((DATEDIF($P1636,INT($B1636),"m")+(INT($B1636)-EDATE($P1636,DATEDIF($P1636,INT($B1636),"m")))/(EDATE($P1636,DATEDIF($P1636,INT($B1636),"m")+1)-EDATE($P1636,DATEDIF($P1636,INT($B1636),"m"))))/$R1636,0)*$R1636),$P1636))))),"")))</f>
      </c>
      <c r="M1636" s="223">
        <f>IF(OR($C1636="",N($L1636)=0,N($B1636)=0),"",IF(IF(MOD($L1636,1)=0,INT($B1636),$B1636)&lt;=$L1636,"Đúng hạn","Trễ hạn"))</f>
      </c>
      <c r="N1636" s="225">
        <f>IF($C1636="","",ROW())</f>
      </c>
      <c r="O1636" s="225">
        <f>IF($I1636="Công việc",MATCH($C1636,'Kế hoạch'!$A$6:$A$305,0),"")</f>
      </c>
      <c r="P1636" s="234">
        <f>IF($O1636="","",INDEX('Kế hoạch'!$I$6:$I$305,$O1636))</f>
      </c>
      <c r="Q1636" s="225">
        <f>IF($O1636="","",INDEX('Kế hoạch'!$AJ$6:$AJ$305,$O1636))</f>
      </c>
      <c r="R1636" s="225">
        <f>IF($O1636="","",INDEX('Kế hoạch'!$AK$6:$AK$305,$O1636))</f>
      </c>
    </row>
    <row r="1637">
      <c r="A1637" s="223">
        <f>IF($C1637="","",COUNTIF($C$6:$C1637,"?*"))</f>
      </c>
      <c r="B1637" s="217"/>
      <c r="C1637" s="216"/>
      <c r="D1637" s="240"/>
      <c r="E1637" s="218"/>
      <c r="F1637" s="218"/>
      <c r="G1637" s="218"/>
      <c r="H1637" s="219"/>
      <c r="I1637" s="223">
        <f>IF($C1637="","",IF(ISNUMBER(MATCH($C1637,'Phản ánh'!$A$6:$A$505,0)),"Phản ánh",IF(ISNUMBER(MATCH($C1637,'Kế hoạch'!$A$6:$A$305,0)),"Công việc","Mã chưa có")))</f>
      </c>
      <c r="J1637" s="221">
        <f>IF($I1637="Phản ánh",INDEX('Phản ánh'!$C$6:$C$505,MATCH($C1637,'Phản ánh'!$A$6:$A$505,0)),IF($I1637="Công việc",INDEX('Kế hoạch'!$C$6:$C$305,$O1637),""))</f>
      </c>
      <c r="K1637" s="221">
        <f>IF($I1637="Phản ánh",INDEX('Phản ánh'!$K$6:$K$505,MATCH($C1637,'Phản ánh'!$A$6:$A$505,0))&amp;"",IF($I1637="Công việc",INDEX('Kế hoạch'!$N$6:$N$305,$O1637)&amp;"",""))</f>
      </c>
      <c r="L1637" s="220">
        <f>IF(OR($C1637="",N($B1637)=0),"",IF(AND($I1637="Phản ánh",$E1637="Đã xử lý"),INDEX('Phản ánh'!$U$6:$U$505,MATCH($C1637,'Phản ánh'!$A$6:$A$505,0)),IF(AND($I1637="Công việc",OR($E1637="Hoàn thành",$E1637="Hoàn thành kỳ")),IF(INDEX('Kế hoạch'!$B$6:$B$305,$O1637)="Đột xuất",INDEX('Kế hoạch'!$AY$6:$AY$305,$O1637),IF(N($P1637)=0,"",IF(INT($B1637)&lt;$P1637,$P1637,IF($Q1637&gt;0,$P1637+ROUND((INT($B1637)-$P1637)/$Q1637,0)*$Q1637,IF($R1637&gt;0,EDATE($P1637,ROUND((DATEDIF($P1637,INT($B1637),"m")+(INT($B1637)-EDATE($P1637,DATEDIF($P1637,INT($B1637),"m")))/(EDATE($P1637,DATEDIF($P1637,INT($B1637),"m")+1)-EDATE($P1637,DATEDIF($P1637,INT($B1637),"m"))))/$R1637,0)*$R1637),$P1637))))),"")))</f>
      </c>
      <c r="M1637" s="223">
        <f>IF(OR($C1637="",N($L1637)=0,N($B1637)=0),"",IF(IF(MOD($L1637,1)=0,INT($B1637),$B1637)&lt;=$L1637,"Đúng hạn","Trễ hạn"))</f>
      </c>
      <c r="N1637" s="225">
        <f>IF($C1637="","",ROW())</f>
      </c>
      <c r="O1637" s="225">
        <f>IF($I1637="Công việc",MATCH($C1637,'Kế hoạch'!$A$6:$A$305,0),"")</f>
      </c>
      <c r="P1637" s="234">
        <f>IF($O1637="","",INDEX('Kế hoạch'!$I$6:$I$305,$O1637))</f>
      </c>
      <c r="Q1637" s="225">
        <f>IF($O1637="","",INDEX('Kế hoạch'!$AJ$6:$AJ$305,$O1637))</f>
      </c>
      <c r="R1637" s="225">
        <f>IF($O1637="","",INDEX('Kế hoạch'!$AK$6:$AK$305,$O1637))</f>
      </c>
    </row>
    <row r="1638">
      <c r="A1638" s="223">
        <f>IF($C1638="","",COUNTIF($C$6:$C1638,"?*"))</f>
      </c>
      <c r="B1638" s="217"/>
      <c r="C1638" s="216"/>
      <c r="D1638" s="240"/>
      <c r="E1638" s="218"/>
      <c r="F1638" s="218"/>
      <c r="G1638" s="218"/>
      <c r="H1638" s="219"/>
      <c r="I1638" s="223">
        <f>IF($C1638="","",IF(ISNUMBER(MATCH($C1638,'Phản ánh'!$A$6:$A$505,0)),"Phản ánh",IF(ISNUMBER(MATCH($C1638,'Kế hoạch'!$A$6:$A$305,0)),"Công việc","Mã chưa có")))</f>
      </c>
      <c r="J1638" s="221">
        <f>IF($I1638="Phản ánh",INDEX('Phản ánh'!$C$6:$C$505,MATCH($C1638,'Phản ánh'!$A$6:$A$505,0)),IF($I1638="Công việc",INDEX('Kế hoạch'!$C$6:$C$305,$O1638),""))</f>
      </c>
      <c r="K1638" s="221">
        <f>IF($I1638="Phản ánh",INDEX('Phản ánh'!$K$6:$K$505,MATCH($C1638,'Phản ánh'!$A$6:$A$505,0))&amp;"",IF($I1638="Công việc",INDEX('Kế hoạch'!$N$6:$N$305,$O1638)&amp;"",""))</f>
      </c>
      <c r="L1638" s="220">
        <f>IF(OR($C1638="",N($B1638)=0),"",IF(AND($I1638="Phản ánh",$E1638="Đã xử lý"),INDEX('Phản ánh'!$U$6:$U$505,MATCH($C1638,'Phản ánh'!$A$6:$A$505,0)),IF(AND($I1638="Công việc",OR($E1638="Hoàn thành",$E1638="Hoàn thành kỳ")),IF(INDEX('Kế hoạch'!$B$6:$B$305,$O1638)="Đột xuất",INDEX('Kế hoạch'!$AY$6:$AY$305,$O1638),IF(N($P1638)=0,"",IF(INT($B1638)&lt;$P1638,$P1638,IF($Q1638&gt;0,$P1638+ROUND((INT($B1638)-$P1638)/$Q1638,0)*$Q1638,IF($R1638&gt;0,EDATE($P1638,ROUND((DATEDIF($P1638,INT($B1638),"m")+(INT($B1638)-EDATE($P1638,DATEDIF($P1638,INT($B1638),"m")))/(EDATE($P1638,DATEDIF($P1638,INT($B1638),"m")+1)-EDATE($P1638,DATEDIF($P1638,INT($B1638),"m"))))/$R1638,0)*$R1638),$P1638))))),"")))</f>
      </c>
      <c r="M1638" s="223">
        <f>IF(OR($C1638="",N($L1638)=0,N($B1638)=0),"",IF(IF(MOD($L1638,1)=0,INT($B1638),$B1638)&lt;=$L1638,"Đúng hạn","Trễ hạn"))</f>
      </c>
      <c r="N1638" s="225">
        <f>IF($C1638="","",ROW())</f>
      </c>
      <c r="O1638" s="225">
        <f>IF($I1638="Công việc",MATCH($C1638,'Kế hoạch'!$A$6:$A$305,0),"")</f>
      </c>
      <c r="P1638" s="234">
        <f>IF($O1638="","",INDEX('Kế hoạch'!$I$6:$I$305,$O1638))</f>
      </c>
      <c r="Q1638" s="225">
        <f>IF($O1638="","",INDEX('Kế hoạch'!$AJ$6:$AJ$305,$O1638))</f>
      </c>
      <c r="R1638" s="225">
        <f>IF($O1638="","",INDEX('Kế hoạch'!$AK$6:$AK$305,$O1638))</f>
      </c>
    </row>
    <row r="1639">
      <c r="A1639" s="223">
        <f>IF($C1639="","",COUNTIF($C$6:$C1639,"?*"))</f>
      </c>
      <c r="B1639" s="217"/>
      <c r="C1639" s="216"/>
      <c r="D1639" s="240"/>
      <c r="E1639" s="218"/>
      <c r="F1639" s="218"/>
      <c r="G1639" s="218"/>
      <c r="H1639" s="219"/>
      <c r="I1639" s="223">
        <f>IF($C1639="","",IF(ISNUMBER(MATCH($C1639,'Phản ánh'!$A$6:$A$505,0)),"Phản ánh",IF(ISNUMBER(MATCH($C1639,'Kế hoạch'!$A$6:$A$305,0)),"Công việc","Mã chưa có")))</f>
      </c>
      <c r="J1639" s="221">
        <f>IF($I1639="Phản ánh",INDEX('Phản ánh'!$C$6:$C$505,MATCH($C1639,'Phản ánh'!$A$6:$A$505,0)),IF($I1639="Công việc",INDEX('Kế hoạch'!$C$6:$C$305,$O1639),""))</f>
      </c>
      <c r="K1639" s="221">
        <f>IF($I1639="Phản ánh",INDEX('Phản ánh'!$K$6:$K$505,MATCH($C1639,'Phản ánh'!$A$6:$A$505,0))&amp;"",IF($I1639="Công việc",INDEX('Kế hoạch'!$N$6:$N$305,$O1639)&amp;"",""))</f>
      </c>
      <c r="L1639" s="220">
        <f>IF(OR($C1639="",N($B1639)=0),"",IF(AND($I1639="Phản ánh",$E1639="Đã xử lý"),INDEX('Phản ánh'!$U$6:$U$505,MATCH($C1639,'Phản ánh'!$A$6:$A$505,0)),IF(AND($I1639="Công việc",OR($E1639="Hoàn thành",$E1639="Hoàn thành kỳ")),IF(INDEX('Kế hoạch'!$B$6:$B$305,$O1639)="Đột xuất",INDEX('Kế hoạch'!$AY$6:$AY$305,$O1639),IF(N($P1639)=0,"",IF(INT($B1639)&lt;$P1639,$P1639,IF($Q1639&gt;0,$P1639+ROUND((INT($B1639)-$P1639)/$Q1639,0)*$Q1639,IF($R1639&gt;0,EDATE($P1639,ROUND((DATEDIF($P1639,INT($B1639),"m")+(INT($B1639)-EDATE($P1639,DATEDIF($P1639,INT($B1639),"m")))/(EDATE($P1639,DATEDIF($P1639,INT($B1639),"m")+1)-EDATE($P1639,DATEDIF($P1639,INT($B1639),"m"))))/$R1639,0)*$R1639),$P1639))))),"")))</f>
      </c>
      <c r="M1639" s="223">
        <f>IF(OR($C1639="",N($L1639)=0,N($B1639)=0),"",IF(IF(MOD($L1639,1)=0,INT($B1639),$B1639)&lt;=$L1639,"Đúng hạn","Trễ hạn"))</f>
      </c>
      <c r="N1639" s="225">
        <f>IF($C1639="","",ROW())</f>
      </c>
      <c r="O1639" s="225">
        <f>IF($I1639="Công việc",MATCH($C1639,'Kế hoạch'!$A$6:$A$305,0),"")</f>
      </c>
      <c r="P1639" s="234">
        <f>IF($O1639="","",INDEX('Kế hoạch'!$I$6:$I$305,$O1639))</f>
      </c>
      <c r="Q1639" s="225">
        <f>IF($O1639="","",INDEX('Kế hoạch'!$AJ$6:$AJ$305,$O1639))</f>
      </c>
      <c r="R1639" s="225">
        <f>IF($O1639="","",INDEX('Kế hoạch'!$AK$6:$AK$305,$O1639))</f>
      </c>
    </row>
    <row r="1640">
      <c r="A1640" s="223">
        <f>IF($C1640="","",COUNTIF($C$6:$C1640,"?*"))</f>
      </c>
      <c r="B1640" s="217"/>
      <c r="C1640" s="216"/>
      <c r="D1640" s="240"/>
      <c r="E1640" s="218"/>
      <c r="F1640" s="218"/>
      <c r="G1640" s="218"/>
      <c r="H1640" s="219"/>
      <c r="I1640" s="223">
        <f>IF($C1640="","",IF(ISNUMBER(MATCH($C1640,'Phản ánh'!$A$6:$A$505,0)),"Phản ánh",IF(ISNUMBER(MATCH($C1640,'Kế hoạch'!$A$6:$A$305,0)),"Công việc","Mã chưa có")))</f>
      </c>
      <c r="J1640" s="221">
        <f>IF($I1640="Phản ánh",INDEX('Phản ánh'!$C$6:$C$505,MATCH($C1640,'Phản ánh'!$A$6:$A$505,0)),IF($I1640="Công việc",INDEX('Kế hoạch'!$C$6:$C$305,$O1640),""))</f>
      </c>
      <c r="K1640" s="221">
        <f>IF($I1640="Phản ánh",INDEX('Phản ánh'!$K$6:$K$505,MATCH($C1640,'Phản ánh'!$A$6:$A$505,0))&amp;"",IF($I1640="Công việc",INDEX('Kế hoạch'!$N$6:$N$305,$O1640)&amp;"",""))</f>
      </c>
      <c r="L1640" s="220">
        <f>IF(OR($C1640="",N($B1640)=0),"",IF(AND($I1640="Phản ánh",$E1640="Đã xử lý"),INDEX('Phản ánh'!$U$6:$U$505,MATCH($C1640,'Phản ánh'!$A$6:$A$505,0)),IF(AND($I1640="Công việc",OR($E1640="Hoàn thành",$E1640="Hoàn thành kỳ")),IF(INDEX('Kế hoạch'!$B$6:$B$305,$O1640)="Đột xuất",INDEX('Kế hoạch'!$AY$6:$AY$305,$O1640),IF(N($P1640)=0,"",IF(INT($B1640)&lt;$P1640,$P1640,IF($Q1640&gt;0,$P1640+ROUND((INT($B1640)-$P1640)/$Q1640,0)*$Q1640,IF($R1640&gt;0,EDATE($P1640,ROUND((DATEDIF($P1640,INT($B1640),"m")+(INT($B1640)-EDATE($P1640,DATEDIF($P1640,INT($B1640),"m")))/(EDATE($P1640,DATEDIF($P1640,INT($B1640),"m")+1)-EDATE($P1640,DATEDIF($P1640,INT($B1640),"m"))))/$R1640,0)*$R1640),$P1640))))),"")))</f>
      </c>
      <c r="M1640" s="223">
        <f>IF(OR($C1640="",N($L1640)=0,N($B1640)=0),"",IF(IF(MOD($L1640,1)=0,INT($B1640),$B1640)&lt;=$L1640,"Đúng hạn","Trễ hạn"))</f>
      </c>
      <c r="N1640" s="225">
        <f>IF($C1640="","",ROW())</f>
      </c>
      <c r="O1640" s="225">
        <f>IF($I1640="Công việc",MATCH($C1640,'Kế hoạch'!$A$6:$A$305,0),"")</f>
      </c>
      <c r="P1640" s="234">
        <f>IF($O1640="","",INDEX('Kế hoạch'!$I$6:$I$305,$O1640))</f>
      </c>
      <c r="Q1640" s="225">
        <f>IF($O1640="","",INDEX('Kế hoạch'!$AJ$6:$AJ$305,$O1640))</f>
      </c>
      <c r="R1640" s="225">
        <f>IF($O1640="","",INDEX('Kế hoạch'!$AK$6:$AK$305,$O1640))</f>
      </c>
    </row>
    <row r="1641">
      <c r="A1641" s="223">
        <f>IF($C1641="","",COUNTIF($C$6:$C1641,"?*"))</f>
      </c>
      <c r="B1641" s="217"/>
      <c r="C1641" s="216"/>
      <c r="D1641" s="240"/>
      <c r="E1641" s="218"/>
      <c r="F1641" s="218"/>
      <c r="G1641" s="218"/>
      <c r="H1641" s="219"/>
      <c r="I1641" s="223">
        <f>IF($C1641="","",IF(ISNUMBER(MATCH($C1641,'Phản ánh'!$A$6:$A$505,0)),"Phản ánh",IF(ISNUMBER(MATCH($C1641,'Kế hoạch'!$A$6:$A$305,0)),"Công việc","Mã chưa có")))</f>
      </c>
      <c r="J1641" s="221">
        <f>IF($I1641="Phản ánh",INDEX('Phản ánh'!$C$6:$C$505,MATCH($C1641,'Phản ánh'!$A$6:$A$505,0)),IF($I1641="Công việc",INDEX('Kế hoạch'!$C$6:$C$305,$O1641),""))</f>
      </c>
      <c r="K1641" s="221">
        <f>IF($I1641="Phản ánh",INDEX('Phản ánh'!$K$6:$K$505,MATCH($C1641,'Phản ánh'!$A$6:$A$505,0))&amp;"",IF($I1641="Công việc",INDEX('Kế hoạch'!$N$6:$N$305,$O1641)&amp;"",""))</f>
      </c>
      <c r="L1641" s="220">
        <f>IF(OR($C1641="",N($B1641)=0),"",IF(AND($I1641="Phản ánh",$E1641="Đã xử lý"),INDEX('Phản ánh'!$U$6:$U$505,MATCH($C1641,'Phản ánh'!$A$6:$A$505,0)),IF(AND($I1641="Công việc",OR($E1641="Hoàn thành",$E1641="Hoàn thành kỳ")),IF(INDEX('Kế hoạch'!$B$6:$B$305,$O1641)="Đột xuất",INDEX('Kế hoạch'!$AY$6:$AY$305,$O1641),IF(N($P1641)=0,"",IF(INT($B1641)&lt;$P1641,$P1641,IF($Q1641&gt;0,$P1641+ROUND((INT($B1641)-$P1641)/$Q1641,0)*$Q1641,IF($R1641&gt;0,EDATE($P1641,ROUND((DATEDIF($P1641,INT($B1641),"m")+(INT($B1641)-EDATE($P1641,DATEDIF($P1641,INT($B1641),"m")))/(EDATE($P1641,DATEDIF($P1641,INT($B1641),"m")+1)-EDATE($P1641,DATEDIF($P1641,INT($B1641),"m"))))/$R1641,0)*$R1641),$P1641))))),"")))</f>
      </c>
      <c r="M1641" s="223">
        <f>IF(OR($C1641="",N($L1641)=0,N($B1641)=0),"",IF(IF(MOD($L1641,1)=0,INT($B1641),$B1641)&lt;=$L1641,"Đúng hạn","Trễ hạn"))</f>
      </c>
      <c r="N1641" s="225">
        <f>IF($C1641="","",ROW())</f>
      </c>
      <c r="O1641" s="225">
        <f>IF($I1641="Công việc",MATCH($C1641,'Kế hoạch'!$A$6:$A$305,0),"")</f>
      </c>
      <c r="P1641" s="234">
        <f>IF($O1641="","",INDEX('Kế hoạch'!$I$6:$I$305,$O1641))</f>
      </c>
      <c r="Q1641" s="225">
        <f>IF($O1641="","",INDEX('Kế hoạch'!$AJ$6:$AJ$305,$O1641))</f>
      </c>
      <c r="R1641" s="225">
        <f>IF($O1641="","",INDEX('Kế hoạch'!$AK$6:$AK$305,$O1641))</f>
      </c>
    </row>
    <row r="1642">
      <c r="A1642" s="223">
        <f>IF($C1642="","",COUNTIF($C$6:$C1642,"?*"))</f>
      </c>
      <c r="B1642" s="217"/>
      <c r="C1642" s="216"/>
      <c r="D1642" s="240"/>
      <c r="E1642" s="218"/>
      <c r="F1642" s="218"/>
      <c r="G1642" s="218"/>
      <c r="H1642" s="219"/>
      <c r="I1642" s="223">
        <f>IF($C1642="","",IF(ISNUMBER(MATCH($C1642,'Phản ánh'!$A$6:$A$505,0)),"Phản ánh",IF(ISNUMBER(MATCH($C1642,'Kế hoạch'!$A$6:$A$305,0)),"Công việc","Mã chưa có")))</f>
      </c>
      <c r="J1642" s="221">
        <f>IF($I1642="Phản ánh",INDEX('Phản ánh'!$C$6:$C$505,MATCH($C1642,'Phản ánh'!$A$6:$A$505,0)),IF($I1642="Công việc",INDEX('Kế hoạch'!$C$6:$C$305,$O1642),""))</f>
      </c>
      <c r="K1642" s="221">
        <f>IF($I1642="Phản ánh",INDEX('Phản ánh'!$K$6:$K$505,MATCH($C1642,'Phản ánh'!$A$6:$A$505,0))&amp;"",IF($I1642="Công việc",INDEX('Kế hoạch'!$N$6:$N$305,$O1642)&amp;"",""))</f>
      </c>
      <c r="L1642" s="220">
        <f>IF(OR($C1642="",N($B1642)=0),"",IF(AND($I1642="Phản ánh",$E1642="Đã xử lý"),INDEX('Phản ánh'!$U$6:$U$505,MATCH($C1642,'Phản ánh'!$A$6:$A$505,0)),IF(AND($I1642="Công việc",OR($E1642="Hoàn thành",$E1642="Hoàn thành kỳ")),IF(INDEX('Kế hoạch'!$B$6:$B$305,$O1642)="Đột xuất",INDEX('Kế hoạch'!$AY$6:$AY$305,$O1642),IF(N($P1642)=0,"",IF(INT($B1642)&lt;$P1642,$P1642,IF($Q1642&gt;0,$P1642+ROUND((INT($B1642)-$P1642)/$Q1642,0)*$Q1642,IF($R1642&gt;0,EDATE($P1642,ROUND((DATEDIF($P1642,INT($B1642),"m")+(INT($B1642)-EDATE($P1642,DATEDIF($P1642,INT($B1642),"m")))/(EDATE($P1642,DATEDIF($P1642,INT($B1642),"m")+1)-EDATE($P1642,DATEDIF($P1642,INT($B1642),"m"))))/$R1642,0)*$R1642),$P1642))))),"")))</f>
      </c>
      <c r="M1642" s="223">
        <f>IF(OR($C1642="",N($L1642)=0,N($B1642)=0),"",IF(IF(MOD($L1642,1)=0,INT($B1642),$B1642)&lt;=$L1642,"Đúng hạn","Trễ hạn"))</f>
      </c>
      <c r="N1642" s="225">
        <f>IF($C1642="","",ROW())</f>
      </c>
      <c r="O1642" s="225">
        <f>IF($I1642="Công việc",MATCH($C1642,'Kế hoạch'!$A$6:$A$305,0),"")</f>
      </c>
      <c r="P1642" s="234">
        <f>IF($O1642="","",INDEX('Kế hoạch'!$I$6:$I$305,$O1642))</f>
      </c>
      <c r="Q1642" s="225">
        <f>IF($O1642="","",INDEX('Kế hoạch'!$AJ$6:$AJ$305,$O1642))</f>
      </c>
      <c r="R1642" s="225">
        <f>IF($O1642="","",INDEX('Kế hoạch'!$AK$6:$AK$305,$O1642))</f>
      </c>
    </row>
    <row r="1643">
      <c r="A1643" s="223">
        <f>IF($C1643="","",COUNTIF($C$6:$C1643,"?*"))</f>
      </c>
      <c r="B1643" s="217"/>
      <c r="C1643" s="216"/>
      <c r="D1643" s="240"/>
      <c r="E1643" s="218"/>
      <c r="F1643" s="218"/>
      <c r="G1643" s="218"/>
      <c r="H1643" s="219"/>
      <c r="I1643" s="223">
        <f>IF($C1643="","",IF(ISNUMBER(MATCH($C1643,'Phản ánh'!$A$6:$A$505,0)),"Phản ánh",IF(ISNUMBER(MATCH($C1643,'Kế hoạch'!$A$6:$A$305,0)),"Công việc","Mã chưa có")))</f>
      </c>
      <c r="J1643" s="221">
        <f>IF($I1643="Phản ánh",INDEX('Phản ánh'!$C$6:$C$505,MATCH($C1643,'Phản ánh'!$A$6:$A$505,0)),IF($I1643="Công việc",INDEX('Kế hoạch'!$C$6:$C$305,$O1643),""))</f>
      </c>
      <c r="K1643" s="221">
        <f>IF($I1643="Phản ánh",INDEX('Phản ánh'!$K$6:$K$505,MATCH($C1643,'Phản ánh'!$A$6:$A$505,0))&amp;"",IF($I1643="Công việc",INDEX('Kế hoạch'!$N$6:$N$305,$O1643)&amp;"",""))</f>
      </c>
      <c r="L1643" s="220">
        <f>IF(OR($C1643="",N($B1643)=0),"",IF(AND($I1643="Phản ánh",$E1643="Đã xử lý"),INDEX('Phản ánh'!$U$6:$U$505,MATCH($C1643,'Phản ánh'!$A$6:$A$505,0)),IF(AND($I1643="Công việc",OR($E1643="Hoàn thành",$E1643="Hoàn thành kỳ")),IF(INDEX('Kế hoạch'!$B$6:$B$305,$O1643)="Đột xuất",INDEX('Kế hoạch'!$AY$6:$AY$305,$O1643),IF(N($P1643)=0,"",IF(INT($B1643)&lt;$P1643,$P1643,IF($Q1643&gt;0,$P1643+ROUND((INT($B1643)-$P1643)/$Q1643,0)*$Q1643,IF($R1643&gt;0,EDATE($P1643,ROUND((DATEDIF($P1643,INT($B1643),"m")+(INT($B1643)-EDATE($P1643,DATEDIF($P1643,INT($B1643),"m")))/(EDATE($P1643,DATEDIF($P1643,INT($B1643),"m")+1)-EDATE($P1643,DATEDIF($P1643,INT($B1643),"m"))))/$R1643,0)*$R1643),$P1643))))),"")))</f>
      </c>
      <c r="M1643" s="223">
        <f>IF(OR($C1643="",N($L1643)=0,N($B1643)=0),"",IF(IF(MOD($L1643,1)=0,INT($B1643),$B1643)&lt;=$L1643,"Đúng hạn","Trễ hạn"))</f>
      </c>
      <c r="N1643" s="225">
        <f>IF($C1643="","",ROW())</f>
      </c>
      <c r="O1643" s="225">
        <f>IF($I1643="Công việc",MATCH($C1643,'Kế hoạch'!$A$6:$A$305,0),"")</f>
      </c>
      <c r="P1643" s="234">
        <f>IF($O1643="","",INDEX('Kế hoạch'!$I$6:$I$305,$O1643))</f>
      </c>
      <c r="Q1643" s="225">
        <f>IF($O1643="","",INDEX('Kế hoạch'!$AJ$6:$AJ$305,$O1643))</f>
      </c>
      <c r="R1643" s="225">
        <f>IF($O1643="","",INDEX('Kế hoạch'!$AK$6:$AK$305,$O1643))</f>
      </c>
    </row>
    <row r="1644">
      <c r="A1644" s="223">
        <f>IF($C1644="","",COUNTIF($C$6:$C1644,"?*"))</f>
      </c>
      <c r="B1644" s="217"/>
      <c r="C1644" s="216"/>
      <c r="D1644" s="240"/>
      <c r="E1644" s="218"/>
      <c r="F1644" s="218"/>
      <c r="G1644" s="218"/>
      <c r="H1644" s="219"/>
      <c r="I1644" s="223">
        <f>IF($C1644="","",IF(ISNUMBER(MATCH($C1644,'Phản ánh'!$A$6:$A$505,0)),"Phản ánh",IF(ISNUMBER(MATCH($C1644,'Kế hoạch'!$A$6:$A$305,0)),"Công việc","Mã chưa có")))</f>
      </c>
      <c r="J1644" s="221">
        <f>IF($I1644="Phản ánh",INDEX('Phản ánh'!$C$6:$C$505,MATCH($C1644,'Phản ánh'!$A$6:$A$505,0)),IF($I1644="Công việc",INDEX('Kế hoạch'!$C$6:$C$305,$O1644),""))</f>
      </c>
      <c r="K1644" s="221">
        <f>IF($I1644="Phản ánh",INDEX('Phản ánh'!$K$6:$K$505,MATCH($C1644,'Phản ánh'!$A$6:$A$505,0))&amp;"",IF($I1644="Công việc",INDEX('Kế hoạch'!$N$6:$N$305,$O1644)&amp;"",""))</f>
      </c>
      <c r="L1644" s="220">
        <f>IF(OR($C1644="",N($B1644)=0),"",IF(AND($I1644="Phản ánh",$E1644="Đã xử lý"),INDEX('Phản ánh'!$U$6:$U$505,MATCH($C1644,'Phản ánh'!$A$6:$A$505,0)),IF(AND($I1644="Công việc",OR($E1644="Hoàn thành",$E1644="Hoàn thành kỳ")),IF(INDEX('Kế hoạch'!$B$6:$B$305,$O1644)="Đột xuất",INDEX('Kế hoạch'!$AY$6:$AY$305,$O1644),IF(N($P1644)=0,"",IF(INT($B1644)&lt;$P1644,$P1644,IF($Q1644&gt;0,$P1644+ROUND((INT($B1644)-$P1644)/$Q1644,0)*$Q1644,IF($R1644&gt;0,EDATE($P1644,ROUND((DATEDIF($P1644,INT($B1644),"m")+(INT($B1644)-EDATE($P1644,DATEDIF($P1644,INT($B1644),"m")))/(EDATE($P1644,DATEDIF($P1644,INT($B1644),"m")+1)-EDATE($P1644,DATEDIF($P1644,INT($B1644),"m"))))/$R1644,0)*$R1644),$P1644))))),"")))</f>
      </c>
      <c r="M1644" s="223">
        <f>IF(OR($C1644="",N($L1644)=0,N($B1644)=0),"",IF(IF(MOD($L1644,1)=0,INT($B1644),$B1644)&lt;=$L1644,"Đúng hạn","Trễ hạn"))</f>
      </c>
      <c r="N1644" s="225">
        <f>IF($C1644="","",ROW())</f>
      </c>
      <c r="O1644" s="225">
        <f>IF($I1644="Công việc",MATCH($C1644,'Kế hoạch'!$A$6:$A$305,0),"")</f>
      </c>
      <c r="P1644" s="234">
        <f>IF($O1644="","",INDEX('Kế hoạch'!$I$6:$I$305,$O1644))</f>
      </c>
      <c r="Q1644" s="225">
        <f>IF($O1644="","",INDEX('Kế hoạch'!$AJ$6:$AJ$305,$O1644))</f>
      </c>
      <c r="R1644" s="225">
        <f>IF($O1644="","",INDEX('Kế hoạch'!$AK$6:$AK$305,$O1644))</f>
      </c>
    </row>
    <row r="1645">
      <c r="A1645" s="223">
        <f>IF($C1645="","",COUNTIF($C$6:$C1645,"?*"))</f>
      </c>
      <c r="B1645" s="217"/>
      <c r="C1645" s="216"/>
      <c r="D1645" s="240"/>
      <c r="E1645" s="218"/>
      <c r="F1645" s="218"/>
      <c r="G1645" s="218"/>
      <c r="H1645" s="219"/>
      <c r="I1645" s="223">
        <f>IF($C1645="","",IF(ISNUMBER(MATCH($C1645,'Phản ánh'!$A$6:$A$505,0)),"Phản ánh",IF(ISNUMBER(MATCH($C1645,'Kế hoạch'!$A$6:$A$305,0)),"Công việc","Mã chưa có")))</f>
      </c>
      <c r="J1645" s="221">
        <f>IF($I1645="Phản ánh",INDEX('Phản ánh'!$C$6:$C$505,MATCH($C1645,'Phản ánh'!$A$6:$A$505,0)),IF($I1645="Công việc",INDEX('Kế hoạch'!$C$6:$C$305,$O1645),""))</f>
      </c>
      <c r="K1645" s="221">
        <f>IF($I1645="Phản ánh",INDEX('Phản ánh'!$K$6:$K$505,MATCH($C1645,'Phản ánh'!$A$6:$A$505,0))&amp;"",IF($I1645="Công việc",INDEX('Kế hoạch'!$N$6:$N$305,$O1645)&amp;"",""))</f>
      </c>
      <c r="L1645" s="220">
        <f>IF(OR($C1645="",N($B1645)=0),"",IF(AND($I1645="Phản ánh",$E1645="Đã xử lý"),INDEX('Phản ánh'!$U$6:$U$505,MATCH($C1645,'Phản ánh'!$A$6:$A$505,0)),IF(AND($I1645="Công việc",OR($E1645="Hoàn thành",$E1645="Hoàn thành kỳ")),IF(INDEX('Kế hoạch'!$B$6:$B$305,$O1645)="Đột xuất",INDEX('Kế hoạch'!$AY$6:$AY$305,$O1645),IF(N($P1645)=0,"",IF(INT($B1645)&lt;$P1645,$P1645,IF($Q1645&gt;0,$P1645+ROUND((INT($B1645)-$P1645)/$Q1645,0)*$Q1645,IF($R1645&gt;0,EDATE($P1645,ROUND((DATEDIF($P1645,INT($B1645),"m")+(INT($B1645)-EDATE($P1645,DATEDIF($P1645,INT($B1645),"m")))/(EDATE($P1645,DATEDIF($P1645,INT($B1645),"m")+1)-EDATE($P1645,DATEDIF($P1645,INT($B1645),"m"))))/$R1645,0)*$R1645),$P1645))))),"")))</f>
      </c>
      <c r="M1645" s="223">
        <f>IF(OR($C1645="",N($L1645)=0,N($B1645)=0),"",IF(IF(MOD($L1645,1)=0,INT($B1645),$B1645)&lt;=$L1645,"Đúng hạn","Trễ hạn"))</f>
      </c>
      <c r="N1645" s="225">
        <f>IF($C1645="","",ROW())</f>
      </c>
      <c r="O1645" s="225">
        <f>IF($I1645="Công việc",MATCH($C1645,'Kế hoạch'!$A$6:$A$305,0),"")</f>
      </c>
      <c r="P1645" s="234">
        <f>IF($O1645="","",INDEX('Kế hoạch'!$I$6:$I$305,$O1645))</f>
      </c>
      <c r="Q1645" s="225">
        <f>IF($O1645="","",INDEX('Kế hoạch'!$AJ$6:$AJ$305,$O1645))</f>
      </c>
      <c r="R1645" s="225">
        <f>IF($O1645="","",INDEX('Kế hoạch'!$AK$6:$AK$305,$O1645))</f>
      </c>
    </row>
    <row r="1646">
      <c r="A1646" s="223">
        <f>IF($C1646="","",COUNTIF($C$6:$C1646,"?*"))</f>
      </c>
      <c r="B1646" s="217"/>
      <c r="C1646" s="216"/>
      <c r="D1646" s="240"/>
      <c r="E1646" s="218"/>
      <c r="F1646" s="218"/>
      <c r="G1646" s="218"/>
      <c r="H1646" s="219"/>
      <c r="I1646" s="223">
        <f>IF($C1646="","",IF(ISNUMBER(MATCH($C1646,'Phản ánh'!$A$6:$A$505,0)),"Phản ánh",IF(ISNUMBER(MATCH($C1646,'Kế hoạch'!$A$6:$A$305,0)),"Công việc","Mã chưa có")))</f>
      </c>
      <c r="J1646" s="221">
        <f>IF($I1646="Phản ánh",INDEX('Phản ánh'!$C$6:$C$505,MATCH($C1646,'Phản ánh'!$A$6:$A$505,0)),IF($I1646="Công việc",INDEX('Kế hoạch'!$C$6:$C$305,$O1646),""))</f>
      </c>
      <c r="K1646" s="221">
        <f>IF($I1646="Phản ánh",INDEX('Phản ánh'!$K$6:$K$505,MATCH($C1646,'Phản ánh'!$A$6:$A$505,0))&amp;"",IF($I1646="Công việc",INDEX('Kế hoạch'!$N$6:$N$305,$O1646)&amp;"",""))</f>
      </c>
      <c r="L1646" s="220">
        <f>IF(OR($C1646="",N($B1646)=0),"",IF(AND($I1646="Phản ánh",$E1646="Đã xử lý"),INDEX('Phản ánh'!$U$6:$U$505,MATCH($C1646,'Phản ánh'!$A$6:$A$505,0)),IF(AND($I1646="Công việc",OR($E1646="Hoàn thành",$E1646="Hoàn thành kỳ")),IF(INDEX('Kế hoạch'!$B$6:$B$305,$O1646)="Đột xuất",INDEX('Kế hoạch'!$AY$6:$AY$305,$O1646),IF(N($P1646)=0,"",IF(INT($B1646)&lt;$P1646,$P1646,IF($Q1646&gt;0,$P1646+ROUND((INT($B1646)-$P1646)/$Q1646,0)*$Q1646,IF($R1646&gt;0,EDATE($P1646,ROUND((DATEDIF($P1646,INT($B1646),"m")+(INT($B1646)-EDATE($P1646,DATEDIF($P1646,INT($B1646),"m")))/(EDATE($P1646,DATEDIF($P1646,INT($B1646),"m")+1)-EDATE($P1646,DATEDIF($P1646,INT($B1646),"m"))))/$R1646,0)*$R1646),$P1646))))),"")))</f>
      </c>
      <c r="M1646" s="223">
        <f>IF(OR($C1646="",N($L1646)=0,N($B1646)=0),"",IF(IF(MOD($L1646,1)=0,INT($B1646),$B1646)&lt;=$L1646,"Đúng hạn","Trễ hạn"))</f>
      </c>
      <c r="N1646" s="225">
        <f>IF($C1646="","",ROW())</f>
      </c>
      <c r="O1646" s="225">
        <f>IF($I1646="Công việc",MATCH($C1646,'Kế hoạch'!$A$6:$A$305,0),"")</f>
      </c>
      <c r="P1646" s="234">
        <f>IF($O1646="","",INDEX('Kế hoạch'!$I$6:$I$305,$O1646))</f>
      </c>
      <c r="Q1646" s="225">
        <f>IF($O1646="","",INDEX('Kế hoạch'!$AJ$6:$AJ$305,$O1646))</f>
      </c>
      <c r="R1646" s="225">
        <f>IF($O1646="","",INDEX('Kế hoạch'!$AK$6:$AK$305,$O1646))</f>
      </c>
    </row>
    <row r="1647">
      <c r="A1647" s="223">
        <f>IF($C1647="","",COUNTIF($C$6:$C1647,"?*"))</f>
      </c>
      <c r="B1647" s="217"/>
      <c r="C1647" s="216"/>
      <c r="D1647" s="240"/>
      <c r="E1647" s="218"/>
      <c r="F1647" s="218"/>
      <c r="G1647" s="218"/>
      <c r="H1647" s="219"/>
      <c r="I1647" s="223">
        <f>IF($C1647="","",IF(ISNUMBER(MATCH($C1647,'Phản ánh'!$A$6:$A$505,0)),"Phản ánh",IF(ISNUMBER(MATCH($C1647,'Kế hoạch'!$A$6:$A$305,0)),"Công việc","Mã chưa có")))</f>
      </c>
      <c r="J1647" s="221">
        <f>IF($I1647="Phản ánh",INDEX('Phản ánh'!$C$6:$C$505,MATCH($C1647,'Phản ánh'!$A$6:$A$505,0)),IF($I1647="Công việc",INDEX('Kế hoạch'!$C$6:$C$305,$O1647),""))</f>
      </c>
      <c r="K1647" s="221">
        <f>IF($I1647="Phản ánh",INDEX('Phản ánh'!$K$6:$K$505,MATCH($C1647,'Phản ánh'!$A$6:$A$505,0))&amp;"",IF($I1647="Công việc",INDEX('Kế hoạch'!$N$6:$N$305,$O1647)&amp;"",""))</f>
      </c>
      <c r="L1647" s="220">
        <f>IF(OR($C1647="",N($B1647)=0),"",IF(AND($I1647="Phản ánh",$E1647="Đã xử lý"),INDEX('Phản ánh'!$U$6:$U$505,MATCH($C1647,'Phản ánh'!$A$6:$A$505,0)),IF(AND($I1647="Công việc",OR($E1647="Hoàn thành",$E1647="Hoàn thành kỳ")),IF(INDEX('Kế hoạch'!$B$6:$B$305,$O1647)="Đột xuất",INDEX('Kế hoạch'!$AY$6:$AY$305,$O1647),IF(N($P1647)=0,"",IF(INT($B1647)&lt;$P1647,$P1647,IF($Q1647&gt;0,$P1647+ROUND((INT($B1647)-$P1647)/$Q1647,0)*$Q1647,IF($R1647&gt;0,EDATE($P1647,ROUND((DATEDIF($P1647,INT($B1647),"m")+(INT($B1647)-EDATE($P1647,DATEDIF($P1647,INT($B1647),"m")))/(EDATE($P1647,DATEDIF($P1647,INT($B1647),"m")+1)-EDATE($P1647,DATEDIF($P1647,INT($B1647),"m"))))/$R1647,0)*$R1647),$P1647))))),"")))</f>
      </c>
      <c r="M1647" s="223">
        <f>IF(OR($C1647="",N($L1647)=0,N($B1647)=0),"",IF(IF(MOD($L1647,1)=0,INT($B1647),$B1647)&lt;=$L1647,"Đúng hạn","Trễ hạn"))</f>
      </c>
      <c r="N1647" s="225">
        <f>IF($C1647="","",ROW())</f>
      </c>
      <c r="O1647" s="225">
        <f>IF($I1647="Công việc",MATCH($C1647,'Kế hoạch'!$A$6:$A$305,0),"")</f>
      </c>
      <c r="P1647" s="234">
        <f>IF($O1647="","",INDEX('Kế hoạch'!$I$6:$I$305,$O1647))</f>
      </c>
      <c r="Q1647" s="225">
        <f>IF($O1647="","",INDEX('Kế hoạch'!$AJ$6:$AJ$305,$O1647))</f>
      </c>
      <c r="R1647" s="225">
        <f>IF($O1647="","",INDEX('Kế hoạch'!$AK$6:$AK$305,$O1647))</f>
      </c>
    </row>
    <row r="1648">
      <c r="A1648" s="223">
        <f>IF($C1648="","",COUNTIF($C$6:$C1648,"?*"))</f>
      </c>
      <c r="B1648" s="217"/>
      <c r="C1648" s="216"/>
      <c r="D1648" s="240"/>
      <c r="E1648" s="218"/>
      <c r="F1648" s="218"/>
      <c r="G1648" s="218"/>
      <c r="H1648" s="219"/>
      <c r="I1648" s="223">
        <f>IF($C1648="","",IF(ISNUMBER(MATCH($C1648,'Phản ánh'!$A$6:$A$505,0)),"Phản ánh",IF(ISNUMBER(MATCH($C1648,'Kế hoạch'!$A$6:$A$305,0)),"Công việc","Mã chưa có")))</f>
      </c>
      <c r="J1648" s="221">
        <f>IF($I1648="Phản ánh",INDEX('Phản ánh'!$C$6:$C$505,MATCH($C1648,'Phản ánh'!$A$6:$A$505,0)),IF($I1648="Công việc",INDEX('Kế hoạch'!$C$6:$C$305,$O1648),""))</f>
      </c>
      <c r="K1648" s="221">
        <f>IF($I1648="Phản ánh",INDEX('Phản ánh'!$K$6:$K$505,MATCH($C1648,'Phản ánh'!$A$6:$A$505,0))&amp;"",IF($I1648="Công việc",INDEX('Kế hoạch'!$N$6:$N$305,$O1648)&amp;"",""))</f>
      </c>
      <c r="L1648" s="220">
        <f>IF(OR($C1648="",N($B1648)=0),"",IF(AND($I1648="Phản ánh",$E1648="Đã xử lý"),INDEX('Phản ánh'!$U$6:$U$505,MATCH($C1648,'Phản ánh'!$A$6:$A$505,0)),IF(AND($I1648="Công việc",OR($E1648="Hoàn thành",$E1648="Hoàn thành kỳ")),IF(INDEX('Kế hoạch'!$B$6:$B$305,$O1648)="Đột xuất",INDEX('Kế hoạch'!$AY$6:$AY$305,$O1648),IF(N($P1648)=0,"",IF(INT($B1648)&lt;$P1648,$P1648,IF($Q1648&gt;0,$P1648+ROUND((INT($B1648)-$P1648)/$Q1648,0)*$Q1648,IF($R1648&gt;0,EDATE($P1648,ROUND((DATEDIF($P1648,INT($B1648),"m")+(INT($B1648)-EDATE($P1648,DATEDIF($P1648,INT($B1648),"m")))/(EDATE($P1648,DATEDIF($P1648,INT($B1648),"m")+1)-EDATE($P1648,DATEDIF($P1648,INT($B1648),"m"))))/$R1648,0)*$R1648),$P1648))))),"")))</f>
      </c>
      <c r="M1648" s="223">
        <f>IF(OR($C1648="",N($L1648)=0,N($B1648)=0),"",IF(IF(MOD($L1648,1)=0,INT($B1648),$B1648)&lt;=$L1648,"Đúng hạn","Trễ hạn"))</f>
      </c>
      <c r="N1648" s="225">
        <f>IF($C1648="","",ROW())</f>
      </c>
      <c r="O1648" s="225">
        <f>IF($I1648="Công việc",MATCH($C1648,'Kế hoạch'!$A$6:$A$305,0),"")</f>
      </c>
      <c r="P1648" s="234">
        <f>IF($O1648="","",INDEX('Kế hoạch'!$I$6:$I$305,$O1648))</f>
      </c>
      <c r="Q1648" s="225">
        <f>IF($O1648="","",INDEX('Kế hoạch'!$AJ$6:$AJ$305,$O1648))</f>
      </c>
      <c r="R1648" s="225">
        <f>IF($O1648="","",INDEX('Kế hoạch'!$AK$6:$AK$305,$O1648))</f>
      </c>
    </row>
    <row r="1649">
      <c r="A1649" s="223">
        <f>IF($C1649="","",COUNTIF($C$6:$C1649,"?*"))</f>
      </c>
      <c r="B1649" s="217"/>
      <c r="C1649" s="216"/>
      <c r="D1649" s="240"/>
      <c r="E1649" s="218"/>
      <c r="F1649" s="218"/>
      <c r="G1649" s="218"/>
      <c r="H1649" s="219"/>
      <c r="I1649" s="223">
        <f>IF($C1649="","",IF(ISNUMBER(MATCH($C1649,'Phản ánh'!$A$6:$A$505,0)),"Phản ánh",IF(ISNUMBER(MATCH($C1649,'Kế hoạch'!$A$6:$A$305,0)),"Công việc","Mã chưa có")))</f>
      </c>
      <c r="J1649" s="221">
        <f>IF($I1649="Phản ánh",INDEX('Phản ánh'!$C$6:$C$505,MATCH($C1649,'Phản ánh'!$A$6:$A$505,0)),IF($I1649="Công việc",INDEX('Kế hoạch'!$C$6:$C$305,$O1649),""))</f>
      </c>
      <c r="K1649" s="221">
        <f>IF($I1649="Phản ánh",INDEX('Phản ánh'!$K$6:$K$505,MATCH($C1649,'Phản ánh'!$A$6:$A$505,0))&amp;"",IF($I1649="Công việc",INDEX('Kế hoạch'!$N$6:$N$305,$O1649)&amp;"",""))</f>
      </c>
      <c r="L1649" s="220">
        <f>IF(OR($C1649="",N($B1649)=0),"",IF(AND($I1649="Phản ánh",$E1649="Đã xử lý"),INDEX('Phản ánh'!$U$6:$U$505,MATCH($C1649,'Phản ánh'!$A$6:$A$505,0)),IF(AND($I1649="Công việc",OR($E1649="Hoàn thành",$E1649="Hoàn thành kỳ")),IF(INDEX('Kế hoạch'!$B$6:$B$305,$O1649)="Đột xuất",INDEX('Kế hoạch'!$AY$6:$AY$305,$O1649),IF(N($P1649)=0,"",IF(INT($B1649)&lt;$P1649,$P1649,IF($Q1649&gt;0,$P1649+ROUND((INT($B1649)-$P1649)/$Q1649,0)*$Q1649,IF($R1649&gt;0,EDATE($P1649,ROUND((DATEDIF($P1649,INT($B1649),"m")+(INT($B1649)-EDATE($P1649,DATEDIF($P1649,INT($B1649),"m")))/(EDATE($P1649,DATEDIF($P1649,INT($B1649),"m")+1)-EDATE($P1649,DATEDIF($P1649,INT($B1649),"m"))))/$R1649,0)*$R1649),$P1649))))),"")))</f>
      </c>
      <c r="M1649" s="223">
        <f>IF(OR($C1649="",N($L1649)=0,N($B1649)=0),"",IF(IF(MOD($L1649,1)=0,INT($B1649),$B1649)&lt;=$L1649,"Đúng hạn","Trễ hạn"))</f>
      </c>
      <c r="N1649" s="225">
        <f>IF($C1649="","",ROW())</f>
      </c>
      <c r="O1649" s="225">
        <f>IF($I1649="Công việc",MATCH($C1649,'Kế hoạch'!$A$6:$A$305,0),"")</f>
      </c>
      <c r="P1649" s="234">
        <f>IF($O1649="","",INDEX('Kế hoạch'!$I$6:$I$305,$O1649))</f>
      </c>
      <c r="Q1649" s="225">
        <f>IF($O1649="","",INDEX('Kế hoạch'!$AJ$6:$AJ$305,$O1649))</f>
      </c>
      <c r="R1649" s="225">
        <f>IF($O1649="","",INDEX('Kế hoạch'!$AK$6:$AK$305,$O1649))</f>
      </c>
    </row>
    <row r="1650">
      <c r="A1650" s="223">
        <f>IF($C1650="","",COUNTIF($C$6:$C1650,"?*"))</f>
      </c>
      <c r="B1650" s="217"/>
      <c r="C1650" s="216"/>
      <c r="D1650" s="240"/>
      <c r="E1650" s="218"/>
      <c r="F1650" s="218"/>
      <c r="G1650" s="218"/>
      <c r="H1650" s="219"/>
      <c r="I1650" s="223">
        <f>IF($C1650="","",IF(ISNUMBER(MATCH($C1650,'Phản ánh'!$A$6:$A$505,0)),"Phản ánh",IF(ISNUMBER(MATCH($C1650,'Kế hoạch'!$A$6:$A$305,0)),"Công việc","Mã chưa có")))</f>
      </c>
      <c r="J1650" s="221">
        <f>IF($I1650="Phản ánh",INDEX('Phản ánh'!$C$6:$C$505,MATCH($C1650,'Phản ánh'!$A$6:$A$505,0)),IF($I1650="Công việc",INDEX('Kế hoạch'!$C$6:$C$305,$O1650),""))</f>
      </c>
      <c r="K1650" s="221">
        <f>IF($I1650="Phản ánh",INDEX('Phản ánh'!$K$6:$K$505,MATCH($C1650,'Phản ánh'!$A$6:$A$505,0))&amp;"",IF($I1650="Công việc",INDEX('Kế hoạch'!$N$6:$N$305,$O1650)&amp;"",""))</f>
      </c>
      <c r="L1650" s="220">
        <f>IF(OR($C1650="",N($B1650)=0),"",IF(AND($I1650="Phản ánh",$E1650="Đã xử lý"),INDEX('Phản ánh'!$U$6:$U$505,MATCH($C1650,'Phản ánh'!$A$6:$A$505,0)),IF(AND($I1650="Công việc",OR($E1650="Hoàn thành",$E1650="Hoàn thành kỳ")),IF(INDEX('Kế hoạch'!$B$6:$B$305,$O1650)="Đột xuất",INDEX('Kế hoạch'!$AY$6:$AY$305,$O1650),IF(N($P1650)=0,"",IF(INT($B1650)&lt;$P1650,$P1650,IF($Q1650&gt;0,$P1650+ROUND((INT($B1650)-$P1650)/$Q1650,0)*$Q1650,IF($R1650&gt;0,EDATE($P1650,ROUND((DATEDIF($P1650,INT($B1650),"m")+(INT($B1650)-EDATE($P1650,DATEDIF($P1650,INT($B1650),"m")))/(EDATE($P1650,DATEDIF($P1650,INT($B1650),"m")+1)-EDATE($P1650,DATEDIF($P1650,INT($B1650),"m"))))/$R1650,0)*$R1650),$P1650))))),"")))</f>
      </c>
      <c r="M1650" s="223">
        <f>IF(OR($C1650="",N($L1650)=0,N($B1650)=0),"",IF(IF(MOD($L1650,1)=0,INT($B1650),$B1650)&lt;=$L1650,"Đúng hạn","Trễ hạn"))</f>
      </c>
      <c r="N1650" s="225">
        <f>IF($C1650="","",ROW())</f>
      </c>
      <c r="O1650" s="225">
        <f>IF($I1650="Công việc",MATCH($C1650,'Kế hoạch'!$A$6:$A$305,0),"")</f>
      </c>
      <c r="P1650" s="234">
        <f>IF($O1650="","",INDEX('Kế hoạch'!$I$6:$I$305,$O1650))</f>
      </c>
      <c r="Q1650" s="225">
        <f>IF($O1650="","",INDEX('Kế hoạch'!$AJ$6:$AJ$305,$O1650))</f>
      </c>
      <c r="R1650" s="225">
        <f>IF($O1650="","",INDEX('Kế hoạch'!$AK$6:$AK$305,$O1650))</f>
      </c>
    </row>
    <row r="1651">
      <c r="A1651" s="223">
        <f>IF($C1651="","",COUNTIF($C$6:$C1651,"?*"))</f>
      </c>
      <c r="B1651" s="217"/>
      <c r="C1651" s="216"/>
      <c r="D1651" s="240"/>
      <c r="E1651" s="218"/>
      <c r="F1651" s="218"/>
      <c r="G1651" s="218"/>
      <c r="H1651" s="219"/>
      <c r="I1651" s="223">
        <f>IF($C1651="","",IF(ISNUMBER(MATCH($C1651,'Phản ánh'!$A$6:$A$505,0)),"Phản ánh",IF(ISNUMBER(MATCH($C1651,'Kế hoạch'!$A$6:$A$305,0)),"Công việc","Mã chưa có")))</f>
      </c>
      <c r="J1651" s="221">
        <f>IF($I1651="Phản ánh",INDEX('Phản ánh'!$C$6:$C$505,MATCH($C1651,'Phản ánh'!$A$6:$A$505,0)),IF($I1651="Công việc",INDEX('Kế hoạch'!$C$6:$C$305,$O1651),""))</f>
      </c>
      <c r="K1651" s="221">
        <f>IF($I1651="Phản ánh",INDEX('Phản ánh'!$K$6:$K$505,MATCH($C1651,'Phản ánh'!$A$6:$A$505,0))&amp;"",IF($I1651="Công việc",INDEX('Kế hoạch'!$N$6:$N$305,$O1651)&amp;"",""))</f>
      </c>
      <c r="L1651" s="220">
        <f>IF(OR($C1651="",N($B1651)=0),"",IF(AND($I1651="Phản ánh",$E1651="Đã xử lý"),INDEX('Phản ánh'!$U$6:$U$505,MATCH($C1651,'Phản ánh'!$A$6:$A$505,0)),IF(AND($I1651="Công việc",OR($E1651="Hoàn thành",$E1651="Hoàn thành kỳ")),IF(INDEX('Kế hoạch'!$B$6:$B$305,$O1651)="Đột xuất",INDEX('Kế hoạch'!$AY$6:$AY$305,$O1651),IF(N($P1651)=0,"",IF(INT($B1651)&lt;$P1651,$P1651,IF($Q1651&gt;0,$P1651+ROUND((INT($B1651)-$P1651)/$Q1651,0)*$Q1651,IF($R1651&gt;0,EDATE($P1651,ROUND((DATEDIF($P1651,INT($B1651),"m")+(INT($B1651)-EDATE($P1651,DATEDIF($P1651,INT($B1651),"m")))/(EDATE($P1651,DATEDIF($P1651,INT($B1651),"m")+1)-EDATE($P1651,DATEDIF($P1651,INT($B1651),"m"))))/$R1651,0)*$R1651),$P1651))))),"")))</f>
      </c>
      <c r="M1651" s="223">
        <f>IF(OR($C1651="",N($L1651)=0,N($B1651)=0),"",IF(IF(MOD($L1651,1)=0,INT($B1651),$B1651)&lt;=$L1651,"Đúng hạn","Trễ hạn"))</f>
      </c>
      <c r="N1651" s="225">
        <f>IF($C1651="","",ROW())</f>
      </c>
      <c r="O1651" s="225">
        <f>IF($I1651="Công việc",MATCH($C1651,'Kế hoạch'!$A$6:$A$305,0),"")</f>
      </c>
      <c r="P1651" s="234">
        <f>IF($O1651="","",INDEX('Kế hoạch'!$I$6:$I$305,$O1651))</f>
      </c>
      <c r="Q1651" s="225">
        <f>IF($O1651="","",INDEX('Kế hoạch'!$AJ$6:$AJ$305,$O1651))</f>
      </c>
      <c r="R1651" s="225">
        <f>IF($O1651="","",INDEX('Kế hoạch'!$AK$6:$AK$305,$O1651))</f>
      </c>
    </row>
    <row r="1652">
      <c r="A1652" s="223">
        <f>IF($C1652="","",COUNTIF($C$6:$C1652,"?*"))</f>
      </c>
      <c r="B1652" s="217"/>
      <c r="C1652" s="216"/>
      <c r="D1652" s="240"/>
      <c r="E1652" s="218"/>
      <c r="F1652" s="218"/>
      <c r="G1652" s="218"/>
      <c r="H1652" s="219"/>
      <c r="I1652" s="223">
        <f>IF($C1652="","",IF(ISNUMBER(MATCH($C1652,'Phản ánh'!$A$6:$A$505,0)),"Phản ánh",IF(ISNUMBER(MATCH($C1652,'Kế hoạch'!$A$6:$A$305,0)),"Công việc","Mã chưa có")))</f>
      </c>
      <c r="J1652" s="221">
        <f>IF($I1652="Phản ánh",INDEX('Phản ánh'!$C$6:$C$505,MATCH($C1652,'Phản ánh'!$A$6:$A$505,0)),IF($I1652="Công việc",INDEX('Kế hoạch'!$C$6:$C$305,$O1652),""))</f>
      </c>
      <c r="K1652" s="221">
        <f>IF($I1652="Phản ánh",INDEX('Phản ánh'!$K$6:$K$505,MATCH($C1652,'Phản ánh'!$A$6:$A$505,0))&amp;"",IF($I1652="Công việc",INDEX('Kế hoạch'!$N$6:$N$305,$O1652)&amp;"",""))</f>
      </c>
      <c r="L1652" s="220">
        <f>IF(OR($C1652="",N($B1652)=0),"",IF(AND($I1652="Phản ánh",$E1652="Đã xử lý"),INDEX('Phản ánh'!$U$6:$U$505,MATCH($C1652,'Phản ánh'!$A$6:$A$505,0)),IF(AND($I1652="Công việc",OR($E1652="Hoàn thành",$E1652="Hoàn thành kỳ")),IF(INDEX('Kế hoạch'!$B$6:$B$305,$O1652)="Đột xuất",INDEX('Kế hoạch'!$AY$6:$AY$305,$O1652),IF(N($P1652)=0,"",IF(INT($B1652)&lt;$P1652,$P1652,IF($Q1652&gt;0,$P1652+ROUND((INT($B1652)-$P1652)/$Q1652,0)*$Q1652,IF($R1652&gt;0,EDATE($P1652,ROUND((DATEDIF($P1652,INT($B1652),"m")+(INT($B1652)-EDATE($P1652,DATEDIF($P1652,INT($B1652),"m")))/(EDATE($P1652,DATEDIF($P1652,INT($B1652),"m")+1)-EDATE($P1652,DATEDIF($P1652,INT($B1652),"m"))))/$R1652,0)*$R1652),$P1652))))),"")))</f>
      </c>
      <c r="M1652" s="223">
        <f>IF(OR($C1652="",N($L1652)=0,N($B1652)=0),"",IF(IF(MOD($L1652,1)=0,INT($B1652),$B1652)&lt;=$L1652,"Đúng hạn","Trễ hạn"))</f>
      </c>
      <c r="N1652" s="225">
        <f>IF($C1652="","",ROW())</f>
      </c>
      <c r="O1652" s="225">
        <f>IF($I1652="Công việc",MATCH($C1652,'Kế hoạch'!$A$6:$A$305,0),"")</f>
      </c>
      <c r="P1652" s="234">
        <f>IF($O1652="","",INDEX('Kế hoạch'!$I$6:$I$305,$O1652))</f>
      </c>
      <c r="Q1652" s="225">
        <f>IF($O1652="","",INDEX('Kế hoạch'!$AJ$6:$AJ$305,$O1652))</f>
      </c>
      <c r="R1652" s="225">
        <f>IF($O1652="","",INDEX('Kế hoạch'!$AK$6:$AK$305,$O1652))</f>
      </c>
    </row>
    <row r="1653">
      <c r="A1653" s="223">
        <f>IF($C1653="","",COUNTIF($C$6:$C1653,"?*"))</f>
      </c>
      <c r="B1653" s="217"/>
      <c r="C1653" s="216"/>
      <c r="D1653" s="240"/>
      <c r="E1653" s="218"/>
      <c r="F1653" s="218"/>
      <c r="G1653" s="218"/>
      <c r="H1653" s="219"/>
      <c r="I1653" s="223">
        <f>IF($C1653="","",IF(ISNUMBER(MATCH($C1653,'Phản ánh'!$A$6:$A$505,0)),"Phản ánh",IF(ISNUMBER(MATCH($C1653,'Kế hoạch'!$A$6:$A$305,0)),"Công việc","Mã chưa có")))</f>
      </c>
      <c r="J1653" s="221">
        <f>IF($I1653="Phản ánh",INDEX('Phản ánh'!$C$6:$C$505,MATCH($C1653,'Phản ánh'!$A$6:$A$505,0)),IF($I1653="Công việc",INDEX('Kế hoạch'!$C$6:$C$305,$O1653),""))</f>
      </c>
      <c r="K1653" s="221">
        <f>IF($I1653="Phản ánh",INDEX('Phản ánh'!$K$6:$K$505,MATCH($C1653,'Phản ánh'!$A$6:$A$505,0))&amp;"",IF($I1653="Công việc",INDEX('Kế hoạch'!$N$6:$N$305,$O1653)&amp;"",""))</f>
      </c>
      <c r="L1653" s="220">
        <f>IF(OR($C1653="",N($B1653)=0),"",IF(AND($I1653="Phản ánh",$E1653="Đã xử lý"),INDEX('Phản ánh'!$U$6:$U$505,MATCH($C1653,'Phản ánh'!$A$6:$A$505,0)),IF(AND($I1653="Công việc",OR($E1653="Hoàn thành",$E1653="Hoàn thành kỳ")),IF(INDEX('Kế hoạch'!$B$6:$B$305,$O1653)="Đột xuất",INDEX('Kế hoạch'!$AY$6:$AY$305,$O1653),IF(N($P1653)=0,"",IF(INT($B1653)&lt;$P1653,$P1653,IF($Q1653&gt;0,$P1653+ROUND((INT($B1653)-$P1653)/$Q1653,0)*$Q1653,IF($R1653&gt;0,EDATE($P1653,ROUND((DATEDIF($P1653,INT($B1653),"m")+(INT($B1653)-EDATE($P1653,DATEDIF($P1653,INT($B1653),"m")))/(EDATE($P1653,DATEDIF($P1653,INT($B1653),"m")+1)-EDATE($P1653,DATEDIF($P1653,INT($B1653),"m"))))/$R1653,0)*$R1653),$P1653))))),"")))</f>
      </c>
      <c r="M1653" s="223">
        <f>IF(OR($C1653="",N($L1653)=0,N($B1653)=0),"",IF(IF(MOD($L1653,1)=0,INT($B1653),$B1653)&lt;=$L1653,"Đúng hạn","Trễ hạn"))</f>
      </c>
      <c r="N1653" s="225">
        <f>IF($C1653="","",ROW())</f>
      </c>
      <c r="O1653" s="225">
        <f>IF($I1653="Công việc",MATCH($C1653,'Kế hoạch'!$A$6:$A$305,0),"")</f>
      </c>
      <c r="P1653" s="234">
        <f>IF($O1653="","",INDEX('Kế hoạch'!$I$6:$I$305,$O1653))</f>
      </c>
      <c r="Q1653" s="225">
        <f>IF($O1653="","",INDEX('Kế hoạch'!$AJ$6:$AJ$305,$O1653))</f>
      </c>
      <c r="R1653" s="225">
        <f>IF($O1653="","",INDEX('Kế hoạch'!$AK$6:$AK$305,$O1653))</f>
      </c>
    </row>
    <row r="1654">
      <c r="A1654" s="223">
        <f>IF($C1654="","",COUNTIF($C$6:$C1654,"?*"))</f>
      </c>
      <c r="B1654" s="217"/>
      <c r="C1654" s="216"/>
      <c r="D1654" s="240"/>
      <c r="E1654" s="218"/>
      <c r="F1654" s="218"/>
      <c r="G1654" s="218"/>
      <c r="H1654" s="219"/>
      <c r="I1654" s="223">
        <f>IF($C1654="","",IF(ISNUMBER(MATCH($C1654,'Phản ánh'!$A$6:$A$505,0)),"Phản ánh",IF(ISNUMBER(MATCH($C1654,'Kế hoạch'!$A$6:$A$305,0)),"Công việc","Mã chưa có")))</f>
      </c>
      <c r="J1654" s="221">
        <f>IF($I1654="Phản ánh",INDEX('Phản ánh'!$C$6:$C$505,MATCH($C1654,'Phản ánh'!$A$6:$A$505,0)),IF($I1654="Công việc",INDEX('Kế hoạch'!$C$6:$C$305,$O1654),""))</f>
      </c>
      <c r="K1654" s="221">
        <f>IF($I1654="Phản ánh",INDEX('Phản ánh'!$K$6:$K$505,MATCH($C1654,'Phản ánh'!$A$6:$A$505,0))&amp;"",IF($I1654="Công việc",INDEX('Kế hoạch'!$N$6:$N$305,$O1654)&amp;"",""))</f>
      </c>
      <c r="L1654" s="220">
        <f>IF(OR($C1654="",N($B1654)=0),"",IF(AND($I1654="Phản ánh",$E1654="Đã xử lý"),INDEX('Phản ánh'!$U$6:$U$505,MATCH($C1654,'Phản ánh'!$A$6:$A$505,0)),IF(AND($I1654="Công việc",OR($E1654="Hoàn thành",$E1654="Hoàn thành kỳ")),IF(INDEX('Kế hoạch'!$B$6:$B$305,$O1654)="Đột xuất",INDEX('Kế hoạch'!$AY$6:$AY$305,$O1654),IF(N($P1654)=0,"",IF(INT($B1654)&lt;$P1654,$P1654,IF($Q1654&gt;0,$P1654+ROUND((INT($B1654)-$P1654)/$Q1654,0)*$Q1654,IF($R1654&gt;0,EDATE($P1654,ROUND((DATEDIF($P1654,INT($B1654),"m")+(INT($B1654)-EDATE($P1654,DATEDIF($P1654,INT($B1654),"m")))/(EDATE($P1654,DATEDIF($P1654,INT($B1654),"m")+1)-EDATE($P1654,DATEDIF($P1654,INT($B1654),"m"))))/$R1654,0)*$R1654),$P1654))))),"")))</f>
      </c>
      <c r="M1654" s="223">
        <f>IF(OR($C1654="",N($L1654)=0,N($B1654)=0),"",IF(IF(MOD($L1654,1)=0,INT($B1654),$B1654)&lt;=$L1654,"Đúng hạn","Trễ hạn"))</f>
      </c>
      <c r="N1654" s="225">
        <f>IF($C1654="","",ROW())</f>
      </c>
      <c r="O1654" s="225">
        <f>IF($I1654="Công việc",MATCH($C1654,'Kế hoạch'!$A$6:$A$305,0),"")</f>
      </c>
      <c r="P1654" s="234">
        <f>IF($O1654="","",INDEX('Kế hoạch'!$I$6:$I$305,$O1654))</f>
      </c>
      <c r="Q1654" s="225">
        <f>IF($O1654="","",INDEX('Kế hoạch'!$AJ$6:$AJ$305,$O1654))</f>
      </c>
      <c r="R1654" s="225">
        <f>IF($O1654="","",INDEX('Kế hoạch'!$AK$6:$AK$305,$O1654))</f>
      </c>
    </row>
    <row r="1655">
      <c r="A1655" s="223">
        <f>IF($C1655="","",COUNTIF($C$6:$C1655,"?*"))</f>
      </c>
      <c r="B1655" s="217"/>
      <c r="C1655" s="216"/>
      <c r="D1655" s="240"/>
      <c r="E1655" s="218"/>
      <c r="F1655" s="218"/>
      <c r="G1655" s="218"/>
      <c r="H1655" s="219"/>
      <c r="I1655" s="223">
        <f>IF($C1655="","",IF(ISNUMBER(MATCH($C1655,'Phản ánh'!$A$6:$A$505,0)),"Phản ánh",IF(ISNUMBER(MATCH($C1655,'Kế hoạch'!$A$6:$A$305,0)),"Công việc","Mã chưa có")))</f>
      </c>
      <c r="J1655" s="221">
        <f>IF($I1655="Phản ánh",INDEX('Phản ánh'!$C$6:$C$505,MATCH($C1655,'Phản ánh'!$A$6:$A$505,0)),IF($I1655="Công việc",INDEX('Kế hoạch'!$C$6:$C$305,$O1655),""))</f>
      </c>
      <c r="K1655" s="221">
        <f>IF($I1655="Phản ánh",INDEX('Phản ánh'!$K$6:$K$505,MATCH($C1655,'Phản ánh'!$A$6:$A$505,0))&amp;"",IF($I1655="Công việc",INDEX('Kế hoạch'!$N$6:$N$305,$O1655)&amp;"",""))</f>
      </c>
      <c r="L1655" s="220">
        <f>IF(OR($C1655="",N($B1655)=0),"",IF(AND($I1655="Phản ánh",$E1655="Đã xử lý"),INDEX('Phản ánh'!$U$6:$U$505,MATCH($C1655,'Phản ánh'!$A$6:$A$505,0)),IF(AND($I1655="Công việc",OR($E1655="Hoàn thành",$E1655="Hoàn thành kỳ")),IF(INDEX('Kế hoạch'!$B$6:$B$305,$O1655)="Đột xuất",INDEX('Kế hoạch'!$AY$6:$AY$305,$O1655),IF(N($P1655)=0,"",IF(INT($B1655)&lt;$P1655,$P1655,IF($Q1655&gt;0,$P1655+ROUND((INT($B1655)-$P1655)/$Q1655,0)*$Q1655,IF($R1655&gt;0,EDATE($P1655,ROUND((DATEDIF($P1655,INT($B1655),"m")+(INT($B1655)-EDATE($P1655,DATEDIF($P1655,INT($B1655),"m")))/(EDATE($P1655,DATEDIF($P1655,INT($B1655),"m")+1)-EDATE($P1655,DATEDIF($P1655,INT($B1655),"m"))))/$R1655,0)*$R1655),$P1655))))),"")))</f>
      </c>
      <c r="M1655" s="223">
        <f>IF(OR($C1655="",N($L1655)=0,N($B1655)=0),"",IF(IF(MOD($L1655,1)=0,INT($B1655),$B1655)&lt;=$L1655,"Đúng hạn","Trễ hạn"))</f>
      </c>
      <c r="N1655" s="225">
        <f>IF($C1655="","",ROW())</f>
      </c>
      <c r="O1655" s="225">
        <f>IF($I1655="Công việc",MATCH($C1655,'Kế hoạch'!$A$6:$A$305,0),"")</f>
      </c>
      <c r="P1655" s="234">
        <f>IF($O1655="","",INDEX('Kế hoạch'!$I$6:$I$305,$O1655))</f>
      </c>
      <c r="Q1655" s="225">
        <f>IF($O1655="","",INDEX('Kế hoạch'!$AJ$6:$AJ$305,$O1655))</f>
      </c>
      <c r="R1655" s="225">
        <f>IF($O1655="","",INDEX('Kế hoạch'!$AK$6:$AK$305,$O1655))</f>
      </c>
    </row>
    <row r="1656">
      <c r="A1656" s="223">
        <f>IF($C1656="","",COUNTIF($C$6:$C1656,"?*"))</f>
      </c>
      <c r="B1656" s="217"/>
      <c r="C1656" s="216"/>
      <c r="D1656" s="240"/>
      <c r="E1656" s="218"/>
      <c r="F1656" s="218"/>
      <c r="G1656" s="218"/>
      <c r="H1656" s="219"/>
      <c r="I1656" s="223">
        <f>IF($C1656="","",IF(ISNUMBER(MATCH($C1656,'Phản ánh'!$A$6:$A$505,0)),"Phản ánh",IF(ISNUMBER(MATCH($C1656,'Kế hoạch'!$A$6:$A$305,0)),"Công việc","Mã chưa có")))</f>
      </c>
      <c r="J1656" s="221">
        <f>IF($I1656="Phản ánh",INDEX('Phản ánh'!$C$6:$C$505,MATCH($C1656,'Phản ánh'!$A$6:$A$505,0)),IF($I1656="Công việc",INDEX('Kế hoạch'!$C$6:$C$305,$O1656),""))</f>
      </c>
      <c r="K1656" s="221">
        <f>IF($I1656="Phản ánh",INDEX('Phản ánh'!$K$6:$K$505,MATCH($C1656,'Phản ánh'!$A$6:$A$505,0))&amp;"",IF($I1656="Công việc",INDEX('Kế hoạch'!$N$6:$N$305,$O1656)&amp;"",""))</f>
      </c>
      <c r="L1656" s="220">
        <f>IF(OR($C1656="",N($B1656)=0),"",IF(AND($I1656="Phản ánh",$E1656="Đã xử lý"),INDEX('Phản ánh'!$U$6:$U$505,MATCH($C1656,'Phản ánh'!$A$6:$A$505,0)),IF(AND($I1656="Công việc",OR($E1656="Hoàn thành",$E1656="Hoàn thành kỳ")),IF(INDEX('Kế hoạch'!$B$6:$B$305,$O1656)="Đột xuất",INDEX('Kế hoạch'!$AY$6:$AY$305,$O1656),IF(N($P1656)=0,"",IF(INT($B1656)&lt;$P1656,$P1656,IF($Q1656&gt;0,$P1656+ROUND((INT($B1656)-$P1656)/$Q1656,0)*$Q1656,IF($R1656&gt;0,EDATE($P1656,ROUND((DATEDIF($P1656,INT($B1656),"m")+(INT($B1656)-EDATE($P1656,DATEDIF($P1656,INT($B1656),"m")))/(EDATE($P1656,DATEDIF($P1656,INT($B1656),"m")+1)-EDATE($P1656,DATEDIF($P1656,INT($B1656),"m"))))/$R1656,0)*$R1656),$P1656))))),"")))</f>
      </c>
      <c r="M1656" s="223">
        <f>IF(OR($C1656="",N($L1656)=0,N($B1656)=0),"",IF(IF(MOD($L1656,1)=0,INT($B1656),$B1656)&lt;=$L1656,"Đúng hạn","Trễ hạn"))</f>
      </c>
      <c r="N1656" s="225">
        <f>IF($C1656="","",ROW())</f>
      </c>
      <c r="O1656" s="225">
        <f>IF($I1656="Công việc",MATCH($C1656,'Kế hoạch'!$A$6:$A$305,0),"")</f>
      </c>
      <c r="P1656" s="234">
        <f>IF($O1656="","",INDEX('Kế hoạch'!$I$6:$I$305,$O1656))</f>
      </c>
      <c r="Q1656" s="225">
        <f>IF($O1656="","",INDEX('Kế hoạch'!$AJ$6:$AJ$305,$O1656))</f>
      </c>
      <c r="R1656" s="225">
        <f>IF($O1656="","",INDEX('Kế hoạch'!$AK$6:$AK$305,$O1656))</f>
      </c>
    </row>
    <row r="1657">
      <c r="A1657" s="223">
        <f>IF($C1657="","",COUNTIF($C$6:$C1657,"?*"))</f>
      </c>
      <c r="B1657" s="217"/>
      <c r="C1657" s="216"/>
      <c r="D1657" s="240"/>
      <c r="E1657" s="218"/>
      <c r="F1657" s="218"/>
      <c r="G1657" s="218"/>
      <c r="H1657" s="219"/>
      <c r="I1657" s="223">
        <f>IF($C1657="","",IF(ISNUMBER(MATCH($C1657,'Phản ánh'!$A$6:$A$505,0)),"Phản ánh",IF(ISNUMBER(MATCH($C1657,'Kế hoạch'!$A$6:$A$305,0)),"Công việc","Mã chưa có")))</f>
      </c>
      <c r="J1657" s="221">
        <f>IF($I1657="Phản ánh",INDEX('Phản ánh'!$C$6:$C$505,MATCH($C1657,'Phản ánh'!$A$6:$A$505,0)),IF($I1657="Công việc",INDEX('Kế hoạch'!$C$6:$C$305,$O1657),""))</f>
      </c>
      <c r="K1657" s="221">
        <f>IF($I1657="Phản ánh",INDEX('Phản ánh'!$K$6:$K$505,MATCH($C1657,'Phản ánh'!$A$6:$A$505,0))&amp;"",IF($I1657="Công việc",INDEX('Kế hoạch'!$N$6:$N$305,$O1657)&amp;"",""))</f>
      </c>
      <c r="L1657" s="220">
        <f>IF(OR($C1657="",N($B1657)=0),"",IF(AND($I1657="Phản ánh",$E1657="Đã xử lý"),INDEX('Phản ánh'!$U$6:$U$505,MATCH($C1657,'Phản ánh'!$A$6:$A$505,0)),IF(AND($I1657="Công việc",OR($E1657="Hoàn thành",$E1657="Hoàn thành kỳ")),IF(INDEX('Kế hoạch'!$B$6:$B$305,$O1657)="Đột xuất",INDEX('Kế hoạch'!$AY$6:$AY$305,$O1657),IF(N($P1657)=0,"",IF(INT($B1657)&lt;$P1657,$P1657,IF($Q1657&gt;0,$P1657+ROUND((INT($B1657)-$P1657)/$Q1657,0)*$Q1657,IF($R1657&gt;0,EDATE($P1657,ROUND((DATEDIF($P1657,INT($B1657),"m")+(INT($B1657)-EDATE($P1657,DATEDIF($P1657,INT($B1657),"m")))/(EDATE($P1657,DATEDIF($P1657,INT($B1657),"m")+1)-EDATE($P1657,DATEDIF($P1657,INT($B1657),"m"))))/$R1657,0)*$R1657),$P1657))))),"")))</f>
      </c>
      <c r="M1657" s="223">
        <f>IF(OR($C1657="",N($L1657)=0,N($B1657)=0),"",IF(IF(MOD($L1657,1)=0,INT($B1657),$B1657)&lt;=$L1657,"Đúng hạn","Trễ hạn"))</f>
      </c>
      <c r="N1657" s="225">
        <f>IF($C1657="","",ROW())</f>
      </c>
      <c r="O1657" s="225">
        <f>IF($I1657="Công việc",MATCH($C1657,'Kế hoạch'!$A$6:$A$305,0),"")</f>
      </c>
      <c r="P1657" s="234">
        <f>IF($O1657="","",INDEX('Kế hoạch'!$I$6:$I$305,$O1657))</f>
      </c>
      <c r="Q1657" s="225">
        <f>IF($O1657="","",INDEX('Kế hoạch'!$AJ$6:$AJ$305,$O1657))</f>
      </c>
      <c r="R1657" s="225">
        <f>IF($O1657="","",INDEX('Kế hoạch'!$AK$6:$AK$305,$O1657))</f>
      </c>
    </row>
    <row r="1658">
      <c r="A1658" s="223">
        <f>IF($C1658="","",COUNTIF($C$6:$C1658,"?*"))</f>
      </c>
      <c r="B1658" s="217"/>
      <c r="C1658" s="216"/>
      <c r="D1658" s="240"/>
      <c r="E1658" s="218"/>
      <c r="F1658" s="218"/>
      <c r="G1658" s="218"/>
      <c r="H1658" s="219"/>
      <c r="I1658" s="223">
        <f>IF($C1658="","",IF(ISNUMBER(MATCH($C1658,'Phản ánh'!$A$6:$A$505,0)),"Phản ánh",IF(ISNUMBER(MATCH($C1658,'Kế hoạch'!$A$6:$A$305,0)),"Công việc","Mã chưa có")))</f>
      </c>
      <c r="J1658" s="221">
        <f>IF($I1658="Phản ánh",INDEX('Phản ánh'!$C$6:$C$505,MATCH($C1658,'Phản ánh'!$A$6:$A$505,0)),IF($I1658="Công việc",INDEX('Kế hoạch'!$C$6:$C$305,$O1658),""))</f>
      </c>
      <c r="K1658" s="221">
        <f>IF($I1658="Phản ánh",INDEX('Phản ánh'!$K$6:$K$505,MATCH($C1658,'Phản ánh'!$A$6:$A$505,0))&amp;"",IF($I1658="Công việc",INDEX('Kế hoạch'!$N$6:$N$305,$O1658)&amp;"",""))</f>
      </c>
      <c r="L1658" s="220">
        <f>IF(OR($C1658="",N($B1658)=0),"",IF(AND($I1658="Phản ánh",$E1658="Đã xử lý"),INDEX('Phản ánh'!$U$6:$U$505,MATCH($C1658,'Phản ánh'!$A$6:$A$505,0)),IF(AND($I1658="Công việc",OR($E1658="Hoàn thành",$E1658="Hoàn thành kỳ")),IF(INDEX('Kế hoạch'!$B$6:$B$305,$O1658)="Đột xuất",INDEX('Kế hoạch'!$AY$6:$AY$305,$O1658),IF(N($P1658)=0,"",IF(INT($B1658)&lt;$P1658,$P1658,IF($Q1658&gt;0,$P1658+ROUND((INT($B1658)-$P1658)/$Q1658,0)*$Q1658,IF($R1658&gt;0,EDATE($P1658,ROUND((DATEDIF($P1658,INT($B1658),"m")+(INT($B1658)-EDATE($P1658,DATEDIF($P1658,INT($B1658),"m")))/(EDATE($P1658,DATEDIF($P1658,INT($B1658),"m")+1)-EDATE($P1658,DATEDIF($P1658,INT($B1658),"m"))))/$R1658,0)*$R1658),$P1658))))),"")))</f>
      </c>
      <c r="M1658" s="223">
        <f>IF(OR($C1658="",N($L1658)=0,N($B1658)=0),"",IF(IF(MOD($L1658,1)=0,INT($B1658),$B1658)&lt;=$L1658,"Đúng hạn","Trễ hạn"))</f>
      </c>
      <c r="N1658" s="225">
        <f>IF($C1658="","",ROW())</f>
      </c>
      <c r="O1658" s="225">
        <f>IF($I1658="Công việc",MATCH($C1658,'Kế hoạch'!$A$6:$A$305,0),"")</f>
      </c>
      <c r="P1658" s="234">
        <f>IF($O1658="","",INDEX('Kế hoạch'!$I$6:$I$305,$O1658))</f>
      </c>
      <c r="Q1658" s="225">
        <f>IF($O1658="","",INDEX('Kế hoạch'!$AJ$6:$AJ$305,$O1658))</f>
      </c>
      <c r="R1658" s="225">
        <f>IF($O1658="","",INDEX('Kế hoạch'!$AK$6:$AK$305,$O1658))</f>
      </c>
    </row>
    <row r="1659">
      <c r="A1659" s="223">
        <f>IF($C1659="","",COUNTIF($C$6:$C1659,"?*"))</f>
      </c>
      <c r="B1659" s="217"/>
      <c r="C1659" s="216"/>
      <c r="D1659" s="240"/>
      <c r="E1659" s="218"/>
      <c r="F1659" s="218"/>
      <c r="G1659" s="218"/>
      <c r="H1659" s="219"/>
      <c r="I1659" s="223">
        <f>IF($C1659="","",IF(ISNUMBER(MATCH($C1659,'Phản ánh'!$A$6:$A$505,0)),"Phản ánh",IF(ISNUMBER(MATCH($C1659,'Kế hoạch'!$A$6:$A$305,0)),"Công việc","Mã chưa có")))</f>
      </c>
      <c r="J1659" s="221">
        <f>IF($I1659="Phản ánh",INDEX('Phản ánh'!$C$6:$C$505,MATCH($C1659,'Phản ánh'!$A$6:$A$505,0)),IF($I1659="Công việc",INDEX('Kế hoạch'!$C$6:$C$305,$O1659),""))</f>
      </c>
      <c r="K1659" s="221">
        <f>IF($I1659="Phản ánh",INDEX('Phản ánh'!$K$6:$K$505,MATCH($C1659,'Phản ánh'!$A$6:$A$505,0))&amp;"",IF($I1659="Công việc",INDEX('Kế hoạch'!$N$6:$N$305,$O1659)&amp;"",""))</f>
      </c>
      <c r="L1659" s="220">
        <f>IF(OR($C1659="",N($B1659)=0),"",IF(AND($I1659="Phản ánh",$E1659="Đã xử lý"),INDEX('Phản ánh'!$U$6:$U$505,MATCH($C1659,'Phản ánh'!$A$6:$A$505,0)),IF(AND($I1659="Công việc",OR($E1659="Hoàn thành",$E1659="Hoàn thành kỳ")),IF(INDEX('Kế hoạch'!$B$6:$B$305,$O1659)="Đột xuất",INDEX('Kế hoạch'!$AY$6:$AY$305,$O1659),IF(N($P1659)=0,"",IF(INT($B1659)&lt;$P1659,$P1659,IF($Q1659&gt;0,$P1659+ROUND((INT($B1659)-$P1659)/$Q1659,0)*$Q1659,IF($R1659&gt;0,EDATE($P1659,ROUND((DATEDIF($P1659,INT($B1659),"m")+(INT($B1659)-EDATE($P1659,DATEDIF($P1659,INT($B1659),"m")))/(EDATE($P1659,DATEDIF($P1659,INT($B1659),"m")+1)-EDATE($P1659,DATEDIF($P1659,INT($B1659),"m"))))/$R1659,0)*$R1659),$P1659))))),"")))</f>
      </c>
      <c r="M1659" s="223">
        <f>IF(OR($C1659="",N($L1659)=0,N($B1659)=0),"",IF(IF(MOD($L1659,1)=0,INT($B1659),$B1659)&lt;=$L1659,"Đúng hạn","Trễ hạn"))</f>
      </c>
      <c r="N1659" s="225">
        <f>IF($C1659="","",ROW())</f>
      </c>
      <c r="O1659" s="225">
        <f>IF($I1659="Công việc",MATCH($C1659,'Kế hoạch'!$A$6:$A$305,0),"")</f>
      </c>
      <c r="P1659" s="234">
        <f>IF($O1659="","",INDEX('Kế hoạch'!$I$6:$I$305,$O1659))</f>
      </c>
      <c r="Q1659" s="225">
        <f>IF($O1659="","",INDEX('Kế hoạch'!$AJ$6:$AJ$305,$O1659))</f>
      </c>
      <c r="R1659" s="225">
        <f>IF($O1659="","",INDEX('Kế hoạch'!$AK$6:$AK$305,$O1659))</f>
      </c>
    </row>
    <row r="1660">
      <c r="A1660" s="223">
        <f>IF($C1660="","",COUNTIF($C$6:$C1660,"?*"))</f>
      </c>
      <c r="B1660" s="217"/>
      <c r="C1660" s="216"/>
      <c r="D1660" s="240"/>
      <c r="E1660" s="218"/>
      <c r="F1660" s="218"/>
      <c r="G1660" s="218"/>
      <c r="H1660" s="219"/>
      <c r="I1660" s="223">
        <f>IF($C1660="","",IF(ISNUMBER(MATCH($C1660,'Phản ánh'!$A$6:$A$505,0)),"Phản ánh",IF(ISNUMBER(MATCH($C1660,'Kế hoạch'!$A$6:$A$305,0)),"Công việc","Mã chưa có")))</f>
      </c>
      <c r="J1660" s="221">
        <f>IF($I1660="Phản ánh",INDEX('Phản ánh'!$C$6:$C$505,MATCH($C1660,'Phản ánh'!$A$6:$A$505,0)),IF($I1660="Công việc",INDEX('Kế hoạch'!$C$6:$C$305,$O1660),""))</f>
      </c>
      <c r="K1660" s="221">
        <f>IF($I1660="Phản ánh",INDEX('Phản ánh'!$K$6:$K$505,MATCH($C1660,'Phản ánh'!$A$6:$A$505,0))&amp;"",IF($I1660="Công việc",INDEX('Kế hoạch'!$N$6:$N$305,$O1660)&amp;"",""))</f>
      </c>
      <c r="L1660" s="220">
        <f>IF(OR($C1660="",N($B1660)=0),"",IF(AND($I1660="Phản ánh",$E1660="Đã xử lý"),INDEX('Phản ánh'!$U$6:$U$505,MATCH($C1660,'Phản ánh'!$A$6:$A$505,0)),IF(AND($I1660="Công việc",OR($E1660="Hoàn thành",$E1660="Hoàn thành kỳ")),IF(INDEX('Kế hoạch'!$B$6:$B$305,$O1660)="Đột xuất",INDEX('Kế hoạch'!$AY$6:$AY$305,$O1660),IF(N($P1660)=0,"",IF(INT($B1660)&lt;$P1660,$P1660,IF($Q1660&gt;0,$P1660+ROUND((INT($B1660)-$P1660)/$Q1660,0)*$Q1660,IF($R1660&gt;0,EDATE($P1660,ROUND((DATEDIF($P1660,INT($B1660),"m")+(INT($B1660)-EDATE($P1660,DATEDIF($P1660,INT($B1660),"m")))/(EDATE($P1660,DATEDIF($P1660,INT($B1660),"m")+1)-EDATE($P1660,DATEDIF($P1660,INT($B1660),"m"))))/$R1660,0)*$R1660),$P1660))))),"")))</f>
      </c>
      <c r="M1660" s="223">
        <f>IF(OR($C1660="",N($L1660)=0,N($B1660)=0),"",IF(IF(MOD($L1660,1)=0,INT($B1660),$B1660)&lt;=$L1660,"Đúng hạn","Trễ hạn"))</f>
      </c>
      <c r="N1660" s="225">
        <f>IF($C1660="","",ROW())</f>
      </c>
      <c r="O1660" s="225">
        <f>IF($I1660="Công việc",MATCH($C1660,'Kế hoạch'!$A$6:$A$305,0),"")</f>
      </c>
      <c r="P1660" s="234">
        <f>IF($O1660="","",INDEX('Kế hoạch'!$I$6:$I$305,$O1660))</f>
      </c>
      <c r="Q1660" s="225">
        <f>IF($O1660="","",INDEX('Kế hoạch'!$AJ$6:$AJ$305,$O1660))</f>
      </c>
      <c r="R1660" s="225">
        <f>IF($O1660="","",INDEX('Kế hoạch'!$AK$6:$AK$305,$O1660))</f>
      </c>
    </row>
    <row r="1661">
      <c r="A1661" s="223">
        <f>IF($C1661="","",COUNTIF($C$6:$C1661,"?*"))</f>
      </c>
      <c r="B1661" s="217"/>
      <c r="C1661" s="216"/>
      <c r="D1661" s="240"/>
      <c r="E1661" s="218"/>
      <c r="F1661" s="218"/>
      <c r="G1661" s="218"/>
      <c r="H1661" s="219"/>
      <c r="I1661" s="223">
        <f>IF($C1661="","",IF(ISNUMBER(MATCH($C1661,'Phản ánh'!$A$6:$A$505,0)),"Phản ánh",IF(ISNUMBER(MATCH($C1661,'Kế hoạch'!$A$6:$A$305,0)),"Công việc","Mã chưa có")))</f>
      </c>
      <c r="J1661" s="221">
        <f>IF($I1661="Phản ánh",INDEX('Phản ánh'!$C$6:$C$505,MATCH($C1661,'Phản ánh'!$A$6:$A$505,0)),IF($I1661="Công việc",INDEX('Kế hoạch'!$C$6:$C$305,$O1661),""))</f>
      </c>
      <c r="K1661" s="221">
        <f>IF($I1661="Phản ánh",INDEX('Phản ánh'!$K$6:$K$505,MATCH($C1661,'Phản ánh'!$A$6:$A$505,0))&amp;"",IF($I1661="Công việc",INDEX('Kế hoạch'!$N$6:$N$305,$O1661)&amp;"",""))</f>
      </c>
      <c r="L1661" s="220">
        <f>IF(OR($C1661="",N($B1661)=0),"",IF(AND($I1661="Phản ánh",$E1661="Đã xử lý"),INDEX('Phản ánh'!$U$6:$U$505,MATCH($C1661,'Phản ánh'!$A$6:$A$505,0)),IF(AND($I1661="Công việc",OR($E1661="Hoàn thành",$E1661="Hoàn thành kỳ")),IF(INDEX('Kế hoạch'!$B$6:$B$305,$O1661)="Đột xuất",INDEX('Kế hoạch'!$AY$6:$AY$305,$O1661),IF(N($P1661)=0,"",IF(INT($B1661)&lt;$P1661,$P1661,IF($Q1661&gt;0,$P1661+ROUND((INT($B1661)-$P1661)/$Q1661,0)*$Q1661,IF($R1661&gt;0,EDATE($P1661,ROUND((DATEDIF($P1661,INT($B1661),"m")+(INT($B1661)-EDATE($P1661,DATEDIF($P1661,INT($B1661),"m")))/(EDATE($P1661,DATEDIF($P1661,INT($B1661),"m")+1)-EDATE($P1661,DATEDIF($P1661,INT($B1661),"m"))))/$R1661,0)*$R1661),$P1661))))),"")))</f>
      </c>
      <c r="M1661" s="223">
        <f>IF(OR($C1661="",N($L1661)=0,N($B1661)=0),"",IF(IF(MOD($L1661,1)=0,INT($B1661),$B1661)&lt;=$L1661,"Đúng hạn","Trễ hạn"))</f>
      </c>
      <c r="N1661" s="225">
        <f>IF($C1661="","",ROW())</f>
      </c>
      <c r="O1661" s="225">
        <f>IF($I1661="Công việc",MATCH($C1661,'Kế hoạch'!$A$6:$A$305,0),"")</f>
      </c>
      <c r="P1661" s="234">
        <f>IF($O1661="","",INDEX('Kế hoạch'!$I$6:$I$305,$O1661))</f>
      </c>
      <c r="Q1661" s="225">
        <f>IF($O1661="","",INDEX('Kế hoạch'!$AJ$6:$AJ$305,$O1661))</f>
      </c>
      <c r="R1661" s="225">
        <f>IF($O1661="","",INDEX('Kế hoạch'!$AK$6:$AK$305,$O1661))</f>
      </c>
    </row>
    <row r="1662">
      <c r="A1662" s="223">
        <f>IF($C1662="","",COUNTIF($C$6:$C1662,"?*"))</f>
      </c>
      <c r="B1662" s="217"/>
      <c r="C1662" s="216"/>
      <c r="D1662" s="240"/>
      <c r="E1662" s="218"/>
      <c r="F1662" s="218"/>
      <c r="G1662" s="218"/>
      <c r="H1662" s="219"/>
      <c r="I1662" s="223">
        <f>IF($C1662="","",IF(ISNUMBER(MATCH($C1662,'Phản ánh'!$A$6:$A$505,0)),"Phản ánh",IF(ISNUMBER(MATCH($C1662,'Kế hoạch'!$A$6:$A$305,0)),"Công việc","Mã chưa có")))</f>
      </c>
      <c r="J1662" s="221">
        <f>IF($I1662="Phản ánh",INDEX('Phản ánh'!$C$6:$C$505,MATCH($C1662,'Phản ánh'!$A$6:$A$505,0)),IF($I1662="Công việc",INDEX('Kế hoạch'!$C$6:$C$305,$O1662),""))</f>
      </c>
      <c r="K1662" s="221">
        <f>IF($I1662="Phản ánh",INDEX('Phản ánh'!$K$6:$K$505,MATCH($C1662,'Phản ánh'!$A$6:$A$505,0))&amp;"",IF($I1662="Công việc",INDEX('Kế hoạch'!$N$6:$N$305,$O1662)&amp;"",""))</f>
      </c>
      <c r="L1662" s="220">
        <f>IF(OR($C1662="",N($B1662)=0),"",IF(AND($I1662="Phản ánh",$E1662="Đã xử lý"),INDEX('Phản ánh'!$U$6:$U$505,MATCH($C1662,'Phản ánh'!$A$6:$A$505,0)),IF(AND($I1662="Công việc",OR($E1662="Hoàn thành",$E1662="Hoàn thành kỳ")),IF(INDEX('Kế hoạch'!$B$6:$B$305,$O1662)="Đột xuất",INDEX('Kế hoạch'!$AY$6:$AY$305,$O1662),IF(N($P1662)=0,"",IF(INT($B1662)&lt;$P1662,$P1662,IF($Q1662&gt;0,$P1662+ROUND((INT($B1662)-$P1662)/$Q1662,0)*$Q1662,IF($R1662&gt;0,EDATE($P1662,ROUND((DATEDIF($P1662,INT($B1662),"m")+(INT($B1662)-EDATE($P1662,DATEDIF($P1662,INT($B1662),"m")))/(EDATE($P1662,DATEDIF($P1662,INT($B1662),"m")+1)-EDATE($P1662,DATEDIF($P1662,INT($B1662),"m"))))/$R1662,0)*$R1662),$P1662))))),"")))</f>
      </c>
      <c r="M1662" s="223">
        <f>IF(OR($C1662="",N($L1662)=0,N($B1662)=0),"",IF(IF(MOD($L1662,1)=0,INT($B1662),$B1662)&lt;=$L1662,"Đúng hạn","Trễ hạn"))</f>
      </c>
      <c r="N1662" s="225">
        <f>IF($C1662="","",ROW())</f>
      </c>
      <c r="O1662" s="225">
        <f>IF($I1662="Công việc",MATCH($C1662,'Kế hoạch'!$A$6:$A$305,0),"")</f>
      </c>
      <c r="P1662" s="234">
        <f>IF($O1662="","",INDEX('Kế hoạch'!$I$6:$I$305,$O1662))</f>
      </c>
      <c r="Q1662" s="225">
        <f>IF($O1662="","",INDEX('Kế hoạch'!$AJ$6:$AJ$305,$O1662))</f>
      </c>
      <c r="R1662" s="225">
        <f>IF($O1662="","",INDEX('Kế hoạch'!$AK$6:$AK$305,$O1662))</f>
      </c>
    </row>
    <row r="1663">
      <c r="A1663" s="223">
        <f>IF($C1663="","",COUNTIF($C$6:$C1663,"?*"))</f>
      </c>
      <c r="B1663" s="217"/>
      <c r="C1663" s="216"/>
      <c r="D1663" s="240"/>
      <c r="E1663" s="218"/>
      <c r="F1663" s="218"/>
      <c r="G1663" s="218"/>
      <c r="H1663" s="219"/>
      <c r="I1663" s="223">
        <f>IF($C1663="","",IF(ISNUMBER(MATCH($C1663,'Phản ánh'!$A$6:$A$505,0)),"Phản ánh",IF(ISNUMBER(MATCH($C1663,'Kế hoạch'!$A$6:$A$305,0)),"Công việc","Mã chưa có")))</f>
      </c>
      <c r="J1663" s="221">
        <f>IF($I1663="Phản ánh",INDEX('Phản ánh'!$C$6:$C$505,MATCH($C1663,'Phản ánh'!$A$6:$A$505,0)),IF($I1663="Công việc",INDEX('Kế hoạch'!$C$6:$C$305,$O1663),""))</f>
      </c>
      <c r="K1663" s="221">
        <f>IF($I1663="Phản ánh",INDEX('Phản ánh'!$K$6:$K$505,MATCH($C1663,'Phản ánh'!$A$6:$A$505,0))&amp;"",IF($I1663="Công việc",INDEX('Kế hoạch'!$N$6:$N$305,$O1663)&amp;"",""))</f>
      </c>
      <c r="L1663" s="220">
        <f>IF(OR($C1663="",N($B1663)=0),"",IF(AND($I1663="Phản ánh",$E1663="Đã xử lý"),INDEX('Phản ánh'!$U$6:$U$505,MATCH($C1663,'Phản ánh'!$A$6:$A$505,0)),IF(AND($I1663="Công việc",OR($E1663="Hoàn thành",$E1663="Hoàn thành kỳ")),IF(INDEX('Kế hoạch'!$B$6:$B$305,$O1663)="Đột xuất",INDEX('Kế hoạch'!$AY$6:$AY$305,$O1663),IF(N($P1663)=0,"",IF(INT($B1663)&lt;$P1663,$P1663,IF($Q1663&gt;0,$P1663+ROUND((INT($B1663)-$P1663)/$Q1663,0)*$Q1663,IF($R1663&gt;0,EDATE($P1663,ROUND((DATEDIF($P1663,INT($B1663),"m")+(INT($B1663)-EDATE($P1663,DATEDIF($P1663,INT($B1663),"m")))/(EDATE($P1663,DATEDIF($P1663,INT($B1663),"m")+1)-EDATE($P1663,DATEDIF($P1663,INT($B1663),"m"))))/$R1663,0)*$R1663),$P1663))))),"")))</f>
      </c>
      <c r="M1663" s="223">
        <f>IF(OR($C1663="",N($L1663)=0,N($B1663)=0),"",IF(IF(MOD($L1663,1)=0,INT($B1663),$B1663)&lt;=$L1663,"Đúng hạn","Trễ hạn"))</f>
      </c>
      <c r="N1663" s="225">
        <f>IF($C1663="","",ROW())</f>
      </c>
      <c r="O1663" s="225">
        <f>IF($I1663="Công việc",MATCH($C1663,'Kế hoạch'!$A$6:$A$305,0),"")</f>
      </c>
      <c r="P1663" s="234">
        <f>IF($O1663="","",INDEX('Kế hoạch'!$I$6:$I$305,$O1663))</f>
      </c>
      <c r="Q1663" s="225">
        <f>IF($O1663="","",INDEX('Kế hoạch'!$AJ$6:$AJ$305,$O1663))</f>
      </c>
      <c r="R1663" s="225">
        <f>IF($O1663="","",INDEX('Kế hoạch'!$AK$6:$AK$305,$O1663))</f>
      </c>
    </row>
    <row r="1664">
      <c r="A1664" s="223">
        <f>IF($C1664="","",COUNTIF($C$6:$C1664,"?*"))</f>
      </c>
      <c r="B1664" s="217"/>
      <c r="C1664" s="216"/>
      <c r="D1664" s="240"/>
      <c r="E1664" s="218"/>
      <c r="F1664" s="218"/>
      <c r="G1664" s="218"/>
      <c r="H1664" s="219"/>
      <c r="I1664" s="223">
        <f>IF($C1664="","",IF(ISNUMBER(MATCH($C1664,'Phản ánh'!$A$6:$A$505,0)),"Phản ánh",IF(ISNUMBER(MATCH($C1664,'Kế hoạch'!$A$6:$A$305,0)),"Công việc","Mã chưa có")))</f>
      </c>
      <c r="J1664" s="221">
        <f>IF($I1664="Phản ánh",INDEX('Phản ánh'!$C$6:$C$505,MATCH($C1664,'Phản ánh'!$A$6:$A$505,0)),IF($I1664="Công việc",INDEX('Kế hoạch'!$C$6:$C$305,$O1664),""))</f>
      </c>
      <c r="K1664" s="221">
        <f>IF($I1664="Phản ánh",INDEX('Phản ánh'!$K$6:$K$505,MATCH($C1664,'Phản ánh'!$A$6:$A$505,0))&amp;"",IF($I1664="Công việc",INDEX('Kế hoạch'!$N$6:$N$305,$O1664)&amp;"",""))</f>
      </c>
      <c r="L1664" s="220">
        <f>IF(OR($C1664="",N($B1664)=0),"",IF(AND($I1664="Phản ánh",$E1664="Đã xử lý"),INDEX('Phản ánh'!$U$6:$U$505,MATCH($C1664,'Phản ánh'!$A$6:$A$505,0)),IF(AND($I1664="Công việc",OR($E1664="Hoàn thành",$E1664="Hoàn thành kỳ")),IF(INDEX('Kế hoạch'!$B$6:$B$305,$O1664)="Đột xuất",INDEX('Kế hoạch'!$AY$6:$AY$305,$O1664),IF(N($P1664)=0,"",IF(INT($B1664)&lt;$P1664,$P1664,IF($Q1664&gt;0,$P1664+ROUND((INT($B1664)-$P1664)/$Q1664,0)*$Q1664,IF($R1664&gt;0,EDATE($P1664,ROUND((DATEDIF($P1664,INT($B1664),"m")+(INT($B1664)-EDATE($P1664,DATEDIF($P1664,INT($B1664),"m")))/(EDATE($P1664,DATEDIF($P1664,INT($B1664),"m")+1)-EDATE($P1664,DATEDIF($P1664,INT($B1664),"m"))))/$R1664,0)*$R1664),$P1664))))),"")))</f>
      </c>
      <c r="M1664" s="223">
        <f>IF(OR($C1664="",N($L1664)=0,N($B1664)=0),"",IF(IF(MOD($L1664,1)=0,INT($B1664),$B1664)&lt;=$L1664,"Đúng hạn","Trễ hạn"))</f>
      </c>
      <c r="N1664" s="225">
        <f>IF($C1664="","",ROW())</f>
      </c>
      <c r="O1664" s="225">
        <f>IF($I1664="Công việc",MATCH($C1664,'Kế hoạch'!$A$6:$A$305,0),"")</f>
      </c>
      <c r="P1664" s="234">
        <f>IF($O1664="","",INDEX('Kế hoạch'!$I$6:$I$305,$O1664))</f>
      </c>
      <c r="Q1664" s="225">
        <f>IF($O1664="","",INDEX('Kế hoạch'!$AJ$6:$AJ$305,$O1664))</f>
      </c>
      <c r="R1664" s="225">
        <f>IF($O1664="","",INDEX('Kế hoạch'!$AK$6:$AK$305,$O1664))</f>
      </c>
    </row>
    <row r="1665">
      <c r="A1665" s="223">
        <f>IF($C1665="","",COUNTIF($C$6:$C1665,"?*"))</f>
      </c>
      <c r="B1665" s="217"/>
      <c r="C1665" s="216"/>
      <c r="D1665" s="240"/>
      <c r="E1665" s="218"/>
      <c r="F1665" s="218"/>
      <c r="G1665" s="218"/>
      <c r="H1665" s="219"/>
      <c r="I1665" s="223">
        <f>IF($C1665="","",IF(ISNUMBER(MATCH($C1665,'Phản ánh'!$A$6:$A$505,0)),"Phản ánh",IF(ISNUMBER(MATCH($C1665,'Kế hoạch'!$A$6:$A$305,0)),"Công việc","Mã chưa có")))</f>
      </c>
      <c r="J1665" s="221">
        <f>IF($I1665="Phản ánh",INDEX('Phản ánh'!$C$6:$C$505,MATCH($C1665,'Phản ánh'!$A$6:$A$505,0)),IF($I1665="Công việc",INDEX('Kế hoạch'!$C$6:$C$305,$O1665),""))</f>
      </c>
      <c r="K1665" s="221">
        <f>IF($I1665="Phản ánh",INDEX('Phản ánh'!$K$6:$K$505,MATCH($C1665,'Phản ánh'!$A$6:$A$505,0))&amp;"",IF($I1665="Công việc",INDEX('Kế hoạch'!$N$6:$N$305,$O1665)&amp;"",""))</f>
      </c>
      <c r="L1665" s="220">
        <f>IF(OR($C1665="",N($B1665)=0),"",IF(AND($I1665="Phản ánh",$E1665="Đã xử lý"),INDEX('Phản ánh'!$U$6:$U$505,MATCH($C1665,'Phản ánh'!$A$6:$A$505,0)),IF(AND($I1665="Công việc",OR($E1665="Hoàn thành",$E1665="Hoàn thành kỳ")),IF(INDEX('Kế hoạch'!$B$6:$B$305,$O1665)="Đột xuất",INDEX('Kế hoạch'!$AY$6:$AY$305,$O1665),IF(N($P1665)=0,"",IF(INT($B1665)&lt;$P1665,$P1665,IF($Q1665&gt;0,$P1665+ROUND((INT($B1665)-$P1665)/$Q1665,0)*$Q1665,IF($R1665&gt;0,EDATE($P1665,ROUND((DATEDIF($P1665,INT($B1665),"m")+(INT($B1665)-EDATE($P1665,DATEDIF($P1665,INT($B1665),"m")))/(EDATE($P1665,DATEDIF($P1665,INT($B1665),"m")+1)-EDATE($P1665,DATEDIF($P1665,INT($B1665),"m"))))/$R1665,0)*$R1665),$P1665))))),"")))</f>
      </c>
      <c r="M1665" s="223">
        <f>IF(OR($C1665="",N($L1665)=0,N($B1665)=0),"",IF(IF(MOD($L1665,1)=0,INT($B1665),$B1665)&lt;=$L1665,"Đúng hạn","Trễ hạn"))</f>
      </c>
      <c r="N1665" s="225">
        <f>IF($C1665="","",ROW())</f>
      </c>
      <c r="O1665" s="225">
        <f>IF($I1665="Công việc",MATCH($C1665,'Kế hoạch'!$A$6:$A$305,0),"")</f>
      </c>
      <c r="P1665" s="234">
        <f>IF($O1665="","",INDEX('Kế hoạch'!$I$6:$I$305,$O1665))</f>
      </c>
      <c r="Q1665" s="225">
        <f>IF($O1665="","",INDEX('Kế hoạch'!$AJ$6:$AJ$305,$O1665))</f>
      </c>
      <c r="R1665" s="225">
        <f>IF($O1665="","",INDEX('Kế hoạch'!$AK$6:$AK$305,$O1665))</f>
      </c>
    </row>
    <row r="1666">
      <c r="A1666" s="223">
        <f>IF($C1666="","",COUNTIF($C$6:$C1666,"?*"))</f>
      </c>
      <c r="B1666" s="217"/>
      <c r="C1666" s="216"/>
      <c r="D1666" s="240"/>
      <c r="E1666" s="218"/>
      <c r="F1666" s="218"/>
      <c r="G1666" s="218"/>
      <c r="H1666" s="219"/>
      <c r="I1666" s="223">
        <f>IF($C1666="","",IF(ISNUMBER(MATCH($C1666,'Phản ánh'!$A$6:$A$505,0)),"Phản ánh",IF(ISNUMBER(MATCH($C1666,'Kế hoạch'!$A$6:$A$305,0)),"Công việc","Mã chưa có")))</f>
      </c>
      <c r="J1666" s="221">
        <f>IF($I1666="Phản ánh",INDEX('Phản ánh'!$C$6:$C$505,MATCH($C1666,'Phản ánh'!$A$6:$A$505,0)),IF($I1666="Công việc",INDEX('Kế hoạch'!$C$6:$C$305,$O1666),""))</f>
      </c>
      <c r="K1666" s="221">
        <f>IF($I1666="Phản ánh",INDEX('Phản ánh'!$K$6:$K$505,MATCH($C1666,'Phản ánh'!$A$6:$A$505,0))&amp;"",IF($I1666="Công việc",INDEX('Kế hoạch'!$N$6:$N$305,$O1666)&amp;"",""))</f>
      </c>
      <c r="L1666" s="220">
        <f>IF(OR($C1666="",N($B1666)=0),"",IF(AND($I1666="Phản ánh",$E1666="Đã xử lý"),INDEX('Phản ánh'!$U$6:$U$505,MATCH($C1666,'Phản ánh'!$A$6:$A$505,0)),IF(AND($I1666="Công việc",OR($E1666="Hoàn thành",$E1666="Hoàn thành kỳ")),IF(INDEX('Kế hoạch'!$B$6:$B$305,$O1666)="Đột xuất",INDEX('Kế hoạch'!$AY$6:$AY$305,$O1666),IF(N($P1666)=0,"",IF(INT($B1666)&lt;$P1666,$P1666,IF($Q1666&gt;0,$P1666+ROUND((INT($B1666)-$P1666)/$Q1666,0)*$Q1666,IF($R1666&gt;0,EDATE($P1666,ROUND((DATEDIF($P1666,INT($B1666),"m")+(INT($B1666)-EDATE($P1666,DATEDIF($P1666,INT($B1666),"m")))/(EDATE($P1666,DATEDIF($P1666,INT($B1666),"m")+1)-EDATE($P1666,DATEDIF($P1666,INT($B1666),"m"))))/$R1666,0)*$R1666),$P1666))))),"")))</f>
      </c>
      <c r="M1666" s="223">
        <f>IF(OR($C1666="",N($L1666)=0,N($B1666)=0),"",IF(IF(MOD($L1666,1)=0,INT($B1666),$B1666)&lt;=$L1666,"Đúng hạn","Trễ hạn"))</f>
      </c>
      <c r="N1666" s="225">
        <f>IF($C1666="","",ROW())</f>
      </c>
      <c r="O1666" s="225">
        <f>IF($I1666="Công việc",MATCH($C1666,'Kế hoạch'!$A$6:$A$305,0),"")</f>
      </c>
      <c r="P1666" s="234">
        <f>IF($O1666="","",INDEX('Kế hoạch'!$I$6:$I$305,$O1666))</f>
      </c>
      <c r="Q1666" s="225">
        <f>IF($O1666="","",INDEX('Kế hoạch'!$AJ$6:$AJ$305,$O1666))</f>
      </c>
      <c r="R1666" s="225">
        <f>IF($O1666="","",INDEX('Kế hoạch'!$AK$6:$AK$305,$O1666))</f>
      </c>
    </row>
    <row r="1667">
      <c r="A1667" s="223">
        <f>IF($C1667="","",COUNTIF($C$6:$C1667,"?*"))</f>
      </c>
      <c r="B1667" s="217"/>
      <c r="C1667" s="216"/>
      <c r="D1667" s="240"/>
      <c r="E1667" s="218"/>
      <c r="F1667" s="218"/>
      <c r="G1667" s="218"/>
      <c r="H1667" s="219"/>
      <c r="I1667" s="223">
        <f>IF($C1667="","",IF(ISNUMBER(MATCH($C1667,'Phản ánh'!$A$6:$A$505,0)),"Phản ánh",IF(ISNUMBER(MATCH($C1667,'Kế hoạch'!$A$6:$A$305,0)),"Công việc","Mã chưa có")))</f>
      </c>
      <c r="J1667" s="221">
        <f>IF($I1667="Phản ánh",INDEX('Phản ánh'!$C$6:$C$505,MATCH($C1667,'Phản ánh'!$A$6:$A$505,0)),IF($I1667="Công việc",INDEX('Kế hoạch'!$C$6:$C$305,$O1667),""))</f>
      </c>
      <c r="K1667" s="221">
        <f>IF($I1667="Phản ánh",INDEX('Phản ánh'!$K$6:$K$505,MATCH($C1667,'Phản ánh'!$A$6:$A$505,0))&amp;"",IF($I1667="Công việc",INDEX('Kế hoạch'!$N$6:$N$305,$O1667)&amp;"",""))</f>
      </c>
      <c r="L1667" s="220">
        <f>IF(OR($C1667="",N($B1667)=0),"",IF(AND($I1667="Phản ánh",$E1667="Đã xử lý"),INDEX('Phản ánh'!$U$6:$U$505,MATCH($C1667,'Phản ánh'!$A$6:$A$505,0)),IF(AND($I1667="Công việc",OR($E1667="Hoàn thành",$E1667="Hoàn thành kỳ")),IF(INDEX('Kế hoạch'!$B$6:$B$305,$O1667)="Đột xuất",INDEX('Kế hoạch'!$AY$6:$AY$305,$O1667),IF(N($P1667)=0,"",IF(INT($B1667)&lt;$P1667,$P1667,IF($Q1667&gt;0,$P1667+ROUND((INT($B1667)-$P1667)/$Q1667,0)*$Q1667,IF($R1667&gt;0,EDATE($P1667,ROUND((DATEDIF($P1667,INT($B1667),"m")+(INT($B1667)-EDATE($P1667,DATEDIF($P1667,INT($B1667),"m")))/(EDATE($P1667,DATEDIF($P1667,INT($B1667),"m")+1)-EDATE($P1667,DATEDIF($P1667,INT($B1667),"m"))))/$R1667,0)*$R1667),$P1667))))),"")))</f>
      </c>
      <c r="M1667" s="223">
        <f>IF(OR($C1667="",N($L1667)=0,N($B1667)=0),"",IF(IF(MOD($L1667,1)=0,INT($B1667),$B1667)&lt;=$L1667,"Đúng hạn","Trễ hạn"))</f>
      </c>
      <c r="N1667" s="225">
        <f>IF($C1667="","",ROW())</f>
      </c>
      <c r="O1667" s="225">
        <f>IF($I1667="Công việc",MATCH($C1667,'Kế hoạch'!$A$6:$A$305,0),"")</f>
      </c>
      <c r="P1667" s="234">
        <f>IF($O1667="","",INDEX('Kế hoạch'!$I$6:$I$305,$O1667))</f>
      </c>
      <c r="Q1667" s="225">
        <f>IF($O1667="","",INDEX('Kế hoạch'!$AJ$6:$AJ$305,$O1667))</f>
      </c>
      <c r="R1667" s="225">
        <f>IF($O1667="","",INDEX('Kế hoạch'!$AK$6:$AK$305,$O1667))</f>
      </c>
    </row>
    <row r="1668">
      <c r="A1668" s="223">
        <f>IF($C1668="","",COUNTIF($C$6:$C1668,"?*"))</f>
      </c>
      <c r="B1668" s="217"/>
      <c r="C1668" s="216"/>
      <c r="D1668" s="240"/>
      <c r="E1668" s="218"/>
      <c r="F1668" s="218"/>
      <c r="G1668" s="218"/>
      <c r="H1668" s="219"/>
      <c r="I1668" s="223">
        <f>IF($C1668="","",IF(ISNUMBER(MATCH($C1668,'Phản ánh'!$A$6:$A$505,0)),"Phản ánh",IF(ISNUMBER(MATCH($C1668,'Kế hoạch'!$A$6:$A$305,0)),"Công việc","Mã chưa có")))</f>
      </c>
      <c r="J1668" s="221">
        <f>IF($I1668="Phản ánh",INDEX('Phản ánh'!$C$6:$C$505,MATCH($C1668,'Phản ánh'!$A$6:$A$505,0)),IF($I1668="Công việc",INDEX('Kế hoạch'!$C$6:$C$305,$O1668),""))</f>
      </c>
      <c r="K1668" s="221">
        <f>IF($I1668="Phản ánh",INDEX('Phản ánh'!$K$6:$K$505,MATCH($C1668,'Phản ánh'!$A$6:$A$505,0))&amp;"",IF($I1668="Công việc",INDEX('Kế hoạch'!$N$6:$N$305,$O1668)&amp;"",""))</f>
      </c>
      <c r="L1668" s="220">
        <f>IF(OR($C1668="",N($B1668)=0),"",IF(AND($I1668="Phản ánh",$E1668="Đã xử lý"),INDEX('Phản ánh'!$U$6:$U$505,MATCH($C1668,'Phản ánh'!$A$6:$A$505,0)),IF(AND($I1668="Công việc",OR($E1668="Hoàn thành",$E1668="Hoàn thành kỳ")),IF(INDEX('Kế hoạch'!$B$6:$B$305,$O1668)="Đột xuất",INDEX('Kế hoạch'!$AY$6:$AY$305,$O1668),IF(N($P1668)=0,"",IF(INT($B1668)&lt;$P1668,$P1668,IF($Q1668&gt;0,$P1668+ROUND((INT($B1668)-$P1668)/$Q1668,0)*$Q1668,IF($R1668&gt;0,EDATE($P1668,ROUND((DATEDIF($P1668,INT($B1668),"m")+(INT($B1668)-EDATE($P1668,DATEDIF($P1668,INT($B1668),"m")))/(EDATE($P1668,DATEDIF($P1668,INT($B1668),"m")+1)-EDATE($P1668,DATEDIF($P1668,INT($B1668),"m"))))/$R1668,0)*$R1668),$P1668))))),"")))</f>
      </c>
      <c r="M1668" s="223">
        <f>IF(OR($C1668="",N($L1668)=0,N($B1668)=0),"",IF(IF(MOD($L1668,1)=0,INT($B1668),$B1668)&lt;=$L1668,"Đúng hạn","Trễ hạn"))</f>
      </c>
      <c r="N1668" s="225">
        <f>IF($C1668="","",ROW())</f>
      </c>
      <c r="O1668" s="225">
        <f>IF($I1668="Công việc",MATCH($C1668,'Kế hoạch'!$A$6:$A$305,0),"")</f>
      </c>
      <c r="P1668" s="234">
        <f>IF($O1668="","",INDEX('Kế hoạch'!$I$6:$I$305,$O1668))</f>
      </c>
      <c r="Q1668" s="225">
        <f>IF($O1668="","",INDEX('Kế hoạch'!$AJ$6:$AJ$305,$O1668))</f>
      </c>
      <c r="R1668" s="225">
        <f>IF($O1668="","",INDEX('Kế hoạch'!$AK$6:$AK$305,$O1668))</f>
      </c>
    </row>
    <row r="1669">
      <c r="A1669" s="223">
        <f>IF($C1669="","",COUNTIF($C$6:$C1669,"?*"))</f>
      </c>
      <c r="B1669" s="217"/>
      <c r="C1669" s="216"/>
      <c r="D1669" s="240"/>
      <c r="E1669" s="218"/>
      <c r="F1669" s="218"/>
      <c r="G1669" s="218"/>
      <c r="H1669" s="219"/>
      <c r="I1669" s="223">
        <f>IF($C1669="","",IF(ISNUMBER(MATCH($C1669,'Phản ánh'!$A$6:$A$505,0)),"Phản ánh",IF(ISNUMBER(MATCH($C1669,'Kế hoạch'!$A$6:$A$305,0)),"Công việc","Mã chưa có")))</f>
      </c>
      <c r="J1669" s="221">
        <f>IF($I1669="Phản ánh",INDEX('Phản ánh'!$C$6:$C$505,MATCH($C1669,'Phản ánh'!$A$6:$A$505,0)),IF($I1669="Công việc",INDEX('Kế hoạch'!$C$6:$C$305,$O1669),""))</f>
      </c>
      <c r="K1669" s="221">
        <f>IF($I1669="Phản ánh",INDEX('Phản ánh'!$K$6:$K$505,MATCH($C1669,'Phản ánh'!$A$6:$A$505,0))&amp;"",IF($I1669="Công việc",INDEX('Kế hoạch'!$N$6:$N$305,$O1669)&amp;"",""))</f>
      </c>
      <c r="L1669" s="220">
        <f>IF(OR($C1669="",N($B1669)=0),"",IF(AND($I1669="Phản ánh",$E1669="Đã xử lý"),INDEX('Phản ánh'!$U$6:$U$505,MATCH($C1669,'Phản ánh'!$A$6:$A$505,0)),IF(AND($I1669="Công việc",OR($E1669="Hoàn thành",$E1669="Hoàn thành kỳ")),IF(INDEX('Kế hoạch'!$B$6:$B$305,$O1669)="Đột xuất",INDEX('Kế hoạch'!$AY$6:$AY$305,$O1669),IF(N($P1669)=0,"",IF(INT($B1669)&lt;$P1669,$P1669,IF($Q1669&gt;0,$P1669+ROUND((INT($B1669)-$P1669)/$Q1669,0)*$Q1669,IF($R1669&gt;0,EDATE($P1669,ROUND((DATEDIF($P1669,INT($B1669),"m")+(INT($B1669)-EDATE($P1669,DATEDIF($P1669,INT($B1669),"m")))/(EDATE($P1669,DATEDIF($P1669,INT($B1669),"m")+1)-EDATE($P1669,DATEDIF($P1669,INT($B1669),"m"))))/$R1669,0)*$R1669),$P1669))))),"")))</f>
      </c>
      <c r="M1669" s="223">
        <f>IF(OR($C1669="",N($L1669)=0,N($B1669)=0),"",IF(IF(MOD($L1669,1)=0,INT($B1669),$B1669)&lt;=$L1669,"Đúng hạn","Trễ hạn"))</f>
      </c>
      <c r="N1669" s="225">
        <f>IF($C1669="","",ROW())</f>
      </c>
      <c r="O1669" s="225">
        <f>IF($I1669="Công việc",MATCH($C1669,'Kế hoạch'!$A$6:$A$305,0),"")</f>
      </c>
      <c r="P1669" s="234">
        <f>IF($O1669="","",INDEX('Kế hoạch'!$I$6:$I$305,$O1669))</f>
      </c>
      <c r="Q1669" s="225">
        <f>IF($O1669="","",INDEX('Kế hoạch'!$AJ$6:$AJ$305,$O1669))</f>
      </c>
      <c r="R1669" s="225">
        <f>IF($O1669="","",INDEX('Kế hoạch'!$AK$6:$AK$305,$O1669))</f>
      </c>
    </row>
    <row r="1670">
      <c r="A1670" s="223">
        <f>IF($C1670="","",COUNTIF($C$6:$C1670,"?*"))</f>
      </c>
      <c r="B1670" s="217"/>
      <c r="C1670" s="216"/>
      <c r="D1670" s="240"/>
      <c r="E1670" s="218"/>
      <c r="F1670" s="218"/>
      <c r="G1670" s="218"/>
      <c r="H1670" s="219"/>
      <c r="I1670" s="223">
        <f>IF($C1670="","",IF(ISNUMBER(MATCH($C1670,'Phản ánh'!$A$6:$A$505,0)),"Phản ánh",IF(ISNUMBER(MATCH($C1670,'Kế hoạch'!$A$6:$A$305,0)),"Công việc","Mã chưa có")))</f>
      </c>
      <c r="J1670" s="221">
        <f>IF($I1670="Phản ánh",INDEX('Phản ánh'!$C$6:$C$505,MATCH($C1670,'Phản ánh'!$A$6:$A$505,0)),IF($I1670="Công việc",INDEX('Kế hoạch'!$C$6:$C$305,$O1670),""))</f>
      </c>
      <c r="K1670" s="221">
        <f>IF($I1670="Phản ánh",INDEX('Phản ánh'!$K$6:$K$505,MATCH($C1670,'Phản ánh'!$A$6:$A$505,0))&amp;"",IF($I1670="Công việc",INDEX('Kế hoạch'!$N$6:$N$305,$O1670)&amp;"",""))</f>
      </c>
      <c r="L1670" s="220">
        <f>IF(OR($C1670="",N($B1670)=0),"",IF(AND($I1670="Phản ánh",$E1670="Đã xử lý"),INDEX('Phản ánh'!$U$6:$U$505,MATCH($C1670,'Phản ánh'!$A$6:$A$505,0)),IF(AND($I1670="Công việc",OR($E1670="Hoàn thành",$E1670="Hoàn thành kỳ")),IF(INDEX('Kế hoạch'!$B$6:$B$305,$O1670)="Đột xuất",INDEX('Kế hoạch'!$AY$6:$AY$305,$O1670),IF(N($P1670)=0,"",IF(INT($B1670)&lt;$P1670,$P1670,IF($Q1670&gt;0,$P1670+ROUND((INT($B1670)-$P1670)/$Q1670,0)*$Q1670,IF($R1670&gt;0,EDATE($P1670,ROUND((DATEDIF($P1670,INT($B1670),"m")+(INT($B1670)-EDATE($P1670,DATEDIF($P1670,INT($B1670),"m")))/(EDATE($P1670,DATEDIF($P1670,INT($B1670),"m")+1)-EDATE($P1670,DATEDIF($P1670,INT($B1670),"m"))))/$R1670,0)*$R1670),$P1670))))),"")))</f>
      </c>
      <c r="M1670" s="223">
        <f>IF(OR($C1670="",N($L1670)=0,N($B1670)=0),"",IF(IF(MOD($L1670,1)=0,INT($B1670),$B1670)&lt;=$L1670,"Đúng hạn","Trễ hạn"))</f>
      </c>
      <c r="N1670" s="225">
        <f>IF($C1670="","",ROW())</f>
      </c>
      <c r="O1670" s="225">
        <f>IF($I1670="Công việc",MATCH($C1670,'Kế hoạch'!$A$6:$A$305,0),"")</f>
      </c>
      <c r="P1670" s="234">
        <f>IF($O1670="","",INDEX('Kế hoạch'!$I$6:$I$305,$O1670))</f>
      </c>
      <c r="Q1670" s="225">
        <f>IF($O1670="","",INDEX('Kế hoạch'!$AJ$6:$AJ$305,$O1670))</f>
      </c>
      <c r="R1670" s="225">
        <f>IF($O1670="","",INDEX('Kế hoạch'!$AK$6:$AK$305,$O1670))</f>
      </c>
    </row>
    <row r="1671">
      <c r="A1671" s="223">
        <f>IF($C1671="","",COUNTIF($C$6:$C1671,"?*"))</f>
      </c>
      <c r="B1671" s="217"/>
      <c r="C1671" s="216"/>
      <c r="D1671" s="240"/>
      <c r="E1671" s="218"/>
      <c r="F1671" s="218"/>
      <c r="G1671" s="218"/>
      <c r="H1671" s="219"/>
      <c r="I1671" s="223">
        <f>IF($C1671="","",IF(ISNUMBER(MATCH($C1671,'Phản ánh'!$A$6:$A$505,0)),"Phản ánh",IF(ISNUMBER(MATCH($C1671,'Kế hoạch'!$A$6:$A$305,0)),"Công việc","Mã chưa có")))</f>
      </c>
      <c r="J1671" s="221">
        <f>IF($I1671="Phản ánh",INDEX('Phản ánh'!$C$6:$C$505,MATCH($C1671,'Phản ánh'!$A$6:$A$505,0)),IF($I1671="Công việc",INDEX('Kế hoạch'!$C$6:$C$305,$O1671),""))</f>
      </c>
      <c r="K1671" s="221">
        <f>IF($I1671="Phản ánh",INDEX('Phản ánh'!$K$6:$K$505,MATCH($C1671,'Phản ánh'!$A$6:$A$505,0))&amp;"",IF($I1671="Công việc",INDEX('Kế hoạch'!$N$6:$N$305,$O1671)&amp;"",""))</f>
      </c>
      <c r="L1671" s="220">
        <f>IF(OR($C1671="",N($B1671)=0),"",IF(AND($I1671="Phản ánh",$E1671="Đã xử lý"),INDEX('Phản ánh'!$U$6:$U$505,MATCH($C1671,'Phản ánh'!$A$6:$A$505,0)),IF(AND($I1671="Công việc",OR($E1671="Hoàn thành",$E1671="Hoàn thành kỳ")),IF(INDEX('Kế hoạch'!$B$6:$B$305,$O1671)="Đột xuất",INDEX('Kế hoạch'!$AY$6:$AY$305,$O1671),IF(N($P1671)=0,"",IF(INT($B1671)&lt;$P1671,$P1671,IF($Q1671&gt;0,$P1671+ROUND((INT($B1671)-$P1671)/$Q1671,0)*$Q1671,IF($R1671&gt;0,EDATE($P1671,ROUND((DATEDIF($P1671,INT($B1671),"m")+(INT($B1671)-EDATE($P1671,DATEDIF($P1671,INT($B1671),"m")))/(EDATE($P1671,DATEDIF($P1671,INT($B1671),"m")+1)-EDATE($P1671,DATEDIF($P1671,INT($B1671),"m"))))/$R1671,0)*$R1671),$P1671))))),"")))</f>
      </c>
      <c r="M1671" s="223">
        <f>IF(OR($C1671="",N($L1671)=0,N($B1671)=0),"",IF(IF(MOD($L1671,1)=0,INT($B1671),$B1671)&lt;=$L1671,"Đúng hạn","Trễ hạn"))</f>
      </c>
      <c r="N1671" s="225">
        <f>IF($C1671="","",ROW())</f>
      </c>
      <c r="O1671" s="225">
        <f>IF($I1671="Công việc",MATCH($C1671,'Kế hoạch'!$A$6:$A$305,0),"")</f>
      </c>
      <c r="P1671" s="234">
        <f>IF($O1671="","",INDEX('Kế hoạch'!$I$6:$I$305,$O1671))</f>
      </c>
      <c r="Q1671" s="225">
        <f>IF($O1671="","",INDEX('Kế hoạch'!$AJ$6:$AJ$305,$O1671))</f>
      </c>
      <c r="R1671" s="225">
        <f>IF($O1671="","",INDEX('Kế hoạch'!$AK$6:$AK$305,$O1671))</f>
      </c>
    </row>
    <row r="1672">
      <c r="A1672" s="223">
        <f>IF($C1672="","",COUNTIF($C$6:$C1672,"?*"))</f>
      </c>
      <c r="B1672" s="217"/>
      <c r="C1672" s="216"/>
      <c r="D1672" s="240"/>
      <c r="E1672" s="218"/>
      <c r="F1672" s="218"/>
      <c r="G1672" s="218"/>
      <c r="H1672" s="219"/>
      <c r="I1672" s="223">
        <f>IF($C1672="","",IF(ISNUMBER(MATCH($C1672,'Phản ánh'!$A$6:$A$505,0)),"Phản ánh",IF(ISNUMBER(MATCH($C1672,'Kế hoạch'!$A$6:$A$305,0)),"Công việc","Mã chưa có")))</f>
      </c>
      <c r="J1672" s="221">
        <f>IF($I1672="Phản ánh",INDEX('Phản ánh'!$C$6:$C$505,MATCH($C1672,'Phản ánh'!$A$6:$A$505,0)),IF($I1672="Công việc",INDEX('Kế hoạch'!$C$6:$C$305,$O1672),""))</f>
      </c>
      <c r="K1672" s="221">
        <f>IF($I1672="Phản ánh",INDEX('Phản ánh'!$K$6:$K$505,MATCH($C1672,'Phản ánh'!$A$6:$A$505,0))&amp;"",IF($I1672="Công việc",INDEX('Kế hoạch'!$N$6:$N$305,$O1672)&amp;"",""))</f>
      </c>
      <c r="L1672" s="220">
        <f>IF(OR($C1672="",N($B1672)=0),"",IF(AND($I1672="Phản ánh",$E1672="Đã xử lý"),INDEX('Phản ánh'!$U$6:$U$505,MATCH($C1672,'Phản ánh'!$A$6:$A$505,0)),IF(AND($I1672="Công việc",OR($E1672="Hoàn thành",$E1672="Hoàn thành kỳ")),IF(INDEX('Kế hoạch'!$B$6:$B$305,$O1672)="Đột xuất",INDEX('Kế hoạch'!$AY$6:$AY$305,$O1672),IF(N($P1672)=0,"",IF(INT($B1672)&lt;$P1672,$P1672,IF($Q1672&gt;0,$P1672+ROUND((INT($B1672)-$P1672)/$Q1672,0)*$Q1672,IF($R1672&gt;0,EDATE($P1672,ROUND((DATEDIF($P1672,INT($B1672),"m")+(INT($B1672)-EDATE($P1672,DATEDIF($P1672,INT($B1672),"m")))/(EDATE($P1672,DATEDIF($P1672,INT($B1672),"m")+1)-EDATE($P1672,DATEDIF($P1672,INT($B1672),"m"))))/$R1672,0)*$R1672),$P1672))))),"")))</f>
      </c>
      <c r="M1672" s="223">
        <f>IF(OR($C1672="",N($L1672)=0,N($B1672)=0),"",IF(IF(MOD($L1672,1)=0,INT($B1672),$B1672)&lt;=$L1672,"Đúng hạn","Trễ hạn"))</f>
      </c>
      <c r="N1672" s="225">
        <f>IF($C1672="","",ROW())</f>
      </c>
      <c r="O1672" s="225">
        <f>IF($I1672="Công việc",MATCH($C1672,'Kế hoạch'!$A$6:$A$305,0),"")</f>
      </c>
      <c r="P1672" s="234">
        <f>IF($O1672="","",INDEX('Kế hoạch'!$I$6:$I$305,$O1672))</f>
      </c>
      <c r="Q1672" s="225">
        <f>IF($O1672="","",INDEX('Kế hoạch'!$AJ$6:$AJ$305,$O1672))</f>
      </c>
      <c r="R1672" s="225">
        <f>IF($O1672="","",INDEX('Kế hoạch'!$AK$6:$AK$305,$O1672))</f>
      </c>
    </row>
    <row r="1673">
      <c r="A1673" s="223">
        <f>IF($C1673="","",COUNTIF($C$6:$C1673,"?*"))</f>
      </c>
      <c r="B1673" s="217"/>
      <c r="C1673" s="216"/>
      <c r="D1673" s="240"/>
      <c r="E1673" s="218"/>
      <c r="F1673" s="218"/>
      <c r="G1673" s="218"/>
      <c r="H1673" s="219"/>
      <c r="I1673" s="223">
        <f>IF($C1673="","",IF(ISNUMBER(MATCH($C1673,'Phản ánh'!$A$6:$A$505,0)),"Phản ánh",IF(ISNUMBER(MATCH($C1673,'Kế hoạch'!$A$6:$A$305,0)),"Công việc","Mã chưa có")))</f>
      </c>
      <c r="J1673" s="221">
        <f>IF($I1673="Phản ánh",INDEX('Phản ánh'!$C$6:$C$505,MATCH($C1673,'Phản ánh'!$A$6:$A$505,0)),IF($I1673="Công việc",INDEX('Kế hoạch'!$C$6:$C$305,$O1673),""))</f>
      </c>
      <c r="K1673" s="221">
        <f>IF($I1673="Phản ánh",INDEX('Phản ánh'!$K$6:$K$505,MATCH($C1673,'Phản ánh'!$A$6:$A$505,0))&amp;"",IF($I1673="Công việc",INDEX('Kế hoạch'!$N$6:$N$305,$O1673)&amp;"",""))</f>
      </c>
      <c r="L1673" s="220">
        <f>IF(OR($C1673="",N($B1673)=0),"",IF(AND($I1673="Phản ánh",$E1673="Đã xử lý"),INDEX('Phản ánh'!$U$6:$U$505,MATCH($C1673,'Phản ánh'!$A$6:$A$505,0)),IF(AND($I1673="Công việc",OR($E1673="Hoàn thành",$E1673="Hoàn thành kỳ")),IF(INDEX('Kế hoạch'!$B$6:$B$305,$O1673)="Đột xuất",INDEX('Kế hoạch'!$AY$6:$AY$305,$O1673),IF(N($P1673)=0,"",IF(INT($B1673)&lt;$P1673,$P1673,IF($Q1673&gt;0,$P1673+ROUND((INT($B1673)-$P1673)/$Q1673,0)*$Q1673,IF($R1673&gt;0,EDATE($P1673,ROUND((DATEDIF($P1673,INT($B1673),"m")+(INT($B1673)-EDATE($P1673,DATEDIF($P1673,INT($B1673),"m")))/(EDATE($P1673,DATEDIF($P1673,INT($B1673),"m")+1)-EDATE($P1673,DATEDIF($P1673,INT($B1673),"m"))))/$R1673,0)*$R1673),$P1673))))),"")))</f>
      </c>
      <c r="M1673" s="223">
        <f>IF(OR($C1673="",N($L1673)=0,N($B1673)=0),"",IF(IF(MOD($L1673,1)=0,INT($B1673),$B1673)&lt;=$L1673,"Đúng hạn","Trễ hạn"))</f>
      </c>
      <c r="N1673" s="225">
        <f>IF($C1673="","",ROW())</f>
      </c>
      <c r="O1673" s="225">
        <f>IF($I1673="Công việc",MATCH($C1673,'Kế hoạch'!$A$6:$A$305,0),"")</f>
      </c>
      <c r="P1673" s="234">
        <f>IF($O1673="","",INDEX('Kế hoạch'!$I$6:$I$305,$O1673))</f>
      </c>
      <c r="Q1673" s="225">
        <f>IF($O1673="","",INDEX('Kế hoạch'!$AJ$6:$AJ$305,$O1673))</f>
      </c>
      <c r="R1673" s="225">
        <f>IF($O1673="","",INDEX('Kế hoạch'!$AK$6:$AK$305,$O1673))</f>
      </c>
    </row>
    <row r="1674">
      <c r="A1674" s="223">
        <f>IF($C1674="","",COUNTIF($C$6:$C1674,"?*"))</f>
      </c>
      <c r="B1674" s="217"/>
      <c r="C1674" s="216"/>
      <c r="D1674" s="240"/>
      <c r="E1674" s="218"/>
      <c r="F1674" s="218"/>
      <c r="G1674" s="218"/>
      <c r="H1674" s="219"/>
      <c r="I1674" s="223">
        <f>IF($C1674="","",IF(ISNUMBER(MATCH($C1674,'Phản ánh'!$A$6:$A$505,0)),"Phản ánh",IF(ISNUMBER(MATCH($C1674,'Kế hoạch'!$A$6:$A$305,0)),"Công việc","Mã chưa có")))</f>
      </c>
      <c r="J1674" s="221">
        <f>IF($I1674="Phản ánh",INDEX('Phản ánh'!$C$6:$C$505,MATCH($C1674,'Phản ánh'!$A$6:$A$505,0)),IF($I1674="Công việc",INDEX('Kế hoạch'!$C$6:$C$305,$O1674),""))</f>
      </c>
      <c r="K1674" s="221">
        <f>IF($I1674="Phản ánh",INDEX('Phản ánh'!$K$6:$K$505,MATCH($C1674,'Phản ánh'!$A$6:$A$505,0))&amp;"",IF($I1674="Công việc",INDEX('Kế hoạch'!$N$6:$N$305,$O1674)&amp;"",""))</f>
      </c>
      <c r="L1674" s="220">
        <f>IF(OR($C1674="",N($B1674)=0),"",IF(AND($I1674="Phản ánh",$E1674="Đã xử lý"),INDEX('Phản ánh'!$U$6:$U$505,MATCH($C1674,'Phản ánh'!$A$6:$A$505,0)),IF(AND($I1674="Công việc",OR($E1674="Hoàn thành",$E1674="Hoàn thành kỳ")),IF(INDEX('Kế hoạch'!$B$6:$B$305,$O1674)="Đột xuất",INDEX('Kế hoạch'!$AY$6:$AY$305,$O1674),IF(N($P1674)=0,"",IF(INT($B1674)&lt;$P1674,$P1674,IF($Q1674&gt;0,$P1674+ROUND((INT($B1674)-$P1674)/$Q1674,0)*$Q1674,IF($R1674&gt;0,EDATE($P1674,ROUND((DATEDIF($P1674,INT($B1674),"m")+(INT($B1674)-EDATE($P1674,DATEDIF($P1674,INT($B1674),"m")))/(EDATE($P1674,DATEDIF($P1674,INT($B1674),"m")+1)-EDATE($P1674,DATEDIF($P1674,INT($B1674),"m"))))/$R1674,0)*$R1674),$P1674))))),"")))</f>
      </c>
      <c r="M1674" s="223">
        <f>IF(OR($C1674="",N($L1674)=0,N($B1674)=0),"",IF(IF(MOD($L1674,1)=0,INT($B1674),$B1674)&lt;=$L1674,"Đúng hạn","Trễ hạn"))</f>
      </c>
      <c r="N1674" s="225">
        <f>IF($C1674="","",ROW())</f>
      </c>
      <c r="O1674" s="225">
        <f>IF($I1674="Công việc",MATCH($C1674,'Kế hoạch'!$A$6:$A$305,0),"")</f>
      </c>
      <c r="P1674" s="234">
        <f>IF($O1674="","",INDEX('Kế hoạch'!$I$6:$I$305,$O1674))</f>
      </c>
      <c r="Q1674" s="225">
        <f>IF($O1674="","",INDEX('Kế hoạch'!$AJ$6:$AJ$305,$O1674))</f>
      </c>
      <c r="R1674" s="225">
        <f>IF($O1674="","",INDEX('Kế hoạch'!$AK$6:$AK$305,$O1674))</f>
      </c>
    </row>
    <row r="1675">
      <c r="A1675" s="223">
        <f>IF($C1675="","",COUNTIF($C$6:$C1675,"?*"))</f>
      </c>
      <c r="B1675" s="217"/>
      <c r="C1675" s="216"/>
      <c r="D1675" s="240"/>
      <c r="E1675" s="218"/>
      <c r="F1675" s="218"/>
      <c r="G1675" s="218"/>
      <c r="H1675" s="219"/>
      <c r="I1675" s="223">
        <f>IF($C1675="","",IF(ISNUMBER(MATCH($C1675,'Phản ánh'!$A$6:$A$505,0)),"Phản ánh",IF(ISNUMBER(MATCH($C1675,'Kế hoạch'!$A$6:$A$305,0)),"Công việc","Mã chưa có")))</f>
      </c>
      <c r="J1675" s="221">
        <f>IF($I1675="Phản ánh",INDEX('Phản ánh'!$C$6:$C$505,MATCH($C1675,'Phản ánh'!$A$6:$A$505,0)),IF($I1675="Công việc",INDEX('Kế hoạch'!$C$6:$C$305,$O1675),""))</f>
      </c>
      <c r="K1675" s="221">
        <f>IF($I1675="Phản ánh",INDEX('Phản ánh'!$K$6:$K$505,MATCH($C1675,'Phản ánh'!$A$6:$A$505,0))&amp;"",IF($I1675="Công việc",INDEX('Kế hoạch'!$N$6:$N$305,$O1675)&amp;"",""))</f>
      </c>
      <c r="L1675" s="220">
        <f>IF(OR($C1675="",N($B1675)=0),"",IF(AND($I1675="Phản ánh",$E1675="Đã xử lý"),INDEX('Phản ánh'!$U$6:$U$505,MATCH($C1675,'Phản ánh'!$A$6:$A$505,0)),IF(AND($I1675="Công việc",OR($E1675="Hoàn thành",$E1675="Hoàn thành kỳ")),IF(INDEX('Kế hoạch'!$B$6:$B$305,$O1675)="Đột xuất",INDEX('Kế hoạch'!$AY$6:$AY$305,$O1675),IF(N($P1675)=0,"",IF(INT($B1675)&lt;$P1675,$P1675,IF($Q1675&gt;0,$P1675+ROUND((INT($B1675)-$P1675)/$Q1675,0)*$Q1675,IF($R1675&gt;0,EDATE($P1675,ROUND((DATEDIF($P1675,INT($B1675),"m")+(INT($B1675)-EDATE($P1675,DATEDIF($P1675,INT($B1675),"m")))/(EDATE($P1675,DATEDIF($P1675,INT($B1675),"m")+1)-EDATE($P1675,DATEDIF($P1675,INT($B1675),"m"))))/$R1675,0)*$R1675),$P1675))))),"")))</f>
      </c>
      <c r="M1675" s="223">
        <f>IF(OR($C1675="",N($L1675)=0,N($B1675)=0),"",IF(IF(MOD($L1675,1)=0,INT($B1675),$B1675)&lt;=$L1675,"Đúng hạn","Trễ hạn"))</f>
      </c>
      <c r="N1675" s="225">
        <f>IF($C1675="","",ROW())</f>
      </c>
      <c r="O1675" s="225">
        <f>IF($I1675="Công việc",MATCH($C1675,'Kế hoạch'!$A$6:$A$305,0),"")</f>
      </c>
      <c r="P1675" s="234">
        <f>IF($O1675="","",INDEX('Kế hoạch'!$I$6:$I$305,$O1675))</f>
      </c>
      <c r="Q1675" s="225">
        <f>IF($O1675="","",INDEX('Kế hoạch'!$AJ$6:$AJ$305,$O1675))</f>
      </c>
      <c r="R1675" s="225">
        <f>IF($O1675="","",INDEX('Kế hoạch'!$AK$6:$AK$305,$O1675))</f>
      </c>
    </row>
    <row r="1676">
      <c r="A1676" s="223">
        <f>IF($C1676="","",COUNTIF($C$6:$C1676,"?*"))</f>
      </c>
      <c r="B1676" s="217"/>
      <c r="C1676" s="216"/>
      <c r="D1676" s="240"/>
      <c r="E1676" s="218"/>
      <c r="F1676" s="218"/>
      <c r="G1676" s="218"/>
      <c r="H1676" s="219"/>
      <c r="I1676" s="223">
        <f>IF($C1676="","",IF(ISNUMBER(MATCH($C1676,'Phản ánh'!$A$6:$A$505,0)),"Phản ánh",IF(ISNUMBER(MATCH($C1676,'Kế hoạch'!$A$6:$A$305,0)),"Công việc","Mã chưa có")))</f>
      </c>
      <c r="J1676" s="221">
        <f>IF($I1676="Phản ánh",INDEX('Phản ánh'!$C$6:$C$505,MATCH($C1676,'Phản ánh'!$A$6:$A$505,0)),IF($I1676="Công việc",INDEX('Kế hoạch'!$C$6:$C$305,$O1676),""))</f>
      </c>
      <c r="K1676" s="221">
        <f>IF($I1676="Phản ánh",INDEX('Phản ánh'!$K$6:$K$505,MATCH($C1676,'Phản ánh'!$A$6:$A$505,0))&amp;"",IF($I1676="Công việc",INDEX('Kế hoạch'!$N$6:$N$305,$O1676)&amp;"",""))</f>
      </c>
      <c r="L1676" s="220">
        <f>IF(OR($C1676="",N($B1676)=0),"",IF(AND($I1676="Phản ánh",$E1676="Đã xử lý"),INDEX('Phản ánh'!$U$6:$U$505,MATCH($C1676,'Phản ánh'!$A$6:$A$505,0)),IF(AND($I1676="Công việc",OR($E1676="Hoàn thành",$E1676="Hoàn thành kỳ")),IF(INDEX('Kế hoạch'!$B$6:$B$305,$O1676)="Đột xuất",INDEX('Kế hoạch'!$AY$6:$AY$305,$O1676),IF(N($P1676)=0,"",IF(INT($B1676)&lt;$P1676,$P1676,IF($Q1676&gt;0,$P1676+ROUND((INT($B1676)-$P1676)/$Q1676,0)*$Q1676,IF($R1676&gt;0,EDATE($P1676,ROUND((DATEDIF($P1676,INT($B1676),"m")+(INT($B1676)-EDATE($P1676,DATEDIF($P1676,INT($B1676),"m")))/(EDATE($P1676,DATEDIF($P1676,INT($B1676),"m")+1)-EDATE($P1676,DATEDIF($P1676,INT($B1676),"m"))))/$R1676,0)*$R1676),$P1676))))),"")))</f>
      </c>
      <c r="M1676" s="223">
        <f>IF(OR($C1676="",N($L1676)=0,N($B1676)=0),"",IF(IF(MOD($L1676,1)=0,INT($B1676),$B1676)&lt;=$L1676,"Đúng hạn","Trễ hạn"))</f>
      </c>
      <c r="N1676" s="225">
        <f>IF($C1676="","",ROW())</f>
      </c>
      <c r="O1676" s="225">
        <f>IF($I1676="Công việc",MATCH($C1676,'Kế hoạch'!$A$6:$A$305,0),"")</f>
      </c>
      <c r="P1676" s="234">
        <f>IF($O1676="","",INDEX('Kế hoạch'!$I$6:$I$305,$O1676))</f>
      </c>
      <c r="Q1676" s="225">
        <f>IF($O1676="","",INDEX('Kế hoạch'!$AJ$6:$AJ$305,$O1676))</f>
      </c>
      <c r="R1676" s="225">
        <f>IF($O1676="","",INDEX('Kế hoạch'!$AK$6:$AK$305,$O1676))</f>
      </c>
    </row>
    <row r="1677">
      <c r="A1677" s="223">
        <f>IF($C1677="","",COUNTIF($C$6:$C1677,"?*"))</f>
      </c>
      <c r="B1677" s="217"/>
      <c r="C1677" s="216"/>
      <c r="D1677" s="240"/>
      <c r="E1677" s="218"/>
      <c r="F1677" s="218"/>
      <c r="G1677" s="218"/>
      <c r="H1677" s="219"/>
      <c r="I1677" s="223">
        <f>IF($C1677="","",IF(ISNUMBER(MATCH($C1677,'Phản ánh'!$A$6:$A$505,0)),"Phản ánh",IF(ISNUMBER(MATCH($C1677,'Kế hoạch'!$A$6:$A$305,0)),"Công việc","Mã chưa có")))</f>
      </c>
      <c r="J1677" s="221">
        <f>IF($I1677="Phản ánh",INDEX('Phản ánh'!$C$6:$C$505,MATCH($C1677,'Phản ánh'!$A$6:$A$505,0)),IF($I1677="Công việc",INDEX('Kế hoạch'!$C$6:$C$305,$O1677),""))</f>
      </c>
      <c r="K1677" s="221">
        <f>IF($I1677="Phản ánh",INDEX('Phản ánh'!$K$6:$K$505,MATCH($C1677,'Phản ánh'!$A$6:$A$505,0))&amp;"",IF($I1677="Công việc",INDEX('Kế hoạch'!$N$6:$N$305,$O1677)&amp;"",""))</f>
      </c>
      <c r="L1677" s="220">
        <f>IF(OR($C1677="",N($B1677)=0),"",IF(AND($I1677="Phản ánh",$E1677="Đã xử lý"),INDEX('Phản ánh'!$U$6:$U$505,MATCH($C1677,'Phản ánh'!$A$6:$A$505,0)),IF(AND($I1677="Công việc",OR($E1677="Hoàn thành",$E1677="Hoàn thành kỳ")),IF(INDEX('Kế hoạch'!$B$6:$B$305,$O1677)="Đột xuất",INDEX('Kế hoạch'!$AY$6:$AY$305,$O1677),IF(N($P1677)=0,"",IF(INT($B1677)&lt;$P1677,$P1677,IF($Q1677&gt;0,$P1677+ROUND((INT($B1677)-$P1677)/$Q1677,0)*$Q1677,IF($R1677&gt;0,EDATE($P1677,ROUND((DATEDIF($P1677,INT($B1677),"m")+(INT($B1677)-EDATE($P1677,DATEDIF($P1677,INT($B1677),"m")))/(EDATE($P1677,DATEDIF($P1677,INT($B1677),"m")+1)-EDATE($P1677,DATEDIF($P1677,INT($B1677),"m"))))/$R1677,0)*$R1677),$P1677))))),"")))</f>
      </c>
      <c r="M1677" s="223">
        <f>IF(OR($C1677="",N($L1677)=0,N($B1677)=0),"",IF(IF(MOD($L1677,1)=0,INT($B1677),$B1677)&lt;=$L1677,"Đúng hạn","Trễ hạn"))</f>
      </c>
      <c r="N1677" s="225">
        <f>IF($C1677="","",ROW())</f>
      </c>
      <c r="O1677" s="225">
        <f>IF($I1677="Công việc",MATCH($C1677,'Kế hoạch'!$A$6:$A$305,0),"")</f>
      </c>
      <c r="P1677" s="234">
        <f>IF($O1677="","",INDEX('Kế hoạch'!$I$6:$I$305,$O1677))</f>
      </c>
      <c r="Q1677" s="225">
        <f>IF($O1677="","",INDEX('Kế hoạch'!$AJ$6:$AJ$305,$O1677))</f>
      </c>
      <c r="R1677" s="225">
        <f>IF($O1677="","",INDEX('Kế hoạch'!$AK$6:$AK$305,$O1677))</f>
      </c>
    </row>
    <row r="1678">
      <c r="A1678" s="223">
        <f>IF($C1678="","",COUNTIF($C$6:$C1678,"?*"))</f>
      </c>
      <c r="B1678" s="217"/>
      <c r="C1678" s="216"/>
      <c r="D1678" s="240"/>
      <c r="E1678" s="218"/>
      <c r="F1678" s="218"/>
      <c r="G1678" s="218"/>
      <c r="H1678" s="219"/>
      <c r="I1678" s="223">
        <f>IF($C1678="","",IF(ISNUMBER(MATCH($C1678,'Phản ánh'!$A$6:$A$505,0)),"Phản ánh",IF(ISNUMBER(MATCH($C1678,'Kế hoạch'!$A$6:$A$305,0)),"Công việc","Mã chưa có")))</f>
      </c>
      <c r="J1678" s="221">
        <f>IF($I1678="Phản ánh",INDEX('Phản ánh'!$C$6:$C$505,MATCH($C1678,'Phản ánh'!$A$6:$A$505,0)),IF($I1678="Công việc",INDEX('Kế hoạch'!$C$6:$C$305,$O1678),""))</f>
      </c>
      <c r="K1678" s="221">
        <f>IF($I1678="Phản ánh",INDEX('Phản ánh'!$K$6:$K$505,MATCH($C1678,'Phản ánh'!$A$6:$A$505,0))&amp;"",IF($I1678="Công việc",INDEX('Kế hoạch'!$N$6:$N$305,$O1678)&amp;"",""))</f>
      </c>
      <c r="L1678" s="220">
        <f>IF(OR($C1678="",N($B1678)=0),"",IF(AND($I1678="Phản ánh",$E1678="Đã xử lý"),INDEX('Phản ánh'!$U$6:$U$505,MATCH($C1678,'Phản ánh'!$A$6:$A$505,0)),IF(AND($I1678="Công việc",OR($E1678="Hoàn thành",$E1678="Hoàn thành kỳ")),IF(INDEX('Kế hoạch'!$B$6:$B$305,$O1678)="Đột xuất",INDEX('Kế hoạch'!$AY$6:$AY$305,$O1678),IF(N($P1678)=0,"",IF(INT($B1678)&lt;$P1678,$P1678,IF($Q1678&gt;0,$P1678+ROUND((INT($B1678)-$P1678)/$Q1678,0)*$Q1678,IF($R1678&gt;0,EDATE($P1678,ROUND((DATEDIF($P1678,INT($B1678),"m")+(INT($B1678)-EDATE($P1678,DATEDIF($P1678,INT($B1678),"m")))/(EDATE($P1678,DATEDIF($P1678,INT($B1678),"m")+1)-EDATE($P1678,DATEDIF($P1678,INT($B1678),"m"))))/$R1678,0)*$R1678),$P1678))))),"")))</f>
      </c>
      <c r="M1678" s="223">
        <f>IF(OR($C1678="",N($L1678)=0,N($B1678)=0),"",IF(IF(MOD($L1678,1)=0,INT($B1678),$B1678)&lt;=$L1678,"Đúng hạn","Trễ hạn"))</f>
      </c>
      <c r="N1678" s="225">
        <f>IF($C1678="","",ROW())</f>
      </c>
      <c r="O1678" s="225">
        <f>IF($I1678="Công việc",MATCH($C1678,'Kế hoạch'!$A$6:$A$305,0),"")</f>
      </c>
      <c r="P1678" s="234">
        <f>IF($O1678="","",INDEX('Kế hoạch'!$I$6:$I$305,$O1678))</f>
      </c>
      <c r="Q1678" s="225">
        <f>IF($O1678="","",INDEX('Kế hoạch'!$AJ$6:$AJ$305,$O1678))</f>
      </c>
      <c r="R1678" s="225">
        <f>IF($O1678="","",INDEX('Kế hoạch'!$AK$6:$AK$305,$O1678))</f>
      </c>
    </row>
    <row r="1679">
      <c r="A1679" s="223">
        <f>IF($C1679="","",COUNTIF($C$6:$C1679,"?*"))</f>
      </c>
      <c r="B1679" s="217"/>
      <c r="C1679" s="216"/>
      <c r="D1679" s="240"/>
      <c r="E1679" s="218"/>
      <c r="F1679" s="218"/>
      <c r="G1679" s="218"/>
      <c r="H1679" s="219"/>
      <c r="I1679" s="223">
        <f>IF($C1679="","",IF(ISNUMBER(MATCH($C1679,'Phản ánh'!$A$6:$A$505,0)),"Phản ánh",IF(ISNUMBER(MATCH($C1679,'Kế hoạch'!$A$6:$A$305,0)),"Công việc","Mã chưa có")))</f>
      </c>
      <c r="J1679" s="221">
        <f>IF($I1679="Phản ánh",INDEX('Phản ánh'!$C$6:$C$505,MATCH($C1679,'Phản ánh'!$A$6:$A$505,0)),IF($I1679="Công việc",INDEX('Kế hoạch'!$C$6:$C$305,$O1679),""))</f>
      </c>
      <c r="K1679" s="221">
        <f>IF($I1679="Phản ánh",INDEX('Phản ánh'!$K$6:$K$505,MATCH($C1679,'Phản ánh'!$A$6:$A$505,0))&amp;"",IF($I1679="Công việc",INDEX('Kế hoạch'!$N$6:$N$305,$O1679)&amp;"",""))</f>
      </c>
      <c r="L1679" s="220">
        <f>IF(OR($C1679="",N($B1679)=0),"",IF(AND($I1679="Phản ánh",$E1679="Đã xử lý"),INDEX('Phản ánh'!$U$6:$U$505,MATCH($C1679,'Phản ánh'!$A$6:$A$505,0)),IF(AND($I1679="Công việc",OR($E1679="Hoàn thành",$E1679="Hoàn thành kỳ")),IF(INDEX('Kế hoạch'!$B$6:$B$305,$O1679)="Đột xuất",INDEX('Kế hoạch'!$AY$6:$AY$305,$O1679),IF(N($P1679)=0,"",IF(INT($B1679)&lt;$P1679,$P1679,IF($Q1679&gt;0,$P1679+ROUND((INT($B1679)-$P1679)/$Q1679,0)*$Q1679,IF($R1679&gt;0,EDATE($P1679,ROUND((DATEDIF($P1679,INT($B1679),"m")+(INT($B1679)-EDATE($P1679,DATEDIF($P1679,INT($B1679),"m")))/(EDATE($P1679,DATEDIF($P1679,INT($B1679),"m")+1)-EDATE($P1679,DATEDIF($P1679,INT($B1679),"m"))))/$R1679,0)*$R1679),$P1679))))),"")))</f>
      </c>
      <c r="M1679" s="223">
        <f>IF(OR($C1679="",N($L1679)=0,N($B1679)=0),"",IF(IF(MOD($L1679,1)=0,INT($B1679),$B1679)&lt;=$L1679,"Đúng hạn","Trễ hạn"))</f>
      </c>
      <c r="N1679" s="225">
        <f>IF($C1679="","",ROW())</f>
      </c>
      <c r="O1679" s="225">
        <f>IF($I1679="Công việc",MATCH($C1679,'Kế hoạch'!$A$6:$A$305,0),"")</f>
      </c>
      <c r="P1679" s="234">
        <f>IF($O1679="","",INDEX('Kế hoạch'!$I$6:$I$305,$O1679))</f>
      </c>
      <c r="Q1679" s="225">
        <f>IF($O1679="","",INDEX('Kế hoạch'!$AJ$6:$AJ$305,$O1679))</f>
      </c>
      <c r="R1679" s="225">
        <f>IF($O1679="","",INDEX('Kế hoạch'!$AK$6:$AK$305,$O1679))</f>
      </c>
    </row>
    <row r="1680">
      <c r="A1680" s="223">
        <f>IF($C1680="","",COUNTIF($C$6:$C1680,"?*"))</f>
      </c>
      <c r="B1680" s="217"/>
      <c r="C1680" s="216"/>
      <c r="D1680" s="240"/>
      <c r="E1680" s="218"/>
      <c r="F1680" s="218"/>
      <c r="G1680" s="218"/>
      <c r="H1680" s="219"/>
      <c r="I1680" s="223">
        <f>IF($C1680="","",IF(ISNUMBER(MATCH($C1680,'Phản ánh'!$A$6:$A$505,0)),"Phản ánh",IF(ISNUMBER(MATCH($C1680,'Kế hoạch'!$A$6:$A$305,0)),"Công việc","Mã chưa có")))</f>
      </c>
      <c r="J1680" s="221">
        <f>IF($I1680="Phản ánh",INDEX('Phản ánh'!$C$6:$C$505,MATCH($C1680,'Phản ánh'!$A$6:$A$505,0)),IF($I1680="Công việc",INDEX('Kế hoạch'!$C$6:$C$305,$O1680),""))</f>
      </c>
      <c r="K1680" s="221">
        <f>IF($I1680="Phản ánh",INDEX('Phản ánh'!$K$6:$K$505,MATCH($C1680,'Phản ánh'!$A$6:$A$505,0))&amp;"",IF($I1680="Công việc",INDEX('Kế hoạch'!$N$6:$N$305,$O1680)&amp;"",""))</f>
      </c>
      <c r="L1680" s="220">
        <f>IF(OR($C1680="",N($B1680)=0),"",IF(AND($I1680="Phản ánh",$E1680="Đã xử lý"),INDEX('Phản ánh'!$U$6:$U$505,MATCH($C1680,'Phản ánh'!$A$6:$A$505,0)),IF(AND($I1680="Công việc",OR($E1680="Hoàn thành",$E1680="Hoàn thành kỳ")),IF(INDEX('Kế hoạch'!$B$6:$B$305,$O1680)="Đột xuất",INDEX('Kế hoạch'!$AY$6:$AY$305,$O1680),IF(N($P1680)=0,"",IF(INT($B1680)&lt;$P1680,$P1680,IF($Q1680&gt;0,$P1680+ROUND((INT($B1680)-$P1680)/$Q1680,0)*$Q1680,IF($R1680&gt;0,EDATE($P1680,ROUND((DATEDIF($P1680,INT($B1680),"m")+(INT($B1680)-EDATE($P1680,DATEDIF($P1680,INT($B1680),"m")))/(EDATE($P1680,DATEDIF($P1680,INT($B1680),"m")+1)-EDATE($P1680,DATEDIF($P1680,INT($B1680),"m"))))/$R1680,0)*$R1680),$P1680))))),"")))</f>
      </c>
      <c r="M1680" s="223">
        <f>IF(OR($C1680="",N($L1680)=0,N($B1680)=0),"",IF(IF(MOD($L1680,1)=0,INT($B1680),$B1680)&lt;=$L1680,"Đúng hạn","Trễ hạn"))</f>
      </c>
      <c r="N1680" s="225">
        <f>IF($C1680="","",ROW())</f>
      </c>
      <c r="O1680" s="225">
        <f>IF($I1680="Công việc",MATCH($C1680,'Kế hoạch'!$A$6:$A$305,0),"")</f>
      </c>
      <c r="P1680" s="234">
        <f>IF($O1680="","",INDEX('Kế hoạch'!$I$6:$I$305,$O1680))</f>
      </c>
      <c r="Q1680" s="225">
        <f>IF($O1680="","",INDEX('Kế hoạch'!$AJ$6:$AJ$305,$O1680))</f>
      </c>
      <c r="R1680" s="225">
        <f>IF($O1680="","",INDEX('Kế hoạch'!$AK$6:$AK$305,$O1680))</f>
      </c>
    </row>
    <row r="1681">
      <c r="A1681" s="223">
        <f>IF($C1681="","",COUNTIF($C$6:$C1681,"?*"))</f>
      </c>
      <c r="B1681" s="217"/>
      <c r="C1681" s="216"/>
      <c r="D1681" s="240"/>
      <c r="E1681" s="218"/>
      <c r="F1681" s="218"/>
      <c r="G1681" s="218"/>
      <c r="H1681" s="219"/>
      <c r="I1681" s="223">
        <f>IF($C1681="","",IF(ISNUMBER(MATCH($C1681,'Phản ánh'!$A$6:$A$505,0)),"Phản ánh",IF(ISNUMBER(MATCH($C1681,'Kế hoạch'!$A$6:$A$305,0)),"Công việc","Mã chưa có")))</f>
      </c>
      <c r="J1681" s="221">
        <f>IF($I1681="Phản ánh",INDEX('Phản ánh'!$C$6:$C$505,MATCH($C1681,'Phản ánh'!$A$6:$A$505,0)),IF($I1681="Công việc",INDEX('Kế hoạch'!$C$6:$C$305,$O1681),""))</f>
      </c>
      <c r="K1681" s="221">
        <f>IF($I1681="Phản ánh",INDEX('Phản ánh'!$K$6:$K$505,MATCH($C1681,'Phản ánh'!$A$6:$A$505,0))&amp;"",IF($I1681="Công việc",INDEX('Kế hoạch'!$N$6:$N$305,$O1681)&amp;"",""))</f>
      </c>
      <c r="L1681" s="220">
        <f>IF(OR($C1681="",N($B1681)=0),"",IF(AND($I1681="Phản ánh",$E1681="Đã xử lý"),INDEX('Phản ánh'!$U$6:$U$505,MATCH($C1681,'Phản ánh'!$A$6:$A$505,0)),IF(AND($I1681="Công việc",OR($E1681="Hoàn thành",$E1681="Hoàn thành kỳ")),IF(INDEX('Kế hoạch'!$B$6:$B$305,$O1681)="Đột xuất",INDEX('Kế hoạch'!$AY$6:$AY$305,$O1681),IF(N($P1681)=0,"",IF(INT($B1681)&lt;$P1681,$P1681,IF($Q1681&gt;0,$P1681+ROUND((INT($B1681)-$P1681)/$Q1681,0)*$Q1681,IF($R1681&gt;0,EDATE($P1681,ROUND((DATEDIF($P1681,INT($B1681),"m")+(INT($B1681)-EDATE($P1681,DATEDIF($P1681,INT($B1681),"m")))/(EDATE($P1681,DATEDIF($P1681,INT($B1681),"m")+1)-EDATE($P1681,DATEDIF($P1681,INT($B1681),"m"))))/$R1681,0)*$R1681),$P1681))))),"")))</f>
      </c>
      <c r="M1681" s="223">
        <f>IF(OR($C1681="",N($L1681)=0,N($B1681)=0),"",IF(IF(MOD($L1681,1)=0,INT($B1681),$B1681)&lt;=$L1681,"Đúng hạn","Trễ hạn"))</f>
      </c>
      <c r="N1681" s="225">
        <f>IF($C1681="","",ROW())</f>
      </c>
      <c r="O1681" s="225">
        <f>IF($I1681="Công việc",MATCH($C1681,'Kế hoạch'!$A$6:$A$305,0),"")</f>
      </c>
      <c r="P1681" s="234">
        <f>IF($O1681="","",INDEX('Kế hoạch'!$I$6:$I$305,$O1681))</f>
      </c>
      <c r="Q1681" s="225">
        <f>IF($O1681="","",INDEX('Kế hoạch'!$AJ$6:$AJ$305,$O1681))</f>
      </c>
      <c r="R1681" s="225">
        <f>IF($O1681="","",INDEX('Kế hoạch'!$AK$6:$AK$305,$O1681))</f>
      </c>
    </row>
    <row r="1682">
      <c r="A1682" s="223">
        <f>IF($C1682="","",COUNTIF($C$6:$C1682,"?*"))</f>
      </c>
      <c r="B1682" s="217"/>
      <c r="C1682" s="216"/>
      <c r="D1682" s="240"/>
      <c r="E1682" s="218"/>
      <c r="F1682" s="218"/>
      <c r="G1682" s="218"/>
      <c r="H1682" s="219"/>
      <c r="I1682" s="223">
        <f>IF($C1682="","",IF(ISNUMBER(MATCH($C1682,'Phản ánh'!$A$6:$A$505,0)),"Phản ánh",IF(ISNUMBER(MATCH($C1682,'Kế hoạch'!$A$6:$A$305,0)),"Công việc","Mã chưa có")))</f>
      </c>
      <c r="J1682" s="221">
        <f>IF($I1682="Phản ánh",INDEX('Phản ánh'!$C$6:$C$505,MATCH($C1682,'Phản ánh'!$A$6:$A$505,0)),IF($I1682="Công việc",INDEX('Kế hoạch'!$C$6:$C$305,$O1682),""))</f>
      </c>
      <c r="K1682" s="221">
        <f>IF($I1682="Phản ánh",INDEX('Phản ánh'!$K$6:$K$505,MATCH($C1682,'Phản ánh'!$A$6:$A$505,0))&amp;"",IF($I1682="Công việc",INDEX('Kế hoạch'!$N$6:$N$305,$O1682)&amp;"",""))</f>
      </c>
      <c r="L1682" s="220">
        <f>IF(OR($C1682="",N($B1682)=0),"",IF(AND($I1682="Phản ánh",$E1682="Đã xử lý"),INDEX('Phản ánh'!$U$6:$U$505,MATCH($C1682,'Phản ánh'!$A$6:$A$505,0)),IF(AND($I1682="Công việc",OR($E1682="Hoàn thành",$E1682="Hoàn thành kỳ")),IF(INDEX('Kế hoạch'!$B$6:$B$305,$O1682)="Đột xuất",INDEX('Kế hoạch'!$AY$6:$AY$305,$O1682),IF(N($P1682)=0,"",IF(INT($B1682)&lt;$P1682,$P1682,IF($Q1682&gt;0,$P1682+ROUND((INT($B1682)-$P1682)/$Q1682,0)*$Q1682,IF($R1682&gt;0,EDATE($P1682,ROUND((DATEDIF($P1682,INT($B1682),"m")+(INT($B1682)-EDATE($P1682,DATEDIF($P1682,INT($B1682),"m")))/(EDATE($P1682,DATEDIF($P1682,INT($B1682),"m")+1)-EDATE($P1682,DATEDIF($P1682,INT($B1682),"m"))))/$R1682,0)*$R1682),$P1682))))),"")))</f>
      </c>
      <c r="M1682" s="223">
        <f>IF(OR($C1682="",N($L1682)=0,N($B1682)=0),"",IF(IF(MOD($L1682,1)=0,INT($B1682),$B1682)&lt;=$L1682,"Đúng hạn","Trễ hạn"))</f>
      </c>
      <c r="N1682" s="225">
        <f>IF($C1682="","",ROW())</f>
      </c>
      <c r="O1682" s="225">
        <f>IF($I1682="Công việc",MATCH($C1682,'Kế hoạch'!$A$6:$A$305,0),"")</f>
      </c>
      <c r="P1682" s="234">
        <f>IF($O1682="","",INDEX('Kế hoạch'!$I$6:$I$305,$O1682))</f>
      </c>
      <c r="Q1682" s="225">
        <f>IF($O1682="","",INDEX('Kế hoạch'!$AJ$6:$AJ$305,$O1682))</f>
      </c>
      <c r="R1682" s="225">
        <f>IF($O1682="","",INDEX('Kế hoạch'!$AK$6:$AK$305,$O1682))</f>
      </c>
    </row>
    <row r="1683">
      <c r="A1683" s="223">
        <f>IF($C1683="","",COUNTIF($C$6:$C1683,"?*"))</f>
      </c>
      <c r="B1683" s="217"/>
      <c r="C1683" s="216"/>
      <c r="D1683" s="240"/>
      <c r="E1683" s="218"/>
      <c r="F1683" s="218"/>
      <c r="G1683" s="218"/>
      <c r="H1683" s="219"/>
      <c r="I1683" s="223">
        <f>IF($C1683="","",IF(ISNUMBER(MATCH($C1683,'Phản ánh'!$A$6:$A$505,0)),"Phản ánh",IF(ISNUMBER(MATCH($C1683,'Kế hoạch'!$A$6:$A$305,0)),"Công việc","Mã chưa có")))</f>
      </c>
      <c r="J1683" s="221">
        <f>IF($I1683="Phản ánh",INDEX('Phản ánh'!$C$6:$C$505,MATCH($C1683,'Phản ánh'!$A$6:$A$505,0)),IF($I1683="Công việc",INDEX('Kế hoạch'!$C$6:$C$305,$O1683),""))</f>
      </c>
      <c r="K1683" s="221">
        <f>IF($I1683="Phản ánh",INDEX('Phản ánh'!$K$6:$K$505,MATCH($C1683,'Phản ánh'!$A$6:$A$505,0))&amp;"",IF($I1683="Công việc",INDEX('Kế hoạch'!$N$6:$N$305,$O1683)&amp;"",""))</f>
      </c>
      <c r="L1683" s="220">
        <f>IF(OR($C1683="",N($B1683)=0),"",IF(AND($I1683="Phản ánh",$E1683="Đã xử lý"),INDEX('Phản ánh'!$U$6:$U$505,MATCH($C1683,'Phản ánh'!$A$6:$A$505,0)),IF(AND($I1683="Công việc",OR($E1683="Hoàn thành",$E1683="Hoàn thành kỳ")),IF(INDEX('Kế hoạch'!$B$6:$B$305,$O1683)="Đột xuất",INDEX('Kế hoạch'!$AY$6:$AY$305,$O1683),IF(N($P1683)=0,"",IF(INT($B1683)&lt;$P1683,$P1683,IF($Q1683&gt;0,$P1683+ROUND((INT($B1683)-$P1683)/$Q1683,0)*$Q1683,IF($R1683&gt;0,EDATE($P1683,ROUND((DATEDIF($P1683,INT($B1683),"m")+(INT($B1683)-EDATE($P1683,DATEDIF($P1683,INT($B1683),"m")))/(EDATE($P1683,DATEDIF($P1683,INT($B1683),"m")+1)-EDATE($P1683,DATEDIF($P1683,INT($B1683),"m"))))/$R1683,0)*$R1683),$P1683))))),"")))</f>
      </c>
      <c r="M1683" s="223">
        <f>IF(OR($C1683="",N($L1683)=0,N($B1683)=0),"",IF(IF(MOD($L1683,1)=0,INT($B1683),$B1683)&lt;=$L1683,"Đúng hạn","Trễ hạn"))</f>
      </c>
      <c r="N1683" s="225">
        <f>IF($C1683="","",ROW())</f>
      </c>
      <c r="O1683" s="225">
        <f>IF($I1683="Công việc",MATCH($C1683,'Kế hoạch'!$A$6:$A$305,0),"")</f>
      </c>
      <c r="P1683" s="234">
        <f>IF($O1683="","",INDEX('Kế hoạch'!$I$6:$I$305,$O1683))</f>
      </c>
      <c r="Q1683" s="225">
        <f>IF($O1683="","",INDEX('Kế hoạch'!$AJ$6:$AJ$305,$O1683))</f>
      </c>
      <c r="R1683" s="225">
        <f>IF($O1683="","",INDEX('Kế hoạch'!$AK$6:$AK$305,$O1683))</f>
      </c>
    </row>
    <row r="1684">
      <c r="A1684" s="223">
        <f>IF($C1684="","",COUNTIF($C$6:$C1684,"?*"))</f>
      </c>
      <c r="B1684" s="217"/>
      <c r="C1684" s="216"/>
      <c r="D1684" s="240"/>
      <c r="E1684" s="218"/>
      <c r="F1684" s="218"/>
      <c r="G1684" s="218"/>
      <c r="H1684" s="219"/>
      <c r="I1684" s="223">
        <f>IF($C1684="","",IF(ISNUMBER(MATCH($C1684,'Phản ánh'!$A$6:$A$505,0)),"Phản ánh",IF(ISNUMBER(MATCH($C1684,'Kế hoạch'!$A$6:$A$305,0)),"Công việc","Mã chưa có")))</f>
      </c>
      <c r="J1684" s="221">
        <f>IF($I1684="Phản ánh",INDEX('Phản ánh'!$C$6:$C$505,MATCH($C1684,'Phản ánh'!$A$6:$A$505,0)),IF($I1684="Công việc",INDEX('Kế hoạch'!$C$6:$C$305,$O1684),""))</f>
      </c>
      <c r="K1684" s="221">
        <f>IF($I1684="Phản ánh",INDEX('Phản ánh'!$K$6:$K$505,MATCH($C1684,'Phản ánh'!$A$6:$A$505,0))&amp;"",IF($I1684="Công việc",INDEX('Kế hoạch'!$N$6:$N$305,$O1684)&amp;"",""))</f>
      </c>
      <c r="L1684" s="220">
        <f>IF(OR($C1684="",N($B1684)=0),"",IF(AND($I1684="Phản ánh",$E1684="Đã xử lý"),INDEX('Phản ánh'!$U$6:$U$505,MATCH($C1684,'Phản ánh'!$A$6:$A$505,0)),IF(AND($I1684="Công việc",OR($E1684="Hoàn thành",$E1684="Hoàn thành kỳ")),IF(INDEX('Kế hoạch'!$B$6:$B$305,$O1684)="Đột xuất",INDEX('Kế hoạch'!$AY$6:$AY$305,$O1684),IF(N($P1684)=0,"",IF(INT($B1684)&lt;$P1684,$P1684,IF($Q1684&gt;0,$P1684+ROUND((INT($B1684)-$P1684)/$Q1684,0)*$Q1684,IF($R1684&gt;0,EDATE($P1684,ROUND((DATEDIF($P1684,INT($B1684),"m")+(INT($B1684)-EDATE($P1684,DATEDIF($P1684,INT($B1684),"m")))/(EDATE($P1684,DATEDIF($P1684,INT($B1684),"m")+1)-EDATE($P1684,DATEDIF($P1684,INT($B1684),"m"))))/$R1684,0)*$R1684),$P1684))))),"")))</f>
      </c>
      <c r="M1684" s="223">
        <f>IF(OR($C1684="",N($L1684)=0,N($B1684)=0),"",IF(IF(MOD($L1684,1)=0,INT($B1684),$B1684)&lt;=$L1684,"Đúng hạn","Trễ hạn"))</f>
      </c>
      <c r="N1684" s="225">
        <f>IF($C1684="","",ROW())</f>
      </c>
      <c r="O1684" s="225">
        <f>IF($I1684="Công việc",MATCH($C1684,'Kế hoạch'!$A$6:$A$305,0),"")</f>
      </c>
      <c r="P1684" s="234">
        <f>IF($O1684="","",INDEX('Kế hoạch'!$I$6:$I$305,$O1684))</f>
      </c>
      <c r="Q1684" s="225">
        <f>IF($O1684="","",INDEX('Kế hoạch'!$AJ$6:$AJ$305,$O1684))</f>
      </c>
      <c r="R1684" s="225">
        <f>IF($O1684="","",INDEX('Kế hoạch'!$AK$6:$AK$305,$O1684))</f>
      </c>
    </row>
    <row r="1685">
      <c r="A1685" s="223">
        <f>IF($C1685="","",COUNTIF($C$6:$C1685,"?*"))</f>
      </c>
      <c r="B1685" s="217"/>
      <c r="C1685" s="216"/>
      <c r="D1685" s="240"/>
      <c r="E1685" s="218"/>
      <c r="F1685" s="218"/>
      <c r="G1685" s="218"/>
      <c r="H1685" s="219"/>
      <c r="I1685" s="223">
        <f>IF($C1685="","",IF(ISNUMBER(MATCH($C1685,'Phản ánh'!$A$6:$A$505,0)),"Phản ánh",IF(ISNUMBER(MATCH($C1685,'Kế hoạch'!$A$6:$A$305,0)),"Công việc","Mã chưa có")))</f>
      </c>
      <c r="J1685" s="221">
        <f>IF($I1685="Phản ánh",INDEX('Phản ánh'!$C$6:$C$505,MATCH($C1685,'Phản ánh'!$A$6:$A$505,0)),IF($I1685="Công việc",INDEX('Kế hoạch'!$C$6:$C$305,$O1685),""))</f>
      </c>
      <c r="K1685" s="221">
        <f>IF($I1685="Phản ánh",INDEX('Phản ánh'!$K$6:$K$505,MATCH($C1685,'Phản ánh'!$A$6:$A$505,0))&amp;"",IF($I1685="Công việc",INDEX('Kế hoạch'!$N$6:$N$305,$O1685)&amp;"",""))</f>
      </c>
      <c r="L1685" s="220">
        <f>IF(OR($C1685="",N($B1685)=0),"",IF(AND($I1685="Phản ánh",$E1685="Đã xử lý"),INDEX('Phản ánh'!$U$6:$U$505,MATCH($C1685,'Phản ánh'!$A$6:$A$505,0)),IF(AND($I1685="Công việc",OR($E1685="Hoàn thành",$E1685="Hoàn thành kỳ")),IF(INDEX('Kế hoạch'!$B$6:$B$305,$O1685)="Đột xuất",INDEX('Kế hoạch'!$AY$6:$AY$305,$O1685),IF(N($P1685)=0,"",IF(INT($B1685)&lt;$P1685,$P1685,IF($Q1685&gt;0,$P1685+ROUND((INT($B1685)-$P1685)/$Q1685,0)*$Q1685,IF($R1685&gt;0,EDATE($P1685,ROUND((DATEDIF($P1685,INT($B1685),"m")+(INT($B1685)-EDATE($P1685,DATEDIF($P1685,INT($B1685),"m")))/(EDATE($P1685,DATEDIF($P1685,INT($B1685),"m")+1)-EDATE($P1685,DATEDIF($P1685,INT($B1685),"m"))))/$R1685,0)*$R1685),$P1685))))),"")))</f>
      </c>
      <c r="M1685" s="223">
        <f>IF(OR($C1685="",N($L1685)=0,N($B1685)=0),"",IF(IF(MOD($L1685,1)=0,INT($B1685),$B1685)&lt;=$L1685,"Đúng hạn","Trễ hạn"))</f>
      </c>
      <c r="N1685" s="225">
        <f>IF($C1685="","",ROW())</f>
      </c>
      <c r="O1685" s="225">
        <f>IF($I1685="Công việc",MATCH($C1685,'Kế hoạch'!$A$6:$A$305,0),"")</f>
      </c>
      <c r="P1685" s="234">
        <f>IF($O1685="","",INDEX('Kế hoạch'!$I$6:$I$305,$O1685))</f>
      </c>
      <c r="Q1685" s="225">
        <f>IF($O1685="","",INDEX('Kế hoạch'!$AJ$6:$AJ$305,$O1685))</f>
      </c>
      <c r="R1685" s="225">
        <f>IF($O1685="","",INDEX('Kế hoạch'!$AK$6:$AK$305,$O1685))</f>
      </c>
    </row>
    <row r="1686">
      <c r="A1686" s="223">
        <f>IF($C1686="","",COUNTIF($C$6:$C1686,"?*"))</f>
      </c>
      <c r="B1686" s="217"/>
      <c r="C1686" s="216"/>
      <c r="D1686" s="240"/>
      <c r="E1686" s="218"/>
      <c r="F1686" s="218"/>
      <c r="G1686" s="218"/>
      <c r="H1686" s="219"/>
      <c r="I1686" s="223">
        <f>IF($C1686="","",IF(ISNUMBER(MATCH($C1686,'Phản ánh'!$A$6:$A$505,0)),"Phản ánh",IF(ISNUMBER(MATCH($C1686,'Kế hoạch'!$A$6:$A$305,0)),"Công việc","Mã chưa có")))</f>
      </c>
      <c r="J1686" s="221">
        <f>IF($I1686="Phản ánh",INDEX('Phản ánh'!$C$6:$C$505,MATCH($C1686,'Phản ánh'!$A$6:$A$505,0)),IF($I1686="Công việc",INDEX('Kế hoạch'!$C$6:$C$305,$O1686),""))</f>
      </c>
      <c r="K1686" s="221">
        <f>IF($I1686="Phản ánh",INDEX('Phản ánh'!$K$6:$K$505,MATCH($C1686,'Phản ánh'!$A$6:$A$505,0))&amp;"",IF($I1686="Công việc",INDEX('Kế hoạch'!$N$6:$N$305,$O1686)&amp;"",""))</f>
      </c>
      <c r="L1686" s="220">
        <f>IF(OR($C1686="",N($B1686)=0),"",IF(AND($I1686="Phản ánh",$E1686="Đã xử lý"),INDEX('Phản ánh'!$U$6:$U$505,MATCH($C1686,'Phản ánh'!$A$6:$A$505,0)),IF(AND($I1686="Công việc",OR($E1686="Hoàn thành",$E1686="Hoàn thành kỳ")),IF(INDEX('Kế hoạch'!$B$6:$B$305,$O1686)="Đột xuất",INDEX('Kế hoạch'!$AY$6:$AY$305,$O1686),IF(N($P1686)=0,"",IF(INT($B1686)&lt;$P1686,$P1686,IF($Q1686&gt;0,$P1686+ROUND((INT($B1686)-$P1686)/$Q1686,0)*$Q1686,IF($R1686&gt;0,EDATE($P1686,ROUND((DATEDIF($P1686,INT($B1686),"m")+(INT($B1686)-EDATE($P1686,DATEDIF($P1686,INT($B1686),"m")))/(EDATE($P1686,DATEDIF($P1686,INT($B1686),"m")+1)-EDATE($P1686,DATEDIF($P1686,INT($B1686),"m"))))/$R1686,0)*$R1686),$P1686))))),"")))</f>
      </c>
      <c r="M1686" s="223">
        <f>IF(OR($C1686="",N($L1686)=0,N($B1686)=0),"",IF(IF(MOD($L1686,1)=0,INT($B1686),$B1686)&lt;=$L1686,"Đúng hạn","Trễ hạn"))</f>
      </c>
      <c r="N1686" s="225">
        <f>IF($C1686="","",ROW())</f>
      </c>
      <c r="O1686" s="225">
        <f>IF($I1686="Công việc",MATCH($C1686,'Kế hoạch'!$A$6:$A$305,0),"")</f>
      </c>
      <c r="P1686" s="234">
        <f>IF($O1686="","",INDEX('Kế hoạch'!$I$6:$I$305,$O1686))</f>
      </c>
      <c r="Q1686" s="225">
        <f>IF($O1686="","",INDEX('Kế hoạch'!$AJ$6:$AJ$305,$O1686))</f>
      </c>
      <c r="R1686" s="225">
        <f>IF($O1686="","",INDEX('Kế hoạch'!$AK$6:$AK$305,$O1686))</f>
      </c>
    </row>
    <row r="1687">
      <c r="A1687" s="223">
        <f>IF($C1687="","",COUNTIF($C$6:$C1687,"?*"))</f>
      </c>
      <c r="B1687" s="217"/>
      <c r="C1687" s="216"/>
      <c r="D1687" s="240"/>
      <c r="E1687" s="218"/>
      <c r="F1687" s="218"/>
      <c r="G1687" s="218"/>
      <c r="H1687" s="219"/>
      <c r="I1687" s="223">
        <f>IF($C1687="","",IF(ISNUMBER(MATCH($C1687,'Phản ánh'!$A$6:$A$505,0)),"Phản ánh",IF(ISNUMBER(MATCH($C1687,'Kế hoạch'!$A$6:$A$305,0)),"Công việc","Mã chưa có")))</f>
      </c>
      <c r="J1687" s="221">
        <f>IF($I1687="Phản ánh",INDEX('Phản ánh'!$C$6:$C$505,MATCH($C1687,'Phản ánh'!$A$6:$A$505,0)),IF($I1687="Công việc",INDEX('Kế hoạch'!$C$6:$C$305,$O1687),""))</f>
      </c>
      <c r="K1687" s="221">
        <f>IF($I1687="Phản ánh",INDEX('Phản ánh'!$K$6:$K$505,MATCH($C1687,'Phản ánh'!$A$6:$A$505,0))&amp;"",IF($I1687="Công việc",INDEX('Kế hoạch'!$N$6:$N$305,$O1687)&amp;"",""))</f>
      </c>
      <c r="L1687" s="220">
        <f>IF(OR($C1687="",N($B1687)=0),"",IF(AND($I1687="Phản ánh",$E1687="Đã xử lý"),INDEX('Phản ánh'!$U$6:$U$505,MATCH($C1687,'Phản ánh'!$A$6:$A$505,0)),IF(AND($I1687="Công việc",OR($E1687="Hoàn thành",$E1687="Hoàn thành kỳ")),IF(INDEX('Kế hoạch'!$B$6:$B$305,$O1687)="Đột xuất",INDEX('Kế hoạch'!$AY$6:$AY$305,$O1687),IF(N($P1687)=0,"",IF(INT($B1687)&lt;$P1687,$P1687,IF($Q1687&gt;0,$P1687+ROUND((INT($B1687)-$P1687)/$Q1687,0)*$Q1687,IF($R1687&gt;0,EDATE($P1687,ROUND((DATEDIF($P1687,INT($B1687),"m")+(INT($B1687)-EDATE($P1687,DATEDIF($P1687,INT($B1687),"m")))/(EDATE($P1687,DATEDIF($P1687,INT($B1687),"m")+1)-EDATE($P1687,DATEDIF($P1687,INT($B1687),"m"))))/$R1687,0)*$R1687),$P1687))))),"")))</f>
      </c>
      <c r="M1687" s="223">
        <f>IF(OR($C1687="",N($L1687)=0,N($B1687)=0),"",IF(IF(MOD($L1687,1)=0,INT($B1687),$B1687)&lt;=$L1687,"Đúng hạn","Trễ hạn"))</f>
      </c>
      <c r="N1687" s="225">
        <f>IF($C1687="","",ROW())</f>
      </c>
      <c r="O1687" s="225">
        <f>IF($I1687="Công việc",MATCH($C1687,'Kế hoạch'!$A$6:$A$305,0),"")</f>
      </c>
      <c r="P1687" s="234">
        <f>IF($O1687="","",INDEX('Kế hoạch'!$I$6:$I$305,$O1687))</f>
      </c>
      <c r="Q1687" s="225">
        <f>IF($O1687="","",INDEX('Kế hoạch'!$AJ$6:$AJ$305,$O1687))</f>
      </c>
      <c r="R1687" s="225">
        <f>IF($O1687="","",INDEX('Kế hoạch'!$AK$6:$AK$305,$O1687))</f>
      </c>
    </row>
    <row r="1688">
      <c r="A1688" s="223">
        <f>IF($C1688="","",COUNTIF($C$6:$C1688,"?*"))</f>
      </c>
      <c r="B1688" s="217"/>
      <c r="C1688" s="216"/>
      <c r="D1688" s="240"/>
      <c r="E1688" s="218"/>
      <c r="F1688" s="218"/>
      <c r="G1688" s="218"/>
      <c r="H1688" s="219"/>
      <c r="I1688" s="223">
        <f>IF($C1688="","",IF(ISNUMBER(MATCH($C1688,'Phản ánh'!$A$6:$A$505,0)),"Phản ánh",IF(ISNUMBER(MATCH($C1688,'Kế hoạch'!$A$6:$A$305,0)),"Công việc","Mã chưa có")))</f>
      </c>
      <c r="J1688" s="221">
        <f>IF($I1688="Phản ánh",INDEX('Phản ánh'!$C$6:$C$505,MATCH($C1688,'Phản ánh'!$A$6:$A$505,0)),IF($I1688="Công việc",INDEX('Kế hoạch'!$C$6:$C$305,$O1688),""))</f>
      </c>
      <c r="K1688" s="221">
        <f>IF($I1688="Phản ánh",INDEX('Phản ánh'!$K$6:$K$505,MATCH($C1688,'Phản ánh'!$A$6:$A$505,0))&amp;"",IF($I1688="Công việc",INDEX('Kế hoạch'!$N$6:$N$305,$O1688)&amp;"",""))</f>
      </c>
      <c r="L1688" s="220">
        <f>IF(OR($C1688="",N($B1688)=0),"",IF(AND($I1688="Phản ánh",$E1688="Đã xử lý"),INDEX('Phản ánh'!$U$6:$U$505,MATCH($C1688,'Phản ánh'!$A$6:$A$505,0)),IF(AND($I1688="Công việc",OR($E1688="Hoàn thành",$E1688="Hoàn thành kỳ")),IF(INDEX('Kế hoạch'!$B$6:$B$305,$O1688)="Đột xuất",INDEX('Kế hoạch'!$AY$6:$AY$305,$O1688),IF(N($P1688)=0,"",IF(INT($B1688)&lt;$P1688,$P1688,IF($Q1688&gt;0,$P1688+ROUND((INT($B1688)-$P1688)/$Q1688,0)*$Q1688,IF($R1688&gt;0,EDATE($P1688,ROUND((DATEDIF($P1688,INT($B1688),"m")+(INT($B1688)-EDATE($P1688,DATEDIF($P1688,INT($B1688),"m")))/(EDATE($P1688,DATEDIF($P1688,INT($B1688),"m")+1)-EDATE($P1688,DATEDIF($P1688,INT($B1688),"m"))))/$R1688,0)*$R1688),$P1688))))),"")))</f>
      </c>
      <c r="M1688" s="223">
        <f>IF(OR($C1688="",N($L1688)=0,N($B1688)=0),"",IF(IF(MOD($L1688,1)=0,INT($B1688),$B1688)&lt;=$L1688,"Đúng hạn","Trễ hạn"))</f>
      </c>
      <c r="N1688" s="225">
        <f>IF($C1688="","",ROW())</f>
      </c>
      <c r="O1688" s="225">
        <f>IF($I1688="Công việc",MATCH($C1688,'Kế hoạch'!$A$6:$A$305,0),"")</f>
      </c>
      <c r="P1688" s="234">
        <f>IF($O1688="","",INDEX('Kế hoạch'!$I$6:$I$305,$O1688))</f>
      </c>
      <c r="Q1688" s="225">
        <f>IF($O1688="","",INDEX('Kế hoạch'!$AJ$6:$AJ$305,$O1688))</f>
      </c>
      <c r="R1688" s="225">
        <f>IF($O1688="","",INDEX('Kế hoạch'!$AK$6:$AK$305,$O1688))</f>
      </c>
    </row>
    <row r="1689">
      <c r="A1689" s="223">
        <f>IF($C1689="","",COUNTIF($C$6:$C1689,"?*"))</f>
      </c>
      <c r="B1689" s="217"/>
      <c r="C1689" s="216"/>
      <c r="D1689" s="240"/>
      <c r="E1689" s="218"/>
      <c r="F1689" s="218"/>
      <c r="G1689" s="218"/>
      <c r="H1689" s="219"/>
      <c r="I1689" s="223">
        <f>IF($C1689="","",IF(ISNUMBER(MATCH($C1689,'Phản ánh'!$A$6:$A$505,0)),"Phản ánh",IF(ISNUMBER(MATCH($C1689,'Kế hoạch'!$A$6:$A$305,0)),"Công việc","Mã chưa có")))</f>
      </c>
      <c r="J1689" s="221">
        <f>IF($I1689="Phản ánh",INDEX('Phản ánh'!$C$6:$C$505,MATCH($C1689,'Phản ánh'!$A$6:$A$505,0)),IF($I1689="Công việc",INDEX('Kế hoạch'!$C$6:$C$305,$O1689),""))</f>
      </c>
      <c r="K1689" s="221">
        <f>IF($I1689="Phản ánh",INDEX('Phản ánh'!$K$6:$K$505,MATCH($C1689,'Phản ánh'!$A$6:$A$505,0))&amp;"",IF($I1689="Công việc",INDEX('Kế hoạch'!$N$6:$N$305,$O1689)&amp;"",""))</f>
      </c>
      <c r="L1689" s="220">
        <f>IF(OR($C1689="",N($B1689)=0),"",IF(AND($I1689="Phản ánh",$E1689="Đã xử lý"),INDEX('Phản ánh'!$U$6:$U$505,MATCH($C1689,'Phản ánh'!$A$6:$A$505,0)),IF(AND($I1689="Công việc",OR($E1689="Hoàn thành",$E1689="Hoàn thành kỳ")),IF(INDEX('Kế hoạch'!$B$6:$B$305,$O1689)="Đột xuất",INDEX('Kế hoạch'!$AY$6:$AY$305,$O1689),IF(N($P1689)=0,"",IF(INT($B1689)&lt;$P1689,$P1689,IF($Q1689&gt;0,$P1689+ROUND((INT($B1689)-$P1689)/$Q1689,0)*$Q1689,IF($R1689&gt;0,EDATE($P1689,ROUND((DATEDIF($P1689,INT($B1689),"m")+(INT($B1689)-EDATE($P1689,DATEDIF($P1689,INT($B1689),"m")))/(EDATE($P1689,DATEDIF($P1689,INT($B1689),"m")+1)-EDATE($P1689,DATEDIF($P1689,INT($B1689),"m"))))/$R1689,0)*$R1689),$P1689))))),"")))</f>
      </c>
      <c r="M1689" s="223">
        <f>IF(OR($C1689="",N($L1689)=0,N($B1689)=0),"",IF(IF(MOD($L1689,1)=0,INT($B1689),$B1689)&lt;=$L1689,"Đúng hạn","Trễ hạn"))</f>
      </c>
      <c r="N1689" s="225">
        <f>IF($C1689="","",ROW())</f>
      </c>
      <c r="O1689" s="225">
        <f>IF($I1689="Công việc",MATCH($C1689,'Kế hoạch'!$A$6:$A$305,0),"")</f>
      </c>
      <c r="P1689" s="234">
        <f>IF($O1689="","",INDEX('Kế hoạch'!$I$6:$I$305,$O1689))</f>
      </c>
      <c r="Q1689" s="225">
        <f>IF($O1689="","",INDEX('Kế hoạch'!$AJ$6:$AJ$305,$O1689))</f>
      </c>
      <c r="R1689" s="225">
        <f>IF($O1689="","",INDEX('Kế hoạch'!$AK$6:$AK$305,$O1689))</f>
      </c>
    </row>
    <row r="1690">
      <c r="A1690" s="223">
        <f>IF($C1690="","",COUNTIF($C$6:$C1690,"?*"))</f>
      </c>
      <c r="B1690" s="217"/>
      <c r="C1690" s="216"/>
      <c r="D1690" s="240"/>
      <c r="E1690" s="218"/>
      <c r="F1690" s="218"/>
      <c r="G1690" s="218"/>
      <c r="H1690" s="219"/>
      <c r="I1690" s="223">
        <f>IF($C1690="","",IF(ISNUMBER(MATCH($C1690,'Phản ánh'!$A$6:$A$505,0)),"Phản ánh",IF(ISNUMBER(MATCH($C1690,'Kế hoạch'!$A$6:$A$305,0)),"Công việc","Mã chưa có")))</f>
      </c>
      <c r="J1690" s="221">
        <f>IF($I1690="Phản ánh",INDEX('Phản ánh'!$C$6:$C$505,MATCH($C1690,'Phản ánh'!$A$6:$A$505,0)),IF($I1690="Công việc",INDEX('Kế hoạch'!$C$6:$C$305,$O1690),""))</f>
      </c>
      <c r="K1690" s="221">
        <f>IF($I1690="Phản ánh",INDEX('Phản ánh'!$K$6:$K$505,MATCH($C1690,'Phản ánh'!$A$6:$A$505,0))&amp;"",IF($I1690="Công việc",INDEX('Kế hoạch'!$N$6:$N$305,$O1690)&amp;"",""))</f>
      </c>
      <c r="L1690" s="220">
        <f>IF(OR($C1690="",N($B1690)=0),"",IF(AND($I1690="Phản ánh",$E1690="Đã xử lý"),INDEX('Phản ánh'!$U$6:$U$505,MATCH($C1690,'Phản ánh'!$A$6:$A$505,0)),IF(AND($I1690="Công việc",OR($E1690="Hoàn thành",$E1690="Hoàn thành kỳ")),IF(INDEX('Kế hoạch'!$B$6:$B$305,$O1690)="Đột xuất",INDEX('Kế hoạch'!$AY$6:$AY$305,$O1690),IF(N($P1690)=0,"",IF(INT($B1690)&lt;$P1690,$P1690,IF($Q1690&gt;0,$P1690+ROUND((INT($B1690)-$P1690)/$Q1690,0)*$Q1690,IF($R1690&gt;0,EDATE($P1690,ROUND((DATEDIF($P1690,INT($B1690),"m")+(INT($B1690)-EDATE($P1690,DATEDIF($P1690,INT($B1690),"m")))/(EDATE($P1690,DATEDIF($P1690,INT($B1690),"m")+1)-EDATE($P1690,DATEDIF($P1690,INT($B1690),"m"))))/$R1690,0)*$R1690),$P1690))))),"")))</f>
      </c>
      <c r="M1690" s="223">
        <f>IF(OR($C1690="",N($L1690)=0,N($B1690)=0),"",IF(IF(MOD($L1690,1)=0,INT($B1690),$B1690)&lt;=$L1690,"Đúng hạn","Trễ hạn"))</f>
      </c>
      <c r="N1690" s="225">
        <f>IF($C1690="","",ROW())</f>
      </c>
      <c r="O1690" s="225">
        <f>IF($I1690="Công việc",MATCH($C1690,'Kế hoạch'!$A$6:$A$305,0),"")</f>
      </c>
      <c r="P1690" s="234">
        <f>IF($O1690="","",INDEX('Kế hoạch'!$I$6:$I$305,$O1690))</f>
      </c>
      <c r="Q1690" s="225">
        <f>IF($O1690="","",INDEX('Kế hoạch'!$AJ$6:$AJ$305,$O1690))</f>
      </c>
      <c r="R1690" s="225">
        <f>IF($O1690="","",INDEX('Kế hoạch'!$AK$6:$AK$305,$O1690))</f>
      </c>
    </row>
    <row r="1691">
      <c r="A1691" s="223">
        <f>IF($C1691="","",COUNTIF($C$6:$C1691,"?*"))</f>
      </c>
      <c r="B1691" s="217"/>
      <c r="C1691" s="216"/>
      <c r="D1691" s="240"/>
      <c r="E1691" s="218"/>
      <c r="F1691" s="218"/>
      <c r="G1691" s="218"/>
      <c r="H1691" s="219"/>
      <c r="I1691" s="223">
        <f>IF($C1691="","",IF(ISNUMBER(MATCH($C1691,'Phản ánh'!$A$6:$A$505,0)),"Phản ánh",IF(ISNUMBER(MATCH($C1691,'Kế hoạch'!$A$6:$A$305,0)),"Công việc","Mã chưa có")))</f>
      </c>
      <c r="J1691" s="221">
        <f>IF($I1691="Phản ánh",INDEX('Phản ánh'!$C$6:$C$505,MATCH($C1691,'Phản ánh'!$A$6:$A$505,0)),IF($I1691="Công việc",INDEX('Kế hoạch'!$C$6:$C$305,$O1691),""))</f>
      </c>
      <c r="K1691" s="221">
        <f>IF($I1691="Phản ánh",INDEX('Phản ánh'!$K$6:$K$505,MATCH($C1691,'Phản ánh'!$A$6:$A$505,0))&amp;"",IF($I1691="Công việc",INDEX('Kế hoạch'!$N$6:$N$305,$O1691)&amp;"",""))</f>
      </c>
      <c r="L1691" s="220">
        <f>IF(OR($C1691="",N($B1691)=0),"",IF(AND($I1691="Phản ánh",$E1691="Đã xử lý"),INDEX('Phản ánh'!$U$6:$U$505,MATCH($C1691,'Phản ánh'!$A$6:$A$505,0)),IF(AND($I1691="Công việc",OR($E1691="Hoàn thành",$E1691="Hoàn thành kỳ")),IF(INDEX('Kế hoạch'!$B$6:$B$305,$O1691)="Đột xuất",INDEX('Kế hoạch'!$AY$6:$AY$305,$O1691),IF(N($P1691)=0,"",IF(INT($B1691)&lt;$P1691,$P1691,IF($Q1691&gt;0,$P1691+ROUND((INT($B1691)-$P1691)/$Q1691,0)*$Q1691,IF($R1691&gt;0,EDATE($P1691,ROUND((DATEDIF($P1691,INT($B1691),"m")+(INT($B1691)-EDATE($P1691,DATEDIF($P1691,INT($B1691),"m")))/(EDATE($P1691,DATEDIF($P1691,INT($B1691),"m")+1)-EDATE($P1691,DATEDIF($P1691,INT($B1691),"m"))))/$R1691,0)*$R1691),$P1691))))),"")))</f>
      </c>
      <c r="M1691" s="223">
        <f>IF(OR($C1691="",N($L1691)=0,N($B1691)=0),"",IF(IF(MOD($L1691,1)=0,INT($B1691),$B1691)&lt;=$L1691,"Đúng hạn","Trễ hạn"))</f>
      </c>
      <c r="N1691" s="225">
        <f>IF($C1691="","",ROW())</f>
      </c>
      <c r="O1691" s="225">
        <f>IF($I1691="Công việc",MATCH($C1691,'Kế hoạch'!$A$6:$A$305,0),"")</f>
      </c>
      <c r="P1691" s="234">
        <f>IF($O1691="","",INDEX('Kế hoạch'!$I$6:$I$305,$O1691))</f>
      </c>
      <c r="Q1691" s="225">
        <f>IF($O1691="","",INDEX('Kế hoạch'!$AJ$6:$AJ$305,$O1691))</f>
      </c>
      <c r="R1691" s="225">
        <f>IF($O1691="","",INDEX('Kế hoạch'!$AK$6:$AK$305,$O1691))</f>
      </c>
    </row>
    <row r="1692">
      <c r="A1692" s="223">
        <f>IF($C1692="","",COUNTIF($C$6:$C1692,"?*"))</f>
      </c>
      <c r="B1692" s="217"/>
      <c r="C1692" s="216"/>
      <c r="D1692" s="240"/>
      <c r="E1692" s="218"/>
      <c r="F1692" s="218"/>
      <c r="G1692" s="218"/>
      <c r="H1692" s="219"/>
      <c r="I1692" s="223">
        <f>IF($C1692="","",IF(ISNUMBER(MATCH($C1692,'Phản ánh'!$A$6:$A$505,0)),"Phản ánh",IF(ISNUMBER(MATCH($C1692,'Kế hoạch'!$A$6:$A$305,0)),"Công việc","Mã chưa có")))</f>
      </c>
      <c r="J1692" s="221">
        <f>IF($I1692="Phản ánh",INDEX('Phản ánh'!$C$6:$C$505,MATCH($C1692,'Phản ánh'!$A$6:$A$505,0)),IF($I1692="Công việc",INDEX('Kế hoạch'!$C$6:$C$305,$O1692),""))</f>
      </c>
      <c r="K1692" s="221">
        <f>IF($I1692="Phản ánh",INDEX('Phản ánh'!$K$6:$K$505,MATCH($C1692,'Phản ánh'!$A$6:$A$505,0))&amp;"",IF($I1692="Công việc",INDEX('Kế hoạch'!$N$6:$N$305,$O1692)&amp;"",""))</f>
      </c>
      <c r="L1692" s="220">
        <f>IF(OR($C1692="",N($B1692)=0),"",IF(AND($I1692="Phản ánh",$E1692="Đã xử lý"),INDEX('Phản ánh'!$U$6:$U$505,MATCH($C1692,'Phản ánh'!$A$6:$A$505,0)),IF(AND($I1692="Công việc",OR($E1692="Hoàn thành",$E1692="Hoàn thành kỳ")),IF(INDEX('Kế hoạch'!$B$6:$B$305,$O1692)="Đột xuất",INDEX('Kế hoạch'!$AY$6:$AY$305,$O1692),IF(N($P1692)=0,"",IF(INT($B1692)&lt;$P1692,$P1692,IF($Q1692&gt;0,$P1692+ROUND((INT($B1692)-$P1692)/$Q1692,0)*$Q1692,IF($R1692&gt;0,EDATE($P1692,ROUND((DATEDIF($P1692,INT($B1692),"m")+(INT($B1692)-EDATE($P1692,DATEDIF($P1692,INT($B1692),"m")))/(EDATE($P1692,DATEDIF($P1692,INT($B1692),"m")+1)-EDATE($P1692,DATEDIF($P1692,INT($B1692),"m"))))/$R1692,0)*$R1692),$P1692))))),"")))</f>
      </c>
      <c r="M1692" s="223">
        <f>IF(OR($C1692="",N($L1692)=0,N($B1692)=0),"",IF(IF(MOD($L1692,1)=0,INT($B1692),$B1692)&lt;=$L1692,"Đúng hạn","Trễ hạn"))</f>
      </c>
      <c r="N1692" s="225">
        <f>IF($C1692="","",ROW())</f>
      </c>
      <c r="O1692" s="225">
        <f>IF($I1692="Công việc",MATCH($C1692,'Kế hoạch'!$A$6:$A$305,0),"")</f>
      </c>
      <c r="P1692" s="234">
        <f>IF($O1692="","",INDEX('Kế hoạch'!$I$6:$I$305,$O1692))</f>
      </c>
      <c r="Q1692" s="225">
        <f>IF($O1692="","",INDEX('Kế hoạch'!$AJ$6:$AJ$305,$O1692))</f>
      </c>
      <c r="R1692" s="225">
        <f>IF($O1692="","",INDEX('Kế hoạch'!$AK$6:$AK$305,$O1692))</f>
      </c>
    </row>
    <row r="1693">
      <c r="A1693" s="223">
        <f>IF($C1693="","",COUNTIF($C$6:$C1693,"?*"))</f>
      </c>
      <c r="B1693" s="217"/>
      <c r="C1693" s="216"/>
      <c r="D1693" s="240"/>
      <c r="E1693" s="218"/>
      <c r="F1693" s="218"/>
      <c r="G1693" s="218"/>
      <c r="H1693" s="219"/>
      <c r="I1693" s="223">
        <f>IF($C1693="","",IF(ISNUMBER(MATCH($C1693,'Phản ánh'!$A$6:$A$505,0)),"Phản ánh",IF(ISNUMBER(MATCH($C1693,'Kế hoạch'!$A$6:$A$305,0)),"Công việc","Mã chưa có")))</f>
      </c>
      <c r="J1693" s="221">
        <f>IF($I1693="Phản ánh",INDEX('Phản ánh'!$C$6:$C$505,MATCH($C1693,'Phản ánh'!$A$6:$A$505,0)),IF($I1693="Công việc",INDEX('Kế hoạch'!$C$6:$C$305,$O1693),""))</f>
      </c>
      <c r="K1693" s="221">
        <f>IF($I1693="Phản ánh",INDEX('Phản ánh'!$K$6:$K$505,MATCH($C1693,'Phản ánh'!$A$6:$A$505,0))&amp;"",IF($I1693="Công việc",INDEX('Kế hoạch'!$N$6:$N$305,$O1693)&amp;"",""))</f>
      </c>
      <c r="L1693" s="220">
        <f>IF(OR($C1693="",N($B1693)=0),"",IF(AND($I1693="Phản ánh",$E1693="Đã xử lý"),INDEX('Phản ánh'!$U$6:$U$505,MATCH($C1693,'Phản ánh'!$A$6:$A$505,0)),IF(AND($I1693="Công việc",OR($E1693="Hoàn thành",$E1693="Hoàn thành kỳ")),IF(INDEX('Kế hoạch'!$B$6:$B$305,$O1693)="Đột xuất",INDEX('Kế hoạch'!$AY$6:$AY$305,$O1693),IF(N($P1693)=0,"",IF(INT($B1693)&lt;$P1693,$P1693,IF($Q1693&gt;0,$P1693+ROUND((INT($B1693)-$P1693)/$Q1693,0)*$Q1693,IF($R1693&gt;0,EDATE($P1693,ROUND((DATEDIF($P1693,INT($B1693),"m")+(INT($B1693)-EDATE($P1693,DATEDIF($P1693,INT($B1693),"m")))/(EDATE($P1693,DATEDIF($P1693,INT($B1693),"m")+1)-EDATE($P1693,DATEDIF($P1693,INT($B1693),"m"))))/$R1693,0)*$R1693),$P1693))))),"")))</f>
      </c>
      <c r="M1693" s="223">
        <f>IF(OR($C1693="",N($L1693)=0,N($B1693)=0),"",IF(IF(MOD($L1693,1)=0,INT($B1693),$B1693)&lt;=$L1693,"Đúng hạn","Trễ hạn"))</f>
      </c>
      <c r="N1693" s="225">
        <f>IF($C1693="","",ROW())</f>
      </c>
      <c r="O1693" s="225">
        <f>IF($I1693="Công việc",MATCH($C1693,'Kế hoạch'!$A$6:$A$305,0),"")</f>
      </c>
      <c r="P1693" s="234">
        <f>IF($O1693="","",INDEX('Kế hoạch'!$I$6:$I$305,$O1693))</f>
      </c>
      <c r="Q1693" s="225">
        <f>IF($O1693="","",INDEX('Kế hoạch'!$AJ$6:$AJ$305,$O1693))</f>
      </c>
      <c r="R1693" s="225">
        <f>IF($O1693="","",INDEX('Kế hoạch'!$AK$6:$AK$305,$O1693))</f>
      </c>
    </row>
    <row r="1694">
      <c r="A1694" s="223">
        <f>IF($C1694="","",COUNTIF($C$6:$C1694,"?*"))</f>
      </c>
      <c r="B1694" s="217"/>
      <c r="C1694" s="216"/>
      <c r="D1694" s="240"/>
      <c r="E1694" s="218"/>
      <c r="F1694" s="218"/>
      <c r="G1694" s="218"/>
      <c r="H1694" s="219"/>
      <c r="I1694" s="223">
        <f>IF($C1694="","",IF(ISNUMBER(MATCH($C1694,'Phản ánh'!$A$6:$A$505,0)),"Phản ánh",IF(ISNUMBER(MATCH($C1694,'Kế hoạch'!$A$6:$A$305,0)),"Công việc","Mã chưa có")))</f>
      </c>
      <c r="J1694" s="221">
        <f>IF($I1694="Phản ánh",INDEX('Phản ánh'!$C$6:$C$505,MATCH($C1694,'Phản ánh'!$A$6:$A$505,0)),IF($I1694="Công việc",INDEX('Kế hoạch'!$C$6:$C$305,$O1694),""))</f>
      </c>
      <c r="K1694" s="221">
        <f>IF($I1694="Phản ánh",INDEX('Phản ánh'!$K$6:$K$505,MATCH($C1694,'Phản ánh'!$A$6:$A$505,0))&amp;"",IF($I1694="Công việc",INDEX('Kế hoạch'!$N$6:$N$305,$O1694)&amp;"",""))</f>
      </c>
      <c r="L1694" s="220">
        <f>IF(OR($C1694="",N($B1694)=0),"",IF(AND($I1694="Phản ánh",$E1694="Đã xử lý"),INDEX('Phản ánh'!$U$6:$U$505,MATCH($C1694,'Phản ánh'!$A$6:$A$505,0)),IF(AND($I1694="Công việc",OR($E1694="Hoàn thành",$E1694="Hoàn thành kỳ")),IF(INDEX('Kế hoạch'!$B$6:$B$305,$O1694)="Đột xuất",INDEX('Kế hoạch'!$AY$6:$AY$305,$O1694),IF(N($P1694)=0,"",IF(INT($B1694)&lt;$P1694,$P1694,IF($Q1694&gt;0,$P1694+ROUND((INT($B1694)-$P1694)/$Q1694,0)*$Q1694,IF($R1694&gt;0,EDATE($P1694,ROUND((DATEDIF($P1694,INT($B1694),"m")+(INT($B1694)-EDATE($P1694,DATEDIF($P1694,INT($B1694),"m")))/(EDATE($P1694,DATEDIF($P1694,INT($B1694),"m")+1)-EDATE($P1694,DATEDIF($P1694,INT($B1694),"m"))))/$R1694,0)*$R1694),$P1694))))),"")))</f>
      </c>
      <c r="M1694" s="223">
        <f>IF(OR($C1694="",N($L1694)=0,N($B1694)=0),"",IF(IF(MOD($L1694,1)=0,INT($B1694),$B1694)&lt;=$L1694,"Đúng hạn","Trễ hạn"))</f>
      </c>
      <c r="N1694" s="225">
        <f>IF($C1694="","",ROW())</f>
      </c>
      <c r="O1694" s="225">
        <f>IF($I1694="Công việc",MATCH($C1694,'Kế hoạch'!$A$6:$A$305,0),"")</f>
      </c>
      <c r="P1694" s="234">
        <f>IF($O1694="","",INDEX('Kế hoạch'!$I$6:$I$305,$O1694))</f>
      </c>
      <c r="Q1694" s="225">
        <f>IF($O1694="","",INDEX('Kế hoạch'!$AJ$6:$AJ$305,$O1694))</f>
      </c>
      <c r="R1694" s="225">
        <f>IF($O1694="","",INDEX('Kế hoạch'!$AK$6:$AK$305,$O1694))</f>
      </c>
    </row>
    <row r="1695">
      <c r="A1695" s="223">
        <f>IF($C1695="","",COUNTIF($C$6:$C1695,"?*"))</f>
      </c>
      <c r="B1695" s="217"/>
      <c r="C1695" s="216"/>
      <c r="D1695" s="240"/>
      <c r="E1695" s="218"/>
      <c r="F1695" s="218"/>
      <c r="G1695" s="218"/>
      <c r="H1695" s="219"/>
      <c r="I1695" s="223">
        <f>IF($C1695="","",IF(ISNUMBER(MATCH($C1695,'Phản ánh'!$A$6:$A$505,0)),"Phản ánh",IF(ISNUMBER(MATCH($C1695,'Kế hoạch'!$A$6:$A$305,0)),"Công việc","Mã chưa có")))</f>
      </c>
      <c r="J1695" s="221">
        <f>IF($I1695="Phản ánh",INDEX('Phản ánh'!$C$6:$C$505,MATCH($C1695,'Phản ánh'!$A$6:$A$505,0)),IF($I1695="Công việc",INDEX('Kế hoạch'!$C$6:$C$305,$O1695),""))</f>
      </c>
      <c r="K1695" s="221">
        <f>IF($I1695="Phản ánh",INDEX('Phản ánh'!$K$6:$K$505,MATCH($C1695,'Phản ánh'!$A$6:$A$505,0))&amp;"",IF($I1695="Công việc",INDEX('Kế hoạch'!$N$6:$N$305,$O1695)&amp;"",""))</f>
      </c>
      <c r="L1695" s="220">
        <f>IF(OR($C1695="",N($B1695)=0),"",IF(AND($I1695="Phản ánh",$E1695="Đã xử lý"),INDEX('Phản ánh'!$U$6:$U$505,MATCH($C1695,'Phản ánh'!$A$6:$A$505,0)),IF(AND($I1695="Công việc",OR($E1695="Hoàn thành",$E1695="Hoàn thành kỳ")),IF(INDEX('Kế hoạch'!$B$6:$B$305,$O1695)="Đột xuất",INDEX('Kế hoạch'!$AY$6:$AY$305,$O1695),IF(N($P1695)=0,"",IF(INT($B1695)&lt;$P1695,$P1695,IF($Q1695&gt;0,$P1695+ROUND((INT($B1695)-$P1695)/$Q1695,0)*$Q1695,IF($R1695&gt;0,EDATE($P1695,ROUND((DATEDIF($P1695,INT($B1695),"m")+(INT($B1695)-EDATE($P1695,DATEDIF($P1695,INT($B1695),"m")))/(EDATE($P1695,DATEDIF($P1695,INT($B1695),"m")+1)-EDATE($P1695,DATEDIF($P1695,INT($B1695),"m"))))/$R1695,0)*$R1695),$P1695))))),"")))</f>
      </c>
      <c r="M1695" s="223">
        <f>IF(OR($C1695="",N($L1695)=0,N($B1695)=0),"",IF(IF(MOD($L1695,1)=0,INT($B1695),$B1695)&lt;=$L1695,"Đúng hạn","Trễ hạn"))</f>
      </c>
      <c r="N1695" s="225">
        <f>IF($C1695="","",ROW())</f>
      </c>
      <c r="O1695" s="225">
        <f>IF($I1695="Công việc",MATCH($C1695,'Kế hoạch'!$A$6:$A$305,0),"")</f>
      </c>
      <c r="P1695" s="234">
        <f>IF($O1695="","",INDEX('Kế hoạch'!$I$6:$I$305,$O1695))</f>
      </c>
      <c r="Q1695" s="225">
        <f>IF($O1695="","",INDEX('Kế hoạch'!$AJ$6:$AJ$305,$O1695))</f>
      </c>
      <c r="R1695" s="225">
        <f>IF($O1695="","",INDEX('Kế hoạch'!$AK$6:$AK$305,$O1695))</f>
      </c>
    </row>
    <row r="1696">
      <c r="A1696" s="223">
        <f>IF($C1696="","",COUNTIF($C$6:$C1696,"?*"))</f>
      </c>
      <c r="B1696" s="217"/>
      <c r="C1696" s="216"/>
      <c r="D1696" s="240"/>
      <c r="E1696" s="218"/>
      <c r="F1696" s="218"/>
      <c r="G1696" s="218"/>
      <c r="H1696" s="219"/>
      <c r="I1696" s="223">
        <f>IF($C1696="","",IF(ISNUMBER(MATCH($C1696,'Phản ánh'!$A$6:$A$505,0)),"Phản ánh",IF(ISNUMBER(MATCH($C1696,'Kế hoạch'!$A$6:$A$305,0)),"Công việc","Mã chưa có")))</f>
      </c>
      <c r="J1696" s="221">
        <f>IF($I1696="Phản ánh",INDEX('Phản ánh'!$C$6:$C$505,MATCH($C1696,'Phản ánh'!$A$6:$A$505,0)),IF($I1696="Công việc",INDEX('Kế hoạch'!$C$6:$C$305,$O1696),""))</f>
      </c>
      <c r="K1696" s="221">
        <f>IF($I1696="Phản ánh",INDEX('Phản ánh'!$K$6:$K$505,MATCH($C1696,'Phản ánh'!$A$6:$A$505,0))&amp;"",IF($I1696="Công việc",INDEX('Kế hoạch'!$N$6:$N$305,$O1696)&amp;"",""))</f>
      </c>
      <c r="L1696" s="220">
        <f>IF(OR($C1696="",N($B1696)=0),"",IF(AND($I1696="Phản ánh",$E1696="Đã xử lý"),INDEX('Phản ánh'!$U$6:$U$505,MATCH($C1696,'Phản ánh'!$A$6:$A$505,0)),IF(AND($I1696="Công việc",OR($E1696="Hoàn thành",$E1696="Hoàn thành kỳ")),IF(INDEX('Kế hoạch'!$B$6:$B$305,$O1696)="Đột xuất",INDEX('Kế hoạch'!$AY$6:$AY$305,$O1696),IF(N($P1696)=0,"",IF(INT($B1696)&lt;$P1696,$P1696,IF($Q1696&gt;0,$P1696+ROUND((INT($B1696)-$P1696)/$Q1696,0)*$Q1696,IF($R1696&gt;0,EDATE($P1696,ROUND((DATEDIF($P1696,INT($B1696),"m")+(INT($B1696)-EDATE($P1696,DATEDIF($P1696,INT($B1696),"m")))/(EDATE($P1696,DATEDIF($P1696,INT($B1696),"m")+1)-EDATE($P1696,DATEDIF($P1696,INT($B1696),"m"))))/$R1696,0)*$R1696),$P1696))))),"")))</f>
      </c>
      <c r="M1696" s="223">
        <f>IF(OR($C1696="",N($L1696)=0,N($B1696)=0),"",IF(IF(MOD($L1696,1)=0,INT($B1696),$B1696)&lt;=$L1696,"Đúng hạn","Trễ hạn"))</f>
      </c>
      <c r="N1696" s="225">
        <f>IF($C1696="","",ROW())</f>
      </c>
      <c r="O1696" s="225">
        <f>IF($I1696="Công việc",MATCH($C1696,'Kế hoạch'!$A$6:$A$305,0),"")</f>
      </c>
      <c r="P1696" s="234">
        <f>IF($O1696="","",INDEX('Kế hoạch'!$I$6:$I$305,$O1696))</f>
      </c>
      <c r="Q1696" s="225">
        <f>IF($O1696="","",INDEX('Kế hoạch'!$AJ$6:$AJ$305,$O1696))</f>
      </c>
      <c r="R1696" s="225">
        <f>IF($O1696="","",INDEX('Kế hoạch'!$AK$6:$AK$305,$O1696))</f>
      </c>
    </row>
    <row r="1697">
      <c r="A1697" s="223">
        <f>IF($C1697="","",COUNTIF($C$6:$C1697,"?*"))</f>
      </c>
      <c r="B1697" s="217"/>
      <c r="C1697" s="216"/>
      <c r="D1697" s="240"/>
      <c r="E1697" s="218"/>
      <c r="F1697" s="218"/>
      <c r="G1697" s="218"/>
      <c r="H1697" s="219"/>
      <c r="I1697" s="223">
        <f>IF($C1697="","",IF(ISNUMBER(MATCH($C1697,'Phản ánh'!$A$6:$A$505,0)),"Phản ánh",IF(ISNUMBER(MATCH($C1697,'Kế hoạch'!$A$6:$A$305,0)),"Công việc","Mã chưa có")))</f>
      </c>
      <c r="J1697" s="221">
        <f>IF($I1697="Phản ánh",INDEX('Phản ánh'!$C$6:$C$505,MATCH($C1697,'Phản ánh'!$A$6:$A$505,0)),IF($I1697="Công việc",INDEX('Kế hoạch'!$C$6:$C$305,$O1697),""))</f>
      </c>
      <c r="K1697" s="221">
        <f>IF($I1697="Phản ánh",INDEX('Phản ánh'!$K$6:$K$505,MATCH($C1697,'Phản ánh'!$A$6:$A$505,0))&amp;"",IF($I1697="Công việc",INDEX('Kế hoạch'!$N$6:$N$305,$O1697)&amp;"",""))</f>
      </c>
      <c r="L1697" s="220">
        <f>IF(OR($C1697="",N($B1697)=0),"",IF(AND($I1697="Phản ánh",$E1697="Đã xử lý"),INDEX('Phản ánh'!$U$6:$U$505,MATCH($C1697,'Phản ánh'!$A$6:$A$505,0)),IF(AND($I1697="Công việc",OR($E1697="Hoàn thành",$E1697="Hoàn thành kỳ")),IF(INDEX('Kế hoạch'!$B$6:$B$305,$O1697)="Đột xuất",INDEX('Kế hoạch'!$AY$6:$AY$305,$O1697),IF(N($P1697)=0,"",IF(INT($B1697)&lt;$P1697,$P1697,IF($Q1697&gt;0,$P1697+ROUND((INT($B1697)-$P1697)/$Q1697,0)*$Q1697,IF($R1697&gt;0,EDATE($P1697,ROUND((DATEDIF($P1697,INT($B1697),"m")+(INT($B1697)-EDATE($P1697,DATEDIF($P1697,INT($B1697),"m")))/(EDATE($P1697,DATEDIF($P1697,INT($B1697),"m")+1)-EDATE($P1697,DATEDIF($P1697,INT($B1697),"m"))))/$R1697,0)*$R1697),$P1697))))),"")))</f>
      </c>
      <c r="M1697" s="223">
        <f>IF(OR($C1697="",N($L1697)=0,N($B1697)=0),"",IF(IF(MOD($L1697,1)=0,INT($B1697),$B1697)&lt;=$L1697,"Đúng hạn","Trễ hạn"))</f>
      </c>
      <c r="N1697" s="225">
        <f>IF($C1697="","",ROW())</f>
      </c>
      <c r="O1697" s="225">
        <f>IF($I1697="Công việc",MATCH($C1697,'Kế hoạch'!$A$6:$A$305,0),"")</f>
      </c>
      <c r="P1697" s="234">
        <f>IF($O1697="","",INDEX('Kế hoạch'!$I$6:$I$305,$O1697))</f>
      </c>
      <c r="Q1697" s="225">
        <f>IF($O1697="","",INDEX('Kế hoạch'!$AJ$6:$AJ$305,$O1697))</f>
      </c>
      <c r="R1697" s="225">
        <f>IF($O1697="","",INDEX('Kế hoạch'!$AK$6:$AK$305,$O1697))</f>
      </c>
    </row>
    <row r="1698">
      <c r="A1698" s="223">
        <f>IF($C1698="","",COUNTIF($C$6:$C1698,"?*"))</f>
      </c>
      <c r="B1698" s="217"/>
      <c r="C1698" s="216"/>
      <c r="D1698" s="240"/>
      <c r="E1698" s="218"/>
      <c r="F1698" s="218"/>
      <c r="G1698" s="218"/>
      <c r="H1698" s="219"/>
      <c r="I1698" s="223">
        <f>IF($C1698="","",IF(ISNUMBER(MATCH($C1698,'Phản ánh'!$A$6:$A$505,0)),"Phản ánh",IF(ISNUMBER(MATCH($C1698,'Kế hoạch'!$A$6:$A$305,0)),"Công việc","Mã chưa có")))</f>
      </c>
      <c r="J1698" s="221">
        <f>IF($I1698="Phản ánh",INDEX('Phản ánh'!$C$6:$C$505,MATCH($C1698,'Phản ánh'!$A$6:$A$505,0)),IF($I1698="Công việc",INDEX('Kế hoạch'!$C$6:$C$305,$O1698),""))</f>
      </c>
      <c r="K1698" s="221">
        <f>IF($I1698="Phản ánh",INDEX('Phản ánh'!$K$6:$K$505,MATCH($C1698,'Phản ánh'!$A$6:$A$505,0))&amp;"",IF($I1698="Công việc",INDEX('Kế hoạch'!$N$6:$N$305,$O1698)&amp;"",""))</f>
      </c>
      <c r="L1698" s="220">
        <f>IF(OR($C1698="",N($B1698)=0),"",IF(AND($I1698="Phản ánh",$E1698="Đã xử lý"),INDEX('Phản ánh'!$U$6:$U$505,MATCH($C1698,'Phản ánh'!$A$6:$A$505,0)),IF(AND($I1698="Công việc",OR($E1698="Hoàn thành",$E1698="Hoàn thành kỳ")),IF(INDEX('Kế hoạch'!$B$6:$B$305,$O1698)="Đột xuất",INDEX('Kế hoạch'!$AY$6:$AY$305,$O1698),IF(N($P1698)=0,"",IF(INT($B1698)&lt;$P1698,$P1698,IF($Q1698&gt;0,$P1698+ROUND((INT($B1698)-$P1698)/$Q1698,0)*$Q1698,IF($R1698&gt;0,EDATE($P1698,ROUND((DATEDIF($P1698,INT($B1698),"m")+(INT($B1698)-EDATE($P1698,DATEDIF($P1698,INT($B1698),"m")))/(EDATE($P1698,DATEDIF($P1698,INT($B1698),"m")+1)-EDATE($P1698,DATEDIF($P1698,INT($B1698),"m"))))/$R1698,0)*$R1698),$P1698))))),"")))</f>
      </c>
      <c r="M1698" s="223">
        <f>IF(OR($C1698="",N($L1698)=0,N($B1698)=0),"",IF(IF(MOD($L1698,1)=0,INT($B1698),$B1698)&lt;=$L1698,"Đúng hạn","Trễ hạn"))</f>
      </c>
      <c r="N1698" s="225">
        <f>IF($C1698="","",ROW())</f>
      </c>
      <c r="O1698" s="225">
        <f>IF($I1698="Công việc",MATCH($C1698,'Kế hoạch'!$A$6:$A$305,0),"")</f>
      </c>
      <c r="P1698" s="234">
        <f>IF($O1698="","",INDEX('Kế hoạch'!$I$6:$I$305,$O1698))</f>
      </c>
      <c r="Q1698" s="225">
        <f>IF($O1698="","",INDEX('Kế hoạch'!$AJ$6:$AJ$305,$O1698))</f>
      </c>
      <c r="R1698" s="225">
        <f>IF($O1698="","",INDEX('Kế hoạch'!$AK$6:$AK$305,$O1698))</f>
      </c>
    </row>
    <row r="1699">
      <c r="A1699" s="223">
        <f>IF($C1699="","",COUNTIF($C$6:$C1699,"?*"))</f>
      </c>
      <c r="B1699" s="217"/>
      <c r="C1699" s="216"/>
      <c r="D1699" s="240"/>
      <c r="E1699" s="218"/>
      <c r="F1699" s="218"/>
      <c r="G1699" s="218"/>
      <c r="H1699" s="219"/>
      <c r="I1699" s="223">
        <f>IF($C1699="","",IF(ISNUMBER(MATCH($C1699,'Phản ánh'!$A$6:$A$505,0)),"Phản ánh",IF(ISNUMBER(MATCH($C1699,'Kế hoạch'!$A$6:$A$305,0)),"Công việc","Mã chưa có")))</f>
      </c>
      <c r="J1699" s="221">
        <f>IF($I1699="Phản ánh",INDEX('Phản ánh'!$C$6:$C$505,MATCH($C1699,'Phản ánh'!$A$6:$A$505,0)),IF($I1699="Công việc",INDEX('Kế hoạch'!$C$6:$C$305,$O1699),""))</f>
      </c>
      <c r="K1699" s="221">
        <f>IF($I1699="Phản ánh",INDEX('Phản ánh'!$K$6:$K$505,MATCH($C1699,'Phản ánh'!$A$6:$A$505,0))&amp;"",IF($I1699="Công việc",INDEX('Kế hoạch'!$N$6:$N$305,$O1699)&amp;"",""))</f>
      </c>
      <c r="L1699" s="220">
        <f>IF(OR($C1699="",N($B1699)=0),"",IF(AND($I1699="Phản ánh",$E1699="Đã xử lý"),INDEX('Phản ánh'!$U$6:$U$505,MATCH($C1699,'Phản ánh'!$A$6:$A$505,0)),IF(AND($I1699="Công việc",OR($E1699="Hoàn thành",$E1699="Hoàn thành kỳ")),IF(INDEX('Kế hoạch'!$B$6:$B$305,$O1699)="Đột xuất",INDEX('Kế hoạch'!$AY$6:$AY$305,$O1699),IF(N($P1699)=0,"",IF(INT($B1699)&lt;$P1699,$P1699,IF($Q1699&gt;0,$P1699+ROUND((INT($B1699)-$P1699)/$Q1699,0)*$Q1699,IF($R1699&gt;0,EDATE($P1699,ROUND((DATEDIF($P1699,INT($B1699),"m")+(INT($B1699)-EDATE($P1699,DATEDIF($P1699,INT($B1699),"m")))/(EDATE($P1699,DATEDIF($P1699,INT($B1699),"m")+1)-EDATE($P1699,DATEDIF($P1699,INT($B1699),"m"))))/$R1699,0)*$R1699),$P1699))))),"")))</f>
      </c>
      <c r="M1699" s="223">
        <f>IF(OR($C1699="",N($L1699)=0,N($B1699)=0),"",IF(IF(MOD($L1699,1)=0,INT($B1699),$B1699)&lt;=$L1699,"Đúng hạn","Trễ hạn"))</f>
      </c>
      <c r="N1699" s="225">
        <f>IF($C1699="","",ROW())</f>
      </c>
      <c r="O1699" s="225">
        <f>IF($I1699="Công việc",MATCH($C1699,'Kế hoạch'!$A$6:$A$305,0),"")</f>
      </c>
      <c r="P1699" s="234">
        <f>IF($O1699="","",INDEX('Kế hoạch'!$I$6:$I$305,$O1699))</f>
      </c>
      <c r="Q1699" s="225">
        <f>IF($O1699="","",INDEX('Kế hoạch'!$AJ$6:$AJ$305,$O1699))</f>
      </c>
      <c r="R1699" s="225">
        <f>IF($O1699="","",INDEX('Kế hoạch'!$AK$6:$AK$305,$O1699))</f>
      </c>
    </row>
    <row r="1700">
      <c r="A1700" s="223">
        <f>IF($C1700="","",COUNTIF($C$6:$C1700,"?*"))</f>
      </c>
      <c r="B1700" s="217"/>
      <c r="C1700" s="216"/>
      <c r="D1700" s="240"/>
      <c r="E1700" s="218"/>
      <c r="F1700" s="218"/>
      <c r="G1700" s="218"/>
      <c r="H1700" s="219"/>
      <c r="I1700" s="223">
        <f>IF($C1700="","",IF(ISNUMBER(MATCH($C1700,'Phản ánh'!$A$6:$A$505,0)),"Phản ánh",IF(ISNUMBER(MATCH($C1700,'Kế hoạch'!$A$6:$A$305,0)),"Công việc","Mã chưa có")))</f>
      </c>
      <c r="J1700" s="221">
        <f>IF($I1700="Phản ánh",INDEX('Phản ánh'!$C$6:$C$505,MATCH($C1700,'Phản ánh'!$A$6:$A$505,0)),IF($I1700="Công việc",INDEX('Kế hoạch'!$C$6:$C$305,$O1700),""))</f>
      </c>
      <c r="K1700" s="221">
        <f>IF($I1700="Phản ánh",INDEX('Phản ánh'!$K$6:$K$505,MATCH($C1700,'Phản ánh'!$A$6:$A$505,0))&amp;"",IF($I1700="Công việc",INDEX('Kế hoạch'!$N$6:$N$305,$O1700)&amp;"",""))</f>
      </c>
      <c r="L1700" s="220">
        <f>IF(OR($C1700="",N($B1700)=0),"",IF(AND($I1700="Phản ánh",$E1700="Đã xử lý"),INDEX('Phản ánh'!$U$6:$U$505,MATCH($C1700,'Phản ánh'!$A$6:$A$505,0)),IF(AND($I1700="Công việc",OR($E1700="Hoàn thành",$E1700="Hoàn thành kỳ")),IF(INDEX('Kế hoạch'!$B$6:$B$305,$O1700)="Đột xuất",INDEX('Kế hoạch'!$AY$6:$AY$305,$O1700),IF(N($P1700)=0,"",IF(INT($B1700)&lt;$P1700,$P1700,IF($Q1700&gt;0,$P1700+ROUND((INT($B1700)-$P1700)/$Q1700,0)*$Q1700,IF($R1700&gt;0,EDATE($P1700,ROUND((DATEDIF($P1700,INT($B1700),"m")+(INT($B1700)-EDATE($P1700,DATEDIF($P1700,INT($B1700),"m")))/(EDATE($P1700,DATEDIF($P1700,INT($B1700),"m")+1)-EDATE($P1700,DATEDIF($P1700,INT($B1700),"m"))))/$R1700,0)*$R1700),$P1700))))),"")))</f>
      </c>
      <c r="M1700" s="223">
        <f>IF(OR($C1700="",N($L1700)=0,N($B1700)=0),"",IF(IF(MOD($L1700,1)=0,INT($B1700),$B1700)&lt;=$L1700,"Đúng hạn","Trễ hạn"))</f>
      </c>
      <c r="N1700" s="225">
        <f>IF($C1700="","",ROW())</f>
      </c>
      <c r="O1700" s="225">
        <f>IF($I1700="Công việc",MATCH($C1700,'Kế hoạch'!$A$6:$A$305,0),"")</f>
      </c>
      <c r="P1700" s="234">
        <f>IF($O1700="","",INDEX('Kế hoạch'!$I$6:$I$305,$O1700))</f>
      </c>
      <c r="Q1700" s="225">
        <f>IF($O1700="","",INDEX('Kế hoạch'!$AJ$6:$AJ$305,$O1700))</f>
      </c>
      <c r="R1700" s="225">
        <f>IF($O1700="","",INDEX('Kế hoạch'!$AK$6:$AK$305,$O1700))</f>
      </c>
    </row>
    <row r="1701">
      <c r="A1701" s="223">
        <f>IF($C1701="","",COUNTIF($C$6:$C1701,"?*"))</f>
      </c>
      <c r="B1701" s="217"/>
      <c r="C1701" s="216"/>
      <c r="D1701" s="240"/>
      <c r="E1701" s="218"/>
      <c r="F1701" s="218"/>
      <c r="G1701" s="218"/>
      <c r="H1701" s="219"/>
      <c r="I1701" s="223">
        <f>IF($C1701="","",IF(ISNUMBER(MATCH($C1701,'Phản ánh'!$A$6:$A$505,0)),"Phản ánh",IF(ISNUMBER(MATCH($C1701,'Kế hoạch'!$A$6:$A$305,0)),"Công việc","Mã chưa có")))</f>
      </c>
      <c r="J1701" s="221">
        <f>IF($I1701="Phản ánh",INDEX('Phản ánh'!$C$6:$C$505,MATCH($C1701,'Phản ánh'!$A$6:$A$505,0)),IF($I1701="Công việc",INDEX('Kế hoạch'!$C$6:$C$305,$O1701),""))</f>
      </c>
      <c r="K1701" s="221">
        <f>IF($I1701="Phản ánh",INDEX('Phản ánh'!$K$6:$K$505,MATCH($C1701,'Phản ánh'!$A$6:$A$505,0))&amp;"",IF($I1701="Công việc",INDEX('Kế hoạch'!$N$6:$N$305,$O1701)&amp;"",""))</f>
      </c>
      <c r="L1701" s="220">
        <f>IF(OR($C1701="",N($B1701)=0),"",IF(AND($I1701="Phản ánh",$E1701="Đã xử lý"),INDEX('Phản ánh'!$U$6:$U$505,MATCH($C1701,'Phản ánh'!$A$6:$A$505,0)),IF(AND($I1701="Công việc",OR($E1701="Hoàn thành",$E1701="Hoàn thành kỳ")),IF(INDEX('Kế hoạch'!$B$6:$B$305,$O1701)="Đột xuất",INDEX('Kế hoạch'!$AY$6:$AY$305,$O1701),IF(N($P1701)=0,"",IF(INT($B1701)&lt;$P1701,$P1701,IF($Q1701&gt;0,$P1701+ROUND((INT($B1701)-$P1701)/$Q1701,0)*$Q1701,IF($R1701&gt;0,EDATE($P1701,ROUND((DATEDIF($P1701,INT($B1701),"m")+(INT($B1701)-EDATE($P1701,DATEDIF($P1701,INT($B1701),"m")))/(EDATE($P1701,DATEDIF($P1701,INT($B1701),"m")+1)-EDATE($P1701,DATEDIF($P1701,INT($B1701),"m"))))/$R1701,0)*$R1701),$P1701))))),"")))</f>
      </c>
      <c r="M1701" s="223">
        <f>IF(OR($C1701="",N($L1701)=0,N($B1701)=0),"",IF(IF(MOD($L1701,1)=0,INT($B1701),$B1701)&lt;=$L1701,"Đúng hạn","Trễ hạn"))</f>
      </c>
      <c r="N1701" s="225">
        <f>IF($C1701="","",ROW())</f>
      </c>
      <c r="O1701" s="225">
        <f>IF($I1701="Công việc",MATCH($C1701,'Kế hoạch'!$A$6:$A$305,0),"")</f>
      </c>
      <c r="P1701" s="234">
        <f>IF($O1701="","",INDEX('Kế hoạch'!$I$6:$I$305,$O1701))</f>
      </c>
      <c r="Q1701" s="225">
        <f>IF($O1701="","",INDEX('Kế hoạch'!$AJ$6:$AJ$305,$O1701))</f>
      </c>
      <c r="R1701" s="225">
        <f>IF($O1701="","",INDEX('Kế hoạch'!$AK$6:$AK$305,$O1701))</f>
      </c>
    </row>
    <row r="1702">
      <c r="A1702" s="223">
        <f>IF($C1702="","",COUNTIF($C$6:$C1702,"?*"))</f>
      </c>
      <c r="B1702" s="217"/>
      <c r="C1702" s="216"/>
      <c r="D1702" s="240"/>
      <c r="E1702" s="218"/>
      <c r="F1702" s="218"/>
      <c r="G1702" s="218"/>
      <c r="H1702" s="219"/>
      <c r="I1702" s="223">
        <f>IF($C1702="","",IF(ISNUMBER(MATCH($C1702,'Phản ánh'!$A$6:$A$505,0)),"Phản ánh",IF(ISNUMBER(MATCH($C1702,'Kế hoạch'!$A$6:$A$305,0)),"Công việc","Mã chưa có")))</f>
      </c>
      <c r="J1702" s="221">
        <f>IF($I1702="Phản ánh",INDEX('Phản ánh'!$C$6:$C$505,MATCH($C1702,'Phản ánh'!$A$6:$A$505,0)),IF($I1702="Công việc",INDEX('Kế hoạch'!$C$6:$C$305,$O1702),""))</f>
      </c>
      <c r="K1702" s="221">
        <f>IF($I1702="Phản ánh",INDEX('Phản ánh'!$K$6:$K$505,MATCH($C1702,'Phản ánh'!$A$6:$A$505,0))&amp;"",IF($I1702="Công việc",INDEX('Kế hoạch'!$N$6:$N$305,$O1702)&amp;"",""))</f>
      </c>
      <c r="L1702" s="220">
        <f>IF(OR($C1702="",N($B1702)=0),"",IF(AND($I1702="Phản ánh",$E1702="Đã xử lý"),INDEX('Phản ánh'!$U$6:$U$505,MATCH($C1702,'Phản ánh'!$A$6:$A$505,0)),IF(AND($I1702="Công việc",OR($E1702="Hoàn thành",$E1702="Hoàn thành kỳ")),IF(INDEX('Kế hoạch'!$B$6:$B$305,$O1702)="Đột xuất",INDEX('Kế hoạch'!$AY$6:$AY$305,$O1702),IF(N($P1702)=0,"",IF(INT($B1702)&lt;$P1702,$P1702,IF($Q1702&gt;0,$P1702+ROUND((INT($B1702)-$P1702)/$Q1702,0)*$Q1702,IF($R1702&gt;0,EDATE($P1702,ROUND((DATEDIF($P1702,INT($B1702),"m")+(INT($B1702)-EDATE($P1702,DATEDIF($P1702,INT($B1702),"m")))/(EDATE($P1702,DATEDIF($P1702,INT($B1702),"m")+1)-EDATE($P1702,DATEDIF($P1702,INT($B1702),"m"))))/$R1702,0)*$R1702),$P1702))))),"")))</f>
      </c>
      <c r="M1702" s="223">
        <f>IF(OR($C1702="",N($L1702)=0,N($B1702)=0),"",IF(IF(MOD($L1702,1)=0,INT($B1702),$B1702)&lt;=$L1702,"Đúng hạn","Trễ hạn"))</f>
      </c>
      <c r="N1702" s="225">
        <f>IF($C1702="","",ROW())</f>
      </c>
      <c r="O1702" s="225">
        <f>IF($I1702="Công việc",MATCH($C1702,'Kế hoạch'!$A$6:$A$305,0),"")</f>
      </c>
      <c r="P1702" s="234">
        <f>IF($O1702="","",INDEX('Kế hoạch'!$I$6:$I$305,$O1702))</f>
      </c>
      <c r="Q1702" s="225">
        <f>IF($O1702="","",INDEX('Kế hoạch'!$AJ$6:$AJ$305,$O1702))</f>
      </c>
      <c r="R1702" s="225">
        <f>IF($O1702="","",INDEX('Kế hoạch'!$AK$6:$AK$305,$O1702))</f>
      </c>
    </row>
    <row r="1703">
      <c r="A1703" s="223">
        <f>IF($C1703="","",COUNTIF($C$6:$C1703,"?*"))</f>
      </c>
      <c r="B1703" s="217"/>
      <c r="C1703" s="216"/>
      <c r="D1703" s="240"/>
      <c r="E1703" s="218"/>
      <c r="F1703" s="218"/>
      <c r="G1703" s="218"/>
      <c r="H1703" s="219"/>
      <c r="I1703" s="223">
        <f>IF($C1703="","",IF(ISNUMBER(MATCH($C1703,'Phản ánh'!$A$6:$A$505,0)),"Phản ánh",IF(ISNUMBER(MATCH($C1703,'Kế hoạch'!$A$6:$A$305,0)),"Công việc","Mã chưa có")))</f>
      </c>
      <c r="J1703" s="221">
        <f>IF($I1703="Phản ánh",INDEX('Phản ánh'!$C$6:$C$505,MATCH($C1703,'Phản ánh'!$A$6:$A$505,0)),IF($I1703="Công việc",INDEX('Kế hoạch'!$C$6:$C$305,$O1703),""))</f>
      </c>
      <c r="K1703" s="221">
        <f>IF($I1703="Phản ánh",INDEX('Phản ánh'!$K$6:$K$505,MATCH($C1703,'Phản ánh'!$A$6:$A$505,0))&amp;"",IF($I1703="Công việc",INDEX('Kế hoạch'!$N$6:$N$305,$O1703)&amp;"",""))</f>
      </c>
      <c r="L1703" s="220">
        <f>IF(OR($C1703="",N($B1703)=0),"",IF(AND($I1703="Phản ánh",$E1703="Đã xử lý"),INDEX('Phản ánh'!$U$6:$U$505,MATCH($C1703,'Phản ánh'!$A$6:$A$505,0)),IF(AND($I1703="Công việc",OR($E1703="Hoàn thành",$E1703="Hoàn thành kỳ")),IF(INDEX('Kế hoạch'!$B$6:$B$305,$O1703)="Đột xuất",INDEX('Kế hoạch'!$AY$6:$AY$305,$O1703),IF(N($P1703)=0,"",IF(INT($B1703)&lt;$P1703,$P1703,IF($Q1703&gt;0,$P1703+ROUND((INT($B1703)-$P1703)/$Q1703,0)*$Q1703,IF($R1703&gt;0,EDATE($P1703,ROUND((DATEDIF($P1703,INT($B1703),"m")+(INT($B1703)-EDATE($P1703,DATEDIF($P1703,INT($B1703),"m")))/(EDATE($P1703,DATEDIF($P1703,INT($B1703),"m")+1)-EDATE($P1703,DATEDIF($P1703,INT($B1703),"m"))))/$R1703,0)*$R1703),$P1703))))),"")))</f>
      </c>
      <c r="M1703" s="223">
        <f>IF(OR($C1703="",N($L1703)=0,N($B1703)=0),"",IF(IF(MOD($L1703,1)=0,INT($B1703),$B1703)&lt;=$L1703,"Đúng hạn","Trễ hạn"))</f>
      </c>
      <c r="N1703" s="225">
        <f>IF($C1703="","",ROW())</f>
      </c>
      <c r="O1703" s="225">
        <f>IF($I1703="Công việc",MATCH($C1703,'Kế hoạch'!$A$6:$A$305,0),"")</f>
      </c>
      <c r="P1703" s="234">
        <f>IF($O1703="","",INDEX('Kế hoạch'!$I$6:$I$305,$O1703))</f>
      </c>
      <c r="Q1703" s="225">
        <f>IF($O1703="","",INDEX('Kế hoạch'!$AJ$6:$AJ$305,$O1703))</f>
      </c>
      <c r="R1703" s="225">
        <f>IF($O1703="","",INDEX('Kế hoạch'!$AK$6:$AK$305,$O1703))</f>
      </c>
    </row>
    <row r="1704">
      <c r="A1704" s="223">
        <f>IF($C1704="","",COUNTIF($C$6:$C1704,"?*"))</f>
      </c>
      <c r="B1704" s="217"/>
      <c r="C1704" s="216"/>
      <c r="D1704" s="240"/>
      <c r="E1704" s="218"/>
      <c r="F1704" s="218"/>
      <c r="G1704" s="218"/>
      <c r="H1704" s="219"/>
      <c r="I1704" s="223">
        <f>IF($C1704="","",IF(ISNUMBER(MATCH($C1704,'Phản ánh'!$A$6:$A$505,0)),"Phản ánh",IF(ISNUMBER(MATCH($C1704,'Kế hoạch'!$A$6:$A$305,0)),"Công việc","Mã chưa có")))</f>
      </c>
      <c r="J1704" s="221">
        <f>IF($I1704="Phản ánh",INDEX('Phản ánh'!$C$6:$C$505,MATCH($C1704,'Phản ánh'!$A$6:$A$505,0)),IF($I1704="Công việc",INDEX('Kế hoạch'!$C$6:$C$305,$O1704),""))</f>
      </c>
      <c r="K1704" s="221">
        <f>IF($I1704="Phản ánh",INDEX('Phản ánh'!$K$6:$K$505,MATCH($C1704,'Phản ánh'!$A$6:$A$505,0))&amp;"",IF($I1704="Công việc",INDEX('Kế hoạch'!$N$6:$N$305,$O1704)&amp;"",""))</f>
      </c>
      <c r="L1704" s="220">
        <f>IF(OR($C1704="",N($B1704)=0),"",IF(AND($I1704="Phản ánh",$E1704="Đã xử lý"),INDEX('Phản ánh'!$U$6:$U$505,MATCH($C1704,'Phản ánh'!$A$6:$A$505,0)),IF(AND($I1704="Công việc",OR($E1704="Hoàn thành",$E1704="Hoàn thành kỳ")),IF(INDEX('Kế hoạch'!$B$6:$B$305,$O1704)="Đột xuất",INDEX('Kế hoạch'!$AY$6:$AY$305,$O1704),IF(N($P1704)=0,"",IF(INT($B1704)&lt;$P1704,$P1704,IF($Q1704&gt;0,$P1704+ROUND((INT($B1704)-$P1704)/$Q1704,0)*$Q1704,IF($R1704&gt;0,EDATE($P1704,ROUND((DATEDIF($P1704,INT($B1704),"m")+(INT($B1704)-EDATE($P1704,DATEDIF($P1704,INT($B1704),"m")))/(EDATE($P1704,DATEDIF($P1704,INT($B1704),"m")+1)-EDATE($P1704,DATEDIF($P1704,INT($B1704),"m"))))/$R1704,0)*$R1704),$P1704))))),"")))</f>
      </c>
      <c r="M1704" s="223">
        <f>IF(OR($C1704="",N($L1704)=0,N($B1704)=0),"",IF(IF(MOD($L1704,1)=0,INT($B1704),$B1704)&lt;=$L1704,"Đúng hạn","Trễ hạn"))</f>
      </c>
      <c r="N1704" s="225">
        <f>IF($C1704="","",ROW())</f>
      </c>
      <c r="O1704" s="225">
        <f>IF($I1704="Công việc",MATCH($C1704,'Kế hoạch'!$A$6:$A$305,0),"")</f>
      </c>
      <c r="P1704" s="234">
        <f>IF($O1704="","",INDEX('Kế hoạch'!$I$6:$I$305,$O1704))</f>
      </c>
      <c r="Q1704" s="225">
        <f>IF($O1704="","",INDEX('Kế hoạch'!$AJ$6:$AJ$305,$O1704))</f>
      </c>
      <c r="R1704" s="225">
        <f>IF($O1704="","",INDEX('Kế hoạch'!$AK$6:$AK$305,$O1704))</f>
      </c>
    </row>
    <row r="1705">
      <c r="A1705" s="223">
        <f>IF($C1705="","",COUNTIF($C$6:$C1705,"?*"))</f>
      </c>
      <c r="B1705" s="217"/>
      <c r="C1705" s="216"/>
      <c r="D1705" s="240"/>
      <c r="E1705" s="218"/>
      <c r="F1705" s="218"/>
      <c r="G1705" s="218"/>
      <c r="H1705" s="219"/>
      <c r="I1705" s="223">
        <f>IF($C1705="","",IF(ISNUMBER(MATCH($C1705,'Phản ánh'!$A$6:$A$505,0)),"Phản ánh",IF(ISNUMBER(MATCH($C1705,'Kế hoạch'!$A$6:$A$305,0)),"Công việc","Mã chưa có")))</f>
      </c>
      <c r="J1705" s="221">
        <f>IF($I1705="Phản ánh",INDEX('Phản ánh'!$C$6:$C$505,MATCH($C1705,'Phản ánh'!$A$6:$A$505,0)),IF($I1705="Công việc",INDEX('Kế hoạch'!$C$6:$C$305,$O1705),""))</f>
      </c>
      <c r="K1705" s="221">
        <f>IF($I1705="Phản ánh",INDEX('Phản ánh'!$K$6:$K$505,MATCH($C1705,'Phản ánh'!$A$6:$A$505,0))&amp;"",IF($I1705="Công việc",INDEX('Kế hoạch'!$N$6:$N$305,$O1705)&amp;"",""))</f>
      </c>
      <c r="L1705" s="220">
        <f>IF(OR($C1705="",N($B1705)=0),"",IF(AND($I1705="Phản ánh",$E1705="Đã xử lý"),INDEX('Phản ánh'!$U$6:$U$505,MATCH($C1705,'Phản ánh'!$A$6:$A$505,0)),IF(AND($I1705="Công việc",OR($E1705="Hoàn thành",$E1705="Hoàn thành kỳ")),IF(INDEX('Kế hoạch'!$B$6:$B$305,$O1705)="Đột xuất",INDEX('Kế hoạch'!$AY$6:$AY$305,$O1705),IF(N($P1705)=0,"",IF(INT($B1705)&lt;$P1705,$P1705,IF($Q1705&gt;0,$P1705+ROUND((INT($B1705)-$P1705)/$Q1705,0)*$Q1705,IF($R1705&gt;0,EDATE($P1705,ROUND((DATEDIF($P1705,INT($B1705),"m")+(INT($B1705)-EDATE($P1705,DATEDIF($P1705,INT($B1705),"m")))/(EDATE($P1705,DATEDIF($P1705,INT($B1705),"m")+1)-EDATE($P1705,DATEDIF($P1705,INT($B1705),"m"))))/$R1705,0)*$R1705),$P1705))))),"")))</f>
      </c>
      <c r="M1705" s="223">
        <f>IF(OR($C1705="",N($L1705)=0,N($B1705)=0),"",IF(IF(MOD($L1705,1)=0,INT($B1705),$B1705)&lt;=$L1705,"Đúng hạn","Trễ hạn"))</f>
      </c>
      <c r="N1705" s="225">
        <f>IF($C1705="","",ROW())</f>
      </c>
      <c r="O1705" s="225">
        <f>IF($I1705="Công việc",MATCH($C1705,'Kế hoạch'!$A$6:$A$305,0),"")</f>
      </c>
      <c r="P1705" s="234">
        <f>IF($O1705="","",INDEX('Kế hoạch'!$I$6:$I$305,$O1705))</f>
      </c>
      <c r="Q1705" s="225">
        <f>IF($O1705="","",INDEX('Kế hoạch'!$AJ$6:$AJ$305,$O1705))</f>
      </c>
      <c r="R1705" s="225">
        <f>IF($O1705="","",INDEX('Kế hoạch'!$AK$6:$AK$305,$O1705))</f>
      </c>
    </row>
    <row r="1706">
      <c r="A1706" s="223">
        <f>IF($C1706="","",COUNTIF($C$6:$C1706,"?*"))</f>
      </c>
      <c r="B1706" s="217"/>
      <c r="C1706" s="216"/>
      <c r="D1706" s="240"/>
      <c r="E1706" s="218"/>
      <c r="F1706" s="218"/>
      <c r="G1706" s="218"/>
      <c r="H1706" s="219"/>
      <c r="I1706" s="223">
        <f>IF($C1706="","",IF(ISNUMBER(MATCH($C1706,'Phản ánh'!$A$6:$A$505,0)),"Phản ánh",IF(ISNUMBER(MATCH($C1706,'Kế hoạch'!$A$6:$A$305,0)),"Công việc","Mã chưa có")))</f>
      </c>
      <c r="J1706" s="221">
        <f>IF($I1706="Phản ánh",INDEX('Phản ánh'!$C$6:$C$505,MATCH($C1706,'Phản ánh'!$A$6:$A$505,0)),IF($I1706="Công việc",INDEX('Kế hoạch'!$C$6:$C$305,$O1706),""))</f>
      </c>
      <c r="K1706" s="221">
        <f>IF($I1706="Phản ánh",INDEX('Phản ánh'!$K$6:$K$505,MATCH($C1706,'Phản ánh'!$A$6:$A$505,0))&amp;"",IF($I1706="Công việc",INDEX('Kế hoạch'!$N$6:$N$305,$O1706)&amp;"",""))</f>
      </c>
      <c r="L1706" s="220">
        <f>IF(OR($C1706="",N($B1706)=0),"",IF(AND($I1706="Phản ánh",$E1706="Đã xử lý"),INDEX('Phản ánh'!$U$6:$U$505,MATCH($C1706,'Phản ánh'!$A$6:$A$505,0)),IF(AND($I1706="Công việc",OR($E1706="Hoàn thành",$E1706="Hoàn thành kỳ")),IF(INDEX('Kế hoạch'!$B$6:$B$305,$O1706)="Đột xuất",INDEX('Kế hoạch'!$AY$6:$AY$305,$O1706),IF(N($P1706)=0,"",IF(INT($B1706)&lt;$P1706,$P1706,IF($Q1706&gt;0,$P1706+ROUND((INT($B1706)-$P1706)/$Q1706,0)*$Q1706,IF($R1706&gt;0,EDATE($P1706,ROUND((DATEDIF($P1706,INT($B1706),"m")+(INT($B1706)-EDATE($P1706,DATEDIF($P1706,INT($B1706),"m")))/(EDATE($P1706,DATEDIF($P1706,INT($B1706),"m")+1)-EDATE($P1706,DATEDIF($P1706,INT($B1706),"m"))))/$R1706,0)*$R1706),$P1706))))),"")))</f>
      </c>
      <c r="M1706" s="223">
        <f>IF(OR($C1706="",N($L1706)=0,N($B1706)=0),"",IF(IF(MOD($L1706,1)=0,INT($B1706),$B1706)&lt;=$L1706,"Đúng hạn","Trễ hạn"))</f>
      </c>
      <c r="N1706" s="225">
        <f>IF($C1706="","",ROW())</f>
      </c>
      <c r="O1706" s="225">
        <f>IF($I1706="Công việc",MATCH($C1706,'Kế hoạch'!$A$6:$A$305,0),"")</f>
      </c>
      <c r="P1706" s="234">
        <f>IF($O1706="","",INDEX('Kế hoạch'!$I$6:$I$305,$O1706))</f>
      </c>
      <c r="Q1706" s="225">
        <f>IF($O1706="","",INDEX('Kế hoạch'!$AJ$6:$AJ$305,$O1706))</f>
      </c>
      <c r="R1706" s="225">
        <f>IF($O1706="","",INDEX('Kế hoạch'!$AK$6:$AK$305,$O1706))</f>
      </c>
    </row>
    <row r="1707">
      <c r="A1707" s="223">
        <f>IF($C1707="","",COUNTIF($C$6:$C1707,"?*"))</f>
      </c>
      <c r="B1707" s="217"/>
      <c r="C1707" s="216"/>
      <c r="D1707" s="240"/>
      <c r="E1707" s="218"/>
      <c r="F1707" s="218"/>
      <c r="G1707" s="218"/>
      <c r="H1707" s="219"/>
      <c r="I1707" s="223">
        <f>IF($C1707="","",IF(ISNUMBER(MATCH($C1707,'Phản ánh'!$A$6:$A$505,0)),"Phản ánh",IF(ISNUMBER(MATCH($C1707,'Kế hoạch'!$A$6:$A$305,0)),"Công việc","Mã chưa có")))</f>
      </c>
      <c r="J1707" s="221">
        <f>IF($I1707="Phản ánh",INDEX('Phản ánh'!$C$6:$C$505,MATCH($C1707,'Phản ánh'!$A$6:$A$505,0)),IF($I1707="Công việc",INDEX('Kế hoạch'!$C$6:$C$305,$O1707),""))</f>
      </c>
      <c r="K1707" s="221">
        <f>IF($I1707="Phản ánh",INDEX('Phản ánh'!$K$6:$K$505,MATCH($C1707,'Phản ánh'!$A$6:$A$505,0))&amp;"",IF($I1707="Công việc",INDEX('Kế hoạch'!$N$6:$N$305,$O1707)&amp;"",""))</f>
      </c>
      <c r="L1707" s="220">
        <f>IF(OR($C1707="",N($B1707)=0),"",IF(AND($I1707="Phản ánh",$E1707="Đã xử lý"),INDEX('Phản ánh'!$U$6:$U$505,MATCH($C1707,'Phản ánh'!$A$6:$A$505,0)),IF(AND($I1707="Công việc",OR($E1707="Hoàn thành",$E1707="Hoàn thành kỳ")),IF(INDEX('Kế hoạch'!$B$6:$B$305,$O1707)="Đột xuất",INDEX('Kế hoạch'!$AY$6:$AY$305,$O1707),IF(N($P1707)=0,"",IF(INT($B1707)&lt;$P1707,$P1707,IF($Q1707&gt;0,$P1707+ROUND((INT($B1707)-$P1707)/$Q1707,0)*$Q1707,IF($R1707&gt;0,EDATE($P1707,ROUND((DATEDIF($P1707,INT($B1707),"m")+(INT($B1707)-EDATE($P1707,DATEDIF($P1707,INT($B1707),"m")))/(EDATE($P1707,DATEDIF($P1707,INT($B1707),"m")+1)-EDATE($P1707,DATEDIF($P1707,INT($B1707),"m"))))/$R1707,0)*$R1707),$P1707))))),"")))</f>
      </c>
      <c r="M1707" s="223">
        <f>IF(OR($C1707="",N($L1707)=0,N($B1707)=0),"",IF(IF(MOD($L1707,1)=0,INT($B1707),$B1707)&lt;=$L1707,"Đúng hạn","Trễ hạn"))</f>
      </c>
      <c r="N1707" s="225">
        <f>IF($C1707="","",ROW())</f>
      </c>
      <c r="O1707" s="225">
        <f>IF($I1707="Công việc",MATCH($C1707,'Kế hoạch'!$A$6:$A$305,0),"")</f>
      </c>
      <c r="P1707" s="234">
        <f>IF($O1707="","",INDEX('Kế hoạch'!$I$6:$I$305,$O1707))</f>
      </c>
      <c r="Q1707" s="225">
        <f>IF($O1707="","",INDEX('Kế hoạch'!$AJ$6:$AJ$305,$O1707))</f>
      </c>
      <c r="R1707" s="225">
        <f>IF($O1707="","",INDEX('Kế hoạch'!$AK$6:$AK$305,$O1707))</f>
      </c>
    </row>
    <row r="1708">
      <c r="A1708" s="223">
        <f>IF($C1708="","",COUNTIF($C$6:$C1708,"?*"))</f>
      </c>
      <c r="B1708" s="217"/>
      <c r="C1708" s="216"/>
      <c r="D1708" s="240"/>
      <c r="E1708" s="218"/>
      <c r="F1708" s="218"/>
      <c r="G1708" s="218"/>
      <c r="H1708" s="219"/>
      <c r="I1708" s="223">
        <f>IF($C1708="","",IF(ISNUMBER(MATCH($C1708,'Phản ánh'!$A$6:$A$505,0)),"Phản ánh",IF(ISNUMBER(MATCH($C1708,'Kế hoạch'!$A$6:$A$305,0)),"Công việc","Mã chưa có")))</f>
      </c>
      <c r="J1708" s="221">
        <f>IF($I1708="Phản ánh",INDEX('Phản ánh'!$C$6:$C$505,MATCH($C1708,'Phản ánh'!$A$6:$A$505,0)),IF($I1708="Công việc",INDEX('Kế hoạch'!$C$6:$C$305,$O1708),""))</f>
      </c>
      <c r="K1708" s="221">
        <f>IF($I1708="Phản ánh",INDEX('Phản ánh'!$K$6:$K$505,MATCH($C1708,'Phản ánh'!$A$6:$A$505,0))&amp;"",IF($I1708="Công việc",INDEX('Kế hoạch'!$N$6:$N$305,$O1708)&amp;"",""))</f>
      </c>
      <c r="L1708" s="220">
        <f>IF(OR($C1708="",N($B1708)=0),"",IF(AND($I1708="Phản ánh",$E1708="Đã xử lý"),INDEX('Phản ánh'!$U$6:$U$505,MATCH($C1708,'Phản ánh'!$A$6:$A$505,0)),IF(AND($I1708="Công việc",OR($E1708="Hoàn thành",$E1708="Hoàn thành kỳ")),IF(INDEX('Kế hoạch'!$B$6:$B$305,$O1708)="Đột xuất",INDEX('Kế hoạch'!$AY$6:$AY$305,$O1708),IF(N($P1708)=0,"",IF(INT($B1708)&lt;$P1708,$P1708,IF($Q1708&gt;0,$P1708+ROUND((INT($B1708)-$P1708)/$Q1708,0)*$Q1708,IF($R1708&gt;0,EDATE($P1708,ROUND((DATEDIF($P1708,INT($B1708),"m")+(INT($B1708)-EDATE($P1708,DATEDIF($P1708,INT($B1708),"m")))/(EDATE($P1708,DATEDIF($P1708,INT($B1708),"m")+1)-EDATE($P1708,DATEDIF($P1708,INT($B1708),"m"))))/$R1708,0)*$R1708),$P1708))))),"")))</f>
      </c>
      <c r="M1708" s="223">
        <f>IF(OR($C1708="",N($L1708)=0,N($B1708)=0),"",IF(IF(MOD($L1708,1)=0,INT($B1708),$B1708)&lt;=$L1708,"Đúng hạn","Trễ hạn"))</f>
      </c>
      <c r="N1708" s="225">
        <f>IF($C1708="","",ROW())</f>
      </c>
      <c r="O1708" s="225">
        <f>IF($I1708="Công việc",MATCH($C1708,'Kế hoạch'!$A$6:$A$305,0),"")</f>
      </c>
      <c r="P1708" s="234">
        <f>IF($O1708="","",INDEX('Kế hoạch'!$I$6:$I$305,$O1708))</f>
      </c>
      <c r="Q1708" s="225">
        <f>IF($O1708="","",INDEX('Kế hoạch'!$AJ$6:$AJ$305,$O1708))</f>
      </c>
      <c r="R1708" s="225">
        <f>IF($O1708="","",INDEX('Kế hoạch'!$AK$6:$AK$305,$O1708))</f>
      </c>
    </row>
    <row r="1709">
      <c r="A1709" s="223">
        <f>IF($C1709="","",COUNTIF($C$6:$C1709,"?*"))</f>
      </c>
      <c r="B1709" s="217"/>
      <c r="C1709" s="216"/>
      <c r="D1709" s="240"/>
      <c r="E1709" s="218"/>
      <c r="F1709" s="218"/>
      <c r="G1709" s="218"/>
      <c r="H1709" s="219"/>
      <c r="I1709" s="223">
        <f>IF($C1709="","",IF(ISNUMBER(MATCH($C1709,'Phản ánh'!$A$6:$A$505,0)),"Phản ánh",IF(ISNUMBER(MATCH($C1709,'Kế hoạch'!$A$6:$A$305,0)),"Công việc","Mã chưa có")))</f>
      </c>
      <c r="J1709" s="221">
        <f>IF($I1709="Phản ánh",INDEX('Phản ánh'!$C$6:$C$505,MATCH($C1709,'Phản ánh'!$A$6:$A$505,0)),IF($I1709="Công việc",INDEX('Kế hoạch'!$C$6:$C$305,$O1709),""))</f>
      </c>
      <c r="K1709" s="221">
        <f>IF($I1709="Phản ánh",INDEX('Phản ánh'!$K$6:$K$505,MATCH($C1709,'Phản ánh'!$A$6:$A$505,0))&amp;"",IF($I1709="Công việc",INDEX('Kế hoạch'!$N$6:$N$305,$O1709)&amp;"",""))</f>
      </c>
      <c r="L1709" s="220">
        <f>IF(OR($C1709="",N($B1709)=0),"",IF(AND($I1709="Phản ánh",$E1709="Đã xử lý"),INDEX('Phản ánh'!$U$6:$U$505,MATCH($C1709,'Phản ánh'!$A$6:$A$505,0)),IF(AND($I1709="Công việc",OR($E1709="Hoàn thành",$E1709="Hoàn thành kỳ")),IF(INDEX('Kế hoạch'!$B$6:$B$305,$O1709)="Đột xuất",INDEX('Kế hoạch'!$AY$6:$AY$305,$O1709),IF(N($P1709)=0,"",IF(INT($B1709)&lt;$P1709,$P1709,IF($Q1709&gt;0,$P1709+ROUND((INT($B1709)-$P1709)/$Q1709,0)*$Q1709,IF($R1709&gt;0,EDATE($P1709,ROUND((DATEDIF($P1709,INT($B1709),"m")+(INT($B1709)-EDATE($P1709,DATEDIF($P1709,INT($B1709),"m")))/(EDATE($P1709,DATEDIF($P1709,INT($B1709),"m")+1)-EDATE($P1709,DATEDIF($P1709,INT($B1709),"m"))))/$R1709,0)*$R1709),$P1709))))),"")))</f>
      </c>
      <c r="M1709" s="223">
        <f>IF(OR($C1709="",N($L1709)=0,N($B1709)=0),"",IF(IF(MOD($L1709,1)=0,INT($B1709),$B1709)&lt;=$L1709,"Đúng hạn","Trễ hạn"))</f>
      </c>
      <c r="N1709" s="225">
        <f>IF($C1709="","",ROW())</f>
      </c>
      <c r="O1709" s="225">
        <f>IF($I1709="Công việc",MATCH($C1709,'Kế hoạch'!$A$6:$A$305,0),"")</f>
      </c>
      <c r="P1709" s="234">
        <f>IF($O1709="","",INDEX('Kế hoạch'!$I$6:$I$305,$O1709))</f>
      </c>
      <c r="Q1709" s="225">
        <f>IF($O1709="","",INDEX('Kế hoạch'!$AJ$6:$AJ$305,$O1709))</f>
      </c>
      <c r="R1709" s="225">
        <f>IF($O1709="","",INDEX('Kế hoạch'!$AK$6:$AK$305,$O1709))</f>
      </c>
    </row>
    <row r="1710">
      <c r="A1710" s="223">
        <f>IF($C1710="","",COUNTIF($C$6:$C1710,"?*"))</f>
      </c>
      <c r="B1710" s="217"/>
      <c r="C1710" s="216"/>
      <c r="D1710" s="240"/>
      <c r="E1710" s="218"/>
      <c r="F1710" s="218"/>
      <c r="G1710" s="218"/>
      <c r="H1710" s="219"/>
      <c r="I1710" s="223">
        <f>IF($C1710="","",IF(ISNUMBER(MATCH($C1710,'Phản ánh'!$A$6:$A$505,0)),"Phản ánh",IF(ISNUMBER(MATCH($C1710,'Kế hoạch'!$A$6:$A$305,0)),"Công việc","Mã chưa có")))</f>
      </c>
      <c r="J1710" s="221">
        <f>IF($I1710="Phản ánh",INDEX('Phản ánh'!$C$6:$C$505,MATCH($C1710,'Phản ánh'!$A$6:$A$505,0)),IF($I1710="Công việc",INDEX('Kế hoạch'!$C$6:$C$305,$O1710),""))</f>
      </c>
      <c r="K1710" s="221">
        <f>IF($I1710="Phản ánh",INDEX('Phản ánh'!$K$6:$K$505,MATCH($C1710,'Phản ánh'!$A$6:$A$505,0))&amp;"",IF($I1710="Công việc",INDEX('Kế hoạch'!$N$6:$N$305,$O1710)&amp;"",""))</f>
      </c>
      <c r="L1710" s="220">
        <f>IF(OR($C1710="",N($B1710)=0),"",IF(AND($I1710="Phản ánh",$E1710="Đã xử lý"),INDEX('Phản ánh'!$U$6:$U$505,MATCH($C1710,'Phản ánh'!$A$6:$A$505,0)),IF(AND($I1710="Công việc",OR($E1710="Hoàn thành",$E1710="Hoàn thành kỳ")),IF(INDEX('Kế hoạch'!$B$6:$B$305,$O1710)="Đột xuất",INDEX('Kế hoạch'!$AY$6:$AY$305,$O1710),IF(N($P1710)=0,"",IF(INT($B1710)&lt;$P1710,$P1710,IF($Q1710&gt;0,$P1710+ROUND((INT($B1710)-$P1710)/$Q1710,0)*$Q1710,IF($R1710&gt;0,EDATE($P1710,ROUND((DATEDIF($P1710,INT($B1710),"m")+(INT($B1710)-EDATE($P1710,DATEDIF($P1710,INT($B1710),"m")))/(EDATE($P1710,DATEDIF($P1710,INT($B1710),"m")+1)-EDATE($P1710,DATEDIF($P1710,INT($B1710),"m"))))/$R1710,0)*$R1710),$P1710))))),"")))</f>
      </c>
      <c r="M1710" s="223">
        <f>IF(OR($C1710="",N($L1710)=0,N($B1710)=0),"",IF(IF(MOD($L1710,1)=0,INT($B1710),$B1710)&lt;=$L1710,"Đúng hạn","Trễ hạn"))</f>
      </c>
      <c r="N1710" s="225">
        <f>IF($C1710="","",ROW())</f>
      </c>
      <c r="O1710" s="225">
        <f>IF($I1710="Công việc",MATCH($C1710,'Kế hoạch'!$A$6:$A$305,0),"")</f>
      </c>
      <c r="P1710" s="234">
        <f>IF($O1710="","",INDEX('Kế hoạch'!$I$6:$I$305,$O1710))</f>
      </c>
      <c r="Q1710" s="225">
        <f>IF($O1710="","",INDEX('Kế hoạch'!$AJ$6:$AJ$305,$O1710))</f>
      </c>
      <c r="R1710" s="225">
        <f>IF($O1710="","",INDEX('Kế hoạch'!$AK$6:$AK$305,$O1710))</f>
      </c>
    </row>
    <row r="1711">
      <c r="A1711" s="223">
        <f>IF($C1711="","",COUNTIF($C$6:$C1711,"?*"))</f>
      </c>
      <c r="B1711" s="217"/>
      <c r="C1711" s="216"/>
      <c r="D1711" s="240"/>
      <c r="E1711" s="218"/>
      <c r="F1711" s="218"/>
      <c r="G1711" s="218"/>
      <c r="H1711" s="219"/>
      <c r="I1711" s="223">
        <f>IF($C1711="","",IF(ISNUMBER(MATCH($C1711,'Phản ánh'!$A$6:$A$505,0)),"Phản ánh",IF(ISNUMBER(MATCH($C1711,'Kế hoạch'!$A$6:$A$305,0)),"Công việc","Mã chưa có")))</f>
      </c>
      <c r="J1711" s="221">
        <f>IF($I1711="Phản ánh",INDEX('Phản ánh'!$C$6:$C$505,MATCH($C1711,'Phản ánh'!$A$6:$A$505,0)),IF($I1711="Công việc",INDEX('Kế hoạch'!$C$6:$C$305,$O1711),""))</f>
      </c>
      <c r="K1711" s="221">
        <f>IF($I1711="Phản ánh",INDEX('Phản ánh'!$K$6:$K$505,MATCH($C1711,'Phản ánh'!$A$6:$A$505,0))&amp;"",IF($I1711="Công việc",INDEX('Kế hoạch'!$N$6:$N$305,$O1711)&amp;"",""))</f>
      </c>
      <c r="L1711" s="220">
        <f>IF(OR($C1711="",N($B1711)=0),"",IF(AND($I1711="Phản ánh",$E1711="Đã xử lý"),INDEX('Phản ánh'!$U$6:$U$505,MATCH($C1711,'Phản ánh'!$A$6:$A$505,0)),IF(AND($I1711="Công việc",OR($E1711="Hoàn thành",$E1711="Hoàn thành kỳ")),IF(INDEX('Kế hoạch'!$B$6:$B$305,$O1711)="Đột xuất",INDEX('Kế hoạch'!$AY$6:$AY$305,$O1711),IF(N($P1711)=0,"",IF(INT($B1711)&lt;$P1711,$P1711,IF($Q1711&gt;0,$P1711+ROUND((INT($B1711)-$P1711)/$Q1711,0)*$Q1711,IF($R1711&gt;0,EDATE($P1711,ROUND((DATEDIF($P1711,INT($B1711),"m")+(INT($B1711)-EDATE($P1711,DATEDIF($P1711,INT($B1711),"m")))/(EDATE($P1711,DATEDIF($P1711,INT($B1711),"m")+1)-EDATE($P1711,DATEDIF($P1711,INT($B1711),"m"))))/$R1711,0)*$R1711),$P1711))))),"")))</f>
      </c>
      <c r="M1711" s="223">
        <f>IF(OR($C1711="",N($L1711)=0,N($B1711)=0),"",IF(IF(MOD($L1711,1)=0,INT($B1711),$B1711)&lt;=$L1711,"Đúng hạn","Trễ hạn"))</f>
      </c>
      <c r="N1711" s="225">
        <f>IF($C1711="","",ROW())</f>
      </c>
      <c r="O1711" s="225">
        <f>IF($I1711="Công việc",MATCH($C1711,'Kế hoạch'!$A$6:$A$305,0),"")</f>
      </c>
      <c r="P1711" s="234">
        <f>IF($O1711="","",INDEX('Kế hoạch'!$I$6:$I$305,$O1711))</f>
      </c>
      <c r="Q1711" s="225">
        <f>IF($O1711="","",INDEX('Kế hoạch'!$AJ$6:$AJ$305,$O1711))</f>
      </c>
      <c r="R1711" s="225">
        <f>IF($O1711="","",INDEX('Kế hoạch'!$AK$6:$AK$305,$O1711))</f>
      </c>
    </row>
    <row r="1712">
      <c r="A1712" s="223">
        <f>IF($C1712="","",COUNTIF($C$6:$C1712,"?*"))</f>
      </c>
      <c r="B1712" s="217"/>
      <c r="C1712" s="216"/>
      <c r="D1712" s="240"/>
      <c r="E1712" s="218"/>
      <c r="F1712" s="218"/>
      <c r="G1712" s="218"/>
      <c r="H1712" s="219"/>
      <c r="I1712" s="223">
        <f>IF($C1712="","",IF(ISNUMBER(MATCH($C1712,'Phản ánh'!$A$6:$A$505,0)),"Phản ánh",IF(ISNUMBER(MATCH($C1712,'Kế hoạch'!$A$6:$A$305,0)),"Công việc","Mã chưa có")))</f>
      </c>
      <c r="J1712" s="221">
        <f>IF($I1712="Phản ánh",INDEX('Phản ánh'!$C$6:$C$505,MATCH($C1712,'Phản ánh'!$A$6:$A$505,0)),IF($I1712="Công việc",INDEX('Kế hoạch'!$C$6:$C$305,$O1712),""))</f>
      </c>
      <c r="K1712" s="221">
        <f>IF($I1712="Phản ánh",INDEX('Phản ánh'!$K$6:$K$505,MATCH($C1712,'Phản ánh'!$A$6:$A$505,0))&amp;"",IF($I1712="Công việc",INDEX('Kế hoạch'!$N$6:$N$305,$O1712)&amp;"",""))</f>
      </c>
      <c r="L1712" s="220">
        <f>IF(OR($C1712="",N($B1712)=0),"",IF(AND($I1712="Phản ánh",$E1712="Đã xử lý"),INDEX('Phản ánh'!$U$6:$U$505,MATCH($C1712,'Phản ánh'!$A$6:$A$505,0)),IF(AND($I1712="Công việc",OR($E1712="Hoàn thành",$E1712="Hoàn thành kỳ")),IF(INDEX('Kế hoạch'!$B$6:$B$305,$O1712)="Đột xuất",INDEX('Kế hoạch'!$AY$6:$AY$305,$O1712),IF(N($P1712)=0,"",IF(INT($B1712)&lt;$P1712,$P1712,IF($Q1712&gt;0,$P1712+ROUND((INT($B1712)-$P1712)/$Q1712,0)*$Q1712,IF($R1712&gt;0,EDATE($P1712,ROUND((DATEDIF($P1712,INT($B1712),"m")+(INT($B1712)-EDATE($P1712,DATEDIF($P1712,INT($B1712),"m")))/(EDATE($P1712,DATEDIF($P1712,INT($B1712),"m")+1)-EDATE($P1712,DATEDIF($P1712,INT($B1712),"m"))))/$R1712,0)*$R1712),$P1712))))),"")))</f>
      </c>
      <c r="M1712" s="223">
        <f>IF(OR($C1712="",N($L1712)=0,N($B1712)=0),"",IF(IF(MOD($L1712,1)=0,INT($B1712),$B1712)&lt;=$L1712,"Đúng hạn","Trễ hạn"))</f>
      </c>
      <c r="N1712" s="225">
        <f>IF($C1712="","",ROW())</f>
      </c>
      <c r="O1712" s="225">
        <f>IF($I1712="Công việc",MATCH($C1712,'Kế hoạch'!$A$6:$A$305,0),"")</f>
      </c>
      <c r="P1712" s="234">
        <f>IF($O1712="","",INDEX('Kế hoạch'!$I$6:$I$305,$O1712))</f>
      </c>
      <c r="Q1712" s="225">
        <f>IF($O1712="","",INDEX('Kế hoạch'!$AJ$6:$AJ$305,$O1712))</f>
      </c>
      <c r="R1712" s="225">
        <f>IF($O1712="","",INDEX('Kế hoạch'!$AK$6:$AK$305,$O1712))</f>
      </c>
    </row>
    <row r="1713">
      <c r="A1713" s="223">
        <f>IF($C1713="","",COUNTIF($C$6:$C1713,"?*"))</f>
      </c>
      <c r="B1713" s="217"/>
      <c r="C1713" s="216"/>
      <c r="D1713" s="240"/>
      <c r="E1713" s="218"/>
      <c r="F1713" s="218"/>
      <c r="G1713" s="218"/>
      <c r="H1713" s="219"/>
      <c r="I1713" s="223">
        <f>IF($C1713="","",IF(ISNUMBER(MATCH($C1713,'Phản ánh'!$A$6:$A$505,0)),"Phản ánh",IF(ISNUMBER(MATCH($C1713,'Kế hoạch'!$A$6:$A$305,0)),"Công việc","Mã chưa có")))</f>
      </c>
      <c r="J1713" s="221">
        <f>IF($I1713="Phản ánh",INDEX('Phản ánh'!$C$6:$C$505,MATCH($C1713,'Phản ánh'!$A$6:$A$505,0)),IF($I1713="Công việc",INDEX('Kế hoạch'!$C$6:$C$305,$O1713),""))</f>
      </c>
      <c r="K1713" s="221">
        <f>IF($I1713="Phản ánh",INDEX('Phản ánh'!$K$6:$K$505,MATCH($C1713,'Phản ánh'!$A$6:$A$505,0))&amp;"",IF($I1713="Công việc",INDEX('Kế hoạch'!$N$6:$N$305,$O1713)&amp;"",""))</f>
      </c>
      <c r="L1713" s="220">
        <f>IF(OR($C1713="",N($B1713)=0),"",IF(AND($I1713="Phản ánh",$E1713="Đã xử lý"),INDEX('Phản ánh'!$U$6:$U$505,MATCH($C1713,'Phản ánh'!$A$6:$A$505,0)),IF(AND($I1713="Công việc",OR($E1713="Hoàn thành",$E1713="Hoàn thành kỳ")),IF(INDEX('Kế hoạch'!$B$6:$B$305,$O1713)="Đột xuất",INDEX('Kế hoạch'!$AY$6:$AY$305,$O1713),IF(N($P1713)=0,"",IF(INT($B1713)&lt;$P1713,$P1713,IF($Q1713&gt;0,$P1713+ROUND((INT($B1713)-$P1713)/$Q1713,0)*$Q1713,IF($R1713&gt;0,EDATE($P1713,ROUND((DATEDIF($P1713,INT($B1713),"m")+(INT($B1713)-EDATE($P1713,DATEDIF($P1713,INT($B1713),"m")))/(EDATE($P1713,DATEDIF($P1713,INT($B1713),"m")+1)-EDATE($P1713,DATEDIF($P1713,INT($B1713),"m"))))/$R1713,0)*$R1713),$P1713))))),"")))</f>
      </c>
      <c r="M1713" s="223">
        <f>IF(OR($C1713="",N($L1713)=0,N($B1713)=0),"",IF(IF(MOD($L1713,1)=0,INT($B1713),$B1713)&lt;=$L1713,"Đúng hạn","Trễ hạn"))</f>
      </c>
      <c r="N1713" s="225">
        <f>IF($C1713="","",ROW())</f>
      </c>
      <c r="O1713" s="225">
        <f>IF($I1713="Công việc",MATCH($C1713,'Kế hoạch'!$A$6:$A$305,0),"")</f>
      </c>
      <c r="P1713" s="234">
        <f>IF($O1713="","",INDEX('Kế hoạch'!$I$6:$I$305,$O1713))</f>
      </c>
      <c r="Q1713" s="225">
        <f>IF($O1713="","",INDEX('Kế hoạch'!$AJ$6:$AJ$305,$O1713))</f>
      </c>
      <c r="R1713" s="225">
        <f>IF($O1713="","",INDEX('Kế hoạch'!$AK$6:$AK$305,$O1713))</f>
      </c>
    </row>
    <row r="1714">
      <c r="A1714" s="223">
        <f>IF($C1714="","",COUNTIF($C$6:$C1714,"?*"))</f>
      </c>
      <c r="B1714" s="217"/>
      <c r="C1714" s="216"/>
      <c r="D1714" s="240"/>
      <c r="E1714" s="218"/>
      <c r="F1714" s="218"/>
      <c r="G1714" s="218"/>
      <c r="H1714" s="219"/>
      <c r="I1714" s="223">
        <f>IF($C1714="","",IF(ISNUMBER(MATCH($C1714,'Phản ánh'!$A$6:$A$505,0)),"Phản ánh",IF(ISNUMBER(MATCH($C1714,'Kế hoạch'!$A$6:$A$305,0)),"Công việc","Mã chưa có")))</f>
      </c>
      <c r="J1714" s="221">
        <f>IF($I1714="Phản ánh",INDEX('Phản ánh'!$C$6:$C$505,MATCH($C1714,'Phản ánh'!$A$6:$A$505,0)),IF($I1714="Công việc",INDEX('Kế hoạch'!$C$6:$C$305,$O1714),""))</f>
      </c>
      <c r="K1714" s="221">
        <f>IF($I1714="Phản ánh",INDEX('Phản ánh'!$K$6:$K$505,MATCH($C1714,'Phản ánh'!$A$6:$A$505,0))&amp;"",IF($I1714="Công việc",INDEX('Kế hoạch'!$N$6:$N$305,$O1714)&amp;"",""))</f>
      </c>
      <c r="L1714" s="220">
        <f>IF(OR($C1714="",N($B1714)=0),"",IF(AND($I1714="Phản ánh",$E1714="Đã xử lý"),INDEX('Phản ánh'!$U$6:$U$505,MATCH($C1714,'Phản ánh'!$A$6:$A$505,0)),IF(AND($I1714="Công việc",OR($E1714="Hoàn thành",$E1714="Hoàn thành kỳ")),IF(INDEX('Kế hoạch'!$B$6:$B$305,$O1714)="Đột xuất",INDEX('Kế hoạch'!$AY$6:$AY$305,$O1714),IF(N($P1714)=0,"",IF(INT($B1714)&lt;$P1714,$P1714,IF($Q1714&gt;0,$P1714+ROUND((INT($B1714)-$P1714)/$Q1714,0)*$Q1714,IF($R1714&gt;0,EDATE($P1714,ROUND((DATEDIF($P1714,INT($B1714),"m")+(INT($B1714)-EDATE($P1714,DATEDIF($P1714,INT($B1714),"m")))/(EDATE($P1714,DATEDIF($P1714,INT($B1714),"m")+1)-EDATE($P1714,DATEDIF($P1714,INT($B1714),"m"))))/$R1714,0)*$R1714),$P1714))))),"")))</f>
      </c>
      <c r="M1714" s="223">
        <f>IF(OR($C1714="",N($L1714)=0,N($B1714)=0),"",IF(IF(MOD($L1714,1)=0,INT($B1714),$B1714)&lt;=$L1714,"Đúng hạn","Trễ hạn"))</f>
      </c>
      <c r="N1714" s="225">
        <f>IF($C1714="","",ROW())</f>
      </c>
      <c r="O1714" s="225">
        <f>IF($I1714="Công việc",MATCH($C1714,'Kế hoạch'!$A$6:$A$305,0),"")</f>
      </c>
      <c r="P1714" s="234">
        <f>IF($O1714="","",INDEX('Kế hoạch'!$I$6:$I$305,$O1714))</f>
      </c>
      <c r="Q1714" s="225">
        <f>IF($O1714="","",INDEX('Kế hoạch'!$AJ$6:$AJ$305,$O1714))</f>
      </c>
      <c r="R1714" s="225">
        <f>IF($O1714="","",INDEX('Kế hoạch'!$AK$6:$AK$305,$O1714))</f>
      </c>
    </row>
    <row r="1715">
      <c r="A1715" s="223">
        <f>IF($C1715="","",COUNTIF($C$6:$C1715,"?*"))</f>
      </c>
      <c r="B1715" s="217"/>
      <c r="C1715" s="216"/>
      <c r="D1715" s="240"/>
      <c r="E1715" s="218"/>
      <c r="F1715" s="218"/>
      <c r="G1715" s="218"/>
      <c r="H1715" s="219"/>
      <c r="I1715" s="223">
        <f>IF($C1715="","",IF(ISNUMBER(MATCH($C1715,'Phản ánh'!$A$6:$A$505,0)),"Phản ánh",IF(ISNUMBER(MATCH($C1715,'Kế hoạch'!$A$6:$A$305,0)),"Công việc","Mã chưa có")))</f>
      </c>
      <c r="J1715" s="221">
        <f>IF($I1715="Phản ánh",INDEX('Phản ánh'!$C$6:$C$505,MATCH($C1715,'Phản ánh'!$A$6:$A$505,0)),IF($I1715="Công việc",INDEX('Kế hoạch'!$C$6:$C$305,$O1715),""))</f>
      </c>
      <c r="K1715" s="221">
        <f>IF($I1715="Phản ánh",INDEX('Phản ánh'!$K$6:$K$505,MATCH($C1715,'Phản ánh'!$A$6:$A$505,0))&amp;"",IF($I1715="Công việc",INDEX('Kế hoạch'!$N$6:$N$305,$O1715)&amp;"",""))</f>
      </c>
      <c r="L1715" s="220">
        <f>IF(OR($C1715="",N($B1715)=0),"",IF(AND($I1715="Phản ánh",$E1715="Đã xử lý"),INDEX('Phản ánh'!$U$6:$U$505,MATCH($C1715,'Phản ánh'!$A$6:$A$505,0)),IF(AND($I1715="Công việc",OR($E1715="Hoàn thành",$E1715="Hoàn thành kỳ")),IF(INDEX('Kế hoạch'!$B$6:$B$305,$O1715)="Đột xuất",INDEX('Kế hoạch'!$AY$6:$AY$305,$O1715),IF(N($P1715)=0,"",IF(INT($B1715)&lt;$P1715,$P1715,IF($Q1715&gt;0,$P1715+ROUND((INT($B1715)-$P1715)/$Q1715,0)*$Q1715,IF($R1715&gt;0,EDATE($P1715,ROUND((DATEDIF($P1715,INT($B1715),"m")+(INT($B1715)-EDATE($P1715,DATEDIF($P1715,INT($B1715),"m")))/(EDATE($P1715,DATEDIF($P1715,INT($B1715),"m")+1)-EDATE($P1715,DATEDIF($P1715,INT($B1715),"m"))))/$R1715,0)*$R1715),$P1715))))),"")))</f>
      </c>
      <c r="M1715" s="223">
        <f>IF(OR($C1715="",N($L1715)=0,N($B1715)=0),"",IF(IF(MOD($L1715,1)=0,INT($B1715),$B1715)&lt;=$L1715,"Đúng hạn","Trễ hạn"))</f>
      </c>
      <c r="N1715" s="225">
        <f>IF($C1715="","",ROW())</f>
      </c>
      <c r="O1715" s="225">
        <f>IF($I1715="Công việc",MATCH($C1715,'Kế hoạch'!$A$6:$A$305,0),"")</f>
      </c>
      <c r="P1715" s="234">
        <f>IF($O1715="","",INDEX('Kế hoạch'!$I$6:$I$305,$O1715))</f>
      </c>
      <c r="Q1715" s="225">
        <f>IF($O1715="","",INDEX('Kế hoạch'!$AJ$6:$AJ$305,$O1715))</f>
      </c>
      <c r="R1715" s="225">
        <f>IF($O1715="","",INDEX('Kế hoạch'!$AK$6:$AK$305,$O1715))</f>
      </c>
    </row>
    <row r="1716">
      <c r="A1716" s="223">
        <f>IF($C1716="","",COUNTIF($C$6:$C1716,"?*"))</f>
      </c>
      <c r="B1716" s="217"/>
      <c r="C1716" s="216"/>
      <c r="D1716" s="240"/>
      <c r="E1716" s="218"/>
      <c r="F1716" s="218"/>
      <c r="G1716" s="218"/>
      <c r="H1716" s="219"/>
      <c r="I1716" s="223">
        <f>IF($C1716="","",IF(ISNUMBER(MATCH($C1716,'Phản ánh'!$A$6:$A$505,0)),"Phản ánh",IF(ISNUMBER(MATCH($C1716,'Kế hoạch'!$A$6:$A$305,0)),"Công việc","Mã chưa có")))</f>
      </c>
      <c r="J1716" s="221">
        <f>IF($I1716="Phản ánh",INDEX('Phản ánh'!$C$6:$C$505,MATCH($C1716,'Phản ánh'!$A$6:$A$505,0)),IF($I1716="Công việc",INDEX('Kế hoạch'!$C$6:$C$305,$O1716),""))</f>
      </c>
      <c r="K1716" s="221">
        <f>IF($I1716="Phản ánh",INDEX('Phản ánh'!$K$6:$K$505,MATCH($C1716,'Phản ánh'!$A$6:$A$505,0))&amp;"",IF($I1716="Công việc",INDEX('Kế hoạch'!$N$6:$N$305,$O1716)&amp;"",""))</f>
      </c>
      <c r="L1716" s="220">
        <f>IF(OR($C1716="",N($B1716)=0),"",IF(AND($I1716="Phản ánh",$E1716="Đã xử lý"),INDEX('Phản ánh'!$U$6:$U$505,MATCH($C1716,'Phản ánh'!$A$6:$A$505,0)),IF(AND($I1716="Công việc",OR($E1716="Hoàn thành",$E1716="Hoàn thành kỳ")),IF(INDEX('Kế hoạch'!$B$6:$B$305,$O1716)="Đột xuất",INDEX('Kế hoạch'!$AY$6:$AY$305,$O1716),IF(N($P1716)=0,"",IF(INT($B1716)&lt;$P1716,$P1716,IF($Q1716&gt;0,$P1716+ROUND((INT($B1716)-$P1716)/$Q1716,0)*$Q1716,IF($R1716&gt;0,EDATE($P1716,ROUND((DATEDIF($P1716,INT($B1716),"m")+(INT($B1716)-EDATE($P1716,DATEDIF($P1716,INT($B1716),"m")))/(EDATE($P1716,DATEDIF($P1716,INT($B1716),"m")+1)-EDATE($P1716,DATEDIF($P1716,INT($B1716),"m"))))/$R1716,0)*$R1716),$P1716))))),"")))</f>
      </c>
      <c r="M1716" s="223">
        <f>IF(OR($C1716="",N($L1716)=0,N($B1716)=0),"",IF(IF(MOD($L1716,1)=0,INT($B1716),$B1716)&lt;=$L1716,"Đúng hạn","Trễ hạn"))</f>
      </c>
      <c r="N1716" s="225">
        <f>IF($C1716="","",ROW())</f>
      </c>
      <c r="O1716" s="225">
        <f>IF($I1716="Công việc",MATCH($C1716,'Kế hoạch'!$A$6:$A$305,0),"")</f>
      </c>
      <c r="P1716" s="234">
        <f>IF($O1716="","",INDEX('Kế hoạch'!$I$6:$I$305,$O1716))</f>
      </c>
      <c r="Q1716" s="225">
        <f>IF($O1716="","",INDEX('Kế hoạch'!$AJ$6:$AJ$305,$O1716))</f>
      </c>
      <c r="R1716" s="225">
        <f>IF($O1716="","",INDEX('Kế hoạch'!$AK$6:$AK$305,$O1716))</f>
      </c>
    </row>
    <row r="1717">
      <c r="A1717" s="223">
        <f>IF($C1717="","",COUNTIF($C$6:$C1717,"?*"))</f>
      </c>
      <c r="B1717" s="217"/>
      <c r="C1717" s="216"/>
      <c r="D1717" s="240"/>
      <c r="E1717" s="218"/>
      <c r="F1717" s="218"/>
      <c r="G1717" s="218"/>
      <c r="H1717" s="219"/>
      <c r="I1717" s="223">
        <f>IF($C1717="","",IF(ISNUMBER(MATCH($C1717,'Phản ánh'!$A$6:$A$505,0)),"Phản ánh",IF(ISNUMBER(MATCH($C1717,'Kế hoạch'!$A$6:$A$305,0)),"Công việc","Mã chưa có")))</f>
      </c>
      <c r="J1717" s="221">
        <f>IF($I1717="Phản ánh",INDEX('Phản ánh'!$C$6:$C$505,MATCH($C1717,'Phản ánh'!$A$6:$A$505,0)),IF($I1717="Công việc",INDEX('Kế hoạch'!$C$6:$C$305,$O1717),""))</f>
      </c>
      <c r="K1717" s="221">
        <f>IF($I1717="Phản ánh",INDEX('Phản ánh'!$K$6:$K$505,MATCH($C1717,'Phản ánh'!$A$6:$A$505,0))&amp;"",IF($I1717="Công việc",INDEX('Kế hoạch'!$N$6:$N$305,$O1717)&amp;"",""))</f>
      </c>
      <c r="L1717" s="220">
        <f>IF(OR($C1717="",N($B1717)=0),"",IF(AND($I1717="Phản ánh",$E1717="Đã xử lý"),INDEX('Phản ánh'!$U$6:$U$505,MATCH($C1717,'Phản ánh'!$A$6:$A$505,0)),IF(AND($I1717="Công việc",OR($E1717="Hoàn thành",$E1717="Hoàn thành kỳ")),IF(INDEX('Kế hoạch'!$B$6:$B$305,$O1717)="Đột xuất",INDEX('Kế hoạch'!$AY$6:$AY$305,$O1717),IF(N($P1717)=0,"",IF(INT($B1717)&lt;$P1717,$P1717,IF($Q1717&gt;0,$P1717+ROUND((INT($B1717)-$P1717)/$Q1717,0)*$Q1717,IF($R1717&gt;0,EDATE($P1717,ROUND((DATEDIF($P1717,INT($B1717),"m")+(INT($B1717)-EDATE($P1717,DATEDIF($P1717,INT($B1717),"m")))/(EDATE($P1717,DATEDIF($P1717,INT($B1717),"m")+1)-EDATE($P1717,DATEDIF($P1717,INT($B1717),"m"))))/$R1717,0)*$R1717),$P1717))))),"")))</f>
      </c>
      <c r="M1717" s="223">
        <f>IF(OR($C1717="",N($L1717)=0,N($B1717)=0),"",IF(IF(MOD($L1717,1)=0,INT($B1717),$B1717)&lt;=$L1717,"Đúng hạn","Trễ hạn"))</f>
      </c>
      <c r="N1717" s="225">
        <f>IF($C1717="","",ROW())</f>
      </c>
      <c r="O1717" s="225">
        <f>IF($I1717="Công việc",MATCH($C1717,'Kế hoạch'!$A$6:$A$305,0),"")</f>
      </c>
      <c r="P1717" s="234">
        <f>IF($O1717="","",INDEX('Kế hoạch'!$I$6:$I$305,$O1717))</f>
      </c>
      <c r="Q1717" s="225">
        <f>IF($O1717="","",INDEX('Kế hoạch'!$AJ$6:$AJ$305,$O1717))</f>
      </c>
      <c r="R1717" s="225">
        <f>IF($O1717="","",INDEX('Kế hoạch'!$AK$6:$AK$305,$O1717))</f>
      </c>
    </row>
    <row r="1718">
      <c r="A1718" s="223">
        <f>IF($C1718="","",COUNTIF($C$6:$C1718,"?*"))</f>
      </c>
      <c r="B1718" s="217"/>
      <c r="C1718" s="216"/>
      <c r="D1718" s="240"/>
      <c r="E1718" s="218"/>
      <c r="F1718" s="218"/>
      <c r="G1718" s="218"/>
      <c r="H1718" s="219"/>
      <c r="I1718" s="223">
        <f>IF($C1718="","",IF(ISNUMBER(MATCH($C1718,'Phản ánh'!$A$6:$A$505,0)),"Phản ánh",IF(ISNUMBER(MATCH($C1718,'Kế hoạch'!$A$6:$A$305,0)),"Công việc","Mã chưa có")))</f>
      </c>
      <c r="J1718" s="221">
        <f>IF($I1718="Phản ánh",INDEX('Phản ánh'!$C$6:$C$505,MATCH($C1718,'Phản ánh'!$A$6:$A$505,0)),IF($I1718="Công việc",INDEX('Kế hoạch'!$C$6:$C$305,$O1718),""))</f>
      </c>
      <c r="K1718" s="221">
        <f>IF($I1718="Phản ánh",INDEX('Phản ánh'!$K$6:$K$505,MATCH($C1718,'Phản ánh'!$A$6:$A$505,0))&amp;"",IF($I1718="Công việc",INDEX('Kế hoạch'!$N$6:$N$305,$O1718)&amp;"",""))</f>
      </c>
      <c r="L1718" s="220">
        <f>IF(OR($C1718="",N($B1718)=0),"",IF(AND($I1718="Phản ánh",$E1718="Đã xử lý"),INDEX('Phản ánh'!$U$6:$U$505,MATCH($C1718,'Phản ánh'!$A$6:$A$505,0)),IF(AND($I1718="Công việc",OR($E1718="Hoàn thành",$E1718="Hoàn thành kỳ")),IF(INDEX('Kế hoạch'!$B$6:$B$305,$O1718)="Đột xuất",INDEX('Kế hoạch'!$AY$6:$AY$305,$O1718),IF(N($P1718)=0,"",IF(INT($B1718)&lt;$P1718,$P1718,IF($Q1718&gt;0,$P1718+ROUND((INT($B1718)-$P1718)/$Q1718,0)*$Q1718,IF($R1718&gt;0,EDATE($P1718,ROUND((DATEDIF($P1718,INT($B1718),"m")+(INT($B1718)-EDATE($P1718,DATEDIF($P1718,INT($B1718),"m")))/(EDATE($P1718,DATEDIF($P1718,INT($B1718),"m")+1)-EDATE($P1718,DATEDIF($P1718,INT($B1718),"m"))))/$R1718,0)*$R1718),$P1718))))),"")))</f>
      </c>
      <c r="M1718" s="223">
        <f>IF(OR($C1718="",N($L1718)=0,N($B1718)=0),"",IF(IF(MOD($L1718,1)=0,INT($B1718),$B1718)&lt;=$L1718,"Đúng hạn","Trễ hạn"))</f>
      </c>
      <c r="N1718" s="225">
        <f>IF($C1718="","",ROW())</f>
      </c>
      <c r="O1718" s="225">
        <f>IF($I1718="Công việc",MATCH($C1718,'Kế hoạch'!$A$6:$A$305,0),"")</f>
      </c>
      <c r="P1718" s="234">
        <f>IF($O1718="","",INDEX('Kế hoạch'!$I$6:$I$305,$O1718))</f>
      </c>
      <c r="Q1718" s="225">
        <f>IF($O1718="","",INDEX('Kế hoạch'!$AJ$6:$AJ$305,$O1718))</f>
      </c>
      <c r="R1718" s="225">
        <f>IF($O1718="","",INDEX('Kế hoạch'!$AK$6:$AK$305,$O1718))</f>
      </c>
    </row>
    <row r="1719">
      <c r="A1719" s="223">
        <f>IF($C1719="","",COUNTIF($C$6:$C1719,"?*"))</f>
      </c>
      <c r="B1719" s="217"/>
      <c r="C1719" s="216"/>
      <c r="D1719" s="240"/>
      <c r="E1719" s="218"/>
      <c r="F1719" s="218"/>
      <c r="G1719" s="218"/>
      <c r="H1719" s="219"/>
      <c r="I1719" s="223">
        <f>IF($C1719="","",IF(ISNUMBER(MATCH($C1719,'Phản ánh'!$A$6:$A$505,0)),"Phản ánh",IF(ISNUMBER(MATCH($C1719,'Kế hoạch'!$A$6:$A$305,0)),"Công việc","Mã chưa có")))</f>
      </c>
      <c r="J1719" s="221">
        <f>IF($I1719="Phản ánh",INDEX('Phản ánh'!$C$6:$C$505,MATCH($C1719,'Phản ánh'!$A$6:$A$505,0)),IF($I1719="Công việc",INDEX('Kế hoạch'!$C$6:$C$305,$O1719),""))</f>
      </c>
      <c r="K1719" s="221">
        <f>IF($I1719="Phản ánh",INDEX('Phản ánh'!$K$6:$K$505,MATCH($C1719,'Phản ánh'!$A$6:$A$505,0))&amp;"",IF($I1719="Công việc",INDEX('Kế hoạch'!$N$6:$N$305,$O1719)&amp;"",""))</f>
      </c>
      <c r="L1719" s="220">
        <f>IF(OR($C1719="",N($B1719)=0),"",IF(AND($I1719="Phản ánh",$E1719="Đã xử lý"),INDEX('Phản ánh'!$U$6:$U$505,MATCH($C1719,'Phản ánh'!$A$6:$A$505,0)),IF(AND($I1719="Công việc",OR($E1719="Hoàn thành",$E1719="Hoàn thành kỳ")),IF(INDEX('Kế hoạch'!$B$6:$B$305,$O1719)="Đột xuất",INDEX('Kế hoạch'!$AY$6:$AY$305,$O1719),IF(N($P1719)=0,"",IF(INT($B1719)&lt;$P1719,$P1719,IF($Q1719&gt;0,$P1719+ROUND((INT($B1719)-$P1719)/$Q1719,0)*$Q1719,IF($R1719&gt;0,EDATE($P1719,ROUND((DATEDIF($P1719,INT($B1719),"m")+(INT($B1719)-EDATE($P1719,DATEDIF($P1719,INT($B1719),"m")))/(EDATE($P1719,DATEDIF($P1719,INT($B1719),"m")+1)-EDATE($P1719,DATEDIF($P1719,INT($B1719),"m"))))/$R1719,0)*$R1719),$P1719))))),"")))</f>
      </c>
      <c r="M1719" s="223">
        <f>IF(OR($C1719="",N($L1719)=0,N($B1719)=0),"",IF(IF(MOD($L1719,1)=0,INT($B1719),$B1719)&lt;=$L1719,"Đúng hạn","Trễ hạn"))</f>
      </c>
      <c r="N1719" s="225">
        <f>IF($C1719="","",ROW())</f>
      </c>
      <c r="O1719" s="225">
        <f>IF($I1719="Công việc",MATCH($C1719,'Kế hoạch'!$A$6:$A$305,0),"")</f>
      </c>
      <c r="P1719" s="234">
        <f>IF($O1719="","",INDEX('Kế hoạch'!$I$6:$I$305,$O1719))</f>
      </c>
      <c r="Q1719" s="225">
        <f>IF($O1719="","",INDEX('Kế hoạch'!$AJ$6:$AJ$305,$O1719))</f>
      </c>
      <c r="R1719" s="225">
        <f>IF($O1719="","",INDEX('Kế hoạch'!$AK$6:$AK$305,$O1719))</f>
      </c>
    </row>
    <row r="1720">
      <c r="A1720" s="223">
        <f>IF($C1720="","",COUNTIF($C$6:$C1720,"?*"))</f>
      </c>
      <c r="B1720" s="217"/>
      <c r="C1720" s="216"/>
      <c r="D1720" s="240"/>
      <c r="E1720" s="218"/>
      <c r="F1720" s="218"/>
      <c r="G1720" s="218"/>
      <c r="H1720" s="219"/>
      <c r="I1720" s="223">
        <f>IF($C1720="","",IF(ISNUMBER(MATCH($C1720,'Phản ánh'!$A$6:$A$505,0)),"Phản ánh",IF(ISNUMBER(MATCH($C1720,'Kế hoạch'!$A$6:$A$305,0)),"Công việc","Mã chưa có")))</f>
      </c>
      <c r="J1720" s="221">
        <f>IF($I1720="Phản ánh",INDEX('Phản ánh'!$C$6:$C$505,MATCH($C1720,'Phản ánh'!$A$6:$A$505,0)),IF($I1720="Công việc",INDEX('Kế hoạch'!$C$6:$C$305,$O1720),""))</f>
      </c>
      <c r="K1720" s="221">
        <f>IF($I1720="Phản ánh",INDEX('Phản ánh'!$K$6:$K$505,MATCH($C1720,'Phản ánh'!$A$6:$A$505,0))&amp;"",IF($I1720="Công việc",INDEX('Kế hoạch'!$N$6:$N$305,$O1720)&amp;"",""))</f>
      </c>
      <c r="L1720" s="220">
        <f>IF(OR($C1720="",N($B1720)=0),"",IF(AND($I1720="Phản ánh",$E1720="Đã xử lý"),INDEX('Phản ánh'!$U$6:$U$505,MATCH($C1720,'Phản ánh'!$A$6:$A$505,0)),IF(AND($I1720="Công việc",OR($E1720="Hoàn thành",$E1720="Hoàn thành kỳ")),IF(INDEX('Kế hoạch'!$B$6:$B$305,$O1720)="Đột xuất",INDEX('Kế hoạch'!$AY$6:$AY$305,$O1720),IF(N($P1720)=0,"",IF(INT($B1720)&lt;$P1720,$P1720,IF($Q1720&gt;0,$P1720+ROUND((INT($B1720)-$P1720)/$Q1720,0)*$Q1720,IF($R1720&gt;0,EDATE($P1720,ROUND((DATEDIF($P1720,INT($B1720),"m")+(INT($B1720)-EDATE($P1720,DATEDIF($P1720,INT($B1720),"m")))/(EDATE($P1720,DATEDIF($P1720,INT($B1720),"m")+1)-EDATE($P1720,DATEDIF($P1720,INT($B1720),"m"))))/$R1720,0)*$R1720),$P1720))))),"")))</f>
      </c>
      <c r="M1720" s="223">
        <f>IF(OR($C1720="",N($L1720)=0,N($B1720)=0),"",IF(IF(MOD($L1720,1)=0,INT($B1720),$B1720)&lt;=$L1720,"Đúng hạn","Trễ hạn"))</f>
      </c>
      <c r="N1720" s="225">
        <f>IF($C1720="","",ROW())</f>
      </c>
      <c r="O1720" s="225">
        <f>IF($I1720="Công việc",MATCH($C1720,'Kế hoạch'!$A$6:$A$305,0),"")</f>
      </c>
      <c r="P1720" s="234">
        <f>IF($O1720="","",INDEX('Kế hoạch'!$I$6:$I$305,$O1720))</f>
      </c>
      <c r="Q1720" s="225">
        <f>IF($O1720="","",INDEX('Kế hoạch'!$AJ$6:$AJ$305,$O1720))</f>
      </c>
      <c r="R1720" s="225">
        <f>IF($O1720="","",INDEX('Kế hoạch'!$AK$6:$AK$305,$O1720))</f>
      </c>
    </row>
    <row r="1721">
      <c r="A1721" s="223">
        <f>IF($C1721="","",COUNTIF($C$6:$C1721,"?*"))</f>
      </c>
      <c r="B1721" s="217"/>
      <c r="C1721" s="216"/>
      <c r="D1721" s="240"/>
      <c r="E1721" s="218"/>
      <c r="F1721" s="218"/>
      <c r="G1721" s="218"/>
      <c r="H1721" s="219"/>
      <c r="I1721" s="223">
        <f>IF($C1721="","",IF(ISNUMBER(MATCH($C1721,'Phản ánh'!$A$6:$A$505,0)),"Phản ánh",IF(ISNUMBER(MATCH($C1721,'Kế hoạch'!$A$6:$A$305,0)),"Công việc","Mã chưa có")))</f>
      </c>
      <c r="J1721" s="221">
        <f>IF($I1721="Phản ánh",INDEX('Phản ánh'!$C$6:$C$505,MATCH($C1721,'Phản ánh'!$A$6:$A$505,0)),IF($I1721="Công việc",INDEX('Kế hoạch'!$C$6:$C$305,$O1721),""))</f>
      </c>
      <c r="K1721" s="221">
        <f>IF($I1721="Phản ánh",INDEX('Phản ánh'!$K$6:$K$505,MATCH($C1721,'Phản ánh'!$A$6:$A$505,0))&amp;"",IF($I1721="Công việc",INDEX('Kế hoạch'!$N$6:$N$305,$O1721)&amp;"",""))</f>
      </c>
      <c r="L1721" s="220">
        <f>IF(OR($C1721="",N($B1721)=0),"",IF(AND($I1721="Phản ánh",$E1721="Đã xử lý"),INDEX('Phản ánh'!$U$6:$U$505,MATCH($C1721,'Phản ánh'!$A$6:$A$505,0)),IF(AND($I1721="Công việc",OR($E1721="Hoàn thành",$E1721="Hoàn thành kỳ")),IF(INDEX('Kế hoạch'!$B$6:$B$305,$O1721)="Đột xuất",INDEX('Kế hoạch'!$AY$6:$AY$305,$O1721),IF(N($P1721)=0,"",IF(INT($B1721)&lt;$P1721,$P1721,IF($Q1721&gt;0,$P1721+ROUND((INT($B1721)-$P1721)/$Q1721,0)*$Q1721,IF($R1721&gt;0,EDATE($P1721,ROUND((DATEDIF($P1721,INT($B1721),"m")+(INT($B1721)-EDATE($P1721,DATEDIF($P1721,INT($B1721),"m")))/(EDATE($P1721,DATEDIF($P1721,INT($B1721),"m")+1)-EDATE($P1721,DATEDIF($P1721,INT($B1721),"m"))))/$R1721,0)*$R1721),$P1721))))),"")))</f>
      </c>
      <c r="M1721" s="223">
        <f>IF(OR($C1721="",N($L1721)=0,N($B1721)=0),"",IF(IF(MOD($L1721,1)=0,INT($B1721),$B1721)&lt;=$L1721,"Đúng hạn","Trễ hạn"))</f>
      </c>
      <c r="N1721" s="225">
        <f>IF($C1721="","",ROW())</f>
      </c>
      <c r="O1721" s="225">
        <f>IF($I1721="Công việc",MATCH($C1721,'Kế hoạch'!$A$6:$A$305,0),"")</f>
      </c>
      <c r="P1721" s="234">
        <f>IF($O1721="","",INDEX('Kế hoạch'!$I$6:$I$305,$O1721))</f>
      </c>
      <c r="Q1721" s="225">
        <f>IF($O1721="","",INDEX('Kế hoạch'!$AJ$6:$AJ$305,$O1721))</f>
      </c>
      <c r="R1721" s="225">
        <f>IF($O1721="","",INDEX('Kế hoạch'!$AK$6:$AK$305,$O1721))</f>
      </c>
    </row>
    <row r="1722">
      <c r="A1722" s="223">
        <f>IF($C1722="","",COUNTIF($C$6:$C1722,"?*"))</f>
      </c>
      <c r="B1722" s="217"/>
      <c r="C1722" s="216"/>
      <c r="D1722" s="240"/>
      <c r="E1722" s="218"/>
      <c r="F1722" s="218"/>
      <c r="G1722" s="218"/>
      <c r="H1722" s="219"/>
      <c r="I1722" s="223">
        <f>IF($C1722="","",IF(ISNUMBER(MATCH($C1722,'Phản ánh'!$A$6:$A$505,0)),"Phản ánh",IF(ISNUMBER(MATCH($C1722,'Kế hoạch'!$A$6:$A$305,0)),"Công việc","Mã chưa có")))</f>
      </c>
      <c r="J1722" s="221">
        <f>IF($I1722="Phản ánh",INDEX('Phản ánh'!$C$6:$C$505,MATCH($C1722,'Phản ánh'!$A$6:$A$505,0)),IF($I1722="Công việc",INDEX('Kế hoạch'!$C$6:$C$305,$O1722),""))</f>
      </c>
      <c r="K1722" s="221">
        <f>IF($I1722="Phản ánh",INDEX('Phản ánh'!$K$6:$K$505,MATCH($C1722,'Phản ánh'!$A$6:$A$505,0))&amp;"",IF($I1722="Công việc",INDEX('Kế hoạch'!$N$6:$N$305,$O1722)&amp;"",""))</f>
      </c>
      <c r="L1722" s="220">
        <f>IF(OR($C1722="",N($B1722)=0),"",IF(AND($I1722="Phản ánh",$E1722="Đã xử lý"),INDEX('Phản ánh'!$U$6:$U$505,MATCH($C1722,'Phản ánh'!$A$6:$A$505,0)),IF(AND($I1722="Công việc",OR($E1722="Hoàn thành",$E1722="Hoàn thành kỳ")),IF(INDEX('Kế hoạch'!$B$6:$B$305,$O1722)="Đột xuất",INDEX('Kế hoạch'!$AY$6:$AY$305,$O1722),IF(N($P1722)=0,"",IF(INT($B1722)&lt;$P1722,$P1722,IF($Q1722&gt;0,$P1722+ROUND((INT($B1722)-$P1722)/$Q1722,0)*$Q1722,IF($R1722&gt;0,EDATE($P1722,ROUND((DATEDIF($P1722,INT($B1722),"m")+(INT($B1722)-EDATE($P1722,DATEDIF($P1722,INT($B1722),"m")))/(EDATE($P1722,DATEDIF($P1722,INT($B1722),"m")+1)-EDATE($P1722,DATEDIF($P1722,INT($B1722),"m"))))/$R1722,0)*$R1722),$P1722))))),"")))</f>
      </c>
      <c r="M1722" s="223">
        <f>IF(OR($C1722="",N($L1722)=0,N($B1722)=0),"",IF(IF(MOD($L1722,1)=0,INT($B1722),$B1722)&lt;=$L1722,"Đúng hạn","Trễ hạn"))</f>
      </c>
      <c r="N1722" s="225">
        <f>IF($C1722="","",ROW())</f>
      </c>
      <c r="O1722" s="225">
        <f>IF($I1722="Công việc",MATCH($C1722,'Kế hoạch'!$A$6:$A$305,0),"")</f>
      </c>
      <c r="P1722" s="234">
        <f>IF($O1722="","",INDEX('Kế hoạch'!$I$6:$I$305,$O1722))</f>
      </c>
      <c r="Q1722" s="225">
        <f>IF($O1722="","",INDEX('Kế hoạch'!$AJ$6:$AJ$305,$O1722))</f>
      </c>
      <c r="R1722" s="225">
        <f>IF($O1722="","",INDEX('Kế hoạch'!$AK$6:$AK$305,$O1722))</f>
      </c>
    </row>
    <row r="1723">
      <c r="A1723" s="223">
        <f>IF($C1723="","",COUNTIF($C$6:$C1723,"?*"))</f>
      </c>
      <c r="B1723" s="217"/>
      <c r="C1723" s="216"/>
      <c r="D1723" s="240"/>
      <c r="E1723" s="218"/>
      <c r="F1723" s="218"/>
      <c r="G1723" s="218"/>
      <c r="H1723" s="219"/>
      <c r="I1723" s="223">
        <f>IF($C1723="","",IF(ISNUMBER(MATCH($C1723,'Phản ánh'!$A$6:$A$505,0)),"Phản ánh",IF(ISNUMBER(MATCH($C1723,'Kế hoạch'!$A$6:$A$305,0)),"Công việc","Mã chưa có")))</f>
      </c>
      <c r="J1723" s="221">
        <f>IF($I1723="Phản ánh",INDEX('Phản ánh'!$C$6:$C$505,MATCH($C1723,'Phản ánh'!$A$6:$A$505,0)),IF($I1723="Công việc",INDEX('Kế hoạch'!$C$6:$C$305,$O1723),""))</f>
      </c>
      <c r="K1723" s="221">
        <f>IF($I1723="Phản ánh",INDEX('Phản ánh'!$K$6:$K$505,MATCH($C1723,'Phản ánh'!$A$6:$A$505,0))&amp;"",IF($I1723="Công việc",INDEX('Kế hoạch'!$N$6:$N$305,$O1723)&amp;"",""))</f>
      </c>
      <c r="L1723" s="220">
        <f>IF(OR($C1723="",N($B1723)=0),"",IF(AND($I1723="Phản ánh",$E1723="Đã xử lý"),INDEX('Phản ánh'!$U$6:$U$505,MATCH($C1723,'Phản ánh'!$A$6:$A$505,0)),IF(AND($I1723="Công việc",OR($E1723="Hoàn thành",$E1723="Hoàn thành kỳ")),IF(INDEX('Kế hoạch'!$B$6:$B$305,$O1723)="Đột xuất",INDEX('Kế hoạch'!$AY$6:$AY$305,$O1723),IF(N($P1723)=0,"",IF(INT($B1723)&lt;$P1723,$P1723,IF($Q1723&gt;0,$P1723+ROUND((INT($B1723)-$P1723)/$Q1723,0)*$Q1723,IF($R1723&gt;0,EDATE($P1723,ROUND((DATEDIF($P1723,INT($B1723),"m")+(INT($B1723)-EDATE($P1723,DATEDIF($P1723,INT($B1723),"m")))/(EDATE($P1723,DATEDIF($P1723,INT($B1723),"m")+1)-EDATE($P1723,DATEDIF($P1723,INT($B1723),"m"))))/$R1723,0)*$R1723),$P1723))))),"")))</f>
      </c>
      <c r="M1723" s="223">
        <f>IF(OR($C1723="",N($L1723)=0,N($B1723)=0),"",IF(IF(MOD($L1723,1)=0,INT($B1723),$B1723)&lt;=$L1723,"Đúng hạn","Trễ hạn"))</f>
      </c>
      <c r="N1723" s="225">
        <f>IF($C1723="","",ROW())</f>
      </c>
      <c r="O1723" s="225">
        <f>IF($I1723="Công việc",MATCH($C1723,'Kế hoạch'!$A$6:$A$305,0),"")</f>
      </c>
      <c r="P1723" s="234">
        <f>IF($O1723="","",INDEX('Kế hoạch'!$I$6:$I$305,$O1723))</f>
      </c>
      <c r="Q1723" s="225">
        <f>IF($O1723="","",INDEX('Kế hoạch'!$AJ$6:$AJ$305,$O1723))</f>
      </c>
      <c r="R1723" s="225">
        <f>IF($O1723="","",INDEX('Kế hoạch'!$AK$6:$AK$305,$O1723))</f>
      </c>
    </row>
    <row r="1724">
      <c r="A1724" s="223">
        <f>IF($C1724="","",COUNTIF($C$6:$C1724,"?*"))</f>
      </c>
      <c r="B1724" s="217"/>
      <c r="C1724" s="216"/>
      <c r="D1724" s="240"/>
      <c r="E1724" s="218"/>
      <c r="F1724" s="218"/>
      <c r="G1724" s="218"/>
      <c r="H1724" s="219"/>
      <c r="I1724" s="223">
        <f>IF($C1724="","",IF(ISNUMBER(MATCH($C1724,'Phản ánh'!$A$6:$A$505,0)),"Phản ánh",IF(ISNUMBER(MATCH($C1724,'Kế hoạch'!$A$6:$A$305,0)),"Công việc","Mã chưa có")))</f>
      </c>
      <c r="J1724" s="221">
        <f>IF($I1724="Phản ánh",INDEX('Phản ánh'!$C$6:$C$505,MATCH($C1724,'Phản ánh'!$A$6:$A$505,0)),IF($I1724="Công việc",INDEX('Kế hoạch'!$C$6:$C$305,$O1724),""))</f>
      </c>
      <c r="K1724" s="221">
        <f>IF($I1724="Phản ánh",INDEX('Phản ánh'!$K$6:$K$505,MATCH($C1724,'Phản ánh'!$A$6:$A$505,0))&amp;"",IF($I1724="Công việc",INDEX('Kế hoạch'!$N$6:$N$305,$O1724)&amp;"",""))</f>
      </c>
      <c r="L1724" s="220">
        <f>IF(OR($C1724="",N($B1724)=0),"",IF(AND($I1724="Phản ánh",$E1724="Đã xử lý"),INDEX('Phản ánh'!$U$6:$U$505,MATCH($C1724,'Phản ánh'!$A$6:$A$505,0)),IF(AND($I1724="Công việc",OR($E1724="Hoàn thành",$E1724="Hoàn thành kỳ")),IF(INDEX('Kế hoạch'!$B$6:$B$305,$O1724)="Đột xuất",INDEX('Kế hoạch'!$AY$6:$AY$305,$O1724),IF(N($P1724)=0,"",IF(INT($B1724)&lt;$P1724,$P1724,IF($Q1724&gt;0,$P1724+ROUND((INT($B1724)-$P1724)/$Q1724,0)*$Q1724,IF($R1724&gt;0,EDATE($P1724,ROUND((DATEDIF($P1724,INT($B1724),"m")+(INT($B1724)-EDATE($P1724,DATEDIF($P1724,INT($B1724),"m")))/(EDATE($P1724,DATEDIF($P1724,INT($B1724),"m")+1)-EDATE($P1724,DATEDIF($P1724,INT($B1724),"m"))))/$R1724,0)*$R1724),$P1724))))),"")))</f>
      </c>
      <c r="M1724" s="223">
        <f>IF(OR($C1724="",N($L1724)=0,N($B1724)=0),"",IF(IF(MOD($L1724,1)=0,INT($B1724),$B1724)&lt;=$L1724,"Đúng hạn","Trễ hạn"))</f>
      </c>
      <c r="N1724" s="225">
        <f>IF($C1724="","",ROW())</f>
      </c>
      <c r="O1724" s="225">
        <f>IF($I1724="Công việc",MATCH($C1724,'Kế hoạch'!$A$6:$A$305,0),"")</f>
      </c>
      <c r="P1724" s="234">
        <f>IF($O1724="","",INDEX('Kế hoạch'!$I$6:$I$305,$O1724))</f>
      </c>
      <c r="Q1724" s="225">
        <f>IF($O1724="","",INDEX('Kế hoạch'!$AJ$6:$AJ$305,$O1724))</f>
      </c>
      <c r="R1724" s="225">
        <f>IF($O1724="","",INDEX('Kế hoạch'!$AK$6:$AK$305,$O1724))</f>
      </c>
    </row>
    <row r="1725">
      <c r="A1725" s="223">
        <f>IF($C1725="","",COUNTIF($C$6:$C1725,"?*"))</f>
      </c>
      <c r="B1725" s="217"/>
      <c r="C1725" s="216"/>
      <c r="D1725" s="240"/>
      <c r="E1725" s="218"/>
      <c r="F1725" s="218"/>
      <c r="G1725" s="218"/>
      <c r="H1725" s="219"/>
      <c r="I1725" s="223">
        <f>IF($C1725="","",IF(ISNUMBER(MATCH($C1725,'Phản ánh'!$A$6:$A$505,0)),"Phản ánh",IF(ISNUMBER(MATCH($C1725,'Kế hoạch'!$A$6:$A$305,0)),"Công việc","Mã chưa có")))</f>
      </c>
      <c r="J1725" s="221">
        <f>IF($I1725="Phản ánh",INDEX('Phản ánh'!$C$6:$C$505,MATCH($C1725,'Phản ánh'!$A$6:$A$505,0)),IF($I1725="Công việc",INDEX('Kế hoạch'!$C$6:$C$305,$O1725),""))</f>
      </c>
      <c r="K1725" s="221">
        <f>IF($I1725="Phản ánh",INDEX('Phản ánh'!$K$6:$K$505,MATCH($C1725,'Phản ánh'!$A$6:$A$505,0))&amp;"",IF($I1725="Công việc",INDEX('Kế hoạch'!$N$6:$N$305,$O1725)&amp;"",""))</f>
      </c>
      <c r="L1725" s="220">
        <f>IF(OR($C1725="",N($B1725)=0),"",IF(AND($I1725="Phản ánh",$E1725="Đã xử lý"),INDEX('Phản ánh'!$U$6:$U$505,MATCH($C1725,'Phản ánh'!$A$6:$A$505,0)),IF(AND($I1725="Công việc",OR($E1725="Hoàn thành",$E1725="Hoàn thành kỳ")),IF(INDEX('Kế hoạch'!$B$6:$B$305,$O1725)="Đột xuất",INDEX('Kế hoạch'!$AY$6:$AY$305,$O1725),IF(N($P1725)=0,"",IF(INT($B1725)&lt;$P1725,$P1725,IF($Q1725&gt;0,$P1725+ROUND((INT($B1725)-$P1725)/$Q1725,0)*$Q1725,IF($R1725&gt;0,EDATE($P1725,ROUND((DATEDIF($P1725,INT($B1725),"m")+(INT($B1725)-EDATE($P1725,DATEDIF($P1725,INT($B1725),"m")))/(EDATE($P1725,DATEDIF($P1725,INT($B1725),"m")+1)-EDATE($P1725,DATEDIF($P1725,INT($B1725),"m"))))/$R1725,0)*$R1725),$P1725))))),"")))</f>
      </c>
      <c r="M1725" s="223">
        <f>IF(OR($C1725="",N($L1725)=0,N($B1725)=0),"",IF(IF(MOD($L1725,1)=0,INT($B1725),$B1725)&lt;=$L1725,"Đúng hạn","Trễ hạn"))</f>
      </c>
      <c r="N1725" s="225">
        <f>IF($C1725="","",ROW())</f>
      </c>
      <c r="O1725" s="225">
        <f>IF($I1725="Công việc",MATCH($C1725,'Kế hoạch'!$A$6:$A$305,0),"")</f>
      </c>
      <c r="P1725" s="234">
        <f>IF($O1725="","",INDEX('Kế hoạch'!$I$6:$I$305,$O1725))</f>
      </c>
      <c r="Q1725" s="225">
        <f>IF($O1725="","",INDEX('Kế hoạch'!$AJ$6:$AJ$305,$O1725))</f>
      </c>
      <c r="R1725" s="225">
        <f>IF($O1725="","",INDEX('Kế hoạch'!$AK$6:$AK$305,$O1725))</f>
      </c>
    </row>
    <row r="1726">
      <c r="A1726" s="223">
        <f>IF($C1726="","",COUNTIF($C$6:$C1726,"?*"))</f>
      </c>
      <c r="B1726" s="217"/>
      <c r="C1726" s="216"/>
      <c r="D1726" s="240"/>
      <c r="E1726" s="218"/>
      <c r="F1726" s="218"/>
      <c r="G1726" s="218"/>
      <c r="H1726" s="219"/>
      <c r="I1726" s="223">
        <f>IF($C1726="","",IF(ISNUMBER(MATCH($C1726,'Phản ánh'!$A$6:$A$505,0)),"Phản ánh",IF(ISNUMBER(MATCH($C1726,'Kế hoạch'!$A$6:$A$305,0)),"Công việc","Mã chưa có")))</f>
      </c>
      <c r="J1726" s="221">
        <f>IF($I1726="Phản ánh",INDEX('Phản ánh'!$C$6:$C$505,MATCH($C1726,'Phản ánh'!$A$6:$A$505,0)),IF($I1726="Công việc",INDEX('Kế hoạch'!$C$6:$C$305,$O1726),""))</f>
      </c>
      <c r="K1726" s="221">
        <f>IF($I1726="Phản ánh",INDEX('Phản ánh'!$K$6:$K$505,MATCH($C1726,'Phản ánh'!$A$6:$A$505,0))&amp;"",IF($I1726="Công việc",INDEX('Kế hoạch'!$N$6:$N$305,$O1726)&amp;"",""))</f>
      </c>
      <c r="L1726" s="220">
        <f>IF(OR($C1726="",N($B1726)=0),"",IF(AND($I1726="Phản ánh",$E1726="Đã xử lý"),INDEX('Phản ánh'!$U$6:$U$505,MATCH($C1726,'Phản ánh'!$A$6:$A$505,0)),IF(AND($I1726="Công việc",OR($E1726="Hoàn thành",$E1726="Hoàn thành kỳ")),IF(INDEX('Kế hoạch'!$B$6:$B$305,$O1726)="Đột xuất",INDEX('Kế hoạch'!$AY$6:$AY$305,$O1726),IF(N($P1726)=0,"",IF(INT($B1726)&lt;$P1726,$P1726,IF($Q1726&gt;0,$P1726+ROUND((INT($B1726)-$P1726)/$Q1726,0)*$Q1726,IF($R1726&gt;0,EDATE($P1726,ROUND((DATEDIF($P1726,INT($B1726),"m")+(INT($B1726)-EDATE($P1726,DATEDIF($P1726,INT($B1726),"m")))/(EDATE($P1726,DATEDIF($P1726,INT($B1726),"m")+1)-EDATE($P1726,DATEDIF($P1726,INT($B1726),"m"))))/$R1726,0)*$R1726),$P1726))))),"")))</f>
      </c>
      <c r="M1726" s="223">
        <f>IF(OR($C1726="",N($L1726)=0,N($B1726)=0),"",IF(IF(MOD($L1726,1)=0,INT($B1726),$B1726)&lt;=$L1726,"Đúng hạn","Trễ hạn"))</f>
      </c>
      <c r="N1726" s="225">
        <f>IF($C1726="","",ROW())</f>
      </c>
      <c r="O1726" s="225">
        <f>IF($I1726="Công việc",MATCH($C1726,'Kế hoạch'!$A$6:$A$305,0),"")</f>
      </c>
      <c r="P1726" s="234">
        <f>IF($O1726="","",INDEX('Kế hoạch'!$I$6:$I$305,$O1726))</f>
      </c>
      <c r="Q1726" s="225">
        <f>IF($O1726="","",INDEX('Kế hoạch'!$AJ$6:$AJ$305,$O1726))</f>
      </c>
      <c r="R1726" s="225">
        <f>IF($O1726="","",INDEX('Kế hoạch'!$AK$6:$AK$305,$O1726))</f>
      </c>
    </row>
    <row r="1727">
      <c r="A1727" s="223">
        <f>IF($C1727="","",COUNTIF($C$6:$C1727,"?*"))</f>
      </c>
      <c r="B1727" s="217"/>
      <c r="C1727" s="216"/>
      <c r="D1727" s="240"/>
      <c r="E1727" s="218"/>
      <c r="F1727" s="218"/>
      <c r="G1727" s="218"/>
      <c r="H1727" s="219"/>
      <c r="I1727" s="223">
        <f>IF($C1727="","",IF(ISNUMBER(MATCH($C1727,'Phản ánh'!$A$6:$A$505,0)),"Phản ánh",IF(ISNUMBER(MATCH($C1727,'Kế hoạch'!$A$6:$A$305,0)),"Công việc","Mã chưa có")))</f>
      </c>
      <c r="J1727" s="221">
        <f>IF($I1727="Phản ánh",INDEX('Phản ánh'!$C$6:$C$505,MATCH($C1727,'Phản ánh'!$A$6:$A$505,0)),IF($I1727="Công việc",INDEX('Kế hoạch'!$C$6:$C$305,$O1727),""))</f>
      </c>
      <c r="K1727" s="221">
        <f>IF($I1727="Phản ánh",INDEX('Phản ánh'!$K$6:$K$505,MATCH($C1727,'Phản ánh'!$A$6:$A$505,0))&amp;"",IF($I1727="Công việc",INDEX('Kế hoạch'!$N$6:$N$305,$O1727)&amp;"",""))</f>
      </c>
      <c r="L1727" s="220">
        <f>IF(OR($C1727="",N($B1727)=0),"",IF(AND($I1727="Phản ánh",$E1727="Đã xử lý"),INDEX('Phản ánh'!$U$6:$U$505,MATCH($C1727,'Phản ánh'!$A$6:$A$505,0)),IF(AND($I1727="Công việc",OR($E1727="Hoàn thành",$E1727="Hoàn thành kỳ")),IF(INDEX('Kế hoạch'!$B$6:$B$305,$O1727)="Đột xuất",INDEX('Kế hoạch'!$AY$6:$AY$305,$O1727),IF(N($P1727)=0,"",IF(INT($B1727)&lt;$P1727,$P1727,IF($Q1727&gt;0,$P1727+ROUND((INT($B1727)-$P1727)/$Q1727,0)*$Q1727,IF($R1727&gt;0,EDATE($P1727,ROUND((DATEDIF($P1727,INT($B1727),"m")+(INT($B1727)-EDATE($P1727,DATEDIF($P1727,INT($B1727),"m")))/(EDATE($P1727,DATEDIF($P1727,INT($B1727),"m")+1)-EDATE($P1727,DATEDIF($P1727,INT($B1727),"m"))))/$R1727,0)*$R1727),$P1727))))),"")))</f>
      </c>
      <c r="M1727" s="223">
        <f>IF(OR($C1727="",N($L1727)=0,N($B1727)=0),"",IF(IF(MOD($L1727,1)=0,INT($B1727),$B1727)&lt;=$L1727,"Đúng hạn","Trễ hạn"))</f>
      </c>
      <c r="N1727" s="225">
        <f>IF($C1727="","",ROW())</f>
      </c>
      <c r="O1727" s="225">
        <f>IF($I1727="Công việc",MATCH($C1727,'Kế hoạch'!$A$6:$A$305,0),"")</f>
      </c>
      <c r="P1727" s="234">
        <f>IF($O1727="","",INDEX('Kế hoạch'!$I$6:$I$305,$O1727))</f>
      </c>
      <c r="Q1727" s="225">
        <f>IF($O1727="","",INDEX('Kế hoạch'!$AJ$6:$AJ$305,$O1727))</f>
      </c>
      <c r="R1727" s="225">
        <f>IF($O1727="","",INDEX('Kế hoạch'!$AK$6:$AK$305,$O1727))</f>
      </c>
    </row>
    <row r="1728">
      <c r="A1728" s="223">
        <f>IF($C1728="","",COUNTIF($C$6:$C1728,"?*"))</f>
      </c>
      <c r="B1728" s="217"/>
      <c r="C1728" s="216"/>
      <c r="D1728" s="240"/>
      <c r="E1728" s="218"/>
      <c r="F1728" s="218"/>
      <c r="G1728" s="218"/>
      <c r="H1728" s="219"/>
      <c r="I1728" s="223">
        <f>IF($C1728="","",IF(ISNUMBER(MATCH($C1728,'Phản ánh'!$A$6:$A$505,0)),"Phản ánh",IF(ISNUMBER(MATCH($C1728,'Kế hoạch'!$A$6:$A$305,0)),"Công việc","Mã chưa có")))</f>
      </c>
      <c r="J1728" s="221">
        <f>IF($I1728="Phản ánh",INDEX('Phản ánh'!$C$6:$C$505,MATCH($C1728,'Phản ánh'!$A$6:$A$505,0)),IF($I1728="Công việc",INDEX('Kế hoạch'!$C$6:$C$305,$O1728),""))</f>
      </c>
      <c r="K1728" s="221">
        <f>IF($I1728="Phản ánh",INDEX('Phản ánh'!$K$6:$K$505,MATCH($C1728,'Phản ánh'!$A$6:$A$505,0))&amp;"",IF($I1728="Công việc",INDEX('Kế hoạch'!$N$6:$N$305,$O1728)&amp;"",""))</f>
      </c>
      <c r="L1728" s="220">
        <f>IF(OR($C1728="",N($B1728)=0),"",IF(AND($I1728="Phản ánh",$E1728="Đã xử lý"),INDEX('Phản ánh'!$U$6:$U$505,MATCH($C1728,'Phản ánh'!$A$6:$A$505,0)),IF(AND($I1728="Công việc",OR($E1728="Hoàn thành",$E1728="Hoàn thành kỳ")),IF(INDEX('Kế hoạch'!$B$6:$B$305,$O1728)="Đột xuất",INDEX('Kế hoạch'!$AY$6:$AY$305,$O1728),IF(N($P1728)=0,"",IF(INT($B1728)&lt;$P1728,$P1728,IF($Q1728&gt;0,$P1728+ROUND((INT($B1728)-$P1728)/$Q1728,0)*$Q1728,IF($R1728&gt;0,EDATE($P1728,ROUND((DATEDIF($P1728,INT($B1728),"m")+(INT($B1728)-EDATE($P1728,DATEDIF($P1728,INT($B1728),"m")))/(EDATE($P1728,DATEDIF($P1728,INT($B1728),"m")+1)-EDATE($P1728,DATEDIF($P1728,INT($B1728),"m"))))/$R1728,0)*$R1728),$P1728))))),"")))</f>
      </c>
      <c r="M1728" s="223">
        <f>IF(OR($C1728="",N($L1728)=0,N($B1728)=0),"",IF(IF(MOD($L1728,1)=0,INT($B1728),$B1728)&lt;=$L1728,"Đúng hạn","Trễ hạn"))</f>
      </c>
      <c r="N1728" s="225">
        <f>IF($C1728="","",ROW())</f>
      </c>
      <c r="O1728" s="225">
        <f>IF($I1728="Công việc",MATCH($C1728,'Kế hoạch'!$A$6:$A$305,0),"")</f>
      </c>
      <c r="P1728" s="234">
        <f>IF($O1728="","",INDEX('Kế hoạch'!$I$6:$I$305,$O1728))</f>
      </c>
      <c r="Q1728" s="225">
        <f>IF($O1728="","",INDEX('Kế hoạch'!$AJ$6:$AJ$305,$O1728))</f>
      </c>
      <c r="R1728" s="225">
        <f>IF($O1728="","",INDEX('Kế hoạch'!$AK$6:$AK$305,$O1728))</f>
      </c>
    </row>
    <row r="1729">
      <c r="A1729" s="223">
        <f>IF($C1729="","",COUNTIF($C$6:$C1729,"?*"))</f>
      </c>
      <c r="B1729" s="217"/>
      <c r="C1729" s="216"/>
      <c r="D1729" s="240"/>
      <c r="E1729" s="218"/>
      <c r="F1729" s="218"/>
      <c r="G1729" s="218"/>
      <c r="H1729" s="219"/>
      <c r="I1729" s="223">
        <f>IF($C1729="","",IF(ISNUMBER(MATCH($C1729,'Phản ánh'!$A$6:$A$505,0)),"Phản ánh",IF(ISNUMBER(MATCH($C1729,'Kế hoạch'!$A$6:$A$305,0)),"Công việc","Mã chưa có")))</f>
      </c>
      <c r="J1729" s="221">
        <f>IF($I1729="Phản ánh",INDEX('Phản ánh'!$C$6:$C$505,MATCH($C1729,'Phản ánh'!$A$6:$A$505,0)),IF($I1729="Công việc",INDEX('Kế hoạch'!$C$6:$C$305,$O1729),""))</f>
      </c>
      <c r="K1729" s="221">
        <f>IF($I1729="Phản ánh",INDEX('Phản ánh'!$K$6:$K$505,MATCH($C1729,'Phản ánh'!$A$6:$A$505,0))&amp;"",IF($I1729="Công việc",INDEX('Kế hoạch'!$N$6:$N$305,$O1729)&amp;"",""))</f>
      </c>
      <c r="L1729" s="220">
        <f>IF(OR($C1729="",N($B1729)=0),"",IF(AND($I1729="Phản ánh",$E1729="Đã xử lý"),INDEX('Phản ánh'!$U$6:$U$505,MATCH($C1729,'Phản ánh'!$A$6:$A$505,0)),IF(AND($I1729="Công việc",OR($E1729="Hoàn thành",$E1729="Hoàn thành kỳ")),IF(INDEX('Kế hoạch'!$B$6:$B$305,$O1729)="Đột xuất",INDEX('Kế hoạch'!$AY$6:$AY$305,$O1729),IF(N($P1729)=0,"",IF(INT($B1729)&lt;$P1729,$P1729,IF($Q1729&gt;0,$P1729+ROUND((INT($B1729)-$P1729)/$Q1729,0)*$Q1729,IF($R1729&gt;0,EDATE($P1729,ROUND((DATEDIF($P1729,INT($B1729),"m")+(INT($B1729)-EDATE($P1729,DATEDIF($P1729,INT($B1729),"m")))/(EDATE($P1729,DATEDIF($P1729,INT($B1729),"m")+1)-EDATE($P1729,DATEDIF($P1729,INT($B1729),"m"))))/$R1729,0)*$R1729),$P1729))))),"")))</f>
      </c>
      <c r="M1729" s="223">
        <f>IF(OR($C1729="",N($L1729)=0,N($B1729)=0),"",IF(IF(MOD($L1729,1)=0,INT($B1729),$B1729)&lt;=$L1729,"Đúng hạn","Trễ hạn"))</f>
      </c>
      <c r="N1729" s="225">
        <f>IF($C1729="","",ROW())</f>
      </c>
      <c r="O1729" s="225">
        <f>IF($I1729="Công việc",MATCH($C1729,'Kế hoạch'!$A$6:$A$305,0),"")</f>
      </c>
      <c r="P1729" s="234">
        <f>IF($O1729="","",INDEX('Kế hoạch'!$I$6:$I$305,$O1729))</f>
      </c>
      <c r="Q1729" s="225">
        <f>IF($O1729="","",INDEX('Kế hoạch'!$AJ$6:$AJ$305,$O1729))</f>
      </c>
      <c r="R1729" s="225">
        <f>IF($O1729="","",INDEX('Kế hoạch'!$AK$6:$AK$305,$O1729))</f>
      </c>
    </row>
    <row r="1730">
      <c r="A1730" s="223">
        <f>IF($C1730="","",COUNTIF($C$6:$C1730,"?*"))</f>
      </c>
      <c r="B1730" s="217"/>
      <c r="C1730" s="216"/>
      <c r="D1730" s="240"/>
      <c r="E1730" s="218"/>
      <c r="F1730" s="218"/>
      <c r="G1730" s="218"/>
      <c r="H1730" s="219"/>
      <c r="I1730" s="223">
        <f>IF($C1730="","",IF(ISNUMBER(MATCH($C1730,'Phản ánh'!$A$6:$A$505,0)),"Phản ánh",IF(ISNUMBER(MATCH($C1730,'Kế hoạch'!$A$6:$A$305,0)),"Công việc","Mã chưa có")))</f>
      </c>
      <c r="J1730" s="221">
        <f>IF($I1730="Phản ánh",INDEX('Phản ánh'!$C$6:$C$505,MATCH($C1730,'Phản ánh'!$A$6:$A$505,0)),IF($I1730="Công việc",INDEX('Kế hoạch'!$C$6:$C$305,$O1730),""))</f>
      </c>
      <c r="K1730" s="221">
        <f>IF($I1730="Phản ánh",INDEX('Phản ánh'!$K$6:$K$505,MATCH($C1730,'Phản ánh'!$A$6:$A$505,0))&amp;"",IF($I1730="Công việc",INDEX('Kế hoạch'!$N$6:$N$305,$O1730)&amp;"",""))</f>
      </c>
      <c r="L1730" s="220">
        <f>IF(OR($C1730="",N($B1730)=0),"",IF(AND($I1730="Phản ánh",$E1730="Đã xử lý"),INDEX('Phản ánh'!$U$6:$U$505,MATCH($C1730,'Phản ánh'!$A$6:$A$505,0)),IF(AND($I1730="Công việc",OR($E1730="Hoàn thành",$E1730="Hoàn thành kỳ")),IF(INDEX('Kế hoạch'!$B$6:$B$305,$O1730)="Đột xuất",INDEX('Kế hoạch'!$AY$6:$AY$305,$O1730),IF(N($P1730)=0,"",IF(INT($B1730)&lt;$P1730,$P1730,IF($Q1730&gt;0,$P1730+ROUND((INT($B1730)-$P1730)/$Q1730,0)*$Q1730,IF($R1730&gt;0,EDATE($P1730,ROUND((DATEDIF($P1730,INT($B1730),"m")+(INT($B1730)-EDATE($P1730,DATEDIF($P1730,INT($B1730),"m")))/(EDATE($P1730,DATEDIF($P1730,INT($B1730),"m")+1)-EDATE($P1730,DATEDIF($P1730,INT($B1730),"m"))))/$R1730,0)*$R1730),$P1730))))),"")))</f>
      </c>
      <c r="M1730" s="223">
        <f>IF(OR($C1730="",N($L1730)=0,N($B1730)=0),"",IF(IF(MOD($L1730,1)=0,INT($B1730),$B1730)&lt;=$L1730,"Đúng hạn","Trễ hạn"))</f>
      </c>
      <c r="N1730" s="225">
        <f>IF($C1730="","",ROW())</f>
      </c>
      <c r="O1730" s="225">
        <f>IF($I1730="Công việc",MATCH($C1730,'Kế hoạch'!$A$6:$A$305,0),"")</f>
      </c>
      <c r="P1730" s="234">
        <f>IF($O1730="","",INDEX('Kế hoạch'!$I$6:$I$305,$O1730))</f>
      </c>
      <c r="Q1730" s="225">
        <f>IF($O1730="","",INDEX('Kế hoạch'!$AJ$6:$AJ$305,$O1730))</f>
      </c>
      <c r="R1730" s="225">
        <f>IF($O1730="","",INDEX('Kế hoạch'!$AK$6:$AK$305,$O1730))</f>
      </c>
    </row>
    <row r="1731">
      <c r="A1731" s="223">
        <f>IF($C1731="","",COUNTIF($C$6:$C1731,"?*"))</f>
      </c>
      <c r="B1731" s="217"/>
      <c r="C1731" s="216"/>
      <c r="D1731" s="240"/>
      <c r="E1731" s="218"/>
      <c r="F1731" s="218"/>
      <c r="G1731" s="218"/>
      <c r="H1731" s="219"/>
      <c r="I1731" s="223">
        <f>IF($C1731="","",IF(ISNUMBER(MATCH($C1731,'Phản ánh'!$A$6:$A$505,0)),"Phản ánh",IF(ISNUMBER(MATCH($C1731,'Kế hoạch'!$A$6:$A$305,0)),"Công việc","Mã chưa có")))</f>
      </c>
      <c r="J1731" s="221">
        <f>IF($I1731="Phản ánh",INDEX('Phản ánh'!$C$6:$C$505,MATCH($C1731,'Phản ánh'!$A$6:$A$505,0)),IF($I1731="Công việc",INDEX('Kế hoạch'!$C$6:$C$305,$O1731),""))</f>
      </c>
      <c r="K1731" s="221">
        <f>IF($I1731="Phản ánh",INDEX('Phản ánh'!$K$6:$K$505,MATCH($C1731,'Phản ánh'!$A$6:$A$505,0))&amp;"",IF($I1731="Công việc",INDEX('Kế hoạch'!$N$6:$N$305,$O1731)&amp;"",""))</f>
      </c>
      <c r="L1731" s="220">
        <f>IF(OR($C1731="",N($B1731)=0),"",IF(AND($I1731="Phản ánh",$E1731="Đã xử lý"),INDEX('Phản ánh'!$U$6:$U$505,MATCH($C1731,'Phản ánh'!$A$6:$A$505,0)),IF(AND($I1731="Công việc",OR($E1731="Hoàn thành",$E1731="Hoàn thành kỳ")),IF(INDEX('Kế hoạch'!$B$6:$B$305,$O1731)="Đột xuất",INDEX('Kế hoạch'!$AY$6:$AY$305,$O1731),IF(N($P1731)=0,"",IF(INT($B1731)&lt;$P1731,$P1731,IF($Q1731&gt;0,$P1731+ROUND((INT($B1731)-$P1731)/$Q1731,0)*$Q1731,IF($R1731&gt;0,EDATE($P1731,ROUND((DATEDIF($P1731,INT($B1731),"m")+(INT($B1731)-EDATE($P1731,DATEDIF($P1731,INT($B1731),"m")))/(EDATE($P1731,DATEDIF($P1731,INT($B1731),"m")+1)-EDATE($P1731,DATEDIF($P1731,INT($B1731),"m"))))/$R1731,0)*$R1731),$P1731))))),"")))</f>
      </c>
      <c r="M1731" s="223">
        <f>IF(OR($C1731="",N($L1731)=0,N($B1731)=0),"",IF(IF(MOD($L1731,1)=0,INT($B1731),$B1731)&lt;=$L1731,"Đúng hạn","Trễ hạn"))</f>
      </c>
      <c r="N1731" s="225">
        <f>IF($C1731="","",ROW())</f>
      </c>
      <c r="O1731" s="225">
        <f>IF($I1731="Công việc",MATCH($C1731,'Kế hoạch'!$A$6:$A$305,0),"")</f>
      </c>
      <c r="P1731" s="234">
        <f>IF($O1731="","",INDEX('Kế hoạch'!$I$6:$I$305,$O1731))</f>
      </c>
      <c r="Q1731" s="225">
        <f>IF($O1731="","",INDEX('Kế hoạch'!$AJ$6:$AJ$305,$O1731))</f>
      </c>
      <c r="R1731" s="225">
        <f>IF($O1731="","",INDEX('Kế hoạch'!$AK$6:$AK$305,$O1731))</f>
      </c>
    </row>
    <row r="1732">
      <c r="A1732" s="223">
        <f>IF($C1732="","",COUNTIF($C$6:$C1732,"?*"))</f>
      </c>
      <c r="B1732" s="217"/>
      <c r="C1732" s="216"/>
      <c r="D1732" s="240"/>
      <c r="E1732" s="218"/>
      <c r="F1732" s="218"/>
      <c r="G1732" s="218"/>
      <c r="H1732" s="219"/>
      <c r="I1732" s="223">
        <f>IF($C1732="","",IF(ISNUMBER(MATCH($C1732,'Phản ánh'!$A$6:$A$505,0)),"Phản ánh",IF(ISNUMBER(MATCH($C1732,'Kế hoạch'!$A$6:$A$305,0)),"Công việc","Mã chưa có")))</f>
      </c>
      <c r="J1732" s="221">
        <f>IF($I1732="Phản ánh",INDEX('Phản ánh'!$C$6:$C$505,MATCH($C1732,'Phản ánh'!$A$6:$A$505,0)),IF($I1732="Công việc",INDEX('Kế hoạch'!$C$6:$C$305,$O1732),""))</f>
      </c>
      <c r="K1732" s="221">
        <f>IF($I1732="Phản ánh",INDEX('Phản ánh'!$K$6:$K$505,MATCH($C1732,'Phản ánh'!$A$6:$A$505,0))&amp;"",IF($I1732="Công việc",INDEX('Kế hoạch'!$N$6:$N$305,$O1732)&amp;"",""))</f>
      </c>
      <c r="L1732" s="220">
        <f>IF(OR($C1732="",N($B1732)=0),"",IF(AND($I1732="Phản ánh",$E1732="Đã xử lý"),INDEX('Phản ánh'!$U$6:$U$505,MATCH($C1732,'Phản ánh'!$A$6:$A$505,0)),IF(AND($I1732="Công việc",OR($E1732="Hoàn thành",$E1732="Hoàn thành kỳ")),IF(INDEX('Kế hoạch'!$B$6:$B$305,$O1732)="Đột xuất",INDEX('Kế hoạch'!$AY$6:$AY$305,$O1732),IF(N($P1732)=0,"",IF(INT($B1732)&lt;$P1732,$P1732,IF($Q1732&gt;0,$P1732+ROUND((INT($B1732)-$P1732)/$Q1732,0)*$Q1732,IF($R1732&gt;0,EDATE($P1732,ROUND((DATEDIF($P1732,INT($B1732),"m")+(INT($B1732)-EDATE($P1732,DATEDIF($P1732,INT($B1732),"m")))/(EDATE($P1732,DATEDIF($P1732,INT($B1732),"m")+1)-EDATE($P1732,DATEDIF($P1732,INT($B1732),"m"))))/$R1732,0)*$R1732),$P1732))))),"")))</f>
      </c>
      <c r="M1732" s="223">
        <f>IF(OR($C1732="",N($L1732)=0,N($B1732)=0),"",IF(IF(MOD($L1732,1)=0,INT($B1732),$B1732)&lt;=$L1732,"Đúng hạn","Trễ hạn"))</f>
      </c>
      <c r="N1732" s="225">
        <f>IF($C1732="","",ROW())</f>
      </c>
      <c r="O1732" s="225">
        <f>IF($I1732="Công việc",MATCH($C1732,'Kế hoạch'!$A$6:$A$305,0),"")</f>
      </c>
      <c r="P1732" s="234">
        <f>IF($O1732="","",INDEX('Kế hoạch'!$I$6:$I$305,$O1732))</f>
      </c>
      <c r="Q1732" s="225">
        <f>IF($O1732="","",INDEX('Kế hoạch'!$AJ$6:$AJ$305,$O1732))</f>
      </c>
      <c r="R1732" s="225">
        <f>IF($O1732="","",INDEX('Kế hoạch'!$AK$6:$AK$305,$O1732))</f>
      </c>
    </row>
    <row r="1733">
      <c r="A1733" s="223">
        <f>IF($C1733="","",COUNTIF($C$6:$C1733,"?*"))</f>
      </c>
      <c r="B1733" s="217"/>
      <c r="C1733" s="216"/>
      <c r="D1733" s="240"/>
      <c r="E1733" s="218"/>
      <c r="F1733" s="218"/>
      <c r="G1733" s="218"/>
      <c r="H1733" s="219"/>
      <c r="I1733" s="223">
        <f>IF($C1733="","",IF(ISNUMBER(MATCH($C1733,'Phản ánh'!$A$6:$A$505,0)),"Phản ánh",IF(ISNUMBER(MATCH($C1733,'Kế hoạch'!$A$6:$A$305,0)),"Công việc","Mã chưa có")))</f>
      </c>
      <c r="J1733" s="221">
        <f>IF($I1733="Phản ánh",INDEX('Phản ánh'!$C$6:$C$505,MATCH($C1733,'Phản ánh'!$A$6:$A$505,0)),IF($I1733="Công việc",INDEX('Kế hoạch'!$C$6:$C$305,$O1733),""))</f>
      </c>
      <c r="K1733" s="221">
        <f>IF($I1733="Phản ánh",INDEX('Phản ánh'!$K$6:$K$505,MATCH($C1733,'Phản ánh'!$A$6:$A$505,0))&amp;"",IF($I1733="Công việc",INDEX('Kế hoạch'!$N$6:$N$305,$O1733)&amp;"",""))</f>
      </c>
      <c r="L1733" s="220">
        <f>IF(OR($C1733="",N($B1733)=0),"",IF(AND($I1733="Phản ánh",$E1733="Đã xử lý"),INDEX('Phản ánh'!$U$6:$U$505,MATCH($C1733,'Phản ánh'!$A$6:$A$505,0)),IF(AND($I1733="Công việc",OR($E1733="Hoàn thành",$E1733="Hoàn thành kỳ")),IF(INDEX('Kế hoạch'!$B$6:$B$305,$O1733)="Đột xuất",INDEX('Kế hoạch'!$AY$6:$AY$305,$O1733),IF(N($P1733)=0,"",IF(INT($B1733)&lt;$P1733,$P1733,IF($Q1733&gt;0,$P1733+ROUND((INT($B1733)-$P1733)/$Q1733,0)*$Q1733,IF($R1733&gt;0,EDATE($P1733,ROUND((DATEDIF($P1733,INT($B1733),"m")+(INT($B1733)-EDATE($P1733,DATEDIF($P1733,INT($B1733),"m")))/(EDATE($P1733,DATEDIF($P1733,INT($B1733),"m")+1)-EDATE($P1733,DATEDIF($P1733,INT($B1733),"m"))))/$R1733,0)*$R1733),$P1733))))),"")))</f>
      </c>
      <c r="M1733" s="223">
        <f>IF(OR($C1733="",N($L1733)=0,N($B1733)=0),"",IF(IF(MOD($L1733,1)=0,INT($B1733),$B1733)&lt;=$L1733,"Đúng hạn","Trễ hạn"))</f>
      </c>
      <c r="N1733" s="225">
        <f>IF($C1733="","",ROW())</f>
      </c>
      <c r="O1733" s="225">
        <f>IF($I1733="Công việc",MATCH($C1733,'Kế hoạch'!$A$6:$A$305,0),"")</f>
      </c>
      <c r="P1733" s="234">
        <f>IF($O1733="","",INDEX('Kế hoạch'!$I$6:$I$305,$O1733))</f>
      </c>
      <c r="Q1733" s="225">
        <f>IF($O1733="","",INDEX('Kế hoạch'!$AJ$6:$AJ$305,$O1733))</f>
      </c>
      <c r="R1733" s="225">
        <f>IF($O1733="","",INDEX('Kế hoạch'!$AK$6:$AK$305,$O1733))</f>
      </c>
    </row>
    <row r="1734">
      <c r="A1734" s="223">
        <f>IF($C1734="","",COUNTIF($C$6:$C1734,"?*"))</f>
      </c>
      <c r="B1734" s="217"/>
      <c r="C1734" s="216"/>
      <c r="D1734" s="240"/>
      <c r="E1734" s="218"/>
      <c r="F1734" s="218"/>
      <c r="G1734" s="218"/>
      <c r="H1734" s="219"/>
      <c r="I1734" s="223">
        <f>IF($C1734="","",IF(ISNUMBER(MATCH($C1734,'Phản ánh'!$A$6:$A$505,0)),"Phản ánh",IF(ISNUMBER(MATCH($C1734,'Kế hoạch'!$A$6:$A$305,0)),"Công việc","Mã chưa có")))</f>
      </c>
      <c r="J1734" s="221">
        <f>IF($I1734="Phản ánh",INDEX('Phản ánh'!$C$6:$C$505,MATCH($C1734,'Phản ánh'!$A$6:$A$505,0)),IF($I1734="Công việc",INDEX('Kế hoạch'!$C$6:$C$305,$O1734),""))</f>
      </c>
      <c r="K1734" s="221">
        <f>IF($I1734="Phản ánh",INDEX('Phản ánh'!$K$6:$K$505,MATCH($C1734,'Phản ánh'!$A$6:$A$505,0))&amp;"",IF($I1734="Công việc",INDEX('Kế hoạch'!$N$6:$N$305,$O1734)&amp;"",""))</f>
      </c>
      <c r="L1734" s="220">
        <f>IF(OR($C1734="",N($B1734)=0),"",IF(AND($I1734="Phản ánh",$E1734="Đã xử lý"),INDEX('Phản ánh'!$U$6:$U$505,MATCH($C1734,'Phản ánh'!$A$6:$A$505,0)),IF(AND($I1734="Công việc",OR($E1734="Hoàn thành",$E1734="Hoàn thành kỳ")),IF(INDEX('Kế hoạch'!$B$6:$B$305,$O1734)="Đột xuất",INDEX('Kế hoạch'!$AY$6:$AY$305,$O1734),IF(N($P1734)=0,"",IF(INT($B1734)&lt;$P1734,$P1734,IF($Q1734&gt;0,$P1734+ROUND((INT($B1734)-$P1734)/$Q1734,0)*$Q1734,IF($R1734&gt;0,EDATE($P1734,ROUND((DATEDIF($P1734,INT($B1734),"m")+(INT($B1734)-EDATE($P1734,DATEDIF($P1734,INT($B1734),"m")))/(EDATE($P1734,DATEDIF($P1734,INT($B1734),"m")+1)-EDATE($P1734,DATEDIF($P1734,INT($B1734),"m"))))/$R1734,0)*$R1734),$P1734))))),"")))</f>
      </c>
      <c r="M1734" s="223">
        <f>IF(OR($C1734="",N($L1734)=0,N($B1734)=0),"",IF(IF(MOD($L1734,1)=0,INT($B1734),$B1734)&lt;=$L1734,"Đúng hạn","Trễ hạn"))</f>
      </c>
      <c r="N1734" s="225">
        <f>IF($C1734="","",ROW())</f>
      </c>
      <c r="O1734" s="225">
        <f>IF($I1734="Công việc",MATCH($C1734,'Kế hoạch'!$A$6:$A$305,0),"")</f>
      </c>
      <c r="P1734" s="234">
        <f>IF($O1734="","",INDEX('Kế hoạch'!$I$6:$I$305,$O1734))</f>
      </c>
      <c r="Q1734" s="225">
        <f>IF($O1734="","",INDEX('Kế hoạch'!$AJ$6:$AJ$305,$O1734))</f>
      </c>
      <c r="R1734" s="225">
        <f>IF($O1734="","",INDEX('Kế hoạch'!$AK$6:$AK$305,$O1734))</f>
      </c>
    </row>
    <row r="1735">
      <c r="A1735" s="223">
        <f>IF($C1735="","",COUNTIF($C$6:$C1735,"?*"))</f>
      </c>
      <c r="B1735" s="217"/>
      <c r="C1735" s="216"/>
      <c r="D1735" s="240"/>
      <c r="E1735" s="218"/>
      <c r="F1735" s="218"/>
      <c r="G1735" s="218"/>
      <c r="H1735" s="219"/>
      <c r="I1735" s="223">
        <f>IF($C1735="","",IF(ISNUMBER(MATCH($C1735,'Phản ánh'!$A$6:$A$505,0)),"Phản ánh",IF(ISNUMBER(MATCH($C1735,'Kế hoạch'!$A$6:$A$305,0)),"Công việc","Mã chưa có")))</f>
      </c>
      <c r="J1735" s="221">
        <f>IF($I1735="Phản ánh",INDEX('Phản ánh'!$C$6:$C$505,MATCH($C1735,'Phản ánh'!$A$6:$A$505,0)),IF($I1735="Công việc",INDEX('Kế hoạch'!$C$6:$C$305,$O1735),""))</f>
      </c>
      <c r="K1735" s="221">
        <f>IF($I1735="Phản ánh",INDEX('Phản ánh'!$K$6:$K$505,MATCH($C1735,'Phản ánh'!$A$6:$A$505,0))&amp;"",IF($I1735="Công việc",INDEX('Kế hoạch'!$N$6:$N$305,$O1735)&amp;"",""))</f>
      </c>
      <c r="L1735" s="220">
        <f>IF(OR($C1735="",N($B1735)=0),"",IF(AND($I1735="Phản ánh",$E1735="Đã xử lý"),INDEX('Phản ánh'!$U$6:$U$505,MATCH($C1735,'Phản ánh'!$A$6:$A$505,0)),IF(AND($I1735="Công việc",OR($E1735="Hoàn thành",$E1735="Hoàn thành kỳ")),IF(INDEX('Kế hoạch'!$B$6:$B$305,$O1735)="Đột xuất",INDEX('Kế hoạch'!$AY$6:$AY$305,$O1735),IF(N($P1735)=0,"",IF(INT($B1735)&lt;$P1735,$P1735,IF($Q1735&gt;0,$P1735+ROUND((INT($B1735)-$P1735)/$Q1735,0)*$Q1735,IF($R1735&gt;0,EDATE($P1735,ROUND((DATEDIF($P1735,INT($B1735),"m")+(INT($B1735)-EDATE($P1735,DATEDIF($P1735,INT($B1735),"m")))/(EDATE($P1735,DATEDIF($P1735,INT($B1735),"m")+1)-EDATE($P1735,DATEDIF($P1735,INT($B1735),"m"))))/$R1735,0)*$R1735),$P1735))))),"")))</f>
      </c>
      <c r="M1735" s="223">
        <f>IF(OR($C1735="",N($L1735)=0,N($B1735)=0),"",IF(IF(MOD($L1735,1)=0,INT($B1735),$B1735)&lt;=$L1735,"Đúng hạn","Trễ hạn"))</f>
      </c>
      <c r="N1735" s="225">
        <f>IF($C1735="","",ROW())</f>
      </c>
      <c r="O1735" s="225">
        <f>IF($I1735="Công việc",MATCH($C1735,'Kế hoạch'!$A$6:$A$305,0),"")</f>
      </c>
      <c r="P1735" s="234">
        <f>IF($O1735="","",INDEX('Kế hoạch'!$I$6:$I$305,$O1735))</f>
      </c>
      <c r="Q1735" s="225">
        <f>IF($O1735="","",INDEX('Kế hoạch'!$AJ$6:$AJ$305,$O1735))</f>
      </c>
      <c r="R1735" s="225">
        <f>IF($O1735="","",INDEX('Kế hoạch'!$AK$6:$AK$305,$O1735))</f>
      </c>
    </row>
    <row r="1736">
      <c r="A1736" s="223">
        <f>IF($C1736="","",COUNTIF($C$6:$C1736,"?*"))</f>
      </c>
      <c r="B1736" s="217"/>
      <c r="C1736" s="216"/>
      <c r="D1736" s="240"/>
      <c r="E1736" s="218"/>
      <c r="F1736" s="218"/>
      <c r="G1736" s="218"/>
      <c r="H1736" s="219"/>
      <c r="I1736" s="223">
        <f>IF($C1736="","",IF(ISNUMBER(MATCH($C1736,'Phản ánh'!$A$6:$A$505,0)),"Phản ánh",IF(ISNUMBER(MATCH($C1736,'Kế hoạch'!$A$6:$A$305,0)),"Công việc","Mã chưa có")))</f>
      </c>
      <c r="J1736" s="221">
        <f>IF($I1736="Phản ánh",INDEX('Phản ánh'!$C$6:$C$505,MATCH($C1736,'Phản ánh'!$A$6:$A$505,0)),IF($I1736="Công việc",INDEX('Kế hoạch'!$C$6:$C$305,$O1736),""))</f>
      </c>
      <c r="K1736" s="221">
        <f>IF($I1736="Phản ánh",INDEX('Phản ánh'!$K$6:$K$505,MATCH($C1736,'Phản ánh'!$A$6:$A$505,0))&amp;"",IF($I1736="Công việc",INDEX('Kế hoạch'!$N$6:$N$305,$O1736)&amp;"",""))</f>
      </c>
      <c r="L1736" s="220">
        <f>IF(OR($C1736="",N($B1736)=0),"",IF(AND($I1736="Phản ánh",$E1736="Đã xử lý"),INDEX('Phản ánh'!$U$6:$U$505,MATCH($C1736,'Phản ánh'!$A$6:$A$505,0)),IF(AND($I1736="Công việc",OR($E1736="Hoàn thành",$E1736="Hoàn thành kỳ")),IF(INDEX('Kế hoạch'!$B$6:$B$305,$O1736)="Đột xuất",INDEX('Kế hoạch'!$AY$6:$AY$305,$O1736),IF(N($P1736)=0,"",IF(INT($B1736)&lt;$P1736,$P1736,IF($Q1736&gt;0,$P1736+ROUND((INT($B1736)-$P1736)/$Q1736,0)*$Q1736,IF($R1736&gt;0,EDATE($P1736,ROUND((DATEDIF($P1736,INT($B1736),"m")+(INT($B1736)-EDATE($P1736,DATEDIF($P1736,INT($B1736),"m")))/(EDATE($P1736,DATEDIF($P1736,INT($B1736),"m")+1)-EDATE($P1736,DATEDIF($P1736,INT($B1736),"m"))))/$R1736,0)*$R1736),$P1736))))),"")))</f>
      </c>
      <c r="M1736" s="223">
        <f>IF(OR($C1736="",N($L1736)=0,N($B1736)=0),"",IF(IF(MOD($L1736,1)=0,INT($B1736),$B1736)&lt;=$L1736,"Đúng hạn","Trễ hạn"))</f>
      </c>
      <c r="N1736" s="225">
        <f>IF($C1736="","",ROW())</f>
      </c>
      <c r="O1736" s="225">
        <f>IF($I1736="Công việc",MATCH($C1736,'Kế hoạch'!$A$6:$A$305,0),"")</f>
      </c>
      <c r="P1736" s="234">
        <f>IF($O1736="","",INDEX('Kế hoạch'!$I$6:$I$305,$O1736))</f>
      </c>
      <c r="Q1736" s="225">
        <f>IF($O1736="","",INDEX('Kế hoạch'!$AJ$6:$AJ$305,$O1736))</f>
      </c>
      <c r="R1736" s="225">
        <f>IF($O1736="","",INDEX('Kế hoạch'!$AK$6:$AK$305,$O1736))</f>
      </c>
    </row>
    <row r="1737">
      <c r="A1737" s="223">
        <f>IF($C1737="","",COUNTIF($C$6:$C1737,"?*"))</f>
      </c>
      <c r="B1737" s="217"/>
      <c r="C1737" s="216"/>
      <c r="D1737" s="240"/>
      <c r="E1737" s="218"/>
      <c r="F1737" s="218"/>
      <c r="G1737" s="218"/>
      <c r="H1737" s="219"/>
      <c r="I1737" s="223">
        <f>IF($C1737="","",IF(ISNUMBER(MATCH($C1737,'Phản ánh'!$A$6:$A$505,0)),"Phản ánh",IF(ISNUMBER(MATCH($C1737,'Kế hoạch'!$A$6:$A$305,0)),"Công việc","Mã chưa có")))</f>
      </c>
      <c r="J1737" s="221">
        <f>IF($I1737="Phản ánh",INDEX('Phản ánh'!$C$6:$C$505,MATCH($C1737,'Phản ánh'!$A$6:$A$505,0)),IF($I1737="Công việc",INDEX('Kế hoạch'!$C$6:$C$305,$O1737),""))</f>
      </c>
      <c r="K1737" s="221">
        <f>IF($I1737="Phản ánh",INDEX('Phản ánh'!$K$6:$K$505,MATCH($C1737,'Phản ánh'!$A$6:$A$505,0))&amp;"",IF($I1737="Công việc",INDEX('Kế hoạch'!$N$6:$N$305,$O1737)&amp;"",""))</f>
      </c>
      <c r="L1737" s="220">
        <f>IF(OR($C1737="",N($B1737)=0),"",IF(AND($I1737="Phản ánh",$E1737="Đã xử lý"),INDEX('Phản ánh'!$U$6:$U$505,MATCH($C1737,'Phản ánh'!$A$6:$A$505,0)),IF(AND($I1737="Công việc",OR($E1737="Hoàn thành",$E1737="Hoàn thành kỳ")),IF(INDEX('Kế hoạch'!$B$6:$B$305,$O1737)="Đột xuất",INDEX('Kế hoạch'!$AY$6:$AY$305,$O1737),IF(N($P1737)=0,"",IF(INT($B1737)&lt;$P1737,$P1737,IF($Q1737&gt;0,$P1737+ROUND((INT($B1737)-$P1737)/$Q1737,0)*$Q1737,IF($R1737&gt;0,EDATE($P1737,ROUND((DATEDIF($P1737,INT($B1737),"m")+(INT($B1737)-EDATE($P1737,DATEDIF($P1737,INT($B1737),"m")))/(EDATE($P1737,DATEDIF($P1737,INT($B1737),"m")+1)-EDATE($P1737,DATEDIF($P1737,INT($B1737),"m"))))/$R1737,0)*$R1737),$P1737))))),"")))</f>
      </c>
      <c r="M1737" s="223">
        <f>IF(OR($C1737="",N($L1737)=0,N($B1737)=0),"",IF(IF(MOD($L1737,1)=0,INT($B1737),$B1737)&lt;=$L1737,"Đúng hạn","Trễ hạn"))</f>
      </c>
      <c r="N1737" s="225">
        <f>IF($C1737="","",ROW())</f>
      </c>
      <c r="O1737" s="225">
        <f>IF($I1737="Công việc",MATCH($C1737,'Kế hoạch'!$A$6:$A$305,0),"")</f>
      </c>
      <c r="P1737" s="234">
        <f>IF($O1737="","",INDEX('Kế hoạch'!$I$6:$I$305,$O1737))</f>
      </c>
      <c r="Q1737" s="225">
        <f>IF($O1737="","",INDEX('Kế hoạch'!$AJ$6:$AJ$305,$O1737))</f>
      </c>
      <c r="R1737" s="225">
        <f>IF($O1737="","",INDEX('Kế hoạch'!$AK$6:$AK$305,$O1737))</f>
      </c>
    </row>
    <row r="1738">
      <c r="A1738" s="223">
        <f>IF($C1738="","",COUNTIF($C$6:$C1738,"?*"))</f>
      </c>
      <c r="B1738" s="217"/>
      <c r="C1738" s="216"/>
      <c r="D1738" s="240"/>
      <c r="E1738" s="218"/>
      <c r="F1738" s="218"/>
      <c r="G1738" s="218"/>
      <c r="H1738" s="219"/>
      <c r="I1738" s="223">
        <f>IF($C1738="","",IF(ISNUMBER(MATCH($C1738,'Phản ánh'!$A$6:$A$505,0)),"Phản ánh",IF(ISNUMBER(MATCH($C1738,'Kế hoạch'!$A$6:$A$305,0)),"Công việc","Mã chưa có")))</f>
      </c>
      <c r="J1738" s="221">
        <f>IF($I1738="Phản ánh",INDEX('Phản ánh'!$C$6:$C$505,MATCH($C1738,'Phản ánh'!$A$6:$A$505,0)),IF($I1738="Công việc",INDEX('Kế hoạch'!$C$6:$C$305,$O1738),""))</f>
      </c>
      <c r="K1738" s="221">
        <f>IF($I1738="Phản ánh",INDEX('Phản ánh'!$K$6:$K$505,MATCH($C1738,'Phản ánh'!$A$6:$A$505,0))&amp;"",IF($I1738="Công việc",INDEX('Kế hoạch'!$N$6:$N$305,$O1738)&amp;"",""))</f>
      </c>
      <c r="L1738" s="220">
        <f>IF(OR($C1738="",N($B1738)=0),"",IF(AND($I1738="Phản ánh",$E1738="Đã xử lý"),INDEX('Phản ánh'!$U$6:$U$505,MATCH($C1738,'Phản ánh'!$A$6:$A$505,0)),IF(AND($I1738="Công việc",OR($E1738="Hoàn thành",$E1738="Hoàn thành kỳ")),IF(INDEX('Kế hoạch'!$B$6:$B$305,$O1738)="Đột xuất",INDEX('Kế hoạch'!$AY$6:$AY$305,$O1738),IF(N($P1738)=0,"",IF(INT($B1738)&lt;$P1738,$P1738,IF($Q1738&gt;0,$P1738+ROUND((INT($B1738)-$P1738)/$Q1738,0)*$Q1738,IF($R1738&gt;0,EDATE($P1738,ROUND((DATEDIF($P1738,INT($B1738),"m")+(INT($B1738)-EDATE($P1738,DATEDIF($P1738,INT($B1738),"m")))/(EDATE($P1738,DATEDIF($P1738,INT($B1738),"m")+1)-EDATE($P1738,DATEDIF($P1738,INT($B1738),"m"))))/$R1738,0)*$R1738),$P1738))))),"")))</f>
      </c>
      <c r="M1738" s="223">
        <f>IF(OR($C1738="",N($L1738)=0,N($B1738)=0),"",IF(IF(MOD($L1738,1)=0,INT($B1738),$B1738)&lt;=$L1738,"Đúng hạn","Trễ hạn"))</f>
      </c>
      <c r="N1738" s="225">
        <f>IF($C1738="","",ROW())</f>
      </c>
      <c r="O1738" s="225">
        <f>IF($I1738="Công việc",MATCH($C1738,'Kế hoạch'!$A$6:$A$305,0),"")</f>
      </c>
      <c r="P1738" s="234">
        <f>IF($O1738="","",INDEX('Kế hoạch'!$I$6:$I$305,$O1738))</f>
      </c>
      <c r="Q1738" s="225">
        <f>IF($O1738="","",INDEX('Kế hoạch'!$AJ$6:$AJ$305,$O1738))</f>
      </c>
      <c r="R1738" s="225">
        <f>IF($O1738="","",INDEX('Kế hoạch'!$AK$6:$AK$305,$O1738))</f>
      </c>
    </row>
    <row r="1739">
      <c r="A1739" s="223">
        <f>IF($C1739="","",COUNTIF($C$6:$C1739,"?*"))</f>
      </c>
      <c r="B1739" s="217"/>
      <c r="C1739" s="216"/>
      <c r="D1739" s="240"/>
      <c r="E1739" s="218"/>
      <c r="F1739" s="218"/>
      <c r="G1739" s="218"/>
      <c r="H1739" s="219"/>
      <c r="I1739" s="223">
        <f>IF($C1739="","",IF(ISNUMBER(MATCH($C1739,'Phản ánh'!$A$6:$A$505,0)),"Phản ánh",IF(ISNUMBER(MATCH($C1739,'Kế hoạch'!$A$6:$A$305,0)),"Công việc","Mã chưa có")))</f>
      </c>
      <c r="J1739" s="221">
        <f>IF($I1739="Phản ánh",INDEX('Phản ánh'!$C$6:$C$505,MATCH($C1739,'Phản ánh'!$A$6:$A$505,0)),IF($I1739="Công việc",INDEX('Kế hoạch'!$C$6:$C$305,$O1739),""))</f>
      </c>
      <c r="K1739" s="221">
        <f>IF($I1739="Phản ánh",INDEX('Phản ánh'!$K$6:$K$505,MATCH($C1739,'Phản ánh'!$A$6:$A$505,0))&amp;"",IF($I1739="Công việc",INDEX('Kế hoạch'!$N$6:$N$305,$O1739)&amp;"",""))</f>
      </c>
      <c r="L1739" s="220">
        <f>IF(OR($C1739="",N($B1739)=0),"",IF(AND($I1739="Phản ánh",$E1739="Đã xử lý"),INDEX('Phản ánh'!$U$6:$U$505,MATCH($C1739,'Phản ánh'!$A$6:$A$505,0)),IF(AND($I1739="Công việc",OR($E1739="Hoàn thành",$E1739="Hoàn thành kỳ")),IF(INDEX('Kế hoạch'!$B$6:$B$305,$O1739)="Đột xuất",INDEX('Kế hoạch'!$AY$6:$AY$305,$O1739),IF(N($P1739)=0,"",IF(INT($B1739)&lt;$P1739,$P1739,IF($Q1739&gt;0,$P1739+ROUND((INT($B1739)-$P1739)/$Q1739,0)*$Q1739,IF($R1739&gt;0,EDATE($P1739,ROUND((DATEDIF($P1739,INT($B1739),"m")+(INT($B1739)-EDATE($P1739,DATEDIF($P1739,INT($B1739),"m")))/(EDATE($P1739,DATEDIF($P1739,INT($B1739),"m")+1)-EDATE($P1739,DATEDIF($P1739,INT($B1739),"m"))))/$R1739,0)*$R1739),$P1739))))),"")))</f>
      </c>
      <c r="M1739" s="223">
        <f>IF(OR($C1739="",N($L1739)=0,N($B1739)=0),"",IF(IF(MOD($L1739,1)=0,INT($B1739),$B1739)&lt;=$L1739,"Đúng hạn","Trễ hạn"))</f>
      </c>
      <c r="N1739" s="225">
        <f>IF($C1739="","",ROW())</f>
      </c>
      <c r="O1739" s="225">
        <f>IF($I1739="Công việc",MATCH($C1739,'Kế hoạch'!$A$6:$A$305,0),"")</f>
      </c>
      <c r="P1739" s="234">
        <f>IF($O1739="","",INDEX('Kế hoạch'!$I$6:$I$305,$O1739))</f>
      </c>
      <c r="Q1739" s="225">
        <f>IF($O1739="","",INDEX('Kế hoạch'!$AJ$6:$AJ$305,$O1739))</f>
      </c>
      <c r="R1739" s="225">
        <f>IF($O1739="","",INDEX('Kế hoạch'!$AK$6:$AK$305,$O1739))</f>
      </c>
    </row>
    <row r="1740">
      <c r="A1740" s="223">
        <f>IF($C1740="","",COUNTIF($C$6:$C1740,"?*"))</f>
      </c>
      <c r="B1740" s="217"/>
      <c r="C1740" s="216"/>
      <c r="D1740" s="240"/>
      <c r="E1740" s="218"/>
      <c r="F1740" s="218"/>
      <c r="G1740" s="218"/>
      <c r="H1740" s="219"/>
      <c r="I1740" s="223">
        <f>IF($C1740="","",IF(ISNUMBER(MATCH($C1740,'Phản ánh'!$A$6:$A$505,0)),"Phản ánh",IF(ISNUMBER(MATCH($C1740,'Kế hoạch'!$A$6:$A$305,0)),"Công việc","Mã chưa có")))</f>
      </c>
      <c r="J1740" s="221">
        <f>IF($I1740="Phản ánh",INDEX('Phản ánh'!$C$6:$C$505,MATCH($C1740,'Phản ánh'!$A$6:$A$505,0)),IF($I1740="Công việc",INDEX('Kế hoạch'!$C$6:$C$305,$O1740),""))</f>
      </c>
      <c r="K1740" s="221">
        <f>IF($I1740="Phản ánh",INDEX('Phản ánh'!$K$6:$K$505,MATCH($C1740,'Phản ánh'!$A$6:$A$505,0))&amp;"",IF($I1740="Công việc",INDEX('Kế hoạch'!$N$6:$N$305,$O1740)&amp;"",""))</f>
      </c>
      <c r="L1740" s="220">
        <f>IF(OR($C1740="",N($B1740)=0),"",IF(AND($I1740="Phản ánh",$E1740="Đã xử lý"),INDEX('Phản ánh'!$U$6:$U$505,MATCH($C1740,'Phản ánh'!$A$6:$A$505,0)),IF(AND($I1740="Công việc",OR($E1740="Hoàn thành",$E1740="Hoàn thành kỳ")),IF(INDEX('Kế hoạch'!$B$6:$B$305,$O1740)="Đột xuất",INDEX('Kế hoạch'!$AY$6:$AY$305,$O1740),IF(N($P1740)=0,"",IF(INT($B1740)&lt;$P1740,$P1740,IF($Q1740&gt;0,$P1740+ROUND((INT($B1740)-$P1740)/$Q1740,0)*$Q1740,IF($R1740&gt;0,EDATE($P1740,ROUND((DATEDIF($P1740,INT($B1740),"m")+(INT($B1740)-EDATE($P1740,DATEDIF($P1740,INT($B1740),"m")))/(EDATE($P1740,DATEDIF($P1740,INT($B1740),"m")+1)-EDATE($P1740,DATEDIF($P1740,INT($B1740),"m"))))/$R1740,0)*$R1740),$P1740))))),"")))</f>
      </c>
      <c r="M1740" s="223">
        <f>IF(OR($C1740="",N($L1740)=0,N($B1740)=0),"",IF(IF(MOD($L1740,1)=0,INT($B1740),$B1740)&lt;=$L1740,"Đúng hạn","Trễ hạn"))</f>
      </c>
      <c r="N1740" s="225">
        <f>IF($C1740="","",ROW())</f>
      </c>
      <c r="O1740" s="225">
        <f>IF($I1740="Công việc",MATCH($C1740,'Kế hoạch'!$A$6:$A$305,0),"")</f>
      </c>
      <c r="P1740" s="234">
        <f>IF($O1740="","",INDEX('Kế hoạch'!$I$6:$I$305,$O1740))</f>
      </c>
      <c r="Q1740" s="225">
        <f>IF($O1740="","",INDEX('Kế hoạch'!$AJ$6:$AJ$305,$O1740))</f>
      </c>
      <c r="R1740" s="225">
        <f>IF($O1740="","",INDEX('Kế hoạch'!$AK$6:$AK$305,$O1740))</f>
      </c>
    </row>
    <row r="1741">
      <c r="A1741" s="223">
        <f>IF($C1741="","",COUNTIF($C$6:$C1741,"?*"))</f>
      </c>
      <c r="B1741" s="217"/>
      <c r="C1741" s="216"/>
      <c r="D1741" s="240"/>
      <c r="E1741" s="218"/>
      <c r="F1741" s="218"/>
      <c r="G1741" s="218"/>
      <c r="H1741" s="219"/>
      <c r="I1741" s="223">
        <f>IF($C1741="","",IF(ISNUMBER(MATCH($C1741,'Phản ánh'!$A$6:$A$505,0)),"Phản ánh",IF(ISNUMBER(MATCH($C1741,'Kế hoạch'!$A$6:$A$305,0)),"Công việc","Mã chưa có")))</f>
      </c>
      <c r="J1741" s="221">
        <f>IF($I1741="Phản ánh",INDEX('Phản ánh'!$C$6:$C$505,MATCH($C1741,'Phản ánh'!$A$6:$A$505,0)),IF($I1741="Công việc",INDEX('Kế hoạch'!$C$6:$C$305,$O1741),""))</f>
      </c>
      <c r="K1741" s="221">
        <f>IF($I1741="Phản ánh",INDEX('Phản ánh'!$K$6:$K$505,MATCH($C1741,'Phản ánh'!$A$6:$A$505,0))&amp;"",IF($I1741="Công việc",INDEX('Kế hoạch'!$N$6:$N$305,$O1741)&amp;"",""))</f>
      </c>
      <c r="L1741" s="220">
        <f>IF(OR($C1741="",N($B1741)=0),"",IF(AND($I1741="Phản ánh",$E1741="Đã xử lý"),INDEX('Phản ánh'!$U$6:$U$505,MATCH($C1741,'Phản ánh'!$A$6:$A$505,0)),IF(AND($I1741="Công việc",OR($E1741="Hoàn thành",$E1741="Hoàn thành kỳ")),IF(INDEX('Kế hoạch'!$B$6:$B$305,$O1741)="Đột xuất",INDEX('Kế hoạch'!$AY$6:$AY$305,$O1741),IF(N($P1741)=0,"",IF(INT($B1741)&lt;$P1741,$P1741,IF($Q1741&gt;0,$P1741+ROUND((INT($B1741)-$P1741)/$Q1741,0)*$Q1741,IF($R1741&gt;0,EDATE($P1741,ROUND((DATEDIF($P1741,INT($B1741),"m")+(INT($B1741)-EDATE($P1741,DATEDIF($P1741,INT($B1741),"m")))/(EDATE($P1741,DATEDIF($P1741,INT($B1741),"m")+1)-EDATE($P1741,DATEDIF($P1741,INT($B1741),"m"))))/$R1741,0)*$R1741),$P1741))))),"")))</f>
      </c>
      <c r="M1741" s="223">
        <f>IF(OR($C1741="",N($L1741)=0,N($B1741)=0),"",IF(IF(MOD($L1741,1)=0,INT($B1741),$B1741)&lt;=$L1741,"Đúng hạn","Trễ hạn"))</f>
      </c>
      <c r="N1741" s="225">
        <f>IF($C1741="","",ROW())</f>
      </c>
      <c r="O1741" s="225">
        <f>IF($I1741="Công việc",MATCH($C1741,'Kế hoạch'!$A$6:$A$305,0),"")</f>
      </c>
      <c r="P1741" s="234">
        <f>IF($O1741="","",INDEX('Kế hoạch'!$I$6:$I$305,$O1741))</f>
      </c>
      <c r="Q1741" s="225">
        <f>IF($O1741="","",INDEX('Kế hoạch'!$AJ$6:$AJ$305,$O1741))</f>
      </c>
      <c r="R1741" s="225">
        <f>IF($O1741="","",INDEX('Kế hoạch'!$AK$6:$AK$305,$O1741))</f>
      </c>
    </row>
    <row r="1742">
      <c r="A1742" s="223">
        <f>IF($C1742="","",COUNTIF($C$6:$C1742,"?*"))</f>
      </c>
      <c r="B1742" s="217"/>
      <c r="C1742" s="216"/>
      <c r="D1742" s="240"/>
      <c r="E1742" s="218"/>
      <c r="F1742" s="218"/>
      <c r="G1742" s="218"/>
      <c r="H1742" s="219"/>
      <c r="I1742" s="223">
        <f>IF($C1742="","",IF(ISNUMBER(MATCH($C1742,'Phản ánh'!$A$6:$A$505,0)),"Phản ánh",IF(ISNUMBER(MATCH($C1742,'Kế hoạch'!$A$6:$A$305,0)),"Công việc","Mã chưa có")))</f>
      </c>
      <c r="J1742" s="221">
        <f>IF($I1742="Phản ánh",INDEX('Phản ánh'!$C$6:$C$505,MATCH($C1742,'Phản ánh'!$A$6:$A$505,0)),IF($I1742="Công việc",INDEX('Kế hoạch'!$C$6:$C$305,$O1742),""))</f>
      </c>
      <c r="K1742" s="221">
        <f>IF($I1742="Phản ánh",INDEX('Phản ánh'!$K$6:$K$505,MATCH($C1742,'Phản ánh'!$A$6:$A$505,0))&amp;"",IF($I1742="Công việc",INDEX('Kế hoạch'!$N$6:$N$305,$O1742)&amp;"",""))</f>
      </c>
      <c r="L1742" s="220">
        <f>IF(OR($C1742="",N($B1742)=0),"",IF(AND($I1742="Phản ánh",$E1742="Đã xử lý"),INDEX('Phản ánh'!$U$6:$U$505,MATCH($C1742,'Phản ánh'!$A$6:$A$505,0)),IF(AND($I1742="Công việc",OR($E1742="Hoàn thành",$E1742="Hoàn thành kỳ")),IF(INDEX('Kế hoạch'!$B$6:$B$305,$O1742)="Đột xuất",INDEX('Kế hoạch'!$AY$6:$AY$305,$O1742),IF(N($P1742)=0,"",IF(INT($B1742)&lt;$P1742,$P1742,IF($Q1742&gt;0,$P1742+ROUND((INT($B1742)-$P1742)/$Q1742,0)*$Q1742,IF($R1742&gt;0,EDATE($P1742,ROUND((DATEDIF($P1742,INT($B1742),"m")+(INT($B1742)-EDATE($P1742,DATEDIF($P1742,INT($B1742),"m")))/(EDATE($P1742,DATEDIF($P1742,INT($B1742),"m")+1)-EDATE($P1742,DATEDIF($P1742,INT($B1742),"m"))))/$R1742,0)*$R1742),$P1742))))),"")))</f>
      </c>
      <c r="M1742" s="223">
        <f>IF(OR($C1742="",N($L1742)=0,N($B1742)=0),"",IF(IF(MOD($L1742,1)=0,INT($B1742),$B1742)&lt;=$L1742,"Đúng hạn","Trễ hạn"))</f>
      </c>
      <c r="N1742" s="225">
        <f>IF($C1742="","",ROW())</f>
      </c>
      <c r="O1742" s="225">
        <f>IF($I1742="Công việc",MATCH($C1742,'Kế hoạch'!$A$6:$A$305,0),"")</f>
      </c>
      <c r="P1742" s="234">
        <f>IF($O1742="","",INDEX('Kế hoạch'!$I$6:$I$305,$O1742))</f>
      </c>
      <c r="Q1742" s="225">
        <f>IF($O1742="","",INDEX('Kế hoạch'!$AJ$6:$AJ$305,$O1742))</f>
      </c>
      <c r="R1742" s="225">
        <f>IF($O1742="","",INDEX('Kế hoạch'!$AK$6:$AK$305,$O1742))</f>
      </c>
    </row>
    <row r="1743">
      <c r="A1743" s="223">
        <f>IF($C1743="","",COUNTIF($C$6:$C1743,"?*"))</f>
      </c>
      <c r="B1743" s="217"/>
      <c r="C1743" s="216"/>
      <c r="D1743" s="240"/>
      <c r="E1743" s="218"/>
      <c r="F1743" s="218"/>
      <c r="G1743" s="218"/>
      <c r="H1743" s="219"/>
      <c r="I1743" s="223">
        <f>IF($C1743="","",IF(ISNUMBER(MATCH($C1743,'Phản ánh'!$A$6:$A$505,0)),"Phản ánh",IF(ISNUMBER(MATCH($C1743,'Kế hoạch'!$A$6:$A$305,0)),"Công việc","Mã chưa có")))</f>
      </c>
      <c r="J1743" s="221">
        <f>IF($I1743="Phản ánh",INDEX('Phản ánh'!$C$6:$C$505,MATCH($C1743,'Phản ánh'!$A$6:$A$505,0)),IF($I1743="Công việc",INDEX('Kế hoạch'!$C$6:$C$305,$O1743),""))</f>
      </c>
      <c r="K1743" s="221">
        <f>IF($I1743="Phản ánh",INDEX('Phản ánh'!$K$6:$K$505,MATCH($C1743,'Phản ánh'!$A$6:$A$505,0))&amp;"",IF($I1743="Công việc",INDEX('Kế hoạch'!$N$6:$N$305,$O1743)&amp;"",""))</f>
      </c>
      <c r="L1743" s="220">
        <f>IF(OR($C1743="",N($B1743)=0),"",IF(AND($I1743="Phản ánh",$E1743="Đã xử lý"),INDEX('Phản ánh'!$U$6:$U$505,MATCH($C1743,'Phản ánh'!$A$6:$A$505,0)),IF(AND($I1743="Công việc",OR($E1743="Hoàn thành",$E1743="Hoàn thành kỳ")),IF(INDEX('Kế hoạch'!$B$6:$B$305,$O1743)="Đột xuất",INDEX('Kế hoạch'!$AY$6:$AY$305,$O1743),IF(N($P1743)=0,"",IF(INT($B1743)&lt;$P1743,$P1743,IF($Q1743&gt;0,$P1743+ROUND((INT($B1743)-$P1743)/$Q1743,0)*$Q1743,IF($R1743&gt;0,EDATE($P1743,ROUND((DATEDIF($P1743,INT($B1743),"m")+(INT($B1743)-EDATE($P1743,DATEDIF($P1743,INT($B1743),"m")))/(EDATE($P1743,DATEDIF($P1743,INT($B1743),"m")+1)-EDATE($P1743,DATEDIF($P1743,INT($B1743),"m"))))/$R1743,0)*$R1743),$P1743))))),"")))</f>
      </c>
      <c r="M1743" s="223">
        <f>IF(OR($C1743="",N($L1743)=0,N($B1743)=0),"",IF(IF(MOD($L1743,1)=0,INT($B1743),$B1743)&lt;=$L1743,"Đúng hạn","Trễ hạn"))</f>
      </c>
      <c r="N1743" s="225">
        <f>IF($C1743="","",ROW())</f>
      </c>
      <c r="O1743" s="225">
        <f>IF($I1743="Công việc",MATCH($C1743,'Kế hoạch'!$A$6:$A$305,0),"")</f>
      </c>
      <c r="P1743" s="234">
        <f>IF($O1743="","",INDEX('Kế hoạch'!$I$6:$I$305,$O1743))</f>
      </c>
      <c r="Q1743" s="225">
        <f>IF($O1743="","",INDEX('Kế hoạch'!$AJ$6:$AJ$305,$O1743))</f>
      </c>
      <c r="R1743" s="225">
        <f>IF($O1743="","",INDEX('Kế hoạch'!$AK$6:$AK$305,$O1743))</f>
      </c>
    </row>
    <row r="1744">
      <c r="A1744" s="223">
        <f>IF($C1744="","",COUNTIF($C$6:$C1744,"?*"))</f>
      </c>
      <c r="B1744" s="217"/>
      <c r="C1744" s="216"/>
      <c r="D1744" s="240"/>
      <c r="E1744" s="218"/>
      <c r="F1744" s="218"/>
      <c r="G1744" s="218"/>
      <c r="H1744" s="219"/>
      <c r="I1744" s="223">
        <f>IF($C1744="","",IF(ISNUMBER(MATCH($C1744,'Phản ánh'!$A$6:$A$505,0)),"Phản ánh",IF(ISNUMBER(MATCH($C1744,'Kế hoạch'!$A$6:$A$305,0)),"Công việc","Mã chưa có")))</f>
      </c>
      <c r="J1744" s="221">
        <f>IF($I1744="Phản ánh",INDEX('Phản ánh'!$C$6:$C$505,MATCH($C1744,'Phản ánh'!$A$6:$A$505,0)),IF($I1744="Công việc",INDEX('Kế hoạch'!$C$6:$C$305,$O1744),""))</f>
      </c>
      <c r="K1744" s="221">
        <f>IF($I1744="Phản ánh",INDEX('Phản ánh'!$K$6:$K$505,MATCH($C1744,'Phản ánh'!$A$6:$A$505,0))&amp;"",IF($I1744="Công việc",INDEX('Kế hoạch'!$N$6:$N$305,$O1744)&amp;"",""))</f>
      </c>
      <c r="L1744" s="220">
        <f>IF(OR($C1744="",N($B1744)=0),"",IF(AND($I1744="Phản ánh",$E1744="Đã xử lý"),INDEX('Phản ánh'!$U$6:$U$505,MATCH($C1744,'Phản ánh'!$A$6:$A$505,0)),IF(AND($I1744="Công việc",OR($E1744="Hoàn thành",$E1744="Hoàn thành kỳ")),IF(INDEX('Kế hoạch'!$B$6:$B$305,$O1744)="Đột xuất",INDEX('Kế hoạch'!$AY$6:$AY$305,$O1744),IF(N($P1744)=0,"",IF(INT($B1744)&lt;$P1744,$P1744,IF($Q1744&gt;0,$P1744+ROUND((INT($B1744)-$P1744)/$Q1744,0)*$Q1744,IF($R1744&gt;0,EDATE($P1744,ROUND((DATEDIF($P1744,INT($B1744),"m")+(INT($B1744)-EDATE($P1744,DATEDIF($P1744,INT($B1744),"m")))/(EDATE($P1744,DATEDIF($P1744,INT($B1744),"m")+1)-EDATE($P1744,DATEDIF($P1744,INT($B1744),"m"))))/$R1744,0)*$R1744),$P1744))))),"")))</f>
      </c>
      <c r="M1744" s="223">
        <f>IF(OR($C1744="",N($L1744)=0,N($B1744)=0),"",IF(IF(MOD($L1744,1)=0,INT($B1744),$B1744)&lt;=$L1744,"Đúng hạn","Trễ hạn"))</f>
      </c>
      <c r="N1744" s="225">
        <f>IF($C1744="","",ROW())</f>
      </c>
      <c r="O1744" s="225">
        <f>IF($I1744="Công việc",MATCH($C1744,'Kế hoạch'!$A$6:$A$305,0),"")</f>
      </c>
      <c r="P1744" s="234">
        <f>IF($O1744="","",INDEX('Kế hoạch'!$I$6:$I$305,$O1744))</f>
      </c>
      <c r="Q1744" s="225">
        <f>IF($O1744="","",INDEX('Kế hoạch'!$AJ$6:$AJ$305,$O1744))</f>
      </c>
      <c r="R1744" s="225">
        <f>IF($O1744="","",INDEX('Kế hoạch'!$AK$6:$AK$305,$O1744))</f>
      </c>
    </row>
    <row r="1745">
      <c r="A1745" s="223">
        <f>IF($C1745="","",COUNTIF($C$6:$C1745,"?*"))</f>
      </c>
      <c r="B1745" s="217"/>
      <c r="C1745" s="216"/>
      <c r="D1745" s="240"/>
      <c r="E1745" s="218"/>
      <c r="F1745" s="218"/>
      <c r="G1745" s="218"/>
      <c r="H1745" s="219"/>
      <c r="I1745" s="223">
        <f>IF($C1745="","",IF(ISNUMBER(MATCH($C1745,'Phản ánh'!$A$6:$A$505,0)),"Phản ánh",IF(ISNUMBER(MATCH($C1745,'Kế hoạch'!$A$6:$A$305,0)),"Công việc","Mã chưa có")))</f>
      </c>
      <c r="J1745" s="221">
        <f>IF($I1745="Phản ánh",INDEX('Phản ánh'!$C$6:$C$505,MATCH($C1745,'Phản ánh'!$A$6:$A$505,0)),IF($I1745="Công việc",INDEX('Kế hoạch'!$C$6:$C$305,$O1745),""))</f>
      </c>
      <c r="K1745" s="221">
        <f>IF($I1745="Phản ánh",INDEX('Phản ánh'!$K$6:$K$505,MATCH($C1745,'Phản ánh'!$A$6:$A$505,0))&amp;"",IF($I1745="Công việc",INDEX('Kế hoạch'!$N$6:$N$305,$O1745)&amp;"",""))</f>
      </c>
      <c r="L1745" s="220">
        <f>IF(OR($C1745="",N($B1745)=0),"",IF(AND($I1745="Phản ánh",$E1745="Đã xử lý"),INDEX('Phản ánh'!$U$6:$U$505,MATCH($C1745,'Phản ánh'!$A$6:$A$505,0)),IF(AND($I1745="Công việc",OR($E1745="Hoàn thành",$E1745="Hoàn thành kỳ")),IF(INDEX('Kế hoạch'!$B$6:$B$305,$O1745)="Đột xuất",INDEX('Kế hoạch'!$AY$6:$AY$305,$O1745),IF(N($P1745)=0,"",IF(INT($B1745)&lt;$P1745,$P1745,IF($Q1745&gt;0,$P1745+ROUND((INT($B1745)-$P1745)/$Q1745,0)*$Q1745,IF($R1745&gt;0,EDATE($P1745,ROUND((DATEDIF($P1745,INT($B1745),"m")+(INT($B1745)-EDATE($P1745,DATEDIF($P1745,INT($B1745),"m")))/(EDATE($P1745,DATEDIF($P1745,INT($B1745),"m")+1)-EDATE($P1745,DATEDIF($P1745,INT($B1745),"m"))))/$R1745,0)*$R1745),$P1745))))),"")))</f>
      </c>
      <c r="M1745" s="223">
        <f>IF(OR($C1745="",N($L1745)=0,N($B1745)=0),"",IF(IF(MOD($L1745,1)=0,INT($B1745),$B1745)&lt;=$L1745,"Đúng hạn","Trễ hạn"))</f>
      </c>
      <c r="N1745" s="225">
        <f>IF($C1745="","",ROW())</f>
      </c>
      <c r="O1745" s="225">
        <f>IF($I1745="Công việc",MATCH($C1745,'Kế hoạch'!$A$6:$A$305,0),"")</f>
      </c>
      <c r="P1745" s="234">
        <f>IF($O1745="","",INDEX('Kế hoạch'!$I$6:$I$305,$O1745))</f>
      </c>
      <c r="Q1745" s="225">
        <f>IF($O1745="","",INDEX('Kế hoạch'!$AJ$6:$AJ$305,$O1745))</f>
      </c>
      <c r="R1745" s="225">
        <f>IF($O1745="","",INDEX('Kế hoạch'!$AK$6:$AK$305,$O1745))</f>
      </c>
    </row>
    <row r="1746">
      <c r="A1746" s="223">
        <f>IF($C1746="","",COUNTIF($C$6:$C1746,"?*"))</f>
      </c>
      <c r="B1746" s="217"/>
      <c r="C1746" s="216"/>
      <c r="D1746" s="240"/>
      <c r="E1746" s="218"/>
      <c r="F1746" s="218"/>
      <c r="G1746" s="218"/>
      <c r="H1746" s="219"/>
      <c r="I1746" s="223">
        <f>IF($C1746="","",IF(ISNUMBER(MATCH($C1746,'Phản ánh'!$A$6:$A$505,0)),"Phản ánh",IF(ISNUMBER(MATCH($C1746,'Kế hoạch'!$A$6:$A$305,0)),"Công việc","Mã chưa có")))</f>
      </c>
      <c r="J1746" s="221">
        <f>IF($I1746="Phản ánh",INDEX('Phản ánh'!$C$6:$C$505,MATCH($C1746,'Phản ánh'!$A$6:$A$505,0)),IF($I1746="Công việc",INDEX('Kế hoạch'!$C$6:$C$305,$O1746),""))</f>
      </c>
      <c r="K1746" s="221">
        <f>IF($I1746="Phản ánh",INDEX('Phản ánh'!$K$6:$K$505,MATCH($C1746,'Phản ánh'!$A$6:$A$505,0))&amp;"",IF($I1746="Công việc",INDEX('Kế hoạch'!$N$6:$N$305,$O1746)&amp;"",""))</f>
      </c>
      <c r="L1746" s="220">
        <f>IF(OR($C1746="",N($B1746)=0),"",IF(AND($I1746="Phản ánh",$E1746="Đã xử lý"),INDEX('Phản ánh'!$U$6:$U$505,MATCH($C1746,'Phản ánh'!$A$6:$A$505,0)),IF(AND($I1746="Công việc",OR($E1746="Hoàn thành",$E1746="Hoàn thành kỳ")),IF(INDEX('Kế hoạch'!$B$6:$B$305,$O1746)="Đột xuất",INDEX('Kế hoạch'!$AY$6:$AY$305,$O1746),IF(N($P1746)=0,"",IF(INT($B1746)&lt;$P1746,$P1746,IF($Q1746&gt;0,$P1746+ROUND((INT($B1746)-$P1746)/$Q1746,0)*$Q1746,IF($R1746&gt;0,EDATE($P1746,ROUND((DATEDIF($P1746,INT($B1746),"m")+(INT($B1746)-EDATE($P1746,DATEDIF($P1746,INT($B1746),"m")))/(EDATE($P1746,DATEDIF($P1746,INT($B1746),"m")+1)-EDATE($P1746,DATEDIF($P1746,INT($B1746),"m"))))/$R1746,0)*$R1746),$P1746))))),"")))</f>
      </c>
      <c r="M1746" s="223">
        <f>IF(OR($C1746="",N($L1746)=0,N($B1746)=0),"",IF(IF(MOD($L1746,1)=0,INT($B1746),$B1746)&lt;=$L1746,"Đúng hạn","Trễ hạn"))</f>
      </c>
      <c r="N1746" s="225">
        <f>IF($C1746="","",ROW())</f>
      </c>
      <c r="O1746" s="225">
        <f>IF($I1746="Công việc",MATCH($C1746,'Kế hoạch'!$A$6:$A$305,0),"")</f>
      </c>
      <c r="P1746" s="234">
        <f>IF($O1746="","",INDEX('Kế hoạch'!$I$6:$I$305,$O1746))</f>
      </c>
      <c r="Q1746" s="225">
        <f>IF($O1746="","",INDEX('Kế hoạch'!$AJ$6:$AJ$305,$O1746))</f>
      </c>
      <c r="R1746" s="225">
        <f>IF($O1746="","",INDEX('Kế hoạch'!$AK$6:$AK$305,$O1746))</f>
      </c>
    </row>
    <row r="1747">
      <c r="A1747" s="223">
        <f>IF($C1747="","",COUNTIF($C$6:$C1747,"?*"))</f>
      </c>
      <c r="B1747" s="217"/>
      <c r="C1747" s="216"/>
      <c r="D1747" s="240"/>
      <c r="E1747" s="218"/>
      <c r="F1747" s="218"/>
      <c r="G1747" s="218"/>
      <c r="H1747" s="219"/>
      <c r="I1747" s="223">
        <f>IF($C1747="","",IF(ISNUMBER(MATCH($C1747,'Phản ánh'!$A$6:$A$505,0)),"Phản ánh",IF(ISNUMBER(MATCH($C1747,'Kế hoạch'!$A$6:$A$305,0)),"Công việc","Mã chưa có")))</f>
      </c>
      <c r="J1747" s="221">
        <f>IF($I1747="Phản ánh",INDEX('Phản ánh'!$C$6:$C$505,MATCH($C1747,'Phản ánh'!$A$6:$A$505,0)),IF($I1747="Công việc",INDEX('Kế hoạch'!$C$6:$C$305,$O1747),""))</f>
      </c>
      <c r="K1747" s="221">
        <f>IF($I1747="Phản ánh",INDEX('Phản ánh'!$K$6:$K$505,MATCH($C1747,'Phản ánh'!$A$6:$A$505,0))&amp;"",IF($I1747="Công việc",INDEX('Kế hoạch'!$N$6:$N$305,$O1747)&amp;"",""))</f>
      </c>
      <c r="L1747" s="220">
        <f>IF(OR($C1747="",N($B1747)=0),"",IF(AND($I1747="Phản ánh",$E1747="Đã xử lý"),INDEX('Phản ánh'!$U$6:$U$505,MATCH($C1747,'Phản ánh'!$A$6:$A$505,0)),IF(AND($I1747="Công việc",OR($E1747="Hoàn thành",$E1747="Hoàn thành kỳ")),IF(INDEX('Kế hoạch'!$B$6:$B$305,$O1747)="Đột xuất",INDEX('Kế hoạch'!$AY$6:$AY$305,$O1747),IF(N($P1747)=0,"",IF(INT($B1747)&lt;$P1747,$P1747,IF($Q1747&gt;0,$P1747+ROUND((INT($B1747)-$P1747)/$Q1747,0)*$Q1747,IF($R1747&gt;0,EDATE($P1747,ROUND((DATEDIF($P1747,INT($B1747),"m")+(INT($B1747)-EDATE($P1747,DATEDIF($P1747,INT($B1747),"m")))/(EDATE($P1747,DATEDIF($P1747,INT($B1747),"m")+1)-EDATE($P1747,DATEDIF($P1747,INT($B1747),"m"))))/$R1747,0)*$R1747),$P1747))))),"")))</f>
      </c>
      <c r="M1747" s="223">
        <f>IF(OR($C1747="",N($L1747)=0,N($B1747)=0),"",IF(IF(MOD($L1747,1)=0,INT($B1747),$B1747)&lt;=$L1747,"Đúng hạn","Trễ hạn"))</f>
      </c>
      <c r="N1747" s="225">
        <f>IF($C1747="","",ROW())</f>
      </c>
      <c r="O1747" s="225">
        <f>IF($I1747="Công việc",MATCH($C1747,'Kế hoạch'!$A$6:$A$305,0),"")</f>
      </c>
      <c r="P1747" s="234">
        <f>IF($O1747="","",INDEX('Kế hoạch'!$I$6:$I$305,$O1747))</f>
      </c>
      <c r="Q1747" s="225">
        <f>IF($O1747="","",INDEX('Kế hoạch'!$AJ$6:$AJ$305,$O1747))</f>
      </c>
      <c r="R1747" s="225">
        <f>IF($O1747="","",INDEX('Kế hoạch'!$AK$6:$AK$305,$O1747))</f>
      </c>
    </row>
    <row r="1748">
      <c r="A1748" s="223">
        <f>IF($C1748="","",COUNTIF($C$6:$C1748,"?*"))</f>
      </c>
      <c r="B1748" s="217"/>
      <c r="C1748" s="216"/>
      <c r="D1748" s="240"/>
      <c r="E1748" s="218"/>
      <c r="F1748" s="218"/>
      <c r="G1748" s="218"/>
      <c r="H1748" s="219"/>
      <c r="I1748" s="223">
        <f>IF($C1748="","",IF(ISNUMBER(MATCH($C1748,'Phản ánh'!$A$6:$A$505,0)),"Phản ánh",IF(ISNUMBER(MATCH($C1748,'Kế hoạch'!$A$6:$A$305,0)),"Công việc","Mã chưa có")))</f>
      </c>
      <c r="J1748" s="221">
        <f>IF($I1748="Phản ánh",INDEX('Phản ánh'!$C$6:$C$505,MATCH($C1748,'Phản ánh'!$A$6:$A$505,0)),IF($I1748="Công việc",INDEX('Kế hoạch'!$C$6:$C$305,$O1748),""))</f>
      </c>
      <c r="K1748" s="221">
        <f>IF($I1748="Phản ánh",INDEX('Phản ánh'!$K$6:$K$505,MATCH($C1748,'Phản ánh'!$A$6:$A$505,0))&amp;"",IF($I1748="Công việc",INDEX('Kế hoạch'!$N$6:$N$305,$O1748)&amp;"",""))</f>
      </c>
      <c r="L1748" s="220">
        <f>IF(OR($C1748="",N($B1748)=0),"",IF(AND($I1748="Phản ánh",$E1748="Đã xử lý"),INDEX('Phản ánh'!$U$6:$U$505,MATCH($C1748,'Phản ánh'!$A$6:$A$505,0)),IF(AND($I1748="Công việc",OR($E1748="Hoàn thành",$E1748="Hoàn thành kỳ")),IF(INDEX('Kế hoạch'!$B$6:$B$305,$O1748)="Đột xuất",INDEX('Kế hoạch'!$AY$6:$AY$305,$O1748),IF(N($P1748)=0,"",IF(INT($B1748)&lt;$P1748,$P1748,IF($Q1748&gt;0,$P1748+ROUND((INT($B1748)-$P1748)/$Q1748,0)*$Q1748,IF($R1748&gt;0,EDATE($P1748,ROUND((DATEDIF($P1748,INT($B1748),"m")+(INT($B1748)-EDATE($P1748,DATEDIF($P1748,INT($B1748),"m")))/(EDATE($P1748,DATEDIF($P1748,INT($B1748),"m")+1)-EDATE($P1748,DATEDIF($P1748,INT($B1748),"m"))))/$R1748,0)*$R1748),$P1748))))),"")))</f>
      </c>
      <c r="M1748" s="223">
        <f>IF(OR($C1748="",N($L1748)=0,N($B1748)=0),"",IF(IF(MOD($L1748,1)=0,INT($B1748),$B1748)&lt;=$L1748,"Đúng hạn","Trễ hạn"))</f>
      </c>
      <c r="N1748" s="225">
        <f>IF($C1748="","",ROW())</f>
      </c>
      <c r="O1748" s="225">
        <f>IF($I1748="Công việc",MATCH($C1748,'Kế hoạch'!$A$6:$A$305,0),"")</f>
      </c>
      <c r="P1748" s="234">
        <f>IF($O1748="","",INDEX('Kế hoạch'!$I$6:$I$305,$O1748))</f>
      </c>
      <c r="Q1748" s="225">
        <f>IF($O1748="","",INDEX('Kế hoạch'!$AJ$6:$AJ$305,$O1748))</f>
      </c>
      <c r="R1748" s="225">
        <f>IF($O1748="","",INDEX('Kế hoạch'!$AK$6:$AK$305,$O1748))</f>
      </c>
    </row>
    <row r="1749">
      <c r="A1749" s="223">
        <f>IF($C1749="","",COUNTIF($C$6:$C1749,"?*"))</f>
      </c>
      <c r="B1749" s="217"/>
      <c r="C1749" s="216"/>
      <c r="D1749" s="240"/>
      <c r="E1749" s="218"/>
      <c r="F1749" s="218"/>
      <c r="G1749" s="218"/>
      <c r="H1749" s="219"/>
      <c r="I1749" s="223">
        <f>IF($C1749="","",IF(ISNUMBER(MATCH($C1749,'Phản ánh'!$A$6:$A$505,0)),"Phản ánh",IF(ISNUMBER(MATCH($C1749,'Kế hoạch'!$A$6:$A$305,0)),"Công việc","Mã chưa có")))</f>
      </c>
      <c r="J1749" s="221">
        <f>IF($I1749="Phản ánh",INDEX('Phản ánh'!$C$6:$C$505,MATCH($C1749,'Phản ánh'!$A$6:$A$505,0)),IF($I1749="Công việc",INDEX('Kế hoạch'!$C$6:$C$305,$O1749),""))</f>
      </c>
      <c r="K1749" s="221">
        <f>IF($I1749="Phản ánh",INDEX('Phản ánh'!$K$6:$K$505,MATCH($C1749,'Phản ánh'!$A$6:$A$505,0))&amp;"",IF($I1749="Công việc",INDEX('Kế hoạch'!$N$6:$N$305,$O1749)&amp;"",""))</f>
      </c>
      <c r="L1749" s="220">
        <f>IF(OR($C1749="",N($B1749)=0),"",IF(AND($I1749="Phản ánh",$E1749="Đã xử lý"),INDEX('Phản ánh'!$U$6:$U$505,MATCH($C1749,'Phản ánh'!$A$6:$A$505,0)),IF(AND($I1749="Công việc",OR($E1749="Hoàn thành",$E1749="Hoàn thành kỳ")),IF(INDEX('Kế hoạch'!$B$6:$B$305,$O1749)="Đột xuất",INDEX('Kế hoạch'!$AY$6:$AY$305,$O1749),IF(N($P1749)=0,"",IF(INT($B1749)&lt;$P1749,$P1749,IF($Q1749&gt;0,$P1749+ROUND((INT($B1749)-$P1749)/$Q1749,0)*$Q1749,IF($R1749&gt;0,EDATE($P1749,ROUND((DATEDIF($P1749,INT($B1749),"m")+(INT($B1749)-EDATE($P1749,DATEDIF($P1749,INT($B1749),"m")))/(EDATE($P1749,DATEDIF($P1749,INT($B1749),"m")+1)-EDATE($P1749,DATEDIF($P1749,INT($B1749),"m"))))/$R1749,0)*$R1749),$P1749))))),"")))</f>
      </c>
      <c r="M1749" s="223">
        <f>IF(OR($C1749="",N($L1749)=0,N($B1749)=0),"",IF(IF(MOD($L1749,1)=0,INT($B1749),$B1749)&lt;=$L1749,"Đúng hạn","Trễ hạn"))</f>
      </c>
      <c r="N1749" s="225">
        <f>IF($C1749="","",ROW())</f>
      </c>
      <c r="O1749" s="225">
        <f>IF($I1749="Công việc",MATCH($C1749,'Kế hoạch'!$A$6:$A$305,0),"")</f>
      </c>
      <c r="P1749" s="234">
        <f>IF($O1749="","",INDEX('Kế hoạch'!$I$6:$I$305,$O1749))</f>
      </c>
      <c r="Q1749" s="225">
        <f>IF($O1749="","",INDEX('Kế hoạch'!$AJ$6:$AJ$305,$O1749))</f>
      </c>
      <c r="R1749" s="225">
        <f>IF($O1749="","",INDEX('Kế hoạch'!$AK$6:$AK$305,$O1749))</f>
      </c>
    </row>
    <row r="1750">
      <c r="A1750" s="223">
        <f>IF($C1750="","",COUNTIF($C$6:$C1750,"?*"))</f>
      </c>
      <c r="B1750" s="217"/>
      <c r="C1750" s="216"/>
      <c r="D1750" s="240"/>
      <c r="E1750" s="218"/>
      <c r="F1750" s="218"/>
      <c r="G1750" s="218"/>
      <c r="H1750" s="219"/>
      <c r="I1750" s="223">
        <f>IF($C1750="","",IF(ISNUMBER(MATCH($C1750,'Phản ánh'!$A$6:$A$505,0)),"Phản ánh",IF(ISNUMBER(MATCH($C1750,'Kế hoạch'!$A$6:$A$305,0)),"Công việc","Mã chưa có")))</f>
      </c>
      <c r="J1750" s="221">
        <f>IF($I1750="Phản ánh",INDEX('Phản ánh'!$C$6:$C$505,MATCH($C1750,'Phản ánh'!$A$6:$A$505,0)),IF($I1750="Công việc",INDEX('Kế hoạch'!$C$6:$C$305,$O1750),""))</f>
      </c>
      <c r="K1750" s="221">
        <f>IF($I1750="Phản ánh",INDEX('Phản ánh'!$K$6:$K$505,MATCH($C1750,'Phản ánh'!$A$6:$A$505,0))&amp;"",IF($I1750="Công việc",INDEX('Kế hoạch'!$N$6:$N$305,$O1750)&amp;"",""))</f>
      </c>
      <c r="L1750" s="220">
        <f>IF(OR($C1750="",N($B1750)=0),"",IF(AND($I1750="Phản ánh",$E1750="Đã xử lý"),INDEX('Phản ánh'!$U$6:$U$505,MATCH($C1750,'Phản ánh'!$A$6:$A$505,0)),IF(AND($I1750="Công việc",OR($E1750="Hoàn thành",$E1750="Hoàn thành kỳ")),IF(INDEX('Kế hoạch'!$B$6:$B$305,$O1750)="Đột xuất",INDEX('Kế hoạch'!$AY$6:$AY$305,$O1750),IF(N($P1750)=0,"",IF(INT($B1750)&lt;$P1750,$P1750,IF($Q1750&gt;0,$P1750+ROUND((INT($B1750)-$P1750)/$Q1750,0)*$Q1750,IF($R1750&gt;0,EDATE($P1750,ROUND((DATEDIF($P1750,INT($B1750),"m")+(INT($B1750)-EDATE($P1750,DATEDIF($P1750,INT($B1750),"m")))/(EDATE($P1750,DATEDIF($P1750,INT($B1750),"m")+1)-EDATE($P1750,DATEDIF($P1750,INT($B1750),"m"))))/$R1750,0)*$R1750),$P1750))))),"")))</f>
      </c>
      <c r="M1750" s="223">
        <f>IF(OR($C1750="",N($L1750)=0,N($B1750)=0),"",IF(IF(MOD($L1750,1)=0,INT($B1750),$B1750)&lt;=$L1750,"Đúng hạn","Trễ hạn"))</f>
      </c>
      <c r="N1750" s="225">
        <f>IF($C1750="","",ROW())</f>
      </c>
      <c r="O1750" s="225">
        <f>IF($I1750="Công việc",MATCH($C1750,'Kế hoạch'!$A$6:$A$305,0),"")</f>
      </c>
      <c r="P1750" s="234">
        <f>IF($O1750="","",INDEX('Kế hoạch'!$I$6:$I$305,$O1750))</f>
      </c>
      <c r="Q1750" s="225">
        <f>IF($O1750="","",INDEX('Kế hoạch'!$AJ$6:$AJ$305,$O1750))</f>
      </c>
      <c r="R1750" s="225">
        <f>IF($O1750="","",INDEX('Kế hoạch'!$AK$6:$AK$305,$O1750))</f>
      </c>
    </row>
    <row r="1751">
      <c r="A1751" s="223">
        <f>IF($C1751="","",COUNTIF($C$6:$C1751,"?*"))</f>
      </c>
      <c r="B1751" s="217"/>
      <c r="C1751" s="216"/>
      <c r="D1751" s="240"/>
      <c r="E1751" s="218"/>
      <c r="F1751" s="218"/>
      <c r="G1751" s="218"/>
      <c r="H1751" s="219"/>
      <c r="I1751" s="223">
        <f>IF($C1751="","",IF(ISNUMBER(MATCH($C1751,'Phản ánh'!$A$6:$A$505,0)),"Phản ánh",IF(ISNUMBER(MATCH($C1751,'Kế hoạch'!$A$6:$A$305,0)),"Công việc","Mã chưa có")))</f>
      </c>
      <c r="J1751" s="221">
        <f>IF($I1751="Phản ánh",INDEX('Phản ánh'!$C$6:$C$505,MATCH($C1751,'Phản ánh'!$A$6:$A$505,0)),IF($I1751="Công việc",INDEX('Kế hoạch'!$C$6:$C$305,$O1751),""))</f>
      </c>
      <c r="K1751" s="221">
        <f>IF($I1751="Phản ánh",INDEX('Phản ánh'!$K$6:$K$505,MATCH($C1751,'Phản ánh'!$A$6:$A$505,0))&amp;"",IF($I1751="Công việc",INDEX('Kế hoạch'!$N$6:$N$305,$O1751)&amp;"",""))</f>
      </c>
      <c r="L1751" s="220">
        <f>IF(OR($C1751="",N($B1751)=0),"",IF(AND($I1751="Phản ánh",$E1751="Đã xử lý"),INDEX('Phản ánh'!$U$6:$U$505,MATCH($C1751,'Phản ánh'!$A$6:$A$505,0)),IF(AND($I1751="Công việc",OR($E1751="Hoàn thành",$E1751="Hoàn thành kỳ")),IF(INDEX('Kế hoạch'!$B$6:$B$305,$O1751)="Đột xuất",INDEX('Kế hoạch'!$AY$6:$AY$305,$O1751),IF(N($P1751)=0,"",IF(INT($B1751)&lt;$P1751,$P1751,IF($Q1751&gt;0,$P1751+ROUND((INT($B1751)-$P1751)/$Q1751,0)*$Q1751,IF($R1751&gt;0,EDATE($P1751,ROUND((DATEDIF($P1751,INT($B1751),"m")+(INT($B1751)-EDATE($P1751,DATEDIF($P1751,INT($B1751),"m")))/(EDATE($P1751,DATEDIF($P1751,INT($B1751),"m")+1)-EDATE($P1751,DATEDIF($P1751,INT($B1751),"m"))))/$R1751,0)*$R1751),$P1751))))),"")))</f>
      </c>
      <c r="M1751" s="223">
        <f>IF(OR($C1751="",N($L1751)=0,N($B1751)=0),"",IF(IF(MOD($L1751,1)=0,INT($B1751),$B1751)&lt;=$L1751,"Đúng hạn","Trễ hạn"))</f>
      </c>
      <c r="N1751" s="225">
        <f>IF($C1751="","",ROW())</f>
      </c>
      <c r="O1751" s="225">
        <f>IF($I1751="Công việc",MATCH($C1751,'Kế hoạch'!$A$6:$A$305,0),"")</f>
      </c>
      <c r="P1751" s="234">
        <f>IF($O1751="","",INDEX('Kế hoạch'!$I$6:$I$305,$O1751))</f>
      </c>
      <c r="Q1751" s="225">
        <f>IF($O1751="","",INDEX('Kế hoạch'!$AJ$6:$AJ$305,$O1751))</f>
      </c>
      <c r="R1751" s="225">
        <f>IF($O1751="","",INDEX('Kế hoạch'!$AK$6:$AK$305,$O1751))</f>
      </c>
    </row>
    <row r="1752">
      <c r="A1752" s="223">
        <f>IF($C1752="","",COUNTIF($C$6:$C1752,"?*"))</f>
      </c>
      <c r="B1752" s="217"/>
      <c r="C1752" s="216"/>
      <c r="D1752" s="240"/>
      <c r="E1752" s="218"/>
      <c r="F1752" s="218"/>
      <c r="G1752" s="218"/>
      <c r="H1752" s="219"/>
      <c r="I1752" s="223">
        <f>IF($C1752="","",IF(ISNUMBER(MATCH($C1752,'Phản ánh'!$A$6:$A$505,0)),"Phản ánh",IF(ISNUMBER(MATCH($C1752,'Kế hoạch'!$A$6:$A$305,0)),"Công việc","Mã chưa có")))</f>
      </c>
      <c r="J1752" s="221">
        <f>IF($I1752="Phản ánh",INDEX('Phản ánh'!$C$6:$C$505,MATCH($C1752,'Phản ánh'!$A$6:$A$505,0)),IF($I1752="Công việc",INDEX('Kế hoạch'!$C$6:$C$305,$O1752),""))</f>
      </c>
      <c r="K1752" s="221">
        <f>IF($I1752="Phản ánh",INDEX('Phản ánh'!$K$6:$K$505,MATCH($C1752,'Phản ánh'!$A$6:$A$505,0))&amp;"",IF($I1752="Công việc",INDEX('Kế hoạch'!$N$6:$N$305,$O1752)&amp;"",""))</f>
      </c>
      <c r="L1752" s="220">
        <f>IF(OR($C1752="",N($B1752)=0),"",IF(AND($I1752="Phản ánh",$E1752="Đã xử lý"),INDEX('Phản ánh'!$U$6:$U$505,MATCH($C1752,'Phản ánh'!$A$6:$A$505,0)),IF(AND($I1752="Công việc",OR($E1752="Hoàn thành",$E1752="Hoàn thành kỳ")),IF(INDEX('Kế hoạch'!$B$6:$B$305,$O1752)="Đột xuất",INDEX('Kế hoạch'!$AY$6:$AY$305,$O1752),IF(N($P1752)=0,"",IF(INT($B1752)&lt;$P1752,$P1752,IF($Q1752&gt;0,$P1752+ROUND((INT($B1752)-$P1752)/$Q1752,0)*$Q1752,IF($R1752&gt;0,EDATE($P1752,ROUND((DATEDIF($P1752,INT($B1752),"m")+(INT($B1752)-EDATE($P1752,DATEDIF($P1752,INT($B1752),"m")))/(EDATE($P1752,DATEDIF($P1752,INT($B1752),"m")+1)-EDATE($P1752,DATEDIF($P1752,INT($B1752),"m"))))/$R1752,0)*$R1752),$P1752))))),"")))</f>
      </c>
      <c r="M1752" s="223">
        <f>IF(OR($C1752="",N($L1752)=0,N($B1752)=0),"",IF(IF(MOD($L1752,1)=0,INT($B1752),$B1752)&lt;=$L1752,"Đúng hạn","Trễ hạn"))</f>
      </c>
      <c r="N1752" s="225">
        <f>IF($C1752="","",ROW())</f>
      </c>
      <c r="O1752" s="225">
        <f>IF($I1752="Công việc",MATCH($C1752,'Kế hoạch'!$A$6:$A$305,0),"")</f>
      </c>
      <c r="P1752" s="234">
        <f>IF($O1752="","",INDEX('Kế hoạch'!$I$6:$I$305,$O1752))</f>
      </c>
      <c r="Q1752" s="225">
        <f>IF($O1752="","",INDEX('Kế hoạch'!$AJ$6:$AJ$305,$O1752))</f>
      </c>
      <c r="R1752" s="225">
        <f>IF($O1752="","",INDEX('Kế hoạch'!$AK$6:$AK$305,$O1752))</f>
      </c>
    </row>
    <row r="1753">
      <c r="A1753" s="223">
        <f>IF($C1753="","",COUNTIF($C$6:$C1753,"?*"))</f>
      </c>
      <c r="B1753" s="217"/>
      <c r="C1753" s="216"/>
      <c r="D1753" s="240"/>
      <c r="E1753" s="218"/>
      <c r="F1753" s="218"/>
      <c r="G1753" s="218"/>
      <c r="H1753" s="219"/>
      <c r="I1753" s="223">
        <f>IF($C1753="","",IF(ISNUMBER(MATCH($C1753,'Phản ánh'!$A$6:$A$505,0)),"Phản ánh",IF(ISNUMBER(MATCH($C1753,'Kế hoạch'!$A$6:$A$305,0)),"Công việc","Mã chưa có")))</f>
      </c>
      <c r="J1753" s="221">
        <f>IF($I1753="Phản ánh",INDEX('Phản ánh'!$C$6:$C$505,MATCH($C1753,'Phản ánh'!$A$6:$A$505,0)),IF($I1753="Công việc",INDEX('Kế hoạch'!$C$6:$C$305,$O1753),""))</f>
      </c>
      <c r="K1753" s="221">
        <f>IF($I1753="Phản ánh",INDEX('Phản ánh'!$K$6:$K$505,MATCH($C1753,'Phản ánh'!$A$6:$A$505,0))&amp;"",IF($I1753="Công việc",INDEX('Kế hoạch'!$N$6:$N$305,$O1753)&amp;"",""))</f>
      </c>
      <c r="L1753" s="220">
        <f>IF(OR($C1753="",N($B1753)=0),"",IF(AND($I1753="Phản ánh",$E1753="Đã xử lý"),INDEX('Phản ánh'!$U$6:$U$505,MATCH($C1753,'Phản ánh'!$A$6:$A$505,0)),IF(AND($I1753="Công việc",OR($E1753="Hoàn thành",$E1753="Hoàn thành kỳ")),IF(INDEX('Kế hoạch'!$B$6:$B$305,$O1753)="Đột xuất",INDEX('Kế hoạch'!$AY$6:$AY$305,$O1753),IF(N($P1753)=0,"",IF(INT($B1753)&lt;$P1753,$P1753,IF($Q1753&gt;0,$P1753+ROUND((INT($B1753)-$P1753)/$Q1753,0)*$Q1753,IF($R1753&gt;0,EDATE($P1753,ROUND((DATEDIF($P1753,INT($B1753),"m")+(INT($B1753)-EDATE($P1753,DATEDIF($P1753,INT($B1753),"m")))/(EDATE($P1753,DATEDIF($P1753,INT($B1753),"m")+1)-EDATE($P1753,DATEDIF($P1753,INT($B1753),"m"))))/$R1753,0)*$R1753),$P1753))))),"")))</f>
      </c>
      <c r="M1753" s="223">
        <f>IF(OR($C1753="",N($L1753)=0,N($B1753)=0),"",IF(IF(MOD($L1753,1)=0,INT($B1753),$B1753)&lt;=$L1753,"Đúng hạn","Trễ hạn"))</f>
      </c>
      <c r="N1753" s="225">
        <f>IF($C1753="","",ROW())</f>
      </c>
      <c r="O1753" s="225">
        <f>IF($I1753="Công việc",MATCH($C1753,'Kế hoạch'!$A$6:$A$305,0),"")</f>
      </c>
      <c r="P1753" s="234">
        <f>IF($O1753="","",INDEX('Kế hoạch'!$I$6:$I$305,$O1753))</f>
      </c>
      <c r="Q1753" s="225">
        <f>IF($O1753="","",INDEX('Kế hoạch'!$AJ$6:$AJ$305,$O1753))</f>
      </c>
      <c r="R1753" s="225">
        <f>IF($O1753="","",INDEX('Kế hoạch'!$AK$6:$AK$305,$O1753))</f>
      </c>
    </row>
    <row r="1754">
      <c r="A1754" s="223">
        <f>IF($C1754="","",COUNTIF($C$6:$C1754,"?*"))</f>
      </c>
      <c r="B1754" s="217"/>
      <c r="C1754" s="216"/>
      <c r="D1754" s="240"/>
      <c r="E1754" s="218"/>
      <c r="F1754" s="218"/>
      <c r="G1754" s="218"/>
      <c r="H1754" s="219"/>
      <c r="I1754" s="223">
        <f>IF($C1754="","",IF(ISNUMBER(MATCH($C1754,'Phản ánh'!$A$6:$A$505,0)),"Phản ánh",IF(ISNUMBER(MATCH($C1754,'Kế hoạch'!$A$6:$A$305,0)),"Công việc","Mã chưa có")))</f>
      </c>
      <c r="J1754" s="221">
        <f>IF($I1754="Phản ánh",INDEX('Phản ánh'!$C$6:$C$505,MATCH($C1754,'Phản ánh'!$A$6:$A$505,0)),IF($I1754="Công việc",INDEX('Kế hoạch'!$C$6:$C$305,$O1754),""))</f>
      </c>
      <c r="K1754" s="221">
        <f>IF($I1754="Phản ánh",INDEX('Phản ánh'!$K$6:$K$505,MATCH($C1754,'Phản ánh'!$A$6:$A$505,0))&amp;"",IF($I1754="Công việc",INDEX('Kế hoạch'!$N$6:$N$305,$O1754)&amp;"",""))</f>
      </c>
      <c r="L1754" s="220">
        <f>IF(OR($C1754="",N($B1754)=0),"",IF(AND($I1754="Phản ánh",$E1754="Đã xử lý"),INDEX('Phản ánh'!$U$6:$U$505,MATCH($C1754,'Phản ánh'!$A$6:$A$505,0)),IF(AND($I1754="Công việc",OR($E1754="Hoàn thành",$E1754="Hoàn thành kỳ")),IF(INDEX('Kế hoạch'!$B$6:$B$305,$O1754)="Đột xuất",INDEX('Kế hoạch'!$AY$6:$AY$305,$O1754),IF(N($P1754)=0,"",IF(INT($B1754)&lt;$P1754,$P1754,IF($Q1754&gt;0,$P1754+ROUND((INT($B1754)-$P1754)/$Q1754,0)*$Q1754,IF($R1754&gt;0,EDATE($P1754,ROUND((DATEDIF($P1754,INT($B1754),"m")+(INT($B1754)-EDATE($P1754,DATEDIF($P1754,INT($B1754),"m")))/(EDATE($P1754,DATEDIF($P1754,INT($B1754),"m")+1)-EDATE($P1754,DATEDIF($P1754,INT($B1754),"m"))))/$R1754,0)*$R1754),$P1754))))),"")))</f>
      </c>
      <c r="M1754" s="223">
        <f>IF(OR($C1754="",N($L1754)=0,N($B1754)=0),"",IF(IF(MOD($L1754,1)=0,INT($B1754),$B1754)&lt;=$L1754,"Đúng hạn","Trễ hạn"))</f>
      </c>
      <c r="N1754" s="225">
        <f>IF($C1754="","",ROW())</f>
      </c>
      <c r="O1754" s="225">
        <f>IF($I1754="Công việc",MATCH($C1754,'Kế hoạch'!$A$6:$A$305,0),"")</f>
      </c>
      <c r="P1754" s="234">
        <f>IF($O1754="","",INDEX('Kế hoạch'!$I$6:$I$305,$O1754))</f>
      </c>
      <c r="Q1754" s="225">
        <f>IF($O1754="","",INDEX('Kế hoạch'!$AJ$6:$AJ$305,$O1754))</f>
      </c>
      <c r="R1754" s="225">
        <f>IF($O1754="","",INDEX('Kế hoạch'!$AK$6:$AK$305,$O1754))</f>
      </c>
    </row>
    <row r="1755">
      <c r="A1755" s="223">
        <f>IF($C1755="","",COUNTIF($C$6:$C1755,"?*"))</f>
      </c>
      <c r="B1755" s="217"/>
      <c r="C1755" s="216"/>
      <c r="D1755" s="240"/>
      <c r="E1755" s="218"/>
      <c r="F1755" s="218"/>
      <c r="G1755" s="218"/>
      <c r="H1755" s="219"/>
      <c r="I1755" s="223">
        <f>IF($C1755="","",IF(ISNUMBER(MATCH($C1755,'Phản ánh'!$A$6:$A$505,0)),"Phản ánh",IF(ISNUMBER(MATCH($C1755,'Kế hoạch'!$A$6:$A$305,0)),"Công việc","Mã chưa có")))</f>
      </c>
      <c r="J1755" s="221">
        <f>IF($I1755="Phản ánh",INDEX('Phản ánh'!$C$6:$C$505,MATCH($C1755,'Phản ánh'!$A$6:$A$505,0)),IF($I1755="Công việc",INDEX('Kế hoạch'!$C$6:$C$305,$O1755),""))</f>
      </c>
      <c r="K1755" s="221">
        <f>IF($I1755="Phản ánh",INDEX('Phản ánh'!$K$6:$K$505,MATCH($C1755,'Phản ánh'!$A$6:$A$505,0))&amp;"",IF($I1755="Công việc",INDEX('Kế hoạch'!$N$6:$N$305,$O1755)&amp;"",""))</f>
      </c>
      <c r="L1755" s="220">
        <f>IF(OR($C1755="",N($B1755)=0),"",IF(AND($I1755="Phản ánh",$E1755="Đã xử lý"),INDEX('Phản ánh'!$U$6:$U$505,MATCH($C1755,'Phản ánh'!$A$6:$A$505,0)),IF(AND($I1755="Công việc",OR($E1755="Hoàn thành",$E1755="Hoàn thành kỳ")),IF(INDEX('Kế hoạch'!$B$6:$B$305,$O1755)="Đột xuất",INDEX('Kế hoạch'!$AY$6:$AY$305,$O1755),IF(N($P1755)=0,"",IF(INT($B1755)&lt;$P1755,$P1755,IF($Q1755&gt;0,$P1755+ROUND((INT($B1755)-$P1755)/$Q1755,0)*$Q1755,IF($R1755&gt;0,EDATE($P1755,ROUND((DATEDIF($P1755,INT($B1755),"m")+(INT($B1755)-EDATE($P1755,DATEDIF($P1755,INT($B1755),"m")))/(EDATE($P1755,DATEDIF($P1755,INT($B1755),"m")+1)-EDATE($P1755,DATEDIF($P1755,INT($B1755),"m"))))/$R1755,0)*$R1755),$P1755))))),"")))</f>
      </c>
      <c r="M1755" s="223">
        <f>IF(OR($C1755="",N($L1755)=0,N($B1755)=0),"",IF(IF(MOD($L1755,1)=0,INT($B1755),$B1755)&lt;=$L1755,"Đúng hạn","Trễ hạn"))</f>
      </c>
      <c r="N1755" s="225">
        <f>IF($C1755="","",ROW())</f>
      </c>
      <c r="O1755" s="225">
        <f>IF($I1755="Công việc",MATCH($C1755,'Kế hoạch'!$A$6:$A$305,0),"")</f>
      </c>
      <c r="P1755" s="234">
        <f>IF($O1755="","",INDEX('Kế hoạch'!$I$6:$I$305,$O1755))</f>
      </c>
      <c r="Q1755" s="225">
        <f>IF($O1755="","",INDEX('Kế hoạch'!$AJ$6:$AJ$305,$O1755))</f>
      </c>
      <c r="R1755" s="225">
        <f>IF($O1755="","",INDEX('Kế hoạch'!$AK$6:$AK$305,$O1755))</f>
      </c>
    </row>
    <row r="1756">
      <c r="A1756" s="223">
        <f>IF($C1756="","",COUNTIF($C$6:$C1756,"?*"))</f>
      </c>
      <c r="B1756" s="217"/>
      <c r="C1756" s="216"/>
      <c r="D1756" s="240"/>
      <c r="E1756" s="218"/>
      <c r="F1756" s="218"/>
      <c r="G1756" s="218"/>
      <c r="H1756" s="219"/>
      <c r="I1756" s="223">
        <f>IF($C1756="","",IF(ISNUMBER(MATCH($C1756,'Phản ánh'!$A$6:$A$505,0)),"Phản ánh",IF(ISNUMBER(MATCH($C1756,'Kế hoạch'!$A$6:$A$305,0)),"Công việc","Mã chưa có")))</f>
      </c>
      <c r="J1756" s="221">
        <f>IF($I1756="Phản ánh",INDEX('Phản ánh'!$C$6:$C$505,MATCH($C1756,'Phản ánh'!$A$6:$A$505,0)),IF($I1756="Công việc",INDEX('Kế hoạch'!$C$6:$C$305,$O1756),""))</f>
      </c>
      <c r="K1756" s="221">
        <f>IF($I1756="Phản ánh",INDEX('Phản ánh'!$K$6:$K$505,MATCH($C1756,'Phản ánh'!$A$6:$A$505,0))&amp;"",IF($I1756="Công việc",INDEX('Kế hoạch'!$N$6:$N$305,$O1756)&amp;"",""))</f>
      </c>
      <c r="L1756" s="220">
        <f>IF(OR($C1756="",N($B1756)=0),"",IF(AND($I1756="Phản ánh",$E1756="Đã xử lý"),INDEX('Phản ánh'!$U$6:$U$505,MATCH($C1756,'Phản ánh'!$A$6:$A$505,0)),IF(AND($I1756="Công việc",OR($E1756="Hoàn thành",$E1756="Hoàn thành kỳ")),IF(INDEX('Kế hoạch'!$B$6:$B$305,$O1756)="Đột xuất",INDEX('Kế hoạch'!$AY$6:$AY$305,$O1756),IF(N($P1756)=0,"",IF(INT($B1756)&lt;$P1756,$P1756,IF($Q1756&gt;0,$P1756+ROUND((INT($B1756)-$P1756)/$Q1756,0)*$Q1756,IF($R1756&gt;0,EDATE($P1756,ROUND((DATEDIF($P1756,INT($B1756),"m")+(INT($B1756)-EDATE($P1756,DATEDIF($P1756,INT($B1756),"m")))/(EDATE($P1756,DATEDIF($P1756,INT($B1756),"m")+1)-EDATE($P1756,DATEDIF($P1756,INT($B1756),"m"))))/$R1756,0)*$R1756),$P1756))))),"")))</f>
      </c>
      <c r="M1756" s="223">
        <f>IF(OR($C1756="",N($L1756)=0,N($B1756)=0),"",IF(IF(MOD($L1756,1)=0,INT($B1756),$B1756)&lt;=$L1756,"Đúng hạn","Trễ hạn"))</f>
      </c>
      <c r="N1756" s="225">
        <f>IF($C1756="","",ROW())</f>
      </c>
      <c r="O1756" s="225">
        <f>IF($I1756="Công việc",MATCH($C1756,'Kế hoạch'!$A$6:$A$305,0),"")</f>
      </c>
      <c r="P1756" s="234">
        <f>IF($O1756="","",INDEX('Kế hoạch'!$I$6:$I$305,$O1756))</f>
      </c>
      <c r="Q1756" s="225">
        <f>IF($O1756="","",INDEX('Kế hoạch'!$AJ$6:$AJ$305,$O1756))</f>
      </c>
      <c r="R1756" s="225">
        <f>IF($O1756="","",INDEX('Kế hoạch'!$AK$6:$AK$305,$O1756))</f>
      </c>
    </row>
    <row r="1757">
      <c r="A1757" s="223">
        <f>IF($C1757="","",COUNTIF($C$6:$C1757,"?*"))</f>
      </c>
      <c r="B1757" s="217"/>
      <c r="C1757" s="216"/>
      <c r="D1757" s="240"/>
      <c r="E1757" s="218"/>
      <c r="F1757" s="218"/>
      <c r="G1757" s="218"/>
      <c r="H1757" s="219"/>
      <c r="I1757" s="223">
        <f>IF($C1757="","",IF(ISNUMBER(MATCH($C1757,'Phản ánh'!$A$6:$A$505,0)),"Phản ánh",IF(ISNUMBER(MATCH($C1757,'Kế hoạch'!$A$6:$A$305,0)),"Công việc","Mã chưa có")))</f>
      </c>
      <c r="J1757" s="221">
        <f>IF($I1757="Phản ánh",INDEX('Phản ánh'!$C$6:$C$505,MATCH($C1757,'Phản ánh'!$A$6:$A$505,0)),IF($I1757="Công việc",INDEX('Kế hoạch'!$C$6:$C$305,$O1757),""))</f>
      </c>
      <c r="K1757" s="221">
        <f>IF($I1757="Phản ánh",INDEX('Phản ánh'!$K$6:$K$505,MATCH($C1757,'Phản ánh'!$A$6:$A$505,0))&amp;"",IF($I1757="Công việc",INDEX('Kế hoạch'!$N$6:$N$305,$O1757)&amp;"",""))</f>
      </c>
      <c r="L1757" s="220">
        <f>IF(OR($C1757="",N($B1757)=0),"",IF(AND($I1757="Phản ánh",$E1757="Đã xử lý"),INDEX('Phản ánh'!$U$6:$U$505,MATCH($C1757,'Phản ánh'!$A$6:$A$505,0)),IF(AND($I1757="Công việc",OR($E1757="Hoàn thành",$E1757="Hoàn thành kỳ")),IF(INDEX('Kế hoạch'!$B$6:$B$305,$O1757)="Đột xuất",INDEX('Kế hoạch'!$AY$6:$AY$305,$O1757),IF(N($P1757)=0,"",IF(INT($B1757)&lt;$P1757,$P1757,IF($Q1757&gt;0,$P1757+ROUND((INT($B1757)-$P1757)/$Q1757,0)*$Q1757,IF($R1757&gt;0,EDATE($P1757,ROUND((DATEDIF($P1757,INT($B1757),"m")+(INT($B1757)-EDATE($P1757,DATEDIF($P1757,INT($B1757),"m")))/(EDATE($P1757,DATEDIF($P1757,INT($B1757),"m")+1)-EDATE($P1757,DATEDIF($P1757,INT($B1757),"m"))))/$R1757,0)*$R1757),$P1757))))),"")))</f>
      </c>
      <c r="M1757" s="223">
        <f>IF(OR($C1757="",N($L1757)=0,N($B1757)=0),"",IF(IF(MOD($L1757,1)=0,INT($B1757),$B1757)&lt;=$L1757,"Đúng hạn","Trễ hạn"))</f>
      </c>
      <c r="N1757" s="225">
        <f>IF($C1757="","",ROW())</f>
      </c>
      <c r="O1757" s="225">
        <f>IF($I1757="Công việc",MATCH($C1757,'Kế hoạch'!$A$6:$A$305,0),"")</f>
      </c>
      <c r="P1757" s="234">
        <f>IF($O1757="","",INDEX('Kế hoạch'!$I$6:$I$305,$O1757))</f>
      </c>
      <c r="Q1757" s="225">
        <f>IF($O1757="","",INDEX('Kế hoạch'!$AJ$6:$AJ$305,$O1757))</f>
      </c>
      <c r="R1757" s="225">
        <f>IF($O1757="","",INDEX('Kế hoạch'!$AK$6:$AK$305,$O1757))</f>
      </c>
    </row>
    <row r="1758">
      <c r="A1758" s="223">
        <f>IF($C1758="","",COUNTIF($C$6:$C1758,"?*"))</f>
      </c>
      <c r="B1758" s="217"/>
      <c r="C1758" s="216"/>
      <c r="D1758" s="240"/>
      <c r="E1758" s="218"/>
      <c r="F1758" s="218"/>
      <c r="G1758" s="218"/>
      <c r="H1758" s="219"/>
      <c r="I1758" s="223">
        <f>IF($C1758="","",IF(ISNUMBER(MATCH($C1758,'Phản ánh'!$A$6:$A$505,0)),"Phản ánh",IF(ISNUMBER(MATCH($C1758,'Kế hoạch'!$A$6:$A$305,0)),"Công việc","Mã chưa có")))</f>
      </c>
      <c r="J1758" s="221">
        <f>IF($I1758="Phản ánh",INDEX('Phản ánh'!$C$6:$C$505,MATCH($C1758,'Phản ánh'!$A$6:$A$505,0)),IF($I1758="Công việc",INDEX('Kế hoạch'!$C$6:$C$305,$O1758),""))</f>
      </c>
      <c r="K1758" s="221">
        <f>IF($I1758="Phản ánh",INDEX('Phản ánh'!$K$6:$K$505,MATCH($C1758,'Phản ánh'!$A$6:$A$505,0))&amp;"",IF($I1758="Công việc",INDEX('Kế hoạch'!$N$6:$N$305,$O1758)&amp;"",""))</f>
      </c>
      <c r="L1758" s="220">
        <f>IF(OR($C1758="",N($B1758)=0),"",IF(AND($I1758="Phản ánh",$E1758="Đã xử lý"),INDEX('Phản ánh'!$U$6:$U$505,MATCH($C1758,'Phản ánh'!$A$6:$A$505,0)),IF(AND($I1758="Công việc",OR($E1758="Hoàn thành",$E1758="Hoàn thành kỳ")),IF(INDEX('Kế hoạch'!$B$6:$B$305,$O1758)="Đột xuất",INDEX('Kế hoạch'!$AY$6:$AY$305,$O1758),IF(N($P1758)=0,"",IF(INT($B1758)&lt;$P1758,$P1758,IF($Q1758&gt;0,$P1758+ROUND((INT($B1758)-$P1758)/$Q1758,0)*$Q1758,IF($R1758&gt;0,EDATE($P1758,ROUND((DATEDIF($P1758,INT($B1758),"m")+(INT($B1758)-EDATE($P1758,DATEDIF($P1758,INT($B1758),"m")))/(EDATE($P1758,DATEDIF($P1758,INT($B1758),"m")+1)-EDATE($P1758,DATEDIF($P1758,INT($B1758),"m"))))/$R1758,0)*$R1758),$P1758))))),"")))</f>
      </c>
      <c r="M1758" s="223">
        <f>IF(OR($C1758="",N($L1758)=0,N($B1758)=0),"",IF(IF(MOD($L1758,1)=0,INT($B1758),$B1758)&lt;=$L1758,"Đúng hạn","Trễ hạn"))</f>
      </c>
      <c r="N1758" s="225">
        <f>IF($C1758="","",ROW())</f>
      </c>
      <c r="O1758" s="225">
        <f>IF($I1758="Công việc",MATCH($C1758,'Kế hoạch'!$A$6:$A$305,0),"")</f>
      </c>
      <c r="P1758" s="234">
        <f>IF($O1758="","",INDEX('Kế hoạch'!$I$6:$I$305,$O1758))</f>
      </c>
      <c r="Q1758" s="225">
        <f>IF($O1758="","",INDEX('Kế hoạch'!$AJ$6:$AJ$305,$O1758))</f>
      </c>
      <c r="R1758" s="225">
        <f>IF($O1758="","",INDEX('Kế hoạch'!$AK$6:$AK$305,$O1758))</f>
      </c>
    </row>
    <row r="1759">
      <c r="A1759" s="223">
        <f>IF($C1759="","",COUNTIF($C$6:$C1759,"?*"))</f>
      </c>
      <c r="B1759" s="217"/>
      <c r="C1759" s="216"/>
      <c r="D1759" s="240"/>
      <c r="E1759" s="218"/>
      <c r="F1759" s="218"/>
      <c r="G1759" s="218"/>
      <c r="H1759" s="219"/>
      <c r="I1759" s="223">
        <f>IF($C1759="","",IF(ISNUMBER(MATCH($C1759,'Phản ánh'!$A$6:$A$505,0)),"Phản ánh",IF(ISNUMBER(MATCH($C1759,'Kế hoạch'!$A$6:$A$305,0)),"Công việc","Mã chưa có")))</f>
      </c>
      <c r="J1759" s="221">
        <f>IF($I1759="Phản ánh",INDEX('Phản ánh'!$C$6:$C$505,MATCH($C1759,'Phản ánh'!$A$6:$A$505,0)),IF($I1759="Công việc",INDEX('Kế hoạch'!$C$6:$C$305,$O1759),""))</f>
      </c>
      <c r="K1759" s="221">
        <f>IF($I1759="Phản ánh",INDEX('Phản ánh'!$K$6:$K$505,MATCH($C1759,'Phản ánh'!$A$6:$A$505,0))&amp;"",IF($I1759="Công việc",INDEX('Kế hoạch'!$N$6:$N$305,$O1759)&amp;"",""))</f>
      </c>
      <c r="L1759" s="220">
        <f>IF(OR($C1759="",N($B1759)=0),"",IF(AND($I1759="Phản ánh",$E1759="Đã xử lý"),INDEX('Phản ánh'!$U$6:$U$505,MATCH($C1759,'Phản ánh'!$A$6:$A$505,0)),IF(AND($I1759="Công việc",OR($E1759="Hoàn thành",$E1759="Hoàn thành kỳ")),IF(INDEX('Kế hoạch'!$B$6:$B$305,$O1759)="Đột xuất",INDEX('Kế hoạch'!$AY$6:$AY$305,$O1759),IF(N($P1759)=0,"",IF(INT($B1759)&lt;$P1759,$P1759,IF($Q1759&gt;0,$P1759+ROUND((INT($B1759)-$P1759)/$Q1759,0)*$Q1759,IF($R1759&gt;0,EDATE($P1759,ROUND((DATEDIF($P1759,INT($B1759),"m")+(INT($B1759)-EDATE($P1759,DATEDIF($P1759,INT($B1759),"m")))/(EDATE($P1759,DATEDIF($P1759,INT($B1759),"m")+1)-EDATE($P1759,DATEDIF($P1759,INT($B1759),"m"))))/$R1759,0)*$R1759),$P1759))))),"")))</f>
      </c>
      <c r="M1759" s="223">
        <f>IF(OR($C1759="",N($L1759)=0,N($B1759)=0),"",IF(IF(MOD($L1759,1)=0,INT($B1759),$B1759)&lt;=$L1759,"Đúng hạn","Trễ hạn"))</f>
      </c>
      <c r="N1759" s="225">
        <f>IF($C1759="","",ROW())</f>
      </c>
      <c r="O1759" s="225">
        <f>IF($I1759="Công việc",MATCH($C1759,'Kế hoạch'!$A$6:$A$305,0),"")</f>
      </c>
      <c r="P1759" s="234">
        <f>IF($O1759="","",INDEX('Kế hoạch'!$I$6:$I$305,$O1759))</f>
      </c>
      <c r="Q1759" s="225">
        <f>IF($O1759="","",INDEX('Kế hoạch'!$AJ$6:$AJ$305,$O1759))</f>
      </c>
      <c r="R1759" s="225">
        <f>IF($O1759="","",INDEX('Kế hoạch'!$AK$6:$AK$305,$O1759))</f>
      </c>
    </row>
    <row r="1760">
      <c r="A1760" s="223">
        <f>IF($C1760="","",COUNTIF($C$6:$C1760,"?*"))</f>
      </c>
      <c r="B1760" s="217"/>
      <c r="C1760" s="216"/>
      <c r="D1760" s="240"/>
      <c r="E1760" s="218"/>
      <c r="F1760" s="218"/>
      <c r="G1760" s="218"/>
      <c r="H1760" s="219"/>
      <c r="I1760" s="223">
        <f>IF($C1760="","",IF(ISNUMBER(MATCH($C1760,'Phản ánh'!$A$6:$A$505,0)),"Phản ánh",IF(ISNUMBER(MATCH($C1760,'Kế hoạch'!$A$6:$A$305,0)),"Công việc","Mã chưa có")))</f>
      </c>
      <c r="J1760" s="221">
        <f>IF($I1760="Phản ánh",INDEX('Phản ánh'!$C$6:$C$505,MATCH($C1760,'Phản ánh'!$A$6:$A$505,0)),IF($I1760="Công việc",INDEX('Kế hoạch'!$C$6:$C$305,$O1760),""))</f>
      </c>
      <c r="K1760" s="221">
        <f>IF($I1760="Phản ánh",INDEX('Phản ánh'!$K$6:$K$505,MATCH($C1760,'Phản ánh'!$A$6:$A$505,0))&amp;"",IF($I1760="Công việc",INDEX('Kế hoạch'!$N$6:$N$305,$O1760)&amp;"",""))</f>
      </c>
      <c r="L1760" s="220">
        <f>IF(OR($C1760="",N($B1760)=0),"",IF(AND($I1760="Phản ánh",$E1760="Đã xử lý"),INDEX('Phản ánh'!$U$6:$U$505,MATCH($C1760,'Phản ánh'!$A$6:$A$505,0)),IF(AND($I1760="Công việc",OR($E1760="Hoàn thành",$E1760="Hoàn thành kỳ")),IF(INDEX('Kế hoạch'!$B$6:$B$305,$O1760)="Đột xuất",INDEX('Kế hoạch'!$AY$6:$AY$305,$O1760),IF(N($P1760)=0,"",IF(INT($B1760)&lt;$P1760,$P1760,IF($Q1760&gt;0,$P1760+ROUND((INT($B1760)-$P1760)/$Q1760,0)*$Q1760,IF($R1760&gt;0,EDATE($P1760,ROUND((DATEDIF($P1760,INT($B1760),"m")+(INT($B1760)-EDATE($P1760,DATEDIF($P1760,INT($B1760),"m")))/(EDATE($P1760,DATEDIF($P1760,INT($B1760),"m")+1)-EDATE($P1760,DATEDIF($P1760,INT($B1760),"m"))))/$R1760,0)*$R1760),$P1760))))),"")))</f>
      </c>
      <c r="M1760" s="223">
        <f>IF(OR($C1760="",N($L1760)=0,N($B1760)=0),"",IF(IF(MOD($L1760,1)=0,INT($B1760),$B1760)&lt;=$L1760,"Đúng hạn","Trễ hạn"))</f>
      </c>
      <c r="N1760" s="225">
        <f>IF($C1760="","",ROW())</f>
      </c>
      <c r="O1760" s="225">
        <f>IF($I1760="Công việc",MATCH($C1760,'Kế hoạch'!$A$6:$A$305,0),"")</f>
      </c>
      <c r="P1760" s="234">
        <f>IF($O1760="","",INDEX('Kế hoạch'!$I$6:$I$305,$O1760))</f>
      </c>
      <c r="Q1760" s="225">
        <f>IF($O1760="","",INDEX('Kế hoạch'!$AJ$6:$AJ$305,$O1760))</f>
      </c>
      <c r="R1760" s="225">
        <f>IF($O1760="","",INDEX('Kế hoạch'!$AK$6:$AK$305,$O1760))</f>
      </c>
    </row>
    <row r="1761">
      <c r="A1761" s="223">
        <f>IF($C1761="","",COUNTIF($C$6:$C1761,"?*"))</f>
      </c>
      <c r="B1761" s="217"/>
      <c r="C1761" s="216"/>
      <c r="D1761" s="240"/>
      <c r="E1761" s="218"/>
      <c r="F1761" s="218"/>
      <c r="G1761" s="218"/>
      <c r="H1761" s="219"/>
      <c r="I1761" s="223">
        <f>IF($C1761="","",IF(ISNUMBER(MATCH($C1761,'Phản ánh'!$A$6:$A$505,0)),"Phản ánh",IF(ISNUMBER(MATCH($C1761,'Kế hoạch'!$A$6:$A$305,0)),"Công việc","Mã chưa có")))</f>
      </c>
      <c r="J1761" s="221">
        <f>IF($I1761="Phản ánh",INDEX('Phản ánh'!$C$6:$C$505,MATCH($C1761,'Phản ánh'!$A$6:$A$505,0)),IF($I1761="Công việc",INDEX('Kế hoạch'!$C$6:$C$305,$O1761),""))</f>
      </c>
      <c r="K1761" s="221">
        <f>IF($I1761="Phản ánh",INDEX('Phản ánh'!$K$6:$K$505,MATCH($C1761,'Phản ánh'!$A$6:$A$505,0))&amp;"",IF($I1761="Công việc",INDEX('Kế hoạch'!$N$6:$N$305,$O1761)&amp;"",""))</f>
      </c>
      <c r="L1761" s="220">
        <f>IF(OR($C1761="",N($B1761)=0),"",IF(AND($I1761="Phản ánh",$E1761="Đã xử lý"),INDEX('Phản ánh'!$U$6:$U$505,MATCH($C1761,'Phản ánh'!$A$6:$A$505,0)),IF(AND($I1761="Công việc",OR($E1761="Hoàn thành",$E1761="Hoàn thành kỳ")),IF(INDEX('Kế hoạch'!$B$6:$B$305,$O1761)="Đột xuất",INDEX('Kế hoạch'!$AY$6:$AY$305,$O1761),IF(N($P1761)=0,"",IF(INT($B1761)&lt;$P1761,$P1761,IF($Q1761&gt;0,$P1761+ROUND((INT($B1761)-$P1761)/$Q1761,0)*$Q1761,IF($R1761&gt;0,EDATE($P1761,ROUND((DATEDIF($P1761,INT($B1761),"m")+(INT($B1761)-EDATE($P1761,DATEDIF($P1761,INT($B1761),"m")))/(EDATE($P1761,DATEDIF($P1761,INT($B1761),"m")+1)-EDATE($P1761,DATEDIF($P1761,INT($B1761),"m"))))/$R1761,0)*$R1761),$P1761))))),"")))</f>
      </c>
      <c r="M1761" s="223">
        <f>IF(OR($C1761="",N($L1761)=0,N($B1761)=0),"",IF(IF(MOD($L1761,1)=0,INT($B1761),$B1761)&lt;=$L1761,"Đúng hạn","Trễ hạn"))</f>
      </c>
      <c r="N1761" s="225">
        <f>IF($C1761="","",ROW())</f>
      </c>
      <c r="O1761" s="225">
        <f>IF($I1761="Công việc",MATCH($C1761,'Kế hoạch'!$A$6:$A$305,0),"")</f>
      </c>
      <c r="P1761" s="234">
        <f>IF($O1761="","",INDEX('Kế hoạch'!$I$6:$I$305,$O1761))</f>
      </c>
      <c r="Q1761" s="225">
        <f>IF($O1761="","",INDEX('Kế hoạch'!$AJ$6:$AJ$305,$O1761))</f>
      </c>
      <c r="R1761" s="225">
        <f>IF($O1761="","",INDEX('Kế hoạch'!$AK$6:$AK$305,$O1761))</f>
      </c>
    </row>
    <row r="1762">
      <c r="A1762" s="223">
        <f>IF($C1762="","",COUNTIF($C$6:$C1762,"?*"))</f>
      </c>
      <c r="B1762" s="217"/>
      <c r="C1762" s="216"/>
      <c r="D1762" s="240"/>
      <c r="E1762" s="218"/>
      <c r="F1762" s="218"/>
      <c r="G1762" s="218"/>
      <c r="H1762" s="219"/>
      <c r="I1762" s="223">
        <f>IF($C1762="","",IF(ISNUMBER(MATCH($C1762,'Phản ánh'!$A$6:$A$505,0)),"Phản ánh",IF(ISNUMBER(MATCH($C1762,'Kế hoạch'!$A$6:$A$305,0)),"Công việc","Mã chưa có")))</f>
      </c>
      <c r="J1762" s="221">
        <f>IF($I1762="Phản ánh",INDEX('Phản ánh'!$C$6:$C$505,MATCH($C1762,'Phản ánh'!$A$6:$A$505,0)),IF($I1762="Công việc",INDEX('Kế hoạch'!$C$6:$C$305,$O1762),""))</f>
      </c>
      <c r="K1762" s="221">
        <f>IF($I1762="Phản ánh",INDEX('Phản ánh'!$K$6:$K$505,MATCH($C1762,'Phản ánh'!$A$6:$A$505,0))&amp;"",IF($I1762="Công việc",INDEX('Kế hoạch'!$N$6:$N$305,$O1762)&amp;"",""))</f>
      </c>
      <c r="L1762" s="220">
        <f>IF(OR($C1762="",N($B1762)=0),"",IF(AND($I1762="Phản ánh",$E1762="Đã xử lý"),INDEX('Phản ánh'!$U$6:$U$505,MATCH($C1762,'Phản ánh'!$A$6:$A$505,0)),IF(AND($I1762="Công việc",OR($E1762="Hoàn thành",$E1762="Hoàn thành kỳ")),IF(INDEX('Kế hoạch'!$B$6:$B$305,$O1762)="Đột xuất",INDEX('Kế hoạch'!$AY$6:$AY$305,$O1762),IF(N($P1762)=0,"",IF(INT($B1762)&lt;$P1762,$P1762,IF($Q1762&gt;0,$P1762+ROUND((INT($B1762)-$P1762)/$Q1762,0)*$Q1762,IF($R1762&gt;0,EDATE($P1762,ROUND((DATEDIF($P1762,INT($B1762),"m")+(INT($B1762)-EDATE($P1762,DATEDIF($P1762,INT($B1762),"m")))/(EDATE($P1762,DATEDIF($P1762,INT($B1762),"m")+1)-EDATE($P1762,DATEDIF($P1762,INT($B1762),"m"))))/$R1762,0)*$R1762),$P1762))))),"")))</f>
      </c>
      <c r="M1762" s="223">
        <f>IF(OR($C1762="",N($L1762)=0,N($B1762)=0),"",IF(IF(MOD($L1762,1)=0,INT($B1762),$B1762)&lt;=$L1762,"Đúng hạn","Trễ hạn"))</f>
      </c>
      <c r="N1762" s="225">
        <f>IF($C1762="","",ROW())</f>
      </c>
      <c r="O1762" s="225">
        <f>IF($I1762="Công việc",MATCH($C1762,'Kế hoạch'!$A$6:$A$305,0),"")</f>
      </c>
      <c r="P1762" s="234">
        <f>IF($O1762="","",INDEX('Kế hoạch'!$I$6:$I$305,$O1762))</f>
      </c>
      <c r="Q1762" s="225">
        <f>IF($O1762="","",INDEX('Kế hoạch'!$AJ$6:$AJ$305,$O1762))</f>
      </c>
      <c r="R1762" s="225">
        <f>IF($O1762="","",INDEX('Kế hoạch'!$AK$6:$AK$305,$O1762))</f>
      </c>
    </row>
    <row r="1763">
      <c r="A1763" s="223">
        <f>IF($C1763="","",COUNTIF($C$6:$C1763,"?*"))</f>
      </c>
      <c r="B1763" s="217"/>
      <c r="C1763" s="216"/>
      <c r="D1763" s="240"/>
      <c r="E1763" s="218"/>
      <c r="F1763" s="218"/>
      <c r="G1763" s="218"/>
      <c r="H1763" s="219"/>
      <c r="I1763" s="223">
        <f>IF($C1763="","",IF(ISNUMBER(MATCH($C1763,'Phản ánh'!$A$6:$A$505,0)),"Phản ánh",IF(ISNUMBER(MATCH($C1763,'Kế hoạch'!$A$6:$A$305,0)),"Công việc","Mã chưa có")))</f>
      </c>
      <c r="J1763" s="221">
        <f>IF($I1763="Phản ánh",INDEX('Phản ánh'!$C$6:$C$505,MATCH($C1763,'Phản ánh'!$A$6:$A$505,0)),IF($I1763="Công việc",INDEX('Kế hoạch'!$C$6:$C$305,$O1763),""))</f>
      </c>
      <c r="K1763" s="221">
        <f>IF($I1763="Phản ánh",INDEX('Phản ánh'!$K$6:$K$505,MATCH($C1763,'Phản ánh'!$A$6:$A$505,0))&amp;"",IF($I1763="Công việc",INDEX('Kế hoạch'!$N$6:$N$305,$O1763)&amp;"",""))</f>
      </c>
      <c r="L1763" s="220">
        <f>IF(OR($C1763="",N($B1763)=0),"",IF(AND($I1763="Phản ánh",$E1763="Đã xử lý"),INDEX('Phản ánh'!$U$6:$U$505,MATCH($C1763,'Phản ánh'!$A$6:$A$505,0)),IF(AND($I1763="Công việc",OR($E1763="Hoàn thành",$E1763="Hoàn thành kỳ")),IF(INDEX('Kế hoạch'!$B$6:$B$305,$O1763)="Đột xuất",INDEX('Kế hoạch'!$AY$6:$AY$305,$O1763),IF(N($P1763)=0,"",IF(INT($B1763)&lt;$P1763,$P1763,IF($Q1763&gt;0,$P1763+ROUND((INT($B1763)-$P1763)/$Q1763,0)*$Q1763,IF($R1763&gt;0,EDATE($P1763,ROUND((DATEDIF($P1763,INT($B1763),"m")+(INT($B1763)-EDATE($P1763,DATEDIF($P1763,INT($B1763),"m")))/(EDATE($P1763,DATEDIF($P1763,INT($B1763),"m")+1)-EDATE($P1763,DATEDIF($P1763,INT($B1763),"m"))))/$R1763,0)*$R1763),$P1763))))),"")))</f>
      </c>
      <c r="M1763" s="223">
        <f>IF(OR($C1763="",N($L1763)=0,N($B1763)=0),"",IF(IF(MOD($L1763,1)=0,INT($B1763),$B1763)&lt;=$L1763,"Đúng hạn","Trễ hạn"))</f>
      </c>
      <c r="N1763" s="225">
        <f>IF($C1763="","",ROW())</f>
      </c>
      <c r="O1763" s="225">
        <f>IF($I1763="Công việc",MATCH($C1763,'Kế hoạch'!$A$6:$A$305,0),"")</f>
      </c>
      <c r="P1763" s="234">
        <f>IF($O1763="","",INDEX('Kế hoạch'!$I$6:$I$305,$O1763))</f>
      </c>
      <c r="Q1763" s="225">
        <f>IF($O1763="","",INDEX('Kế hoạch'!$AJ$6:$AJ$305,$O1763))</f>
      </c>
      <c r="R1763" s="225">
        <f>IF($O1763="","",INDEX('Kế hoạch'!$AK$6:$AK$305,$O1763))</f>
      </c>
    </row>
    <row r="1764">
      <c r="A1764" s="223">
        <f>IF($C1764="","",COUNTIF($C$6:$C1764,"?*"))</f>
      </c>
      <c r="B1764" s="217"/>
      <c r="C1764" s="216"/>
      <c r="D1764" s="240"/>
      <c r="E1764" s="218"/>
      <c r="F1764" s="218"/>
      <c r="G1764" s="218"/>
      <c r="H1764" s="219"/>
      <c r="I1764" s="223">
        <f>IF($C1764="","",IF(ISNUMBER(MATCH($C1764,'Phản ánh'!$A$6:$A$505,0)),"Phản ánh",IF(ISNUMBER(MATCH($C1764,'Kế hoạch'!$A$6:$A$305,0)),"Công việc","Mã chưa có")))</f>
      </c>
      <c r="J1764" s="221">
        <f>IF($I1764="Phản ánh",INDEX('Phản ánh'!$C$6:$C$505,MATCH($C1764,'Phản ánh'!$A$6:$A$505,0)),IF($I1764="Công việc",INDEX('Kế hoạch'!$C$6:$C$305,$O1764),""))</f>
      </c>
      <c r="K1764" s="221">
        <f>IF($I1764="Phản ánh",INDEX('Phản ánh'!$K$6:$K$505,MATCH($C1764,'Phản ánh'!$A$6:$A$505,0))&amp;"",IF($I1764="Công việc",INDEX('Kế hoạch'!$N$6:$N$305,$O1764)&amp;"",""))</f>
      </c>
      <c r="L1764" s="220">
        <f>IF(OR($C1764="",N($B1764)=0),"",IF(AND($I1764="Phản ánh",$E1764="Đã xử lý"),INDEX('Phản ánh'!$U$6:$U$505,MATCH($C1764,'Phản ánh'!$A$6:$A$505,0)),IF(AND($I1764="Công việc",OR($E1764="Hoàn thành",$E1764="Hoàn thành kỳ")),IF(INDEX('Kế hoạch'!$B$6:$B$305,$O1764)="Đột xuất",INDEX('Kế hoạch'!$AY$6:$AY$305,$O1764),IF(N($P1764)=0,"",IF(INT($B1764)&lt;$P1764,$P1764,IF($Q1764&gt;0,$P1764+ROUND((INT($B1764)-$P1764)/$Q1764,0)*$Q1764,IF($R1764&gt;0,EDATE($P1764,ROUND((DATEDIF($P1764,INT($B1764),"m")+(INT($B1764)-EDATE($P1764,DATEDIF($P1764,INT($B1764),"m")))/(EDATE($P1764,DATEDIF($P1764,INT($B1764),"m")+1)-EDATE($P1764,DATEDIF($P1764,INT($B1764),"m"))))/$R1764,0)*$R1764),$P1764))))),"")))</f>
      </c>
      <c r="M1764" s="223">
        <f>IF(OR($C1764="",N($L1764)=0,N($B1764)=0),"",IF(IF(MOD($L1764,1)=0,INT($B1764),$B1764)&lt;=$L1764,"Đúng hạn","Trễ hạn"))</f>
      </c>
      <c r="N1764" s="225">
        <f>IF($C1764="","",ROW())</f>
      </c>
      <c r="O1764" s="225">
        <f>IF($I1764="Công việc",MATCH($C1764,'Kế hoạch'!$A$6:$A$305,0),"")</f>
      </c>
      <c r="P1764" s="234">
        <f>IF($O1764="","",INDEX('Kế hoạch'!$I$6:$I$305,$O1764))</f>
      </c>
      <c r="Q1764" s="225">
        <f>IF($O1764="","",INDEX('Kế hoạch'!$AJ$6:$AJ$305,$O1764))</f>
      </c>
      <c r="R1764" s="225">
        <f>IF($O1764="","",INDEX('Kế hoạch'!$AK$6:$AK$305,$O1764))</f>
      </c>
    </row>
    <row r="1765">
      <c r="A1765" s="223">
        <f>IF($C1765="","",COUNTIF($C$6:$C1765,"?*"))</f>
      </c>
      <c r="B1765" s="217"/>
      <c r="C1765" s="216"/>
      <c r="D1765" s="240"/>
      <c r="E1765" s="218"/>
      <c r="F1765" s="218"/>
      <c r="G1765" s="218"/>
      <c r="H1765" s="219"/>
      <c r="I1765" s="223">
        <f>IF($C1765="","",IF(ISNUMBER(MATCH($C1765,'Phản ánh'!$A$6:$A$505,0)),"Phản ánh",IF(ISNUMBER(MATCH($C1765,'Kế hoạch'!$A$6:$A$305,0)),"Công việc","Mã chưa có")))</f>
      </c>
      <c r="J1765" s="221">
        <f>IF($I1765="Phản ánh",INDEX('Phản ánh'!$C$6:$C$505,MATCH($C1765,'Phản ánh'!$A$6:$A$505,0)),IF($I1765="Công việc",INDEX('Kế hoạch'!$C$6:$C$305,$O1765),""))</f>
      </c>
      <c r="K1765" s="221">
        <f>IF($I1765="Phản ánh",INDEX('Phản ánh'!$K$6:$K$505,MATCH($C1765,'Phản ánh'!$A$6:$A$505,0))&amp;"",IF($I1765="Công việc",INDEX('Kế hoạch'!$N$6:$N$305,$O1765)&amp;"",""))</f>
      </c>
      <c r="L1765" s="220">
        <f>IF(OR($C1765="",N($B1765)=0),"",IF(AND($I1765="Phản ánh",$E1765="Đã xử lý"),INDEX('Phản ánh'!$U$6:$U$505,MATCH($C1765,'Phản ánh'!$A$6:$A$505,0)),IF(AND($I1765="Công việc",OR($E1765="Hoàn thành",$E1765="Hoàn thành kỳ")),IF(INDEX('Kế hoạch'!$B$6:$B$305,$O1765)="Đột xuất",INDEX('Kế hoạch'!$AY$6:$AY$305,$O1765),IF(N($P1765)=0,"",IF(INT($B1765)&lt;$P1765,$P1765,IF($Q1765&gt;0,$P1765+ROUND((INT($B1765)-$P1765)/$Q1765,0)*$Q1765,IF($R1765&gt;0,EDATE($P1765,ROUND((DATEDIF($P1765,INT($B1765),"m")+(INT($B1765)-EDATE($P1765,DATEDIF($P1765,INT($B1765),"m")))/(EDATE($P1765,DATEDIF($P1765,INT($B1765),"m")+1)-EDATE($P1765,DATEDIF($P1765,INT($B1765),"m"))))/$R1765,0)*$R1765),$P1765))))),"")))</f>
      </c>
      <c r="M1765" s="223">
        <f>IF(OR($C1765="",N($L1765)=0,N($B1765)=0),"",IF(IF(MOD($L1765,1)=0,INT($B1765),$B1765)&lt;=$L1765,"Đúng hạn","Trễ hạn"))</f>
      </c>
      <c r="N1765" s="225">
        <f>IF($C1765="","",ROW())</f>
      </c>
      <c r="O1765" s="225">
        <f>IF($I1765="Công việc",MATCH($C1765,'Kế hoạch'!$A$6:$A$305,0),"")</f>
      </c>
      <c r="P1765" s="234">
        <f>IF($O1765="","",INDEX('Kế hoạch'!$I$6:$I$305,$O1765))</f>
      </c>
      <c r="Q1765" s="225">
        <f>IF($O1765="","",INDEX('Kế hoạch'!$AJ$6:$AJ$305,$O1765))</f>
      </c>
      <c r="R1765" s="225">
        <f>IF($O1765="","",INDEX('Kế hoạch'!$AK$6:$AK$305,$O1765))</f>
      </c>
    </row>
    <row r="1766">
      <c r="A1766" s="223">
        <f>IF($C1766="","",COUNTIF($C$6:$C1766,"?*"))</f>
      </c>
      <c r="B1766" s="217"/>
      <c r="C1766" s="216"/>
      <c r="D1766" s="240"/>
      <c r="E1766" s="218"/>
      <c r="F1766" s="218"/>
      <c r="G1766" s="218"/>
      <c r="H1766" s="219"/>
      <c r="I1766" s="223">
        <f>IF($C1766="","",IF(ISNUMBER(MATCH($C1766,'Phản ánh'!$A$6:$A$505,0)),"Phản ánh",IF(ISNUMBER(MATCH($C1766,'Kế hoạch'!$A$6:$A$305,0)),"Công việc","Mã chưa có")))</f>
      </c>
      <c r="J1766" s="221">
        <f>IF($I1766="Phản ánh",INDEX('Phản ánh'!$C$6:$C$505,MATCH($C1766,'Phản ánh'!$A$6:$A$505,0)),IF($I1766="Công việc",INDEX('Kế hoạch'!$C$6:$C$305,$O1766),""))</f>
      </c>
      <c r="K1766" s="221">
        <f>IF($I1766="Phản ánh",INDEX('Phản ánh'!$K$6:$K$505,MATCH($C1766,'Phản ánh'!$A$6:$A$505,0))&amp;"",IF($I1766="Công việc",INDEX('Kế hoạch'!$N$6:$N$305,$O1766)&amp;"",""))</f>
      </c>
      <c r="L1766" s="220">
        <f>IF(OR($C1766="",N($B1766)=0),"",IF(AND($I1766="Phản ánh",$E1766="Đã xử lý"),INDEX('Phản ánh'!$U$6:$U$505,MATCH($C1766,'Phản ánh'!$A$6:$A$505,0)),IF(AND($I1766="Công việc",OR($E1766="Hoàn thành",$E1766="Hoàn thành kỳ")),IF(INDEX('Kế hoạch'!$B$6:$B$305,$O1766)="Đột xuất",INDEX('Kế hoạch'!$AY$6:$AY$305,$O1766),IF(N($P1766)=0,"",IF(INT($B1766)&lt;$P1766,$P1766,IF($Q1766&gt;0,$P1766+ROUND((INT($B1766)-$P1766)/$Q1766,0)*$Q1766,IF($R1766&gt;0,EDATE($P1766,ROUND((DATEDIF($P1766,INT($B1766),"m")+(INT($B1766)-EDATE($P1766,DATEDIF($P1766,INT($B1766),"m")))/(EDATE($P1766,DATEDIF($P1766,INT($B1766),"m")+1)-EDATE($P1766,DATEDIF($P1766,INT($B1766),"m"))))/$R1766,0)*$R1766),$P1766))))),"")))</f>
      </c>
      <c r="M1766" s="223">
        <f>IF(OR($C1766="",N($L1766)=0,N($B1766)=0),"",IF(IF(MOD($L1766,1)=0,INT($B1766),$B1766)&lt;=$L1766,"Đúng hạn","Trễ hạn"))</f>
      </c>
      <c r="N1766" s="225">
        <f>IF($C1766="","",ROW())</f>
      </c>
      <c r="O1766" s="225">
        <f>IF($I1766="Công việc",MATCH($C1766,'Kế hoạch'!$A$6:$A$305,0),"")</f>
      </c>
      <c r="P1766" s="234">
        <f>IF($O1766="","",INDEX('Kế hoạch'!$I$6:$I$305,$O1766))</f>
      </c>
      <c r="Q1766" s="225">
        <f>IF($O1766="","",INDEX('Kế hoạch'!$AJ$6:$AJ$305,$O1766))</f>
      </c>
      <c r="R1766" s="225">
        <f>IF($O1766="","",INDEX('Kế hoạch'!$AK$6:$AK$305,$O1766))</f>
      </c>
    </row>
    <row r="1767">
      <c r="A1767" s="223">
        <f>IF($C1767="","",COUNTIF($C$6:$C1767,"?*"))</f>
      </c>
      <c r="B1767" s="217"/>
      <c r="C1767" s="216"/>
      <c r="D1767" s="240"/>
      <c r="E1767" s="218"/>
      <c r="F1767" s="218"/>
      <c r="G1767" s="218"/>
      <c r="H1767" s="219"/>
      <c r="I1767" s="223">
        <f>IF($C1767="","",IF(ISNUMBER(MATCH($C1767,'Phản ánh'!$A$6:$A$505,0)),"Phản ánh",IF(ISNUMBER(MATCH($C1767,'Kế hoạch'!$A$6:$A$305,0)),"Công việc","Mã chưa có")))</f>
      </c>
      <c r="J1767" s="221">
        <f>IF($I1767="Phản ánh",INDEX('Phản ánh'!$C$6:$C$505,MATCH($C1767,'Phản ánh'!$A$6:$A$505,0)),IF($I1767="Công việc",INDEX('Kế hoạch'!$C$6:$C$305,$O1767),""))</f>
      </c>
      <c r="K1767" s="221">
        <f>IF($I1767="Phản ánh",INDEX('Phản ánh'!$K$6:$K$505,MATCH($C1767,'Phản ánh'!$A$6:$A$505,0))&amp;"",IF($I1767="Công việc",INDEX('Kế hoạch'!$N$6:$N$305,$O1767)&amp;"",""))</f>
      </c>
      <c r="L1767" s="220">
        <f>IF(OR($C1767="",N($B1767)=0),"",IF(AND($I1767="Phản ánh",$E1767="Đã xử lý"),INDEX('Phản ánh'!$U$6:$U$505,MATCH($C1767,'Phản ánh'!$A$6:$A$505,0)),IF(AND($I1767="Công việc",OR($E1767="Hoàn thành",$E1767="Hoàn thành kỳ")),IF(INDEX('Kế hoạch'!$B$6:$B$305,$O1767)="Đột xuất",INDEX('Kế hoạch'!$AY$6:$AY$305,$O1767),IF(N($P1767)=0,"",IF(INT($B1767)&lt;$P1767,$P1767,IF($Q1767&gt;0,$P1767+ROUND((INT($B1767)-$P1767)/$Q1767,0)*$Q1767,IF($R1767&gt;0,EDATE($P1767,ROUND((DATEDIF($P1767,INT($B1767),"m")+(INT($B1767)-EDATE($P1767,DATEDIF($P1767,INT($B1767),"m")))/(EDATE($P1767,DATEDIF($P1767,INT($B1767),"m")+1)-EDATE($P1767,DATEDIF($P1767,INT($B1767),"m"))))/$R1767,0)*$R1767),$P1767))))),"")))</f>
      </c>
      <c r="M1767" s="223">
        <f>IF(OR($C1767="",N($L1767)=0,N($B1767)=0),"",IF(IF(MOD($L1767,1)=0,INT($B1767),$B1767)&lt;=$L1767,"Đúng hạn","Trễ hạn"))</f>
      </c>
      <c r="N1767" s="225">
        <f>IF($C1767="","",ROW())</f>
      </c>
      <c r="O1767" s="225">
        <f>IF($I1767="Công việc",MATCH($C1767,'Kế hoạch'!$A$6:$A$305,0),"")</f>
      </c>
      <c r="P1767" s="234">
        <f>IF($O1767="","",INDEX('Kế hoạch'!$I$6:$I$305,$O1767))</f>
      </c>
      <c r="Q1767" s="225">
        <f>IF($O1767="","",INDEX('Kế hoạch'!$AJ$6:$AJ$305,$O1767))</f>
      </c>
      <c r="R1767" s="225">
        <f>IF($O1767="","",INDEX('Kế hoạch'!$AK$6:$AK$305,$O1767))</f>
      </c>
    </row>
    <row r="1768">
      <c r="A1768" s="223">
        <f>IF($C1768="","",COUNTIF($C$6:$C1768,"?*"))</f>
      </c>
      <c r="B1768" s="217"/>
      <c r="C1768" s="216"/>
      <c r="D1768" s="240"/>
      <c r="E1768" s="218"/>
      <c r="F1768" s="218"/>
      <c r="G1768" s="218"/>
      <c r="H1768" s="219"/>
      <c r="I1768" s="223">
        <f>IF($C1768="","",IF(ISNUMBER(MATCH($C1768,'Phản ánh'!$A$6:$A$505,0)),"Phản ánh",IF(ISNUMBER(MATCH($C1768,'Kế hoạch'!$A$6:$A$305,0)),"Công việc","Mã chưa có")))</f>
      </c>
      <c r="J1768" s="221">
        <f>IF($I1768="Phản ánh",INDEX('Phản ánh'!$C$6:$C$505,MATCH($C1768,'Phản ánh'!$A$6:$A$505,0)),IF($I1768="Công việc",INDEX('Kế hoạch'!$C$6:$C$305,$O1768),""))</f>
      </c>
      <c r="K1768" s="221">
        <f>IF($I1768="Phản ánh",INDEX('Phản ánh'!$K$6:$K$505,MATCH($C1768,'Phản ánh'!$A$6:$A$505,0))&amp;"",IF($I1768="Công việc",INDEX('Kế hoạch'!$N$6:$N$305,$O1768)&amp;"",""))</f>
      </c>
      <c r="L1768" s="220">
        <f>IF(OR($C1768="",N($B1768)=0),"",IF(AND($I1768="Phản ánh",$E1768="Đã xử lý"),INDEX('Phản ánh'!$U$6:$U$505,MATCH($C1768,'Phản ánh'!$A$6:$A$505,0)),IF(AND($I1768="Công việc",OR($E1768="Hoàn thành",$E1768="Hoàn thành kỳ")),IF(INDEX('Kế hoạch'!$B$6:$B$305,$O1768)="Đột xuất",INDEX('Kế hoạch'!$AY$6:$AY$305,$O1768),IF(N($P1768)=0,"",IF(INT($B1768)&lt;$P1768,$P1768,IF($Q1768&gt;0,$P1768+ROUND((INT($B1768)-$P1768)/$Q1768,0)*$Q1768,IF($R1768&gt;0,EDATE($P1768,ROUND((DATEDIF($P1768,INT($B1768),"m")+(INT($B1768)-EDATE($P1768,DATEDIF($P1768,INT($B1768),"m")))/(EDATE($P1768,DATEDIF($P1768,INT($B1768),"m")+1)-EDATE($P1768,DATEDIF($P1768,INT($B1768),"m"))))/$R1768,0)*$R1768),$P1768))))),"")))</f>
      </c>
      <c r="M1768" s="223">
        <f>IF(OR($C1768="",N($L1768)=0,N($B1768)=0),"",IF(IF(MOD($L1768,1)=0,INT($B1768),$B1768)&lt;=$L1768,"Đúng hạn","Trễ hạn"))</f>
      </c>
      <c r="N1768" s="225">
        <f>IF($C1768="","",ROW())</f>
      </c>
      <c r="O1768" s="225">
        <f>IF($I1768="Công việc",MATCH($C1768,'Kế hoạch'!$A$6:$A$305,0),"")</f>
      </c>
      <c r="P1768" s="234">
        <f>IF($O1768="","",INDEX('Kế hoạch'!$I$6:$I$305,$O1768))</f>
      </c>
      <c r="Q1768" s="225">
        <f>IF($O1768="","",INDEX('Kế hoạch'!$AJ$6:$AJ$305,$O1768))</f>
      </c>
      <c r="R1768" s="225">
        <f>IF($O1768="","",INDEX('Kế hoạch'!$AK$6:$AK$305,$O1768))</f>
      </c>
    </row>
    <row r="1769">
      <c r="A1769" s="223">
        <f>IF($C1769="","",COUNTIF($C$6:$C1769,"?*"))</f>
      </c>
      <c r="B1769" s="217"/>
      <c r="C1769" s="216"/>
      <c r="D1769" s="240"/>
      <c r="E1769" s="218"/>
      <c r="F1769" s="218"/>
      <c r="G1769" s="218"/>
      <c r="H1769" s="219"/>
      <c r="I1769" s="223">
        <f>IF($C1769="","",IF(ISNUMBER(MATCH($C1769,'Phản ánh'!$A$6:$A$505,0)),"Phản ánh",IF(ISNUMBER(MATCH($C1769,'Kế hoạch'!$A$6:$A$305,0)),"Công việc","Mã chưa có")))</f>
      </c>
      <c r="J1769" s="221">
        <f>IF($I1769="Phản ánh",INDEX('Phản ánh'!$C$6:$C$505,MATCH($C1769,'Phản ánh'!$A$6:$A$505,0)),IF($I1769="Công việc",INDEX('Kế hoạch'!$C$6:$C$305,$O1769),""))</f>
      </c>
      <c r="K1769" s="221">
        <f>IF($I1769="Phản ánh",INDEX('Phản ánh'!$K$6:$K$505,MATCH($C1769,'Phản ánh'!$A$6:$A$505,0))&amp;"",IF($I1769="Công việc",INDEX('Kế hoạch'!$N$6:$N$305,$O1769)&amp;"",""))</f>
      </c>
      <c r="L1769" s="220">
        <f>IF(OR($C1769="",N($B1769)=0),"",IF(AND($I1769="Phản ánh",$E1769="Đã xử lý"),INDEX('Phản ánh'!$U$6:$U$505,MATCH($C1769,'Phản ánh'!$A$6:$A$505,0)),IF(AND($I1769="Công việc",OR($E1769="Hoàn thành",$E1769="Hoàn thành kỳ")),IF(INDEX('Kế hoạch'!$B$6:$B$305,$O1769)="Đột xuất",INDEX('Kế hoạch'!$AY$6:$AY$305,$O1769),IF(N($P1769)=0,"",IF(INT($B1769)&lt;$P1769,$P1769,IF($Q1769&gt;0,$P1769+ROUND((INT($B1769)-$P1769)/$Q1769,0)*$Q1769,IF($R1769&gt;0,EDATE($P1769,ROUND((DATEDIF($P1769,INT($B1769),"m")+(INT($B1769)-EDATE($P1769,DATEDIF($P1769,INT($B1769),"m")))/(EDATE($P1769,DATEDIF($P1769,INT($B1769),"m")+1)-EDATE($P1769,DATEDIF($P1769,INT($B1769),"m"))))/$R1769,0)*$R1769),$P1769))))),"")))</f>
      </c>
      <c r="M1769" s="223">
        <f>IF(OR($C1769="",N($L1769)=0,N($B1769)=0),"",IF(IF(MOD($L1769,1)=0,INT($B1769),$B1769)&lt;=$L1769,"Đúng hạn","Trễ hạn"))</f>
      </c>
      <c r="N1769" s="225">
        <f>IF($C1769="","",ROW())</f>
      </c>
      <c r="O1769" s="225">
        <f>IF($I1769="Công việc",MATCH($C1769,'Kế hoạch'!$A$6:$A$305,0),"")</f>
      </c>
      <c r="P1769" s="234">
        <f>IF($O1769="","",INDEX('Kế hoạch'!$I$6:$I$305,$O1769))</f>
      </c>
      <c r="Q1769" s="225">
        <f>IF($O1769="","",INDEX('Kế hoạch'!$AJ$6:$AJ$305,$O1769))</f>
      </c>
      <c r="R1769" s="225">
        <f>IF($O1769="","",INDEX('Kế hoạch'!$AK$6:$AK$305,$O1769))</f>
      </c>
    </row>
    <row r="1770">
      <c r="A1770" s="223">
        <f>IF($C1770="","",COUNTIF($C$6:$C1770,"?*"))</f>
      </c>
      <c r="B1770" s="217"/>
      <c r="C1770" s="216"/>
      <c r="D1770" s="240"/>
      <c r="E1770" s="218"/>
      <c r="F1770" s="218"/>
      <c r="G1770" s="218"/>
      <c r="H1770" s="219"/>
      <c r="I1770" s="223">
        <f>IF($C1770="","",IF(ISNUMBER(MATCH($C1770,'Phản ánh'!$A$6:$A$505,0)),"Phản ánh",IF(ISNUMBER(MATCH($C1770,'Kế hoạch'!$A$6:$A$305,0)),"Công việc","Mã chưa có")))</f>
      </c>
      <c r="J1770" s="221">
        <f>IF($I1770="Phản ánh",INDEX('Phản ánh'!$C$6:$C$505,MATCH($C1770,'Phản ánh'!$A$6:$A$505,0)),IF($I1770="Công việc",INDEX('Kế hoạch'!$C$6:$C$305,$O1770),""))</f>
      </c>
      <c r="K1770" s="221">
        <f>IF($I1770="Phản ánh",INDEX('Phản ánh'!$K$6:$K$505,MATCH($C1770,'Phản ánh'!$A$6:$A$505,0))&amp;"",IF($I1770="Công việc",INDEX('Kế hoạch'!$N$6:$N$305,$O1770)&amp;"",""))</f>
      </c>
      <c r="L1770" s="220">
        <f>IF(OR($C1770="",N($B1770)=0),"",IF(AND($I1770="Phản ánh",$E1770="Đã xử lý"),INDEX('Phản ánh'!$U$6:$U$505,MATCH($C1770,'Phản ánh'!$A$6:$A$505,0)),IF(AND($I1770="Công việc",OR($E1770="Hoàn thành",$E1770="Hoàn thành kỳ")),IF(INDEX('Kế hoạch'!$B$6:$B$305,$O1770)="Đột xuất",INDEX('Kế hoạch'!$AY$6:$AY$305,$O1770),IF(N($P1770)=0,"",IF(INT($B1770)&lt;$P1770,$P1770,IF($Q1770&gt;0,$P1770+ROUND((INT($B1770)-$P1770)/$Q1770,0)*$Q1770,IF($R1770&gt;0,EDATE($P1770,ROUND((DATEDIF($P1770,INT($B1770),"m")+(INT($B1770)-EDATE($P1770,DATEDIF($P1770,INT($B1770),"m")))/(EDATE($P1770,DATEDIF($P1770,INT($B1770),"m")+1)-EDATE($P1770,DATEDIF($P1770,INT($B1770),"m"))))/$R1770,0)*$R1770),$P1770))))),"")))</f>
      </c>
      <c r="M1770" s="223">
        <f>IF(OR($C1770="",N($L1770)=0,N($B1770)=0),"",IF(IF(MOD($L1770,1)=0,INT($B1770),$B1770)&lt;=$L1770,"Đúng hạn","Trễ hạn"))</f>
      </c>
      <c r="N1770" s="225">
        <f>IF($C1770="","",ROW())</f>
      </c>
      <c r="O1770" s="225">
        <f>IF($I1770="Công việc",MATCH($C1770,'Kế hoạch'!$A$6:$A$305,0),"")</f>
      </c>
      <c r="P1770" s="234">
        <f>IF($O1770="","",INDEX('Kế hoạch'!$I$6:$I$305,$O1770))</f>
      </c>
      <c r="Q1770" s="225">
        <f>IF($O1770="","",INDEX('Kế hoạch'!$AJ$6:$AJ$305,$O1770))</f>
      </c>
      <c r="R1770" s="225">
        <f>IF($O1770="","",INDEX('Kế hoạch'!$AK$6:$AK$305,$O1770))</f>
      </c>
    </row>
    <row r="1771">
      <c r="A1771" s="223">
        <f>IF($C1771="","",COUNTIF($C$6:$C1771,"?*"))</f>
      </c>
      <c r="B1771" s="217"/>
      <c r="C1771" s="216"/>
      <c r="D1771" s="240"/>
      <c r="E1771" s="218"/>
      <c r="F1771" s="218"/>
      <c r="G1771" s="218"/>
      <c r="H1771" s="219"/>
      <c r="I1771" s="223">
        <f>IF($C1771="","",IF(ISNUMBER(MATCH($C1771,'Phản ánh'!$A$6:$A$505,0)),"Phản ánh",IF(ISNUMBER(MATCH($C1771,'Kế hoạch'!$A$6:$A$305,0)),"Công việc","Mã chưa có")))</f>
      </c>
      <c r="J1771" s="221">
        <f>IF($I1771="Phản ánh",INDEX('Phản ánh'!$C$6:$C$505,MATCH($C1771,'Phản ánh'!$A$6:$A$505,0)),IF($I1771="Công việc",INDEX('Kế hoạch'!$C$6:$C$305,$O1771),""))</f>
      </c>
      <c r="K1771" s="221">
        <f>IF($I1771="Phản ánh",INDEX('Phản ánh'!$K$6:$K$505,MATCH($C1771,'Phản ánh'!$A$6:$A$505,0))&amp;"",IF($I1771="Công việc",INDEX('Kế hoạch'!$N$6:$N$305,$O1771)&amp;"",""))</f>
      </c>
      <c r="L1771" s="220">
        <f>IF(OR($C1771="",N($B1771)=0),"",IF(AND($I1771="Phản ánh",$E1771="Đã xử lý"),INDEX('Phản ánh'!$U$6:$U$505,MATCH($C1771,'Phản ánh'!$A$6:$A$505,0)),IF(AND($I1771="Công việc",OR($E1771="Hoàn thành",$E1771="Hoàn thành kỳ")),IF(INDEX('Kế hoạch'!$B$6:$B$305,$O1771)="Đột xuất",INDEX('Kế hoạch'!$AY$6:$AY$305,$O1771),IF(N($P1771)=0,"",IF(INT($B1771)&lt;$P1771,$P1771,IF($Q1771&gt;0,$P1771+ROUND((INT($B1771)-$P1771)/$Q1771,0)*$Q1771,IF($R1771&gt;0,EDATE($P1771,ROUND((DATEDIF($P1771,INT($B1771),"m")+(INT($B1771)-EDATE($P1771,DATEDIF($P1771,INT($B1771),"m")))/(EDATE($P1771,DATEDIF($P1771,INT($B1771),"m")+1)-EDATE($P1771,DATEDIF($P1771,INT($B1771),"m"))))/$R1771,0)*$R1771),$P1771))))),"")))</f>
      </c>
      <c r="M1771" s="223">
        <f>IF(OR($C1771="",N($L1771)=0,N($B1771)=0),"",IF(IF(MOD($L1771,1)=0,INT($B1771),$B1771)&lt;=$L1771,"Đúng hạn","Trễ hạn"))</f>
      </c>
      <c r="N1771" s="225">
        <f>IF($C1771="","",ROW())</f>
      </c>
      <c r="O1771" s="225">
        <f>IF($I1771="Công việc",MATCH($C1771,'Kế hoạch'!$A$6:$A$305,0),"")</f>
      </c>
      <c r="P1771" s="234">
        <f>IF($O1771="","",INDEX('Kế hoạch'!$I$6:$I$305,$O1771))</f>
      </c>
      <c r="Q1771" s="225">
        <f>IF($O1771="","",INDEX('Kế hoạch'!$AJ$6:$AJ$305,$O1771))</f>
      </c>
      <c r="R1771" s="225">
        <f>IF($O1771="","",INDEX('Kế hoạch'!$AK$6:$AK$305,$O1771))</f>
      </c>
    </row>
    <row r="1772">
      <c r="A1772" s="223">
        <f>IF($C1772="","",COUNTIF($C$6:$C1772,"?*"))</f>
      </c>
      <c r="B1772" s="217"/>
      <c r="C1772" s="216"/>
      <c r="D1772" s="240"/>
      <c r="E1772" s="218"/>
      <c r="F1772" s="218"/>
      <c r="G1772" s="218"/>
      <c r="H1772" s="219"/>
      <c r="I1772" s="223">
        <f>IF($C1772="","",IF(ISNUMBER(MATCH($C1772,'Phản ánh'!$A$6:$A$505,0)),"Phản ánh",IF(ISNUMBER(MATCH($C1772,'Kế hoạch'!$A$6:$A$305,0)),"Công việc","Mã chưa có")))</f>
      </c>
      <c r="J1772" s="221">
        <f>IF($I1772="Phản ánh",INDEX('Phản ánh'!$C$6:$C$505,MATCH($C1772,'Phản ánh'!$A$6:$A$505,0)),IF($I1772="Công việc",INDEX('Kế hoạch'!$C$6:$C$305,$O1772),""))</f>
      </c>
      <c r="K1772" s="221">
        <f>IF($I1772="Phản ánh",INDEX('Phản ánh'!$K$6:$K$505,MATCH($C1772,'Phản ánh'!$A$6:$A$505,0))&amp;"",IF($I1772="Công việc",INDEX('Kế hoạch'!$N$6:$N$305,$O1772)&amp;"",""))</f>
      </c>
      <c r="L1772" s="220">
        <f>IF(OR($C1772="",N($B1772)=0),"",IF(AND($I1772="Phản ánh",$E1772="Đã xử lý"),INDEX('Phản ánh'!$U$6:$U$505,MATCH($C1772,'Phản ánh'!$A$6:$A$505,0)),IF(AND($I1772="Công việc",OR($E1772="Hoàn thành",$E1772="Hoàn thành kỳ")),IF(INDEX('Kế hoạch'!$B$6:$B$305,$O1772)="Đột xuất",INDEX('Kế hoạch'!$AY$6:$AY$305,$O1772),IF(N($P1772)=0,"",IF(INT($B1772)&lt;$P1772,$P1772,IF($Q1772&gt;0,$P1772+ROUND((INT($B1772)-$P1772)/$Q1772,0)*$Q1772,IF($R1772&gt;0,EDATE($P1772,ROUND((DATEDIF($P1772,INT($B1772),"m")+(INT($B1772)-EDATE($P1772,DATEDIF($P1772,INT($B1772),"m")))/(EDATE($P1772,DATEDIF($P1772,INT($B1772),"m")+1)-EDATE($P1772,DATEDIF($P1772,INT($B1772),"m"))))/$R1772,0)*$R1772),$P1772))))),"")))</f>
      </c>
      <c r="M1772" s="223">
        <f>IF(OR($C1772="",N($L1772)=0,N($B1772)=0),"",IF(IF(MOD($L1772,1)=0,INT($B1772),$B1772)&lt;=$L1772,"Đúng hạn","Trễ hạn"))</f>
      </c>
      <c r="N1772" s="225">
        <f>IF($C1772="","",ROW())</f>
      </c>
      <c r="O1772" s="225">
        <f>IF($I1772="Công việc",MATCH($C1772,'Kế hoạch'!$A$6:$A$305,0),"")</f>
      </c>
      <c r="P1772" s="234">
        <f>IF($O1772="","",INDEX('Kế hoạch'!$I$6:$I$305,$O1772))</f>
      </c>
      <c r="Q1772" s="225">
        <f>IF($O1772="","",INDEX('Kế hoạch'!$AJ$6:$AJ$305,$O1772))</f>
      </c>
      <c r="R1772" s="225">
        <f>IF($O1772="","",INDEX('Kế hoạch'!$AK$6:$AK$305,$O1772))</f>
      </c>
    </row>
    <row r="1773">
      <c r="A1773" s="223">
        <f>IF($C1773="","",COUNTIF($C$6:$C1773,"?*"))</f>
      </c>
      <c r="B1773" s="217"/>
      <c r="C1773" s="216"/>
      <c r="D1773" s="240"/>
      <c r="E1773" s="218"/>
      <c r="F1773" s="218"/>
      <c r="G1773" s="218"/>
      <c r="H1773" s="219"/>
      <c r="I1773" s="223">
        <f>IF($C1773="","",IF(ISNUMBER(MATCH($C1773,'Phản ánh'!$A$6:$A$505,0)),"Phản ánh",IF(ISNUMBER(MATCH($C1773,'Kế hoạch'!$A$6:$A$305,0)),"Công việc","Mã chưa có")))</f>
      </c>
      <c r="J1773" s="221">
        <f>IF($I1773="Phản ánh",INDEX('Phản ánh'!$C$6:$C$505,MATCH($C1773,'Phản ánh'!$A$6:$A$505,0)),IF($I1773="Công việc",INDEX('Kế hoạch'!$C$6:$C$305,$O1773),""))</f>
      </c>
      <c r="K1773" s="221">
        <f>IF($I1773="Phản ánh",INDEX('Phản ánh'!$K$6:$K$505,MATCH($C1773,'Phản ánh'!$A$6:$A$505,0))&amp;"",IF($I1773="Công việc",INDEX('Kế hoạch'!$N$6:$N$305,$O1773)&amp;"",""))</f>
      </c>
      <c r="L1773" s="220">
        <f>IF(OR($C1773="",N($B1773)=0),"",IF(AND($I1773="Phản ánh",$E1773="Đã xử lý"),INDEX('Phản ánh'!$U$6:$U$505,MATCH($C1773,'Phản ánh'!$A$6:$A$505,0)),IF(AND($I1773="Công việc",OR($E1773="Hoàn thành",$E1773="Hoàn thành kỳ")),IF(INDEX('Kế hoạch'!$B$6:$B$305,$O1773)="Đột xuất",INDEX('Kế hoạch'!$AY$6:$AY$305,$O1773),IF(N($P1773)=0,"",IF(INT($B1773)&lt;$P1773,$P1773,IF($Q1773&gt;0,$P1773+ROUND((INT($B1773)-$P1773)/$Q1773,0)*$Q1773,IF($R1773&gt;0,EDATE($P1773,ROUND((DATEDIF($P1773,INT($B1773),"m")+(INT($B1773)-EDATE($P1773,DATEDIF($P1773,INT($B1773),"m")))/(EDATE($P1773,DATEDIF($P1773,INT($B1773),"m")+1)-EDATE($P1773,DATEDIF($P1773,INT($B1773),"m"))))/$R1773,0)*$R1773),$P1773))))),"")))</f>
      </c>
      <c r="M1773" s="223">
        <f>IF(OR($C1773="",N($L1773)=0,N($B1773)=0),"",IF(IF(MOD($L1773,1)=0,INT($B1773),$B1773)&lt;=$L1773,"Đúng hạn","Trễ hạn"))</f>
      </c>
      <c r="N1773" s="225">
        <f>IF($C1773="","",ROW())</f>
      </c>
      <c r="O1773" s="225">
        <f>IF($I1773="Công việc",MATCH($C1773,'Kế hoạch'!$A$6:$A$305,0),"")</f>
      </c>
      <c r="P1773" s="234">
        <f>IF($O1773="","",INDEX('Kế hoạch'!$I$6:$I$305,$O1773))</f>
      </c>
      <c r="Q1773" s="225">
        <f>IF($O1773="","",INDEX('Kế hoạch'!$AJ$6:$AJ$305,$O1773))</f>
      </c>
      <c r="R1773" s="225">
        <f>IF($O1773="","",INDEX('Kế hoạch'!$AK$6:$AK$305,$O1773))</f>
      </c>
    </row>
    <row r="1774">
      <c r="A1774" s="223">
        <f>IF($C1774="","",COUNTIF($C$6:$C1774,"?*"))</f>
      </c>
      <c r="B1774" s="217"/>
      <c r="C1774" s="216"/>
      <c r="D1774" s="240"/>
      <c r="E1774" s="218"/>
      <c r="F1774" s="218"/>
      <c r="G1774" s="218"/>
      <c r="H1774" s="219"/>
      <c r="I1774" s="223">
        <f>IF($C1774="","",IF(ISNUMBER(MATCH($C1774,'Phản ánh'!$A$6:$A$505,0)),"Phản ánh",IF(ISNUMBER(MATCH($C1774,'Kế hoạch'!$A$6:$A$305,0)),"Công việc","Mã chưa có")))</f>
      </c>
      <c r="J1774" s="221">
        <f>IF($I1774="Phản ánh",INDEX('Phản ánh'!$C$6:$C$505,MATCH($C1774,'Phản ánh'!$A$6:$A$505,0)),IF($I1774="Công việc",INDEX('Kế hoạch'!$C$6:$C$305,$O1774),""))</f>
      </c>
      <c r="K1774" s="221">
        <f>IF($I1774="Phản ánh",INDEX('Phản ánh'!$K$6:$K$505,MATCH($C1774,'Phản ánh'!$A$6:$A$505,0))&amp;"",IF($I1774="Công việc",INDEX('Kế hoạch'!$N$6:$N$305,$O1774)&amp;"",""))</f>
      </c>
      <c r="L1774" s="220">
        <f>IF(OR($C1774="",N($B1774)=0),"",IF(AND($I1774="Phản ánh",$E1774="Đã xử lý"),INDEX('Phản ánh'!$U$6:$U$505,MATCH($C1774,'Phản ánh'!$A$6:$A$505,0)),IF(AND($I1774="Công việc",OR($E1774="Hoàn thành",$E1774="Hoàn thành kỳ")),IF(INDEX('Kế hoạch'!$B$6:$B$305,$O1774)="Đột xuất",INDEX('Kế hoạch'!$AY$6:$AY$305,$O1774),IF(N($P1774)=0,"",IF(INT($B1774)&lt;$P1774,$P1774,IF($Q1774&gt;0,$P1774+ROUND((INT($B1774)-$P1774)/$Q1774,0)*$Q1774,IF($R1774&gt;0,EDATE($P1774,ROUND((DATEDIF($P1774,INT($B1774),"m")+(INT($B1774)-EDATE($P1774,DATEDIF($P1774,INT($B1774),"m")))/(EDATE($P1774,DATEDIF($P1774,INT($B1774),"m")+1)-EDATE($P1774,DATEDIF($P1774,INT($B1774),"m"))))/$R1774,0)*$R1774),$P1774))))),"")))</f>
      </c>
      <c r="M1774" s="223">
        <f>IF(OR($C1774="",N($L1774)=0,N($B1774)=0),"",IF(IF(MOD($L1774,1)=0,INT($B1774),$B1774)&lt;=$L1774,"Đúng hạn","Trễ hạn"))</f>
      </c>
      <c r="N1774" s="225">
        <f>IF($C1774="","",ROW())</f>
      </c>
      <c r="O1774" s="225">
        <f>IF($I1774="Công việc",MATCH($C1774,'Kế hoạch'!$A$6:$A$305,0),"")</f>
      </c>
      <c r="P1774" s="234">
        <f>IF($O1774="","",INDEX('Kế hoạch'!$I$6:$I$305,$O1774))</f>
      </c>
      <c r="Q1774" s="225">
        <f>IF($O1774="","",INDEX('Kế hoạch'!$AJ$6:$AJ$305,$O1774))</f>
      </c>
      <c r="R1774" s="225">
        <f>IF($O1774="","",INDEX('Kế hoạch'!$AK$6:$AK$305,$O1774))</f>
      </c>
    </row>
    <row r="1775">
      <c r="A1775" s="223">
        <f>IF($C1775="","",COUNTIF($C$6:$C1775,"?*"))</f>
      </c>
      <c r="B1775" s="217"/>
      <c r="C1775" s="216"/>
      <c r="D1775" s="240"/>
      <c r="E1775" s="218"/>
      <c r="F1775" s="218"/>
      <c r="G1775" s="218"/>
      <c r="H1775" s="219"/>
      <c r="I1775" s="223">
        <f>IF($C1775="","",IF(ISNUMBER(MATCH($C1775,'Phản ánh'!$A$6:$A$505,0)),"Phản ánh",IF(ISNUMBER(MATCH($C1775,'Kế hoạch'!$A$6:$A$305,0)),"Công việc","Mã chưa có")))</f>
      </c>
      <c r="J1775" s="221">
        <f>IF($I1775="Phản ánh",INDEX('Phản ánh'!$C$6:$C$505,MATCH($C1775,'Phản ánh'!$A$6:$A$505,0)),IF($I1775="Công việc",INDEX('Kế hoạch'!$C$6:$C$305,$O1775),""))</f>
      </c>
      <c r="K1775" s="221">
        <f>IF($I1775="Phản ánh",INDEX('Phản ánh'!$K$6:$K$505,MATCH($C1775,'Phản ánh'!$A$6:$A$505,0))&amp;"",IF($I1775="Công việc",INDEX('Kế hoạch'!$N$6:$N$305,$O1775)&amp;"",""))</f>
      </c>
      <c r="L1775" s="220">
        <f>IF(OR($C1775="",N($B1775)=0),"",IF(AND($I1775="Phản ánh",$E1775="Đã xử lý"),INDEX('Phản ánh'!$U$6:$U$505,MATCH($C1775,'Phản ánh'!$A$6:$A$505,0)),IF(AND($I1775="Công việc",OR($E1775="Hoàn thành",$E1775="Hoàn thành kỳ")),IF(INDEX('Kế hoạch'!$B$6:$B$305,$O1775)="Đột xuất",INDEX('Kế hoạch'!$AY$6:$AY$305,$O1775),IF(N($P1775)=0,"",IF(INT($B1775)&lt;$P1775,$P1775,IF($Q1775&gt;0,$P1775+ROUND((INT($B1775)-$P1775)/$Q1775,0)*$Q1775,IF($R1775&gt;0,EDATE($P1775,ROUND((DATEDIF($P1775,INT($B1775),"m")+(INT($B1775)-EDATE($P1775,DATEDIF($P1775,INT($B1775),"m")))/(EDATE($P1775,DATEDIF($P1775,INT($B1775),"m")+1)-EDATE($P1775,DATEDIF($P1775,INT($B1775),"m"))))/$R1775,0)*$R1775),$P1775))))),"")))</f>
      </c>
      <c r="M1775" s="223">
        <f>IF(OR($C1775="",N($L1775)=0,N($B1775)=0),"",IF(IF(MOD($L1775,1)=0,INT($B1775),$B1775)&lt;=$L1775,"Đúng hạn","Trễ hạn"))</f>
      </c>
      <c r="N1775" s="225">
        <f>IF($C1775="","",ROW())</f>
      </c>
      <c r="O1775" s="225">
        <f>IF($I1775="Công việc",MATCH($C1775,'Kế hoạch'!$A$6:$A$305,0),"")</f>
      </c>
      <c r="P1775" s="234">
        <f>IF($O1775="","",INDEX('Kế hoạch'!$I$6:$I$305,$O1775))</f>
      </c>
      <c r="Q1775" s="225">
        <f>IF($O1775="","",INDEX('Kế hoạch'!$AJ$6:$AJ$305,$O1775))</f>
      </c>
      <c r="R1775" s="225">
        <f>IF($O1775="","",INDEX('Kế hoạch'!$AK$6:$AK$305,$O1775))</f>
      </c>
    </row>
    <row r="1776">
      <c r="A1776" s="223">
        <f>IF($C1776="","",COUNTIF($C$6:$C1776,"?*"))</f>
      </c>
      <c r="B1776" s="217"/>
      <c r="C1776" s="216"/>
      <c r="D1776" s="240"/>
      <c r="E1776" s="218"/>
      <c r="F1776" s="218"/>
      <c r="G1776" s="218"/>
      <c r="H1776" s="219"/>
      <c r="I1776" s="223">
        <f>IF($C1776="","",IF(ISNUMBER(MATCH($C1776,'Phản ánh'!$A$6:$A$505,0)),"Phản ánh",IF(ISNUMBER(MATCH($C1776,'Kế hoạch'!$A$6:$A$305,0)),"Công việc","Mã chưa có")))</f>
      </c>
      <c r="J1776" s="221">
        <f>IF($I1776="Phản ánh",INDEX('Phản ánh'!$C$6:$C$505,MATCH($C1776,'Phản ánh'!$A$6:$A$505,0)),IF($I1776="Công việc",INDEX('Kế hoạch'!$C$6:$C$305,$O1776),""))</f>
      </c>
      <c r="K1776" s="221">
        <f>IF($I1776="Phản ánh",INDEX('Phản ánh'!$K$6:$K$505,MATCH($C1776,'Phản ánh'!$A$6:$A$505,0))&amp;"",IF($I1776="Công việc",INDEX('Kế hoạch'!$N$6:$N$305,$O1776)&amp;"",""))</f>
      </c>
      <c r="L1776" s="220">
        <f>IF(OR($C1776="",N($B1776)=0),"",IF(AND($I1776="Phản ánh",$E1776="Đã xử lý"),INDEX('Phản ánh'!$U$6:$U$505,MATCH($C1776,'Phản ánh'!$A$6:$A$505,0)),IF(AND($I1776="Công việc",OR($E1776="Hoàn thành",$E1776="Hoàn thành kỳ")),IF(INDEX('Kế hoạch'!$B$6:$B$305,$O1776)="Đột xuất",INDEX('Kế hoạch'!$AY$6:$AY$305,$O1776),IF(N($P1776)=0,"",IF(INT($B1776)&lt;$P1776,$P1776,IF($Q1776&gt;0,$P1776+ROUND((INT($B1776)-$P1776)/$Q1776,0)*$Q1776,IF($R1776&gt;0,EDATE($P1776,ROUND((DATEDIF($P1776,INT($B1776),"m")+(INT($B1776)-EDATE($P1776,DATEDIF($P1776,INT($B1776),"m")))/(EDATE($P1776,DATEDIF($P1776,INT($B1776),"m")+1)-EDATE($P1776,DATEDIF($P1776,INT($B1776),"m"))))/$R1776,0)*$R1776),$P1776))))),"")))</f>
      </c>
      <c r="M1776" s="223">
        <f>IF(OR($C1776="",N($L1776)=0,N($B1776)=0),"",IF(IF(MOD($L1776,1)=0,INT($B1776),$B1776)&lt;=$L1776,"Đúng hạn","Trễ hạn"))</f>
      </c>
      <c r="N1776" s="225">
        <f>IF($C1776="","",ROW())</f>
      </c>
      <c r="O1776" s="225">
        <f>IF($I1776="Công việc",MATCH($C1776,'Kế hoạch'!$A$6:$A$305,0),"")</f>
      </c>
      <c r="P1776" s="234">
        <f>IF($O1776="","",INDEX('Kế hoạch'!$I$6:$I$305,$O1776))</f>
      </c>
      <c r="Q1776" s="225">
        <f>IF($O1776="","",INDEX('Kế hoạch'!$AJ$6:$AJ$305,$O1776))</f>
      </c>
      <c r="R1776" s="225">
        <f>IF($O1776="","",INDEX('Kế hoạch'!$AK$6:$AK$305,$O1776))</f>
      </c>
    </row>
    <row r="1777">
      <c r="A1777" s="223">
        <f>IF($C1777="","",COUNTIF($C$6:$C1777,"?*"))</f>
      </c>
      <c r="B1777" s="217"/>
      <c r="C1777" s="216"/>
      <c r="D1777" s="240"/>
      <c r="E1777" s="218"/>
      <c r="F1777" s="218"/>
      <c r="G1777" s="218"/>
      <c r="H1777" s="219"/>
      <c r="I1777" s="223">
        <f>IF($C1777="","",IF(ISNUMBER(MATCH($C1777,'Phản ánh'!$A$6:$A$505,0)),"Phản ánh",IF(ISNUMBER(MATCH($C1777,'Kế hoạch'!$A$6:$A$305,0)),"Công việc","Mã chưa có")))</f>
      </c>
      <c r="J1777" s="221">
        <f>IF($I1777="Phản ánh",INDEX('Phản ánh'!$C$6:$C$505,MATCH($C1777,'Phản ánh'!$A$6:$A$505,0)),IF($I1777="Công việc",INDEX('Kế hoạch'!$C$6:$C$305,$O1777),""))</f>
      </c>
      <c r="K1777" s="221">
        <f>IF($I1777="Phản ánh",INDEX('Phản ánh'!$K$6:$K$505,MATCH($C1777,'Phản ánh'!$A$6:$A$505,0))&amp;"",IF($I1777="Công việc",INDEX('Kế hoạch'!$N$6:$N$305,$O1777)&amp;"",""))</f>
      </c>
      <c r="L1777" s="220">
        <f>IF(OR($C1777="",N($B1777)=0),"",IF(AND($I1777="Phản ánh",$E1777="Đã xử lý"),INDEX('Phản ánh'!$U$6:$U$505,MATCH($C1777,'Phản ánh'!$A$6:$A$505,0)),IF(AND($I1777="Công việc",OR($E1777="Hoàn thành",$E1777="Hoàn thành kỳ")),IF(INDEX('Kế hoạch'!$B$6:$B$305,$O1777)="Đột xuất",INDEX('Kế hoạch'!$AY$6:$AY$305,$O1777),IF(N($P1777)=0,"",IF(INT($B1777)&lt;$P1777,$P1777,IF($Q1777&gt;0,$P1777+ROUND((INT($B1777)-$P1777)/$Q1777,0)*$Q1777,IF($R1777&gt;0,EDATE($P1777,ROUND((DATEDIF($P1777,INT($B1777),"m")+(INT($B1777)-EDATE($P1777,DATEDIF($P1777,INT($B1777),"m")))/(EDATE($P1777,DATEDIF($P1777,INT($B1777),"m")+1)-EDATE($P1777,DATEDIF($P1777,INT($B1777),"m"))))/$R1777,0)*$R1777),$P1777))))),"")))</f>
      </c>
      <c r="M1777" s="223">
        <f>IF(OR($C1777="",N($L1777)=0,N($B1777)=0),"",IF(IF(MOD($L1777,1)=0,INT($B1777),$B1777)&lt;=$L1777,"Đúng hạn","Trễ hạn"))</f>
      </c>
      <c r="N1777" s="225">
        <f>IF($C1777="","",ROW())</f>
      </c>
      <c r="O1777" s="225">
        <f>IF($I1777="Công việc",MATCH($C1777,'Kế hoạch'!$A$6:$A$305,0),"")</f>
      </c>
      <c r="P1777" s="234">
        <f>IF($O1777="","",INDEX('Kế hoạch'!$I$6:$I$305,$O1777))</f>
      </c>
      <c r="Q1777" s="225">
        <f>IF($O1777="","",INDEX('Kế hoạch'!$AJ$6:$AJ$305,$O1777))</f>
      </c>
      <c r="R1777" s="225">
        <f>IF($O1777="","",INDEX('Kế hoạch'!$AK$6:$AK$305,$O1777))</f>
      </c>
    </row>
    <row r="1778">
      <c r="A1778" s="223">
        <f>IF($C1778="","",COUNTIF($C$6:$C1778,"?*"))</f>
      </c>
      <c r="B1778" s="217"/>
      <c r="C1778" s="216"/>
      <c r="D1778" s="240"/>
      <c r="E1778" s="218"/>
      <c r="F1778" s="218"/>
      <c r="G1778" s="218"/>
      <c r="H1778" s="219"/>
      <c r="I1778" s="223">
        <f>IF($C1778="","",IF(ISNUMBER(MATCH($C1778,'Phản ánh'!$A$6:$A$505,0)),"Phản ánh",IF(ISNUMBER(MATCH($C1778,'Kế hoạch'!$A$6:$A$305,0)),"Công việc","Mã chưa có")))</f>
      </c>
      <c r="J1778" s="221">
        <f>IF($I1778="Phản ánh",INDEX('Phản ánh'!$C$6:$C$505,MATCH($C1778,'Phản ánh'!$A$6:$A$505,0)),IF($I1778="Công việc",INDEX('Kế hoạch'!$C$6:$C$305,$O1778),""))</f>
      </c>
      <c r="K1778" s="221">
        <f>IF($I1778="Phản ánh",INDEX('Phản ánh'!$K$6:$K$505,MATCH($C1778,'Phản ánh'!$A$6:$A$505,0))&amp;"",IF($I1778="Công việc",INDEX('Kế hoạch'!$N$6:$N$305,$O1778)&amp;"",""))</f>
      </c>
      <c r="L1778" s="220">
        <f>IF(OR($C1778="",N($B1778)=0),"",IF(AND($I1778="Phản ánh",$E1778="Đã xử lý"),INDEX('Phản ánh'!$U$6:$U$505,MATCH($C1778,'Phản ánh'!$A$6:$A$505,0)),IF(AND($I1778="Công việc",OR($E1778="Hoàn thành",$E1778="Hoàn thành kỳ")),IF(INDEX('Kế hoạch'!$B$6:$B$305,$O1778)="Đột xuất",INDEX('Kế hoạch'!$AY$6:$AY$305,$O1778),IF(N($P1778)=0,"",IF(INT($B1778)&lt;$P1778,$P1778,IF($Q1778&gt;0,$P1778+ROUND((INT($B1778)-$P1778)/$Q1778,0)*$Q1778,IF($R1778&gt;0,EDATE($P1778,ROUND((DATEDIF($P1778,INT($B1778),"m")+(INT($B1778)-EDATE($P1778,DATEDIF($P1778,INT($B1778),"m")))/(EDATE($P1778,DATEDIF($P1778,INT($B1778),"m")+1)-EDATE($P1778,DATEDIF($P1778,INT($B1778),"m"))))/$R1778,0)*$R1778),$P1778))))),"")))</f>
      </c>
      <c r="M1778" s="223">
        <f>IF(OR($C1778="",N($L1778)=0,N($B1778)=0),"",IF(IF(MOD($L1778,1)=0,INT($B1778),$B1778)&lt;=$L1778,"Đúng hạn","Trễ hạn"))</f>
      </c>
      <c r="N1778" s="225">
        <f>IF($C1778="","",ROW())</f>
      </c>
      <c r="O1778" s="225">
        <f>IF($I1778="Công việc",MATCH($C1778,'Kế hoạch'!$A$6:$A$305,0),"")</f>
      </c>
      <c r="P1778" s="234">
        <f>IF($O1778="","",INDEX('Kế hoạch'!$I$6:$I$305,$O1778))</f>
      </c>
      <c r="Q1778" s="225">
        <f>IF($O1778="","",INDEX('Kế hoạch'!$AJ$6:$AJ$305,$O1778))</f>
      </c>
      <c r="R1778" s="225">
        <f>IF($O1778="","",INDEX('Kế hoạch'!$AK$6:$AK$305,$O1778))</f>
      </c>
    </row>
    <row r="1779">
      <c r="A1779" s="223">
        <f>IF($C1779="","",COUNTIF($C$6:$C1779,"?*"))</f>
      </c>
      <c r="B1779" s="217"/>
      <c r="C1779" s="216"/>
      <c r="D1779" s="240"/>
      <c r="E1779" s="218"/>
      <c r="F1779" s="218"/>
      <c r="G1779" s="218"/>
      <c r="H1779" s="219"/>
      <c r="I1779" s="223">
        <f>IF($C1779="","",IF(ISNUMBER(MATCH($C1779,'Phản ánh'!$A$6:$A$505,0)),"Phản ánh",IF(ISNUMBER(MATCH($C1779,'Kế hoạch'!$A$6:$A$305,0)),"Công việc","Mã chưa có")))</f>
      </c>
      <c r="J1779" s="221">
        <f>IF($I1779="Phản ánh",INDEX('Phản ánh'!$C$6:$C$505,MATCH($C1779,'Phản ánh'!$A$6:$A$505,0)),IF($I1779="Công việc",INDEX('Kế hoạch'!$C$6:$C$305,$O1779),""))</f>
      </c>
      <c r="K1779" s="221">
        <f>IF($I1779="Phản ánh",INDEX('Phản ánh'!$K$6:$K$505,MATCH($C1779,'Phản ánh'!$A$6:$A$505,0))&amp;"",IF($I1779="Công việc",INDEX('Kế hoạch'!$N$6:$N$305,$O1779)&amp;"",""))</f>
      </c>
      <c r="L1779" s="220">
        <f>IF(OR($C1779="",N($B1779)=0),"",IF(AND($I1779="Phản ánh",$E1779="Đã xử lý"),INDEX('Phản ánh'!$U$6:$U$505,MATCH($C1779,'Phản ánh'!$A$6:$A$505,0)),IF(AND($I1779="Công việc",OR($E1779="Hoàn thành",$E1779="Hoàn thành kỳ")),IF(INDEX('Kế hoạch'!$B$6:$B$305,$O1779)="Đột xuất",INDEX('Kế hoạch'!$AY$6:$AY$305,$O1779),IF(N($P1779)=0,"",IF(INT($B1779)&lt;$P1779,$P1779,IF($Q1779&gt;0,$P1779+ROUND((INT($B1779)-$P1779)/$Q1779,0)*$Q1779,IF($R1779&gt;0,EDATE($P1779,ROUND((DATEDIF($P1779,INT($B1779),"m")+(INT($B1779)-EDATE($P1779,DATEDIF($P1779,INT($B1779),"m")))/(EDATE($P1779,DATEDIF($P1779,INT($B1779),"m")+1)-EDATE($P1779,DATEDIF($P1779,INT($B1779),"m"))))/$R1779,0)*$R1779),$P1779))))),"")))</f>
      </c>
      <c r="M1779" s="223">
        <f>IF(OR($C1779="",N($L1779)=0,N($B1779)=0),"",IF(IF(MOD($L1779,1)=0,INT($B1779),$B1779)&lt;=$L1779,"Đúng hạn","Trễ hạn"))</f>
      </c>
      <c r="N1779" s="225">
        <f>IF($C1779="","",ROW())</f>
      </c>
      <c r="O1779" s="225">
        <f>IF($I1779="Công việc",MATCH($C1779,'Kế hoạch'!$A$6:$A$305,0),"")</f>
      </c>
      <c r="P1779" s="234">
        <f>IF($O1779="","",INDEX('Kế hoạch'!$I$6:$I$305,$O1779))</f>
      </c>
      <c r="Q1779" s="225">
        <f>IF($O1779="","",INDEX('Kế hoạch'!$AJ$6:$AJ$305,$O1779))</f>
      </c>
      <c r="R1779" s="225">
        <f>IF($O1779="","",INDEX('Kế hoạch'!$AK$6:$AK$305,$O1779))</f>
      </c>
    </row>
    <row r="1780">
      <c r="A1780" s="223">
        <f>IF($C1780="","",COUNTIF($C$6:$C1780,"?*"))</f>
      </c>
      <c r="B1780" s="217"/>
      <c r="C1780" s="216"/>
      <c r="D1780" s="240"/>
      <c r="E1780" s="218"/>
      <c r="F1780" s="218"/>
      <c r="G1780" s="218"/>
      <c r="H1780" s="219"/>
      <c r="I1780" s="223">
        <f>IF($C1780="","",IF(ISNUMBER(MATCH($C1780,'Phản ánh'!$A$6:$A$505,0)),"Phản ánh",IF(ISNUMBER(MATCH($C1780,'Kế hoạch'!$A$6:$A$305,0)),"Công việc","Mã chưa có")))</f>
      </c>
      <c r="J1780" s="221">
        <f>IF($I1780="Phản ánh",INDEX('Phản ánh'!$C$6:$C$505,MATCH($C1780,'Phản ánh'!$A$6:$A$505,0)),IF($I1780="Công việc",INDEX('Kế hoạch'!$C$6:$C$305,$O1780),""))</f>
      </c>
      <c r="K1780" s="221">
        <f>IF($I1780="Phản ánh",INDEX('Phản ánh'!$K$6:$K$505,MATCH($C1780,'Phản ánh'!$A$6:$A$505,0))&amp;"",IF($I1780="Công việc",INDEX('Kế hoạch'!$N$6:$N$305,$O1780)&amp;"",""))</f>
      </c>
      <c r="L1780" s="220">
        <f>IF(OR($C1780="",N($B1780)=0),"",IF(AND($I1780="Phản ánh",$E1780="Đã xử lý"),INDEX('Phản ánh'!$U$6:$U$505,MATCH($C1780,'Phản ánh'!$A$6:$A$505,0)),IF(AND($I1780="Công việc",OR($E1780="Hoàn thành",$E1780="Hoàn thành kỳ")),IF(INDEX('Kế hoạch'!$B$6:$B$305,$O1780)="Đột xuất",INDEX('Kế hoạch'!$AY$6:$AY$305,$O1780),IF(N($P1780)=0,"",IF(INT($B1780)&lt;$P1780,$P1780,IF($Q1780&gt;0,$P1780+ROUND((INT($B1780)-$P1780)/$Q1780,0)*$Q1780,IF($R1780&gt;0,EDATE($P1780,ROUND((DATEDIF($P1780,INT($B1780),"m")+(INT($B1780)-EDATE($P1780,DATEDIF($P1780,INT($B1780),"m")))/(EDATE($P1780,DATEDIF($P1780,INT($B1780),"m")+1)-EDATE($P1780,DATEDIF($P1780,INT($B1780),"m"))))/$R1780,0)*$R1780),$P1780))))),"")))</f>
      </c>
      <c r="M1780" s="223">
        <f>IF(OR($C1780="",N($L1780)=0,N($B1780)=0),"",IF(IF(MOD($L1780,1)=0,INT($B1780),$B1780)&lt;=$L1780,"Đúng hạn","Trễ hạn"))</f>
      </c>
      <c r="N1780" s="225">
        <f>IF($C1780="","",ROW())</f>
      </c>
      <c r="O1780" s="225">
        <f>IF($I1780="Công việc",MATCH($C1780,'Kế hoạch'!$A$6:$A$305,0),"")</f>
      </c>
      <c r="P1780" s="234">
        <f>IF($O1780="","",INDEX('Kế hoạch'!$I$6:$I$305,$O1780))</f>
      </c>
      <c r="Q1780" s="225">
        <f>IF($O1780="","",INDEX('Kế hoạch'!$AJ$6:$AJ$305,$O1780))</f>
      </c>
      <c r="R1780" s="225">
        <f>IF($O1780="","",INDEX('Kế hoạch'!$AK$6:$AK$305,$O1780))</f>
      </c>
    </row>
    <row r="1781">
      <c r="A1781" s="223">
        <f>IF($C1781="","",COUNTIF($C$6:$C1781,"?*"))</f>
      </c>
      <c r="B1781" s="217"/>
      <c r="C1781" s="216"/>
      <c r="D1781" s="240"/>
      <c r="E1781" s="218"/>
      <c r="F1781" s="218"/>
      <c r="G1781" s="218"/>
      <c r="H1781" s="219"/>
      <c r="I1781" s="223">
        <f>IF($C1781="","",IF(ISNUMBER(MATCH($C1781,'Phản ánh'!$A$6:$A$505,0)),"Phản ánh",IF(ISNUMBER(MATCH($C1781,'Kế hoạch'!$A$6:$A$305,0)),"Công việc","Mã chưa có")))</f>
      </c>
      <c r="J1781" s="221">
        <f>IF($I1781="Phản ánh",INDEX('Phản ánh'!$C$6:$C$505,MATCH($C1781,'Phản ánh'!$A$6:$A$505,0)),IF($I1781="Công việc",INDEX('Kế hoạch'!$C$6:$C$305,$O1781),""))</f>
      </c>
      <c r="K1781" s="221">
        <f>IF($I1781="Phản ánh",INDEX('Phản ánh'!$K$6:$K$505,MATCH($C1781,'Phản ánh'!$A$6:$A$505,0))&amp;"",IF($I1781="Công việc",INDEX('Kế hoạch'!$N$6:$N$305,$O1781)&amp;"",""))</f>
      </c>
      <c r="L1781" s="220">
        <f>IF(OR($C1781="",N($B1781)=0),"",IF(AND($I1781="Phản ánh",$E1781="Đã xử lý"),INDEX('Phản ánh'!$U$6:$U$505,MATCH($C1781,'Phản ánh'!$A$6:$A$505,0)),IF(AND($I1781="Công việc",OR($E1781="Hoàn thành",$E1781="Hoàn thành kỳ")),IF(INDEX('Kế hoạch'!$B$6:$B$305,$O1781)="Đột xuất",INDEX('Kế hoạch'!$AY$6:$AY$305,$O1781),IF(N($P1781)=0,"",IF(INT($B1781)&lt;$P1781,$P1781,IF($Q1781&gt;0,$P1781+ROUND((INT($B1781)-$P1781)/$Q1781,0)*$Q1781,IF($R1781&gt;0,EDATE($P1781,ROUND((DATEDIF($P1781,INT($B1781),"m")+(INT($B1781)-EDATE($P1781,DATEDIF($P1781,INT($B1781),"m")))/(EDATE($P1781,DATEDIF($P1781,INT($B1781),"m")+1)-EDATE($P1781,DATEDIF($P1781,INT($B1781),"m"))))/$R1781,0)*$R1781),$P1781))))),"")))</f>
      </c>
      <c r="M1781" s="223">
        <f>IF(OR($C1781="",N($L1781)=0,N($B1781)=0),"",IF(IF(MOD($L1781,1)=0,INT($B1781),$B1781)&lt;=$L1781,"Đúng hạn","Trễ hạn"))</f>
      </c>
      <c r="N1781" s="225">
        <f>IF($C1781="","",ROW())</f>
      </c>
      <c r="O1781" s="225">
        <f>IF($I1781="Công việc",MATCH($C1781,'Kế hoạch'!$A$6:$A$305,0),"")</f>
      </c>
      <c r="P1781" s="234">
        <f>IF($O1781="","",INDEX('Kế hoạch'!$I$6:$I$305,$O1781))</f>
      </c>
      <c r="Q1781" s="225">
        <f>IF($O1781="","",INDEX('Kế hoạch'!$AJ$6:$AJ$305,$O1781))</f>
      </c>
      <c r="R1781" s="225">
        <f>IF($O1781="","",INDEX('Kế hoạch'!$AK$6:$AK$305,$O1781))</f>
      </c>
    </row>
    <row r="1782">
      <c r="A1782" s="223">
        <f>IF($C1782="","",COUNTIF($C$6:$C1782,"?*"))</f>
      </c>
      <c r="B1782" s="217"/>
      <c r="C1782" s="216"/>
      <c r="D1782" s="240"/>
      <c r="E1782" s="218"/>
      <c r="F1782" s="218"/>
      <c r="G1782" s="218"/>
      <c r="H1782" s="219"/>
      <c r="I1782" s="223">
        <f>IF($C1782="","",IF(ISNUMBER(MATCH($C1782,'Phản ánh'!$A$6:$A$505,0)),"Phản ánh",IF(ISNUMBER(MATCH($C1782,'Kế hoạch'!$A$6:$A$305,0)),"Công việc","Mã chưa có")))</f>
      </c>
      <c r="J1782" s="221">
        <f>IF($I1782="Phản ánh",INDEX('Phản ánh'!$C$6:$C$505,MATCH($C1782,'Phản ánh'!$A$6:$A$505,0)),IF($I1782="Công việc",INDEX('Kế hoạch'!$C$6:$C$305,$O1782),""))</f>
      </c>
      <c r="K1782" s="221">
        <f>IF($I1782="Phản ánh",INDEX('Phản ánh'!$K$6:$K$505,MATCH($C1782,'Phản ánh'!$A$6:$A$505,0))&amp;"",IF($I1782="Công việc",INDEX('Kế hoạch'!$N$6:$N$305,$O1782)&amp;"",""))</f>
      </c>
      <c r="L1782" s="220">
        <f>IF(OR($C1782="",N($B1782)=0),"",IF(AND($I1782="Phản ánh",$E1782="Đã xử lý"),INDEX('Phản ánh'!$U$6:$U$505,MATCH($C1782,'Phản ánh'!$A$6:$A$505,0)),IF(AND($I1782="Công việc",OR($E1782="Hoàn thành",$E1782="Hoàn thành kỳ")),IF(INDEX('Kế hoạch'!$B$6:$B$305,$O1782)="Đột xuất",INDEX('Kế hoạch'!$AY$6:$AY$305,$O1782),IF(N($P1782)=0,"",IF(INT($B1782)&lt;$P1782,$P1782,IF($Q1782&gt;0,$P1782+ROUND((INT($B1782)-$P1782)/$Q1782,0)*$Q1782,IF($R1782&gt;0,EDATE($P1782,ROUND((DATEDIF($P1782,INT($B1782),"m")+(INT($B1782)-EDATE($P1782,DATEDIF($P1782,INT($B1782),"m")))/(EDATE($P1782,DATEDIF($P1782,INT($B1782),"m")+1)-EDATE($P1782,DATEDIF($P1782,INT($B1782),"m"))))/$R1782,0)*$R1782),$P1782))))),"")))</f>
      </c>
      <c r="M1782" s="223">
        <f>IF(OR($C1782="",N($L1782)=0,N($B1782)=0),"",IF(IF(MOD($L1782,1)=0,INT($B1782),$B1782)&lt;=$L1782,"Đúng hạn","Trễ hạn"))</f>
      </c>
      <c r="N1782" s="225">
        <f>IF($C1782="","",ROW())</f>
      </c>
      <c r="O1782" s="225">
        <f>IF($I1782="Công việc",MATCH($C1782,'Kế hoạch'!$A$6:$A$305,0),"")</f>
      </c>
      <c r="P1782" s="234">
        <f>IF($O1782="","",INDEX('Kế hoạch'!$I$6:$I$305,$O1782))</f>
      </c>
      <c r="Q1782" s="225">
        <f>IF($O1782="","",INDEX('Kế hoạch'!$AJ$6:$AJ$305,$O1782))</f>
      </c>
      <c r="R1782" s="225">
        <f>IF($O1782="","",INDEX('Kế hoạch'!$AK$6:$AK$305,$O1782))</f>
      </c>
    </row>
    <row r="1783">
      <c r="A1783" s="223">
        <f>IF($C1783="","",COUNTIF($C$6:$C1783,"?*"))</f>
      </c>
      <c r="B1783" s="217"/>
      <c r="C1783" s="216"/>
      <c r="D1783" s="240"/>
      <c r="E1783" s="218"/>
      <c r="F1783" s="218"/>
      <c r="G1783" s="218"/>
      <c r="H1783" s="219"/>
      <c r="I1783" s="223">
        <f>IF($C1783="","",IF(ISNUMBER(MATCH($C1783,'Phản ánh'!$A$6:$A$505,0)),"Phản ánh",IF(ISNUMBER(MATCH($C1783,'Kế hoạch'!$A$6:$A$305,0)),"Công việc","Mã chưa có")))</f>
      </c>
      <c r="J1783" s="221">
        <f>IF($I1783="Phản ánh",INDEX('Phản ánh'!$C$6:$C$505,MATCH($C1783,'Phản ánh'!$A$6:$A$505,0)),IF($I1783="Công việc",INDEX('Kế hoạch'!$C$6:$C$305,$O1783),""))</f>
      </c>
      <c r="K1783" s="221">
        <f>IF($I1783="Phản ánh",INDEX('Phản ánh'!$K$6:$K$505,MATCH($C1783,'Phản ánh'!$A$6:$A$505,0))&amp;"",IF($I1783="Công việc",INDEX('Kế hoạch'!$N$6:$N$305,$O1783)&amp;"",""))</f>
      </c>
      <c r="L1783" s="220">
        <f>IF(OR($C1783="",N($B1783)=0),"",IF(AND($I1783="Phản ánh",$E1783="Đã xử lý"),INDEX('Phản ánh'!$U$6:$U$505,MATCH($C1783,'Phản ánh'!$A$6:$A$505,0)),IF(AND($I1783="Công việc",OR($E1783="Hoàn thành",$E1783="Hoàn thành kỳ")),IF(INDEX('Kế hoạch'!$B$6:$B$305,$O1783)="Đột xuất",INDEX('Kế hoạch'!$AY$6:$AY$305,$O1783),IF(N($P1783)=0,"",IF(INT($B1783)&lt;$P1783,$P1783,IF($Q1783&gt;0,$P1783+ROUND((INT($B1783)-$P1783)/$Q1783,0)*$Q1783,IF($R1783&gt;0,EDATE($P1783,ROUND((DATEDIF($P1783,INT($B1783),"m")+(INT($B1783)-EDATE($P1783,DATEDIF($P1783,INT($B1783),"m")))/(EDATE($P1783,DATEDIF($P1783,INT($B1783),"m")+1)-EDATE($P1783,DATEDIF($P1783,INT($B1783),"m"))))/$R1783,0)*$R1783),$P1783))))),"")))</f>
      </c>
      <c r="M1783" s="223">
        <f>IF(OR($C1783="",N($L1783)=0,N($B1783)=0),"",IF(IF(MOD($L1783,1)=0,INT($B1783),$B1783)&lt;=$L1783,"Đúng hạn","Trễ hạn"))</f>
      </c>
      <c r="N1783" s="225">
        <f>IF($C1783="","",ROW())</f>
      </c>
      <c r="O1783" s="225">
        <f>IF($I1783="Công việc",MATCH($C1783,'Kế hoạch'!$A$6:$A$305,0),"")</f>
      </c>
      <c r="P1783" s="234">
        <f>IF($O1783="","",INDEX('Kế hoạch'!$I$6:$I$305,$O1783))</f>
      </c>
      <c r="Q1783" s="225">
        <f>IF($O1783="","",INDEX('Kế hoạch'!$AJ$6:$AJ$305,$O1783))</f>
      </c>
      <c r="R1783" s="225">
        <f>IF($O1783="","",INDEX('Kế hoạch'!$AK$6:$AK$305,$O1783))</f>
      </c>
    </row>
    <row r="1784">
      <c r="A1784" s="223">
        <f>IF($C1784="","",COUNTIF($C$6:$C1784,"?*"))</f>
      </c>
      <c r="B1784" s="217"/>
      <c r="C1784" s="216"/>
      <c r="D1784" s="240"/>
      <c r="E1784" s="218"/>
      <c r="F1784" s="218"/>
      <c r="G1784" s="218"/>
      <c r="H1784" s="219"/>
      <c r="I1784" s="223">
        <f>IF($C1784="","",IF(ISNUMBER(MATCH($C1784,'Phản ánh'!$A$6:$A$505,0)),"Phản ánh",IF(ISNUMBER(MATCH($C1784,'Kế hoạch'!$A$6:$A$305,0)),"Công việc","Mã chưa có")))</f>
      </c>
      <c r="J1784" s="221">
        <f>IF($I1784="Phản ánh",INDEX('Phản ánh'!$C$6:$C$505,MATCH($C1784,'Phản ánh'!$A$6:$A$505,0)),IF($I1784="Công việc",INDEX('Kế hoạch'!$C$6:$C$305,$O1784),""))</f>
      </c>
      <c r="K1784" s="221">
        <f>IF($I1784="Phản ánh",INDEX('Phản ánh'!$K$6:$K$505,MATCH($C1784,'Phản ánh'!$A$6:$A$505,0))&amp;"",IF($I1784="Công việc",INDEX('Kế hoạch'!$N$6:$N$305,$O1784)&amp;"",""))</f>
      </c>
      <c r="L1784" s="220">
        <f>IF(OR($C1784="",N($B1784)=0),"",IF(AND($I1784="Phản ánh",$E1784="Đã xử lý"),INDEX('Phản ánh'!$U$6:$U$505,MATCH($C1784,'Phản ánh'!$A$6:$A$505,0)),IF(AND($I1784="Công việc",OR($E1784="Hoàn thành",$E1784="Hoàn thành kỳ")),IF(INDEX('Kế hoạch'!$B$6:$B$305,$O1784)="Đột xuất",INDEX('Kế hoạch'!$AY$6:$AY$305,$O1784),IF(N($P1784)=0,"",IF(INT($B1784)&lt;$P1784,$P1784,IF($Q1784&gt;0,$P1784+ROUND((INT($B1784)-$P1784)/$Q1784,0)*$Q1784,IF($R1784&gt;0,EDATE($P1784,ROUND((DATEDIF($P1784,INT($B1784),"m")+(INT($B1784)-EDATE($P1784,DATEDIF($P1784,INT($B1784),"m")))/(EDATE($P1784,DATEDIF($P1784,INT($B1784),"m")+1)-EDATE($P1784,DATEDIF($P1784,INT($B1784),"m"))))/$R1784,0)*$R1784),$P1784))))),"")))</f>
      </c>
      <c r="M1784" s="223">
        <f>IF(OR($C1784="",N($L1784)=0,N($B1784)=0),"",IF(IF(MOD($L1784,1)=0,INT($B1784),$B1784)&lt;=$L1784,"Đúng hạn","Trễ hạn"))</f>
      </c>
      <c r="N1784" s="225">
        <f>IF($C1784="","",ROW())</f>
      </c>
      <c r="O1784" s="225">
        <f>IF($I1784="Công việc",MATCH($C1784,'Kế hoạch'!$A$6:$A$305,0),"")</f>
      </c>
      <c r="P1784" s="234">
        <f>IF($O1784="","",INDEX('Kế hoạch'!$I$6:$I$305,$O1784))</f>
      </c>
      <c r="Q1784" s="225">
        <f>IF($O1784="","",INDEX('Kế hoạch'!$AJ$6:$AJ$305,$O1784))</f>
      </c>
      <c r="R1784" s="225">
        <f>IF($O1784="","",INDEX('Kế hoạch'!$AK$6:$AK$305,$O1784))</f>
      </c>
    </row>
    <row r="1785">
      <c r="A1785" s="223">
        <f>IF($C1785="","",COUNTIF($C$6:$C1785,"?*"))</f>
      </c>
      <c r="B1785" s="217"/>
      <c r="C1785" s="216"/>
      <c r="D1785" s="240"/>
      <c r="E1785" s="218"/>
      <c r="F1785" s="218"/>
      <c r="G1785" s="218"/>
      <c r="H1785" s="219"/>
      <c r="I1785" s="223">
        <f>IF($C1785="","",IF(ISNUMBER(MATCH($C1785,'Phản ánh'!$A$6:$A$505,0)),"Phản ánh",IF(ISNUMBER(MATCH($C1785,'Kế hoạch'!$A$6:$A$305,0)),"Công việc","Mã chưa có")))</f>
      </c>
      <c r="J1785" s="221">
        <f>IF($I1785="Phản ánh",INDEX('Phản ánh'!$C$6:$C$505,MATCH($C1785,'Phản ánh'!$A$6:$A$505,0)),IF($I1785="Công việc",INDEX('Kế hoạch'!$C$6:$C$305,$O1785),""))</f>
      </c>
      <c r="K1785" s="221">
        <f>IF($I1785="Phản ánh",INDEX('Phản ánh'!$K$6:$K$505,MATCH($C1785,'Phản ánh'!$A$6:$A$505,0))&amp;"",IF($I1785="Công việc",INDEX('Kế hoạch'!$N$6:$N$305,$O1785)&amp;"",""))</f>
      </c>
      <c r="L1785" s="220">
        <f>IF(OR($C1785="",N($B1785)=0),"",IF(AND($I1785="Phản ánh",$E1785="Đã xử lý"),INDEX('Phản ánh'!$U$6:$U$505,MATCH($C1785,'Phản ánh'!$A$6:$A$505,0)),IF(AND($I1785="Công việc",OR($E1785="Hoàn thành",$E1785="Hoàn thành kỳ")),IF(INDEX('Kế hoạch'!$B$6:$B$305,$O1785)="Đột xuất",INDEX('Kế hoạch'!$AY$6:$AY$305,$O1785),IF(N($P1785)=0,"",IF(INT($B1785)&lt;$P1785,$P1785,IF($Q1785&gt;0,$P1785+ROUND((INT($B1785)-$P1785)/$Q1785,0)*$Q1785,IF($R1785&gt;0,EDATE($P1785,ROUND((DATEDIF($P1785,INT($B1785),"m")+(INT($B1785)-EDATE($P1785,DATEDIF($P1785,INT($B1785),"m")))/(EDATE($P1785,DATEDIF($P1785,INT($B1785),"m")+1)-EDATE($P1785,DATEDIF($P1785,INT($B1785),"m"))))/$R1785,0)*$R1785),$P1785))))),"")))</f>
      </c>
      <c r="M1785" s="223">
        <f>IF(OR($C1785="",N($L1785)=0,N($B1785)=0),"",IF(IF(MOD($L1785,1)=0,INT($B1785),$B1785)&lt;=$L1785,"Đúng hạn","Trễ hạn"))</f>
      </c>
      <c r="N1785" s="225">
        <f>IF($C1785="","",ROW())</f>
      </c>
      <c r="O1785" s="225">
        <f>IF($I1785="Công việc",MATCH($C1785,'Kế hoạch'!$A$6:$A$305,0),"")</f>
      </c>
      <c r="P1785" s="234">
        <f>IF($O1785="","",INDEX('Kế hoạch'!$I$6:$I$305,$O1785))</f>
      </c>
      <c r="Q1785" s="225">
        <f>IF($O1785="","",INDEX('Kế hoạch'!$AJ$6:$AJ$305,$O1785))</f>
      </c>
      <c r="R1785" s="225">
        <f>IF($O1785="","",INDEX('Kế hoạch'!$AK$6:$AK$305,$O1785))</f>
      </c>
    </row>
    <row r="1786">
      <c r="A1786" s="223">
        <f>IF($C1786="","",COUNTIF($C$6:$C1786,"?*"))</f>
      </c>
      <c r="B1786" s="217"/>
      <c r="C1786" s="216"/>
      <c r="D1786" s="240"/>
      <c r="E1786" s="218"/>
      <c r="F1786" s="218"/>
      <c r="G1786" s="218"/>
      <c r="H1786" s="219"/>
      <c r="I1786" s="223">
        <f>IF($C1786="","",IF(ISNUMBER(MATCH($C1786,'Phản ánh'!$A$6:$A$505,0)),"Phản ánh",IF(ISNUMBER(MATCH($C1786,'Kế hoạch'!$A$6:$A$305,0)),"Công việc","Mã chưa có")))</f>
      </c>
      <c r="J1786" s="221">
        <f>IF($I1786="Phản ánh",INDEX('Phản ánh'!$C$6:$C$505,MATCH($C1786,'Phản ánh'!$A$6:$A$505,0)),IF($I1786="Công việc",INDEX('Kế hoạch'!$C$6:$C$305,$O1786),""))</f>
      </c>
      <c r="K1786" s="221">
        <f>IF($I1786="Phản ánh",INDEX('Phản ánh'!$K$6:$K$505,MATCH($C1786,'Phản ánh'!$A$6:$A$505,0))&amp;"",IF($I1786="Công việc",INDEX('Kế hoạch'!$N$6:$N$305,$O1786)&amp;"",""))</f>
      </c>
      <c r="L1786" s="220">
        <f>IF(OR($C1786="",N($B1786)=0),"",IF(AND($I1786="Phản ánh",$E1786="Đã xử lý"),INDEX('Phản ánh'!$U$6:$U$505,MATCH($C1786,'Phản ánh'!$A$6:$A$505,0)),IF(AND($I1786="Công việc",OR($E1786="Hoàn thành",$E1786="Hoàn thành kỳ")),IF(INDEX('Kế hoạch'!$B$6:$B$305,$O1786)="Đột xuất",INDEX('Kế hoạch'!$AY$6:$AY$305,$O1786),IF(N($P1786)=0,"",IF(INT($B1786)&lt;$P1786,$P1786,IF($Q1786&gt;0,$P1786+ROUND((INT($B1786)-$P1786)/$Q1786,0)*$Q1786,IF($R1786&gt;0,EDATE($P1786,ROUND((DATEDIF($P1786,INT($B1786),"m")+(INT($B1786)-EDATE($P1786,DATEDIF($P1786,INT($B1786),"m")))/(EDATE($P1786,DATEDIF($P1786,INT($B1786),"m")+1)-EDATE($P1786,DATEDIF($P1786,INT($B1786),"m"))))/$R1786,0)*$R1786),$P1786))))),"")))</f>
      </c>
      <c r="M1786" s="223">
        <f>IF(OR($C1786="",N($L1786)=0,N($B1786)=0),"",IF(IF(MOD($L1786,1)=0,INT($B1786),$B1786)&lt;=$L1786,"Đúng hạn","Trễ hạn"))</f>
      </c>
      <c r="N1786" s="225">
        <f>IF($C1786="","",ROW())</f>
      </c>
      <c r="O1786" s="225">
        <f>IF($I1786="Công việc",MATCH($C1786,'Kế hoạch'!$A$6:$A$305,0),"")</f>
      </c>
      <c r="P1786" s="234">
        <f>IF($O1786="","",INDEX('Kế hoạch'!$I$6:$I$305,$O1786))</f>
      </c>
      <c r="Q1786" s="225">
        <f>IF($O1786="","",INDEX('Kế hoạch'!$AJ$6:$AJ$305,$O1786))</f>
      </c>
      <c r="R1786" s="225">
        <f>IF($O1786="","",INDEX('Kế hoạch'!$AK$6:$AK$305,$O1786))</f>
      </c>
    </row>
    <row r="1787">
      <c r="A1787" s="223">
        <f>IF($C1787="","",COUNTIF($C$6:$C1787,"?*"))</f>
      </c>
      <c r="B1787" s="217"/>
      <c r="C1787" s="216"/>
      <c r="D1787" s="240"/>
      <c r="E1787" s="218"/>
      <c r="F1787" s="218"/>
      <c r="G1787" s="218"/>
      <c r="H1787" s="219"/>
      <c r="I1787" s="223">
        <f>IF($C1787="","",IF(ISNUMBER(MATCH($C1787,'Phản ánh'!$A$6:$A$505,0)),"Phản ánh",IF(ISNUMBER(MATCH($C1787,'Kế hoạch'!$A$6:$A$305,0)),"Công việc","Mã chưa có")))</f>
      </c>
      <c r="J1787" s="221">
        <f>IF($I1787="Phản ánh",INDEX('Phản ánh'!$C$6:$C$505,MATCH($C1787,'Phản ánh'!$A$6:$A$505,0)),IF($I1787="Công việc",INDEX('Kế hoạch'!$C$6:$C$305,$O1787),""))</f>
      </c>
      <c r="K1787" s="221">
        <f>IF($I1787="Phản ánh",INDEX('Phản ánh'!$K$6:$K$505,MATCH($C1787,'Phản ánh'!$A$6:$A$505,0))&amp;"",IF($I1787="Công việc",INDEX('Kế hoạch'!$N$6:$N$305,$O1787)&amp;"",""))</f>
      </c>
      <c r="L1787" s="220">
        <f>IF(OR($C1787="",N($B1787)=0),"",IF(AND($I1787="Phản ánh",$E1787="Đã xử lý"),INDEX('Phản ánh'!$U$6:$U$505,MATCH($C1787,'Phản ánh'!$A$6:$A$505,0)),IF(AND($I1787="Công việc",OR($E1787="Hoàn thành",$E1787="Hoàn thành kỳ")),IF(INDEX('Kế hoạch'!$B$6:$B$305,$O1787)="Đột xuất",INDEX('Kế hoạch'!$AY$6:$AY$305,$O1787),IF(N($P1787)=0,"",IF(INT($B1787)&lt;$P1787,$P1787,IF($Q1787&gt;0,$P1787+ROUND((INT($B1787)-$P1787)/$Q1787,0)*$Q1787,IF($R1787&gt;0,EDATE($P1787,ROUND((DATEDIF($P1787,INT($B1787),"m")+(INT($B1787)-EDATE($P1787,DATEDIF($P1787,INT($B1787),"m")))/(EDATE($P1787,DATEDIF($P1787,INT($B1787),"m")+1)-EDATE($P1787,DATEDIF($P1787,INT($B1787),"m"))))/$R1787,0)*$R1787),$P1787))))),"")))</f>
      </c>
      <c r="M1787" s="223">
        <f>IF(OR($C1787="",N($L1787)=0,N($B1787)=0),"",IF(IF(MOD($L1787,1)=0,INT($B1787),$B1787)&lt;=$L1787,"Đúng hạn","Trễ hạn"))</f>
      </c>
      <c r="N1787" s="225">
        <f>IF($C1787="","",ROW())</f>
      </c>
      <c r="O1787" s="225">
        <f>IF($I1787="Công việc",MATCH($C1787,'Kế hoạch'!$A$6:$A$305,0),"")</f>
      </c>
      <c r="P1787" s="234">
        <f>IF($O1787="","",INDEX('Kế hoạch'!$I$6:$I$305,$O1787))</f>
      </c>
      <c r="Q1787" s="225">
        <f>IF($O1787="","",INDEX('Kế hoạch'!$AJ$6:$AJ$305,$O1787))</f>
      </c>
      <c r="R1787" s="225">
        <f>IF($O1787="","",INDEX('Kế hoạch'!$AK$6:$AK$305,$O1787))</f>
      </c>
    </row>
    <row r="1788">
      <c r="A1788" s="223">
        <f>IF($C1788="","",COUNTIF($C$6:$C1788,"?*"))</f>
      </c>
      <c r="B1788" s="217"/>
      <c r="C1788" s="216"/>
      <c r="D1788" s="240"/>
      <c r="E1788" s="218"/>
      <c r="F1788" s="218"/>
      <c r="G1788" s="218"/>
      <c r="H1788" s="219"/>
      <c r="I1788" s="223">
        <f>IF($C1788="","",IF(ISNUMBER(MATCH($C1788,'Phản ánh'!$A$6:$A$505,0)),"Phản ánh",IF(ISNUMBER(MATCH($C1788,'Kế hoạch'!$A$6:$A$305,0)),"Công việc","Mã chưa có")))</f>
      </c>
      <c r="J1788" s="221">
        <f>IF($I1788="Phản ánh",INDEX('Phản ánh'!$C$6:$C$505,MATCH($C1788,'Phản ánh'!$A$6:$A$505,0)),IF($I1788="Công việc",INDEX('Kế hoạch'!$C$6:$C$305,$O1788),""))</f>
      </c>
      <c r="K1788" s="221">
        <f>IF($I1788="Phản ánh",INDEX('Phản ánh'!$K$6:$K$505,MATCH($C1788,'Phản ánh'!$A$6:$A$505,0))&amp;"",IF($I1788="Công việc",INDEX('Kế hoạch'!$N$6:$N$305,$O1788)&amp;"",""))</f>
      </c>
      <c r="L1788" s="220">
        <f>IF(OR($C1788="",N($B1788)=0),"",IF(AND($I1788="Phản ánh",$E1788="Đã xử lý"),INDEX('Phản ánh'!$U$6:$U$505,MATCH($C1788,'Phản ánh'!$A$6:$A$505,0)),IF(AND($I1788="Công việc",OR($E1788="Hoàn thành",$E1788="Hoàn thành kỳ")),IF(INDEX('Kế hoạch'!$B$6:$B$305,$O1788)="Đột xuất",INDEX('Kế hoạch'!$AY$6:$AY$305,$O1788),IF(N($P1788)=0,"",IF(INT($B1788)&lt;$P1788,$P1788,IF($Q1788&gt;0,$P1788+ROUND((INT($B1788)-$P1788)/$Q1788,0)*$Q1788,IF($R1788&gt;0,EDATE($P1788,ROUND((DATEDIF($P1788,INT($B1788),"m")+(INT($B1788)-EDATE($P1788,DATEDIF($P1788,INT($B1788),"m")))/(EDATE($P1788,DATEDIF($P1788,INT($B1788),"m")+1)-EDATE($P1788,DATEDIF($P1788,INT($B1788),"m"))))/$R1788,0)*$R1788),$P1788))))),"")))</f>
      </c>
      <c r="M1788" s="223">
        <f>IF(OR($C1788="",N($L1788)=0,N($B1788)=0),"",IF(IF(MOD($L1788,1)=0,INT($B1788),$B1788)&lt;=$L1788,"Đúng hạn","Trễ hạn"))</f>
      </c>
      <c r="N1788" s="225">
        <f>IF($C1788="","",ROW())</f>
      </c>
      <c r="O1788" s="225">
        <f>IF($I1788="Công việc",MATCH($C1788,'Kế hoạch'!$A$6:$A$305,0),"")</f>
      </c>
      <c r="P1788" s="234">
        <f>IF($O1788="","",INDEX('Kế hoạch'!$I$6:$I$305,$O1788))</f>
      </c>
      <c r="Q1788" s="225">
        <f>IF($O1788="","",INDEX('Kế hoạch'!$AJ$6:$AJ$305,$O1788))</f>
      </c>
      <c r="R1788" s="225">
        <f>IF($O1788="","",INDEX('Kế hoạch'!$AK$6:$AK$305,$O1788))</f>
      </c>
    </row>
    <row r="1789">
      <c r="A1789" s="223">
        <f>IF($C1789="","",COUNTIF($C$6:$C1789,"?*"))</f>
      </c>
      <c r="B1789" s="217"/>
      <c r="C1789" s="216"/>
      <c r="D1789" s="240"/>
      <c r="E1789" s="218"/>
      <c r="F1789" s="218"/>
      <c r="G1789" s="218"/>
      <c r="H1789" s="219"/>
      <c r="I1789" s="223">
        <f>IF($C1789="","",IF(ISNUMBER(MATCH($C1789,'Phản ánh'!$A$6:$A$505,0)),"Phản ánh",IF(ISNUMBER(MATCH($C1789,'Kế hoạch'!$A$6:$A$305,0)),"Công việc","Mã chưa có")))</f>
      </c>
      <c r="J1789" s="221">
        <f>IF($I1789="Phản ánh",INDEX('Phản ánh'!$C$6:$C$505,MATCH($C1789,'Phản ánh'!$A$6:$A$505,0)),IF($I1789="Công việc",INDEX('Kế hoạch'!$C$6:$C$305,$O1789),""))</f>
      </c>
      <c r="K1789" s="221">
        <f>IF($I1789="Phản ánh",INDEX('Phản ánh'!$K$6:$K$505,MATCH($C1789,'Phản ánh'!$A$6:$A$505,0))&amp;"",IF($I1789="Công việc",INDEX('Kế hoạch'!$N$6:$N$305,$O1789)&amp;"",""))</f>
      </c>
      <c r="L1789" s="220">
        <f>IF(OR($C1789="",N($B1789)=0),"",IF(AND($I1789="Phản ánh",$E1789="Đã xử lý"),INDEX('Phản ánh'!$U$6:$U$505,MATCH($C1789,'Phản ánh'!$A$6:$A$505,0)),IF(AND($I1789="Công việc",OR($E1789="Hoàn thành",$E1789="Hoàn thành kỳ")),IF(INDEX('Kế hoạch'!$B$6:$B$305,$O1789)="Đột xuất",INDEX('Kế hoạch'!$AY$6:$AY$305,$O1789),IF(N($P1789)=0,"",IF(INT($B1789)&lt;$P1789,$P1789,IF($Q1789&gt;0,$P1789+ROUND((INT($B1789)-$P1789)/$Q1789,0)*$Q1789,IF($R1789&gt;0,EDATE($P1789,ROUND((DATEDIF($P1789,INT($B1789),"m")+(INT($B1789)-EDATE($P1789,DATEDIF($P1789,INT($B1789),"m")))/(EDATE($P1789,DATEDIF($P1789,INT($B1789),"m")+1)-EDATE($P1789,DATEDIF($P1789,INT($B1789),"m"))))/$R1789,0)*$R1789),$P1789))))),"")))</f>
      </c>
      <c r="M1789" s="223">
        <f>IF(OR($C1789="",N($L1789)=0,N($B1789)=0),"",IF(IF(MOD($L1789,1)=0,INT($B1789),$B1789)&lt;=$L1789,"Đúng hạn","Trễ hạn"))</f>
      </c>
      <c r="N1789" s="225">
        <f>IF($C1789="","",ROW())</f>
      </c>
      <c r="O1789" s="225">
        <f>IF($I1789="Công việc",MATCH($C1789,'Kế hoạch'!$A$6:$A$305,0),"")</f>
      </c>
      <c r="P1789" s="234">
        <f>IF($O1789="","",INDEX('Kế hoạch'!$I$6:$I$305,$O1789))</f>
      </c>
      <c r="Q1789" s="225">
        <f>IF($O1789="","",INDEX('Kế hoạch'!$AJ$6:$AJ$305,$O1789))</f>
      </c>
      <c r="R1789" s="225">
        <f>IF($O1789="","",INDEX('Kế hoạch'!$AK$6:$AK$305,$O1789))</f>
      </c>
    </row>
    <row r="1790">
      <c r="A1790" s="223">
        <f>IF($C1790="","",COUNTIF($C$6:$C1790,"?*"))</f>
      </c>
      <c r="B1790" s="217"/>
      <c r="C1790" s="216"/>
      <c r="D1790" s="240"/>
      <c r="E1790" s="218"/>
      <c r="F1790" s="218"/>
      <c r="G1790" s="218"/>
      <c r="H1790" s="219"/>
      <c r="I1790" s="223">
        <f>IF($C1790="","",IF(ISNUMBER(MATCH($C1790,'Phản ánh'!$A$6:$A$505,0)),"Phản ánh",IF(ISNUMBER(MATCH($C1790,'Kế hoạch'!$A$6:$A$305,0)),"Công việc","Mã chưa có")))</f>
      </c>
      <c r="J1790" s="221">
        <f>IF($I1790="Phản ánh",INDEX('Phản ánh'!$C$6:$C$505,MATCH($C1790,'Phản ánh'!$A$6:$A$505,0)),IF($I1790="Công việc",INDEX('Kế hoạch'!$C$6:$C$305,$O1790),""))</f>
      </c>
      <c r="K1790" s="221">
        <f>IF($I1790="Phản ánh",INDEX('Phản ánh'!$K$6:$K$505,MATCH($C1790,'Phản ánh'!$A$6:$A$505,0))&amp;"",IF($I1790="Công việc",INDEX('Kế hoạch'!$N$6:$N$305,$O1790)&amp;"",""))</f>
      </c>
      <c r="L1790" s="220">
        <f>IF(OR($C1790="",N($B1790)=0),"",IF(AND($I1790="Phản ánh",$E1790="Đã xử lý"),INDEX('Phản ánh'!$U$6:$U$505,MATCH($C1790,'Phản ánh'!$A$6:$A$505,0)),IF(AND($I1790="Công việc",OR($E1790="Hoàn thành",$E1790="Hoàn thành kỳ")),IF(INDEX('Kế hoạch'!$B$6:$B$305,$O1790)="Đột xuất",INDEX('Kế hoạch'!$AY$6:$AY$305,$O1790),IF(N($P1790)=0,"",IF(INT($B1790)&lt;$P1790,$P1790,IF($Q1790&gt;0,$P1790+ROUND((INT($B1790)-$P1790)/$Q1790,0)*$Q1790,IF($R1790&gt;0,EDATE($P1790,ROUND((DATEDIF($P1790,INT($B1790),"m")+(INT($B1790)-EDATE($P1790,DATEDIF($P1790,INT($B1790),"m")))/(EDATE($P1790,DATEDIF($P1790,INT($B1790),"m")+1)-EDATE($P1790,DATEDIF($P1790,INT($B1790),"m"))))/$R1790,0)*$R1790),$P1790))))),"")))</f>
      </c>
      <c r="M1790" s="223">
        <f>IF(OR($C1790="",N($L1790)=0,N($B1790)=0),"",IF(IF(MOD($L1790,1)=0,INT($B1790),$B1790)&lt;=$L1790,"Đúng hạn","Trễ hạn"))</f>
      </c>
      <c r="N1790" s="225">
        <f>IF($C1790="","",ROW())</f>
      </c>
      <c r="O1790" s="225">
        <f>IF($I1790="Công việc",MATCH($C1790,'Kế hoạch'!$A$6:$A$305,0),"")</f>
      </c>
      <c r="P1790" s="234">
        <f>IF($O1790="","",INDEX('Kế hoạch'!$I$6:$I$305,$O1790))</f>
      </c>
      <c r="Q1790" s="225">
        <f>IF($O1790="","",INDEX('Kế hoạch'!$AJ$6:$AJ$305,$O1790))</f>
      </c>
      <c r="R1790" s="225">
        <f>IF($O1790="","",INDEX('Kế hoạch'!$AK$6:$AK$305,$O1790))</f>
      </c>
    </row>
    <row r="1791">
      <c r="A1791" s="223">
        <f>IF($C1791="","",COUNTIF($C$6:$C1791,"?*"))</f>
      </c>
      <c r="B1791" s="217"/>
      <c r="C1791" s="216"/>
      <c r="D1791" s="240"/>
      <c r="E1791" s="218"/>
      <c r="F1791" s="218"/>
      <c r="G1791" s="218"/>
      <c r="H1791" s="219"/>
      <c r="I1791" s="223">
        <f>IF($C1791="","",IF(ISNUMBER(MATCH($C1791,'Phản ánh'!$A$6:$A$505,0)),"Phản ánh",IF(ISNUMBER(MATCH($C1791,'Kế hoạch'!$A$6:$A$305,0)),"Công việc","Mã chưa có")))</f>
      </c>
      <c r="J1791" s="221">
        <f>IF($I1791="Phản ánh",INDEX('Phản ánh'!$C$6:$C$505,MATCH($C1791,'Phản ánh'!$A$6:$A$505,0)),IF($I1791="Công việc",INDEX('Kế hoạch'!$C$6:$C$305,$O1791),""))</f>
      </c>
      <c r="K1791" s="221">
        <f>IF($I1791="Phản ánh",INDEX('Phản ánh'!$K$6:$K$505,MATCH($C1791,'Phản ánh'!$A$6:$A$505,0))&amp;"",IF($I1791="Công việc",INDEX('Kế hoạch'!$N$6:$N$305,$O1791)&amp;"",""))</f>
      </c>
      <c r="L1791" s="220">
        <f>IF(OR($C1791="",N($B1791)=0),"",IF(AND($I1791="Phản ánh",$E1791="Đã xử lý"),INDEX('Phản ánh'!$U$6:$U$505,MATCH($C1791,'Phản ánh'!$A$6:$A$505,0)),IF(AND($I1791="Công việc",OR($E1791="Hoàn thành",$E1791="Hoàn thành kỳ")),IF(INDEX('Kế hoạch'!$B$6:$B$305,$O1791)="Đột xuất",INDEX('Kế hoạch'!$AY$6:$AY$305,$O1791),IF(N($P1791)=0,"",IF(INT($B1791)&lt;$P1791,$P1791,IF($Q1791&gt;0,$P1791+ROUND((INT($B1791)-$P1791)/$Q1791,0)*$Q1791,IF($R1791&gt;0,EDATE($P1791,ROUND((DATEDIF($P1791,INT($B1791),"m")+(INT($B1791)-EDATE($P1791,DATEDIF($P1791,INT($B1791),"m")))/(EDATE($P1791,DATEDIF($P1791,INT($B1791),"m")+1)-EDATE($P1791,DATEDIF($P1791,INT($B1791),"m"))))/$R1791,0)*$R1791),$P1791))))),"")))</f>
      </c>
      <c r="M1791" s="223">
        <f>IF(OR($C1791="",N($L1791)=0,N($B1791)=0),"",IF(IF(MOD($L1791,1)=0,INT($B1791),$B1791)&lt;=$L1791,"Đúng hạn","Trễ hạn"))</f>
      </c>
      <c r="N1791" s="225">
        <f>IF($C1791="","",ROW())</f>
      </c>
      <c r="O1791" s="225">
        <f>IF($I1791="Công việc",MATCH($C1791,'Kế hoạch'!$A$6:$A$305,0),"")</f>
      </c>
      <c r="P1791" s="234">
        <f>IF($O1791="","",INDEX('Kế hoạch'!$I$6:$I$305,$O1791))</f>
      </c>
      <c r="Q1791" s="225">
        <f>IF($O1791="","",INDEX('Kế hoạch'!$AJ$6:$AJ$305,$O1791))</f>
      </c>
      <c r="R1791" s="225">
        <f>IF($O1791="","",INDEX('Kế hoạch'!$AK$6:$AK$305,$O1791))</f>
      </c>
    </row>
    <row r="1792">
      <c r="A1792" s="223">
        <f>IF($C1792="","",COUNTIF($C$6:$C1792,"?*"))</f>
      </c>
      <c r="B1792" s="217"/>
      <c r="C1792" s="216"/>
      <c r="D1792" s="240"/>
      <c r="E1792" s="218"/>
      <c r="F1792" s="218"/>
      <c r="G1792" s="218"/>
      <c r="H1792" s="219"/>
      <c r="I1792" s="223">
        <f>IF($C1792="","",IF(ISNUMBER(MATCH($C1792,'Phản ánh'!$A$6:$A$505,0)),"Phản ánh",IF(ISNUMBER(MATCH($C1792,'Kế hoạch'!$A$6:$A$305,0)),"Công việc","Mã chưa có")))</f>
      </c>
      <c r="J1792" s="221">
        <f>IF($I1792="Phản ánh",INDEX('Phản ánh'!$C$6:$C$505,MATCH($C1792,'Phản ánh'!$A$6:$A$505,0)),IF($I1792="Công việc",INDEX('Kế hoạch'!$C$6:$C$305,$O1792),""))</f>
      </c>
      <c r="K1792" s="221">
        <f>IF($I1792="Phản ánh",INDEX('Phản ánh'!$K$6:$K$505,MATCH($C1792,'Phản ánh'!$A$6:$A$505,0))&amp;"",IF($I1792="Công việc",INDEX('Kế hoạch'!$N$6:$N$305,$O1792)&amp;"",""))</f>
      </c>
      <c r="L1792" s="220">
        <f>IF(OR($C1792="",N($B1792)=0),"",IF(AND($I1792="Phản ánh",$E1792="Đã xử lý"),INDEX('Phản ánh'!$U$6:$U$505,MATCH($C1792,'Phản ánh'!$A$6:$A$505,0)),IF(AND($I1792="Công việc",OR($E1792="Hoàn thành",$E1792="Hoàn thành kỳ")),IF(INDEX('Kế hoạch'!$B$6:$B$305,$O1792)="Đột xuất",INDEX('Kế hoạch'!$AY$6:$AY$305,$O1792),IF(N($P1792)=0,"",IF(INT($B1792)&lt;$P1792,$P1792,IF($Q1792&gt;0,$P1792+ROUND((INT($B1792)-$P1792)/$Q1792,0)*$Q1792,IF($R1792&gt;0,EDATE($P1792,ROUND((DATEDIF($P1792,INT($B1792),"m")+(INT($B1792)-EDATE($P1792,DATEDIF($P1792,INT($B1792),"m")))/(EDATE($P1792,DATEDIF($P1792,INT($B1792),"m")+1)-EDATE($P1792,DATEDIF($P1792,INT($B1792),"m"))))/$R1792,0)*$R1792),$P1792))))),"")))</f>
      </c>
      <c r="M1792" s="223">
        <f>IF(OR($C1792="",N($L1792)=0,N($B1792)=0),"",IF(IF(MOD($L1792,1)=0,INT($B1792),$B1792)&lt;=$L1792,"Đúng hạn","Trễ hạn"))</f>
      </c>
      <c r="N1792" s="225">
        <f>IF($C1792="","",ROW())</f>
      </c>
      <c r="O1792" s="225">
        <f>IF($I1792="Công việc",MATCH($C1792,'Kế hoạch'!$A$6:$A$305,0),"")</f>
      </c>
      <c r="P1792" s="234">
        <f>IF($O1792="","",INDEX('Kế hoạch'!$I$6:$I$305,$O1792))</f>
      </c>
      <c r="Q1792" s="225">
        <f>IF($O1792="","",INDEX('Kế hoạch'!$AJ$6:$AJ$305,$O1792))</f>
      </c>
      <c r="R1792" s="225">
        <f>IF($O1792="","",INDEX('Kế hoạch'!$AK$6:$AK$305,$O1792))</f>
      </c>
    </row>
    <row r="1793">
      <c r="A1793" s="223">
        <f>IF($C1793="","",COUNTIF($C$6:$C1793,"?*"))</f>
      </c>
      <c r="B1793" s="217"/>
      <c r="C1793" s="216"/>
      <c r="D1793" s="240"/>
      <c r="E1793" s="218"/>
      <c r="F1793" s="218"/>
      <c r="G1793" s="218"/>
      <c r="H1793" s="219"/>
      <c r="I1793" s="223">
        <f>IF($C1793="","",IF(ISNUMBER(MATCH($C1793,'Phản ánh'!$A$6:$A$505,0)),"Phản ánh",IF(ISNUMBER(MATCH($C1793,'Kế hoạch'!$A$6:$A$305,0)),"Công việc","Mã chưa có")))</f>
      </c>
      <c r="J1793" s="221">
        <f>IF($I1793="Phản ánh",INDEX('Phản ánh'!$C$6:$C$505,MATCH($C1793,'Phản ánh'!$A$6:$A$505,0)),IF($I1793="Công việc",INDEX('Kế hoạch'!$C$6:$C$305,$O1793),""))</f>
      </c>
      <c r="K1793" s="221">
        <f>IF($I1793="Phản ánh",INDEX('Phản ánh'!$K$6:$K$505,MATCH($C1793,'Phản ánh'!$A$6:$A$505,0))&amp;"",IF($I1793="Công việc",INDEX('Kế hoạch'!$N$6:$N$305,$O1793)&amp;"",""))</f>
      </c>
      <c r="L1793" s="220">
        <f>IF(OR($C1793="",N($B1793)=0),"",IF(AND($I1793="Phản ánh",$E1793="Đã xử lý"),INDEX('Phản ánh'!$U$6:$U$505,MATCH($C1793,'Phản ánh'!$A$6:$A$505,0)),IF(AND($I1793="Công việc",OR($E1793="Hoàn thành",$E1793="Hoàn thành kỳ")),IF(INDEX('Kế hoạch'!$B$6:$B$305,$O1793)="Đột xuất",INDEX('Kế hoạch'!$AY$6:$AY$305,$O1793),IF(N($P1793)=0,"",IF(INT($B1793)&lt;$P1793,$P1793,IF($Q1793&gt;0,$P1793+ROUND((INT($B1793)-$P1793)/$Q1793,0)*$Q1793,IF($R1793&gt;0,EDATE($P1793,ROUND((DATEDIF($P1793,INT($B1793),"m")+(INT($B1793)-EDATE($P1793,DATEDIF($P1793,INT($B1793),"m")))/(EDATE($P1793,DATEDIF($P1793,INT($B1793),"m")+1)-EDATE($P1793,DATEDIF($P1793,INT($B1793),"m"))))/$R1793,0)*$R1793),$P1793))))),"")))</f>
      </c>
      <c r="M1793" s="223">
        <f>IF(OR($C1793="",N($L1793)=0,N($B1793)=0),"",IF(IF(MOD($L1793,1)=0,INT($B1793),$B1793)&lt;=$L1793,"Đúng hạn","Trễ hạn"))</f>
      </c>
      <c r="N1793" s="225">
        <f>IF($C1793="","",ROW())</f>
      </c>
      <c r="O1793" s="225">
        <f>IF($I1793="Công việc",MATCH($C1793,'Kế hoạch'!$A$6:$A$305,0),"")</f>
      </c>
      <c r="P1793" s="234">
        <f>IF($O1793="","",INDEX('Kế hoạch'!$I$6:$I$305,$O1793))</f>
      </c>
      <c r="Q1793" s="225">
        <f>IF($O1793="","",INDEX('Kế hoạch'!$AJ$6:$AJ$305,$O1793))</f>
      </c>
      <c r="R1793" s="225">
        <f>IF($O1793="","",INDEX('Kế hoạch'!$AK$6:$AK$305,$O1793))</f>
      </c>
    </row>
    <row r="1794">
      <c r="A1794" s="223">
        <f>IF($C1794="","",COUNTIF($C$6:$C1794,"?*"))</f>
      </c>
      <c r="B1794" s="217"/>
      <c r="C1794" s="216"/>
      <c r="D1794" s="240"/>
      <c r="E1794" s="218"/>
      <c r="F1794" s="218"/>
      <c r="G1794" s="218"/>
      <c r="H1794" s="219"/>
      <c r="I1794" s="223">
        <f>IF($C1794="","",IF(ISNUMBER(MATCH($C1794,'Phản ánh'!$A$6:$A$505,0)),"Phản ánh",IF(ISNUMBER(MATCH($C1794,'Kế hoạch'!$A$6:$A$305,0)),"Công việc","Mã chưa có")))</f>
      </c>
      <c r="J1794" s="221">
        <f>IF($I1794="Phản ánh",INDEX('Phản ánh'!$C$6:$C$505,MATCH($C1794,'Phản ánh'!$A$6:$A$505,0)),IF($I1794="Công việc",INDEX('Kế hoạch'!$C$6:$C$305,$O1794),""))</f>
      </c>
      <c r="K1794" s="221">
        <f>IF($I1794="Phản ánh",INDEX('Phản ánh'!$K$6:$K$505,MATCH($C1794,'Phản ánh'!$A$6:$A$505,0))&amp;"",IF($I1794="Công việc",INDEX('Kế hoạch'!$N$6:$N$305,$O1794)&amp;"",""))</f>
      </c>
      <c r="L1794" s="220">
        <f>IF(OR($C1794="",N($B1794)=0),"",IF(AND($I1794="Phản ánh",$E1794="Đã xử lý"),INDEX('Phản ánh'!$U$6:$U$505,MATCH($C1794,'Phản ánh'!$A$6:$A$505,0)),IF(AND($I1794="Công việc",OR($E1794="Hoàn thành",$E1794="Hoàn thành kỳ")),IF(INDEX('Kế hoạch'!$B$6:$B$305,$O1794)="Đột xuất",INDEX('Kế hoạch'!$AY$6:$AY$305,$O1794),IF(N($P1794)=0,"",IF(INT($B1794)&lt;$P1794,$P1794,IF($Q1794&gt;0,$P1794+ROUND((INT($B1794)-$P1794)/$Q1794,0)*$Q1794,IF($R1794&gt;0,EDATE($P1794,ROUND((DATEDIF($P1794,INT($B1794),"m")+(INT($B1794)-EDATE($P1794,DATEDIF($P1794,INT($B1794),"m")))/(EDATE($P1794,DATEDIF($P1794,INT($B1794),"m")+1)-EDATE($P1794,DATEDIF($P1794,INT($B1794),"m"))))/$R1794,0)*$R1794),$P1794))))),"")))</f>
      </c>
      <c r="M1794" s="223">
        <f>IF(OR($C1794="",N($L1794)=0,N($B1794)=0),"",IF(IF(MOD($L1794,1)=0,INT($B1794),$B1794)&lt;=$L1794,"Đúng hạn","Trễ hạn"))</f>
      </c>
      <c r="N1794" s="225">
        <f>IF($C1794="","",ROW())</f>
      </c>
      <c r="O1794" s="225">
        <f>IF($I1794="Công việc",MATCH($C1794,'Kế hoạch'!$A$6:$A$305,0),"")</f>
      </c>
      <c r="P1794" s="234">
        <f>IF($O1794="","",INDEX('Kế hoạch'!$I$6:$I$305,$O1794))</f>
      </c>
      <c r="Q1794" s="225">
        <f>IF($O1794="","",INDEX('Kế hoạch'!$AJ$6:$AJ$305,$O1794))</f>
      </c>
      <c r="R1794" s="225">
        <f>IF($O1794="","",INDEX('Kế hoạch'!$AK$6:$AK$305,$O1794))</f>
      </c>
    </row>
    <row r="1795">
      <c r="A1795" s="223">
        <f>IF($C1795="","",COUNTIF($C$6:$C1795,"?*"))</f>
      </c>
      <c r="B1795" s="217"/>
      <c r="C1795" s="216"/>
      <c r="D1795" s="240"/>
      <c r="E1795" s="218"/>
      <c r="F1795" s="218"/>
      <c r="G1795" s="218"/>
      <c r="H1795" s="219"/>
      <c r="I1795" s="223">
        <f>IF($C1795="","",IF(ISNUMBER(MATCH($C1795,'Phản ánh'!$A$6:$A$505,0)),"Phản ánh",IF(ISNUMBER(MATCH($C1795,'Kế hoạch'!$A$6:$A$305,0)),"Công việc","Mã chưa có")))</f>
      </c>
      <c r="J1795" s="221">
        <f>IF($I1795="Phản ánh",INDEX('Phản ánh'!$C$6:$C$505,MATCH($C1795,'Phản ánh'!$A$6:$A$505,0)),IF($I1795="Công việc",INDEX('Kế hoạch'!$C$6:$C$305,$O1795),""))</f>
      </c>
      <c r="K1795" s="221">
        <f>IF($I1795="Phản ánh",INDEX('Phản ánh'!$K$6:$K$505,MATCH($C1795,'Phản ánh'!$A$6:$A$505,0))&amp;"",IF($I1795="Công việc",INDEX('Kế hoạch'!$N$6:$N$305,$O1795)&amp;"",""))</f>
      </c>
      <c r="L1795" s="220">
        <f>IF(OR($C1795="",N($B1795)=0),"",IF(AND($I1795="Phản ánh",$E1795="Đã xử lý"),INDEX('Phản ánh'!$U$6:$U$505,MATCH($C1795,'Phản ánh'!$A$6:$A$505,0)),IF(AND($I1795="Công việc",OR($E1795="Hoàn thành",$E1795="Hoàn thành kỳ")),IF(INDEX('Kế hoạch'!$B$6:$B$305,$O1795)="Đột xuất",INDEX('Kế hoạch'!$AY$6:$AY$305,$O1795),IF(N($P1795)=0,"",IF(INT($B1795)&lt;$P1795,$P1795,IF($Q1795&gt;0,$P1795+ROUND((INT($B1795)-$P1795)/$Q1795,0)*$Q1795,IF($R1795&gt;0,EDATE($P1795,ROUND((DATEDIF($P1795,INT($B1795),"m")+(INT($B1795)-EDATE($P1795,DATEDIF($P1795,INT($B1795),"m")))/(EDATE($P1795,DATEDIF($P1795,INT($B1795),"m")+1)-EDATE($P1795,DATEDIF($P1795,INT($B1795),"m"))))/$R1795,0)*$R1795),$P1795))))),"")))</f>
      </c>
      <c r="M1795" s="223">
        <f>IF(OR($C1795="",N($L1795)=0,N($B1795)=0),"",IF(IF(MOD($L1795,1)=0,INT($B1795),$B1795)&lt;=$L1795,"Đúng hạn","Trễ hạn"))</f>
      </c>
      <c r="N1795" s="225">
        <f>IF($C1795="","",ROW())</f>
      </c>
      <c r="O1795" s="225">
        <f>IF($I1795="Công việc",MATCH($C1795,'Kế hoạch'!$A$6:$A$305,0),"")</f>
      </c>
      <c r="P1795" s="234">
        <f>IF($O1795="","",INDEX('Kế hoạch'!$I$6:$I$305,$O1795))</f>
      </c>
      <c r="Q1795" s="225">
        <f>IF($O1795="","",INDEX('Kế hoạch'!$AJ$6:$AJ$305,$O1795))</f>
      </c>
      <c r="R1795" s="225">
        <f>IF($O1795="","",INDEX('Kế hoạch'!$AK$6:$AK$305,$O1795))</f>
      </c>
    </row>
    <row r="1796">
      <c r="A1796" s="223">
        <f>IF($C1796="","",COUNTIF($C$6:$C1796,"?*"))</f>
      </c>
      <c r="B1796" s="217"/>
      <c r="C1796" s="216"/>
      <c r="D1796" s="240"/>
      <c r="E1796" s="218"/>
      <c r="F1796" s="218"/>
      <c r="G1796" s="218"/>
      <c r="H1796" s="219"/>
      <c r="I1796" s="223">
        <f>IF($C1796="","",IF(ISNUMBER(MATCH($C1796,'Phản ánh'!$A$6:$A$505,0)),"Phản ánh",IF(ISNUMBER(MATCH($C1796,'Kế hoạch'!$A$6:$A$305,0)),"Công việc","Mã chưa có")))</f>
      </c>
      <c r="J1796" s="221">
        <f>IF($I1796="Phản ánh",INDEX('Phản ánh'!$C$6:$C$505,MATCH($C1796,'Phản ánh'!$A$6:$A$505,0)),IF($I1796="Công việc",INDEX('Kế hoạch'!$C$6:$C$305,$O1796),""))</f>
      </c>
      <c r="K1796" s="221">
        <f>IF($I1796="Phản ánh",INDEX('Phản ánh'!$K$6:$K$505,MATCH($C1796,'Phản ánh'!$A$6:$A$505,0))&amp;"",IF($I1796="Công việc",INDEX('Kế hoạch'!$N$6:$N$305,$O1796)&amp;"",""))</f>
      </c>
      <c r="L1796" s="220">
        <f>IF(OR($C1796="",N($B1796)=0),"",IF(AND($I1796="Phản ánh",$E1796="Đã xử lý"),INDEX('Phản ánh'!$U$6:$U$505,MATCH($C1796,'Phản ánh'!$A$6:$A$505,0)),IF(AND($I1796="Công việc",OR($E1796="Hoàn thành",$E1796="Hoàn thành kỳ")),IF(INDEX('Kế hoạch'!$B$6:$B$305,$O1796)="Đột xuất",INDEX('Kế hoạch'!$AY$6:$AY$305,$O1796),IF(N($P1796)=0,"",IF(INT($B1796)&lt;$P1796,$P1796,IF($Q1796&gt;0,$P1796+ROUND((INT($B1796)-$P1796)/$Q1796,0)*$Q1796,IF($R1796&gt;0,EDATE($P1796,ROUND((DATEDIF($P1796,INT($B1796),"m")+(INT($B1796)-EDATE($P1796,DATEDIF($P1796,INT($B1796),"m")))/(EDATE($P1796,DATEDIF($P1796,INT($B1796),"m")+1)-EDATE($P1796,DATEDIF($P1796,INT($B1796),"m"))))/$R1796,0)*$R1796),$P1796))))),"")))</f>
      </c>
      <c r="M1796" s="223">
        <f>IF(OR($C1796="",N($L1796)=0,N($B1796)=0),"",IF(IF(MOD($L1796,1)=0,INT($B1796),$B1796)&lt;=$L1796,"Đúng hạn","Trễ hạn"))</f>
      </c>
      <c r="N1796" s="225">
        <f>IF($C1796="","",ROW())</f>
      </c>
      <c r="O1796" s="225">
        <f>IF($I1796="Công việc",MATCH($C1796,'Kế hoạch'!$A$6:$A$305,0),"")</f>
      </c>
      <c r="P1796" s="234">
        <f>IF($O1796="","",INDEX('Kế hoạch'!$I$6:$I$305,$O1796))</f>
      </c>
      <c r="Q1796" s="225">
        <f>IF($O1796="","",INDEX('Kế hoạch'!$AJ$6:$AJ$305,$O1796))</f>
      </c>
      <c r="R1796" s="225">
        <f>IF($O1796="","",INDEX('Kế hoạch'!$AK$6:$AK$305,$O1796))</f>
      </c>
    </row>
    <row r="1797">
      <c r="A1797" s="223">
        <f>IF($C1797="","",COUNTIF($C$6:$C1797,"?*"))</f>
      </c>
      <c r="B1797" s="217"/>
      <c r="C1797" s="216"/>
      <c r="D1797" s="240"/>
      <c r="E1797" s="218"/>
      <c r="F1797" s="218"/>
      <c r="G1797" s="218"/>
      <c r="H1797" s="219"/>
      <c r="I1797" s="223">
        <f>IF($C1797="","",IF(ISNUMBER(MATCH($C1797,'Phản ánh'!$A$6:$A$505,0)),"Phản ánh",IF(ISNUMBER(MATCH($C1797,'Kế hoạch'!$A$6:$A$305,0)),"Công việc","Mã chưa có")))</f>
      </c>
      <c r="J1797" s="221">
        <f>IF($I1797="Phản ánh",INDEX('Phản ánh'!$C$6:$C$505,MATCH($C1797,'Phản ánh'!$A$6:$A$505,0)),IF($I1797="Công việc",INDEX('Kế hoạch'!$C$6:$C$305,$O1797),""))</f>
      </c>
      <c r="K1797" s="221">
        <f>IF($I1797="Phản ánh",INDEX('Phản ánh'!$K$6:$K$505,MATCH($C1797,'Phản ánh'!$A$6:$A$505,0))&amp;"",IF($I1797="Công việc",INDEX('Kế hoạch'!$N$6:$N$305,$O1797)&amp;"",""))</f>
      </c>
      <c r="L1797" s="220">
        <f>IF(OR($C1797="",N($B1797)=0),"",IF(AND($I1797="Phản ánh",$E1797="Đã xử lý"),INDEX('Phản ánh'!$U$6:$U$505,MATCH($C1797,'Phản ánh'!$A$6:$A$505,0)),IF(AND($I1797="Công việc",OR($E1797="Hoàn thành",$E1797="Hoàn thành kỳ")),IF(INDEX('Kế hoạch'!$B$6:$B$305,$O1797)="Đột xuất",INDEX('Kế hoạch'!$AY$6:$AY$305,$O1797),IF(N($P1797)=0,"",IF(INT($B1797)&lt;$P1797,$P1797,IF($Q1797&gt;0,$P1797+ROUND((INT($B1797)-$P1797)/$Q1797,0)*$Q1797,IF($R1797&gt;0,EDATE($P1797,ROUND((DATEDIF($P1797,INT($B1797),"m")+(INT($B1797)-EDATE($P1797,DATEDIF($P1797,INT($B1797),"m")))/(EDATE($P1797,DATEDIF($P1797,INT($B1797),"m")+1)-EDATE($P1797,DATEDIF($P1797,INT($B1797),"m"))))/$R1797,0)*$R1797),$P1797))))),"")))</f>
      </c>
      <c r="M1797" s="223">
        <f>IF(OR($C1797="",N($L1797)=0,N($B1797)=0),"",IF(IF(MOD($L1797,1)=0,INT($B1797),$B1797)&lt;=$L1797,"Đúng hạn","Trễ hạn"))</f>
      </c>
      <c r="N1797" s="225">
        <f>IF($C1797="","",ROW())</f>
      </c>
      <c r="O1797" s="225">
        <f>IF($I1797="Công việc",MATCH($C1797,'Kế hoạch'!$A$6:$A$305,0),"")</f>
      </c>
      <c r="P1797" s="234">
        <f>IF($O1797="","",INDEX('Kế hoạch'!$I$6:$I$305,$O1797))</f>
      </c>
      <c r="Q1797" s="225">
        <f>IF($O1797="","",INDEX('Kế hoạch'!$AJ$6:$AJ$305,$O1797))</f>
      </c>
      <c r="R1797" s="225">
        <f>IF($O1797="","",INDEX('Kế hoạch'!$AK$6:$AK$305,$O1797))</f>
      </c>
    </row>
    <row r="1798">
      <c r="A1798" s="223">
        <f>IF($C1798="","",COUNTIF($C$6:$C1798,"?*"))</f>
      </c>
      <c r="B1798" s="217"/>
      <c r="C1798" s="216"/>
      <c r="D1798" s="240"/>
      <c r="E1798" s="218"/>
      <c r="F1798" s="218"/>
      <c r="G1798" s="218"/>
      <c r="H1798" s="219"/>
      <c r="I1798" s="223">
        <f>IF($C1798="","",IF(ISNUMBER(MATCH($C1798,'Phản ánh'!$A$6:$A$505,0)),"Phản ánh",IF(ISNUMBER(MATCH($C1798,'Kế hoạch'!$A$6:$A$305,0)),"Công việc","Mã chưa có")))</f>
      </c>
      <c r="J1798" s="221">
        <f>IF($I1798="Phản ánh",INDEX('Phản ánh'!$C$6:$C$505,MATCH($C1798,'Phản ánh'!$A$6:$A$505,0)),IF($I1798="Công việc",INDEX('Kế hoạch'!$C$6:$C$305,$O1798),""))</f>
      </c>
      <c r="K1798" s="221">
        <f>IF($I1798="Phản ánh",INDEX('Phản ánh'!$K$6:$K$505,MATCH($C1798,'Phản ánh'!$A$6:$A$505,0))&amp;"",IF($I1798="Công việc",INDEX('Kế hoạch'!$N$6:$N$305,$O1798)&amp;"",""))</f>
      </c>
      <c r="L1798" s="220">
        <f>IF(OR($C1798="",N($B1798)=0),"",IF(AND($I1798="Phản ánh",$E1798="Đã xử lý"),INDEX('Phản ánh'!$U$6:$U$505,MATCH($C1798,'Phản ánh'!$A$6:$A$505,0)),IF(AND($I1798="Công việc",OR($E1798="Hoàn thành",$E1798="Hoàn thành kỳ")),IF(INDEX('Kế hoạch'!$B$6:$B$305,$O1798)="Đột xuất",INDEX('Kế hoạch'!$AY$6:$AY$305,$O1798),IF(N($P1798)=0,"",IF(INT($B1798)&lt;$P1798,$P1798,IF($Q1798&gt;0,$P1798+ROUND((INT($B1798)-$P1798)/$Q1798,0)*$Q1798,IF($R1798&gt;0,EDATE($P1798,ROUND((DATEDIF($P1798,INT($B1798),"m")+(INT($B1798)-EDATE($P1798,DATEDIF($P1798,INT($B1798),"m")))/(EDATE($P1798,DATEDIF($P1798,INT($B1798),"m")+1)-EDATE($P1798,DATEDIF($P1798,INT($B1798),"m"))))/$R1798,0)*$R1798),$P1798))))),"")))</f>
      </c>
      <c r="M1798" s="223">
        <f>IF(OR($C1798="",N($L1798)=0,N($B1798)=0),"",IF(IF(MOD($L1798,1)=0,INT($B1798),$B1798)&lt;=$L1798,"Đúng hạn","Trễ hạn"))</f>
      </c>
      <c r="N1798" s="225">
        <f>IF($C1798="","",ROW())</f>
      </c>
      <c r="O1798" s="225">
        <f>IF($I1798="Công việc",MATCH($C1798,'Kế hoạch'!$A$6:$A$305,0),"")</f>
      </c>
      <c r="P1798" s="234">
        <f>IF($O1798="","",INDEX('Kế hoạch'!$I$6:$I$305,$O1798))</f>
      </c>
      <c r="Q1798" s="225">
        <f>IF($O1798="","",INDEX('Kế hoạch'!$AJ$6:$AJ$305,$O1798))</f>
      </c>
      <c r="R1798" s="225">
        <f>IF($O1798="","",INDEX('Kế hoạch'!$AK$6:$AK$305,$O1798))</f>
      </c>
    </row>
    <row r="1799">
      <c r="A1799" s="223">
        <f>IF($C1799="","",COUNTIF($C$6:$C1799,"?*"))</f>
      </c>
      <c r="B1799" s="217"/>
      <c r="C1799" s="216"/>
      <c r="D1799" s="240"/>
      <c r="E1799" s="218"/>
      <c r="F1799" s="218"/>
      <c r="G1799" s="218"/>
      <c r="H1799" s="219"/>
      <c r="I1799" s="223">
        <f>IF($C1799="","",IF(ISNUMBER(MATCH($C1799,'Phản ánh'!$A$6:$A$505,0)),"Phản ánh",IF(ISNUMBER(MATCH($C1799,'Kế hoạch'!$A$6:$A$305,0)),"Công việc","Mã chưa có")))</f>
      </c>
      <c r="J1799" s="221">
        <f>IF($I1799="Phản ánh",INDEX('Phản ánh'!$C$6:$C$505,MATCH($C1799,'Phản ánh'!$A$6:$A$505,0)),IF($I1799="Công việc",INDEX('Kế hoạch'!$C$6:$C$305,$O1799),""))</f>
      </c>
      <c r="K1799" s="221">
        <f>IF($I1799="Phản ánh",INDEX('Phản ánh'!$K$6:$K$505,MATCH($C1799,'Phản ánh'!$A$6:$A$505,0))&amp;"",IF($I1799="Công việc",INDEX('Kế hoạch'!$N$6:$N$305,$O1799)&amp;"",""))</f>
      </c>
      <c r="L1799" s="220">
        <f>IF(OR($C1799="",N($B1799)=0),"",IF(AND($I1799="Phản ánh",$E1799="Đã xử lý"),INDEX('Phản ánh'!$U$6:$U$505,MATCH($C1799,'Phản ánh'!$A$6:$A$505,0)),IF(AND($I1799="Công việc",OR($E1799="Hoàn thành",$E1799="Hoàn thành kỳ")),IF(INDEX('Kế hoạch'!$B$6:$B$305,$O1799)="Đột xuất",INDEX('Kế hoạch'!$AY$6:$AY$305,$O1799),IF(N($P1799)=0,"",IF(INT($B1799)&lt;$P1799,$P1799,IF($Q1799&gt;0,$P1799+ROUND((INT($B1799)-$P1799)/$Q1799,0)*$Q1799,IF($R1799&gt;0,EDATE($P1799,ROUND((DATEDIF($P1799,INT($B1799),"m")+(INT($B1799)-EDATE($P1799,DATEDIF($P1799,INT($B1799),"m")))/(EDATE($P1799,DATEDIF($P1799,INT($B1799),"m")+1)-EDATE($P1799,DATEDIF($P1799,INT($B1799),"m"))))/$R1799,0)*$R1799),$P1799))))),"")))</f>
      </c>
      <c r="M1799" s="223">
        <f>IF(OR($C1799="",N($L1799)=0,N($B1799)=0),"",IF(IF(MOD($L1799,1)=0,INT($B1799),$B1799)&lt;=$L1799,"Đúng hạn","Trễ hạn"))</f>
      </c>
      <c r="N1799" s="225">
        <f>IF($C1799="","",ROW())</f>
      </c>
      <c r="O1799" s="225">
        <f>IF($I1799="Công việc",MATCH($C1799,'Kế hoạch'!$A$6:$A$305,0),"")</f>
      </c>
      <c r="P1799" s="234">
        <f>IF($O1799="","",INDEX('Kế hoạch'!$I$6:$I$305,$O1799))</f>
      </c>
      <c r="Q1799" s="225">
        <f>IF($O1799="","",INDEX('Kế hoạch'!$AJ$6:$AJ$305,$O1799))</f>
      </c>
      <c r="R1799" s="225">
        <f>IF($O1799="","",INDEX('Kế hoạch'!$AK$6:$AK$305,$O1799))</f>
      </c>
    </row>
    <row r="1800">
      <c r="A1800" s="223">
        <f>IF($C1800="","",COUNTIF($C$6:$C1800,"?*"))</f>
      </c>
      <c r="B1800" s="217"/>
      <c r="C1800" s="216"/>
      <c r="D1800" s="240"/>
      <c r="E1800" s="218"/>
      <c r="F1800" s="218"/>
      <c r="G1800" s="218"/>
      <c r="H1800" s="219"/>
      <c r="I1800" s="223">
        <f>IF($C1800="","",IF(ISNUMBER(MATCH($C1800,'Phản ánh'!$A$6:$A$505,0)),"Phản ánh",IF(ISNUMBER(MATCH($C1800,'Kế hoạch'!$A$6:$A$305,0)),"Công việc","Mã chưa có")))</f>
      </c>
      <c r="J1800" s="221">
        <f>IF($I1800="Phản ánh",INDEX('Phản ánh'!$C$6:$C$505,MATCH($C1800,'Phản ánh'!$A$6:$A$505,0)),IF($I1800="Công việc",INDEX('Kế hoạch'!$C$6:$C$305,$O1800),""))</f>
      </c>
      <c r="K1800" s="221">
        <f>IF($I1800="Phản ánh",INDEX('Phản ánh'!$K$6:$K$505,MATCH($C1800,'Phản ánh'!$A$6:$A$505,0))&amp;"",IF($I1800="Công việc",INDEX('Kế hoạch'!$N$6:$N$305,$O1800)&amp;"",""))</f>
      </c>
      <c r="L1800" s="220">
        <f>IF(OR($C1800="",N($B1800)=0),"",IF(AND($I1800="Phản ánh",$E1800="Đã xử lý"),INDEX('Phản ánh'!$U$6:$U$505,MATCH($C1800,'Phản ánh'!$A$6:$A$505,0)),IF(AND($I1800="Công việc",OR($E1800="Hoàn thành",$E1800="Hoàn thành kỳ")),IF(INDEX('Kế hoạch'!$B$6:$B$305,$O1800)="Đột xuất",INDEX('Kế hoạch'!$AY$6:$AY$305,$O1800),IF(N($P1800)=0,"",IF(INT($B1800)&lt;$P1800,$P1800,IF($Q1800&gt;0,$P1800+ROUND((INT($B1800)-$P1800)/$Q1800,0)*$Q1800,IF($R1800&gt;0,EDATE($P1800,ROUND((DATEDIF($P1800,INT($B1800),"m")+(INT($B1800)-EDATE($P1800,DATEDIF($P1800,INT($B1800),"m")))/(EDATE($P1800,DATEDIF($P1800,INT($B1800),"m")+1)-EDATE($P1800,DATEDIF($P1800,INT($B1800),"m"))))/$R1800,0)*$R1800),$P1800))))),"")))</f>
      </c>
      <c r="M1800" s="223">
        <f>IF(OR($C1800="",N($L1800)=0,N($B1800)=0),"",IF(IF(MOD($L1800,1)=0,INT($B1800),$B1800)&lt;=$L1800,"Đúng hạn","Trễ hạn"))</f>
      </c>
      <c r="N1800" s="225">
        <f>IF($C1800="","",ROW())</f>
      </c>
      <c r="O1800" s="225">
        <f>IF($I1800="Công việc",MATCH($C1800,'Kế hoạch'!$A$6:$A$305,0),"")</f>
      </c>
      <c r="P1800" s="234">
        <f>IF($O1800="","",INDEX('Kế hoạch'!$I$6:$I$305,$O1800))</f>
      </c>
      <c r="Q1800" s="225">
        <f>IF($O1800="","",INDEX('Kế hoạch'!$AJ$6:$AJ$305,$O1800))</f>
      </c>
      <c r="R1800" s="225">
        <f>IF($O1800="","",INDEX('Kế hoạch'!$AK$6:$AK$305,$O1800))</f>
      </c>
    </row>
    <row r="1801">
      <c r="A1801" s="223">
        <f>IF($C1801="","",COUNTIF($C$6:$C1801,"?*"))</f>
      </c>
      <c r="B1801" s="217"/>
      <c r="C1801" s="216"/>
      <c r="D1801" s="240"/>
      <c r="E1801" s="218"/>
      <c r="F1801" s="218"/>
      <c r="G1801" s="218"/>
      <c r="H1801" s="219"/>
      <c r="I1801" s="223">
        <f>IF($C1801="","",IF(ISNUMBER(MATCH($C1801,'Phản ánh'!$A$6:$A$505,0)),"Phản ánh",IF(ISNUMBER(MATCH($C1801,'Kế hoạch'!$A$6:$A$305,0)),"Công việc","Mã chưa có")))</f>
      </c>
      <c r="J1801" s="221">
        <f>IF($I1801="Phản ánh",INDEX('Phản ánh'!$C$6:$C$505,MATCH($C1801,'Phản ánh'!$A$6:$A$505,0)),IF($I1801="Công việc",INDEX('Kế hoạch'!$C$6:$C$305,$O1801),""))</f>
      </c>
      <c r="K1801" s="221">
        <f>IF($I1801="Phản ánh",INDEX('Phản ánh'!$K$6:$K$505,MATCH($C1801,'Phản ánh'!$A$6:$A$505,0))&amp;"",IF($I1801="Công việc",INDEX('Kế hoạch'!$N$6:$N$305,$O1801)&amp;"",""))</f>
      </c>
      <c r="L1801" s="220">
        <f>IF(OR($C1801="",N($B1801)=0),"",IF(AND($I1801="Phản ánh",$E1801="Đã xử lý"),INDEX('Phản ánh'!$U$6:$U$505,MATCH($C1801,'Phản ánh'!$A$6:$A$505,0)),IF(AND($I1801="Công việc",OR($E1801="Hoàn thành",$E1801="Hoàn thành kỳ")),IF(INDEX('Kế hoạch'!$B$6:$B$305,$O1801)="Đột xuất",INDEX('Kế hoạch'!$AY$6:$AY$305,$O1801),IF(N($P1801)=0,"",IF(INT($B1801)&lt;$P1801,$P1801,IF($Q1801&gt;0,$P1801+ROUND((INT($B1801)-$P1801)/$Q1801,0)*$Q1801,IF($R1801&gt;0,EDATE($P1801,ROUND((DATEDIF($P1801,INT($B1801),"m")+(INT($B1801)-EDATE($P1801,DATEDIF($P1801,INT($B1801),"m")))/(EDATE($P1801,DATEDIF($P1801,INT($B1801),"m")+1)-EDATE($P1801,DATEDIF($P1801,INT($B1801),"m"))))/$R1801,0)*$R1801),$P1801))))),"")))</f>
      </c>
      <c r="M1801" s="223">
        <f>IF(OR($C1801="",N($L1801)=0,N($B1801)=0),"",IF(IF(MOD($L1801,1)=0,INT($B1801),$B1801)&lt;=$L1801,"Đúng hạn","Trễ hạn"))</f>
      </c>
      <c r="N1801" s="225">
        <f>IF($C1801="","",ROW())</f>
      </c>
      <c r="O1801" s="225">
        <f>IF($I1801="Công việc",MATCH($C1801,'Kế hoạch'!$A$6:$A$305,0),"")</f>
      </c>
      <c r="P1801" s="234">
        <f>IF($O1801="","",INDEX('Kế hoạch'!$I$6:$I$305,$O1801))</f>
      </c>
      <c r="Q1801" s="225">
        <f>IF($O1801="","",INDEX('Kế hoạch'!$AJ$6:$AJ$305,$O1801))</f>
      </c>
      <c r="R1801" s="225">
        <f>IF($O1801="","",INDEX('Kế hoạch'!$AK$6:$AK$305,$O1801))</f>
      </c>
    </row>
    <row r="1802">
      <c r="A1802" s="223">
        <f>IF($C1802="","",COUNTIF($C$6:$C1802,"?*"))</f>
      </c>
      <c r="B1802" s="217"/>
      <c r="C1802" s="216"/>
      <c r="D1802" s="240"/>
      <c r="E1802" s="218"/>
      <c r="F1802" s="218"/>
      <c r="G1802" s="218"/>
      <c r="H1802" s="219"/>
      <c r="I1802" s="223">
        <f>IF($C1802="","",IF(ISNUMBER(MATCH($C1802,'Phản ánh'!$A$6:$A$505,0)),"Phản ánh",IF(ISNUMBER(MATCH($C1802,'Kế hoạch'!$A$6:$A$305,0)),"Công việc","Mã chưa có")))</f>
      </c>
      <c r="J1802" s="221">
        <f>IF($I1802="Phản ánh",INDEX('Phản ánh'!$C$6:$C$505,MATCH($C1802,'Phản ánh'!$A$6:$A$505,0)),IF($I1802="Công việc",INDEX('Kế hoạch'!$C$6:$C$305,$O1802),""))</f>
      </c>
      <c r="K1802" s="221">
        <f>IF($I1802="Phản ánh",INDEX('Phản ánh'!$K$6:$K$505,MATCH($C1802,'Phản ánh'!$A$6:$A$505,0))&amp;"",IF($I1802="Công việc",INDEX('Kế hoạch'!$N$6:$N$305,$O1802)&amp;"",""))</f>
      </c>
      <c r="L1802" s="220">
        <f>IF(OR($C1802="",N($B1802)=0),"",IF(AND($I1802="Phản ánh",$E1802="Đã xử lý"),INDEX('Phản ánh'!$U$6:$U$505,MATCH($C1802,'Phản ánh'!$A$6:$A$505,0)),IF(AND($I1802="Công việc",OR($E1802="Hoàn thành",$E1802="Hoàn thành kỳ")),IF(INDEX('Kế hoạch'!$B$6:$B$305,$O1802)="Đột xuất",INDEX('Kế hoạch'!$AY$6:$AY$305,$O1802),IF(N($P1802)=0,"",IF(INT($B1802)&lt;$P1802,$P1802,IF($Q1802&gt;0,$P1802+ROUND((INT($B1802)-$P1802)/$Q1802,0)*$Q1802,IF($R1802&gt;0,EDATE($P1802,ROUND((DATEDIF($P1802,INT($B1802),"m")+(INT($B1802)-EDATE($P1802,DATEDIF($P1802,INT($B1802),"m")))/(EDATE($P1802,DATEDIF($P1802,INT($B1802),"m")+1)-EDATE($P1802,DATEDIF($P1802,INT($B1802),"m"))))/$R1802,0)*$R1802),$P1802))))),"")))</f>
      </c>
      <c r="M1802" s="223">
        <f>IF(OR($C1802="",N($L1802)=0,N($B1802)=0),"",IF(IF(MOD($L1802,1)=0,INT($B1802),$B1802)&lt;=$L1802,"Đúng hạn","Trễ hạn"))</f>
      </c>
      <c r="N1802" s="225">
        <f>IF($C1802="","",ROW())</f>
      </c>
      <c r="O1802" s="225">
        <f>IF($I1802="Công việc",MATCH($C1802,'Kế hoạch'!$A$6:$A$305,0),"")</f>
      </c>
      <c r="P1802" s="234">
        <f>IF($O1802="","",INDEX('Kế hoạch'!$I$6:$I$305,$O1802))</f>
      </c>
      <c r="Q1802" s="225">
        <f>IF($O1802="","",INDEX('Kế hoạch'!$AJ$6:$AJ$305,$O1802))</f>
      </c>
      <c r="R1802" s="225">
        <f>IF($O1802="","",INDEX('Kế hoạch'!$AK$6:$AK$305,$O1802))</f>
      </c>
    </row>
    <row r="1803">
      <c r="A1803" s="223">
        <f>IF($C1803="","",COUNTIF($C$6:$C1803,"?*"))</f>
      </c>
      <c r="B1803" s="217"/>
      <c r="C1803" s="216"/>
      <c r="D1803" s="240"/>
      <c r="E1803" s="218"/>
      <c r="F1803" s="218"/>
      <c r="G1803" s="218"/>
      <c r="H1803" s="219"/>
      <c r="I1803" s="223">
        <f>IF($C1803="","",IF(ISNUMBER(MATCH($C1803,'Phản ánh'!$A$6:$A$505,0)),"Phản ánh",IF(ISNUMBER(MATCH($C1803,'Kế hoạch'!$A$6:$A$305,0)),"Công việc","Mã chưa có")))</f>
      </c>
      <c r="J1803" s="221">
        <f>IF($I1803="Phản ánh",INDEX('Phản ánh'!$C$6:$C$505,MATCH($C1803,'Phản ánh'!$A$6:$A$505,0)),IF($I1803="Công việc",INDEX('Kế hoạch'!$C$6:$C$305,$O1803),""))</f>
      </c>
      <c r="K1803" s="221">
        <f>IF($I1803="Phản ánh",INDEX('Phản ánh'!$K$6:$K$505,MATCH($C1803,'Phản ánh'!$A$6:$A$505,0))&amp;"",IF($I1803="Công việc",INDEX('Kế hoạch'!$N$6:$N$305,$O1803)&amp;"",""))</f>
      </c>
      <c r="L1803" s="220">
        <f>IF(OR($C1803="",N($B1803)=0),"",IF(AND($I1803="Phản ánh",$E1803="Đã xử lý"),INDEX('Phản ánh'!$U$6:$U$505,MATCH($C1803,'Phản ánh'!$A$6:$A$505,0)),IF(AND($I1803="Công việc",OR($E1803="Hoàn thành",$E1803="Hoàn thành kỳ")),IF(INDEX('Kế hoạch'!$B$6:$B$305,$O1803)="Đột xuất",INDEX('Kế hoạch'!$AY$6:$AY$305,$O1803),IF(N($P1803)=0,"",IF(INT($B1803)&lt;$P1803,$P1803,IF($Q1803&gt;0,$P1803+ROUND((INT($B1803)-$P1803)/$Q1803,0)*$Q1803,IF($R1803&gt;0,EDATE($P1803,ROUND((DATEDIF($P1803,INT($B1803),"m")+(INT($B1803)-EDATE($P1803,DATEDIF($P1803,INT($B1803),"m")))/(EDATE($P1803,DATEDIF($P1803,INT($B1803),"m")+1)-EDATE($P1803,DATEDIF($P1803,INT($B1803),"m"))))/$R1803,0)*$R1803),$P1803))))),"")))</f>
      </c>
      <c r="M1803" s="223">
        <f>IF(OR($C1803="",N($L1803)=0,N($B1803)=0),"",IF(IF(MOD($L1803,1)=0,INT($B1803),$B1803)&lt;=$L1803,"Đúng hạn","Trễ hạn"))</f>
      </c>
      <c r="N1803" s="225">
        <f>IF($C1803="","",ROW())</f>
      </c>
      <c r="O1803" s="225">
        <f>IF($I1803="Công việc",MATCH($C1803,'Kế hoạch'!$A$6:$A$305,0),"")</f>
      </c>
      <c r="P1803" s="234">
        <f>IF($O1803="","",INDEX('Kế hoạch'!$I$6:$I$305,$O1803))</f>
      </c>
      <c r="Q1803" s="225">
        <f>IF($O1803="","",INDEX('Kế hoạch'!$AJ$6:$AJ$305,$O1803))</f>
      </c>
      <c r="R1803" s="225">
        <f>IF($O1803="","",INDEX('Kế hoạch'!$AK$6:$AK$305,$O1803))</f>
      </c>
    </row>
    <row r="1804">
      <c r="A1804" s="223">
        <f>IF($C1804="","",COUNTIF($C$6:$C1804,"?*"))</f>
      </c>
      <c r="B1804" s="217"/>
      <c r="C1804" s="216"/>
      <c r="D1804" s="240"/>
      <c r="E1804" s="218"/>
      <c r="F1804" s="218"/>
      <c r="G1804" s="218"/>
      <c r="H1804" s="219"/>
      <c r="I1804" s="223">
        <f>IF($C1804="","",IF(ISNUMBER(MATCH($C1804,'Phản ánh'!$A$6:$A$505,0)),"Phản ánh",IF(ISNUMBER(MATCH($C1804,'Kế hoạch'!$A$6:$A$305,0)),"Công việc","Mã chưa có")))</f>
      </c>
      <c r="J1804" s="221">
        <f>IF($I1804="Phản ánh",INDEX('Phản ánh'!$C$6:$C$505,MATCH($C1804,'Phản ánh'!$A$6:$A$505,0)),IF($I1804="Công việc",INDEX('Kế hoạch'!$C$6:$C$305,$O1804),""))</f>
      </c>
      <c r="K1804" s="221">
        <f>IF($I1804="Phản ánh",INDEX('Phản ánh'!$K$6:$K$505,MATCH($C1804,'Phản ánh'!$A$6:$A$505,0))&amp;"",IF($I1804="Công việc",INDEX('Kế hoạch'!$N$6:$N$305,$O1804)&amp;"",""))</f>
      </c>
      <c r="L1804" s="220">
        <f>IF(OR($C1804="",N($B1804)=0),"",IF(AND($I1804="Phản ánh",$E1804="Đã xử lý"),INDEX('Phản ánh'!$U$6:$U$505,MATCH($C1804,'Phản ánh'!$A$6:$A$505,0)),IF(AND($I1804="Công việc",OR($E1804="Hoàn thành",$E1804="Hoàn thành kỳ")),IF(INDEX('Kế hoạch'!$B$6:$B$305,$O1804)="Đột xuất",INDEX('Kế hoạch'!$AY$6:$AY$305,$O1804),IF(N($P1804)=0,"",IF(INT($B1804)&lt;$P1804,$P1804,IF($Q1804&gt;0,$P1804+ROUND((INT($B1804)-$P1804)/$Q1804,0)*$Q1804,IF($R1804&gt;0,EDATE($P1804,ROUND((DATEDIF($P1804,INT($B1804),"m")+(INT($B1804)-EDATE($P1804,DATEDIF($P1804,INT($B1804),"m")))/(EDATE($P1804,DATEDIF($P1804,INT($B1804),"m")+1)-EDATE($P1804,DATEDIF($P1804,INT($B1804),"m"))))/$R1804,0)*$R1804),$P1804))))),"")))</f>
      </c>
      <c r="M1804" s="223">
        <f>IF(OR($C1804="",N($L1804)=0,N($B1804)=0),"",IF(IF(MOD($L1804,1)=0,INT($B1804),$B1804)&lt;=$L1804,"Đúng hạn","Trễ hạn"))</f>
      </c>
      <c r="N1804" s="225">
        <f>IF($C1804="","",ROW())</f>
      </c>
      <c r="O1804" s="225">
        <f>IF($I1804="Công việc",MATCH($C1804,'Kế hoạch'!$A$6:$A$305,0),"")</f>
      </c>
      <c r="P1804" s="234">
        <f>IF($O1804="","",INDEX('Kế hoạch'!$I$6:$I$305,$O1804))</f>
      </c>
      <c r="Q1804" s="225">
        <f>IF($O1804="","",INDEX('Kế hoạch'!$AJ$6:$AJ$305,$O1804))</f>
      </c>
      <c r="R1804" s="225">
        <f>IF($O1804="","",INDEX('Kế hoạch'!$AK$6:$AK$305,$O1804))</f>
      </c>
    </row>
    <row r="1805">
      <c r="A1805" s="223">
        <f>IF($C1805="","",COUNTIF($C$6:$C1805,"?*"))</f>
      </c>
      <c r="B1805" s="217"/>
      <c r="C1805" s="216"/>
      <c r="D1805" s="240"/>
      <c r="E1805" s="218"/>
      <c r="F1805" s="218"/>
      <c r="G1805" s="218"/>
      <c r="H1805" s="219"/>
      <c r="I1805" s="223">
        <f>IF($C1805="","",IF(ISNUMBER(MATCH($C1805,'Phản ánh'!$A$6:$A$505,0)),"Phản ánh",IF(ISNUMBER(MATCH($C1805,'Kế hoạch'!$A$6:$A$305,0)),"Công việc","Mã chưa có")))</f>
      </c>
      <c r="J1805" s="221">
        <f>IF($I1805="Phản ánh",INDEX('Phản ánh'!$C$6:$C$505,MATCH($C1805,'Phản ánh'!$A$6:$A$505,0)),IF($I1805="Công việc",INDEX('Kế hoạch'!$C$6:$C$305,$O1805),""))</f>
      </c>
      <c r="K1805" s="221">
        <f>IF($I1805="Phản ánh",INDEX('Phản ánh'!$K$6:$K$505,MATCH($C1805,'Phản ánh'!$A$6:$A$505,0))&amp;"",IF($I1805="Công việc",INDEX('Kế hoạch'!$N$6:$N$305,$O1805)&amp;"",""))</f>
      </c>
      <c r="L1805" s="220">
        <f>IF(OR($C1805="",N($B1805)=0),"",IF(AND($I1805="Phản ánh",$E1805="Đã xử lý"),INDEX('Phản ánh'!$U$6:$U$505,MATCH($C1805,'Phản ánh'!$A$6:$A$505,0)),IF(AND($I1805="Công việc",OR($E1805="Hoàn thành",$E1805="Hoàn thành kỳ")),IF(INDEX('Kế hoạch'!$B$6:$B$305,$O1805)="Đột xuất",INDEX('Kế hoạch'!$AY$6:$AY$305,$O1805),IF(N($P1805)=0,"",IF(INT($B1805)&lt;$P1805,$P1805,IF($Q1805&gt;0,$P1805+ROUND((INT($B1805)-$P1805)/$Q1805,0)*$Q1805,IF($R1805&gt;0,EDATE($P1805,ROUND((DATEDIF($P1805,INT($B1805),"m")+(INT($B1805)-EDATE($P1805,DATEDIF($P1805,INT($B1805),"m")))/(EDATE($P1805,DATEDIF($P1805,INT($B1805),"m")+1)-EDATE($P1805,DATEDIF($P1805,INT($B1805),"m"))))/$R1805,0)*$R1805),$P1805))))),"")))</f>
      </c>
      <c r="M1805" s="223">
        <f>IF(OR($C1805="",N($L1805)=0,N($B1805)=0),"",IF(IF(MOD($L1805,1)=0,INT($B1805),$B1805)&lt;=$L1805,"Đúng hạn","Trễ hạn"))</f>
      </c>
      <c r="N1805" s="225">
        <f>IF($C1805="","",ROW())</f>
      </c>
      <c r="O1805" s="225">
        <f>IF($I1805="Công việc",MATCH($C1805,'Kế hoạch'!$A$6:$A$305,0),"")</f>
      </c>
      <c r="P1805" s="234">
        <f>IF($O1805="","",INDEX('Kế hoạch'!$I$6:$I$305,$O1805))</f>
      </c>
      <c r="Q1805" s="225">
        <f>IF($O1805="","",INDEX('Kế hoạch'!$AJ$6:$AJ$305,$O1805))</f>
      </c>
      <c r="R1805" s="225">
        <f>IF($O1805="","",INDEX('Kế hoạch'!$AK$6:$AK$305,$O1805))</f>
      </c>
    </row>
    <row r="1806">
      <c r="A1806" s="223">
        <f>IF($C1806="","",COUNTIF($C$6:$C1806,"?*"))</f>
      </c>
      <c r="B1806" s="217"/>
      <c r="C1806" s="216"/>
      <c r="D1806" s="240"/>
      <c r="E1806" s="218"/>
      <c r="F1806" s="218"/>
      <c r="G1806" s="218"/>
      <c r="H1806" s="219"/>
      <c r="I1806" s="223">
        <f>IF($C1806="","",IF(ISNUMBER(MATCH($C1806,'Phản ánh'!$A$6:$A$505,0)),"Phản ánh",IF(ISNUMBER(MATCH($C1806,'Kế hoạch'!$A$6:$A$305,0)),"Công việc","Mã chưa có")))</f>
      </c>
      <c r="J1806" s="221">
        <f>IF($I1806="Phản ánh",INDEX('Phản ánh'!$C$6:$C$505,MATCH($C1806,'Phản ánh'!$A$6:$A$505,0)),IF($I1806="Công việc",INDEX('Kế hoạch'!$C$6:$C$305,$O1806),""))</f>
      </c>
      <c r="K1806" s="221">
        <f>IF($I1806="Phản ánh",INDEX('Phản ánh'!$K$6:$K$505,MATCH($C1806,'Phản ánh'!$A$6:$A$505,0))&amp;"",IF($I1806="Công việc",INDEX('Kế hoạch'!$N$6:$N$305,$O1806)&amp;"",""))</f>
      </c>
      <c r="L1806" s="220">
        <f>IF(OR($C1806="",N($B1806)=0),"",IF(AND($I1806="Phản ánh",$E1806="Đã xử lý"),INDEX('Phản ánh'!$U$6:$U$505,MATCH($C1806,'Phản ánh'!$A$6:$A$505,0)),IF(AND($I1806="Công việc",OR($E1806="Hoàn thành",$E1806="Hoàn thành kỳ")),IF(INDEX('Kế hoạch'!$B$6:$B$305,$O1806)="Đột xuất",INDEX('Kế hoạch'!$AY$6:$AY$305,$O1806),IF(N($P1806)=0,"",IF(INT($B1806)&lt;$P1806,$P1806,IF($Q1806&gt;0,$P1806+ROUND((INT($B1806)-$P1806)/$Q1806,0)*$Q1806,IF($R1806&gt;0,EDATE($P1806,ROUND((DATEDIF($P1806,INT($B1806),"m")+(INT($B1806)-EDATE($P1806,DATEDIF($P1806,INT($B1806),"m")))/(EDATE($P1806,DATEDIF($P1806,INT($B1806),"m")+1)-EDATE($P1806,DATEDIF($P1806,INT($B1806),"m"))))/$R1806,0)*$R1806),$P1806))))),"")))</f>
      </c>
      <c r="M1806" s="223">
        <f>IF(OR($C1806="",N($L1806)=0,N($B1806)=0),"",IF(IF(MOD($L1806,1)=0,INT($B1806),$B1806)&lt;=$L1806,"Đúng hạn","Trễ hạn"))</f>
      </c>
      <c r="N1806" s="225">
        <f>IF($C1806="","",ROW())</f>
      </c>
      <c r="O1806" s="225">
        <f>IF($I1806="Công việc",MATCH($C1806,'Kế hoạch'!$A$6:$A$305,0),"")</f>
      </c>
      <c r="P1806" s="234">
        <f>IF($O1806="","",INDEX('Kế hoạch'!$I$6:$I$305,$O1806))</f>
      </c>
      <c r="Q1806" s="225">
        <f>IF($O1806="","",INDEX('Kế hoạch'!$AJ$6:$AJ$305,$O1806))</f>
      </c>
      <c r="R1806" s="225">
        <f>IF($O1806="","",INDEX('Kế hoạch'!$AK$6:$AK$305,$O1806))</f>
      </c>
    </row>
    <row r="1807">
      <c r="A1807" s="223">
        <f>IF($C1807="","",COUNTIF($C$6:$C1807,"?*"))</f>
      </c>
      <c r="B1807" s="217"/>
      <c r="C1807" s="216"/>
      <c r="D1807" s="240"/>
      <c r="E1807" s="218"/>
      <c r="F1807" s="218"/>
      <c r="G1807" s="218"/>
      <c r="H1807" s="219"/>
      <c r="I1807" s="223">
        <f>IF($C1807="","",IF(ISNUMBER(MATCH($C1807,'Phản ánh'!$A$6:$A$505,0)),"Phản ánh",IF(ISNUMBER(MATCH($C1807,'Kế hoạch'!$A$6:$A$305,0)),"Công việc","Mã chưa có")))</f>
      </c>
      <c r="J1807" s="221">
        <f>IF($I1807="Phản ánh",INDEX('Phản ánh'!$C$6:$C$505,MATCH($C1807,'Phản ánh'!$A$6:$A$505,0)),IF($I1807="Công việc",INDEX('Kế hoạch'!$C$6:$C$305,$O1807),""))</f>
      </c>
      <c r="K1807" s="221">
        <f>IF($I1807="Phản ánh",INDEX('Phản ánh'!$K$6:$K$505,MATCH($C1807,'Phản ánh'!$A$6:$A$505,0))&amp;"",IF($I1807="Công việc",INDEX('Kế hoạch'!$N$6:$N$305,$O1807)&amp;"",""))</f>
      </c>
      <c r="L1807" s="220">
        <f>IF(OR($C1807="",N($B1807)=0),"",IF(AND($I1807="Phản ánh",$E1807="Đã xử lý"),INDEX('Phản ánh'!$U$6:$U$505,MATCH($C1807,'Phản ánh'!$A$6:$A$505,0)),IF(AND($I1807="Công việc",OR($E1807="Hoàn thành",$E1807="Hoàn thành kỳ")),IF(INDEX('Kế hoạch'!$B$6:$B$305,$O1807)="Đột xuất",INDEX('Kế hoạch'!$AY$6:$AY$305,$O1807),IF(N($P1807)=0,"",IF(INT($B1807)&lt;$P1807,$P1807,IF($Q1807&gt;0,$P1807+ROUND((INT($B1807)-$P1807)/$Q1807,0)*$Q1807,IF($R1807&gt;0,EDATE($P1807,ROUND((DATEDIF($P1807,INT($B1807),"m")+(INT($B1807)-EDATE($P1807,DATEDIF($P1807,INT($B1807),"m")))/(EDATE($P1807,DATEDIF($P1807,INT($B1807),"m")+1)-EDATE($P1807,DATEDIF($P1807,INT($B1807),"m"))))/$R1807,0)*$R1807),$P1807))))),"")))</f>
      </c>
      <c r="M1807" s="223">
        <f>IF(OR($C1807="",N($L1807)=0,N($B1807)=0),"",IF(IF(MOD($L1807,1)=0,INT($B1807),$B1807)&lt;=$L1807,"Đúng hạn","Trễ hạn"))</f>
      </c>
      <c r="N1807" s="225">
        <f>IF($C1807="","",ROW())</f>
      </c>
      <c r="O1807" s="225">
        <f>IF($I1807="Công việc",MATCH($C1807,'Kế hoạch'!$A$6:$A$305,0),"")</f>
      </c>
      <c r="P1807" s="234">
        <f>IF($O1807="","",INDEX('Kế hoạch'!$I$6:$I$305,$O1807))</f>
      </c>
      <c r="Q1807" s="225">
        <f>IF($O1807="","",INDEX('Kế hoạch'!$AJ$6:$AJ$305,$O1807))</f>
      </c>
      <c r="R1807" s="225">
        <f>IF($O1807="","",INDEX('Kế hoạch'!$AK$6:$AK$305,$O1807))</f>
      </c>
    </row>
    <row r="1808">
      <c r="A1808" s="223">
        <f>IF($C1808="","",COUNTIF($C$6:$C1808,"?*"))</f>
      </c>
      <c r="B1808" s="217"/>
      <c r="C1808" s="216"/>
      <c r="D1808" s="240"/>
      <c r="E1808" s="218"/>
      <c r="F1808" s="218"/>
      <c r="G1808" s="218"/>
      <c r="H1808" s="219"/>
      <c r="I1808" s="223">
        <f>IF($C1808="","",IF(ISNUMBER(MATCH($C1808,'Phản ánh'!$A$6:$A$505,0)),"Phản ánh",IF(ISNUMBER(MATCH($C1808,'Kế hoạch'!$A$6:$A$305,0)),"Công việc","Mã chưa có")))</f>
      </c>
      <c r="J1808" s="221">
        <f>IF($I1808="Phản ánh",INDEX('Phản ánh'!$C$6:$C$505,MATCH($C1808,'Phản ánh'!$A$6:$A$505,0)),IF($I1808="Công việc",INDEX('Kế hoạch'!$C$6:$C$305,$O1808),""))</f>
      </c>
      <c r="K1808" s="221">
        <f>IF($I1808="Phản ánh",INDEX('Phản ánh'!$K$6:$K$505,MATCH($C1808,'Phản ánh'!$A$6:$A$505,0))&amp;"",IF($I1808="Công việc",INDEX('Kế hoạch'!$N$6:$N$305,$O1808)&amp;"",""))</f>
      </c>
      <c r="L1808" s="220">
        <f>IF(OR($C1808="",N($B1808)=0),"",IF(AND($I1808="Phản ánh",$E1808="Đã xử lý"),INDEX('Phản ánh'!$U$6:$U$505,MATCH($C1808,'Phản ánh'!$A$6:$A$505,0)),IF(AND($I1808="Công việc",OR($E1808="Hoàn thành",$E1808="Hoàn thành kỳ")),IF(INDEX('Kế hoạch'!$B$6:$B$305,$O1808)="Đột xuất",INDEX('Kế hoạch'!$AY$6:$AY$305,$O1808),IF(N($P1808)=0,"",IF(INT($B1808)&lt;$P1808,$P1808,IF($Q1808&gt;0,$P1808+ROUND((INT($B1808)-$P1808)/$Q1808,0)*$Q1808,IF($R1808&gt;0,EDATE($P1808,ROUND((DATEDIF($P1808,INT($B1808),"m")+(INT($B1808)-EDATE($P1808,DATEDIF($P1808,INT($B1808),"m")))/(EDATE($P1808,DATEDIF($P1808,INT($B1808),"m")+1)-EDATE($P1808,DATEDIF($P1808,INT($B1808),"m"))))/$R1808,0)*$R1808),$P1808))))),"")))</f>
      </c>
      <c r="M1808" s="223">
        <f>IF(OR($C1808="",N($L1808)=0,N($B1808)=0),"",IF(IF(MOD($L1808,1)=0,INT($B1808),$B1808)&lt;=$L1808,"Đúng hạn","Trễ hạn"))</f>
      </c>
      <c r="N1808" s="225">
        <f>IF($C1808="","",ROW())</f>
      </c>
      <c r="O1808" s="225">
        <f>IF($I1808="Công việc",MATCH($C1808,'Kế hoạch'!$A$6:$A$305,0),"")</f>
      </c>
      <c r="P1808" s="234">
        <f>IF($O1808="","",INDEX('Kế hoạch'!$I$6:$I$305,$O1808))</f>
      </c>
      <c r="Q1808" s="225">
        <f>IF($O1808="","",INDEX('Kế hoạch'!$AJ$6:$AJ$305,$O1808))</f>
      </c>
      <c r="R1808" s="225">
        <f>IF($O1808="","",INDEX('Kế hoạch'!$AK$6:$AK$305,$O1808))</f>
      </c>
    </row>
    <row r="1809">
      <c r="A1809" s="223">
        <f>IF($C1809="","",COUNTIF($C$6:$C1809,"?*"))</f>
      </c>
      <c r="B1809" s="217"/>
      <c r="C1809" s="216"/>
      <c r="D1809" s="240"/>
      <c r="E1809" s="218"/>
      <c r="F1809" s="218"/>
      <c r="G1809" s="218"/>
      <c r="H1809" s="219"/>
      <c r="I1809" s="223">
        <f>IF($C1809="","",IF(ISNUMBER(MATCH($C1809,'Phản ánh'!$A$6:$A$505,0)),"Phản ánh",IF(ISNUMBER(MATCH($C1809,'Kế hoạch'!$A$6:$A$305,0)),"Công việc","Mã chưa có")))</f>
      </c>
      <c r="J1809" s="221">
        <f>IF($I1809="Phản ánh",INDEX('Phản ánh'!$C$6:$C$505,MATCH($C1809,'Phản ánh'!$A$6:$A$505,0)),IF($I1809="Công việc",INDEX('Kế hoạch'!$C$6:$C$305,$O1809),""))</f>
      </c>
      <c r="K1809" s="221">
        <f>IF($I1809="Phản ánh",INDEX('Phản ánh'!$K$6:$K$505,MATCH($C1809,'Phản ánh'!$A$6:$A$505,0))&amp;"",IF($I1809="Công việc",INDEX('Kế hoạch'!$N$6:$N$305,$O1809)&amp;"",""))</f>
      </c>
      <c r="L1809" s="220">
        <f>IF(OR($C1809="",N($B1809)=0),"",IF(AND($I1809="Phản ánh",$E1809="Đã xử lý"),INDEX('Phản ánh'!$U$6:$U$505,MATCH($C1809,'Phản ánh'!$A$6:$A$505,0)),IF(AND($I1809="Công việc",OR($E1809="Hoàn thành",$E1809="Hoàn thành kỳ")),IF(INDEX('Kế hoạch'!$B$6:$B$305,$O1809)="Đột xuất",INDEX('Kế hoạch'!$AY$6:$AY$305,$O1809),IF(N($P1809)=0,"",IF(INT($B1809)&lt;$P1809,$P1809,IF($Q1809&gt;0,$P1809+ROUND((INT($B1809)-$P1809)/$Q1809,0)*$Q1809,IF($R1809&gt;0,EDATE($P1809,ROUND((DATEDIF($P1809,INT($B1809),"m")+(INT($B1809)-EDATE($P1809,DATEDIF($P1809,INT($B1809),"m")))/(EDATE($P1809,DATEDIF($P1809,INT($B1809),"m")+1)-EDATE($P1809,DATEDIF($P1809,INT($B1809),"m"))))/$R1809,0)*$R1809),$P1809))))),"")))</f>
      </c>
      <c r="M1809" s="223">
        <f>IF(OR($C1809="",N($L1809)=0,N($B1809)=0),"",IF(IF(MOD($L1809,1)=0,INT($B1809),$B1809)&lt;=$L1809,"Đúng hạn","Trễ hạn"))</f>
      </c>
      <c r="N1809" s="225">
        <f>IF($C1809="","",ROW())</f>
      </c>
      <c r="O1809" s="225">
        <f>IF($I1809="Công việc",MATCH($C1809,'Kế hoạch'!$A$6:$A$305,0),"")</f>
      </c>
      <c r="P1809" s="234">
        <f>IF($O1809="","",INDEX('Kế hoạch'!$I$6:$I$305,$O1809))</f>
      </c>
      <c r="Q1809" s="225">
        <f>IF($O1809="","",INDEX('Kế hoạch'!$AJ$6:$AJ$305,$O1809))</f>
      </c>
      <c r="R1809" s="225">
        <f>IF($O1809="","",INDEX('Kế hoạch'!$AK$6:$AK$305,$O1809))</f>
      </c>
    </row>
    <row r="1810">
      <c r="A1810" s="223">
        <f>IF($C1810="","",COUNTIF($C$6:$C1810,"?*"))</f>
      </c>
      <c r="B1810" s="217"/>
      <c r="C1810" s="216"/>
      <c r="D1810" s="240"/>
      <c r="E1810" s="218"/>
      <c r="F1810" s="218"/>
      <c r="G1810" s="218"/>
      <c r="H1810" s="219"/>
      <c r="I1810" s="223">
        <f>IF($C1810="","",IF(ISNUMBER(MATCH($C1810,'Phản ánh'!$A$6:$A$505,0)),"Phản ánh",IF(ISNUMBER(MATCH($C1810,'Kế hoạch'!$A$6:$A$305,0)),"Công việc","Mã chưa có")))</f>
      </c>
      <c r="J1810" s="221">
        <f>IF($I1810="Phản ánh",INDEX('Phản ánh'!$C$6:$C$505,MATCH($C1810,'Phản ánh'!$A$6:$A$505,0)),IF($I1810="Công việc",INDEX('Kế hoạch'!$C$6:$C$305,$O1810),""))</f>
      </c>
      <c r="K1810" s="221">
        <f>IF($I1810="Phản ánh",INDEX('Phản ánh'!$K$6:$K$505,MATCH($C1810,'Phản ánh'!$A$6:$A$505,0))&amp;"",IF($I1810="Công việc",INDEX('Kế hoạch'!$N$6:$N$305,$O1810)&amp;"",""))</f>
      </c>
      <c r="L1810" s="220">
        <f>IF(OR($C1810="",N($B1810)=0),"",IF(AND($I1810="Phản ánh",$E1810="Đã xử lý"),INDEX('Phản ánh'!$U$6:$U$505,MATCH($C1810,'Phản ánh'!$A$6:$A$505,0)),IF(AND($I1810="Công việc",OR($E1810="Hoàn thành",$E1810="Hoàn thành kỳ")),IF(INDEX('Kế hoạch'!$B$6:$B$305,$O1810)="Đột xuất",INDEX('Kế hoạch'!$AY$6:$AY$305,$O1810),IF(N($P1810)=0,"",IF(INT($B1810)&lt;$P1810,$P1810,IF($Q1810&gt;0,$P1810+ROUND((INT($B1810)-$P1810)/$Q1810,0)*$Q1810,IF($R1810&gt;0,EDATE($P1810,ROUND((DATEDIF($P1810,INT($B1810),"m")+(INT($B1810)-EDATE($P1810,DATEDIF($P1810,INT($B1810),"m")))/(EDATE($P1810,DATEDIF($P1810,INT($B1810),"m")+1)-EDATE($P1810,DATEDIF($P1810,INT($B1810),"m"))))/$R1810,0)*$R1810),$P1810))))),"")))</f>
      </c>
      <c r="M1810" s="223">
        <f>IF(OR($C1810="",N($L1810)=0,N($B1810)=0),"",IF(IF(MOD($L1810,1)=0,INT($B1810),$B1810)&lt;=$L1810,"Đúng hạn","Trễ hạn"))</f>
      </c>
      <c r="N1810" s="225">
        <f>IF($C1810="","",ROW())</f>
      </c>
      <c r="O1810" s="225">
        <f>IF($I1810="Công việc",MATCH($C1810,'Kế hoạch'!$A$6:$A$305,0),"")</f>
      </c>
      <c r="P1810" s="234">
        <f>IF($O1810="","",INDEX('Kế hoạch'!$I$6:$I$305,$O1810))</f>
      </c>
      <c r="Q1810" s="225">
        <f>IF($O1810="","",INDEX('Kế hoạch'!$AJ$6:$AJ$305,$O1810))</f>
      </c>
      <c r="R1810" s="225">
        <f>IF($O1810="","",INDEX('Kế hoạch'!$AK$6:$AK$305,$O1810))</f>
      </c>
    </row>
    <row r="1811">
      <c r="A1811" s="223">
        <f>IF($C1811="","",COUNTIF($C$6:$C1811,"?*"))</f>
      </c>
      <c r="B1811" s="217"/>
      <c r="C1811" s="216"/>
      <c r="D1811" s="240"/>
      <c r="E1811" s="218"/>
      <c r="F1811" s="218"/>
      <c r="G1811" s="218"/>
      <c r="H1811" s="219"/>
      <c r="I1811" s="223">
        <f>IF($C1811="","",IF(ISNUMBER(MATCH($C1811,'Phản ánh'!$A$6:$A$505,0)),"Phản ánh",IF(ISNUMBER(MATCH($C1811,'Kế hoạch'!$A$6:$A$305,0)),"Công việc","Mã chưa có")))</f>
      </c>
      <c r="J1811" s="221">
        <f>IF($I1811="Phản ánh",INDEX('Phản ánh'!$C$6:$C$505,MATCH($C1811,'Phản ánh'!$A$6:$A$505,0)),IF($I1811="Công việc",INDEX('Kế hoạch'!$C$6:$C$305,$O1811),""))</f>
      </c>
      <c r="K1811" s="221">
        <f>IF($I1811="Phản ánh",INDEX('Phản ánh'!$K$6:$K$505,MATCH($C1811,'Phản ánh'!$A$6:$A$505,0))&amp;"",IF($I1811="Công việc",INDEX('Kế hoạch'!$N$6:$N$305,$O1811)&amp;"",""))</f>
      </c>
      <c r="L1811" s="220">
        <f>IF(OR($C1811="",N($B1811)=0),"",IF(AND($I1811="Phản ánh",$E1811="Đã xử lý"),INDEX('Phản ánh'!$U$6:$U$505,MATCH($C1811,'Phản ánh'!$A$6:$A$505,0)),IF(AND($I1811="Công việc",OR($E1811="Hoàn thành",$E1811="Hoàn thành kỳ")),IF(INDEX('Kế hoạch'!$B$6:$B$305,$O1811)="Đột xuất",INDEX('Kế hoạch'!$AY$6:$AY$305,$O1811),IF(N($P1811)=0,"",IF(INT($B1811)&lt;$P1811,$P1811,IF($Q1811&gt;0,$P1811+ROUND((INT($B1811)-$P1811)/$Q1811,0)*$Q1811,IF($R1811&gt;0,EDATE($P1811,ROUND((DATEDIF($P1811,INT($B1811),"m")+(INT($B1811)-EDATE($P1811,DATEDIF($P1811,INT($B1811),"m")))/(EDATE($P1811,DATEDIF($P1811,INT($B1811),"m")+1)-EDATE($P1811,DATEDIF($P1811,INT($B1811),"m"))))/$R1811,0)*$R1811),$P1811))))),"")))</f>
      </c>
      <c r="M1811" s="223">
        <f>IF(OR($C1811="",N($L1811)=0,N($B1811)=0),"",IF(IF(MOD($L1811,1)=0,INT($B1811),$B1811)&lt;=$L1811,"Đúng hạn","Trễ hạn"))</f>
      </c>
      <c r="N1811" s="225">
        <f>IF($C1811="","",ROW())</f>
      </c>
      <c r="O1811" s="225">
        <f>IF($I1811="Công việc",MATCH($C1811,'Kế hoạch'!$A$6:$A$305,0),"")</f>
      </c>
      <c r="P1811" s="234">
        <f>IF($O1811="","",INDEX('Kế hoạch'!$I$6:$I$305,$O1811))</f>
      </c>
      <c r="Q1811" s="225">
        <f>IF($O1811="","",INDEX('Kế hoạch'!$AJ$6:$AJ$305,$O1811))</f>
      </c>
      <c r="R1811" s="225">
        <f>IF($O1811="","",INDEX('Kế hoạch'!$AK$6:$AK$305,$O1811))</f>
      </c>
    </row>
    <row r="1812">
      <c r="A1812" s="223">
        <f>IF($C1812="","",COUNTIF($C$6:$C1812,"?*"))</f>
      </c>
      <c r="B1812" s="217"/>
      <c r="C1812" s="216"/>
      <c r="D1812" s="240"/>
      <c r="E1812" s="218"/>
      <c r="F1812" s="218"/>
      <c r="G1812" s="218"/>
      <c r="H1812" s="219"/>
      <c r="I1812" s="223">
        <f>IF($C1812="","",IF(ISNUMBER(MATCH($C1812,'Phản ánh'!$A$6:$A$505,0)),"Phản ánh",IF(ISNUMBER(MATCH($C1812,'Kế hoạch'!$A$6:$A$305,0)),"Công việc","Mã chưa có")))</f>
      </c>
      <c r="J1812" s="221">
        <f>IF($I1812="Phản ánh",INDEX('Phản ánh'!$C$6:$C$505,MATCH($C1812,'Phản ánh'!$A$6:$A$505,0)),IF($I1812="Công việc",INDEX('Kế hoạch'!$C$6:$C$305,$O1812),""))</f>
      </c>
      <c r="K1812" s="221">
        <f>IF($I1812="Phản ánh",INDEX('Phản ánh'!$K$6:$K$505,MATCH($C1812,'Phản ánh'!$A$6:$A$505,0))&amp;"",IF($I1812="Công việc",INDEX('Kế hoạch'!$N$6:$N$305,$O1812)&amp;"",""))</f>
      </c>
      <c r="L1812" s="220">
        <f>IF(OR($C1812="",N($B1812)=0),"",IF(AND($I1812="Phản ánh",$E1812="Đã xử lý"),INDEX('Phản ánh'!$U$6:$U$505,MATCH($C1812,'Phản ánh'!$A$6:$A$505,0)),IF(AND($I1812="Công việc",OR($E1812="Hoàn thành",$E1812="Hoàn thành kỳ")),IF(INDEX('Kế hoạch'!$B$6:$B$305,$O1812)="Đột xuất",INDEX('Kế hoạch'!$AY$6:$AY$305,$O1812),IF(N($P1812)=0,"",IF(INT($B1812)&lt;$P1812,$P1812,IF($Q1812&gt;0,$P1812+ROUND((INT($B1812)-$P1812)/$Q1812,0)*$Q1812,IF($R1812&gt;0,EDATE($P1812,ROUND((DATEDIF($P1812,INT($B1812),"m")+(INT($B1812)-EDATE($P1812,DATEDIF($P1812,INT($B1812),"m")))/(EDATE($P1812,DATEDIF($P1812,INT($B1812),"m")+1)-EDATE($P1812,DATEDIF($P1812,INT($B1812),"m"))))/$R1812,0)*$R1812),$P1812))))),"")))</f>
      </c>
      <c r="M1812" s="223">
        <f>IF(OR($C1812="",N($L1812)=0,N($B1812)=0),"",IF(IF(MOD($L1812,1)=0,INT($B1812),$B1812)&lt;=$L1812,"Đúng hạn","Trễ hạn"))</f>
      </c>
      <c r="N1812" s="225">
        <f>IF($C1812="","",ROW())</f>
      </c>
      <c r="O1812" s="225">
        <f>IF($I1812="Công việc",MATCH($C1812,'Kế hoạch'!$A$6:$A$305,0),"")</f>
      </c>
      <c r="P1812" s="234">
        <f>IF($O1812="","",INDEX('Kế hoạch'!$I$6:$I$305,$O1812))</f>
      </c>
      <c r="Q1812" s="225">
        <f>IF($O1812="","",INDEX('Kế hoạch'!$AJ$6:$AJ$305,$O1812))</f>
      </c>
      <c r="R1812" s="225">
        <f>IF($O1812="","",INDEX('Kế hoạch'!$AK$6:$AK$305,$O1812))</f>
      </c>
    </row>
    <row r="1813">
      <c r="A1813" s="223">
        <f>IF($C1813="","",COUNTIF($C$6:$C1813,"?*"))</f>
      </c>
      <c r="B1813" s="217"/>
      <c r="C1813" s="216"/>
      <c r="D1813" s="240"/>
      <c r="E1813" s="218"/>
      <c r="F1813" s="218"/>
      <c r="G1813" s="218"/>
      <c r="H1813" s="219"/>
      <c r="I1813" s="223">
        <f>IF($C1813="","",IF(ISNUMBER(MATCH($C1813,'Phản ánh'!$A$6:$A$505,0)),"Phản ánh",IF(ISNUMBER(MATCH($C1813,'Kế hoạch'!$A$6:$A$305,0)),"Công việc","Mã chưa có")))</f>
      </c>
      <c r="J1813" s="221">
        <f>IF($I1813="Phản ánh",INDEX('Phản ánh'!$C$6:$C$505,MATCH($C1813,'Phản ánh'!$A$6:$A$505,0)),IF($I1813="Công việc",INDEX('Kế hoạch'!$C$6:$C$305,$O1813),""))</f>
      </c>
      <c r="K1813" s="221">
        <f>IF($I1813="Phản ánh",INDEX('Phản ánh'!$K$6:$K$505,MATCH($C1813,'Phản ánh'!$A$6:$A$505,0))&amp;"",IF($I1813="Công việc",INDEX('Kế hoạch'!$N$6:$N$305,$O1813)&amp;"",""))</f>
      </c>
      <c r="L1813" s="220">
        <f>IF(OR($C1813="",N($B1813)=0),"",IF(AND($I1813="Phản ánh",$E1813="Đã xử lý"),INDEX('Phản ánh'!$U$6:$U$505,MATCH($C1813,'Phản ánh'!$A$6:$A$505,0)),IF(AND($I1813="Công việc",OR($E1813="Hoàn thành",$E1813="Hoàn thành kỳ")),IF(INDEX('Kế hoạch'!$B$6:$B$305,$O1813)="Đột xuất",INDEX('Kế hoạch'!$AY$6:$AY$305,$O1813),IF(N($P1813)=0,"",IF(INT($B1813)&lt;$P1813,$P1813,IF($Q1813&gt;0,$P1813+ROUND((INT($B1813)-$P1813)/$Q1813,0)*$Q1813,IF($R1813&gt;0,EDATE($P1813,ROUND((DATEDIF($P1813,INT($B1813),"m")+(INT($B1813)-EDATE($P1813,DATEDIF($P1813,INT($B1813),"m")))/(EDATE($P1813,DATEDIF($P1813,INT($B1813),"m")+1)-EDATE($P1813,DATEDIF($P1813,INT($B1813),"m"))))/$R1813,0)*$R1813),$P1813))))),"")))</f>
      </c>
      <c r="M1813" s="223">
        <f>IF(OR($C1813="",N($L1813)=0,N($B1813)=0),"",IF(IF(MOD($L1813,1)=0,INT($B1813),$B1813)&lt;=$L1813,"Đúng hạn","Trễ hạn"))</f>
      </c>
      <c r="N1813" s="225">
        <f>IF($C1813="","",ROW())</f>
      </c>
      <c r="O1813" s="225">
        <f>IF($I1813="Công việc",MATCH($C1813,'Kế hoạch'!$A$6:$A$305,0),"")</f>
      </c>
      <c r="P1813" s="234">
        <f>IF($O1813="","",INDEX('Kế hoạch'!$I$6:$I$305,$O1813))</f>
      </c>
      <c r="Q1813" s="225">
        <f>IF($O1813="","",INDEX('Kế hoạch'!$AJ$6:$AJ$305,$O1813))</f>
      </c>
      <c r="R1813" s="225">
        <f>IF($O1813="","",INDEX('Kế hoạch'!$AK$6:$AK$305,$O1813))</f>
      </c>
    </row>
    <row r="1814">
      <c r="A1814" s="223">
        <f>IF($C1814="","",COUNTIF($C$6:$C1814,"?*"))</f>
      </c>
      <c r="B1814" s="217"/>
      <c r="C1814" s="216"/>
      <c r="D1814" s="240"/>
      <c r="E1814" s="218"/>
      <c r="F1814" s="218"/>
      <c r="G1814" s="218"/>
      <c r="H1814" s="219"/>
      <c r="I1814" s="223">
        <f>IF($C1814="","",IF(ISNUMBER(MATCH($C1814,'Phản ánh'!$A$6:$A$505,0)),"Phản ánh",IF(ISNUMBER(MATCH($C1814,'Kế hoạch'!$A$6:$A$305,0)),"Công việc","Mã chưa có")))</f>
      </c>
      <c r="J1814" s="221">
        <f>IF($I1814="Phản ánh",INDEX('Phản ánh'!$C$6:$C$505,MATCH($C1814,'Phản ánh'!$A$6:$A$505,0)),IF($I1814="Công việc",INDEX('Kế hoạch'!$C$6:$C$305,$O1814),""))</f>
      </c>
      <c r="K1814" s="221">
        <f>IF($I1814="Phản ánh",INDEX('Phản ánh'!$K$6:$K$505,MATCH($C1814,'Phản ánh'!$A$6:$A$505,0))&amp;"",IF($I1814="Công việc",INDEX('Kế hoạch'!$N$6:$N$305,$O1814)&amp;"",""))</f>
      </c>
      <c r="L1814" s="220">
        <f>IF(OR($C1814="",N($B1814)=0),"",IF(AND($I1814="Phản ánh",$E1814="Đã xử lý"),INDEX('Phản ánh'!$U$6:$U$505,MATCH($C1814,'Phản ánh'!$A$6:$A$505,0)),IF(AND($I1814="Công việc",OR($E1814="Hoàn thành",$E1814="Hoàn thành kỳ")),IF(INDEX('Kế hoạch'!$B$6:$B$305,$O1814)="Đột xuất",INDEX('Kế hoạch'!$AY$6:$AY$305,$O1814),IF(N($P1814)=0,"",IF(INT($B1814)&lt;$P1814,$P1814,IF($Q1814&gt;0,$P1814+ROUND((INT($B1814)-$P1814)/$Q1814,0)*$Q1814,IF($R1814&gt;0,EDATE($P1814,ROUND((DATEDIF($P1814,INT($B1814),"m")+(INT($B1814)-EDATE($P1814,DATEDIF($P1814,INT($B1814),"m")))/(EDATE($P1814,DATEDIF($P1814,INT($B1814),"m")+1)-EDATE($P1814,DATEDIF($P1814,INT($B1814),"m"))))/$R1814,0)*$R1814),$P1814))))),"")))</f>
      </c>
      <c r="M1814" s="223">
        <f>IF(OR($C1814="",N($L1814)=0,N($B1814)=0),"",IF(IF(MOD($L1814,1)=0,INT($B1814),$B1814)&lt;=$L1814,"Đúng hạn","Trễ hạn"))</f>
      </c>
      <c r="N1814" s="225">
        <f>IF($C1814="","",ROW())</f>
      </c>
      <c r="O1814" s="225">
        <f>IF($I1814="Công việc",MATCH($C1814,'Kế hoạch'!$A$6:$A$305,0),"")</f>
      </c>
      <c r="P1814" s="234">
        <f>IF($O1814="","",INDEX('Kế hoạch'!$I$6:$I$305,$O1814))</f>
      </c>
      <c r="Q1814" s="225">
        <f>IF($O1814="","",INDEX('Kế hoạch'!$AJ$6:$AJ$305,$O1814))</f>
      </c>
      <c r="R1814" s="225">
        <f>IF($O1814="","",INDEX('Kế hoạch'!$AK$6:$AK$305,$O1814))</f>
      </c>
    </row>
    <row r="1815">
      <c r="A1815" s="223">
        <f>IF($C1815="","",COUNTIF($C$6:$C1815,"?*"))</f>
      </c>
      <c r="B1815" s="217"/>
      <c r="C1815" s="216"/>
      <c r="D1815" s="240"/>
      <c r="E1815" s="218"/>
      <c r="F1815" s="218"/>
      <c r="G1815" s="218"/>
      <c r="H1815" s="219"/>
      <c r="I1815" s="223">
        <f>IF($C1815="","",IF(ISNUMBER(MATCH($C1815,'Phản ánh'!$A$6:$A$505,0)),"Phản ánh",IF(ISNUMBER(MATCH($C1815,'Kế hoạch'!$A$6:$A$305,0)),"Công việc","Mã chưa có")))</f>
      </c>
      <c r="J1815" s="221">
        <f>IF($I1815="Phản ánh",INDEX('Phản ánh'!$C$6:$C$505,MATCH($C1815,'Phản ánh'!$A$6:$A$505,0)),IF($I1815="Công việc",INDEX('Kế hoạch'!$C$6:$C$305,$O1815),""))</f>
      </c>
      <c r="K1815" s="221">
        <f>IF($I1815="Phản ánh",INDEX('Phản ánh'!$K$6:$K$505,MATCH($C1815,'Phản ánh'!$A$6:$A$505,0))&amp;"",IF($I1815="Công việc",INDEX('Kế hoạch'!$N$6:$N$305,$O1815)&amp;"",""))</f>
      </c>
      <c r="L1815" s="220">
        <f>IF(OR($C1815="",N($B1815)=0),"",IF(AND($I1815="Phản ánh",$E1815="Đã xử lý"),INDEX('Phản ánh'!$U$6:$U$505,MATCH($C1815,'Phản ánh'!$A$6:$A$505,0)),IF(AND($I1815="Công việc",OR($E1815="Hoàn thành",$E1815="Hoàn thành kỳ")),IF(INDEX('Kế hoạch'!$B$6:$B$305,$O1815)="Đột xuất",INDEX('Kế hoạch'!$AY$6:$AY$305,$O1815),IF(N($P1815)=0,"",IF(INT($B1815)&lt;$P1815,$P1815,IF($Q1815&gt;0,$P1815+ROUND((INT($B1815)-$P1815)/$Q1815,0)*$Q1815,IF($R1815&gt;0,EDATE($P1815,ROUND((DATEDIF($P1815,INT($B1815),"m")+(INT($B1815)-EDATE($P1815,DATEDIF($P1815,INT($B1815),"m")))/(EDATE($P1815,DATEDIF($P1815,INT($B1815),"m")+1)-EDATE($P1815,DATEDIF($P1815,INT($B1815),"m"))))/$R1815,0)*$R1815),$P1815))))),"")))</f>
      </c>
      <c r="M1815" s="223">
        <f>IF(OR($C1815="",N($L1815)=0,N($B1815)=0),"",IF(IF(MOD($L1815,1)=0,INT($B1815),$B1815)&lt;=$L1815,"Đúng hạn","Trễ hạn"))</f>
      </c>
      <c r="N1815" s="225">
        <f>IF($C1815="","",ROW())</f>
      </c>
      <c r="O1815" s="225">
        <f>IF($I1815="Công việc",MATCH($C1815,'Kế hoạch'!$A$6:$A$305,0),"")</f>
      </c>
      <c r="P1815" s="234">
        <f>IF($O1815="","",INDEX('Kế hoạch'!$I$6:$I$305,$O1815))</f>
      </c>
      <c r="Q1815" s="225">
        <f>IF($O1815="","",INDEX('Kế hoạch'!$AJ$6:$AJ$305,$O1815))</f>
      </c>
      <c r="R1815" s="225">
        <f>IF($O1815="","",INDEX('Kế hoạch'!$AK$6:$AK$305,$O1815))</f>
      </c>
    </row>
    <row r="1816">
      <c r="A1816" s="223">
        <f>IF($C1816="","",COUNTIF($C$6:$C1816,"?*"))</f>
      </c>
      <c r="B1816" s="217"/>
      <c r="C1816" s="216"/>
      <c r="D1816" s="240"/>
      <c r="E1816" s="218"/>
      <c r="F1816" s="218"/>
      <c r="G1816" s="218"/>
      <c r="H1816" s="219"/>
      <c r="I1816" s="223">
        <f>IF($C1816="","",IF(ISNUMBER(MATCH($C1816,'Phản ánh'!$A$6:$A$505,0)),"Phản ánh",IF(ISNUMBER(MATCH($C1816,'Kế hoạch'!$A$6:$A$305,0)),"Công việc","Mã chưa có")))</f>
      </c>
      <c r="J1816" s="221">
        <f>IF($I1816="Phản ánh",INDEX('Phản ánh'!$C$6:$C$505,MATCH($C1816,'Phản ánh'!$A$6:$A$505,0)),IF($I1816="Công việc",INDEX('Kế hoạch'!$C$6:$C$305,$O1816),""))</f>
      </c>
      <c r="K1816" s="221">
        <f>IF($I1816="Phản ánh",INDEX('Phản ánh'!$K$6:$K$505,MATCH($C1816,'Phản ánh'!$A$6:$A$505,0))&amp;"",IF($I1816="Công việc",INDEX('Kế hoạch'!$N$6:$N$305,$O1816)&amp;"",""))</f>
      </c>
      <c r="L1816" s="220">
        <f>IF(OR($C1816="",N($B1816)=0),"",IF(AND($I1816="Phản ánh",$E1816="Đã xử lý"),INDEX('Phản ánh'!$U$6:$U$505,MATCH($C1816,'Phản ánh'!$A$6:$A$505,0)),IF(AND($I1816="Công việc",OR($E1816="Hoàn thành",$E1816="Hoàn thành kỳ")),IF(INDEX('Kế hoạch'!$B$6:$B$305,$O1816)="Đột xuất",INDEX('Kế hoạch'!$AY$6:$AY$305,$O1816),IF(N($P1816)=0,"",IF(INT($B1816)&lt;$P1816,$P1816,IF($Q1816&gt;0,$P1816+ROUND((INT($B1816)-$P1816)/$Q1816,0)*$Q1816,IF($R1816&gt;0,EDATE($P1816,ROUND((DATEDIF($P1816,INT($B1816),"m")+(INT($B1816)-EDATE($P1816,DATEDIF($P1816,INT($B1816),"m")))/(EDATE($P1816,DATEDIF($P1816,INT($B1816),"m")+1)-EDATE($P1816,DATEDIF($P1816,INT($B1816),"m"))))/$R1816,0)*$R1816),$P1816))))),"")))</f>
      </c>
      <c r="M1816" s="223">
        <f>IF(OR($C1816="",N($L1816)=0,N($B1816)=0),"",IF(IF(MOD($L1816,1)=0,INT($B1816),$B1816)&lt;=$L1816,"Đúng hạn","Trễ hạn"))</f>
      </c>
      <c r="N1816" s="225">
        <f>IF($C1816="","",ROW())</f>
      </c>
      <c r="O1816" s="225">
        <f>IF($I1816="Công việc",MATCH($C1816,'Kế hoạch'!$A$6:$A$305,0),"")</f>
      </c>
      <c r="P1816" s="234">
        <f>IF($O1816="","",INDEX('Kế hoạch'!$I$6:$I$305,$O1816))</f>
      </c>
      <c r="Q1816" s="225">
        <f>IF($O1816="","",INDEX('Kế hoạch'!$AJ$6:$AJ$305,$O1816))</f>
      </c>
      <c r="R1816" s="225">
        <f>IF($O1816="","",INDEX('Kế hoạch'!$AK$6:$AK$305,$O1816))</f>
      </c>
    </row>
    <row r="1817">
      <c r="A1817" s="223">
        <f>IF($C1817="","",COUNTIF($C$6:$C1817,"?*"))</f>
      </c>
      <c r="B1817" s="217"/>
      <c r="C1817" s="216"/>
      <c r="D1817" s="240"/>
      <c r="E1817" s="218"/>
      <c r="F1817" s="218"/>
      <c r="G1817" s="218"/>
      <c r="H1817" s="219"/>
      <c r="I1817" s="223">
        <f>IF($C1817="","",IF(ISNUMBER(MATCH($C1817,'Phản ánh'!$A$6:$A$505,0)),"Phản ánh",IF(ISNUMBER(MATCH($C1817,'Kế hoạch'!$A$6:$A$305,0)),"Công việc","Mã chưa có")))</f>
      </c>
      <c r="J1817" s="221">
        <f>IF($I1817="Phản ánh",INDEX('Phản ánh'!$C$6:$C$505,MATCH($C1817,'Phản ánh'!$A$6:$A$505,0)),IF($I1817="Công việc",INDEX('Kế hoạch'!$C$6:$C$305,$O1817),""))</f>
      </c>
      <c r="K1817" s="221">
        <f>IF($I1817="Phản ánh",INDEX('Phản ánh'!$K$6:$K$505,MATCH($C1817,'Phản ánh'!$A$6:$A$505,0))&amp;"",IF($I1817="Công việc",INDEX('Kế hoạch'!$N$6:$N$305,$O1817)&amp;"",""))</f>
      </c>
      <c r="L1817" s="220">
        <f>IF(OR($C1817="",N($B1817)=0),"",IF(AND($I1817="Phản ánh",$E1817="Đã xử lý"),INDEX('Phản ánh'!$U$6:$U$505,MATCH($C1817,'Phản ánh'!$A$6:$A$505,0)),IF(AND($I1817="Công việc",OR($E1817="Hoàn thành",$E1817="Hoàn thành kỳ")),IF(INDEX('Kế hoạch'!$B$6:$B$305,$O1817)="Đột xuất",INDEX('Kế hoạch'!$AY$6:$AY$305,$O1817),IF(N($P1817)=0,"",IF(INT($B1817)&lt;$P1817,$P1817,IF($Q1817&gt;0,$P1817+ROUND((INT($B1817)-$P1817)/$Q1817,0)*$Q1817,IF($R1817&gt;0,EDATE($P1817,ROUND((DATEDIF($P1817,INT($B1817),"m")+(INT($B1817)-EDATE($P1817,DATEDIF($P1817,INT($B1817),"m")))/(EDATE($P1817,DATEDIF($P1817,INT($B1817),"m")+1)-EDATE($P1817,DATEDIF($P1817,INT($B1817),"m"))))/$R1817,0)*$R1817),$P1817))))),"")))</f>
      </c>
      <c r="M1817" s="223">
        <f>IF(OR($C1817="",N($L1817)=0,N($B1817)=0),"",IF(IF(MOD($L1817,1)=0,INT($B1817),$B1817)&lt;=$L1817,"Đúng hạn","Trễ hạn"))</f>
      </c>
      <c r="N1817" s="225">
        <f>IF($C1817="","",ROW())</f>
      </c>
      <c r="O1817" s="225">
        <f>IF($I1817="Công việc",MATCH($C1817,'Kế hoạch'!$A$6:$A$305,0),"")</f>
      </c>
      <c r="P1817" s="234">
        <f>IF($O1817="","",INDEX('Kế hoạch'!$I$6:$I$305,$O1817))</f>
      </c>
      <c r="Q1817" s="225">
        <f>IF($O1817="","",INDEX('Kế hoạch'!$AJ$6:$AJ$305,$O1817))</f>
      </c>
      <c r="R1817" s="225">
        <f>IF($O1817="","",INDEX('Kế hoạch'!$AK$6:$AK$305,$O1817))</f>
      </c>
    </row>
    <row r="1818">
      <c r="A1818" s="223">
        <f>IF($C1818="","",COUNTIF($C$6:$C1818,"?*"))</f>
      </c>
      <c r="B1818" s="217"/>
      <c r="C1818" s="216"/>
      <c r="D1818" s="240"/>
      <c r="E1818" s="218"/>
      <c r="F1818" s="218"/>
      <c r="G1818" s="218"/>
      <c r="H1818" s="219"/>
      <c r="I1818" s="223">
        <f>IF($C1818="","",IF(ISNUMBER(MATCH($C1818,'Phản ánh'!$A$6:$A$505,0)),"Phản ánh",IF(ISNUMBER(MATCH($C1818,'Kế hoạch'!$A$6:$A$305,0)),"Công việc","Mã chưa có")))</f>
      </c>
      <c r="J1818" s="221">
        <f>IF($I1818="Phản ánh",INDEX('Phản ánh'!$C$6:$C$505,MATCH($C1818,'Phản ánh'!$A$6:$A$505,0)),IF($I1818="Công việc",INDEX('Kế hoạch'!$C$6:$C$305,$O1818),""))</f>
      </c>
      <c r="K1818" s="221">
        <f>IF($I1818="Phản ánh",INDEX('Phản ánh'!$K$6:$K$505,MATCH($C1818,'Phản ánh'!$A$6:$A$505,0))&amp;"",IF($I1818="Công việc",INDEX('Kế hoạch'!$N$6:$N$305,$O1818)&amp;"",""))</f>
      </c>
      <c r="L1818" s="220">
        <f>IF(OR($C1818="",N($B1818)=0),"",IF(AND($I1818="Phản ánh",$E1818="Đã xử lý"),INDEX('Phản ánh'!$U$6:$U$505,MATCH($C1818,'Phản ánh'!$A$6:$A$505,0)),IF(AND($I1818="Công việc",OR($E1818="Hoàn thành",$E1818="Hoàn thành kỳ")),IF(INDEX('Kế hoạch'!$B$6:$B$305,$O1818)="Đột xuất",INDEX('Kế hoạch'!$AY$6:$AY$305,$O1818),IF(N($P1818)=0,"",IF(INT($B1818)&lt;$P1818,$P1818,IF($Q1818&gt;0,$P1818+ROUND((INT($B1818)-$P1818)/$Q1818,0)*$Q1818,IF($R1818&gt;0,EDATE($P1818,ROUND((DATEDIF($P1818,INT($B1818),"m")+(INT($B1818)-EDATE($P1818,DATEDIF($P1818,INT($B1818),"m")))/(EDATE($P1818,DATEDIF($P1818,INT($B1818),"m")+1)-EDATE($P1818,DATEDIF($P1818,INT($B1818),"m"))))/$R1818,0)*$R1818),$P1818))))),"")))</f>
      </c>
      <c r="M1818" s="223">
        <f>IF(OR($C1818="",N($L1818)=0,N($B1818)=0),"",IF(IF(MOD($L1818,1)=0,INT($B1818),$B1818)&lt;=$L1818,"Đúng hạn","Trễ hạn"))</f>
      </c>
      <c r="N1818" s="225">
        <f>IF($C1818="","",ROW())</f>
      </c>
      <c r="O1818" s="225">
        <f>IF($I1818="Công việc",MATCH($C1818,'Kế hoạch'!$A$6:$A$305,0),"")</f>
      </c>
      <c r="P1818" s="234">
        <f>IF($O1818="","",INDEX('Kế hoạch'!$I$6:$I$305,$O1818))</f>
      </c>
      <c r="Q1818" s="225">
        <f>IF($O1818="","",INDEX('Kế hoạch'!$AJ$6:$AJ$305,$O1818))</f>
      </c>
      <c r="R1818" s="225">
        <f>IF($O1818="","",INDEX('Kế hoạch'!$AK$6:$AK$305,$O1818))</f>
      </c>
    </row>
    <row r="1819">
      <c r="A1819" s="223">
        <f>IF($C1819="","",COUNTIF($C$6:$C1819,"?*"))</f>
      </c>
      <c r="B1819" s="217"/>
      <c r="C1819" s="216"/>
      <c r="D1819" s="240"/>
      <c r="E1819" s="218"/>
      <c r="F1819" s="218"/>
      <c r="G1819" s="218"/>
      <c r="H1819" s="219"/>
      <c r="I1819" s="223">
        <f>IF($C1819="","",IF(ISNUMBER(MATCH($C1819,'Phản ánh'!$A$6:$A$505,0)),"Phản ánh",IF(ISNUMBER(MATCH($C1819,'Kế hoạch'!$A$6:$A$305,0)),"Công việc","Mã chưa có")))</f>
      </c>
      <c r="J1819" s="221">
        <f>IF($I1819="Phản ánh",INDEX('Phản ánh'!$C$6:$C$505,MATCH($C1819,'Phản ánh'!$A$6:$A$505,0)),IF($I1819="Công việc",INDEX('Kế hoạch'!$C$6:$C$305,$O1819),""))</f>
      </c>
      <c r="K1819" s="221">
        <f>IF($I1819="Phản ánh",INDEX('Phản ánh'!$K$6:$K$505,MATCH($C1819,'Phản ánh'!$A$6:$A$505,0))&amp;"",IF($I1819="Công việc",INDEX('Kế hoạch'!$N$6:$N$305,$O1819)&amp;"",""))</f>
      </c>
      <c r="L1819" s="220">
        <f>IF(OR($C1819="",N($B1819)=0),"",IF(AND($I1819="Phản ánh",$E1819="Đã xử lý"),INDEX('Phản ánh'!$U$6:$U$505,MATCH($C1819,'Phản ánh'!$A$6:$A$505,0)),IF(AND($I1819="Công việc",OR($E1819="Hoàn thành",$E1819="Hoàn thành kỳ")),IF(INDEX('Kế hoạch'!$B$6:$B$305,$O1819)="Đột xuất",INDEX('Kế hoạch'!$AY$6:$AY$305,$O1819),IF(N($P1819)=0,"",IF(INT($B1819)&lt;$P1819,$P1819,IF($Q1819&gt;0,$P1819+ROUND((INT($B1819)-$P1819)/$Q1819,0)*$Q1819,IF($R1819&gt;0,EDATE($P1819,ROUND((DATEDIF($P1819,INT($B1819),"m")+(INT($B1819)-EDATE($P1819,DATEDIF($P1819,INT($B1819),"m")))/(EDATE($P1819,DATEDIF($P1819,INT($B1819),"m")+1)-EDATE($P1819,DATEDIF($P1819,INT($B1819),"m"))))/$R1819,0)*$R1819),$P1819))))),"")))</f>
      </c>
      <c r="M1819" s="223">
        <f>IF(OR($C1819="",N($L1819)=0,N($B1819)=0),"",IF(IF(MOD($L1819,1)=0,INT($B1819),$B1819)&lt;=$L1819,"Đúng hạn","Trễ hạn"))</f>
      </c>
      <c r="N1819" s="225">
        <f>IF($C1819="","",ROW())</f>
      </c>
      <c r="O1819" s="225">
        <f>IF($I1819="Công việc",MATCH($C1819,'Kế hoạch'!$A$6:$A$305,0),"")</f>
      </c>
      <c r="P1819" s="234">
        <f>IF($O1819="","",INDEX('Kế hoạch'!$I$6:$I$305,$O1819))</f>
      </c>
      <c r="Q1819" s="225">
        <f>IF($O1819="","",INDEX('Kế hoạch'!$AJ$6:$AJ$305,$O1819))</f>
      </c>
      <c r="R1819" s="225">
        <f>IF($O1819="","",INDEX('Kế hoạch'!$AK$6:$AK$305,$O1819))</f>
      </c>
    </row>
    <row r="1820">
      <c r="A1820" s="223">
        <f>IF($C1820="","",COUNTIF($C$6:$C1820,"?*"))</f>
      </c>
      <c r="B1820" s="217"/>
      <c r="C1820" s="216"/>
      <c r="D1820" s="240"/>
      <c r="E1820" s="218"/>
      <c r="F1820" s="218"/>
      <c r="G1820" s="218"/>
      <c r="H1820" s="219"/>
      <c r="I1820" s="223">
        <f>IF($C1820="","",IF(ISNUMBER(MATCH($C1820,'Phản ánh'!$A$6:$A$505,0)),"Phản ánh",IF(ISNUMBER(MATCH($C1820,'Kế hoạch'!$A$6:$A$305,0)),"Công việc","Mã chưa có")))</f>
      </c>
      <c r="J1820" s="221">
        <f>IF($I1820="Phản ánh",INDEX('Phản ánh'!$C$6:$C$505,MATCH($C1820,'Phản ánh'!$A$6:$A$505,0)),IF($I1820="Công việc",INDEX('Kế hoạch'!$C$6:$C$305,$O1820),""))</f>
      </c>
      <c r="K1820" s="221">
        <f>IF($I1820="Phản ánh",INDEX('Phản ánh'!$K$6:$K$505,MATCH($C1820,'Phản ánh'!$A$6:$A$505,0))&amp;"",IF($I1820="Công việc",INDEX('Kế hoạch'!$N$6:$N$305,$O1820)&amp;"",""))</f>
      </c>
      <c r="L1820" s="220">
        <f>IF(OR($C1820="",N($B1820)=0),"",IF(AND($I1820="Phản ánh",$E1820="Đã xử lý"),INDEX('Phản ánh'!$U$6:$U$505,MATCH($C1820,'Phản ánh'!$A$6:$A$505,0)),IF(AND($I1820="Công việc",OR($E1820="Hoàn thành",$E1820="Hoàn thành kỳ")),IF(INDEX('Kế hoạch'!$B$6:$B$305,$O1820)="Đột xuất",INDEX('Kế hoạch'!$AY$6:$AY$305,$O1820),IF(N($P1820)=0,"",IF(INT($B1820)&lt;$P1820,$P1820,IF($Q1820&gt;0,$P1820+ROUND((INT($B1820)-$P1820)/$Q1820,0)*$Q1820,IF($R1820&gt;0,EDATE($P1820,ROUND((DATEDIF($P1820,INT($B1820),"m")+(INT($B1820)-EDATE($P1820,DATEDIF($P1820,INT($B1820),"m")))/(EDATE($P1820,DATEDIF($P1820,INT($B1820),"m")+1)-EDATE($P1820,DATEDIF($P1820,INT($B1820),"m"))))/$R1820,0)*$R1820),$P1820))))),"")))</f>
      </c>
      <c r="M1820" s="223">
        <f>IF(OR($C1820="",N($L1820)=0,N($B1820)=0),"",IF(IF(MOD($L1820,1)=0,INT($B1820),$B1820)&lt;=$L1820,"Đúng hạn","Trễ hạn"))</f>
      </c>
      <c r="N1820" s="225">
        <f>IF($C1820="","",ROW())</f>
      </c>
      <c r="O1820" s="225">
        <f>IF($I1820="Công việc",MATCH($C1820,'Kế hoạch'!$A$6:$A$305,0),"")</f>
      </c>
      <c r="P1820" s="234">
        <f>IF($O1820="","",INDEX('Kế hoạch'!$I$6:$I$305,$O1820))</f>
      </c>
      <c r="Q1820" s="225">
        <f>IF($O1820="","",INDEX('Kế hoạch'!$AJ$6:$AJ$305,$O1820))</f>
      </c>
      <c r="R1820" s="225">
        <f>IF($O1820="","",INDEX('Kế hoạch'!$AK$6:$AK$305,$O1820))</f>
      </c>
    </row>
    <row r="1821">
      <c r="A1821" s="223">
        <f>IF($C1821="","",COUNTIF($C$6:$C1821,"?*"))</f>
      </c>
      <c r="B1821" s="217"/>
      <c r="C1821" s="216"/>
      <c r="D1821" s="240"/>
      <c r="E1821" s="218"/>
      <c r="F1821" s="218"/>
      <c r="G1821" s="218"/>
      <c r="H1821" s="219"/>
      <c r="I1821" s="223">
        <f>IF($C1821="","",IF(ISNUMBER(MATCH($C1821,'Phản ánh'!$A$6:$A$505,0)),"Phản ánh",IF(ISNUMBER(MATCH($C1821,'Kế hoạch'!$A$6:$A$305,0)),"Công việc","Mã chưa có")))</f>
      </c>
      <c r="J1821" s="221">
        <f>IF($I1821="Phản ánh",INDEX('Phản ánh'!$C$6:$C$505,MATCH($C1821,'Phản ánh'!$A$6:$A$505,0)),IF($I1821="Công việc",INDEX('Kế hoạch'!$C$6:$C$305,$O1821),""))</f>
      </c>
      <c r="K1821" s="221">
        <f>IF($I1821="Phản ánh",INDEX('Phản ánh'!$K$6:$K$505,MATCH($C1821,'Phản ánh'!$A$6:$A$505,0))&amp;"",IF($I1821="Công việc",INDEX('Kế hoạch'!$N$6:$N$305,$O1821)&amp;"",""))</f>
      </c>
      <c r="L1821" s="220">
        <f>IF(OR($C1821="",N($B1821)=0),"",IF(AND($I1821="Phản ánh",$E1821="Đã xử lý"),INDEX('Phản ánh'!$U$6:$U$505,MATCH($C1821,'Phản ánh'!$A$6:$A$505,0)),IF(AND($I1821="Công việc",OR($E1821="Hoàn thành",$E1821="Hoàn thành kỳ")),IF(INDEX('Kế hoạch'!$B$6:$B$305,$O1821)="Đột xuất",INDEX('Kế hoạch'!$AY$6:$AY$305,$O1821),IF(N($P1821)=0,"",IF(INT($B1821)&lt;$P1821,$P1821,IF($Q1821&gt;0,$P1821+ROUND((INT($B1821)-$P1821)/$Q1821,0)*$Q1821,IF($R1821&gt;0,EDATE($P1821,ROUND((DATEDIF($P1821,INT($B1821),"m")+(INT($B1821)-EDATE($P1821,DATEDIF($P1821,INT($B1821),"m")))/(EDATE($P1821,DATEDIF($P1821,INT($B1821),"m")+1)-EDATE($P1821,DATEDIF($P1821,INT($B1821),"m"))))/$R1821,0)*$R1821),$P1821))))),"")))</f>
      </c>
      <c r="M1821" s="223">
        <f>IF(OR($C1821="",N($L1821)=0,N($B1821)=0),"",IF(IF(MOD($L1821,1)=0,INT($B1821),$B1821)&lt;=$L1821,"Đúng hạn","Trễ hạn"))</f>
      </c>
      <c r="N1821" s="225">
        <f>IF($C1821="","",ROW())</f>
      </c>
      <c r="O1821" s="225">
        <f>IF($I1821="Công việc",MATCH($C1821,'Kế hoạch'!$A$6:$A$305,0),"")</f>
      </c>
      <c r="P1821" s="234">
        <f>IF($O1821="","",INDEX('Kế hoạch'!$I$6:$I$305,$O1821))</f>
      </c>
      <c r="Q1821" s="225">
        <f>IF($O1821="","",INDEX('Kế hoạch'!$AJ$6:$AJ$305,$O1821))</f>
      </c>
      <c r="R1821" s="225">
        <f>IF($O1821="","",INDEX('Kế hoạch'!$AK$6:$AK$305,$O1821))</f>
      </c>
    </row>
    <row r="1822">
      <c r="A1822" s="223">
        <f>IF($C1822="","",COUNTIF($C$6:$C1822,"?*"))</f>
      </c>
      <c r="B1822" s="217"/>
      <c r="C1822" s="216"/>
      <c r="D1822" s="240"/>
      <c r="E1822" s="218"/>
      <c r="F1822" s="218"/>
      <c r="G1822" s="218"/>
      <c r="H1822" s="219"/>
      <c r="I1822" s="223">
        <f>IF($C1822="","",IF(ISNUMBER(MATCH($C1822,'Phản ánh'!$A$6:$A$505,0)),"Phản ánh",IF(ISNUMBER(MATCH($C1822,'Kế hoạch'!$A$6:$A$305,0)),"Công việc","Mã chưa có")))</f>
      </c>
      <c r="J1822" s="221">
        <f>IF($I1822="Phản ánh",INDEX('Phản ánh'!$C$6:$C$505,MATCH($C1822,'Phản ánh'!$A$6:$A$505,0)),IF($I1822="Công việc",INDEX('Kế hoạch'!$C$6:$C$305,$O1822),""))</f>
      </c>
      <c r="K1822" s="221">
        <f>IF($I1822="Phản ánh",INDEX('Phản ánh'!$K$6:$K$505,MATCH($C1822,'Phản ánh'!$A$6:$A$505,0))&amp;"",IF($I1822="Công việc",INDEX('Kế hoạch'!$N$6:$N$305,$O1822)&amp;"",""))</f>
      </c>
      <c r="L1822" s="220">
        <f>IF(OR($C1822="",N($B1822)=0),"",IF(AND($I1822="Phản ánh",$E1822="Đã xử lý"),INDEX('Phản ánh'!$U$6:$U$505,MATCH($C1822,'Phản ánh'!$A$6:$A$505,0)),IF(AND($I1822="Công việc",OR($E1822="Hoàn thành",$E1822="Hoàn thành kỳ")),IF(INDEX('Kế hoạch'!$B$6:$B$305,$O1822)="Đột xuất",INDEX('Kế hoạch'!$AY$6:$AY$305,$O1822),IF(N($P1822)=0,"",IF(INT($B1822)&lt;$P1822,$P1822,IF($Q1822&gt;0,$P1822+ROUND((INT($B1822)-$P1822)/$Q1822,0)*$Q1822,IF($R1822&gt;0,EDATE($P1822,ROUND((DATEDIF($P1822,INT($B1822),"m")+(INT($B1822)-EDATE($P1822,DATEDIF($P1822,INT($B1822),"m")))/(EDATE($P1822,DATEDIF($P1822,INT($B1822),"m")+1)-EDATE($P1822,DATEDIF($P1822,INT($B1822),"m"))))/$R1822,0)*$R1822),$P1822))))),"")))</f>
      </c>
      <c r="M1822" s="223">
        <f>IF(OR($C1822="",N($L1822)=0,N($B1822)=0),"",IF(IF(MOD($L1822,1)=0,INT($B1822),$B1822)&lt;=$L1822,"Đúng hạn","Trễ hạn"))</f>
      </c>
      <c r="N1822" s="225">
        <f>IF($C1822="","",ROW())</f>
      </c>
      <c r="O1822" s="225">
        <f>IF($I1822="Công việc",MATCH($C1822,'Kế hoạch'!$A$6:$A$305,0),"")</f>
      </c>
      <c r="P1822" s="234">
        <f>IF($O1822="","",INDEX('Kế hoạch'!$I$6:$I$305,$O1822))</f>
      </c>
      <c r="Q1822" s="225">
        <f>IF($O1822="","",INDEX('Kế hoạch'!$AJ$6:$AJ$305,$O1822))</f>
      </c>
      <c r="R1822" s="225">
        <f>IF($O1822="","",INDEX('Kế hoạch'!$AK$6:$AK$305,$O1822))</f>
      </c>
    </row>
    <row r="1823">
      <c r="A1823" s="223">
        <f>IF($C1823="","",COUNTIF($C$6:$C1823,"?*"))</f>
      </c>
      <c r="B1823" s="217"/>
      <c r="C1823" s="216"/>
      <c r="D1823" s="240"/>
      <c r="E1823" s="218"/>
      <c r="F1823" s="218"/>
      <c r="G1823" s="218"/>
      <c r="H1823" s="219"/>
      <c r="I1823" s="223">
        <f>IF($C1823="","",IF(ISNUMBER(MATCH($C1823,'Phản ánh'!$A$6:$A$505,0)),"Phản ánh",IF(ISNUMBER(MATCH($C1823,'Kế hoạch'!$A$6:$A$305,0)),"Công việc","Mã chưa có")))</f>
      </c>
      <c r="J1823" s="221">
        <f>IF($I1823="Phản ánh",INDEX('Phản ánh'!$C$6:$C$505,MATCH($C1823,'Phản ánh'!$A$6:$A$505,0)),IF($I1823="Công việc",INDEX('Kế hoạch'!$C$6:$C$305,$O1823),""))</f>
      </c>
      <c r="K1823" s="221">
        <f>IF($I1823="Phản ánh",INDEX('Phản ánh'!$K$6:$K$505,MATCH($C1823,'Phản ánh'!$A$6:$A$505,0))&amp;"",IF($I1823="Công việc",INDEX('Kế hoạch'!$N$6:$N$305,$O1823)&amp;"",""))</f>
      </c>
      <c r="L1823" s="220">
        <f>IF(OR($C1823="",N($B1823)=0),"",IF(AND($I1823="Phản ánh",$E1823="Đã xử lý"),INDEX('Phản ánh'!$U$6:$U$505,MATCH($C1823,'Phản ánh'!$A$6:$A$505,0)),IF(AND($I1823="Công việc",OR($E1823="Hoàn thành",$E1823="Hoàn thành kỳ")),IF(INDEX('Kế hoạch'!$B$6:$B$305,$O1823)="Đột xuất",INDEX('Kế hoạch'!$AY$6:$AY$305,$O1823),IF(N($P1823)=0,"",IF(INT($B1823)&lt;$P1823,$P1823,IF($Q1823&gt;0,$P1823+ROUND((INT($B1823)-$P1823)/$Q1823,0)*$Q1823,IF($R1823&gt;0,EDATE($P1823,ROUND((DATEDIF($P1823,INT($B1823),"m")+(INT($B1823)-EDATE($P1823,DATEDIF($P1823,INT($B1823),"m")))/(EDATE($P1823,DATEDIF($P1823,INT($B1823),"m")+1)-EDATE($P1823,DATEDIF($P1823,INT($B1823),"m"))))/$R1823,0)*$R1823),$P1823))))),"")))</f>
      </c>
      <c r="M1823" s="223">
        <f>IF(OR($C1823="",N($L1823)=0,N($B1823)=0),"",IF(IF(MOD($L1823,1)=0,INT($B1823),$B1823)&lt;=$L1823,"Đúng hạn","Trễ hạn"))</f>
      </c>
      <c r="N1823" s="225">
        <f>IF($C1823="","",ROW())</f>
      </c>
      <c r="O1823" s="225">
        <f>IF($I1823="Công việc",MATCH($C1823,'Kế hoạch'!$A$6:$A$305,0),"")</f>
      </c>
      <c r="P1823" s="234">
        <f>IF($O1823="","",INDEX('Kế hoạch'!$I$6:$I$305,$O1823))</f>
      </c>
      <c r="Q1823" s="225">
        <f>IF($O1823="","",INDEX('Kế hoạch'!$AJ$6:$AJ$305,$O1823))</f>
      </c>
      <c r="R1823" s="225">
        <f>IF($O1823="","",INDEX('Kế hoạch'!$AK$6:$AK$305,$O1823))</f>
      </c>
    </row>
    <row r="1824">
      <c r="A1824" s="223">
        <f>IF($C1824="","",COUNTIF($C$6:$C1824,"?*"))</f>
      </c>
      <c r="B1824" s="217"/>
      <c r="C1824" s="216"/>
      <c r="D1824" s="240"/>
      <c r="E1824" s="218"/>
      <c r="F1824" s="218"/>
      <c r="G1824" s="218"/>
      <c r="H1824" s="219"/>
      <c r="I1824" s="223">
        <f>IF($C1824="","",IF(ISNUMBER(MATCH($C1824,'Phản ánh'!$A$6:$A$505,0)),"Phản ánh",IF(ISNUMBER(MATCH($C1824,'Kế hoạch'!$A$6:$A$305,0)),"Công việc","Mã chưa có")))</f>
      </c>
      <c r="J1824" s="221">
        <f>IF($I1824="Phản ánh",INDEX('Phản ánh'!$C$6:$C$505,MATCH($C1824,'Phản ánh'!$A$6:$A$505,0)),IF($I1824="Công việc",INDEX('Kế hoạch'!$C$6:$C$305,$O1824),""))</f>
      </c>
      <c r="K1824" s="221">
        <f>IF($I1824="Phản ánh",INDEX('Phản ánh'!$K$6:$K$505,MATCH($C1824,'Phản ánh'!$A$6:$A$505,0))&amp;"",IF($I1824="Công việc",INDEX('Kế hoạch'!$N$6:$N$305,$O1824)&amp;"",""))</f>
      </c>
      <c r="L1824" s="220">
        <f>IF(OR($C1824="",N($B1824)=0),"",IF(AND($I1824="Phản ánh",$E1824="Đã xử lý"),INDEX('Phản ánh'!$U$6:$U$505,MATCH($C1824,'Phản ánh'!$A$6:$A$505,0)),IF(AND($I1824="Công việc",OR($E1824="Hoàn thành",$E1824="Hoàn thành kỳ")),IF(INDEX('Kế hoạch'!$B$6:$B$305,$O1824)="Đột xuất",INDEX('Kế hoạch'!$AY$6:$AY$305,$O1824),IF(N($P1824)=0,"",IF(INT($B1824)&lt;$P1824,$P1824,IF($Q1824&gt;0,$P1824+ROUND((INT($B1824)-$P1824)/$Q1824,0)*$Q1824,IF($R1824&gt;0,EDATE($P1824,ROUND((DATEDIF($P1824,INT($B1824),"m")+(INT($B1824)-EDATE($P1824,DATEDIF($P1824,INT($B1824),"m")))/(EDATE($P1824,DATEDIF($P1824,INT($B1824),"m")+1)-EDATE($P1824,DATEDIF($P1824,INT($B1824),"m"))))/$R1824,0)*$R1824),$P1824))))),"")))</f>
      </c>
      <c r="M1824" s="223">
        <f>IF(OR($C1824="",N($L1824)=0,N($B1824)=0),"",IF(IF(MOD($L1824,1)=0,INT($B1824),$B1824)&lt;=$L1824,"Đúng hạn","Trễ hạn"))</f>
      </c>
      <c r="N1824" s="225">
        <f>IF($C1824="","",ROW())</f>
      </c>
      <c r="O1824" s="225">
        <f>IF($I1824="Công việc",MATCH($C1824,'Kế hoạch'!$A$6:$A$305,0),"")</f>
      </c>
      <c r="P1824" s="234">
        <f>IF($O1824="","",INDEX('Kế hoạch'!$I$6:$I$305,$O1824))</f>
      </c>
      <c r="Q1824" s="225">
        <f>IF($O1824="","",INDEX('Kế hoạch'!$AJ$6:$AJ$305,$O1824))</f>
      </c>
      <c r="R1824" s="225">
        <f>IF($O1824="","",INDEX('Kế hoạch'!$AK$6:$AK$305,$O1824))</f>
      </c>
    </row>
    <row r="1825">
      <c r="A1825" s="223">
        <f>IF($C1825="","",COUNTIF($C$6:$C1825,"?*"))</f>
      </c>
      <c r="B1825" s="217"/>
      <c r="C1825" s="216"/>
      <c r="D1825" s="240"/>
      <c r="E1825" s="218"/>
      <c r="F1825" s="218"/>
      <c r="G1825" s="218"/>
      <c r="H1825" s="219"/>
      <c r="I1825" s="223">
        <f>IF($C1825="","",IF(ISNUMBER(MATCH($C1825,'Phản ánh'!$A$6:$A$505,0)),"Phản ánh",IF(ISNUMBER(MATCH($C1825,'Kế hoạch'!$A$6:$A$305,0)),"Công việc","Mã chưa có")))</f>
      </c>
      <c r="J1825" s="221">
        <f>IF($I1825="Phản ánh",INDEX('Phản ánh'!$C$6:$C$505,MATCH($C1825,'Phản ánh'!$A$6:$A$505,0)),IF($I1825="Công việc",INDEX('Kế hoạch'!$C$6:$C$305,$O1825),""))</f>
      </c>
      <c r="K1825" s="221">
        <f>IF($I1825="Phản ánh",INDEX('Phản ánh'!$K$6:$K$505,MATCH($C1825,'Phản ánh'!$A$6:$A$505,0))&amp;"",IF($I1825="Công việc",INDEX('Kế hoạch'!$N$6:$N$305,$O1825)&amp;"",""))</f>
      </c>
      <c r="L1825" s="220">
        <f>IF(OR($C1825="",N($B1825)=0),"",IF(AND($I1825="Phản ánh",$E1825="Đã xử lý"),INDEX('Phản ánh'!$U$6:$U$505,MATCH($C1825,'Phản ánh'!$A$6:$A$505,0)),IF(AND($I1825="Công việc",OR($E1825="Hoàn thành",$E1825="Hoàn thành kỳ")),IF(INDEX('Kế hoạch'!$B$6:$B$305,$O1825)="Đột xuất",INDEX('Kế hoạch'!$AY$6:$AY$305,$O1825),IF(N($P1825)=0,"",IF(INT($B1825)&lt;$P1825,$P1825,IF($Q1825&gt;0,$P1825+ROUND((INT($B1825)-$P1825)/$Q1825,0)*$Q1825,IF($R1825&gt;0,EDATE($P1825,ROUND((DATEDIF($P1825,INT($B1825),"m")+(INT($B1825)-EDATE($P1825,DATEDIF($P1825,INT($B1825),"m")))/(EDATE($P1825,DATEDIF($P1825,INT($B1825),"m")+1)-EDATE($P1825,DATEDIF($P1825,INT($B1825),"m"))))/$R1825,0)*$R1825),$P1825))))),"")))</f>
      </c>
      <c r="M1825" s="223">
        <f>IF(OR($C1825="",N($L1825)=0,N($B1825)=0),"",IF(IF(MOD($L1825,1)=0,INT($B1825),$B1825)&lt;=$L1825,"Đúng hạn","Trễ hạn"))</f>
      </c>
      <c r="N1825" s="225">
        <f>IF($C1825="","",ROW())</f>
      </c>
      <c r="O1825" s="225">
        <f>IF($I1825="Công việc",MATCH($C1825,'Kế hoạch'!$A$6:$A$305,0),"")</f>
      </c>
      <c r="P1825" s="234">
        <f>IF($O1825="","",INDEX('Kế hoạch'!$I$6:$I$305,$O1825))</f>
      </c>
      <c r="Q1825" s="225">
        <f>IF($O1825="","",INDEX('Kế hoạch'!$AJ$6:$AJ$305,$O1825))</f>
      </c>
      <c r="R1825" s="225">
        <f>IF($O1825="","",INDEX('Kế hoạch'!$AK$6:$AK$305,$O1825))</f>
      </c>
    </row>
    <row r="1826">
      <c r="A1826" s="223">
        <f>IF($C1826="","",COUNTIF($C$6:$C1826,"?*"))</f>
      </c>
      <c r="B1826" s="217"/>
      <c r="C1826" s="216"/>
      <c r="D1826" s="240"/>
      <c r="E1826" s="218"/>
      <c r="F1826" s="218"/>
      <c r="G1826" s="218"/>
      <c r="H1826" s="219"/>
      <c r="I1826" s="223">
        <f>IF($C1826="","",IF(ISNUMBER(MATCH($C1826,'Phản ánh'!$A$6:$A$505,0)),"Phản ánh",IF(ISNUMBER(MATCH($C1826,'Kế hoạch'!$A$6:$A$305,0)),"Công việc","Mã chưa có")))</f>
      </c>
      <c r="J1826" s="221">
        <f>IF($I1826="Phản ánh",INDEX('Phản ánh'!$C$6:$C$505,MATCH($C1826,'Phản ánh'!$A$6:$A$505,0)),IF($I1826="Công việc",INDEX('Kế hoạch'!$C$6:$C$305,$O1826),""))</f>
      </c>
      <c r="K1826" s="221">
        <f>IF($I1826="Phản ánh",INDEX('Phản ánh'!$K$6:$K$505,MATCH($C1826,'Phản ánh'!$A$6:$A$505,0))&amp;"",IF($I1826="Công việc",INDEX('Kế hoạch'!$N$6:$N$305,$O1826)&amp;"",""))</f>
      </c>
      <c r="L1826" s="220">
        <f>IF(OR($C1826="",N($B1826)=0),"",IF(AND($I1826="Phản ánh",$E1826="Đã xử lý"),INDEX('Phản ánh'!$U$6:$U$505,MATCH($C1826,'Phản ánh'!$A$6:$A$505,0)),IF(AND($I1826="Công việc",OR($E1826="Hoàn thành",$E1826="Hoàn thành kỳ")),IF(INDEX('Kế hoạch'!$B$6:$B$305,$O1826)="Đột xuất",INDEX('Kế hoạch'!$AY$6:$AY$305,$O1826),IF(N($P1826)=0,"",IF(INT($B1826)&lt;$P1826,$P1826,IF($Q1826&gt;0,$P1826+ROUND((INT($B1826)-$P1826)/$Q1826,0)*$Q1826,IF($R1826&gt;0,EDATE($P1826,ROUND((DATEDIF($P1826,INT($B1826),"m")+(INT($B1826)-EDATE($P1826,DATEDIF($P1826,INT($B1826),"m")))/(EDATE($P1826,DATEDIF($P1826,INT($B1826),"m")+1)-EDATE($P1826,DATEDIF($P1826,INT($B1826),"m"))))/$R1826,0)*$R1826),$P1826))))),"")))</f>
      </c>
      <c r="M1826" s="223">
        <f>IF(OR($C1826="",N($L1826)=0,N($B1826)=0),"",IF(IF(MOD($L1826,1)=0,INT($B1826),$B1826)&lt;=$L1826,"Đúng hạn","Trễ hạn"))</f>
      </c>
      <c r="N1826" s="225">
        <f>IF($C1826="","",ROW())</f>
      </c>
      <c r="O1826" s="225">
        <f>IF($I1826="Công việc",MATCH($C1826,'Kế hoạch'!$A$6:$A$305,0),"")</f>
      </c>
      <c r="P1826" s="234">
        <f>IF($O1826="","",INDEX('Kế hoạch'!$I$6:$I$305,$O1826))</f>
      </c>
      <c r="Q1826" s="225">
        <f>IF($O1826="","",INDEX('Kế hoạch'!$AJ$6:$AJ$305,$O1826))</f>
      </c>
      <c r="R1826" s="225">
        <f>IF($O1826="","",INDEX('Kế hoạch'!$AK$6:$AK$305,$O1826))</f>
      </c>
    </row>
    <row r="1827">
      <c r="A1827" s="223">
        <f>IF($C1827="","",COUNTIF($C$6:$C1827,"?*"))</f>
      </c>
      <c r="B1827" s="217"/>
      <c r="C1827" s="216"/>
      <c r="D1827" s="240"/>
      <c r="E1827" s="218"/>
      <c r="F1827" s="218"/>
      <c r="G1827" s="218"/>
      <c r="H1827" s="219"/>
      <c r="I1827" s="223">
        <f>IF($C1827="","",IF(ISNUMBER(MATCH($C1827,'Phản ánh'!$A$6:$A$505,0)),"Phản ánh",IF(ISNUMBER(MATCH($C1827,'Kế hoạch'!$A$6:$A$305,0)),"Công việc","Mã chưa có")))</f>
      </c>
      <c r="J1827" s="221">
        <f>IF($I1827="Phản ánh",INDEX('Phản ánh'!$C$6:$C$505,MATCH($C1827,'Phản ánh'!$A$6:$A$505,0)),IF($I1827="Công việc",INDEX('Kế hoạch'!$C$6:$C$305,$O1827),""))</f>
      </c>
      <c r="K1827" s="221">
        <f>IF($I1827="Phản ánh",INDEX('Phản ánh'!$K$6:$K$505,MATCH($C1827,'Phản ánh'!$A$6:$A$505,0))&amp;"",IF($I1827="Công việc",INDEX('Kế hoạch'!$N$6:$N$305,$O1827)&amp;"",""))</f>
      </c>
      <c r="L1827" s="220">
        <f>IF(OR($C1827="",N($B1827)=0),"",IF(AND($I1827="Phản ánh",$E1827="Đã xử lý"),INDEX('Phản ánh'!$U$6:$U$505,MATCH($C1827,'Phản ánh'!$A$6:$A$505,0)),IF(AND($I1827="Công việc",OR($E1827="Hoàn thành",$E1827="Hoàn thành kỳ")),IF(INDEX('Kế hoạch'!$B$6:$B$305,$O1827)="Đột xuất",INDEX('Kế hoạch'!$AY$6:$AY$305,$O1827),IF(N($P1827)=0,"",IF(INT($B1827)&lt;$P1827,$P1827,IF($Q1827&gt;0,$P1827+ROUND((INT($B1827)-$P1827)/$Q1827,0)*$Q1827,IF($R1827&gt;0,EDATE($P1827,ROUND((DATEDIF($P1827,INT($B1827),"m")+(INT($B1827)-EDATE($P1827,DATEDIF($P1827,INT($B1827),"m")))/(EDATE($P1827,DATEDIF($P1827,INT($B1827),"m")+1)-EDATE($P1827,DATEDIF($P1827,INT($B1827),"m"))))/$R1827,0)*$R1827),$P1827))))),"")))</f>
      </c>
      <c r="M1827" s="223">
        <f>IF(OR($C1827="",N($L1827)=0,N($B1827)=0),"",IF(IF(MOD($L1827,1)=0,INT($B1827),$B1827)&lt;=$L1827,"Đúng hạn","Trễ hạn"))</f>
      </c>
      <c r="N1827" s="225">
        <f>IF($C1827="","",ROW())</f>
      </c>
      <c r="O1827" s="225">
        <f>IF($I1827="Công việc",MATCH($C1827,'Kế hoạch'!$A$6:$A$305,0),"")</f>
      </c>
      <c r="P1827" s="234">
        <f>IF($O1827="","",INDEX('Kế hoạch'!$I$6:$I$305,$O1827))</f>
      </c>
      <c r="Q1827" s="225">
        <f>IF($O1827="","",INDEX('Kế hoạch'!$AJ$6:$AJ$305,$O1827))</f>
      </c>
      <c r="R1827" s="225">
        <f>IF($O1827="","",INDEX('Kế hoạch'!$AK$6:$AK$305,$O1827))</f>
      </c>
    </row>
    <row r="1828">
      <c r="A1828" s="223">
        <f>IF($C1828="","",COUNTIF($C$6:$C1828,"?*"))</f>
      </c>
      <c r="B1828" s="217"/>
      <c r="C1828" s="216"/>
      <c r="D1828" s="240"/>
      <c r="E1828" s="218"/>
      <c r="F1828" s="218"/>
      <c r="G1828" s="218"/>
      <c r="H1828" s="219"/>
      <c r="I1828" s="223">
        <f>IF($C1828="","",IF(ISNUMBER(MATCH($C1828,'Phản ánh'!$A$6:$A$505,0)),"Phản ánh",IF(ISNUMBER(MATCH($C1828,'Kế hoạch'!$A$6:$A$305,0)),"Công việc","Mã chưa có")))</f>
      </c>
      <c r="J1828" s="221">
        <f>IF($I1828="Phản ánh",INDEX('Phản ánh'!$C$6:$C$505,MATCH($C1828,'Phản ánh'!$A$6:$A$505,0)),IF($I1828="Công việc",INDEX('Kế hoạch'!$C$6:$C$305,$O1828),""))</f>
      </c>
      <c r="K1828" s="221">
        <f>IF($I1828="Phản ánh",INDEX('Phản ánh'!$K$6:$K$505,MATCH($C1828,'Phản ánh'!$A$6:$A$505,0))&amp;"",IF($I1828="Công việc",INDEX('Kế hoạch'!$N$6:$N$305,$O1828)&amp;"",""))</f>
      </c>
      <c r="L1828" s="220">
        <f>IF(OR($C1828="",N($B1828)=0),"",IF(AND($I1828="Phản ánh",$E1828="Đã xử lý"),INDEX('Phản ánh'!$U$6:$U$505,MATCH($C1828,'Phản ánh'!$A$6:$A$505,0)),IF(AND($I1828="Công việc",OR($E1828="Hoàn thành",$E1828="Hoàn thành kỳ")),IF(INDEX('Kế hoạch'!$B$6:$B$305,$O1828)="Đột xuất",INDEX('Kế hoạch'!$AY$6:$AY$305,$O1828),IF(N($P1828)=0,"",IF(INT($B1828)&lt;$P1828,$P1828,IF($Q1828&gt;0,$P1828+ROUND((INT($B1828)-$P1828)/$Q1828,0)*$Q1828,IF($R1828&gt;0,EDATE($P1828,ROUND((DATEDIF($P1828,INT($B1828),"m")+(INT($B1828)-EDATE($P1828,DATEDIF($P1828,INT($B1828),"m")))/(EDATE($P1828,DATEDIF($P1828,INT($B1828),"m")+1)-EDATE($P1828,DATEDIF($P1828,INT($B1828),"m"))))/$R1828,0)*$R1828),$P1828))))),"")))</f>
      </c>
      <c r="M1828" s="223">
        <f>IF(OR($C1828="",N($L1828)=0,N($B1828)=0),"",IF(IF(MOD($L1828,1)=0,INT($B1828),$B1828)&lt;=$L1828,"Đúng hạn","Trễ hạn"))</f>
      </c>
      <c r="N1828" s="225">
        <f>IF($C1828="","",ROW())</f>
      </c>
      <c r="O1828" s="225">
        <f>IF($I1828="Công việc",MATCH($C1828,'Kế hoạch'!$A$6:$A$305,0),"")</f>
      </c>
      <c r="P1828" s="234">
        <f>IF($O1828="","",INDEX('Kế hoạch'!$I$6:$I$305,$O1828))</f>
      </c>
      <c r="Q1828" s="225">
        <f>IF($O1828="","",INDEX('Kế hoạch'!$AJ$6:$AJ$305,$O1828))</f>
      </c>
      <c r="R1828" s="225">
        <f>IF($O1828="","",INDEX('Kế hoạch'!$AK$6:$AK$305,$O1828))</f>
      </c>
    </row>
    <row r="1829">
      <c r="A1829" s="223">
        <f>IF($C1829="","",COUNTIF($C$6:$C1829,"?*"))</f>
      </c>
      <c r="B1829" s="217"/>
      <c r="C1829" s="216"/>
      <c r="D1829" s="240"/>
      <c r="E1829" s="218"/>
      <c r="F1829" s="218"/>
      <c r="G1829" s="218"/>
      <c r="H1829" s="219"/>
      <c r="I1829" s="223">
        <f>IF($C1829="","",IF(ISNUMBER(MATCH($C1829,'Phản ánh'!$A$6:$A$505,0)),"Phản ánh",IF(ISNUMBER(MATCH($C1829,'Kế hoạch'!$A$6:$A$305,0)),"Công việc","Mã chưa có")))</f>
      </c>
      <c r="J1829" s="221">
        <f>IF($I1829="Phản ánh",INDEX('Phản ánh'!$C$6:$C$505,MATCH($C1829,'Phản ánh'!$A$6:$A$505,0)),IF($I1829="Công việc",INDEX('Kế hoạch'!$C$6:$C$305,$O1829),""))</f>
      </c>
      <c r="K1829" s="221">
        <f>IF($I1829="Phản ánh",INDEX('Phản ánh'!$K$6:$K$505,MATCH($C1829,'Phản ánh'!$A$6:$A$505,0))&amp;"",IF($I1829="Công việc",INDEX('Kế hoạch'!$N$6:$N$305,$O1829)&amp;"",""))</f>
      </c>
      <c r="L1829" s="220">
        <f>IF(OR($C1829="",N($B1829)=0),"",IF(AND($I1829="Phản ánh",$E1829="Đã xử lý"),INDEX('Phản ánh'!$U$6:$U$505,MATCH($C1829,'Phản ánh'!$A$6:$A$505,0)),IF(AND($I1829="Công việc",OR($E1829="Hoàn thành",$E1829="Hoàn thành kỳ")),IF(INDEX('Kế hoạch'!$B$6:$B$305,$O1829)="Đột xuất",INDEX('Kế hoạch'!$AY$6:$AY$305,$O1829),IF(N($P1829)=0,"",IF(INT($B1829)&lt;$P1829,$P1829,IF($Q1829&gt;0,$P1829+ROUND((INT($B1829)-$P1829)/$Q1829,0)*$Q1829,IF($R1829&gt;0,EDATE($P1829,ROUND((DATEDIF($P1829,INT($B1829),"m")+(INT($B1829)-EDATE($P1829,DATEDIF($P1829,INT($B1829),"m")))/(EDATE($P1829,DATEDIF($P1829,INT($B1829),"m")+1)-EDATE($P1829,DATEDIF($P1829,INT($B1829),"m"))))/$R1829,0)*$R1829),$P1829))))),"")))</f>
      </c>
      <c r="M1829" s="223">
        <f>IF(OR($C1829="",N($L1829)=0,N($B1829)=0),"",IF(IF(MOD($L1829,1)=0,INT($B1829),$B1829)&lt;=$L1829,"Đúng hạn","Trễ hạn"))</f>
      </c>
      <c r="N1829" s="225">
        <f>IF($C1829="","",ROW())</f>
      </c>
      <c r="O1829" s="225">
        <f>IF($I1829="Công việc",MATCH($C1829,'Kế hoạch'!$A$6:$A$305,0),"")</f>
      </c>
      <c r="P1829" s="234">
        <f>IF($O1829="","",INDEX('Kế hoạch'!$I$6:$I$305,$O1829))</f>
      </c>
      <c r="Q1829" s="225">
        <f>IF($O1829="","",INDEX('Kế hoạch'!$AJ$6:$AJ$305,$O1829))</f>
      </c>
      <c r="R1829" s="225">
        <f>IF($O1829="","",INDEX('Kế hoạch'!$AK$6:$AK$305,$O1829))</f>
      </c>
    </row>
    <row r="1830">
      <c r="A1830" s="223">
        <f>IF($C1830="","",COUNTIF($C$6:$C1830,"?*"))</f>
      </c>
      <c r="B1830" s="217"/>
      <c r="C1830" s="216"/>
      <c r="D1830" s="240"/>
      <c r="E1830" s="218"/>
      <c r="F1830" s="218"/>
      <c r="G1830" s="218"/>
      <c r="H1830" s="219"/>
      <c r="I1830" s="223">
        <f>IF($C1830="","",IF(ISNUMBER(MATCH($C1830,'Phản ánh'!$A$6:$A$505,0)),"Phản ánh",IF(ISNUMBER(MATCH($C1830,'Kế hoạch'!$A$6:$A$305,0)),"Công việc","Mã chưa có")))</f>
      </c>
      <c r="J1830" s="221">
        <f>IF($I1830="Phản ánh",INDEX('Phản ánh'!$C$6:$C$505,MATCH($C1830,'Phản ánh'!$A$6:$A$505,0)),IF($I1830="Công việc",INDEX('Kế hoạch'!$C$6:$C$305,$O1830),""))</f>
      </c>
      <c r="K1830" s="221">
        <f>IF($I1830="Phản ánh",INDEX('Phản ánh'!$K$6:$K$505,MATCH($C1830,'Phản ánh'!$A$6:$A$505,0))&amp;"",IF($I1830="Công việc",INDEX('Kế hoạch'!$N$6:$N$305,$O1830)&amp;"",""))</f>
      </c>
      <c r="L1830" s="220">
        <f>IF(OR($C1830="",N($B1830)=0),"",IF(AND($I1830="Phản ánh",$E1830="Đã xử lý"),INDEX('Phản ánh'!$U$6:$U$505,MATCH($C1830,'Phản ánh'!$A$6:$A$505,0)),IF(AND($I1830="Công việc",OR($E1830="Hoàn thành",$E1830="Hoàn thành kỳ")),IF(INDEX('Kế hoạch'!$B$6:$B$305,$O1830)="Đột xuất",INDEX('Kế hoạch'!$AY$6:$AY$305,$O1830),IF(N($P1830)=0,"",IF(INT($B1830)&lt;$P1830,$P1830,IF($Q1830&gt;0,$P1830+ROUND((INT($B1830)-$P1830)/$Q1830,0)*$Q1830,IF($R1830&gt;0,EDATE($P1830,ROUND((DATEDIF($P1830,INT($B1830),"m")+(INT($B1830)-EDATE($P1830,DATEDIF($P1830,INT($B1830),"m")))/(EDATE($P1830,DATEDIF($P1830,INT($B1830),"m")+1)-EDATE($P1830,DATEDIF($P1830,INT($B1830),"m"))))/$R1830,0)*$R1830),$P1830))))),"")))</f>
      </c>
      <c r="M1830" s="223">
        <f>IF(OR($C1830="",N($L1830)=0,N($B1830)=0),"",IF(IF(MOD($L1830,1)=0,INT($B1830),$B1830)&lt;=$L1830,"Đúng hạn","Trễ hạn"))</f>
      </c>
      <c r="N1830" s="225">
        <f>IF($C1830="","",ROW())</f>
      </c>
      <c r="O1830" s="225">
        <f>IF($I1830="Công việc",MATCH($C1830,'Kế hoạch'!$A$6:$A$305,0),"")</f>
      </c>
      <c r="P1830" s="234">
        <f>IF($O1830="","",INDEX('Kế hoạch'!$I$6:$I$305,$O1830))</f>
      </c>
      <c r="Q1830" s="225">
        <f>IF($O1830="","",INDEX('Kế hoạch'!$AJ$6:$AJ$305,$O1830))</f>
      </c>
      <c r="R1830" s="225">
        <f>IF($O1830="","",INDEX('Kế hoạch'!$AK$6:$AK$305,$O1830))</f>
      </c>
    </row>
    <row r="1831">
      <c r="A1831" s="223">
        <f>IF($C1831="","",COUNTIF($C$6:$C1831,"?*"))</f>
      </c>
      <c r="B1831" s="217"/>
      <c r="C1831" s="216"/>
      <c r="D1831" s="240"/>
      <c r="E1831" s="218"/>
      <c r="F1831" s="218"/>
      <c r="G1831" s="218"/>
      <c r="H1831" s="219"/>
      <c r="I1831" s="223">
        <f>IF($C1831="","",IF(ISNUMBER(MATCH($C1831,'Phản ánh'!$A$6:$A$505,0)),"Phản ánh",IF(ISNUMBER(MATCH($C1831,'Kế hoạch'!$A$6:$A$305,0)),"Công việc","Mã chưa có")))</f>
      </c>
      <c r="J1831" s="221">
        <f>IF($I1831="Phản ánh",INDEX('Phản ánh'!$C$6:$C$505,MATCH($C1831,'Phản ánh'!$A$6:$A$505,0)),IF($I1831="Công việc",INDEX('Kế hoạch'!$C$6:$C$305,$O1831),""))</f>
      </c>
      <c r="K1831" s="221">
        <f>IF($I1831="Phản ánh",INDEX('Phản ánh'!$K$6:$K$505,MATCH($C1831,'Phản ánh'!$A$6:$A$505,0))&amp;"",IF($I1831="Công việc",INDEX('Kế hoạch'!$N$6:$N$305,$O1831)&amp;"",""))</f>
      </c>
      <c r="L1831" s="220">
        <f>IF(OR($C1831="",N($B1831)=0),"",IF(AND($I1831="Phản ánh",$E1831="Đã xử lý"),INDEX('Phản ánh'!$U$6:$U$505,MATCH($C1831,'Phản ánh'!$A$6:$A$505,0)),IF(AND($I1831="Công việc",OR($E1831="Hoàn thành",$E1831="Hoàn thành kỳ")),IF(INDEX('Kế hoạch'!$B$6:$B$305,$O1831)="Đột xuất",INDEX('Kế hoạch'!$AY$6:$AY$305,$O1831),IF(N($P1831)=0,"",IF(INT($B1831)&lt;$P1831,$P1831,IF($Q1831&gt;0,$P1831+ROUND((INT($B1831)-$P1831)/$Q1831,0)*$Q1831,IF($R1831&gt;0,EDATE($P1831,ROUND((DATEDIF($P1831,INT($B1831),"m")+(INT($B1831)-EDATE($P1831,DATEDIF($P1831,INT($B1831),"m")))/(EDATE($P1831,DATEDIF($P1831,INT($B1831),"m")+1)-EDATE($P1831,DATEDIF($P1831,INT($B1831),"m"))))/$R1831,0)*$R1831),$P1831))))),"")))</f>
      </c>
      <c r="M1831" s="223">
        <f>IF(OR($C1831="",N($L1831)=0,N($B1831)=0),"",IF(IF(MOD($L1831,1)=0,INT($B1831),$B1831)&lt;=$L1831,"Đúng hạn","Trễ hạn"))</f>
      </c>
      <c r="N1831" s="225">
        <f>IF($C1831="","",ROW())</f>
      </c>
      <c r="O1831" s="225">
        <f>IF($I1831="Công việc",MATCH($C1831,'Kế hoạch'!$A$6:$A$305,0),"")</f>
      </c>
      <c r="P1831" s="234">
        <f>IF($O1831="","",INDEX('Kế hoạch'!$I$6:$I$305,$O1831))</f>
      </c>
      <c r="Q1831" s="225">
        <f>IF($O1831="","",INDEX('Kế hoạch'!$AJ$6:$AJ$305,$O1831))</f>
      </c>
      <c r="R1831" s="225">
        <f>IF($O1831="","",INDEX('Kế hoạch'!$AK$6:$AK$305,$O1831))</f>
      </c>
    </row>
    <row r="1832">
      <c r="A1832" s="223">
        <f>IF($C1832="","",COUNTIF($C$6:$C1832,"?*"))</f>
      </c>
      <c r="B1832" s="217"/>
      <c r="C1832" s="216"/>
      <c r="D1832" s="240"/>
      <c r="E1832" s="218"/>
      <c r="F1832" s="218"/>
      <c r="G1832" s="218"/>
      <c r="H1832" s="219"/>
      <c r="I1832" s="223">
        <f>IF($C1832="","",IF(ISNUMBER(MATCH($C1832,'Phản ánh'!$A$6:$A$505,0)),"Phản ánh",IF(ISNUMBER(MATCH($C1832,'Kế hoạch'!$A$6:$A$305,0)),"Công việc","Mã chưa có")))</f>
      </c>
      <c r="J1832" s="221">
        <f>IF($I1832="Phản ánh",INDEX('Phản ánh'!$C$6:$C$505,MATCH($C1832,'Phản ánh'!$A$6:$A$505,0)),IF($I1832="Công việc",INDEX('Kế hoạch'!$C$6:$C$305,$O1832),""))</f>
      </c>
      <c r="K1832" s="221">
        <f>IF($I1832="Phản ánh",INDEX('Phản ánh'!$K$6:$K$505,MATCH($C1832,'Phản ánh'!$A$6:$A$505,0))&amp;"",IF($I1832="Công việc",INDEX('Kế hoạch'!$N$6:$N$305,$O1832)&amp;"",""))</f>
      </c>
      <c r="L1832" s="220">
        <f>IF(OR($C1832="",N($B1832)=0),"",IF(AND($I1832="Phản ánh",$E1832="Đã xử lý"),INDEX('Phản ánh'!$U$6:$U$505,MATCH($C1832,'Phản ánh'!$A$6:$A$505,0)),IF(AND($I1832="Công việc",OR($E1832="Hoàn thành",$E1832="Hoàn thành kỳ")),IF(INDEX('Kế hoạch'!$B$6:$B$305,$O1832)="Đột xuất",INDEX('Kế hoạch'!$AY$6:$AY$305,$O1832),IF(N($P1832)=0,"",IF(INT($B1832)&lt;$P1832,$P1832,IF($Q1832&gt;0,$P1832+ROUND((INT($B1832)-$P1832)/$Q1832,0)*$Q1832,IF($R1832&gt;0,EDATE($P1832,ROUND((DATEDIF($P1832,INT($B1832),"m")+(INT($B1832)-EDATE($P1832,DATEDIF($P1832,INT($B1832),"m")))/(EDATE($P1832,DATEDIF($P1832,INT($B1832),"m")+1)-EDATE($P1832,DATEDIF($P1832,INT($B1832),"m"))))/$R1832,0)*$R1832),$P1832))))),"")))</f>
      </c>
      <c r="M1832" s="223">
        <f>IF(OR($C1832="",N($L1832)=0,N($B1832)=0),"",IF(IF(MOD($L1832,1)=0,INT($B1832),$B1832)&lt;=$L1832,"Đúng hạn","Trễ hạn"))</f>
      </c>
      <c r="N1832" s="225">
        <f>IF($C1832="","",ROW())</f>
      </c>
      <c r="O1832" s="225">
        <f>IF($I1832="Công việc",MATCH($C1832,'Kế hoạch'!$A$6:$A$305,0),"")</f>
      </c>
      <c r="P1832" s="234">
        <f>IF($O1832="","",INDEX('Kế hoạch'!$I$6:$I$305,$O1832))</f>
      </c>
      <c r="Q1832" s="225">
        <f>IF($O1832="","",INDEX('Kế hoạch'!$AJ$6:$AJ$305,$O1832))</f>
      </c>
      <c r="R1832" s="225">
        <f>IF($O1832="","",INDEX('Kế hoạch'!$AK$6:$AK$305,$O1832))</f>
      </c>
    </row>
    <row r="1833">
      <c r="A1833" s="223">
        <f>IF($C1833="","",COUNTIF($C$6:$C1833,"?*"))</f>
      </c>
      <c r="B1833" s="217"/>
      <c r="C1833" s="216"/>
      <c r="D1833" s="240"/>
      <c r="E1833" s="218"/>
      <c r="F1833" s="218"/>
      <c r="G1833" s="218"/>
      <c r="H1833" s="219"/>
      <c r="I1833" s="223">
        <f>IF($C1833="","",IF(ISNUMBER(MATCH($C1833,'Phản ánh'!$A$6:$A$505,0)),"Phản ánh",IF(ISNUMBER(MATCH($C1833,'Kế hoạch'!$A$6:$A$305,0)),"Công việc","Mã chưa có")))</f>
      </c>
      <c r="J1833" s="221">
        <f>IF($I1833="Phản ánh",INDEX('Phản ánh'!$C$6:$C$505,MATCH($C1833,'Phản ánh'!$A$6:$A$505,0)),IF($I1833="Công việc",INDEX('Kế hoạch'!$C$6:$C$305,$O1833),""))</f>
      </c>
      <c r="K1833" s="221">
        <f>IF($I1833="Phản ánh",INDEX('Phản ánh'!$K$6:$K$505,MATCH($C1833,'Phản ánh'!$A$6:$A$505,0))&amp;"",IF($I1833="Công việc",INDEX('Kế hoạch'!$N$6:$N$305,$O1833)&amp;"",""))</f>
      </c>
      <c r="L1833" s="220">
        <f>IF(OR($C1833="",N($B1833)=0),"",IF(AND($I1833="Phản ánh",$E1833="Đã xử lý"),INDEX('Phản ánh'!$U$6:$U$505,MATCH($C1833,'Phản ánh'!$A$6:$A$505,0)),IF(AND($I1833="Công việc",OR($E1833="Hoàn thành",$E1833="Hoàn thành kỳ")),IF(INDEX('Kế hoạch'!$B$6:$B$305,$O1833)="Đột xuất",INDEX('Kế hoạch'!$AY$6:$AY$305,$O1833),IF(N($P1833)=0,"",IF(INT($B1833)&lt;$P1833,$P1833,IF($Q1833&gt;0,$P1833+ROUND((INT($B1833)-$P1833)/$Q1833,0)*$Q1833,IF($R1833&gt;0,EDATE($P1833,ROUND((DATEDIF($P1833,INT($B1833),"m")+(INT($B1833)-EDATE($P1833,DATEDIF($P1833,INT($B1833),"m")))/(EDATE($P1833,DATEDIF($P1833,INT($B1833),"m")+1)-EDATE($P1833,DATEDIF($P1833,INT($B1833),"m"))))/$R1833,0)*$R1833),$P1833))))),"")))</f>
      </c>
      <c r="M1833" s="223">
        <f>IF(OR($C1833="",N($L1833)=0,N($B1833)=0),"",IF(IF(MOD($L1833,1)=0,INT($B1833),$B1833)&lt;=$L1833,"Đúng hạn","Trễ hạn"))</f>
      </c>
      <c r="N1833" s="225">
        <f>IF($C1833="","",ROW())</f>
      </c>
      <c r="O1833" s="225">
        <f>IF($I1833="Công việc",MATCH($C1833,'Kế hoạch'!$A$6:$A$305,0),"")</f>
      </c>
      <c r="P1833" s="234">
        <f>IF($O1833="","",INDEX('Kế hoạch'!$I$6:$I$305,$O1833))</f>
      </c>
      <c r="Q1833" s="225">
        <f>IF($O1833="","",INDEX('Kế hoạch'!$AJ$6:$AJ$305,$O1833))</f>
      </c>
      <c r="R1833" s="225">
        <f>IF($O1833="","",INDEX('Kế hoạch'!$AK$6:$AK$305,$O1833))</f>
      </c>
    </row>
    <row r="1834">
      <c r="A1834" s="223">
        <f>IF($C1834="","",COUNTIF($C$6:$C1834,"?*"))</f>
      </c>
      <c r="B1834" s="217"/>
      <c r="C1834" s="216"/>
      <c r="D1834" s="240"/>
      <c r="E1834" s="218"/>
      <c r="F1834" s="218"/>
      <c r="G1834" s="218"/>
      <c r="H1834" s="219"/>
      <c r="I1834" s="223">
        <f>IF($C1834="","",IF(ISNUMBER(MATCH($C1834,'Phản ánh'!$A$6:$A$505,0)),"Phản ánh",IF(ISNUMBER(MATCH($C1834,'Kế hoạch'!$A$6:$A$305,0)),"Công việc","Mã chưa có")))</f>
      </c>
      <c r="J1834" s="221">
        <f>IF($I1834="Phản ánh",INDEX('Phản ánh'!$C$6:$C$505,MATCH($C1834,'Phản ánh'!$A$6:$A$505,0)),IF($I1834="Công việc",INDEX('Kế hoạch'!$C$6:$C$305,$O1834),""))</f>
      </c>
      <c r="K1834" s="221">
        <f>IF($I1834="Phản ánh",INDEX('Phản ánh'!$K$6:$K$505,MATCH($C1834,'Phản ánh'!$A$6:$A$505,0))&amp;"",IF($I1834="Công việc",INDEX('Kế hoạch'!$N$6:$N$305,$O1834)&amp;"",""))</f>
      </c>
      <c r="L1834" s="220">
        <f>IF(OR($C1834="",N($B1834)=0),"",IF(AND($I1834="Phản ánh",$E1834="Đã xử lý"),INDEX('Phản ánh'!$U$6:$U$505,MATCH($C1834,'Phản ánh'!$A$6:$A$505,0)),IF(AND($I1834="Công việc",OR($E1834="Hoàn thành",$E1834="Hoàn thành kỳ")),IF(INDEX('Kế hoạch'!$B$6:$B$305,$O1834)="Đột xuất",INDEX('Kế hoạch'!$AY$6:$AY$305,$O1834),IF(N($P1834)=0,"",IF(INT($B1834)&lt;$P1834,$P1834,IF($Q1834&gt;0,$P1834+ROUND((INT($B1834)-$P1834)/$Q1834,0)*$Q1834,IF($R1834&gt;0,EDATE($P1834,ROUND((DATEDIF($P1834,INT($B1834),"m")+(INT($B1834)-EDATE($P1834,DATEDIF($P1834,INT($B1834),"m")))/(EDATE($P1834,DATEDIF($P1834,INT($B1834),"m")+1)-EDATE($P1834,DATEDIF($P1834,INT($B1834),"m"))))/$R1834,0)*$R1834),$P1834))))),"")))</f>
      </c>
      <c r="M1834" s="223">
        <f>IF(OR($C1834="",N($L1834)=0,N($B1834)=0),"",IF(IF(MOD($L1834,1)=0,INT($B1834),$B1834)&lt;=$L1834,"Đúng hạn","Trễ hạn"))</f>
      </c>
      <c r="N1834" s="225">
        <f>IF($C1834="","",ROW())</f>
      </c>
      <c r="O1834" s="225">
        <f>IF($I1834="Công việc",MATCH($C1834,'Kế hoạch'!$A$6:$A$305,0),"")</f>
      </c>
      <c r="P1834" s="234">
        <f>IF($O1834="","",INDEX('Kế hoạch'!$I$6:$I$305,$O1834))</f>
      </c>
      <c r="Q1834" s="225">
        <f>IF($O1834="","",INDEX('Kế hoạch'!$AJ$6:$AJ$305,$O1834))</f>
      </c>
      <c r="R1834" s="225">
        <f>IF($O1834="","",INDEX('Kế hoạch'!$AK$6:$AK$305,$O1834))</f>
      </c>
    </row>
    <row r="1835">
      <c r="A1835" s="223">
        <f>IF($C1835="","",COUNTIF($C$6:$C1835,"?*"))</f>
      </c>
      <c r="B1835" s="217"/>
      <c r="C1835" s="216"/>
      <c r="D1835" s="240"/>
      <c r="E1835" s="218"/>
      <c r="F1835" s="218"/>
      <c r="G1835" s="218"/>
      <c r="H1835" s="219"/>
      <c r="I1835" s="223">
        <f>IF($C1835="","",IF(ISNUMBER(MATCH($C1835,'Phản ánh'!$A$6:$A$505,0)),"Phản ánh",IF(ISNUMBER(MATCH($C1835,'Kế hoạch'!$A$6:$A$305,0)),"Công việc","Mã chưa có")))</f>
      </c>
      <c r="J1835" s="221">
        <f>IF($I1835="Phản ánh",INDEX('Phản ánh'!$C$6:$C$505,MATCH($C1835,'Phản ánh'!$A$6:$A$505,0)),IF($I1835="Công việc",INDEX('Kế hoạch'!$C$6:$C$305,$O1835),""))</f>
      </c>
      <c r="K1835" s="221">
        <f>IF($I1835="Phản ánh",INDEX('Phản ánh'!$K$6:$K$505,MATCH($C1835,'Phản ánh'!$A$6:$A$505,0))&amp;"",IF($I1835="Công việc",INDEX('Kế hoạch'!$N$6:$N$305,$O1835)&amp;"",""))</f>
      </c>
      <c r="L1835" s="220">
        <f>IF(OR($C1835="",N($B1835)=0),"",IF(AND($I1835="Phản ánh",$E1835="Đã xử lý"),INDEX('Phản ánh'!$U$6:$U$505,MATCH($C1835,'Phản ánh'!$A$6:$A$505,0)),IF(AND($I1835="Công việc",OR($E1835="Hoàn thành",$E1835="Hoàn thành kỳ")),IF(INDEX('Kế hoạch'!$B$6:$B$305,$O1835)="Đột xuất",INDEX('Kế hoạch'!$AY$6:$AY$305,$O1835),IF(N($P1835)=0,"",IF(INT($B1835)&lt;$P1835,$P1835,IF($Q1835&gt;0,$P1835+ROUND((INT($B1835)-$P1835)/$Q1835,0)*$Q1835,IF($R1835&gt;0,EDATE($P1835,ROUND((DATEDIF($P1835,INT($B1835),"m")+(INT($B1835)-EDATE($P1835,DATEDIF($P1835,INT($B1835),"m")))/(EDATE($P1835,DATEDIF($P1835,INT($B1835),"m")+1)-EDATE($P1835,DATEDIF($P1835,INT($B1835),"m"))))/$R1835,0)*$R1835),$P1835))))),"")))</f>
      </c>
      <c r="M1835" s="223">
        <f>IF(OR($C1835="",N($L1835)=0,N($B1835)=0),"",IF(IF(MOD($L1835,1)=0,INT($B1835),$B1835)&lt;=$L1835,"Đúng hạn","Trễ hạn"))</f>
      </c>
      <c r="N1835" s="225">
        <f>IF($C1835="","",ROW())</f>
      </c>
      <c r="O1835" s="225">
        <f>IF($I1835="Công việc",MATCH($C1835,'Kế hoạch'!$A$6:$A$305,0),"")</f>
      </c>
      <c r="P1835" s="234">
        <f>IF($O1835="","",INDEX('Kế hoạch'!$I$6:$I$305,$O1835))</f>
      </c>
      <c r="Q1835" s="225">
        <f>IF($O1835="","",INDEX('Kế hoạch'!$AJ$6:$AJ$305,$O1835))</f>
      </c>
      <c r="R1835" s="225">
        <f>IF($O1835="","",INDEX('Kế hoạch'!$AK$6:$AK$305,$O1835))</f>
      </c>
    </row>
    <row r="1836">
      <c r="A1836" s="223">
        <f>IF($C1836="","",COUNTIF($C$6:$C1836,"?*"))</f>
      </c>
      <c r="B1836" s="217"/>
      <c r="C1836" s="216"/>
      <c r="D1836" s="240"/>
      <c r="E1836" s="218"/>
      <c r="F1836" s="218"/>
      <c r="G1836" s="218"/>
      <c r="H1836" s="219"/>
      <c r="I1836" s="223">
        <f>IF($C1836="","",IF(ISNUMBER(MATCH($C1836,'Phản ánh'!$A$6:$A$505,0)),"Phản ánh",IF(ISNUMBER(MATCH($C1836,'Kế hoạch'!$A$6:$A$305,0)),"Công việc","Mã chưa có")))</f>
      </c>
      <c r="J1836" s="221">
        <f>IF($I1836="Phản ánh",INDEX('Phản ánh'!$C$6:$C$505,MATCH($C1836,'Phản ánh'!$A$6:$A$505,0)),IF($I1836="Công việc",INDEX('Kế hoạch'!$C$6:$C$305,$O1836),""))</f>
      </c>
      <c r="K1836" s="221">
        <f>IF($I1836="Phản ánh",INDEX('Phản ánh'!$K$6:$K$505,MATCH($C1836,'Phản ánh'!$A$6:$A$505,0))&amp;"",IF($I1836="Công việc",INDEX('Kế hoạch'!$N$6:$N$305,$O1836)&amp;"",""))</f>
      </c>
      <c r="L1836" s="220">
        <f>IF(OR($C1836="",N($B1836)=0),"",IF(AND($I1836="Phản ánh",$E1836="Đã xử lý"),INDEX('Phản ánh'!$U$6:$U$505,MATCH($C1836,'Phản ánh'!$A$6:$A$505,0)),IF(AND($I1836="Công việc",OR($E1836="Hoàn thành",$E1836="Hoàn thành kỳ")),IF(INDEX('Kế hoạch'!$B$6:$B$305,$O1836)="Đột xuất",INDEX('Kế hoạch'!$AY$6:$AY$305,$O1836),IF(N($P1836)=0,"",IF(INT($B1836)&lt;$P1836,$P1836,IF($Q1836&gt;0,$P1836+ROUND((INT($B1836)-$P1836)/$Q1836,0)*$Q1836,IF($R1836&gt;0,EDATE($P1836,ROUND((DATEDIF($P1836,INT($B1836),"m")+(INT($B1836)-EDATE($P1836,DATEDIF($P1836,INT($B1836),"m")))/(EDATE($P1836,DATEDIF($P1836,INT($B1836),"m")+1)-EDATE($P1836,DATEDIF($P1836,INT($B1836),"m"))))/$R1836,0)*$R1836),$P1836))))),"")))</f>
      </c>
      <c r="M1836" s="223">
        <f>IF(OR($C1836="",N($L1836)=0,N($B1836)=0),"",IF(IF(MOD($L1836,1)=0,INT($B1836),$B1836)&lt;=$L1836,"Đúng hạn","Trễ hạn"))</f>
      </c>
      <c r="N1836" s="225">
        <f>IF($C1836="","",ROW())</f>
      </c>
      <c r="O1836" s="225">
        <f>IF($I1836="Công việc",MATCH($C1836,'Kế hoạch'!$A$6:$A$305,0),"")</f>
      </c>
      <c r="P1836" s="234">
        <f>IF($O1836="","",INDEX('Kế hoạch'!$I$6:$I$305,$O1836))</f>
      </c>
      <c r="Q1836" s="225">
        <f>IF($O1836="","",INDEX('Kế hoạch'!$AJ$6:$AJ$305,$O1836))</f>
      </c>
      <c r="R1836" s="225">
        <f>IF($O1836="","",INDEX('Kế hoạch'!$AK$6:$AK$305,$O1836))</f>
      </c>
    </row>
    <row r="1837">
      <c r="A1837" s="223">
        <f>IF($C1837="","",COUNTIF($C$6:$C1837,"?*"))</f>
      </c>
      <c r="B1837" s="217"/>
      <c r="C1837" s="216"/>
      <c r="D1837" s="240"/>
      <c r="E1837" s="218"/>
      <c r="F1837" s="218"/>
      <c r="G1837" s="218"/>
      <c r="H1837" s="219"/>
      <c r="I1837" s="223">
        <f>IF($C1837="","",IF(ISNUMBER(MATCH($C1837,'Phản ánh'!$A$6:$A$505,0)),"Phản ánh",IF(ISNUMBER(MATCH($C1837,'Kế hoạch'!$A$6:$A$305,0)),"Công việc","Mã chưa có")))</f>
      </c>
      <c r="J1837" s="221">
        <f>IF($I1837="Phản ánh",INDEX('Phản ánh'!$C$6:$C$505,MATCH($C1837,'Phản ánh'!$A$6:$A$505,0)),IF($I1837="Công việc",INDEX('Kế hoạch'!$C$6:$C$305,$O1837),""))</f>
      </c>
      <c r="K1837" s="221">
        <f>IF($I1837="Phản ánh",INDEX('Phản ánh'!$K$6:$K$505,MATCH($C1837,'Phản ánh'!$A$6:$A$505,0))&amp;"",IF($I1837="Công việc",INDEX('Kế hoạch'!$N$6:$N$305,$O1837)&amp;"",""))</f>
      </c>
      <c r="L1837" s="220">
        <f>IF(OR($C1837="",N($B1837)=0),"",IF(AND($I1837="Phản ánh",$E1837="Đã xử lý"),INDEX('Phản ánh'!$U$6:$U$505,MATCH($C1837,'Phản ánh'!$A$6:$A$505,0)),IF(AND($I1837="Công việc",OR($E1837="Hoàn thành",$E1837="Hoàn thành kỳ")),IF(INDEX('Kế hoạch'!$B$6:$B$305,$O1837)="Đột xuất",INDEX('Kế hoạch'!$AY$6:$AY$305,$O1837),IF(N($P1837)=0,"",IF(INT($B1837)&lt;$P1837,$P1837,IF($Q1837&gt;0,$P1837+ROUND((INT($B1837)-$P1837)/$Q1837,0)*$Q1837,IF($R1837&gt;0,EDATE($P1837,ROUND((DATEDIF($P1837,INT($B1837),"m")+(INT($B1837)-EDATE($P1837,DATEDIF($P1837,INT($B1837),"m")))/(EDATE($P1837,DATEDIF($P1837,INT($B1837),"m")+1)-EDATE($P1837,DATEDIF($P1837,INT($B1837),"m"))))/$R1837,0)*$R1837),$P1837))))),"")))</f>
      </c>
      <c r="M1837" s="223">
        <f>IF(OR($C1837="",N($L1837)=0,N($B1837)=0),"",IF(IF(MOD($L1837,1)=0,INT($B1837),$B1837)&lt;=$L1837,"Đúng hạn","Trễ hạn"))</f>
      </c>
      <c r="N1837" s="225">
        <f>IF($C1837="","",ROW())</f>
      </c>
      <c r="O1837" s="225">
        <f>IF($I1837="Công việc",MATCH($C1837,'Kế hoạch'!$A$6:$A$305,0),"")</f>
      </c>
      <c r="P1837" s="234">
        <f>IF($O1837="","",INDEX('Kế hoạch'!$I$6:$I$305,$O1837))</f>
      </c>
      <c r="Q1837" s="225">
        <f>IF($O1837="","",INDEX('Kế hoạch'!$AJ$6:$AJ$305,$O1837))</f>
      </c>
      <c r="R1837" s="225">
        <f>IF($O1837="","",INDEX('Kế hoạch'!$AK$6:$AK$305,$O1837))</f>
      </c>
    </row>
    <row r="1838">
      <c r="A1838" s="223">
        <f>IF($C1838="","",COUNTIF($C$6:$C1838,"?*"))</f>
      </c>
      <c r="B1838" s="217"/>
      <c r="C1838" s="216"/>
      <c r="D1838" s="240"/>
      <c r="E1838" s="218"/>
      <c r="F1838" s="218"/>
      <c r="G1838" s="218"/>
      <c r="H1838" s="219"/>
      <c r="I1838" s="223">
        <f>IF($C1838="","",IF(ISNUMBER(MATCH($C1838,'Phản ánh'!$A$6:$A$505,0)),"Phản ánh",IF(ISNUMBER(MATCH($C1838,'Kế hoạch'!$A$6:$A$305,0)),"Công việc","Mã chưa có")))</f>
      </c>
      <c r="J1838" s="221">
        <f>IF($I1838="Phản ánh",INDEX('Phản ánh'!$C$6:$C$505,MATCH($C1838,'Phản ánh'!$A$6:$A$505,0)),IF($I1838="Công việc",INDEX('Kế hoạch'!$C$6:$C$305,$O1838),""))</f>
      </c>
      <c r="K1838" s="221">
        <f>IF($I1838="Phản ánh",INDEX('Phản ánh'!$K$6:$K$505,MATCH($C1838,'Phản ánh'!$A$6:$A$505,0))&amp;"",IF($I1838="Công việc",INDEX('Kế hoạch'!$N$6:$N$305,$O1838)&amp;"",""))</f>
      </c>
      <c r="L1838" s="220">
        <f>IF(OR($C1838="",N($B1838)=0),"",IF(AND($I1838="Phản ánh",$E1838="Đã xử lý"),INDEX('Phản ánh'!$U$6:$U$505,MATCH($C1838,'Phản ánh'!$A$6:$A$505,0)),IF(AND($I1838="Công việc",OR($E1838="Hoàn thành",$E1838="Hoàn thành kỳ")),IF(INDEX('Kế hoạch'!$B$6:$B$305,$O1838)="Đột xuất",INDEX('Kế hoạch'!$AY$6:$AY$305,$O1838),IF(N($P1838)=0,"",IF(INT($B1838)&lt;$P1838,$P1838,IF($Q1838&gt;0,$P1838+ROUND((INT($B1838)-$P1838)/$Q1838,0)*$Q1838,IF($R1838&gt;0,EDATE($P1838,ROUND((DATEDIF($P1838,INT($B1838),"m")+(INT($B1838)-EDATE($P1838,DATEDIF($P1838,INT($B1838),"m")))/(EDATE($P1838,DATEDIF($P1838,INT($B1838),"m")+1)-EDATE($P1838,DATEDIF($P1838,INT($B1838),"m"))))/$R1838,0)*$R1838),$P1838))))),"")))</f>
      </c>
      <c r="M1838" s="223">
        <f>IF(OR($C1838="",N($L1838)=0,N($B1838)=0),"",IF(IF(MOD($L1838,1)=0,INT($B1838),$B1838)&lt;=$L1838,"Đúng hạn","Trễ hạn"))</f>
      </c>
      <c r="N1838" s="225">
        <f>IF($C1838="","",ROW())</f>
      </c>
      <c r="O1838" s="225">
        <f>IF($I1838="Công việc",MATCH($C1838,'Kế hoạch'!$A$6:$A$305,0),"")</f>
      </c>
      <c r="P1838" s="234">
        <f>IF($O1838="","",INDEX('Kế hoạch'!$I$6:$I$305,$O1838))</f>
      </c>
      <c r="Q1838" s="225">
        <f>IF($O1838="","",INDEX('Kế hoạch'!$AJ$6:$AJ$305,$O1838))</f>
      </c>
      <c r="R1838" s="225">
        <f>IF($O1838="","",INDEX('Kế hoạch'!$AK$6:$AK$305,$O1838))</f>
      </c>
    </row>
    <row r="1839">
      <c r="A1839" s="223">
        <f>IF($C1839="","",COUNTIF($C$6:$C1839,"?*"))</f>
      </c>
      <c r="B1839" s="217"/>
      <c r="C1839" s="216"/>
      <c r="D1839" s="240"/>
      <c r="E1839" s="218"/>
      <c r="F1839" s="218"/>
      <c r="G1839" s="218"/>
      <c r="H1839" s="219"/>
      <c r="I1839" s="223">
        <f>IF($C1839="","",IF(ISNUMBER(MATCH($C1839,'Phản ánh'!$A$6:$A$505,0)),"Phản ánh",IF(ISNUMBER(MATCH($C1839,'Kế hoạch'!$A$6:$A$305,0)),"Công việc","Mã chưa có")))</f>
      </c>
      <c r="J1839" s="221">
        <f>IF($I1839="Phản ánh",INDEX('Phản ánh'!$C$6:$C$505,MATCH($C1839,'Phản ánh'!$A$6:$A$505,0)),IF($I1839="Công việc",INDEX('Kế hoạch'!$C$6:$C$305,$O1839),""))</f>
      </c>
      <c r="K1839" s="221">
        <f>IF($I1839="Phản ánh",INDEX('Phản ánh'!$K$6:$K$505,MATCH($C1839,'Phản ánh'!$A$6:$A$505,0))&amp;"",IF($I1839="Công việc",INDEX('Kế hoạch'!$N$6:$N$305,$O1839)&amp;"",""))</f>
      </c>
      <c r="L1839" s="220">
        <f>IF(OR($C1839="",N($B1839)=0),"",IF(AND($I1839="Phản ánh",$E1839="Đã xử lý"),INDEX('Phản ánh'!$U$6:$U$505,MATCH($C1839,'Phản ánh'!$A$6:$A$505,0)),IF(AND($I1839="Công việc",OR($E1839="Hoàn thành",$E1839="Hoàn thành kỳ")),IF(INDEX('Kế hoạch'!$B$6:$B$305,$O1839)="Đột xuất",INDEX('Kế hoạch'!$AY$6:$AY$305,$O1839),IF(N($P1839)=0,"",IF(INT($B1839)&lt;$P1839,$P1839,IF($Q1839&gt;0,$P1839+ROUND((INT($B1839)-$P1839)/$Q1839,0)*$Q1839,IF($R1839&gt;0,EDATE($P1839,ROUND((DATEDIF($P1839,INT($B1839),"m")+(INT($B1839)-EDATE($P1839,DATEDIF($P1839,INT($B1839),"m")))/(EDATE($P1839,DATEDIF($P1839,INT($B1839),"m")+1)-EDATE($P1839,DATEDIF($P1839,INT($B1839),"m"))))/$R1839,0)*$R1839),$P1839))))),"")))</f>
      </c>
      <c r="M1839" s="223">
        <f>IF(OR($C1839="",N($L1839)=0,N($B1839)=0),"",IF(IF(MOD($L1839,1)=0,INT($B1839),$B1839)&lt;=$L1839,"Đúng hạn","Trễ hạn"))</f>
      </c>
      <c r="N1839" s="225">
        <f>IF($C1839="","",ROW())</f>
      </c>
      <c r="O1839" s="225">
        <f>IF($I1839="Công việc",MATCH($C1839,'Kế hoạch'!$A$6:$A$305,0),"")</f>
      </c>
      <c r="P1839" s="234">
        <f>IF($O1839="","",INDEX('Kế hoạch'!$I$6:$I$305,$O1839))</f>
      </c>
      <c r="Q1839" s="225">
        <f>IF($O1839="","",INDEX('Kế hoạch'!$AJ$6:$AJ$305,$O1839))</f>
      </c>
      <c r="R1839" s="225">
        <f>IF($O1839="","",INDEX('Kế hoạch'!$AK$6:$AK$305,$O1839))</f>
      </c>
    </row>
    <row r="1840">
      <c r="A1840" s="223">
        <f>IF($C1840="","",COUNTIF($C$6:$C1840,"?*"))</f>
      </c>
      <c r="B1840" s="217"/>
      <c r="C1840" s="216"/>
      <c r="D1840" s="240"/>
      <c r="E1840" s="218"/>
      <c r="F1840" s="218"/>
      <c r="G1840" s="218"/>
      <c r="H1840" s="219"/>
      <c r="I1840" s="223">
        <f>IF($C1840="","",IF(ISNUMBER(MATCH($C1840,'Phản ánh'!$A$6:$A$505,0)),"Phản ánh",IF(ISNUMBER(MATCH($C1840,'Kế hoạch'!$A$6:$A$305,0)),"Công việc","Mã chưa có")))</f>
      </c>
      <c r="J1840" s="221">
        <f>IF($I1840="Phản ánh",INDEX('Phản ánh'!$C$6:$C$505,MATCH($C1840,'Phản ánh'!$A$6:$A$505,0)),IF($I1840="Công việc",INDEX('Kế hoạch'!$C$6:$C$305,$O1840),""))</f>
      </c>
      <c r="K1840" s="221">
        <f>IF($I1840="Phản ánh",INDEX('Phản ánh'!$K$6:$K$505,MATCH($C1840,'Phản ánh'!$A$6:$A$505,0))&amp;"",IF($I1840="Công việc",INDEX('Kế hoạch'!$N$6:$N$305,$O1840)&amp;"",""))</f>
      </c>
      <c r="L1840" s="220">
        <f>IF(OR($C1840="",N($B1840)=0),"",IF(AND($I1840="Phản ánh",$E1840="Đã xử lý"),INDEX('Phản ánh'!$U$6:$U$505,MATCH($C1840,'Phản ánh'!$A$6:$A$505,0)),IF(AND($I1840="Công việc",OR($E1840="Hoàn thành",$E1840="Hoàn thành kỳ")),IF(INDEX('Kế hoạch'!$B$6:$B$305,$O1840)="Đột xuất",INDEX('Kế hoạch'!$AY$6:$AY$305,$O1840),IF(N($P1840)=0,"",IF(INT($B1840)&lt;$P1840,$P1840,IF($Q1840&gt;0,$P1840+ROUND((INT($B1840)-$P1840)/$Q1840,0)*$Q1840,IF($R1840&gt;0,EDATE($P1840,ROUND((DATEDIF($P1840,INT($B1840),"m")+(INT($B1840)-EDATE($P1840,DATEDIF($P1840,INT($B1840),"m")))/(EDATE($P1840,DATEDIF($P1840,INT($B1840),"m")+1)-EDATE($P1840,DATEDIF($P1840,INT($B1840),"m"))))/$R1840,0)*$R1840),$P1840))))),"")))</f>
      </c>
      <c r="M1840" s="223">
        <f>IF(OR($C1840="",N($L1840)=0,N($B1840)=0),"",IF(IF(MOD($L1840,1)=0,INT($B1840),$B1840)&lt;=$L1840,"Đúng hạn","Trễ hạn"))</f>
      </c>
      <c r="N1840" s="225">
        <f>IF($C1840="","",ROW())</f>
      </c>
      <c r="O1840" s="225">
        <f>IF($I1840="Công việc",MATCH($C1840,'Kế hoạch'!$A$6:$A$305,0),"")</f>
      </c>
      <c r="P1840" s="234">
        <f>IF($O1840="","",INDEX('Kế hoạch'!$I$6:$I$305,$O1840))</f>
      </c>
      <c r="Q1840" s="225">
        <f>IF($O1840="","",INDEX('Kế hoạch'!$AJ$6:$AJ$305,$O1840))</f>
      </c>
      <c r="R1840" s="225">
        <f>IF($O1840="","",INDEX('Kế hoạch'!$AK$6:$AK$305,$O1840))</f>
      </c>
    </row>
    <row r="1841">
      <c r="A1841" s="223">
        <f>IF($C1841="","",COUNTIF($C$6:$C1841,"?*"))</f>
      </c>
      <c r="B1841" s="217"/>
      <c r="C1841" s="216"/>
      <c r="D1841" s="240"/>
      <c r="E1841" s="218"/>
      <c r="F1841" s="218"/>
      <c r="G1841" s="218"/>
      <c r="H1841" s="219"/>
      <c r="I1841" s="223">
        <f>IF($C1841="","",IF(ISNUMBER(MATCH($C1841,'Phản ánh'!$A$6:$A$505,0)),"Phản ánh",IF(ISNUMBER(MATCH($C1841,'Kế hoạch'!$A$6:$A$305,0)),"Công việc","Mã chưa có")))</f>
      </c>
      <c r="J1841" s="221">
        <f>IF($I1841="Phản ánh",INDEX('Phản ánh'!$C$6:$C$505,MATCH($C1841,'Phản ánh'!$A$6:$A$505,0)),IF($I1841="Công việc",INDEX('Kế hoạch'!$C$6:$C$305,$O1841),""))</f>
      </c>
      <c r="K1841" s="221">
        <f>IF($I1841="Phản ánh",INDEX('Phản ánh'!$K$6:$K$505,MATCH($C1841,'Phản ánh'!$A$6:$A$505,0))&amp;"",IF($I1841="Công việc",INDEX('Kế hoạch'!$N$6:$N$305,$O1841)&amp;"",""))</f>
      </c>
      <c r="L1841" s="220">
        <f>IF(OR($C1841="",N($B1841)=0),"",IF(AND($I1841="Phản ánh",$E1841="Đã xử lý"),INDEX('Phản ánh'!$U$6:$U$505,MATCH($C1841,'Phản ánh'!$A$6:$A$505,0)),IF(AND($I1841="Công việc",OR($E1841="Hoàn thành",$E1841="Hoàn thành kỳ")),IF(INDEX('Kế hoạch'!$B$6:$B$305,$O1841)="Đột xuất",INDEX('Kế hoạch'!$AY$6:$AY$305,$O1841),IF(N($P1841)=0,"",IF(INT($B1841)&lt;$P1841,$P1841,IF($Q1841&gt;0,$P1841+ROUND((INT($B1841)-$P1841)/$Q1841,0)*$Q1841,IF($R1841&gt;0,EDATE($P1841,ROUND((DATEDIF($P1841,INT($B1841),"m")+(INT($B1841)-EDATE($P1841,DATEDIF($P1841,INT($B1841),"m")))/(EDATE($P1841,DATEDIF($P1841,INT($B1841),"m")+1)-EDATE($P1841,DATEDIF($P1841,INT($B1841),"m"))))/$R1841,0)*$R1841),$P1841))))),"")))</f>
      </c>
      <c r="M1841" s="223">
        <f>IF(OR($C1841="",N($L1841)=0,N($B1841)=0),"",IF(IF(MOD($L1841,1)=0,INT($B1841),$B1841)&lt;=$L1841,"Đúng hạn","Trễ hạn"))</f>
      </c>
      <c r="N1841" s="225">
        <f>IF($C1841="","",ROW())</f>
      </c>
      <c r="O1841" s="225">
        <f>IF($I1841="Công việc",MATCH($C1841,'Kế hoạch'!$A$6:$A$305,0),"")</f>
      </c>
      <c r="P1841" s="234">
        <f>IF($O1841="","",INDEX('Kế hoạch'!$I$6:$I$305,$O1841))</f>
      </c>
      <c r="Q1841" s="225">
        <f>IF($O1841="","",INDEX('Kế hoạch'!$AJ$6:$AJ$305,$O1841))</f>
      </c>
      <c r="R1841" s="225">
        <f>IF($O1841="","",INDEX('Kế hoạch'!$AK$6:$AK$305,$O1841))</f>
      </c>
    </row>
    <row r="1842">
      <c r="A1842" s="223">
        <f>IF($C1842="","",COUNTIF($C$6:$C1842,"?*"))</f>
      </c>
      <c r="B1842" s="217"/>
      <c r="C1842" s="216"/>
      <c r="D1842" s="240"/>
      <c r="E1842" s="218"/>
      <c r="F1842" s="218"/>
      <c r="G1842" s="218"/>
      <c r="H1842" s="219"/>
      <c r="I1842" s="223">
        <f>IF($C1842="","",IF(ISNUMBER(MATCH($C1842,'Phản ánh'!$A$6:$A$505,0)),"Phản ánh",IF(ISNUMBER(MATCH($C1842,'Kế hoạch'!$A$6:$A$305,0)),"Công việc","Mã chưa có")))</f>
      </c>
      <c r="J1842" s="221">
        <f>IF($I1842="Phản ánh",INDEX('Phản ánh'!$C$6:$C$505,MATCH($C1842,'Phản ánh'!$A$6:$A$505,0)),IF($I1842="Công việc",INDEX('Kế hoạch'!$C$6:$C$305,$O1842),""))</f>
      </c>
      <c r="K1842" s="221">
        <f>IF($I1842="Phản ánh",INDEX('Phản ánh'!$K$6:$K$505,MATCH($C1842,'Phản ánh'!$A$6:$A$505,0))&amp;"",IF($I1842="Công việc",INDEX('Kế hoạch'!$N$6:$N$305,$O1842)&amp;"",""))</f>
      </c>
      <c r="L1842" s="220">
        <f>IF(OR($C1842="",N($B1842)=0),"",IF(AND($I1842="Phản ánh",$E1842="Đã xử lý"),INDEX('Phản ánh'!$U$6:$U$505,MATCH($C1842,'Phản ánh'!$A$6:$A$505,0)),IF(AND($I1842="Công việc",OR($E1842="Hoàn thành",$E1842="Hoàn thành kỳ")),IF(INDEX('Kế hoạch'!$B$6:$B$305,$O1842)="Đột xuất",INDEX('Kế hoạch'!$AY$6:$AY$305,$O1842),IF(N($P1842)=0,"",IF(INT($B1842)&lt;$P1842,$P1842,IF($Q1842&gt;0,$P1842+ROUND((INT($B1842)-$P1842)/$Q1842,0)*$Q1842,IF($R1842&gt;0,EDATE($P1842,ROUND((DATEDIF($P1842,INT($B1842),"m")+(INT($B1842)-EDATE($P1842,DATEDIF($P1842,INT($B1842),"m")))/(EDATE($P1842,DATEDIF($P1842,INT($B1842),"m")+1)-EDATE($P1842,DATEDIF($P1842,INT($B1842),"m"))))/$R1842,0)*$R1842),$P1842))))),"")))</f>
      </c>
      <c r="M1842" s="223">
        <f>IF(OR($C1842="",N($L1842)=0,N($B1842)=0),"",IF(IF(MOD($L1842,1)=0,INT($B1842),$B1842)&lt;=$L1842,"Đúng hạn","Trễ hạn"))</f>
      </c>
      <c r="N1842" s="225">
        <f>IF($C1842="","",ROW())</f>
      </c>
      <c r="O1842" s="225">
        <f>IF($I1842="Công việc",MATCH($C1842,'Kế hoạch'!$A$6:$A$305,0),"")</f>
      </c>
      <c r="P1842" s="234">
        <f>IF($O1842="","",INDEX('Kế hoạch'!$I$6:$I$305,$O1842))</f>
      </c>
      <c r="Q1842" s="225">
        <f>IF($O1842="","",INDEX('Kế hoạch'!$AJ$6:$AJ$305,$O1842))</f>
      </c>
      <c r="R1842" s="225">
        <f>IF($O1842="","",INDEX('Kế hoạch'!$AK$6:$AK$305,$O1842))</f>
      </c>
    </row>
    <row r="1843">
      <c r="A1843" s="223">
        <f>IF($C1843="","",COUNTIF($C$6:$C1843,"?*"))</f>
      </c>
      <c r="B1843" s="217"/>
      <c r="C1843" s="216"/>
      <c r="D1843" s="240"/>
      <c r="E1843" s="218"/>
      <c r="F1843" s="218"/>
      <c r="G1843" s="218"/>
      <c r="H1843" s="219"/>
      <c r="I1843" s="223">
        <f>IF($C1843="","",IF(ISNUMBER(MATCH($C1843,'Phản ánh'!$A$6:$A$505,0)),"Phản ánh",IF(ISNUMBER(MATCH($C1843,'Kế hoạch'!$A$6:$A$305,0)),"Công việc","Mã chưa có")))</f>
      </c>
      <c r="J1843" s="221">
        <f>IF($I1843="Phản ánh",INDEX('Phản ánh'!$C$6:$C$505,MATCH($C1843,'Phản ánh'!$A$6:$A$505,0)),IF($I1843="Công việc",INDEX('Kế hoạch'!$C$6:$C$305,$O1843),""))</f>
      </c>
      <c r="K1843" s="221">
        <f>IF($I1843="Phản ánh",INDEX('Phản ánh'!$K$6:$K$505,MATCH($C1843,'Phản ánh'!$A$6:$A$505,0))&amp;"",IF($I1843="Công việc",INDEX('Kế hoạch'!$N$6:$N$305,$O1843)&amp;"",""))</f>
      </c>
      <c r="L1843" s="220">
        <f>IF(OR($C1843="",N($B1843)=0),"",IF(AND($I1843="Phản ánh",$E1843="Đã xử lý"),INDEX('Phản ánh'!$U$6:$U$505,MATCH($C1843,'Phản ánh'!$A$6:$A$505,0)),IF(AND($I1843="Công việc",OR($E1843="Hoàn thành",$E1843="Hoàn thành kỳ")),IF(INDEX('Kế hoạch'!$B$6:$B$305,$O1843)="Đột xuất",INDEX('Kế hoạch'!$AY$6:$AY$305,$O1843),IF(N($P1843)=0,"",IF(INT($B1843)&lt;$P1843,$P1843,IF($Q1843&gt;0,$P1843+ROUND((INT($B1843)-$P1843)/$Q1843,0)*$Q1843,IF($R1843&gt;0,EDATE($P1843,ROUND((DATEDIF($P1843,INT($B1843),"m")+(INT($B1843)-EDATE($P1843,DATEDIF($P1843,INT($B1843),"m")))/(EDATE($P1843,DATEDIF($P1843,INT($B1843),"m")+1)-EDATE($P1843,DATEDIF($P1843,INT($B1843),"m"))))/$R1843,0)*$R1843),$P1843))))),"")))</f>
      </c>
      <c r="M1843" s="223">
        <f>IF(OR($C1843="",N($L1843)=0,N($B1843)=0),"",IF(IF(MOD($L1843,1)=0,INT($B1843),$B1843)&lt;=$L1843,"Đúng hạn","Trễ hạn"))</f>
      </c>
      <c r="N1843" s="225">
        <f>IF($C1843="","",ROW())</f>
      </c>
      <c r="O1843" s="225">
        <f>IF($I1843="Công việc",MATCH($C1843,'Kế hoạch'!$A$6:$A$305,0),"")</f>
      </c>
      <c r="P1843" s="234">
        <f>IF($O1843="","",INDEX('Kế hoạch'!$I$6:$I$305,$O1843))</f>
      </c>
      <c r="Q1843" s="225">
        <f>IF($O1843="","",INDEX('Kế hoạch'!$AJ$6:$AJ$305,$O1843))</f>
      </c>
      <c r="R1843" s="225">
        <f>IF($O1843="","",INDEX('Kế hoạch'!$AK$6:$AK$305,$O1843))</f>
      </c>
    </row>
    <row r="1844">
      <c r="A1844" s="223">
        <f>IF($C1844="","",COUNTIF($C$6:$C1844,"?*"))</f>
      </c>
      <c r="B1844" s="217"/>
      <c r="C1844" s="216"/>
      <c r="D1844" s="240"/>
      <c r="E1844" s="218"/>
      <c r="F1844" s="218"/>
      <c r="G1844" s="218"/>
      <c r="H1844" s="219"/>
      <c r="I1844" s="223">
        <f>IF($C1844="","",IF(ISNUMBER(MATCH($C1844,'Phản ánh'!$A$6:$A$505,0)),"Phản ánh",IF(ISNUMBER(MATCH($C1844,'Kế hoạch'!$A$6:$A$305,0)),"Công việc","Mã chưa có")))</f>
      </c>
      <c r="J1844" s="221">
        <f>IF($I1844="Phản ánh",INDEX('Phản ánh'!$C$6:$C$505,MATCH($C1844,'Phản ánh'!$A$6:$A$505,0)),IF($I1844="Công việc",INDEX('Kế hoạch'!$C$6:$C$305,$O1844),""))</f>
      </c>
      <c r="K1844" s="221">
        <f>IF($I1844="Phản ánh",INDEX('Phản ánh'!$K$6:$K$505,MATCH($C1844,'Phản ánh'!$A$6:$A$505,0))&amp;"",IF($I1844="Công việc",INDEX('Kế hoạch'!$N$6:$N$305,$O1844)&amp;"",""))</f>
      </c>
      <c r="L1844" s="220">
        <f>IF(OR($C1844="",N($B1844)=0),"",IF(AND($I1844="Phản ánh",$E1844="Đã xử lý"),INDEX('Phản ánh'!$U$6:$U$505,MATCH($C1844,'Phản ánh'!$A$6:$A$505,0)),IF(AND($I1844="Công việc",OR($E1844="Hoàn thành",$E1844="Hoàn thành kỳ")),IF(INDEX('Kế hoạch'!$B$6:$B$305,$O1844)="Đột xuất",INDEX('Kế hoạch'!$AY$6:$AY$305,$O1844),IF(N($P1844)=0,"",IF(INT($B1844)&lt;$P1844,$P1844,IF($Q1844&gt;0,$P1844+ROUND((INT($B1844)-$P1844)/$Q1844,0)*$Q1844,IF($R1844&gt;0,EDATE($P1844,ROUND((DATEDIF($P1844,INT($B1844),"m")+(INT($B1844)-EDATE($P1844,DATEDIF($P1844,INT($B1844),"m")))/(EDATE($P1844,DATEDIF($P1844,INT($B1844),"m")+1)-EDATE($P1844,DATEDIF($P1844,INT($B1844),"m"))))/$R1844,0)*$R1844),$P1844))))),"")))</f>
      </c>
      <c r="M1844" s="223">
        <f>IF(OR($C1844="",N($L1844)=0,N($B1844)=0),"",IF(IF(MOD($L1844,1)=0,INT($B1844),$B1844)&lt;=$L1844,"Đúng hạn","Trễ hạn"))</f>
      </c>
      <c r="N1844" s="225">
        <f>IF($C1844="","",ROW())</f>
      </c>
      <c r="O1844" s="225">
        <f>IF($I1844="Công việc",MATCH($C1844,'Kế hoạch'!$A$6:$A$305,0),"")</f>
      </c>
      <c r="P1844" s="234">
        <f>IF($O1844="","",INDEX('Kế hoạch'!$I$6:$I$305,$O1844))</f>
      </c>
      <c r="Q1844" s="225">
        <f>IF($O1844="","",INDEX('Kế hoạch'!$AJ$6:$AJ$305,$O1844))</f>
      </c>
      <c r="R1844" s="225">
        <f>IF($O1844="","",INDEX('Kế hoạch'!$AK$6:$AK$305,$O1844))</f>
      </c>
    </row>
    <row r="1845">
      <c r="A1845" s="223">
        <f>IF($C1845="","",COUNTIF($C$6:$C1845,"?*"))</f>
      </c>
      <c r="B1845" s="217"/>
      <c r="C1845" s="216"/>
      <c r="D1845" s="240"/>
      <c r="E1845" s="218"/>
      <c r="F1845" s="218"/>
      <c r="G1845" s="218"/>
      <c r="H1845" s="219"/>
      <c r="I1845" s="223">
        <f>IF($C1845="","",IF(ISNUMBER(MATCH($C1845,'Phản ánh'!$A$6:$A$505,0)),"Phản ánh",IF(ISNUMBER(MATCH($C1845,'Kế hoạch'!$A$6:$A$305,0)),"Công việc","Mã chưa có")))</f>
      </c>
      <c r="J1845" s="221">
        <f>IF($I1845="Phản ánh",INDEX('Phản ánh'!$C$6:$C$505,MATCH($C1845,'Phản ánh'!$A$6:$A$505,0)),IF($I1845="Công việc",INDEX('Kế hoạch'!$C$6:$C$305,$O1845),""))</f>
      </c>
      <c r="K1845" s="221">
        <f>IF($I1845="Phản ánh",INDEX('Phản ánh'!$K$6:$K$505,MATCH($C1845,'Phản ánh'!$A$6:$A$505,0))&amp;"",IF($I1845="Công việc",INDEX('Kế hoạch'!$N$6:$N$305,$O1845)&amp;"",""))</f>
      </c>
      <c r="L1845" s="220">
        <f>IF(OR($C1845="",N($B1845)=0),"",IF(AND($I1845="Phản ánh",$E1845="Đã xử lý"),INDEX('Phản ánh'!$U$6:$U$505,MATCH($C1845,'Phản ánh'!$A$6:$A$505,0)),IF(AND($I1845="Công việc",OR($E1845="Hoàn thành",$E1845="Hoàn thành kỳ")),IF(INDEX('Kế hoạch'!$B$6:$B$305,$O1845)="Đột xuất",INDEX('Kế hoạch'!$AY$6:$AY$305,$O1845),IF(N($P1845)=0,"",IF(INT($B1845)&lt;$P1845,$P1845,IF($Q1845&gt;0,$P1845+ROUND((INT($B1845)-$P1845)/$Q1845,0)*$Q1845,IF($R1845&gt;0,EDATE($P1845,ROUND((DATEDIF($P1845,INT($B1845),"m")+(INT($B1845)-EDATE($P1845,DATEDIF($P1845,INT($B1845),"m")))/(EDATE($P1845,DATEDIF($P1845,INT($B1845),"m")+1)-EDATE($P1845,DATEDIF($P1845,INT($B1845),"m"))))/$R1845,0)*$R1845),$P1845))))),"")))</f>
      </c>
      <c r="M1845" s="223">
        <f>IF(OR($C1845="",N($L1845)=0,N($B1845)=0),"",IF(IF(MOD($L1845,1)=0,INT($B1845),$B1845)&lt;=$L1845,"Đúng hạn","Trễ hạn"))</f>
      </c>
      <c r="N1845" s="225">
        <f>IF($C1845="","",ROW())</f>
      </c>
      <c r="O1845" s="225">
        <f>IF($I1845="Công việc",MATCH($C1845,'Kế hoạch'!$A$6:$A$305,0),"")</f>
      </c>
      <c r="P1845" s="234">
        <f>IF($O1845="","",INDEX('Kế hoạch'!$I$6:$I$305,$O1845))</f>
      </c>
      <c r="Q1845" s="225">
        <f>IF($O1845="","",INDEX('Kế hoạch'!$AJ$6:$AJ$305,$O1845))</f>
      </c>
      <c r="R1845" s="225">
        <f>IF($O1845="","",INDEX('Kế hoạch'!$AK$6:$AK$305,$O1845))</f>
      </c>
    </row>
    <row r="1846">
      <c r="A1846" s="223">
        <f>IF($C1846="","",COUNTIF($C$6:$C1846,"?*"))</f>
      </c>
      <c r="B1846" s="217"/>
      <c r="C1846" s="216"/>
      <c r="D1846" s="240"/>
      <c r="E1846" s="218"/>
      <c r="F1846" s="218"/>
      <c r="G1846" s="218"/>
      <c r="H1846" s="219"/>
      <c r="I1846" s="223">
        <f>IF($C1846="","",IF(ISNUMBER(MATCH($C1846,'Phản ánh'!$A$6:$A$505,0)),"Phản ánh",IF(ISNUMBER(MATCH($C1846,'Kế hoạch'!$A$6:$A$305,0)),"Công việc","Mã chưa có")))</f>
      </c>
      <c r="J1846" s="221">
        <f>IF($I1846="Phản ánh",INDEX('Phản ánh'!$C$6:$C$505,MATCH($C1846,'Phản ánh'!$A$6:$A$505,0)),IF($I1846="Công việc",INDEX('Kế hoạch'!$C$6:$C$305,$O1846),""))</f>
      </c>
      <c r="K1846" s="221">
        <f>IF($I1846="Phản ánh",INDEX('Phản ánh'!$K$6:$K$505,MATCH($C1846,'Phản ánh'!$A$6:$A$505,0))&amp;"",IF($I1846="Công việc",INDEX('Kế hoạch'!$N$6:$N$305,$O1846)&amp;"",""))</f>
      </c>
      <c r="L1846" s="220">
        <f>IF(OR($C1846="",N($B1846)=0),"",IF(AND($I1846="Phản ánh",$E1846="Đã xử lý"),INDEX('Phản ánh'!$U$6:$U$505,MATCH($C1846,'Phản ánh'!$A$6:$A$505,0)),IF(AND($I1846="Công việc",OR($E1846="Hoàn thành",$E1846="Hoàn thành kỳ")),IF(INDEX('Kế hoạch'!$B$6:$B$305,$O1846)="Đột xuất",INDEX('Kế hoạch'!$AY$6:$AY$305,$O1846),IF(N($P1846)=0,"",IF(INT($B1846)&lt;$P1846,$P1846,IF($Q1846&gt;0,$P1846+ROUND((INT($B1846)-$P1846)/$Q1846,0)*$Q1846,IF($R1846&gt;0,EDATE($P1846,ROUND((DATEDIF($P1846,INT($B1846),"m")+(INT($B1846)-EDATE($P1846,DATEDIF($P1846,INT($B1846),"m")))/(EDATE($P1846,DATEDIF($P1846,INT($B1846),"m")+1)-EDATE($P1846,DATEDIF($P1846,INT($B1846),"m"))))/$R1846,0)*$R1846),$P1846))))),"")))</f>
      </c>
      <c r="M1846" s="223">
        <f>IF(OR($C1846="",N($L1846)=0,N($B1846)=0),"",IF(IF(MOD($L1846,1)=0,INT($B1846),$B1846)&lt;=$L1846,"Đúng hạn","Trễ hạn"))</f>
      </c>
      <c r="N1846" s="225">
        <f>IF($C1846="","",ROW())</f>
      </c>
      <c r="O1846" s="225">
        <f>IF($I1846="Công việc",MATCH($C1846,'Kế hoạch'!$A$6:$A$305,0),"")</f>
      </c>
      <c r="P1846" s="234">
        <f>IF($O1846="","",INDEX('Kế hoạch'!$I$6:$I$305,$O1846))</f>
      </c>
      <c r="Q1846" s="225">
        <f>IF($O1846="","",INDEX('Kế hoạch'!$AJ$6:$AJ$305,$O1846))</f>
      </c>
      <c r="R1846" s="225">
        <f>IF($O1846="","",INDEX('Kế hoạch'!$AK$6:$AK$305,$O1846))</f>
      </c>
    </row>
    <row r="1847">
      <c r="A1847" s="223">
        <f>IF($C1847="","",COUNTIF($C$6:$C1847,"?*"))</f>
      </c>
      <c r="B1847" s="217"/>
      <c r="C1847" s="216"/>
      <c r="D1847" s="240"/>
      <c r="E1847" s="218"/>
      <c r="F1847" s="218"/>
      <c r="G1847" s="218"/>
      <c r="H1847" s="219"/>
      <c r="I1847" s="223">
        <f>IF($C1847="","",IF(ISNUMBER(MATCH($C1847,'Phản ánh'!$A$6:$A$505,0)),"Phản ánh",IF(ISNUMBER(MATCH($C1847,'Kế hoạch'!$A$6:$A$305,0)),"Công việc","Mã chưa có")))</f>
      </c>
      <c r="J1847" s="221">
        <f>IF($I1847="Phản ánh",INDEX('Phản ánh'!$C$6:$C$505,MATCH($C1847,'Phản ánh'!$A$6:$A$505,0)),IF($I1847="Công việc",INDEX('Kế hoạch'!$C$6:$C$305,$O1847),""))</f>
      </c>
      <c r="K1847" s="221">
        <f>IF($I1847="Phản ánh",INDEX('Phản ánh'!$K$6:$K$505,MATCH($C1847,'Phản ánh'!$A$6:$A$505,0))&amp;"",IF($I1847="Công việc",INDEX('Kế hoạch'!$N$6:$N$305,$O1847)&amp;"",""))</f>
      </c>
      <c r="L1847" s="220">
        <f>IF(OR($C1847="",N($B1847)=0),"",IF(AND($I1847="Phản ánh",$E1847="Đã xử lý"),INDEX('Phản ánh'!$U$6:$U$505,MATCH($C1847,'Phản ánh'!$A$6:$A$505,0)),IF(AND($I1847="Công việc",OR($E1847="Hoàn thành",$E1847="Hoàn thành kỳ")),IF(INDEX('Kế hoạch'!$B$6:$B$305,$O1847)="Đột xuất",INDEX('Kế hoạch'!$AY$6:$AY$305,$O1847),IF(N($P1847)=0,"",IF(INT($B1847)&lt;$P1847,$P1847,IF($Q1847&gt;0,$P1847+ROUND((INT($B1847)-$P1847)/$Q1847,0)*$Q1847,IF($R1847&gt;0,EDATE($P1847,ROUND((DATEDIF($P1847,INT($B1847),"m")+(INT($B1847)-EDATE($P1847,DATEDIF($P1847,INT($B1847),"m")))/(EDATE($P1847,DATEDIF($P1847,INT($B1847),"m")+1)-EDATE($P1847,DATEDIF($P1847,INT($B1847),"m"))))/$R1847,0)*$R1847),$P1847))))),"")))</f>
      </c>
      <c r="M1847" s="223">
        <f>IF(OR($C1847="",N($L1847)=0,N($B1847)=0),"",IF(IF(MOD($L1847,1)=0,INT($B1847),$B1847)&lt;=$L1847,"Đúng hạn","Trễ hạn"))</f>
      </c>
      <c r="N1847" s="225">
        <f>IF($C1847="","",ROW())</f>
      </c>
      <c r="O1847" s="225">
        <f>IF($I1847="Công việc",MATCH($C1847,'Kế hoạch'!$A$6:$A$305,0),"")</f>
      </c>
      <c r="P1847" s="234">
        <f>IF($O1847="","",INDEX('Kế hoạch'!$I$6:$I$305,$O1847))</f>
      </c>
      <c r="Q1847" s="225">
        <f>IF($O1847="","",INDEX('Kế hoạch'!$AJ$6:$AJ$305,$O1847))</f>
      </c>
      <c r="R1847" s="225">
        <f>IF($O1847="","",INDEX('Kế hoạch'!$AK$6:$AK$305,$O1847))</f>
      </c>
    </row>
    <row r="1848">
      <c r="A1848" s="223">
        <f>IF($C1848="","",COUNTIF($C$6:$C1848,"?*"))</f>
      </c>
      <c r="B1848" s="217"/>
      <c r="C1848" s="216"/>
      <c r="D1848" s="240"/>
      <c r="E1848" s="218"/>
      <c r="F1848" s="218"/>
      <c r="G1848" s="218"/>
      <c r="H1848" s="219"/>
      <c r="I1848" s="223">
        <f>IF($C1848="","",IF(ISNUMBER(MATCH($C1848,'Phản ánh'!$A$6:$A$505,0)),"Phản ánh",IF(ISNUMBER(MATCH($C1848,'Kế hoạch'!$A$6:$A$305,0)),"Công việc","Mã chưa có")))</f>
      </c>
      <c r="J1848" s="221">
        <f>IF($I1848="Phản ánh",INDEX('Phản ánh'!$C$6:$C$505,MATCH($C1848,'Phản ánh'!$A$6:$A$505,0)),IF($I1848="Công việc",INDEX('Kế hoạch'!$C$6:$C$305,$O1848),""))</f>
      </c>
      <c r="K1848" s="221">
        <f>IF($I1848="Phản ánh",INDEX('Phản ánh'!$K$6:$K$505,MATCH($C1848,'Phản ánh'!$A$6:$A$505,0))&amp;"",IF($I1848="Công việc",INDEX('Kế hoạch'!$N$6:$N$305,$O1848)&amp;"",""))</f>
      </c>
      <c r="L1848" s="220">
        <f>IF(OR($C1848="",N($B1848)=0),"",IF(AND($I1848="Phản ánh",$E1848="Đã xử lý"),INDEX('Phản ánh'!$U$6:$U$505,MATCH($C1848,'Phản ánh'!$A$6:$A$505,0)),IF(AND($I1848="Công việc",OR($E1848="Hoàn thành",$E1848="Hoàn thành kỳ")),IF(INDEX('Kế hoạch'!$B$6:$B$305,$O1848)="Đột xuất",INDEX('Kế hoạch'!$AY$6:$AY$305,$O1848),IF(N($P1848)=0,"",IF(INT($B1848)&lt;$P1848,$P1848,IF($Q1848&gt;0,$P1848+ROUND((INT($B1848)-$P1848)/$Q1848,0)*$Q1848,IF($R1848&gt;0,EDATE($P1848,ROUND((DATEDIF($P1848,INT($B1848),"m")+(INT($B1848)-EDATE($P1848,DATEDIF($P1848,INT($B1848),"m")))/(EDATE($P1848,DATEDIF($P1848,INT($B1848),"m")+1)-EDATE($P1848,DATEDIF($P1848,INT($B1848),"m"))))/$R1848,0)*$R1848),$P1848))))),"")))</f>
      </c>
      <c r="M1848" s="223">
        <f>IF(OR($C1848="",N($L1848)=0,N($B1848)=0),"",IF(IF(MOD($L1848,1)=0,INT($B1848),$B1848)&lt;=$L1848,"Đúng hạn","Trễ hạn"))</f>
      </c>
      <c r="N1848" s="225">
        <f>IF($C1848="","",ROW())</f>
      </c>
      <c r="O1848" s="225">
        <f>IF($I1848="Công việc",MATCH($C1848,'Kế hoạch'!$A$6:$A$305,0),"")</f>
      </c>
      <c r="P1848" s="234">
        <f>IF($O1848="","",INDEX('Kế hoạch'!$I$6:$I$305,$O1848))</f>
      </c>
      <c r="Q1848" s="225">
        <f>IF($O1848="","",INDEX('Kế hoạch'!$AJ$6:$AJ$305,$O1848))</f>
      </c>
      <c r="R1848" s="225">
        <f>IF($O1848="","",INDEX('Kế hoạch'!$AK$6:$AK$305,$O1848))</f>
      </c>
    </row>
    <row r="1849">
      <c r="A1849" s="223">
        <f>IF($C1849="","",COUNTIF($C$6:$C1849,"?*"))</f>
      </c>
      <c r="B1849" s="217"/>
      <c r="C1849" s="216"/>
      <c r="D1849" s="240"/>
      <c r="E1849" s="218"/>
      <c r="F1849" s="218"/>
      <c r="G1849" s="218"/>
      <c r="H1849" s="219"/>
      <c r="I1849" s="223">
        <f>IF($C1849="","",IF(ISNUMBER(MATCH($C1849,'Phản ánh'!$A$6:$A$505,0)),"Phản ánh",IF(ISNUMBER(MATCH($C1849,'Kế hoạch'!$A$6:$A$305,0)),"Công việc","Mã chưa có")))</f>
      </c>
      <c r="J1849" s="221">
        <f>IF($I1849="Phản ánh",INDEX('Phản ánh'!$C$6:$C$505,MATCH($C1849,'Phản ánh'!$A$6:$A$505,0)),IF($I1849="Công việc",INDEX('Kế hoạch'!$C$6:$C$305,$O1849),""))</f>
      </c>
      <c r="K1849" s="221">
        <f>IF($I1849="Phản ánh",INDEX('Phản ánh'!$K$6:$K$505,MATCH($C1849,'Phản ánh'!$A$6:$A$505,0))&amp;"",IF($I1849="Công việc",INDEX('Kế hoạch'!$N$6:$N$305,$O1849)&amp;"",""))</f>
      </c>
      <c r="L1849" s="220">
        <f>IF(OR($C1849="",N($B1849)=0),"",IF(AND($I1849="Phản ánh",$E1849="Đã xử lý"),INDEX('Phản ánh'!$U$6:$U$505,MATCH($C1849,'Phản ánh'!$A$6:$A$505,0)),IF(AND($I1849="Công việc",OR($E1849="Hoàn thành",$E1849="Hoàn thành kỳ")),IF(INDEX('Kế hoạch'!$B$6:$B$305,$O1849)="Đột xuất",INDEX('Kế hoạch'!$AY$6:$AY$305,$O1849),IF(N($P1849)=0,"",IF(INT($B1849)&lt;$P1849,$P1849,IF($Q1849&gt;0,$P1849+ROUND((INT($B1849)-$P1849)/$Q1849,0)*$Q1849,IF($R1849&gt;0,EDATE($P1849,ROUND((DATEDIF($P1849,INT($B1849),"m")+(INT($B1849)-EDATE($P1849,DATEDIF($P1849,INT($B1849),"m")))/(EDATE($P1849,DATEDIF($P1849,INT($B1849),"m")+1)-EDATE($P1849,DATEDIF($P1849,INT($B1849),"m"))))/$R1849,0)*$R1849),$P1849))))),"")))</f>
      </c>
      <c r="M1849" s="223">
        <f>IF(OR($C1849="",N($L1849)=0,N($B1849)=0),"",IF(IF(MOD($L1849,1)=0,INT($B1849),$B1849)&lt;=$L1849,"Đúng hạn","Trễ hạn"))</f>
      </c>
      <c r="N1849" s="225">
        <f>IF($C1849="","",ROW())</f>
      </c>
      <c r="O1849" s="225">
        <f>IF($I1849="Công việc",MATCH($C1849,'Kế hoạch'!$A$6:$A$305,0),"")</f>
      </c>
      <c r="P1849" s="234">
        <f>IF($O1849="","",INDEX('Kế hoạch'!$I$6:$I$305,$O1849))</f>
      </c>
      <c r="Q1849" s="225">
        <f>IF($O1849="","",INDEX('Kế hoạch'!$AJ$6:$AJ$305,$O1849))</f>
      </c>
      <c r="R1849" s="225">
        <f>IF($O1849="","",INDEX('Kế hoạch'!$AK$6:$AK$305,$O1849))</f>
      </c>
    </row>
    <row r="1850">
      <c r="A1850" s="223">
        <f>IF($C1850="","",COUNTIF($C$6:$C1850,"?*"))</f>
      </c>
      <c r="B1850" s="217"/>
      <c r="C1850" s="216"/>
      <c r="D1850" s="240"/>
      <c r="E1850" s="218"/>
      <c r="F1850" s="218"/>
      <c r="G1850" s="218"/>
      <c r="H1850" s="219"/>
      <c r="I1850" s="223">
        <f>IF($C1850="","",IF(ISNUMBER(MATCH($C1850,'Phản ánh'!$A$6:$A$505,0)),"Phản ánh",IF(ISNUMBER(MATCH($C1850,'Kế hoạch'!$A$6:$A$305,0)),"Công việc","Mã chưa có")))</f>
      </c>
      <c r="J1850" s="221">
        <f>IF($I1850="Phản ánh",INDEX('Phản ánh'!$C$6:$C$505,MATCH($C1850,'Phản ánh'!$A$6:$A$505,0)),IF($I1850="Công việc",INDEX('Kế hoạch'!$C$6:$C$305,$O1850),""))</f>
      </c>
      <c r="K1850" s="221">
        <f>IF($I1850="Phản ánh",INDEX('Phản ánh'!$K$6:$K$505,MATCH($C1850,'Phản ánh'!$A$6:$A$505,0))&amp;"",IF($I1850="Công việc",INDEX('Kế hoạch'!$N$6:$N$305,$O1850)&amp;"",""))</f>
      </c>
      <c r="L1850" s="220">
        <f>IF(OR($C1850="",N($B1850)=0),"",IF(AND($I1850="Phản ánh",$E1850="Đã xử lý"),INDEX('Phản ánh'!$U$6:$U$505,MATCH($C1850,'Phản ánh'!$A$6:$A$505,0)),IF(AND($I1850="Công việc",OR($E1850="Hoàn thành",$E1850="Hoàn thành kỳ")),IF(INDEX('Kế hoạch'!$B$6:$B$305,$O1850)="Đột xuất",INDEX('Kế hoạch'!$AY$6:$AY$305,$O1850),IF(N($P1850)=0,"",IF(INT($B1850)&lt;$P1850,$P1850,IF($Q1850&gt;0,$P1850+ROUND((INT($B1850)-$P1850)/$Q1850,0)*$Q1850,IF($R1850&gt;0,EDATE($P1850,ROUND((DATEDIF($P1850,INT($B1850),"m")+(INT($B1850)-EDATE($P1850,DATEDIF($P1850,INT($B1850),"m")))/(EDATE($P1850,DATEDIF($P1850,INT($B1850),"m")+1)-EDATE($P1850,DATEDIF($P1850,INT($B1850),"m"))))/$R1850,0)*$R1850),$P1850))))),"")))</f>
      </c>
      <c r="M1850" s="223">
        <f>IF(OR($C1850="",N($L1850)=0,N($B1850)=0),"",IF(IF(MOD($L1850,1)=0,INT($B1850),$B1850)&lt;=$L1850,"Đúng hạn","Trễ hạn"))</f>
      </c>
      <c r="N1850" s="225">
        <f>IF($C1850="","",ROW())</f>
      </c>
      <c r="O1850" s="225">
        <f>IF($I1850="Công việc",MATCH($C1850,'Kế hoạch'!$A$6:$A$305,0),"")</f>
      </c>
      <c r="P1850" s="234">
        <f>IF($O1850="","",INDEX('Kế hoạch'!$I$6:$I$305,$O1850))</f>
      </c>
      <c r="Q1850" s="225">
        <f>IF($O1850="","",INDEX('Kế hoạch'!$AJ$6:$AJ$305,$O1850))</f>
      </c>
      <c r="R1850" s="225">
        <f>IF($O1850="","",INDEX('Kế hoạch'!$AK$6:$AK$305,$O1850))</f>
      </c>
    </row>
    <row r="1851">
      <c r="A1851" s="223">
        <f>IF($C1851="","",COUNTIF($C$6:$C1851,"?*"))</f>
      </c>
      <c r="B1851" s="217"/>
      <c r="C1851" s="216"/>
      <c r="D1851" s="240"/>
      <c r="E1851" s="218"/>
      <c r="F1851" s="218"/>
      <c r="G1851" s="218"/>
      <c r="H1851" s="219"/>
      <c r="I1851" s="223">
        <f>IF($C1851="","",IF(ISNUMBER(MATCH($C1851,'Phản ánh'!$A$6:$A$505,0)),"Phản ánh",IF(ISNUMBER(MATCH($C1851,'Kế hoạch'!$A$6:$A$305,0)),"Công việc","Mã chưa có")))</f>
      </c>
      <c r="J1851" s="221">
        <f>IF($I1851="Phản ánh",INDEX('Phản ánh'!$C$6:$C$505,MATCH($C1851,'Phản ánh'!$A$6:$A$505,0)),IF($I1851="Công việc",INDEX('Kế hoạch'!$C$6:$C$305,$O1851),""))</f>
      </c>
      <c r="K1851" s="221">
        <f>IF($I1851="Phản ánh",INDEX('Phản ánh'!$K$6:$K$505,MATCH($C1851,'Phản ánh'!$A$6:$A$505,0))&amp;"",IF($I1851="Công việc",INDEX('Kế hoạch'!$N$6:$N$305,$O1851)&amp;"",""))</f>
      </c>
      <c r="L1851" s="220">
        <f>IF(OR($C1851="",N($B1851)=0),"",IF(AND($I1851="Phản ánh",$E1851="Đã xử lý"),INDEX('Phản ánh'!$U$6:$U$505,MATCH($C1851,'Phản ánh'!$A$6:$A$505,0)),IF(AND($I1851="Công việc",OR($E1851="Hoàn thành",$E1851="Hoàn thành kỳ")),IF(INDEX('Kế hoạch'!$B$6:$B$305,$O1851)="Đột xuất",INDEX('Kế hoạch'!$AY$6:$AY$305,$O1851),IF(N($P1851)=0,"",IF(INT($B1851)&lt;$P1851,$P1851,IF($Q1851&gt;0,$P1851+ROUND((INT($B1851)-$P1851)/$Q1851,0)*$Q1851,IF($R1851&gt;0,EDATE($P1851,ROUND((DATEDIF($P1851,INT($B1851),"m")+(INT($B1851)-EDATE($P1851,DATEDIF($P1851,INT($B1851),"m")))/(EDATE($P1851,DATEDIF($P1851,INT($B1851),"m")+1)-EDATE($P1851,DATEDIF($P1851,INT($B1851),"m"))))/$R1851,0)*$R1851),$P1851))))),"")))</f>
      </c>
      <c r="M1851" s="223">
        <f>IF(OR($C1851="",N($L1851)=0,N($B1851)=0),"",IF(IF(MOD($L1851,1)=0,INT($B1851),$B1851)&lt;=$L1851,"Đúng hạn","Trễ hạn"))</f>
      </c>
      <c r="N1851" s="225">
        <f>IF($C1851="","",ROW())</f>
      </c>
      <c r="O1851" s="225">
        <f>IF($I1851="Công việc",MATCH($C1851,'Kế hoạch'!$A$6:$A$305,0),"")</f>
      </c>
      <c r="P1851" s="234">
        <f>IF($O1851="","",INDEX('Kế hoạch'!$I$6:$I$305,$O1851))</f>
      </c>
      <c r="Q1851" s="225">
        <f>IF($O1851="","",INDEX('Kế hoạch'!$AJ$6:$AJ$305,$O1851))</f>
      </c>
      <c r="R1851" s="225">
        <f>IF($O1851="","",INDEX('Kế hoạch'!$AK$6:$AK$305,$O1851))</f>
      </c>
    </row>
    <row r="1852">
      <c r="A1852" s="223">
        <f>IF($C1852="","",COUNTIF($C$6:$C1852,"?*"))</f>
      </c>
      <c r="B1852" s="217"/>
      <c r="C1852" s="216"/>
      <c r="D1852" s="240"/>
      <c r="E1852" s="218"/>
      <c r="F1852" s="218"/>
      <c r="G1852" s="218"/>
      <c r="H1852" s="219"/>
      <c r="I1852" s="223">
        <f>IF($C1852="","",IF(ISNUMBER(MATCH($C1852,'Phản ánh'!$A$6:$A$505,0)),"Phản ánh",IF(ISNUMBER(MATCH($C1852,'Kế hoạch'!$A$6:$A$305,0)),"Công việc","Mã chưa có")))</f>
      </c>
      <c r="J1852" s="221">
        <f>IF($I1852="Phản ánh",INDEX('Phản ánh'!$C$6:$C$505,MATCH($C1852,'Phản ánh'!$A$6:$A$505,0)),IF($I1852="Công việc",INDEX('Kế hoạch'!$C$6:$C$305,$O1852),""))</f>
      </c>
      <c r="K1852" s="221">
        <f>IF($I1852="Phản ánh",INDEX('Phản ánh'!$K$6:$K$505,MATCH($C1852,'Phản ánh'!$A$6:$A$505,0))&amp;"",IF($I1852="Công việc",INDEX('Kế hoạch'!$N$6:$N$305,$O1852)&amp;"",""))</f>
      </c>
      <c r="L1852" s="220">
        <f>IF(OR($C1852="",N($B1852)=0),"",IF(AND($I1852="Phản ánh",$E1852="Đã xử lý"),INDEX('Phản ánh'!$U$6:$U$505,MATCH($C1852,'Phản ánh'!$A$6:$A$505,0)),IF(AND($I1852="Công việc",OR($E1852="Hoàn thành",$E1852="Hoàn thành kỳ")),IF(INDEX('Kế hoạch'!$B$6:$B$305,$O1852)="Đột xuất",INDEX('Kế hoạch'!$AY$6:$AY$305,$O1852),IF(N($P1852)=0,"",IF(INT($B1852)&lt;$P1852,$P1852,IF($Q1852&gt;0,$P1852+ROUND((INT($B1852)-$P1852)/$Q1852,0)*$Q1852,IF($R1852&gt;0,EDATE($P1852,ROUND((DATEDIF($P1852,INT($B1852),"m")+(INT($B1852)-EDATE($P1852,DATEDIF($P1852,INT($B1852),"m")))/(EDATE($P1852,DATEDIF($P1852,INT($B1852),"m")+1)-EDATE($P1852,DATEDIF($P1852,INT($B1852),"m"))))/$R1852,0)*$R1852),$P1852))))),"")))</f>
      </c>
      <c r="M1852" s="223">
        <f>IF(OR($C1852="",N($L1852)=0,N($B1852)=0),"",IF(IF(MOD($L1852,1)=0,INT($B1852),$B1852)&lt;=$L1852,"Đúng hạn","Trễ hạn"))</f>
      </c>
      <c r="N1852" s="225">
        <f>IF($C1852="","",ROW())</f>
      </c>
      <c r="O1852" s="225">
        <f>IF($I1852="Công việc",MATCH($C1852,'Kế hoạch'!$A$6:$A$305,0),"")</f>
      </c>
      <c r="P1852" s="234">
        <f>IF($O1852="","",INDEX('Kế hoạch'!$I$6:$I$305,$O1852))</f>
      </c>
      <c r="Q1852" s="225">
        <f>IF($O1852="","",INDEX('Kế hoạch'!$AJ$6:$AJ$305,$O1852))</f>
      </c>
      <c r="R1852" s="225">
        <f>IF($O1852="","",INDEX('Kế hoạch'!$AK$6:$AK$305,$O1852))</f>
      </c>
    </row>
    <row r="1853">
      <c r="A1853" s="223">
        <f>IF($C1853="","",COUNTIF($C$6:$C1853,"?*"))</f>
      </c>
      <c r="B1853" s="217"/>
      <c r="C1853" s="216"/>
      <c r="D1853" s="240"/>
      <c r="E1853" s="218"/>
      <c r="F1853" s="218"/>
      <c r="G1853" s="218"/>
      <c r="H1853" s="219"/>
      <c r="I1853" s="223">
        <f>IF($C1853="","",IF(ISNUMBER(MATCH($C1853,'Phản ánh'!$A$6:$A$505,0)),"Phản ánh",IF(ISNUMBER(MATCH($C1853,'Kế hoạch'!$A$6:$A$305,0)),"Công việc","Mã chưa có")))</f>
      </c>
      <c r="J1853" s="221">
        <f>IF($I1853="Phản ánh",INDEX('Phản ánh'!$C$6:$C$505,MATCH($C1853,'Phản ánh'!$A$6:$A$505,0)),IF($I1853="Công việc",INDEX('Kế hoạch'!$C$6:$C$305,$O1853),""))</f>
      </c>
      <c r="K1853" s="221">
        <f>IF($I1853="Phản ánh",INDEX('Phản ánh'!$K$6:$K$505,MATCH($C1853,'Phản ánh'!$A$6:$A$505,0))&amp;"",IF($I1853="Công việc",INDEX('Kế hoạch'!$N$6:$N$305,$O1853)&amp;"",""))</f>
      </c>
      <c r="L1853" s="220">
        <f>IF(OR($C1853="",N($B1853)=0),"",IF(AND($I1853="Phản ánh",$E1853="Đã xử lý"),INDEX('Phản ánh'!$U$6:$U$505,MATCH($C1853,'Phản ánh'!$A$6:$A$505,0)),IF(AND($I1853="Công việc",OR($E1853="Hoàn thành",$E1853="Hoàn thành kỳ")),IF(INDEX('Kế hoạch'!$B$6:$B$305,$O1853)="Đột xuất",INDEX('Kế hoạch'!$AY$6:$AY$305,$O1853),IF(N($P1853)=0,"",IF(INT($B1853)&lt;$P1853,$P1853,IF($Q1853&gt;0,$P1853+ROUND((INT($B1853)-$P1853)/$Q1853,0)*$Q1853,IF($R1853&gt;0,EDATE($P1853,ROUND((DATEDIF($P1853,INT($B1853),"m")+(INT($B1853)-EDATE($P1853,DATEDIF($P1853,INT($B1853),"m")))/(EDATE($P1853,DATEDIF($P1853,INT($B1853),"m")+1)-EDATE($P1853,DATEDIF($P1853,INT($B1853),"m"))))/$R1853,0)*$R1853),$P1853))))),"")))</f>
      </c>
      <c r="M1853" s="223">
        <f>IF(OR($C1853="",N($L1853)=0,N($B1853)=0),"",IF(IF(MOD($L1853,1)=0,INT($B1853),$B1853)&lt;=$L1853,"Đúng hạn","Trễ hạn"))</f>
      </c>
      <c r="N1853" s="225">
        <f>IF($C1853="","",ROW())</f>
      </c>
      <c r="O1853" s="225">
        <f>IF($I1853="Công việc",MATCH($C1853,'Kế hoạch'!$A$6:$A$305,0),"")</f>
      </c>
      <c r="P1853" s="234">
        <f>IF($O1853="","",INDEX('Kế hoạch'!$I$6:$I$305,$O1853))</f>
      </c>
      <c r="Q1853" s="225">
        <f>IF($O1853="","",INDEX('Kế hoạch'!$AJ$6:$AJ$305,$O1853))</f>
      </c>
      <c r="R1853" s="225">
        <f>IF($O1853="","",INDEX('Kế hoạch'!$AK$6:$AK$305,$O1853))</f>
      </c>
    </row>
    <row r="1854">
      <c r="A1854" s="223">
        <f>IF($C1854="","",COUNTIF($C$6:$C1854,"?*"))</f>
      </c>
      <c r="B1854" s="217"/>
      <c r="C1854" s="216"/>
      <c r="D1854" s="240"/>
      <c r="E1854" s="218"/>
      <c r="F1854" s="218"/>
      <c r="G1854" s="218"/>
      <c r="H1854" s="219"/>
      <c r="I1854" s="223">
        <f>IF($C1854="","",IF(ISNUMBER(MATCH($C1854,'Phản ánh'!$A$6:$A$505,0)),"Phản ánh",IF(ISNUMBER(MATCH($C1854,'Kế hoạch'!$A$6:$A$305,0)),"Công việc","Mã chưa có")))</f>
      </c>
      <c r="J1854" s="221">
        <f>IF($I1854="Phản ánh",INDEX('Phản ánh'!$C$6:$C$505,MATCH($C1854,'Phản ánh'!$A$6:$A$505,0)),IF($I1854="Công việc",INDEX('Kế hoạch'!$C$6:$C$305,$O1854),""))</f>
      </c>
      <c r="K1854" s="221">
        <f>IF($I1854="Phản ánh",INDEX('Phản ánh'!$K$6:$K$505,MATCH($C1854,'Phản ánh'!$A$6:$A$505,0))&amp;"",IF($I1854="Công việc",INDEX('Kế hoạch'!$N$6:$N$305,$O1854)&amp;"",""))</f>
      </c>
      <c r="L1854" s="220">
        <f>IF(OR($C1854="",N($B1854)=0),"",IF(AND($I1854="Phản ánh",$E1854="Đã xử lý"),INDEX('Phản ánh'!$U$6:$U$505,MATCH($C1854,'Phản ánh'!$A$6:$A$505,0)),IF(AND($I1854="Công việc",OR($E1854="Hoàn thành",$E1854="Hoàn thành kỳ")),IF(INDEX('Kế hoạch'!$B$6:$B$305,$O1854)="Đột xuất",INDEX('Kế hoạch'!$AY$6:$AY$305,$O1854),IF(N($P1854)=0,"",IF(INT($B1854)&lt;$P1854,$P1854,IF($Q1854&gt;0,$P1854+ROUND((INT($B1854)-$P1854)/$Q1854,0)*$Q1854,IF($R1854&gt;0,EDATE($P1854,ROUND((DATEDIF($P1854,INT($B1854),"m")+(INT($B1854)-EDATE($P1854,DATEDIF($P1854,INT($B1854),"m")))/(EDATE($P1854,DATEDIF($P1854,INT($B1854),"m")+1)-EDATE($P1854,DATEDIF($P1854,INT($B1854),"m"))))/$R1854,0)*$R1854),$P1854))))),"")))</f>
      </c>
      <c r="M1854" s="223">
        <f>IF(OR($C1854="",N($L1854)=0,N($B1854)=0),"",IF(IF(MOD($L1854,1)=0,INT($B1854),$B1854)&lt;=$L1854,"Đúng hạn","Trễ hạn"))</f>
      </c>
      <c r="N1854" s="225">
        <f>IF($C1854="","",ROW())</f>
      </c>
      <c r="O1854" s="225">
        <f>IF($I1854="Công việc",MATCH($C1854,'Kế hoạch'!$A$6:$A$305,0),"")</f>
      </c>
      <c r="P1854" s="234">
        <f>IF($O1854="","",INDEX('Kế hoạch'!$I$6:$I$305,$O1854))</f>
      </c>
      <c r="Q1854" s="225">
        <f>IF($O1854="","",INDEX('Kế hoạch'!$AJ$6:$AJ$305,$O1854))</f>
      </c>
      <c r="R1854" s="225">
        <f>IF($O1854="","",INDEX('Kế hoạch'!$AK$6:$AK$305,$O1854))</f>
      </c>
    </row>
    <row r="1855">
      <c r="A1855" s="223">
        <f>IF($C1855="","",COUNTIF($C$6:$C1855,"?*"))</f>
      </c>
      <c r="B1855" s="217"/>
      <c r="C1855" s="216"/>
      <c r="D1855" s="240"/>
      <c r="E1855" s="218"/>
      <c r="F1855" s="218"/>
      <c r="G1855" s="218"/>
      <c r="H1855" s="219"/>
      <c r="I1855" s="223">
        <f>IF($C1855="","",IF(ISNUMBER(MATCH($C1855,'Phản ánh'!$A$6:$A$505,0)),"Phản ánh",IF(ISNUMBER(MATCH($C1855,'Kế hoạch'!$A$6:$A$305,0)),"Công việc","Mã chưa có")))</f>
      </c>
      <c r="J1855" s="221">
        <f>IF($I1855="Phản ánh",INDEX('Phản ánh'!$C$6:$C$505,MATCH($C1855,'Phản ánh'!$A$6:$A$505,0)),IF($I1855="Công việc",INDEX('Kế hoạch'!$C$6:$C$305,$O1855),""))</f>
      </c>
      <c r="K1855" s="221">
        <f>IF($I1855="Phản ánh",INDEX('Phản ánh'!$K$6:$K$505,MATCH($C1855,'Phản ánh'!$A$6:$A$505,0))&amp;"",IF($I1855="Công việc",INDEX('Kế hoạch'!$N$6:$N$305,$O1855)&amp;"",""))</f>
      </c>
      <c r="L1855" s="220">
        <f>IF(OR($C1855="",N($B1855)=0),"",IF(AND($I1855="Phản ánh",$E1855="Đã xử lý"),INDEX('Phản ánh'!$U$6:$U$505,MATCH($C1855,'Phản ánh'!$A$6:$A$505,0)),IF(AND($I1855="Công việc",OR($E1855="Hoàn thành",$E1855="Hoàn thành kỳ")),IF(INDEX('Kế hoạch'!$B$6:$B$305,$O1855)="Đột xuất",INDEX('Kế hoạch'!$AY$6:$AY$305,$O1855),IF(N($P1855)=0,"",IF(INT($B1855)&lt;$P1855,$P1855,IF($Q1855&gt;0,$P1855+ROUND((INT($B1855)-$P1855)/$Q1855,0)*$Q1855,IF($R1855&gt;0,EDATE($P1855,ROUND((DATEDIF($P1855,INT($B1855),"m")+(INT($B1855)-EDATE($P1855,DATEDIF($P1855,INT($B1855),"m")))/(EDATE($P1855,DATEDIF($P1855,INT($B1855),"m")+1)-EDATE($P1855,DATEDIF($P1855,INT($B1855),"m"))))/$R1855,0)*$R1855),$P1855))))),"")))</f>
      </c>
      <c r="M1855" s="223">
        <f>IF(OR($C1855="",N($L1855)=0,N($B1855)=0),"",IF(IF(MOD($L1855,1)=0,INT($B1855),$B1855)&lt;=$L1855,"Đúng hạn","Trễ hạn"))</f>
      </c>
      <c r="N1855" s="225">
        <f>IF($C1855="","",ROW())</f>
      </c>
      <c r="O1855" s="225">
        <f>IF($I1855="Công việc",MATCH($C1855,'Kế hoạch'!$A$6:$A$305,0),"")</f>
      </c>
      <c r="P1855" s="234">
        <f>IF($O1855="","",INDEX('Kế hoạch'!$I$6:$I$305,$O1855))</f>
      </c>
      <c r="Q1855" s="225">
        <f>IF($O1855="","",INDEX('Kế hoạch'!$AJ$6:$AJ$305,$O1855))</f>
      </c>
      <c r="R1855" s="225">
        <f>IF($O1855="","",INDEX('Kế hoạch'!$AK$6:$AK$305,$O1855))</f>
      </c>
    </row>
    <row r="1856">
      <c r="A1856" s="223">
        <f>IF($C1856="","",COUNTIF($C$6:$C1856,"?*"))</f>
      </c>
      <c r="B1856" s="217"/>
      <c r="C1856" s="216"/>
      <c r="D1856" s="240"/>
      <c r="E1856" s="218"/>
      <c r="F1856" s="218"/>
      <c r="G1856" s="218"/>
      <c r="H1856" s="219"/>
      <c r="I1856" s="223">
        <f>IF($C1856="","",IF(ISNUMBER(MATCH($C1856,'Phản ánh'!$A$6:$A$505,0)),"Phản ánh",IF(ISNUMBER(MATCH($C1856,'Kế hoạch'!$A$6:$A$305,0)),"Công việc","Mã chưa có")))</f>
      </c>
      <c r="J1856" s="221">
        <f>IF($I1856="Phản ánh",INDEX('Phản ánh'!$C$6:$C$505,MATCH($C1856,'Phản ánh'!$A$6:$A$505,0)),IF($I1856="Công việc",INDEX('Kế hoạch'!$C$6:$C$305,$O1856),""))</f>
      </c>
      <c r="K1856" s="221">
        <f>IF($I1856="Phản ánh",INDEX('Phản ánh'!$K$6:$K$505,MATCH($C1856,'Phản ánh'!$A$6:$A$505,0))&amp;"",IF($I1856="Công việc",INDEX('Kế hoạch'!$N$6:$N$305,$O1856)&amp;"",""))</f>
      </c>
      <c r="L1856" s="220">
        <f>IF(OR($C1856="",N($B1856)=0),"",IF(AND($I1856="Phản ánh",$E1856="Đã xử lý"),INDEX('Phản ánh'!$U$6:$U$505,MATCH($C1856,'Phản ánh'!$A$6:$A$505,0)),IF(AND($I1856="Công việc",OR($E1856="Hoàn thành",$E1856="Hoàn thành kỳ")),IF(INDEX('Kế hoạch'!$B$6:$B$305,$O1856)="Đột xuất",INDEX('Kế hoạch'!$AY$6:$AY$305,$O1856),IF(N($P1856)=0,"",IF(INT($B1856)&lt;$P1856,$P1856,IF($Q1856&gt;0,$P1856+ROUND((INT($B1856)-$P1856)/$Q1856,0)*$Q1856,IF($R1856&gt;0,EDATE($P1856,ROUND((DATEDIF($P1856,INT($B1856),"m")+(INT($B1856)-EDATE($P1856,DATEDIF($P1856,INT($B1856),"m")))/(EDATE($P1856,DATEDIF($P1856,INT($B1856),"m")+1)-EDATE($P1856,DATEDIF($P1856,INT($B1856),"m"))))/$R1856,0)*$R1856),$P1856))))),"")))</f>
      </c>
      <c r="M1856" s="223">
        <f>IF(OR($C1856="",N($L1856)=0,N($B1856)=0),"",IF(IF(MOD($L1856,1)=0,INT($B1856),$B1856)&lt;=$L1856,"Đúng hạn","Trễ hạn"))</f>
      </c>
      <c r="N1856" s="225">
        <f>IF($C1856="","",ROW())</f>
      </c>
      <c r="O1856" s="225">
        <f>IF($I1856="Công việc",MATCH($C1856,'Kế hoạch'!$A$6:$A$305,0),"")</f>
      </c>
      <c r="P1856" s="234">
        <f>IF($O1856="","",INDEX('Kế hoạch'!$I$6:$I$305,$O1856))</f>
      </c>
      <c r="Q1856" s="225">
        <f>IF($O1856="","",INDEX('Kế hoạch'!$AJ$6:$AJ$305,$O1856))</f>
      </c>
      <c r="R1856" s="225">
        <f>IF($O1856="","",INDEX('Kế hoạch'!$AK$6:$AK$305,$O1856))</f>
      </c>
    </row>
    <row r="1857">
      <c r="A1857" s="223">
        <f>IF($C1857="","",COUNTIF($C$6:$C1857,"?*"))</f>
      </c>
      <c r="B1857" s="217"/>
      <c r="C1857" s="216"/>
      <c r="D1857" s="240"/>
      <c r="E1857" s="218"/>
      <c r="F1857" s="218"/>
      <c r="G1857" s="218"/>
      <c r="H1857" s="219"/>
      <c r="I1857" s="223">
        <f>IF($C1857="","",IF(ISNUMBER(MATCH($C1857,'Phản ánh'!$A$6:$A$505,0)),"Phản ánh",IF(ISNUMBER(MATCH($C1857,'Kế hoạch'!$A$6:$A$305,0)),"Công việc","Mã chưa có")))</f>
      </c>
      <c r="J1857" s="221">
        <f>IF($I1857="Phản ánh",INDEX('Phản ánh'!$C$6:$C$505,MATCH($C1857,'Phản ánh'!$A$6:$A$505,0)),IF($I1857="Công việc",INDEX('Kế hoạch'!$C$6:$C$305,$O1857),""))</f>
      </c>
      <c r="K1857" s="221">
        <f>IF($I1857="Phản ánh",INDEX('Phản ánh'!$K$6:$K$505,MATCH($C1857,'Phản ánh'!$A$6:$A$505,0))&amp;"",IF($I1857="Công việc",INDEX('Kế hoạch'!$N$6:$N$305,$O1857)&amp;"",""))</f>
      </c>
      <c r="L1857" s="220">
        <f>IF(OR($C1857="",N($B1857)=0),"",IF(AND($I1857="Phản ánh",$E1857="Đã xử lý"),INDEX('Phản ánh'!$U$6:$U$505,MATCH($C1857,'Phản ánh'!$A$6:$A$505,0)),IF(AND($I1857="Công việc",OR($E1857="Hoàn thành",$E1857="Hoàn thành kỳ")),IF(INDEX('Kế hoạch'!$B$6:$B$305,$O1857)="Đột xuất",INDEX('Kế hoạch'!$AY$6:$AY$305,$O1857),IF(N($P1857)=0,"",IF(INT($B1857)&lt;$P1857,$P1857,IF($Q1857&gt;0,$P1857+ROUND((INT($B1857)-$P1857)/$Q1857,0)*$Q1857,IF($R1857&gt;0,EDATE($P1857,ROUND((DATEDIF($P1857,INT($B1857),"m")+(INT($B1857)-EDATE($P1857,DATEDIF($P1857,INT($B1857),"m")))/(EDATE($P1857,DATEDIF($P1857,INT($B1857),"m")+1)-EDATE($P1857,DATEDIF($P1857,INT($B1857),"m"))))/$R1857,0)*$R1857),$P1857))))),"")))</f>
      </c>
      <c r="M1857" s="223">
        <f>IF(OR($C1857="",N($L1857)=0,N($B1857)=0),"",IF(IF(MOD($L1857,1)=0,INT($B1857),$B1857)&lt;=$L1857,"Đúng hạn","Trễ hạn"))</f>
      </c>
      <c r="N1857" s="225">
        <f>IF($C1857="","",ROW())</f>
      </c>
      <c r="O1857" s="225">
        <f>IF($I1857="Công việc",MATCH($C1857,'Kế hoạch'!$A$6:$A$305,0),"")</f>
      </c>
      <c r="P1857" s="234">
        <f>IF($O1857="","",INDEX('Kế hoạch'!$I$6:$I$305,$O1857))</f>
      </c>
      <c r="Q1857" s="225">
        <f>IF($O1857="","",INDEX('Kế hoạch'!$AJ$6:$AJ$305,$O1857))</f>
      </c>
      <c r="R1857" s="225">
        <f>IF($O1857="","",INDEX('Kế hoạch'!$AK$6:$AK$305,$O1857))</f>
      </c>
    </row>
    <row r="1858">
      <c r="A1858" s="223">
        <f>IF($C1858="","",COUNTIF($C$6:$C1858,"?*"))</f>
      </c>
      <c r="B1858" s="217"/>
      <c r="C1858" s="216"/>
      <c r="D1858" s="240"/>
      <c r="E1858" s="218"/>
      <c r="F1858" s="218"/>
      <c r="G1858" s="218"/>
      <c r="H1858" s="219"/>
      <c r="I1858" s="223">
        <f>IF($C1858="","",IF(ISNUMBER(MATCH($C1858,'Phản ánh'!$A$6:$A$505,0)),"Phản ánh",IF(ISNUMBER(MATCH($C1858,'Kế hoạch'!$A$6:$A$305,0)),"Công việc","Mã chưa có")))</f>
      </c>
      <c r="J1858" s="221">
        <f>IF($I1858="Phản ánh",INDEX('Phản ánh'!$C$6:$C$505,MATCH($C1858,'Phản ánh'!$A$6:$A$505,0)),IF($I1858="Công việc",INDEX('Kế hoạch'!$C$6:$C$305,$O1858),""))</f>
      </c>
      <c r="K1858" s="221">
        <f>IF($I1858="Phản ánh",INDEX('Phản ánh'!$K$6:$K$505,MATCH($C1858,'Phản ánh'!$A$6:$A$505,0))&amp;"",IF($I1858="Công việc",INDEX('Kế hoạch'!$N$6:$N$305,$O1858)&amp;"",""))</f>
      </c>
      <c r="L1858" s="220">
        <f>IF(OR($C1858="",N($B1858)=0),"",IF(AND($I1858="Phản ánh",$E1858="Đã xử lý"),INDEX('Phản ánh'!$U$6:$U$505,MATCH($C1858,'Phản ánh'!$A$6:$A$505,0)),IF(AND($I1858="Công việc",OR($E1858="Hoàn thành",$E1858="Hoàn thành kỳ")),IF(INDEX('Kế hoạch'!$B$6:$B$305,$O1858)="Đột xuất",INDEX('Kế hoạch'!$AY$6:$AY$305,$O1858),IF(N($P1858)=0,"",IF(INT($B1858)&lt;$P1858,$P1858,IF($Q1858&gt;0,$P1858+ROUND((INT($B1858)-$P1858)/$Q1858,0)*$Q1858,IF($R1858&gt;0,EDATE($P1858,ROUND((DATEDIF($P1858,INT($B1858),"m")+(INT($B1858)-EDATE($P1858,DATEDIF($P1858,INT($B1858),"m")))/(EDATE($P1858,DATEDIF($P1858,INT($B1858),"m")+1)-EDATE($P1858,DATEDIF($P1858,INT($B1858),"m"))))/$R1858,0)*$R1858),$P1858))))),"")))</f>
      </c>
      <c r="M1858" s="223">
        <f>IF(OR($C1858="",N($L1858)=0,N($B1858)=0),"",IF(IF(MOD($L1858,1)=0,INT($B1858),$B1858)&lt;=$L1858,"Đúng hạn","Trễ hạn"))</f>
      </c>
      <c r="N1858" s="225">
        <f>IF($C1858="","",ROW())</f>
      </c>
      <c r="O1858" s="225">
        <f>IF($I1858="Công việc",MATCH($C1858,'Kế hoạch'!$A$6:$A$305,0),"")</f>
      </c>
      <c r="P1858" s="234">
        <f>IF($O1858="","",INDEX('Kế hoạch'!$I$6:$I$305,$O1858))</f>
      </c>
      <c r="Q1858" s="225">
        <f>IF($O1858="","",INDEX('Kế hoạch'!$AJ$6:$AJ$305,$O1858))</f>
      </c>
      <c r="R1858" s="225">
        <f>IF($O1858="","",INDEX('Kế hoạch'!$AK$6:$AK$305,$O1858))</f>
      </c>
    </row>
    <row r="1859">
      <c r="A1859" s="223">
        <f>IF($C1859="","",COUNTIF($C$6:$C1859,"?*"))</f>
      </c>
      <c r="B1859" s="217"/>
      <c r="C1859" s="216"/>
      <c r="D1859" s="240"/>
      <c r="E1859" s="218"/>
      <c r="F1859" s="218"/>
      <c r="G1859" s="218"/>
      <c r="H1859" s="219"/>
      <c r="I1859" s="223">
        <f>IF($C1859="","",IF(ISNUMBER(MATCH($C1859,'Phản ánh'!$A$6:$A$505,0)),"Phản ánh",IF(ISNUMBER(MATCH($C1859,'Kế hoạch'!$A$6:$A$305,0)),"Công việc","Mã chưa có")))</f>
      </c>
      <c r="J1859" s="221">
        <f>IF($I1859="Phản ánh",INDEX('Phản ánh'!$C$6:$C$505,MATCH($C1859,'Phản ánh'!$A$6:$A$505,0)),IF($I1859="Công việc",INDEX('Kế hoạch'!$C$6:$C$305,$O1859),""))</f>
      </c>
      <c r="K1859" s="221">
        <f>IF($I1859="Phản ánh",INDEX('Phản ánh'!$K$6:$K$505,MATCH($C1859,'Phản ánh'!$A$6:$A$505,0))&amp;"",IF($I1859="Công việc",INDEX('Kế hoạch'!$N$6:$N$305,$O1859)&amp;"",""))</f>
      </c>
      <c r="L1859" s="220">
        <f>IF(OR($C1859="",N($B1859)=0),"",IF(AND($I1859="Phản ánh",$E1859="Đã xử lý"),INDEX('Phản ánh'!$U$6:$U$505,MATCH($C1859,'Phản ánh'!$A$6:$A$505,0)),IF(AND($I1859="Công việc",OR($E1859="Hoàn thành",$E1859="Hoàn thành kỳ")),IF(INDEX('Kế hoạch'!$B$6:$B$305,$O1859)="Đột xuất",INDEX('Kế hoạch'!$AY$6:$AY$305,$O1859),IF(N($P1859)=0,"",IF(INT($B1859)&lt;$P1859,$P1859,IF($Q1859&gt;0,$P1859+ROUND((INT($B1859)-$P1859)/$Q1859,0)*$Q1859,IF($R1859&gt;0,EDATE($P1859,ROUND((DATEDIF($P1859,INT($B1859),"m")+(INT($B1859)-EDATE($P1859,DATEDIF($P1859,INT($B1859),"m")))/(EDATE($P1859,DATEDIF($P1859,INT($B1859),"m")+1)-EDATE($P1859,DATEDIF($P1859,INT($B1859),"m"))))/$R1859,0)*$R1859),$P1859))))),"")))</f>
      </c>
      <c r="M1859" s="223">
        <f>IF(OR($C1859="",N($L1859)=0,N($B1859)=0),"",IF(IF(MOD($L1859,1)=0,INT($B1859),$B1859)&lt;=$L1859,"Đúng hạn","Trễ hạn"))</f>
      </c>
      <c r="N1859" s="225">
        <f>IF($C1859="","",ROW())</f>
      </c>
      <c r="O1859" s="225">
        <f>IF($I1859="Công việc",MATCH($C1859,'Kế hoạch'!$A$6:$A$305,0),"")</f>
      </c>
      <c r="P1859" s="234">
        <f>IF($O1859="","",INDEX('Kế hoạch'!$I$6:$I$305,$O1859))</f>
      </c>
      <c r="Q1859" s="225">
        <f>IF($O1859="","",INDEX('Kế hoạch'!$AJ$6:$AJ$305,$O1859))</f>
      </c>
      <c r="R1859" s="225">
        <f>IF($O1859="","",INDEX('Kế hoạch'!$AK$6:$AK$305,$O1859))</f>
      </c>
    </row>
    <row r="1860">
      <c r="A1860" s="223">
        <f>IF($C1860="","",COUNTIF($C$6:$C1860,"?*"))</f>
      </c>
      <c r="B1860" s="217"/>
      <c r="C1860" s="216"/>
      <c r="D1860" s="240"/>
      <c r="E1860" s="218"/>
      <c r="F1860" s="218"/>
      <c r="G1860" s="218"/>
      <c r="H1860" s="219"/>
      <c r="I1860" s="223">
        <f>IF($C1860="","",IF(ISNUMBER(MATCH($C1860,'Phản ánh'!$A$6:$A$505,0)),"Phản ánh",IF(ISNUMBER(MATCH($C1860,'Kế hoạch'!$A$6:$A$305,0)),"Công việc","Mã chưa có")))</f>
      </c>
      <c r="J1860" s="221">
        <f>IF($I1860="Phản ánh",INDEX('Phản ánh'!$C$6:$C$505,MATCH($C1860,'Phản ánh'!$A$6:$A$505,0)),IF($I1860="Công việc",INDEX('Kế hoạch'!$C$6:$C$305,$O1860),""))</f>
      </c>
      <c r="K1860" s="221">
        <f>IF($I1860="Phản ánh",INDEX('Phản ánh'!$K$6:$K$505,MATCH($C1860,'Phản ánh'!$A$6:$A$505,0))&amp;"",IF($I1860="Công việc",INDEX('Kế hoạch'!$N$6:$N$305,$O1860)&amp;"",""))</f>
      </c>
      <c r="L1860" s="220">
        <f>IF(OR($C1860="",N($B1860)=0),"",IF(AND($I1860="Phản ánh",$E1860="Đã xử lý"),INDEX('Phản ánh'!$U$6:$U$505,MATCH($C1860,'Phản ánh'!$A$6:$A$505,0)),IF(AND($I1860="Công việc",OR($E1860="Hoàn thành",$E1860="Hoàn thành kỳ")),IF(INDEX('Kế hoạch'!$B$6:$B$305,$O1860)="Đột xuất",INDEX('Kế hoạch'!$AY$6:$AY$305,$O1860),IF(N($P1860)=0,"",IF(INT($B1860)&lt;$P1860,$P1860,IF($Q1860&gt;0,$P1860+ROUND((INT($B1860)-$P1860)/$Q1860,0)*$Q1860,IF($R1860&gt;0,EDATE($P1860,ROUND((DATEDIF($P1860,INT($B1860),"m")+(INT($B1860)-EDATE($P1860,DATEDIF($P1860,INT($B1860),"m")))/(EDATE($P1860,DATEDIF($P1860,INT($B1860),"m")+1)-EDATE($P1860,DATEDIF($P1860,INT($B1860),"m"))))/$R1860,0)*$R1860),$P1860))))),"")))</f>
      </c>
      <c r="M1860" s="223">
        <f>IF(OR($C1860="",N($L1860)=0,N($B1860)=0),"",IF(IF(MOD($L1860,1)=0,INT($B1860),$B1860)&lt;=$L1860,"Đúng hạn","Trễ hạn"))</f>
      </c>
      <c r="N1860" s="225">
        <f>IF($C1860="","",ROW())</f>
      </c>
      <c r="O1860" s="225">
        <f>IF($I1860="Công việc",MATCH($C1860,'Kế hoạch'!$A$6:$A$305,0),"")</f>
      </c>
      <c r="P1860" s="234">
        <f>IF($O1860="","",INDEX('Kế hoạch'!$I$6:$I$305,$O1860))</f>
      </c>
      <c r="Q1860" s="225">
        <f>IF($O1860="","",INDEX('Kế hoạch'!$AJ$6:$AJ$305,$O1860))</f>
      </c>
      <c r="R1860" s="225">
        <f>IF($O1860="","",INDEX('Kế hoạch'!$AK$6:$AK$305,$O1860))</f>
      </c>
    </row>
    <row r="1861">
      <c r="A1861" s="223">
        <f>IF($C1861="","",COUNTIF($C$6:$C1861,"?*"))</f>
      </c>
      <c r="B1861" s="217"/>
      <c r="C1861" s="216"/>
      <c r="D1861" s="240"/>
      <c r="E1861" s="218"/>
      <c r="F1861" s="218"/>
      <c r="G1861" s="218"/>
      <c r="H1861" s="219"/>
      <c r="I1861" s="223">
        <f>IF($C1861="","",IF(ISNUMBER(MATCH($C1861,'Phản ánh'!$A$6:$A$505,0)),"Phản ánh",IF(ISNUMBER(MATCH($C1861,'Kế hoạch'!$A$6:$A$305,0)),"Công việc","Mã chưa có")))</f>
      </c>
      <c r="J1861" s="221">
        <f>IF($I1861="Phản ánh",INDEX('Phản ánh'!$C$6:$C$505,MATCH($C1861,'Phản ánh'!$A$6:$A$505,0)),IF($I1861="Công việc",INDEX('Kế hoạch'!$C$6:$C$305,$O1861),""))</f>
      </c>
      <c r="K1861" s="221">
        <f>IF($I1861="Phản ánh",INDEX('Phản ánh'!$K$6:$K$505,MATCH($C1861,'Phản ánh'!$A$6:$A$505,0))&amp;"",IF($I1861="Công việc",INDEX('Kế hoạch'!$N$6:$N$305,$O1861)&amp;"",""))</f>
      </c>
      <c r="L1861" s="220">
        <f>IF(OR($C1861="",N($B1861)=0),"",IF(AND($I1861="Phản ánh",$E1861="Đã xử lý"),INDEX('Phản ánh'!$U$6:$U$505,MATCH($C1861,'Phản ánh'!$A$6:$A$505,0)),IF(AND($I1861="Công việc",OR($E1861="Hoàn thành",$E1861="Hoàn thành kỳ")),IF(INDEX('Kế hoạch'!$B$6:$B$305,$O1861)="Đột xuất",INDEX('Kế hoạch'!$AY$6:$AY$305,$O1861),IF(N($P1861)=0,"",IF(INT($B1861)&lt;$P1861,$P1861,IF($Q1861&gt;0,$P1861+ROUND((INT($B1861)-$P1861)/$Q1861,0)*$Q1861,IF($R1861&gt;0,EDATE($P1861,ROUND((DATEDIF($P1861,INT($B1861),"m")+(INT($B1861)-EDATE($P1861,DATEDIF($P1861,INT($B1861),"m")))/(EDATE($P1861,DATEDIF($P1861,INT($B1861),"m")+1)-EDATE($P1861,DATEDIF($P1861,INT($B1861),"m"))))/$R1861,0)*$R1861),$P1861))))),"")))</f>
      </c>
      <c r="M1861" s="223">
        <f>IF(OR($C1861="",N($L1861)=0,N($B1861)=0),"",IF(IF(MOD($L1861,1)=0,INT($B1861),$B1861)&lt;=$L1861,"Đúng hạn","Trễ hạn"))</f>
      </c>
      <c r="N1861" s="225">
        <f>IF($C1861="","",ROW())</f>
      </c>
      <c r="O1861" s="225">
        <f>IF($I1861="Công việc",MATCH($C1861,'Kế hoạch'!$A$6:$A$305,0),"")</f>
      </c>
      <c r="P1861" s="234">
        <f>IF($O1861="","",INDEX('Kế hoạch'!$I$6:$I$305,$O1861))</f>
      </c>
      <c r="Q1861" s="225">
        <f>IF($O1861="","",INDEX('Kế hoạch'!$AJ$6:$AJ$305,$O1861))</f>
      </c>
      <c r="R1861" s="225">
        <f>IF($O1861="","",INDEX('Kế hoạch'!$AK$6:$AK$305,$O1861))</f>
      </c>
    </row>
    <row r="1862">
      <c r="A1862" s="223">
        <f>IF($C1862="","",COUNTIF($C$6:$C1862,"?*"))</f>
      </c>
      <c r="B1862" s="217"/>
      <c r="C1862" s="216"/>
      <c r="D1862" s="240"/>
      <c r="E1862" s="218"/>
      <c r="F1862" s="218"/>
      <c r="G1862" s="218"/>
      <c r="H1862" s="219"/>
      <c r="I1862" s="223">
        <f>IF($C1862="","",IF(ISNUMBER(MATCH($C1862,'Phản ánh'!$A$6:$A$505,0)),"Phản ánh",IF(ISNUMBER(MATCH($C1862,'Kế hoạch'!$A$6:$A$305,0)),"Công việc","Mã chưa có")))</f>
      </c>
      <c r="J1862" s="221">
        <f>IF($I1862="Phản ánh",INDEX('Phản ánh'!$C$6:$C$505,MATCH($C1862,'Phản ánh'!$A$6:$A$505,0)),IF($I1862="Công việc",INDEX('Kế hoạch'!$C$6:$C$305,$O1862),""))</f>
      </c>
      <c r="K1862" s="221">
        <f>IF($I1862="Phản ánh",INDEX('Phản ánh'!$K$6:$K$505,MATCH($C1862,'Phản ánh'!$A$6:$A$505,0))&amp;"",IF($I1862="Công việc",INDEX('Kế hoạch'!$N$6:$N$305,$O1862)&amp;"",""))</f>
      </c>
      <c r="L1862" s="220">
        <f>IF(OR($C1862="",N($B1862)=0),"",IF(AND($I1862="Phản ánh",$E1862="Đã xử lý"),INDEX('Phản ánh'!$U$6:$U$505,MATCH($C1862,'Phản ánh'!$A$6:$A$505,0)),IF(AND($I1862="Công việc",OR($E1862="Hoàn thành",$E1862="Hoàn thành kỳ")),IF(INDEX('Kế hoạch'!$B$6:$B$305,$O1862)="Đột xuất",INDEX('Kế hoạch'!$AY$6:$AY$305,$O1862),IF(N($P1862)=0,"",IF(INT($B1862)&lt;$P1862,$P1862,IF($Q1862&gt;0,$P1862+ROUND((INT($B1862)-$P1862)/$Q1862,0)*$Q1862,IF($R1862&gt;0,EDATE($P1862,ROUND((DATEDIF($P1862,INT($B1862),"m")+(INT($B1862)-EDATE($P1862,DATEDIF($P1862,INT($B1862),"m")))/(EDATE($P1862,DATEDIF($P1862,INT($B1862),"m")+1)-EDATE($P1862,DATEDIF($P1862,INT($B1862),"m"))))/$R1862,0)*$R1862),$P1862))))),"")))</f>
      </c>
      <c r="M1862" s="223">
        <f>IF(OR($C1862="",N($L1862)=0,N($B1862)=0),"",IF(IF(MOD($L1862,1)=0,INT($B1862),$B1862)&lt;=$L1862,"Đúng hạn","Trễ hạn"))</f>
      </c>
      <c r="N1862" s="225">
        <f>IF($C1862="","",ROW())</f>
      </c>
      <c r="O1862" s="225">
        <f>IF($I1862="Công việc",MATCH($C1862,'Kế hoạch'!$A$6:$A$305,0),"")</f>
      </c>
      <c r="P1862" s="234">
        <f>IF($O1862="","",INDEX('Kế hoạch'!$I$6:$I$305,$O1862))</f>
      </c>
      <c r="Q1862" s="225">
        <f>IF($O1862="","",INDEX('Kế hoạch'!$AJ$6:$AJ$305,$O1862))</f>
      </c>
      <c r="R1862" s="225">
        <f>IF($O1862="","",INDEX('Kế hoạch'!$AK$6:$AK$305,$O1862))</f>
      </c>
    </row>
    <row r="1863">
      <c r="A1863" s="223">
        <f>IF($C1863="","",COUNTIF($C$6:$C1863,"?*"))</f>
      </c>
      <c r="B1863" s="217"/>
      <c r="C1863" s="216"/>
      <c r="D1863" s="240"/>
      <c r="E1863" s="218"/>
      <c r="F1863" s="218"/>
      <c r="G1863" s="218"/>
      <c r="H1863" s="219"/>
      <c r="I1863" s="223">
        <f>IF($C1863="","",IF(ISNUMBER(MATCH($C1863,'Phản ánh'!$A$6:$A$505,0)),"Phản ánh",IF(ISNUMBER(MATCH($C1863,'Kế hoạch'!$A$6:$A$305,0)),"Công việc","Mã chưa có")))</f>
      </c>
      <c r="J1863" s="221">
        <f>IF($I1863="Phản ánh",INDEX('Phản ánh'!$C$6:$C$505,MATCH($C1863,'Phản ánh'!$A$6:$A$505,0)),IF($I1863="Công việc",INDEX('Kế hoạch'!$C$6:$C$305,$O1863),""))</f>
      </c>
      <c r="K1863" s="221">
        <f>IF($I1863="Phản ánh",INDEX('Phản ánh'!$K$6:$K$505,MATCH($C1863,'Phản ánh'!$A$6:$A$505,0))&amp;"",IF($I1863="Công việc",INDEX('Kế hoạch'!$N$6:$N$305,$O1863)&amp;"",""))</f>
      </c>
      <c r="L1863" s="220">
        <f>IF(OR($C1863="",N($B1863)=0),"",IF(AND($I1863="Phản ánh",$E1863="Đã xử lý"),INDEX('Phản ánh'!$U$6:$U$505,MATCH($C1863,'Phản ánh'!$A$6:$A$505,0)),IF(AND($I1863="Công việc",OR($E1863="Hoàn thành",$E1863="Hoàn thành kỳ")),IF(INDEX('Kế hoạch'!$B$6:$B$305,$O1863)="Đột xuất",INDEX('Kế hoạch'!$AY$6:$AY$305,$O1863),IF(N($P1863)=0,"",IF(INT($B1863)&lt;$P1863,$P1863,IF($Q1863&gt;0,$P1863+ROUND((INT($B1863)-$P1863)/$Q1863,0)*$Q1863,IF($R1863&gt;0,EDATE($P1863,ROUND((DATEDIF($P1863,INT($B1863),"m")+(INT($B1863)-EDATE($P1863,DATEDIF($P1863,INT($B1863),"m")))/(EDATE($P1863,DATEDIF($P1863,INT($B1863),"m")+1)-EDATE($P1863,DATEDIF($P1863,INT($B1863),"m"))))/$R1863,0)*$R1863),$P1863))))),"")))</f>
      </c>
      <c r="M1863" s="223">
        <f>IF(OR($C1863="",N($L1863)=0,N($B1863)=0),"",IF(IF(MOD($L1863,1)=0,INT($B1863),$B1863)&lt;=$L1863,"Đúng hạn","Trễ hạn"))</f>
      </c>
      <c r="N1863" s="225">
        <f>IF($C1863="","",ROW())</f>
      </c>
      <c r="O1863" s="225">
        <f>IF($I1863="Công việc",MATCH($C1863,'Kế hoạch'!$A$6:$A$305,0),"")</f>
      </c>
      <c r="P1863" s="234">
        <f>IF($O1863="","",INDEX('Kế hoạch'!$I$6:$I$305,$O1863))</f>
      </c>
      <c r="Q1863" s="225">
        <f>IF($O1863="","",INDEX('Kế hoạch'!$AJ$6:$AJ$305,$O1863))</f>
      </c>
      <c r="R1863" s="225">
        <f>IF($O1863="","",INDEX('Kế hoạch'!$AK$6:$AK$305,$O1863))</f>
      </c>
    </row>
    <row r="1864">
      <c r="A1864" s="223">
        <f>IF($C1864="","",COUNTIF($C$6:$C1864,"?*"))</f>
      </c>
      <c r="B1864" s="217"/>
      <c r="C1864" s="216"/>
      <c r="D1864" s="240"/>
      <c r="E1864" s="218"/>
      <c r="F1864" s="218"/>
      <c r="G1864" s="218"/>
      <c r="H1864" s="219"/>
      <c r="I1864" s="223">
        <f>IF($C1864="","",IF(ISNUMBER(MATCH($C1864,'Phản ánh'!$A$6:$A$505,0)),"Phản ánh",IF(ISNUMBER(MATCH($C1864,'Kế hoạch'!$A$6:$A$305,0)),"Công việc","Mã chưa có")))</f>
      </c>
      <c r="J1864" s="221">
        <f>IF($I1864="Phản ánh",INDEX('Phản ánh'!$C$6:$C$505,MATCH($C1864,'Phản ánh'!$A$6:$A$505,0)),IF($I1864="Công việc",INDEX('Kế hoạch'!$C$6:$C$305,$O1864),""))</f>
      </c>
      <c r="K1864" s="221">
        <f>IF($I1864="Phản ánh",INDEX('Phản ánh'!$K$6:$K$505,MATCH($C1864,'Phản ánh'!$A$6:$A$505,0))&amp;"",IF($I1864="Công việc",INDEX('Kế hoạch'!$N$6:$N$305,$O1864)&amp;"",""))</f>
      </c>
      <c r="L1864" s="220">
        <f>IF(OR($C1864="",N($B1864)=0),"",IF(AND($I1864="Phản ánh",$E1864="Đã xử lý"),INDEX('Phản ánh'!$U$6:$U$505,MATCH($C1864,'Phản ánh'!$A$6:$A$505,0)),IF(AND($I1864="Công việc",OR($E1864="Hoàn thành",$E1864="Hoàn thành kỳ")),IF(INDEX('Kế hoạch'!$B$6:$B$305,$O1864)="Đột xuất",INDEX('Kế hoạch'!$AY$6:$AY$305,$O1864),IF(N($P1864)=0,"",IF(INT($B1864)&lt;$P1864,$P1864,IF($Q1864&gt;0,$P1864+ROUND((INT($B1864)-$P1864)/$Q1864,0)*$Q1864,IF($R1864&gt;0,EDATE($P1864,ROUND((DATEDIF($P1864,INT($B1864),"m")+(INT($B1864)-EDATE($P1864,DATEDIF($P1864,INT($B1864),"m")))/(EDATE($P1864,DATEDIF($P1864,INT($B1864),"m")+1)-EDATE($P1864,DATEDIF($P1864,INT($B1864),"m"))))/$R1864,0)*$R1864),$P1864))))),"")))</f>
      </c>
      <c r="M1864" s="223">
        <f>IF(OR($C1864="",N($L1864)=0,N($B1864)=0),"",IF(IF(MOD($L1864,1)=0,INT($B1864),$B1864)&lt;=$L1864,"Đúng hạn","Trễ hạn"))</f>
      </c>
      <c r="N1864" s="225">
        <f>IF($C1864="","",ROW())</f>
      </c>
      <c r="O1864" s="225">
        <f>IF($I1864="Công việc",MATCH($C1864,'Kế hoạch'!$A$6:$A$305,0),"")</f>
      </c>
      <c r="P1864" s="234">
        <f>IF($O1864="","",INDEX('Kế hoạch'!$I$6:$I$305,$O1864))</f>
      </c>
      <c r="Q1864" s="225">
        <f>IF($O1864="","",INDEX('Kế hoạch'!$AJ$6:$AJ$305,$O1864))</f>
      </c>
      <c r="R1864" s="225">
        <f>IF($O1864="","",INDEX('Kế hoạch'!$AK$6:$AK$305,$O1864))</f>
      </c>
    </row>
    <row r="1865">
      <c r="A1865" s="223">
        <f>IF($C1865="","",COUNTIF($C$6:$C1865,"?*"))</f>
      </c>
      <c r="B1865" s="217"/>
      <c r="C1865" s="216"/>
      <c r="D1865" s="240"/>
      <c r="E1865" s="218"/>
      <c r="F1865" s="218"/>
      <c r="G1865" s="218"/>
      <c r="H1865" s="219"/>
      <c r="I1865" s="223">
        <f>IF($C1865="","",IF(ISNUMBER(MATCH($C1865,'Phản ánh'!$A$6:$A$505,0)),"Phản ánh",IF(ISNUMBER(MATCH($C1865,'Kế hoạch'!$A$6:$A$305,0)),"Công việc","Mã chưa có")))</f>
      </c>
      <c r="J1865" s="221">
        <f>IF($I1865="Phản ánh",INDEX('Phản ánh'!$C$6:$C$505,MATCH($C1865,'Phản ánh'!$A$6:$A$505,0)),IF($I1865="Công việc",INDEX('Kế hoạch'!$C$6:$C$305,$O1865),""))</f>
      </c>
      <c r="K1865" s="221">
        <f>IF($I1865="Phản ánh",INDEX('Phản ánh'!$K$6:$K$505,MATCH($C1865,'Phản ánh'!$A$6:$A$505,0))&amp;"",IF($I1865="Công việc",INDEX('Kế hoạch'!$N$6:$N$305,$O1865)&amp;"",""))</f>
      </c>
      <c r="L1865" s="220">
        <f>IF(OR($C1865="",N($B1865)=0),"",IF(AND($I1865="Phản ánh",$E1865="Đã xử lý"),INDEX('Phản ánh'!$U$6:$U$505,MATCH($C1865,'Phản ánh'!$A$6:$A$505,0)),IF(AND($I1865="Công việc",OR($E1865="Hoàn thành",$E1865="Hoàn thành kỳ")),IF(INDEX('Kế hoạch'!$B$6:$B$305,$O1865)="Đột xuất",INDEX('Kế hoạch'!$AY$6:$AY$305,$O1865),IF(N($P1865)=0,"",IF(INT($B1865)&lt;$P1865,$P1865,IF($Q1865&gt;0,$P1865+ROUND((INT($B1865)-$P1865)/$Q1865,0)*$Q1865,IF($R1865&gt;0,EDATE($P1865,ROUND((DATEDIF($P1865,INT($B1865),"m")+(INT($B1865)-EDATE($P1865,DATEDIF($P1865,INT($B1865),"m")))/(EDATE($P1865,DATEDIF($P1865,INT($B1865),"m")+1)-EDATE($P1865,DATEDIF($P1865,INT($B1865),"m"))))/$R1865,0)*$R1865),$P1865))))),"")))</f>
      </c>
      <c r="M1865" s="223">
        <f>IF(OR($C1865="",N($L1865)=0,N($B1865)=0),"",IF(IF(MOD($L1865,1)=0,INT($B1865),$B1865)&lt;=$L1865,"Đúng hạn","Trễ hạn"))</f>
      </c>
      <c r="N1865" s="225">
        <f>IF($C1865="","",ROW())</f>
      </c>
      <c r="O1865" s="225">
        <f>IF($I1865="Công việc",MATCH($C1865,'Kế hoạch'!$A$6:$A$305,0),"")</f>
      </c>
      <c r="P1865" s="234">
        <f>IF($O1865="","",INDEX('Kế hoạch'!$I$6:$I$305,$O1865))</f>
      </c>
      <c r="Q1865" s="225">
        <f>IF($O1865="","",INDEX('Kế hoạch'!$AJ$6:$AJ$305,$O1865))</f>
      </c>
      <c r="R1865" s="225">
        <f>IF($O1865="","",INDEX('Kế hoạch'!$AK$6:$AK$305,$O1865))</f>
      </c>
    </row>
    <row r="1866">
      <c r="A1866" s="223">
        <f>IF($C1866="","",COUNTIF($C$6:$C1866,"?*"))</f>
      </c>
      <c r="B1866" s="217"/>
      <c r="C1866" s="216"/>
      <c r="D1866" s="240"/>
      <c r="E1866" s="218"/>
      <c r="F1866" s="218"/>
      <c r="G1866" s="218"/>
      <c r="H1866" s="219"/>
      <c r="I1866" s="223">
        <f>IF($C1866="","",IF(ISNUMBER(MATCH($C1866,'Phản ánh'!$A$6:$A$505,0)),"Phản ánh",IF(ISNUMBER(MATCH($C1866,'Kế hoạch'!$A$6:$A$305,0)),"Công việc","Mã chưa có")))</f>
      </c>
      <c r="J1866" s="221">
        <f>IF($I1866="Phản ánh",INDEX('Phản ánh'!$C$6:$C$505,MATCH($C1866,'Phản ánh'!$A$6:$A$505,0)),IF($I1866="Công việc",INDEX('Kế hoạch'!$C$6:$C$305,$O1866),""))</f>
      </c>
      <c r="K1866" s="221">
        <f>IF($I1866="Phản ánh",INDEX('Phản ánh'!$K$6:$K$505,MATCH($C1866,'Phản ánh'!$A$6:$A$505,0))&amp;"",IF($I1866="Công việc",INDEX('Kế hoạch'!$N$6:$N$305,$O1866)&amp;"",""))</f>
      </c>
      <c r="L1866" s="220">
        <f>IF(OR($C1866="",N($B1866)=0),"",IF(AND($I1866="Phản ánh",$E1866="Đã xử lý"),INDEX('Phản ánh'!$U$6:$U$505,MATCH($C1866,'Phản ánh'!$A$6:$A$505,0)),IF(AND($I1866="Công việc",OR($E1866="Hoàn thành",$E1866="Hoàn thành kỳ")),IF(INDEX('Kế hoạch'!$B$6:$B$305,$O1866)="Đột xuất",INDEX('Kế hoạch'!$AY$6:$AY$305,$O1866),IF(N($P1866)=0,"",IF(INT($B1866)&lt;$P1866,$P1866,IF($Q1866&gt;0,$P1866+ROUND((INT($B1866)-$P1866)/$Q1866,0)*$Q1866,IF($R1866&gt;0,EDATE($P1866,ROUND((DATEDIF($P1866,INT($B1866),"m")+(INT($B1866)-EDATE($P1866,DATEDIF($P1866,INT($B1866),"m")))/(EDATE($P1866,DATEDIF($P1866,INT($B1866),"m")+1)-EDATE($P1866,DATEDIF($P1866,INT($B1866),"m"))))/$R1866,0)*$R1866),$P1866))))),"")))</f>
      </c>
      <c r="M1866" s="223">
        <f>IF(OR($C1866="",N($L1866)=0,N($B1866)=0),"",IF(IF(MOD($L1866,1)=0,INT($B1866),$B1866)&lt;=$L1866,"Đúng hạn","Trễ hạn"))</f>
      </c>
      <c r="N1866" s="225">
        <f>IF($C1866="","",ROW())</f>
      </c>
      <c r="O1866" s="225">
        <f>IF($I1866="Công việc",MATCH($C1866,'Kế hoạch'!$A$6:$A$305,0),"")</f>
      </c>
      <c r="P1866" s="234">
        <f>IF($O1866="","",INDEX('Kế hoạch'!$I$6:$I$305,$O1866))</f>
      </c>
      <c r="Q1866" s="225">
        <f>IF($O1866="","",INDEX('Kế hoạch'!$AJ$6:$AJ$305,$O1866))</f>
      </c>
      <c r="R1866" s="225">
        <f>IF($O1866="","",INDEX('Kế hoạch'!$AK$6:$AK$305,$O1866))</f>
      </c>
    </row>
    <row r="1867">
      <c r="A1867" s="223">
        <f>IF($C1867="","",COUNTIF($C$6:$C1867,"?*"))</f>
      </c>
      <c r="B1867" s="217"/>
      <c r="C1867" s="216"/>
      <c r="D1867" s="240"/>
      <c r="E1867" s="218"/>
      <c r="F1867" s="218"/>
      <c r="G1867" s="218"/>
      <c r="H1867" s="219"/>
      <c r="I1867" s="223">
        <f>IF($C1867="","",IF(ISNUMBER(MATCH($C1867,'Phản ánh'!$A$6:$A$505,0)),"Phản ánh",IF(ISNUMBER(MATCH($C1867,'Kế hoạch'!$A$6:$A$305,0)),"Công việc","Mã chưa có")))</f>
      </c>
      <c r="J1867" s="221">
        <f>IF($I1867="Phản ánh",INDEX('Phản ánh'!$C$6:$C$505,MATCH($C1867,'Phản ánh'!$A$6:$A$505,0)),IF($I1867="Công việc",INDEX('Kế hoạch'!$C$6:$C$305,$O1867),""))</f>
      </c>
      <c r="K1867" s="221">
        <f>IF($I1867="Phản ánh",INDEX('Phản ánh'!$K$6:$K$505,MATCH($C1867,'Phản ánh'!$A$6:$A$505,0))&amp;"",IF($I1867="Công việc",INDEX('Kế hoạch'!$N$6:$N$305,$O1867)&amp;"",""))</f>
      </c>
      <c r="L1867" s="220">
        <f>IF(OR($C1867="",N($B1867)=0),"",IF(AND($I1867="Phản ánh",$E1867="Đã xử lý"),INDEX('Phản ánh'!$U$6:$U$505,MATCH($C1867,'Phản ánh'!$A$6:$A$505,0)),IF(AND($I1867="Công việc",OR($E1867="Hoàn thành",$E1867="Hoàn thành kỳ")),IF(INDEX('Kế hoạch'!$B$6:$B$305,$O1867)="Đột xuất",INDEX('Kế hoạch'!$AY$6:$AY$305,$O1867),IF(N($P1867)=0,"",IF(INT($B1867)&lt;$P1867,$P1867,IF($Q1867&gt;0,$P1867+ROUND((INT($B1867)-$P1867)/$Q1867,0)*$Q1867,IF($R1867&gt;0,EDATE($P1867,ROUND((DATEDIF($P1867,INT($B1867),"m")+(INT($B1867)-EDATE($P1867,DATEDIF($P1867,INT($B1867),"m")))/(EDATE($P1867,DATEDIF($P1867,INT($B1867),"m")+1)-EDATE($P1867,DATEDIF($P1867,INT($B1867),"m"))))/$R1867,0)*$R1867),$P1867))))),"")))</f>
      </c>
      <c r="M1867" s="223">
        <f>IF(OR($C1867="",N($L1867)=0,N($B1867)=0),"",IF(IF(MOD($L1867,1)=0,INT($B1867),$B1867)&lt;=$L1867,"Đúng hạn","Trễ hạn"))</f>
      </c>
      <c r="N1867" s="225">
        <f>IF($C1867="","",ROW())</f>
      </c>
      <c r="O1867" s="225">
        <f>IF($I1867="Công việc",MATCH($C1867,'Kế hoạch'!$A$6:$A$305,0),"")</f>
      </c>
      <c r="P1867" s="234">
        <f>IF($O1867="","",INDEX('Kế hoạch'!$I$6:$I$305,$O1867))</f>
      </c>
      <c r="Q1867" s="225">
        <f>IF($O1867="","",INDEX('Kế hoạch'!$AJ$6:$AJ$305,$O1867))</f>
      </c>
      <c r="R1867" s="225">
        <f>IF($O1867="","",INDEX('Kế hoạch'!$AK$6:$AK$305,$O1867))</f>
      </c>
    </row>
    <row r="1868">
      <c r="A1868" s="223">
        <f>IF($C1868="","",COUNTIF($C$6:$C1868,"?*"))</f>
      </c>
      <c r="B1868" s="217"/>
      <c r="C1868" s="216"/>
      <c r="D1868" s="240"/>
      <c r="E1868" s="218"/>
      <c r="F1868" s="218"/>
      <c r="G1868" s="218"/>
      <c r="H1868" s="219"/>
      <c r="I1868" s="223">
        <f>IF($C1868="","",IF(ISNUMBER(MATCH($C1868,'Phản ánh'!$A$6:$A$505,0)),"Phản ánh",IF(ISNUMBER(MATCH($C1868,'Kế hoạch'!$A$6:$A$305,0)),"Công việc","Mã chưa có")))</f>
      </c>
      <c r="J1868" s="221">
        <f>IF($I1868="Phản ánh",INDEX('Phản ánh'!$C$6:$C$505,MATCH($C1868,'Phản ánh'!$A$6:$A$505,0)),IF($I1868="Công việc",INDEX('Kế hoạch'!$C$6:$C$305,$O1868),""))</f>
      </c>
      <c r="K1868" s="221">
        <f>IF($I1868="Phản ánh",INDEX('Phản ánh'!$K$6:$K$505,MATCH($C1868,'Phản ánh'!$A$6:$A$505,0))&amp;"",IF($I1868="Công việc",INDEX('Kế hoạch'!$N$6:$N$305,$O1868)&amp;"",""))</f>
      </c>
      <c r="L1868" s="220">
        <f>IF(OR($C1868="",N($B1868)=0),"",IF(AND($I1868="Phản ánh",$E1868="Đã xử lý"),INDEX('Phản ánh'!$U$6:$U$505,MATCH($C1868,'Phản ánh'!$A$6:$A$505,0)),IF(AND($I1868="Công việc",OR($E1868="Hoàn thành",$E1868="Hoàn thành kỳ")),IF(INDEX('Kế hoạch'!$B$6:$B$305,$O1868)="Đột xuất",INDEX('Kế hoạch'!$AY$6:$AY$305,$O1868),IF(N($P1868)=0,"",IF(INT($B1868)&lt;$P1868,$P1868,IF($Q1868&gt;0,$P1868+ROUND((INT($B1868)-$P1868)/$Q1868,0)*$Q1868,IF($R1868&gt;0,EDATE($P1868,ROUND((DATEDIF($P1868,INT($B1868),"m")+(INT($B1868)-EDATE($P1868,DATEDIF($P1868,INT($B1868),"m")))/(EDATE($P1868,DATEDIF($P1868,INT($B1868),"m")+1)-EDATE($P1868,DATEDIF($P1868,INT($B1868),"m"))))/$R1868,0)*$R1868),$P1868))))),"")))</f>
      </c>
      <c r="M1868" s="223">
        <f>IF(OR($C1868="",N($L1868)=0,N($B1868)=0),"",IF(IF(MOD($L1868,1)=0,INT($B1868),$B1868)&lt;=$L1868,"Đúng hạn","Trễ hạn"))</f>
      </c>
      <c r="N1868" s="225">
        <f>IF($C1868="","",ROW())</f>
      </c>
      <c r="O1868" s="225">
        <f>IF($I1868="Công việc",MATCH($C1868,'Kế hoạch'!$A$6:$A$305,0),"")</f>
      </c>
      <c r="P1868" s="234">
        <f>IF($O1868="","",INDEX('Kế hoạch'!$I$6:$I$305,$O1868))</f>
      </c>
      <c r="Q1868" s="225">
        <f>IF($O1868="","",INDEX('Kế hoạch'!$AJ$6:$AJ$305,$O1868))</f>
      </c>
      <c r="R1868" s="225">
        <f>IF($O1868="","",INDEX('Kế hoạch'!$AK$6:$AK$305,$O1868))</f>
      </c>
    </row>
    <row r="1869">
      <c r="A1869" s="223">
        <f>IF($C1869="","",COUNTIF($C$6:$C1869,"?*"))</f>
      </c>
      <c r="B1869" s="217"/>
      <c r="C1869" s="216"/>
      <c r="D1869" s="240"/>
      <c r="E1869" s="218"/>
      <c r="F1869" s="218"/>
      <c r="G1869" s="218"/>
      <c r="H1869" s="219"/>
      <c r="I1869" s="223">
        <f>IF($C1869="","",IF(ISNUMBER(MATCH($C1869,'Phản ánh'!$A$6:$A$505,0)),"Phản ánh",IF(ISNUMBER(MATCH($C1869,'Kế hoạch'!$A$6:$A$305,0)),"Công việc","Mã chưa có")))</f>
      </c>
      <c r="J1869" s="221">
        <f>IF($I1869="Phản ánh",INDEX('Phản ánh'!$C$6:$C$505,MATCH($C1869,'Phản ánh'!$A$6:$A$505,0)),IF($I1869="Công việc",INDEX('Kế hoạch'!$C$6:$C$305,$O1869),""))</f>
      </c>
      <c r="K1869" s="221">
        <f>IF($I1869="Phản ánh",INDEX('Phản ánh'!$K$6:$K$505,MATCH($C1869,'Phản ánh'!$A$6:$A$505,0))&amp;"",IF($I1869="Công việc",INDEX('Kế hoạch'!$N$6:$N$305,$O1869)&amp;"",""))</f>
      </c>
      <c r="L1869" s="220">
        <f>IF(OR($C1869="",N($B1869)=0),"",IF(AND($I1869="Phản ánh",$E1869="Đã xử lý"),INDEX('Phản ánh'!$U$6:$U$505,MATCH($C1869,'Phản ánh'!$A$6:$A$505,0)),IF(AND($I1869="Công việc",OR($E1869="Hoàn thành",$E1869="Hoàn thành kỳ")),IF(INDEX('Kế hoạch'!$B$6:$B$305,$O1869)="Đột xuất",INDEX('Kế hoạch'!$AY$6:$AY$305,$O1869),IF(N($P1869)=0,"",IF(INT($B1869)&lt;$P1869,$P1869,IF($Q1869&gt;0,$P1869+ROUND((INT($B1869)-$P1869)/$Q1869,0)*$Q1869,IF($R1869&gt;0,EDATE($P1869,ROUND((DATEDIF($P1869,INT($B1869),"m")+(INT($B1869)-EDATE($P1869,DATEDIF($P1869,INT($B1869),"m")))/(EDATE($P1869,DATEDIF($P1869,INT($B1869),"m")+1)-EDATE($P1869,DATEDIF($P1869,INT($B1869),"m"))))/$R1869,0)*$R1869),$P1869))))),"")))</f>
      </c>
      <c r="M1869" s="223">
        <f>IF(OR($C1869="",N($L1869)=0,N($B1869)=0),"",IF(IF(MOD($L1869,1)=0,INT($B1869),$B1869)&lt;=$L1869,"Đúng hạn","Trễ hạn"))</f>
      </c>
      <c r="N1869" s="225">
        <f>IF($C1869="","",ROW())</f>
      </c>
      <c r="O1869" s="225">
        <f>IF($I1869="Công việc",MATCH($C1869,'Kế hoạch'!$A$6:$A$305,0),"")</f>
      </c>
      <c r="P1869" s="234">
        <f>IF($O1869="","",INDEX('Kế hoạch'!$I$6:$I$305,$O1869))</f>
      </c>
      <c r="Q1869" s="225">
        <f>IF($O1869="","",INDEX('Kế hoạch'!$AJ$6:$AJ$305,$O1869))</f>
      </c>
      <c r="R1869" s="225">
        <f>IF($O1869="","",INDEX('Kế hoạch'!$AK$6:$AK$305,$O1869))</f>
      </c>
    </row>
    <row r="1870">
      <c r="A1870" s="223">
        <f>IF($C1870="","",COUNTIF($C$6:$C1870,"?*"))</f>
      </c>
      <c r="B1870" s="217"/>
      <c r="C1870" s="216"/>
      <c r="D1870" s="240"/>
      <c r="E1870" s="218"/>
      <c r="F1870" s="218"/>
      <c r="G1870" s="218"/>
      <c r="H1870" s="219"/>
      <c r="I1870" s="223">
        <f>IF($C1870="","",IF(ISNUMBER(MATCH($C1870,'Phản ánh'!$A$6:$A$505,0)),"Phản ánh",IF(ISNUMBER(MATCH($C1870,'Kế hoạch'!$A$6:$A$305,0)),"Công việc","Mã chưa có")))</f>
      </c>
      <c r="J1870" s="221">
        <f>IF($I1870="Phản ánh",INDEX('Phản ánh'!$C$6:$C$505,MATCH($C1870,'Phản ánh'!$A$6:$A$505,0)),IF($I1870="Công việc",INDEX('Kế hoạch'!$C$6:$C$305,$O1870),""))</f>
      </c>
      <c r="K1870" s="221">
        <f>IF($I1870="Phản ánh",INDEX('Phản ánh'!$K$6:$K$505,MATCH($C1870,'Phản ánh'!$A$6:$A$505,0))&amp;"",IF($I1870="Công việc",INDEX('Kế hoạch'!$N$6:$N$305,$O1870)&amp;"",""))</f>
      </c>
      <c r="L1870" s="220">
        <f>IF(OR($C1870="",N($B1870)=0),"",IF(AND($I1870="Phản ánh",$E1870="Đã xử lý"),INDEX('Phản ánh'!$U$6:$U$505,MATCH($C1870,'Phản ánh'!$A$6:$A$505,0)),IF(AND($I1870="Công việc",OR($E1870="Hoàn thành",$E1870="Hoàn thành kỳ")),IF(INDEX('Kế hoạch'!$B$6:$B$305,$O1870)="Đột xuất",INDEX('Kế hoạch'!$AY$6:$AY$305,$O1870),IF(N($P1870)=0,"",IF(INT($B1870)&lt;$P1870,$P1870,IF($Q1870&gt;0,$P1870+ROUND((INT($B1870)-$P1870)/$Q1870,0)*$Q1870,IF($R1870&gt;0,EDATE($P1870,ROUND((DATEDIF($P1870,INT($B1870),"m")+(INT($B1870)-EDATE($P1870,DATEDIF($P1870,INT($B1870),"m")))/(EDATE($P1870,DATEDIF($P1870,INT($B1870),"m")+1)-EDATE($P1870,DATEDIF($P1870,INT($B1870),"m"))))/$R1870,0)*$R1870),$P1870))))),"")))</f>
      </c>
      <c r="M1870" s="223">
        <f>IF(OR($C1870="",N($L1870)=0,N($B1870)=0),"",IF(IF(MOD($L1870,1)=0,INT($B1870),$B1870)&lt;=$L1870,"Đúng hạn","Trễ hạn"))</f>
      </c>
      <c r="N1870" s="225">
        <f>IF($C1870="","",ROW())</f>
      </c>
      <c r="O1870" s="225">
        <f>IF($I1870="Công việc",MATCH($C1870,'Kế hoạch'!$A$6:$A$305,0),"")</f>
      </c>
      <c r="P1870" s="234">
        <f>IF($O1870="","",INDEX('Kế hoạch'!$I$6:$I$305,$O1870))</f>
      </c>
      <c r="Q1870" s="225">
        <f>IF($O1870="","",INDEX('Kế hoạch'!$AJ$6:$AJ$305,$O1870))</f>
      </c>
      <c r="R1870" s="225">
        <f>IF($O1870="","",INDEX('Kế hoạch'!$AK$6:$AK$305,$O1870))</f>
      </c>
    </row>
    <row r="1871">
      <c r="A1871" s="223">
        <f>IF($C1871="","",COUNTIF($C$6:$C1871,"?*"))</f>
      </c>
      <c r="B1871" s="217"/>
      <c r="C1871" s="216"/>
      <c r="D1871" s="240"/>
      <c r="E1871" s="218"/>
      <c r="F1871" s="218"/>
      <c r="G1871" s="218"/>
      <c r="H1871" s="219"/>
      <c r="I1871" s="223">
        <f>IF($C1871="","",IF(ISNUMBER(MATCH($C1871,'Phản ánh'!$A$6:$A$505,0)),"Phản ánh",IF(ISNUMBER(MATCH($C1871,'Kế hoạch'!$A$6:$A$305,0)),"Công việc","Mã chưa có")))</f>
      </c>
      <c r="J1871" s="221">
        <f>IF($I1871="Phản ánh",INDEX('Phản ánh'!$C$6:$C$505,MATCH($C1871,'Phản ánh'!$A$6:$A$505,0)),IF($I1871="Công việc",INDEX('Kế hoạch'!$C$6:$C$305,$O1871),""))</f>
      </c>
      <c r="K1871" s="221">
        <f>IF($I1871="Phản ánh",INDEX('Phản ánh'!$K$6:$K$505,MATCH($C1871,'Phản ánh'!$A$6:$A$505,0))&amp;"",IF($I1871="Công việc",INDEX('Kế hoạch'!$N$6:$N$305,$O1871)&amp;"",""))</f>
      </c>
      <c r="L1871" s="220">
        <f>IF(OR($C1871="",N($B1871)=0),"",IF(AND($I1871="Phản ánh",$E1871="Đã xử lý"),INDEX('Phản ánh'!$U$6:$U$505,MATCH($C1871,'Phản ánh'!$A$6:$A$505,0)),IF(AND($I1871="Công việc",OR($E1871="Hoàn thành",$E1871="Hoàn thành kỳ")),IF(INDEX('Kế hoạch'!$B$6:$B$305,$O1871)="Đột xuất",INDEX('Kế hoạch'!$AY$6:$AY$305,$O1871),IF(N($P1871)=0,"",IF(INT($B1871)&lt;$P1871,$P1871,IF($Q1871&gt;0,$P1871+ROUND((INT($B1871)-$P1871)/$Q1871,0)*$Q1871,IF($R1871&gt;0,EDATE($P1871,ROUND((DATEDIF($P1871,INT($B1871),"m")+(INT($B1871)-EDATE($P1871,DATEDIF($P1871,INT($B1871),"m")))/(EDATE($P1871,DATEDIF($P1871,INT($B1871),"m")+1)-EDATE($P1871,DATEDIF($P1871,INT($B1871),"m"))))/$R1871,0)*$R1871),$P1871))))),"")))</f>
      </c>
      <c r="M1871" s="223">
        <f>IF(OR($C1871="",N($L1871)=0,N($B1871)=0),"",IF(IF(MOD($L1871,1)=0,INT($B1871),$B1871)&lt;=$L1871,"Đúng hạn","Trễ hạn"))</f>
      </c>
      <c r="N1871" s="225">
        <f>IF($C1871="","",ROW())</f>
      </c>
      <c r="O1871" s="225">
        <f>IF($I1871="Công việc",MATCH($C1871,'Kế hoạch'!$A$6:$A$305,0),"")</f>
      </c>
      <c r="P1871" s="234">
        <f>IF($O1871="","",INDEX('Kế hoạch'!$I$6:$I$305,$O1871))</f>
      </c>
      <c r="Q1871" s="225">
        <f>IF($O1871="","",INDEX('Kế hoạch'!$AJ$6:$AJ$305,$O1871))</f>
      </c>
      <c r="R1871" s="225">
        <f>IF($O1871="","",INDEX('Kế hoạch'!$AK$6:$AK$305,$O1871))</f>
      </c>
    </row>
    <row r="1872">
      <c r="A1872" s="223">
        <f>IF($C1872="","",COUNTIF($C$6:$C1872,"?*"))</f>
      </c>
      <c r="B1872" s="217"/>
      <c r="C1872" s="216"/>
      <c r="D1872" s="240"/>
      <c r="E1872" s="218"/>
      <c r="F1872" s="218"/>
      <c r="G1872" s="218"/>
      <c r="H1872" s="219"/>
      <c r="I1872" s="223">
        <f>IF($C1872="","",IF(ISNUMBER(MATCH($C1872,'Phản ánh'!$A$6:$A$505,0)),"Phản ánh",IF(ISNUMBER(MATCH($C1872,'Kế hoạch'!$A$6:$A$305,0)),"Công việc","Mã chưa có")))</f>
      </c>
      <c r="J1872" s="221">
        <f>IF($I1872="Phản ánh",INDEX('Phản ánh'!$C$6:$C$505,MATCH($C1872,'Phản ánh'!$A$6:$A$505,0)),IF($I1872="Công việc",INDEX('Kế hoạch'!$C$6:$C$305,$O1872),""))</f>
      </c>
      <c r="K1872" s="221">
        <f>IF($I1872="Phản ánh",INDEX('Phản ánh'!$K$6:$K$505,MATCH($C1872,'Phản ánh'!$A$6:$A$505,0))&amp;"",IF($I1872="Công việc",INDEX('Kế hoạch'!$N$6:$N$305,$O1872)&amp;"",""))</f>
      </c>
      <c r="L1872" s="220">
        <f>IF(OR($C1872="",N($B1872)=0),"",IF(AND($I1872="Phản ánh",$E1872="Đã xử lý"),INDEX('Phản ánh'!$U$6:$U$505,MATCH($C1872,'Phản ánh'!$A$6:$A$505,0)),IF(AND($I1872="Công việc",OR($E1872="Hoàn thành",$E1872="Hoàn thành kỳ")),IF(INDEX('Kế hoạch'!$B$6:$B$305,$O1872)="Đột xuất",INDEX('Kế hoạch'!$AY$6:$AY$305,$O1872),IF(N($P1872)=0,"",IF(INT($B1872)&lt;$P1872,$P1872,IF($Q1872&gt;0,$P1872+ROUND((INT($B1872)-$P1872)/$Q1872,0)*$Q1872,IF($R1872&gt;0,EDATE($P1872,ROUND((DATEDIF($P1872,INT($B1872),"m")+(INT($B1872)-EDATE($P1872,DATEDIF($P1872,INT($B1872),"m")))/(EDATE($P1872,DATEDIF($P1872,INT($B1872),"m")+1)-EDATE($P1872,DATEDIF($P1872,INT($B1872),"m"))))/$R1872,0)*$R1872),$P1872))))),"")))</f>
      </c>
      <c r="M1872" s="223">
        <f>IF(OR($C1872="",N($L1872)=0,N($B1872)=0),"",IF(IF(MOD($L1872,1)=0,INT($B1872),$B1872)&lt;=$L1872,"Đúng hạn","Trễ hạn"))</f>
      </c>
      <c r="N1872" s="225">
        <f>IF($C1872="","",ROW())</f>
      </c>
      <c r="O1872" s="225">
        <f>IF($I1872="Công việc",MATCH($C1872,'Kế hoạch'!$A$6:$A$305,0),"")</f>
      </c>
      <c r="P1872" s="234">
        <f>IF($O1872="","",INDEX('Kế hoạch'!$I$6:$I$305,$O1872))</f>
      </c>
      <c r="Q1872" s="225">
        <f>IF($O1872="","",INDEX('Kế hoạch'!$AJ$6:$AJ$305,$O1872))</f>
      </c>
      <c r="R1872" s="225">
        <f>IF($O1872="","",INDEX('Kế hoạch'!$AK$6:$AK$305,$O1872))</f>
      </c>
    </row>
    <row r="1873">
      <c r="A1873" s="223">
        <f>IF($C1873="","",COUNTIF($C$6:$C1873,"?*"))</f>
      </c>
      <c r="B1873" s="217"/>
      <c r="C1873" s="216"/>
      <c r="D1873" s="240"/>
      <c r="E1873" s="218"/>
      <c r="F1873" s="218"/>
      <c r="G1873" s="218"/>
      <c r="H1873" s="219"/>
      <c r="I1873" s="223">
        <f>IF($C1873="","",IF(ISNUMBER(MATCH($C1873,'Phản ánh'!$A$6:$A$505,0)),"Phản ánh",IF(ISNUMBER(MATCH($C1873,'Kế hoạch'!$A$6:$A$305,0)),"Công việc","Mã chưa có")))</f>
      </c>
      <c r="J1873" s="221">
        <f>IF($I1873="Phản ánh",INDEX('Phản ánh'!$C$6:$C$505,MATCH($C1873,'Phản ánh'!$A$6:$A$505,0)),IF($I1873="Công việc",INDEX('Kế hoạch'!$C$6:$C$305,$O1873),""))</f>
      </c>
      <c r="K1873" s="221">
        <f>IF($I1873="Phản ánh",INDEX('Phản ánh'!$K$6:$K$505,MATCH($C1873,'Phản ánh'!$A$6:$A$505,0))&amp;"",IF($I1873="Công việc",INDEX('Kế hoạch'!$N$6:$N$305,$O1873)&amp;"",""))</f>
      </c>
      <c r="L1873" s="220">
        <f>IF(OR($C1873="",N($B1873)=0),"",IF(AND($I1873="Phản ánh",$E1873="Đã xử lý"),INDEX('Phản ánh'!$U$6:$U$505,MATCH($C1873,'Phản ánh'!$A$6:$A$505,0)),IF(AND($I1873="Công việc",OR($E1873="Hoàn thành",$E1873="Hoàn thành kỳ")),IF(INDEX('Kế hoạch'!$B$6:$B$305,$O1873)="Đột xuất",INDEX('Kế hoạch'!$AY$6:$AY$305,$O1873),IF(N($P1873)=0,"",IF(INT($B1873)&lt;$P1873,$P1873,IF($Q1873&gt;0,$P1873+ROUND((INT($B1873)-$P1873)/$Q1873,0)*$Q1873,IF($R1873&gt;0,EDATE($P1873,ROUND((DATEDIF($P1873,INT($B1873),"m")+(INT($B1873)-EDATE($P1873,DATEDIF($P1873,INT($B1873),"m")))/(EDATE($P1873,DATEDIF($P1873,INT($B1873),"m")+1)-EDATE($P1873,DATEDIF($P1873,INT($B1873),"m"))))/$R1873,0)*$R1873),$P1873))))),"")))</f>
      </c>
      <c r="M1873" s="223">
        <f>IF(OR($C1873="",N($L1873)=0,N($B1873)=0),"",IF(IF(MOD($L1873,1)=0,INT($B1873),$B1873)&lt;=$L1873,"Đúng hạn","Trễ hạn"))</f>
      </c>
      <c r="N1873" s="225">
        <f>IF($C1873="","",ROW())</f>
      </c>
      <c r="O1873" s="225">
        <f>IF($I1873="Công việc",MATCH($C1873,'Kế hoạch'!$A$6:$A$305,0),"")</f>
      </c>
      <c r="P1873" s="234">
        <f>IF($O1873="","",INDEX('Kế hoạch'!$I$6:$I$305,$O1873))</f>
      </c>
      <c r="Q1873" s="225">
        <f>IF($O1873="","",INDEX('Kế hoạch'!$AJ$6:$AJ$305,$O1873))</f>
      </c>
      <c r="R1873" s="225">
        <f>IF($O1873="","",INDEX('Kế hoạch'!$AK$6:$AK$305,$O1873))</f>
      </c>
    </row>
    <row r="1874">
      <c r="A1874" s="223">
        <f>IF($C1874="","",COUNTIF($C$6:$C1874,"?*"))</f>
      </c>
      <c r="B1874" s="217"/>
      <c r="C1874" s="216"/>
      <c r="D1874" s="240"/>
      <c r="E1874" s="218"/>
      <c r="F1874" s="218"/>
      <c r="G1874" s="218"/>
      <c r="H1874" s="219"/>
      <c r="I1874" s="223">
        <f>IF($C1874="","",IF(ISNUMBER(MATCH($C1874,'Phản ánh'!$A$6:$A$505,0)),"Phản ánh",IF(ISNUMBER(MATCH($C1874,'Kế hoạch'!$A$6:$A$305,0)),"Công việc","Mã chưa có")))</f>
      </c>
      <c r="J1874" s="221">
        <f>IF($I1874="Phản ánh",INDEX('Phản ánh'!$C$6:$C$505,MATCH($C1874,'Phản ánh'!$A$6:$A$505,0)),IF($I1874="Công việc",INDEX('Kế hoạch'!$C$6:$C$305,$O1874),""))</f>
      </c>
      <c r="K1874" s="221">
        <f>IF($I1874="Phản ánh",INDEX('Phản ánh'!$K$6:$K$505,MATCH($C1874,'Phản ánh'!$A$6:$A$505,0))&amp;"",IF($I1874="Công việc",INDEX('Kế hoạch'!$N$6:$N$305,$O1874)&amp;"",""))</f>
      </c>
      <c r="L1874" s="220">
        <f>IF(OR($C1874="",N($B1874)=0),"",IF(AND($I1874="Phản ánh",$E1874="Đã xử lý"),INDEX('Phản ánh'!$U$6:$U$505,MATCH($C1874,'Phản ánh'!$A$6:$A$505,0)),IF(AND($I1874="Công việc",OR($E1874="Hoàn thành",$E1874="Hoàn thành kỳ")),IF(INDEX('Kế hoạch'!$B$6:$B$305,$O1874)="Đột xuất",INDEX('Kế hoạch'!$AY$6:$AY$305,$O1874),IF(N($P1874)=0,"",IF(INT($B1874)&lt;$P1874,$P1874,IF($Q1874&gt;0,$P1874+ROUND((INT($B1874)-$P1874)/$Q1874,0)*$Q1874,IF($R1874&gt;0,EDATE($P1874,ROUND((DATEDIF($P1874,INT($B1874),"m")+(INT($B1874)-EDATE($P1874,DATEDIF($P1874,INT($B1874),"m")))/(EDATE($P1874,DATEDIF($P1874,INT($B1874),"m")+1)-EDATE($P1874,DATEDIF($P1874,INT($B1874),"m"))))/$R1874,0)*$R1874),$P1874))))),"")))</f>
      </c>
      <c r="M1874" s="223">
        <f>IF(OR($C1874="",N($L1874)=0,N($B1874)=0),"",IF(IF(MOD($L1874,1)=0,INT($B1874),$B1874)&lt;=$L1874,"Đúng hạn","Trễ hạn"))</f>
      </c>
      <c r="N1874" s="225">
        <f>IF($C1874="","",ROW())</f>
      </c>
      <c r="O1874" s="225">
        <f>IF($I1874="Công việc",MATCH($C1874,'Kế hoạch'!$A$6:$A$305,0),"")</f>
      </c>
      <c r="P1874" s="234">
        <f>IF($O1874="","",INDEX('Kế hoạch'!$I$6:$I$305,$O1874))</f>
      </c>
      <c r="Q1874" s="225">
        <f>IF($O1874="","",INDEX('Kế hoạch'!$AJ$6:$AJ$305,$O1874))</f>
      </c>
      <c r="R1874" s="225">
        <f>IF($O1874="","",INDEX('Kế hoạch'!$AK$6:$AK$305,$O1874))</f>
      </c>
    </row>
    <row r="1875">
      <c r="A1875" s="223">
        <f>IF($C1875="","",COUNTIF($C$6:$C1875,"?*"))</f>
      </c>
      <c r="B1875" s="217"/>
      <c r="C1875" s="216"/>
      <c r="D1875" s="240"/>
      <c r="E1875" s="218"/>
      <c r="F1875" s="218"/>
      <c r="G1875" s="218"/>
      <c r="H1875" s="219"/>
      <c r="I1875" s="223">
        <f>IF($C1875="","",IF(ISNUMBER(MATCH($C1875,'Phản ánh'!$A$6:$A$505,0)),"Phản ánh",IF(ISNUMBER(MATCH($C1875,'Kế hoạch'!$A$6:$A$305,0)),"Công việc","Mã chưa có")))</f>
      </c>
      <c r="J1875" s="221">
        <f>IF($I1875="Phản ánh",INDEX('Phản ánh'!$C$6:$C$505,MATCH($C1875,'Phản ánh'!$A$6:$A$505,0)),IF($I1875="Công việc",INDEX('Kế hoạch'!$C$6:$C$305,$O1875),""))</f>
      </c>
      <c r="K1875" s="221">
        <f>IF($I1875="Phản ánh",INDEX('Phản ánh'!$K$6:$K$505,MATCH($C1875,'Phản ánh'!$A$6:$A$505,0))&amp;"",IF($I1875="Công việc",INDEX('Kế hoạch'!$N$6:$N$305,$O1875)&amp;"",""))</f>
      </c>
      <c r="L1875" s="220">
        <f>IF(OR($C1875="",N($B1875)=0),"",IF(AND($I1875="Phản ánh",$E1875="Đã xử lý"),INDEX('Phản ánh'!$U$6:$U$505,MATCH($C1875,'Phản ánh'!$A$6:$A$505,0)),IF(AND($I1875="Công việc",OR($E1875="Hoàn thành",$E1875="Hoàn thành kỳ")),IF(INDEX('Kế hoạch'!$B$6:$B$305,$O1875)="Đột xuất",INDEX('Kế hoạch'!$AY$6:$AY$305,$O1875),IF(N($P1875)=0,"",IF(INT($B1875)&lt;$P1875,$P1875,IF($Q1875&gt;0,$P1875+ROUND((INT($B1875)-$P1875)/$Q1875,0)*$Q1875,IF($R1875&gt;0,EDATE($P1875,ROUND((DATEDIF($P1875,INT($B1875),"m")+(INT($B1875)-EDATE($P1875,DATEDIF($P1875,INT($B1875),"m")))/(EDATE($P1875,DATEDIF($P1875,INT($B1875),"m")+1)-EDATE($P1875,DATEDIF($P1875,INT($B1875),"m"))))/$R1875,0)*$R1875),$P1875))))),"")))</f>
      </c>
      <c r="M1875" s="223">
        <f>IF(OR($C1875="",N($L1875)=0,N($B1875)=0),"",IF(IF(MOD($L1875,1)=0,INT($B1875),$B1875)&lt;=$L1875,"Đúng hạn","Trễ hạn"))</f>
      </c>
      <c r="N1875" s="225">
        <f>IF($C1875="","",ROW())</f>
      </c>
      <c r="O1875" s="225">
        <f>IF($I1875="Công việc",MATCH($C1875,'Kế hoạch'!$A$6:$A$305,0),"")</f>
      </c>
      <c r="P1875" s="234">
        <f>IF($O1875="","",INDEX('Kế hoạch'!$I$6:$I$305,$O1875))</f>
      </c>
      <c r="Q1875" s="225">
        <f>IF($O1875="","",INDEX('Kế hoạch'!$AJ$6:$AJ$305,$O1875))</f>
      </c>
      <c r="R1875" s="225">
        <f>IF($O1875="","",INDEX('Kế hoạch'!$AK$6:$AK$305,$O1875))</f>
      </c>
    </row>
    <row r="1876">
      <c r="A1876" s="223">
        <f>IF($C1876="","",COUNTIF($C$6:$C1876,"?*"))</f>
      </c>
      <c r="B1876" s="217"/>
      <c r="C1876" s="216"/>
      <c r="D1876" s="240"/>
      <c r="E1876" s="218"/>
      <c r="F1876" s="218"/>
      <c r="G1876" s="218"/>
      <c r="H1876" s="219"/>
      <c r="I1876" s="223">
        <f>IF($C1876="","",IF(ISNUMBER(MATCH($C1876,'Phản ánh'!$A$6:$A$505,0)),"Phản ánh",IF(ISNUMBER(MATCH($C1876,'Kế hoạch'!$A$6:$A$305,0)),"Công việc","Mã chưa có")))</f>
      </c>
      <c r="J1876" s="221">
        <f>IF($I1876="Phản ánh",INDEX('Phản ánh'!$C$6:$C$505,MATCH($C1876,'Phản ánh'!$A$6:$A$505,0)),IF($I1876="Công việc",INDEX('Kế hoạch'!$C$6:$C$305,$O1876),""))</f>
      </c>
      <c r="K1876" s="221">
        <f>IF($I1876="Phản ánh",INDEX('Phản ánh'!$K$6:$K$505,MATCH($C1876,'Phản ánh'!$A$6:$A$505,0))&amp;"",IF($I1876="Công việc",INDEX('Kế hoạch'!$N$6:$N$305,$O1876)&amp;"",""))</f>
      </c>
      <c r="L1876" s="220">
        <f>IF(OR($C1876="",N($B1876)=0),"",IF(AND($I1876="Phản ánh",$E1876="Đã xử lý"),INDEX('Phản ánh'!$U$6:$U$505,MATCH($C1876,'Phản ánh'!$A$6:$A$505,0)),IF(AND($I1876="Công việc",OR($E1876="Hoàn thành",$E1876="Hoàn thành kỳ")),IF(INDEX('Kế hoạch'!$B$6:$B$305,$O1876)="Đột xuất",INDEX('Kế hoạch'!$AY$6:$AY$305,$O1876),IF(N($P1876)=0,"",IF(INT($B1876)&lt;$P1876,$P1876,IF($Q1876&gt;0,$P1876+ROUND((INT($B1876)-$P1876)/$Q1876,0)*$Q1876,IF($R1876&gt;0,EDATE($P1876,ROUND((DATEDIF($P1876,INT($B1876),"m")+(INT($B1876)-EDATE($P1876,DATEDIF($P1876,INT($B1876),"m")))/(EDATE($P1876,DATEDIF($P1876,INT($B1876),"m")+1)-EDATE($P1876,DATEDIF($P1876,INT($B1876),"m"))))/$R1876,0)*$R1876),$P1876))))),"")))</f>
      </c>
      <c r="M1876" s="223">
        <f>IF(OR($C1876="",N($L1876)=0,N($B1876)=0),"",IF(IF(MOD($L1876,1)=0,INT($B1876),$B1876)&lt;=$L1876,"Đúng hạn","Trễ hạn"))</f>
      </c>
      <c r="N1876" s="225">
        <f>IF($C1876="","",ROW())</f>
      </c>
      <c r="O1876" s="225">
        <f>IF($I1876="Công việc",MATCH($C1876,'Kế hoạch'!$A$6:$A$305,0),"")</f>
      </c>
      <c r="P1876" s="234">
        <f>IF($O1876="","",INDEX('Kế hoạch'!$I$6:$I$305,$O1876))</f>
      </c>
      <c r="Q1876" s="225">
        <f>IF($O1876="","",INDEX('Kế hoạch'!$AJ$6:$AJ$305,$O1876))</f>
      </c>
      <c r="R1876" s="225">
        <f>IF($O1876="","",INDEX('Kế hoạch'!$AK$6:$AK$305,$O1876))</f>
      </c>
    </row>
    <row r="1877">
      <c r="A1877" s="223">
        <f>IF($C1877="","",COUNTIF($C$6:$C1877,"?*"))</f>
      </c>
      <c r="B1877" s="217"/>
      <c r="C1877" s="216"/>
      <c r="D1877" s="240"/>
      <c r="E1877" s="218"/>
      <c r="F1877" s="218"/>
      <c r="G1877" s="218"/>
      <c r="H1877" s="219"/>
      <c r="I1877" s="223">
        <f>IF($C1877="","",IF(ISNUMBER(MATCH($C1877,'Phản ánh'!$A$6:$A$505,0)),"Phản ánh",IF(ISNUMBER(MATCH($C1877,'Kế hoạch'!$A$6:$A$305,0)),"Công việc","Mã chưa có")))</f>
      </c>
      <c r="J1877" s="221">
        <f>IF($I1877="Phản ánh",INDEX('Phản ánh'!$C$6:$C$505,MATCH($C1877,'Phản ánh'!$A$6:$A$505,0)),IF($I1877="Công việc",INDEX('Kế hoạch'!$C$6:$C$305,$O1877),""))</f>
      </c>
      <c r="K1877" s="221">
        <f>IF($I1877="Phản ánh",INDEX('Phản ánh'!$K$6:$K$505,MATCH($C1877,'Phản ánh'!$A$6:$A$505,0))&amp;"",IF($I1877="Công việc",INDEX('Kế hoạch'!$N$6:$N$305,$O1877)&amp;"",""))</f>
      </c>
      <c r="L1877" s="220">
        <f>IF(OR($C1877="",N($B1877)=0),"",IF(AND($I1877="Phản ánh",$E1877="Đã xử lý"),INDEX('Phản ánh'!$U$6:$U$505,MATCH($C1877,'Phản ánh'!$A$6:$A$505,0)),IF(AND($I1877="Công việc",OR($E1877="Hoàn thành",$E1877="Hoàn thành kỳ")),IF(INDEX('Kế hoạch'!$B$6:$B$305,$O1877)="Đột xuất",INDEX('Kế hoạch'!$AY$6:$AY$305,$O1877),IF(N($P1877)=0,"",IF(INT($B1877)&lt;$P1877,$P1877,IF($Q1877&gt;0,$P1877+ROUND((INT($B1877)-$P1877)/$Q1877,0)*$Q1877,IF($R1877&gt;0,EDATE($P1877,ROUND((DATEDIF($P1877,INT($B1877),"m")+(INT($B1877)-EDATE($P1877,DATEDIF($P1877,INT($B1877),"m")))/(EDATE($P1877,DATEDIF($P1877,INT($B1877),"m")+1)-EDATE($P1877,DATEDIF($P1877,INT($B1877),"m"))))/$R1877,0)*$R1877),$P1877))))),"")))</f>
      </c>
      <c r="M1877" s="223">
        <f>IF(OR($C1877="",N($L1877)=0,N($B1877)=0),"",IF(IF(MOD($L1877,1)=0,INT($B1877),$B1877)&lt;=$L1877,"Đúng hạn","Trễ hạn"))</f>
      </c>
      <c r="N1877" s="225">
        <f>IF($C1877="","",ROW())</f>
      </c>
      <c r="O1877" s="225">
        <f>IF($I1877="Công việc",MATCH($C1877,'Kế hoạch'!$A$6:$A$305,0),"")</f>
      </c>
      <c r="P1877" s="234">
        <f>IF($O1877="","",INDEX('Kế hoạch'!$I$6:$I$305,$O1877))</f>
      </c>
      <c r="Q1877" s="225">
        <f>IF($O1877="","",INDEX('Kế hoạch'!$AJ$6:$AJ$305,$O1877))</f>
      </c>
      <c r="R1877" s="225">
        <f>IF($O1877="","",INDEX('Kế hoạch'!$AK$6:$AK$305,$O1877))</f>
      </c>
    </row>
    <row r="1878">
      <c r="A1878" s="223">
        <f>IF($C1878="","",COUNTIF($C$6:$C1878,"?*"))</f>
      </c>
      <c r="B1878" s="217"/>
      <c r="C1878" s="216"/>
      <c r="D1878" s="240"/>
      <c r="E1878" s="218"/>
      <c r="F1878" s="218"/>
      <c r="G1878" s="218"/>
      <c r="H1878" s="219"/>
      <c r="I1878" s="223">
        <f>IF($C1878="","",IF(ISNUMBER(MATCH($C1878,'Phản ánh'!$A$6:$A$505,0)),"Phản ánh",IF(ISNUMBER(MATCH($C1878,'Kế hoạch'!$A$6:$A$305,0)),"Công việc","Mã chưa có")))</f>
      </c>
      <c r="J1878" s="221">
        <f>IF($I1878="Phản ánh",INDEX('Phản ánh'!$C$6:$C$505,MATCH($C1878,'Phản ánh'!$A$6:$A$505,0)),IF($I1878="Công việc",INDEX('Kế hoạch'!$C$6:$C$305,$O1878),""))</f>
      </c>
      <c r="K1878" s="221">
        <f>IF($I1878="Phản ánh",INDEX('Phản ánh'!$K$6:$K$505,MATCH($C1878,'Phản ánh'!$A$6:$A$505,0))&amp;"",IF($I1878="Công việc",INDEX('Kế hoạch'!$N$6:$N$305,$O1878)&amp;"",""))</f>
      </c>
      <c r="L1878" s="220">
        <f>IF(OR($C1878="",N($B1878)=0),"",IF(AND($I1878="Phản ánh",$E1878="Đã xử lý"),INDEX('Phản ánh'!$U$6:$U$505,MATCH($C1878,'Phản ánh'!$A$6:$A$505,0)),IF(AND($I1878="Công việc",OR($E1878="Hoàn thành",$E1878="Hoàn thành kỳ")),IF(INDEX('Kế hoạch'!$B$6:$B$305,$O1878)="Đột xuất",INDEX('Kế hoạch'!$AY$6:$AY$305,$O1878),IF(N($P1878)=0,"",IF(INT($B1878)&lt;$P1878,$P1878,IF($Q1878&gt;0,$P1878+ROUND((INT($B1878)-$P1878)/$Q1878,0)*$Q1878,IF($R1878&gt;0,EDATE($P1878,ROUND((DATEDIF($P1878,INT($B1878),"m")+(INT($B1878)-EDATE($P1878,DATEDIF($P1878,INT($B1878),"m")))/(EDATE($P1878,DATEDIF($P1878,INT($B1878),"m")+1)-EDATE($P1878,DATEDIF($P1878,INT($B1878),"m"))))/$R1878,0)*$R1878),$P1878))))),"")))</f>
      </c>
      <c r="M1878" s="223">
        <f>IF(OR($C1878="",N($L1878)=0,N($B1878)=0),"",IF(IF(MOD($L1878,1)=0,INT($B1878),$B1878)&lt;=$L1878,"Đúng hạn","Trễ hạn"))</f>
      </c>
      <c r="N1878" s="225">
        <f>IF($C1878="","",ROW())</f>
      </c>
      <c r="O1878" s="225">
        <f>IF($I1878="Công việc",MATCH($C1878,'Kế hoạch'!$A$6:$A$305,0),"")</f>
      </c>
      <c r="P1878" s="234">
        <f>IF($O1878="","",INDEX('Kế hoạch'!$I$6:$I$305,$O1878))</f>
      </c>
      <c r="Q1878" s="225">
        <f>IF($O1878="","",INDEX('Kế hoạch'!$AJ$6:$AJ$305,$O1878))</f>
      </c>
      <c r="R1878" s="225">
        <f>IF($O1878="","",INDEX('Kế hoạch'!$AK$6:$AK$305,$O1878))</f>
      </c>
    </row>
    <row r="1879">
      <c r="A1879" s="223">
        <f>IF($C1879="","",COUNTIF($C$6:$C1879,"?*"))</f>
      </c>
      <c r="B1879" s="217"/>
      <c r="C1879" s="216"/>
      <c r="D1879" s="240"/>
      <c r="E1879" s="218"/>
      <c r="F1879" s="218"/>
      <c r="G1879" s="218"/>
      <c r="H1879" s="219"/>
      <c r="I1879" s="223">
        <f>IF($C1879="","",IF(ISNUMBER(MATCH($C1879,'Phản ánh'!$A$6:$A$505,0)),"Phản ánh",IF(ISNUMBER(MATCH($C1879,'Kế hoạch'!$A$6:$A$305,0)),"Công việc","Mã chưa có")))</f>
      </c>
      <c r="J1879" s="221">
        <f>IF($I1879="Phản ánh",INDEX('Phản ánh'!$C$6:$C$505,MATCH($C1879,'Phản ánh'!$A$6:$A$505,0)),IF($I1879="Công việc",INDEX('Kế hoạch'!$C$6:$C$305,$O1879),""))</f>
      </c>
      <c r="K1879" s="221">
        <f>IF($I1879="Phản ánh",INDEX('Phản ánh'!$K$6:$K$505,MATCH($C1879,'Phản ánh'!$A$6:$A$505,0))&amp;"",IF($I1879="Công việc",INDEX('Kế hoạch'!$N$6:$N$305,$O1879)&amp;"",""))</f>
      </c>
      <c r="L1879" s="220">
        <f>IF(OR($C1879="",N($B1879)=0),"",IF(AND($I1879="Phản ánh",$E1879="Đã xử lý"),INDEX('Phản ánh'!$U$6:$U$505,MATCH($C1879,'Phản ánh'!$A$6:$A$505,0)),IF(AND($I1879="Công việc",OR($E1879="Hoàn thành",$E1879="Hoàn thành kỳ")),IF(INDEX('Kế hoạch'!$B$6:$B$305,$O1879)="Đột xuất",INDEX('Kế hoạch'!$AY$6:$AY$305,$O1879),IF(N($P1879)=0,"",IF(INT($B1879)&lt;$P1879,$P1879,IF($Q1879&gt;0,$P1879+ROUND((INT($B1879)-$P1879)/$Q1879,0)*$Q1879,IF($R1879&gt;0,EDATE($P1879,ROUND((DATEDIF($P1879,INT($B1879),"m")+(INT($B1879)-EDATE($P1879,DATEDIF($P1879,INT($B1879),"m")))/(EDATE($P1879,DATEDIF($P1879,INT($B1879),"m")+1)-EDATE($P1879,DATEDIF($P1879,INT($B1879),"m"))))/$R1879,0)*$R1879),$P1879))))),"")))</f>
      </c>
      <c r="M1879" s="223">
        <f>IF(OR($C1879="",N($L1879)=0,N($B1879)=0),"",IF(IF(MOD($L1879,1)=0,INT($B1879),$B1879)&lt;=$L1879,"Đúng hạn","Trễ hạn"))</f>
      </c>
      <c r="N1879" s="225">
        <f>IF($C1879="","",ROW())</f>
      </c>
      <c r="O1879" s="225">
        <f>IF($I1879="Công việc",MATCH($C1879,'Kế hoạch'!$A$6:$A$305,0),"")</f>
      </c>
      <c r="P1879" s="234">
        <f>IF($O1879="","",INDEX('Kế hoạch'!$I$6:$I$305,$O1879))</f>
      </c>
      <c r="Q1879" s="225">
        <f>IF($O1879="","",INDEX('Kế hoạch'!$AJ$6:$AJ$305,$O1879))</f>
      </c>
      <c r="R1879" s="225">
        <f>IF($O1879="","",INDEX('Kế hoạch'!$AK$6:$AK$305,$O1879))</f>
      </c>
    </row>
    <row r="1880">
      <c r="A1880" s="223">
        <f>IF($C1880="","",COUNTIF($C$6:$C1880,"?*"))</f>
      </c>
      <c r="B1880" s="217"/>
      <c r="C1880" s="216"/>
      <c r="D1880" s="240"/>
      <c r="E1880" s="218"/>
      <c r="F1880" s="218"/>
      <c r="G1880" s="218"/>
      <c r="H1880" s="219"/>
      <c r="I1880" s="223">
        <f>IF($C1880="","",IF(ISNUMBER(MATCH($C1880,'Phản ánh'!$A$6:$A$505,0)),"Phản ánh",IF(ISNUMBER(MATCH($C1880,'Kế hoạch'!$A$6:$A$305,0)),"Công việc","Mã chưa có")))</f>
      </c>
      <c r="J1880" s="221">
        <f>IF($I1880="Phản ánh",INDEX('Phản ánh'!$C$6:$C$505,MATCH($C1880,'Phản ánh'!$A$6:$A$505,0)),IF($I1880="Công việc",INDEX('Kế hoạch'!$C$6:$C$305,$O1880),""))</f>
      </c>
      <c r="K1880" s="221">
        <f>IF($I1880="Phản ánh",INDEX('Phản ánh'!$K$6:$K$505,MATCH($C1880,'Phản ánh'!$A$6:$A$505,0))&amp;"",IF($I1880="Công việc",INDEX('Kế hoạch'!$N$6:$N$305,$O1880)&amp;"",""))</f>
      </c>
      <c r="L1880" s="220">
        <f>IF(OR($C1880="",N($B1880)=0),"",IF(AND($I1880="Phản ánh",$E1880="Đã xử lý"),INDEX('Phản ánh'!$U$6:$U$505,MATCH($C1880,'Phản ánh'!$A$6:$A$505,0)),IF(AND($I1880="Công việc",OR($E1880="Hoàn thành",$E1880="Hoàn thành kỳ")),IF(INDEX('Kế hoạch'!$B$6:$B$305,$O1880)="Đột xuất",INDEX('Kế hoạch'!$AY$6:$AY$305,$O1880),IF(N($P1880)=0,"",IF(INT($B1880)&lt;$P1880,$P1880,IF($Q1880&gt;0,$P1880+ROUND((INT($B1880)-$P1880)/$Q1880,0)*$Q1880,IF($R1880&gt;0,EDATE($P1880,ROUND((DATEDIF($P1880,INT($B1880),"m")+(INT($B1880)-EDATE($P1880,DATEDIF($P1880,INT($B1880),"m")))/(EDATE($P1880,DATEDIF($P1880,INT($B1880),"m")+1)-EDATE($P1880,DATEDIF($P1880,INT($B1880),"m"))))/$R1880,0)*$R1880),$P1880))))),"")))</f>
      </c>
      <c r="M1880" s="223">
        <f>IF(OR($C1880="",N($L1880)=0,N($B1880)=0),"",IF(IF(MOD($L1880,1)=0,INT($B1880),$B1880)&lt;=$L1880,"Đúng hạn","Trễ hạn"))</f>
      </c>
      <c r="N1880" s="225">
        <f>IF($C1880="","",ROW())</f>
      </c>
      <c r="O1880" s="225">
        <f>IF($I1880="Công việc",MATCH($C1880,'Kế hoạch'!$A$6:$A$305,0),"")</f>
      </c>
      <c r="P1880" s="234">
        <f>IF($O1880="","",INDEX('Kế hoạch'!$I$6:$I$305,$O1880))</f>
      </c>
      <c r="Q1880" s="225">
        <f>IF($O1880="","",INDEX('Kế hoạch'!$AJ$6:$AJ$305,$O1880))</f>
      </c>
      <c r="R1880" s="225">
        <f>IF($O1880="","",INDEX('Kế hoạch'!$AK$6:$AK$305,$O1880))</f>
      </c>
    </row>
    <row r="1881">
      <c r="A1881" s="223">
        <f>IF($C1881="","",COUNTIF($C$6:$C1881,"?*"))</f>
      </c>
      <c r="B1881" s="217"/>
      <c r="C1881" s="216"/>
      <c r="D1881" s="240"/>
      <c r="E1881" s="218"/>
      <c r="F1881" s="218"/>
      <c r="G1881" s="218"/>
      <c r="H1881" s="219"/>
      <c r="I1881" s="223">
        <f>IF($C1881="","",IF(ISNUMBER(MATCH($C1881,'Phản ánh'!$A$6:$A$505,0)),"Phản ánh",IF(ISNUMBER(MATCH($C1881,'Kế hoạch'!$A$6:$A$305,0)),"Công việc","Mã chưa có")))</f>
      </c>
      <c r="J1881" s="221">
        <f>IF($I1881="Phản ánh",INDEX('Phản ánh'!$C$6:$C$505,MATCH($C1881,'Phản ánh'!$A$6:$A$505,0)),IF($I1881="Công việc",INDEX('Kế hoạch'!$C$6:$C$305,$O1881),""))</f>
      </c>
      <c r="K1881" s="221">
        <f>IF($I1881="Phản ánh",INDEX('Phản ánh'!$K$6:$K$505,MATCH($C1881,'Phản ánh'!$A$6:$A$505,0))&amp;"",IF($I1881="Công việc",INDEX('Kế hoạch'!$N$6:$N$305,$O1881)&amp;"",""))</f>
      </c>
      <c r="L1881" s="220">
        <f>IF(OR($C1881="",N($B1881)=0),"",IF(AND($I1881="Phản ánh",$E1881="Đã xử lý"),INDEX('Phản ánh'!$U$6:$U$505,MATCH($C1881,'Phản ánh'!$A$6:$A$505,0)),IF(AND($I1881="Công việc",OR($E1881="Hoàn thành",$E1881="Hoàn thành kỳ")),IF(INDEX('Kế hoạch'!$B$6:$B$305,$O1881)="Đột xuất",INDEX('Kế hoạch'!$AY$6:$AY$305,$O1881),IF(N($P1881)=0,"",IF(INT($B1881)&lt;$P1881,$P1881,IF($Q1881&gt;0,$P1881+ROUND((INT($B1881)-$P1881)/$Q1881,0)*$Q1881,IF($R1881&gt;0,EDATE($P1881,ROUND((DATEDIF($P1881,INT($B1881),"m")+(INT($B1881)-EDATE($P1881,DATEDIF($P1881,INT($B1881),"m")))/(EDATE($P1881,DATEDIF($P1881,INT($B1881),"m")+1)-EDATE($P1881,DATEDIF($P1881,INT($B1881),"m"))))/$R1881,0)*$R1881),$P1881))))),"")))</f>
      </c>
      <c r="M1881" s="223">
        <f>IF(OR($C1881="",N($L1881)=0,N($B1881)=0),"",IF(IF(MOD($L1881,1)=0,INT($B1881),$B1881)&lt;=$L1881,"Đúng hạn","Trễ hạn"))</f>
      </c>
      <c r="N1881" s="225">
        <f>IF($C1881="","",ROW())</f>
      </c>
      <c r="O1881" s="225">
        <f>IF($I1881="Công việc",MATCH($C1881,'Kế hoạch'!$A$6:$A$305,0),"")</f>
      </c>
      <c r="P1881" s="234">
        <f>IF($O1881="","",INDEX('Kế hoạch'!$I$6:$I$305,$O1881))</f>
      </c>
      <c r="Q1881" s="225">
        <f>IF($O1881="","",INDEX('Kế hoạch'!$AJ$6:$AJ$305,$O1881))</f>
      </c>
      <c r="R1881" s="225">
        <f>IF($O1881="","",INDEX('Kế hoạch'!$AK$6:$AK$305,$O1881))</f>
      </c>
    </row>
    <row r="1882">
      <c r="A1882" s="223">
        <f>IF($C1882="","",COUNTIF($C$6:$C1882,"?*"))</f>
      </c>
      <c r="B1882" s="217"/>
      <c r="C1882" s="216"/>
      <c r="D1882" s="240"/>
      <c r="E1882" s="218"/>
      <c r="F1882" s="218"/>
      <c r="G1882" s="218"/>
      <c r="H1882" s="219"/>
      <c r="I1882" s="223">
        <f>IF($C1882="","",IF(ISNUMBER(MATCH($C1882,'Phản ánh'!$A$6:$A$505,0)),"Phản ánh",IF(ISNUMBER(MATCH($C1882,'Kế hoạch'!$A$6:$A$305,0)),"Công việc","Mã chưa có")))</f>
      </c>
      <c r="J1882" s="221">
        <f>IF($I1882="Phản ánh",INDEX('Phản ánh'!$C$6:$C$505,MATCH($C1882,'Phản ánh'!$A$6:$A$505,0)),IF($I1882="Công việc",INDEX('Kế hoạch'!$C$6:$C$305,$O1882),""))</f>
      </c>
      <c r="K1882" s="221">
        <f>IF($I1882="Phản ánh",INDEX('Phản ánh'!$K$6:$K$505,MATCH($C1882,'Phản ánh'!$A$6:$A$505,0))&amp;"",IF($I1882="Công việc",INDEX('Kế hoạch'!$N$6:$N$305,$O1882)&amp;"",""))</f>
      </c>
      <c r="L1882" s="220">
        <f>IF(OR($C1882="",N($B1882)=0),"",IF(AND($I1882="Phản ánh",$E1882="Đã xử lý"),INDEX('Phản ánh'!$U$6:$U$505,MATCH($C1882,'Phản ánh'!$A$6:$A$505,0)),IF(AND($I1882="Công việc",OR($E1882="Hoàn thành",$E1882="Hoàn thành kỳ")),IF(INDEX('Kế hoạch'!$B$6:$B$305,$O1882)="Đột xuất",INDEX('Kế hoạch'!$AY$6:$AY$305,$O1882),IF(N($P1882)=0,"",IF(INT($B1882)&lt;$P1882,$P1882,IF($Q1882&gt;0,$P1882+ROUND((INT($B1882)-$P1882)/$Q1882,0)*$Q1882,IF($R1882&gt;0,EDATE($P1882,ROUND((DATEDIF($P1882,INT($B1882),"m")+(INT($B1882)-EDATE($P1882,DATEDIF($P1882,INT($B1882),"m")))/(EDATE($P1882,DATEDIF($P1882,INT($B1882),"m")+1)-EDATE($P1882,DATEDIF($P1882,INT($B1882),"m"))))/$R1882,0)*$R1882),$P1882))))),"")))</f>
      </c>
      <c r="M1882" s="223">
        <f>IF(OR($C1882="",N($L1882)=0,N($B1882)=0),"",IF(IF(MOD($L1882,1)=0,INT($B1882),$B1882)&lt;=$L1882,"Đúng hạn","Trễ hạn"))</f>
      </c>
      <c r="N1882" s="225">
        <f>IF($C1882="","",ROW())</f>
      </c>
      <c r="O1882" s="225">
        <f>IF($I1882="Công việc",MATCH($C1882,'Kế hoạch'!$A$6:$A$305,0),"")</f>
      </c>
      <c r="P1882" s="234">
        <f>IF($O1882="","",INDEX('Kế hoạch'!$I$6:$I$305,$O1882))</f>
      </c>
      <c r="Q1882" s="225">
        <f>IF($O1882="","",INDEX('Kế hoạch'!$AJ$6:$AJ$305,$O1882))</f>
      </c>
      <c r="R1882" s="225">
        <f>IF($O1882="","",INDEX('Kế hoạch'!$AK$6:$AK$305,$O1882))</f>
      </c>
    </row>
    <row r="1883">
      <c r="A1883" s="223">
        <f>IF($C1883="","",COUNTIF($C$6:$C1883,"?*"))</f>
      </c>
      <c r="B1883" s="217"/>
      <c r="C1883" s="216"/>
      <c r="D1883" s="240"/>
      <c r="E1883" s="218"/>
      <c r="F1883" s="218"/>
      <c r="G1883" s="218"/>
      <c r="H1883" s="219"/>
      <c r="I1883" s="223">
        <f>IF($C1883="","",IF(ISNUMBER(MATCH($C1883,'Phản ánh'!$A$6:$A$505,0)),"Phản ánh",IF(ISNUMBER(MATCH($C1883,'Kế hoạch'!$A$6:$A$305,0)),"Công việc","Mã chưa có")))</f>
      </c>
      <c r="J1883" s="221">
        <f>IF($I1883="Phản ánh",INDEX('Phản ánh'!$C$6:$C$505,MATCH($C1883,'Phản ánh'!$A$6:$A$505,0)),IF($I1883="Công việc",INDEX('Kế hoạch'!$C$6:$C$305,$O1883),""))</f>
      </c>
      <c r="K1883" s="221">
        <f>IF($I1883="Phản ánh",INDEX('Phản ánh'!$K$6:$K$505,MATCH($C1883,'Phản ánh'!$A$6:$A$505,0))&amp;"",IF($I1883="Công việc",INDEX('Kế hoạch'!$N$6:$N$305,$O1883)&amp;"",""))</f>
      </c>
      <c r="L1883" s="220">
        <f>IF(OR($C1883="",N($B1883)=0),"",IF(AND($I1883="Phản ánh",$E1883="Đã xử lý"),INDEX('Phản ánh'!$U$6:$U$505,MATCH($C1883,'Phản ánh'!$A$6:$A$505,0)),IF(AND($I1883="Công việc",OR($E1883="Hoàn thành",$E1883="Hoàn thành kỳ")),IF(INDEX('Kế hoạch'!$B$6:$B$305,$O1883)="Đột xuất",INDEX('Kế hoạch'!$AY$6:$AY$305,$O1883),IF(N($P1883)=0,"",IF(INT($B1883)&lt;$P1883,$P1883,IF($Q1883&gt;0,$P1883+ROUND((INT($B1883)-$P1883)/$Q1883,0)*$Q1883,IF($R1883&gt;0,EDATE($P1883,ROUND((DATEDIF($P1883,INT($B1883),"m")+(INT($B1883)-EDATE($P1883,DATEDIF($P1883,INT($B1883),"m")))/(EDATE($P1883,DATEDIF($P1883,INT($B1883),"m")+1)-EDATE($P1883,DATEDIF($P1883,INT($B1883),"m"))))/$R1883,0)*$R1883),$P1883))))),"")))</f>
      </c>
      <c r="M1883" s="223">
        <f>IF(OR($C1883="",N($L1883)=0,N($B1883)=0),"",IF(IF(MOD($L1883,1)=0,INT($B1883),$B1883)&lt;=$L1883,"Đúng hạn","Trễ hạn"))</f>
      </c>
      <c r="N1883" s="225">
        <f>IF($C1883="","",ROW())</f>
      </c>
      <c r="O1883" s="225">
        <f>IF($I1883="Công việc",MATCH($C1883,'Kế hoạch'!$A$6:$A$305,0),"")</f>
      </c>
      <c r="P1883" s="234">
        <f>IF($O1883="","",INDEX('Kế hoạch'!$I$6:$I$305,$O1883))</f>
      </c>
      <c r="Q1883" s="225">
        <f>IF($O1883="","",INDEX('Kế hoạch'!$AJ$6:$AJ$305,$O1883))</f>
      </c>
      <c r="R1883" s="225">
        <f>IF($O1883="","",INDEX('Kế hoạch'!$AK$6:$AK$305,$O1883))</f>
      </c>
    </row>
    <row r="1884">
      <c r="A1884" s="223">
        <f>IF($C1884="","",COUNTIF($C$6:$C1884,"?*"))</f>
      </c>
      <c r="B1884" s="217"/>
      <c r="C1884" s="216"/>
      <c r="D1884" s="240"/>
      <c r="E1884" s="218"/>
      <c r="F1884" s="218"/>
      <c r="G1884" s="218"/>
      <c r="H1884" s="219"/>
      <c r="I1884" s="223">
        <f>IF($C1884="","",IF(ISNUMBER(MATCH($C1884,'Phản ánh'!$A$6:$A$505,0)),"Phản ánh",IF(ISNUMBER(MATCH($C1884,'Kế hoạch'!$A$6:$A$305,0)),"Công việc","Mã chưa có")))</f>
      </c>
      <c r="J1884" s="221">
        <f>IF($I1884="Phản ánh",INDEX('Phản ánh'!$C$6:$C$505,MATCH($C1884,'Phản ánh'!$A$6:$A$505,0)),IF($I1884="Công việc",INDEX('Kế hoạch'!$C$6:$C$305,$O1884),""))</f>
      </c>
      <c r="K1884" s="221">
        <f>IF($I1884="Phản ánh",INDEX('Phản ánh'!$K$6:$K$505,MATCH($C1884,'Phản ánh'!$A$6:$A$505,0))&amp;"",IF($I1884="Công việc",INDEX('Kế hoạch'!$N$6:$N$305,$O1884)&amp;"",""))</f>
      </c>
      <c r="L1884" s="220">
        <f>IF(OR($C1884="",N($B1884)=0),"",IF(AND($I1884="Phản ánh",$E1884="Đã xử lý"),INDEX('Phản ánh'!$U$6:$U$505,MATCH($C1884,'Phản ánh'!$A$6:$A$505,0)),IF(AND($I1884="Công việc",OR($E1884="Hoàn thành",$E1884="Hoàn thành kỳ")),IF(INDEX('Kế hoạch'!$B$6:$B$305,$O1884)="Đột xuất",INDEX('Kế hoạch'!$AY$6:$AY$305,$O1884),IF(N($P1884)=0,"",IF(INT($B1884)&lt;$P1884,$P1884,IF($Q1884&gt;0,$P1884+ROUND((INT($B1884)-$P1884)/$Q1884,0)*$Q1884,IF($R1884&gt;0,EDATE($P1884,ROUND((DATEDIF($P1884,INT($B1884),"m")+(INT($B1884)-EDATE($P1884,DATEDIF($P1884,INT($B1884),"m")))/(EDATE($P1884,DATEDIF($P1884,INT($B1884),"m")+1)-EDATE($P1884,DATEDIF($P1884,INT($B1884),"m"))))/$R1884,0)*$R1884),$P1884))))),"")))</f>
      </c>
      <c r="M1884" s="223">
        <f>IF(OR($C1884="",N($L1884)=0,N($B1884)=0),"",IF(IF(MOD($L1884,1)=0,INT($B1884),$B1884)&lt;=$L1884,"Đúng hạn","Trễ hạn"))</f>
      </c>
      <c r="N1884" s="225">
        <f>IF($C1884="","",ROW())</f>
      </c>
      <c r="O1884" s="225">
        <f>IF($I1884="Công việc",MATCH($C1884,'Kế hoạch'!$A$6:$A$305,0),"")</f>
      </c>
      <c r="P1884" s="234">
        <f>IF($O1884="","",INDEX('Kế hoạch'!$I$6:$I$305,$O1884))</f>
      </c>
      <c r="Q1884" s="225">
        <f>IF($O1884="","",INDEX('Kế hoạch'!$AJ$6:$AJ$305,$O1884))</f>
      </c>
      <c r="R1884" s="225">
        <f>IF($O1884="","",INDEX('Kế hoạch'!$AK$6:$AK$305,$O1884))</f>
      </c>
    </row>
    <row r="1885">
      <c r="A1885" s="223">
        <f>IF($C1885="","",COUNTIF($C$6:$C1885,"?*"))</f>
      </c>
      <c r="B1885" s="217"/>
      <c r="C1885" s="216"/>
      <c r="D1885" s="240"/>
      <c r="E1885" s="218"/>
      <c r="F1885" s="218"/>
      <c r="G1885" s="218"/>
      <c r="H1885" s="219"/>
      <c r="I1885" s="223">
        <f>IF($C1885="","",IF(ISNUMBER(MATCH($C1885,'Phản ánh'!$A$6:$A$505,0)),"Phản ánh",IF(ISNUMBER(MATCH($C1885,'Kế hoạch'!$A$6:$A$305,0)),"Công việc","Mã chưa có")))</f>
      </c>
      <c r="J1885" s="221">
        <f>IF($I1885="Phản ánh",INDEX('Phản ánh'!$C$6:$C$505,MATCH($C1885,'Phản ánh'!$A$6:$A$505,0)),IF($I1885="Công việc",INDEX('Kế hoạch'!$C$6:$C$305,$O1885),""))</f>
      </c>
      <c r="K1885" s="221">
        <f>IF($I1885="Phản ánh",INDEX('Phản ánh'!$K$6:$K$505,MATCH($C1885,'Phản ánh'!$A$6:$A$505,0))&amp;"",IF($I1885="Công việc",INDEX('Kế hoạch'!$N$6:$N$305,$O1885)&amp;"",""))</f>
      </c>
      <c r="L1885" s="220">
        <f>IF(OR($C1885="",N($B1885)=0),"",IF(AND($I1885="Phản ánh",$E1885="Đã xử lý"),INDEX('Phản ánh'!$U$6:$U$505,MATCH($C1885,'Phản ánh'!$A$6:$A$505,0)),IF(AND($I1885="Công việc",OR($E1885="Hoàn thành",$E1885="Hoàn thành kỳ")),IF(INDEX('Kế hoạch'!$B$6:$B$305,$O1885)="Đột xuất",INDEX('Kế hoạch'!$AY$6:$AY$305,$O1885),IF(N($P1885)=0,"",IF(INT($B1885)&lt;$P1885,$P1885,IF($Q1885&gt;0,$P1885+ROUND((INT($B1885)-$P1885)/$Q1885,0)*$Q1885,IF($R1885&gt;0,EDATE($P1885,ROUND((DATEDIF($P1885,INT($B1885),"m")+(INT($B1885)-EDATE($P1885,DATEDIF($P1885,INT($B1885),"m")))/(EDATE($P1885,DATEDIF($P1885,INT($B1885),"m")+1)-EDATE($P1885,DATEDIF($P1885,INT($B1885),"m"))))/$R1885,0)*$R1885),$P1885))))),"")))</f>
      </c>
      <c r="M1885" s="223">
        <f>IF(OR($C1885="",N($L1885)=0,N($B1885)=0),"",IF(IF(MOD($L1885,1)=0,INT($B1885),$B1885)&lt;=$L1885,"Đúng hạn","Trễ hạn"))</f>
      </c>
      <c r="N1885" s="225">
        <f>IF($C1885="","",ROW())</f>
      </c>
      <c r="O1885" s="225">
        <f>IF($I1885="Công việc",MATCH($C1885,'Kế hoạch'!$A$6:$A$305,0),"")</f>
      </c>
      <c r="P1885" s="234">
        <f>IF($O1885="","",INDEX('Kế hoạch'!$I$6:$I$305,$O1885))</f>
      </c>
      <c r="Q1885" s="225">
        <f>IF($O1885="","",INDEX('Kế hoạch'!$AJ$6:$AJ$305,$O1885))</f>
      </c>
      <c r="R1885" s="225">
        <f>IF($O1885="","",INDEX('Kế hoạch'!$AK$6:$AK$305,$O1885))</f>
      </c>
    </row>
    <row r="1886">
      <c r="A1886" s="223">
        <f>IF($C1886="","",COUNTIF($C$6:$C1886,"?*"))</f>
      </c>
      <c r="B1886" s="217"/>
      <c r="C1886" s="216"/>
      <c r="D1886" s="240"/>
      <c r="E1886" s="218"/>
      <c r="F1886" s="218"/>
      <c r="G1886" s="218"/>
      <c r="H1886" s="219"/>
      <c r="I1886" s="223">
        <f>IF($C1886="","",IF(ISNUMBER(MATCH($C1886,'Phản ánh'!$A$6:$A$505,0)),"Phản ánh",IF(ISNUMBER(MATCH($C1886,'Kế hoạch'!$A$6:$A$305,0)),"Công việc","Mã chưa có")))</f>
      </c>
      <c r="J1886" s="221">
        <f>IF($I1886="Phản ánh",INDEX('Phản ánh'!$C$6:$C$505,MATCH($C1886,'Phản ánh'!$A$6:$A$505,0)),IF($I1886="Công việc",INDEX('Kế hoạch'!$C$6:$C$305,$O1886),""))</f>
      </c>
      <c r="K1886" s="221">
        <f>IF($I1886="Phản ánh",INDEX('Phản ánh'!$K$6:$K$505,MATCH($C1886,'Phản ánh'!$A$6:$A$505,0))&amp;"",IF($I1886="Công việc",INDEX('Kế hoạch'!$N$6:$N$305,$O1886)&amp;"",""))</f>
      </c>
      <c r="L1886" s="220">
        <f>IF(OR($C1886="",N($B1886)=0),"",IF(AND($I1886="Phản ánh",$E1886="Đã xử lý"),INDEX('Phản ánh'!$U$6:$U$505,MATCH($C1886,'Phản ánh'!$A$6:$A$505,0)),IF(AND($I1886="Công việc",OR($E1886="Hoàn thành",$E1886="Hoàn thành kỳ")),IF(INDEX('Kế hoạch'!$B$6:$B$305,$O1886)="Đột xuất",INDEX('Kế hoạch'!$AY$6:$AY$305,$O1886),IF(N($P1886)=0,"",IF(INT($B1886)&lt;$P1886,$P1886,IF($Q1886&gt;0,$P1886+ROUND((INT($B1886)-$P1886)/$Q1886,0)*$Q1886,IF($R1886&gt;0,EDATE($P1886,ROUND((DATEDIF($P1886,INT($B1886),"m")+(INT($B1886)-EDATE($P1886,DATEDIF($P1886,INT($B1886),"m")))/(EDATE($P1886,DATEDIF($P1886,INT($B1886),"m")+1)-EDATE($P1886,DATEDIF($P1886,INT($B1886),"m"))))/$R1886,0)*$R1886),$P1886))))),"")))</f>
      </c>
      <c r="M1886" s="223">
        <f>IF(OR($C1886="",N($L1886)=0,N($B1886)=0),"",IF(IF(MOD($L1886,1)=0,INT($B1886),$B1886)&lt;=$L1886,"Đúng hạn","Trễ hạn"))</f>
      </c>
      <c r="N1886" s="225">
        <f>IF($C1886="","",ROW())</f>
      </c>
      <c r="O1886" s="225">
        <f>IF($I1886="Công việc",MATCH($C1886,'Kế hoạch'!$A$6:$A$305,0),"")</f>
      </c>
      <c r="P1886" s="234">
        <f>IF($O1886="","",INDEX('Kế hoạch'!$I$6:$I$305,$O1886))</f>
      </c>
      <c r="Q1886" s="225">
        <f>IF($O1886="","",INDEX('Kế hoạch'!$AJ$6:$AJ$305,$O1886))</f>
      </c>
      <c r="R1886" s="225">
        <f>IF($O1886="","",INDEX('Kế hoạch'!$AK$6:$AK$305,$O1886))</f>
      </c>
    </row>
    <row r="1887">
      <c r="A1887" s="223">
        <f>IF($C1887="","",COUNTIF($C$6:$C1887,"?*"))</f>
      </c>
      <c r="B1887" s="217"/>
      <c r="C1887" s="216"/>
      <c r="D1887" s="240"/>
      <c r="E1887" s="218"/>
      <c r="F1887" s="218"/>
      <c r="G1887" s="218"/>
      <c r="H1887" s="219"/>
      <c r="I1887" s="223">
        <f>IF($C1887="","",IF(ISNUMBER(MATCH($C1887,'Phản ánh'!$A$6:$A$505,0)),"Phản ánh",IF(ISNUMBER(MATCH($C1887,'Kế hoạch'!$A$6:$A$305,0)),"Công việc","Mã chưa có")))</f>
      </c>
      <c r="J1887" s="221">
        <f>IF($I1887="Phản ánh",INDEX('Phản ánh'!$C$6:$C$505,MATCH($C1887,'Phản ánh'!$A$6:$A$505,0)),IF($I1887="Công việc",INDEX('Kế hoạch'!$C$6:$C$305,$O1887),""))</f>
      </c>
      <c r="K1887" s="221">
        <f>IF($I1887="Phản ánh",INDEX('Phản ánh'!$K$6:$K$505,MATCH($C1887,'Phản ánh'!$A$6:$A$505,0))&amp;"",IF($I1887="Công việc",INDEX('Kế hoạch'!$N$6:$N$305,$O1887)&amp;"",""))</f>
      </c>
      <c r="L1887" s="220">
        <f>IF(OR($C1887="",N($B1887)=0),"",IF(AND($I1887="Phản ánh",$E1887="Đã xử lý"),INDEX('Phản ánh'!$U$6:$U$505,MATCH($C1887,'Phản ánh'!$A$6:$A$505,0)),IF(AND($I1887="Công việc",OR($E1887="Hoàn thành",$E1887="Hoàn thành kỳ")),IF(INDEX('Kế hoạch'!$B$6:$B$305,$O1887)="Đột xuất",INDEX('Kế hoạch'!$AY$6:$AY$305,$O1887),IF(N($P1887)=0,"",IF(INT($B1887)&lt;$P1887,$P1887,IF($Q1887&gt;0,$P1887+ROUND((INT($B1887)-$P1887)/$Q1887,0)*$Q1887,IF($R1887&gt;0,EDATE($P1887,ROUND((DATEDIF($P1887,INT($B1887),"m")+(INT($B1887)-EDATE($P1887,DATEDIF($P1887,INT($B1887),"m")))/(EDATE($P1887,DATEDIF($P1887,INT($B1887),"m")+1)-EDATE($P1887,DATEDIF($P1887,INT($B1887),"m"))))/$R1887,0)*$R1887),$P1887))))),"")))</f>
      </c>
      <c r="M1887" s="223">
        <f>IF(OR($C1887="",N($L1887)=0,N($B1887)=0),"",IF(IF(MOD($L1887,1)=0,INT($B1887),$B1887)&lt;=$L1887,"Đúng hạn","Trễ hạn"))</f>
      </c>
      <c r="N1887" s="225">
        <f>IF($C1887="","",ROW())</f>
      </c>
      <c r="O1887" s="225">
        <f>IF($I1887="Công việc",MATCH($C1887,'Kế hoạch'!$A$6:$A$305,0),"")</f>
      </c>
      <c r="P1887" s="234">
        <f>IF($O1887="","",INDEX('Kế hoạch'!$I$6:$I$305,$O1887))</f>
      </c>
      <c r="Q1887" s="225">
        <f>IF($O1887="","",INDEX('Kế hoạch'!$AJ$6:$AJ$305,$O1887))</f>
      </c>
      <c r="R1887" s="225">
        <f>IF($O1887="","",INDEX('Kế hoạch'!$AK$6:$AK$305,$O1887))</f>
      </c>
    </row>
    <row r="1888">
      <c r="A1888" s="223">
        <f>IF($C1888="","",COUNTIF($C$6:$C1888,"?*"))</f>
      </c>
      <c r="B1888" s="217"/>
      <c r="C1888" s="216"/>
      <c r="D1888" s="240"/>
      <c r="E1888" s="218"/>
      <c r="F1888" s="218"/>
      <c r="G1888" s="218"/>
      <c r="H1888" s="219"/>
      <c r="I1888" s="223">
        <f>IF($C1888="","",IF(ISNUMBER(MATCH($C1888,'Phản ánh'!$A$6:$A$505,0)),"Phản ánh",IF(ISNUMBER(MATCH($C1888,'Kế hoạch'!$A$6:$A$305,0)),"Công việc","Mã chưa có")))</f>
      </c>
      <c r="J1888" s="221">
        <f>IF($I1888="Phản ánh",INDEX('Phản ánh'!$C$6:$C$505,MATCH($C1888,'Phản ánh'!$A$6:$A$505,0)),IF($I1888="Công việc",INDEX('Kế hoạch'!$C$6:$C$305,$O1888),""))</f>
      </c>
      <c r="K1888" s="221">
        <f>IF($I1888="Phản ánh",INDEX('Phản ánh'!$K$6:$K$505,MATCH($C1888,'Phản ánh'!$A$6:$A$505,0))&amp;"",IF($I1888="Công việc",INDEX('Kế hoạch'!$N$6:$N$305,$O1888)&amp;"",""))</f>
      </c>
      <c r="L1888" s="220">
        <f>IF(OR($C1888="",N($B1888)=0),"",IF(AND($I1888="Phản ánh",$E1888="Đã xử lý"),INDEX('Phản ánh'!$U$6:$U$505,MATCH($C1888,'Phản ánh'!$A$6:$A$505,0)),IF(AND($I1888="Công việc",OR($E1888="Hoàn thành",$E1888="Hoàn thành kỳ")),IF(INDEX('Kế hoạch'!$B$6:$B$305,$O1888)="Đột xuất",INDEX('Kế hoạch'!$AY$6:$AY$305,$O1888),IF(N($P1888)=0,"",IF(INT($B1888)&lt;$P1888,$P1888,IF($Q1888&gt;0,$P1888+ROUND((INT($B1888)-$P1888)/$Q1888,0)*$Q1888,IF($R1888&gt;0,EDATE($P1888,ROUND((DATEDIF($P1888,INT($B1888),"m")+(INT($B1888)-EDATE($P1888,DATEDIF($P1888,INT($B1888),"m")))/(EDATE($P1888,DATEDIF($P1888,INT($B1888),"m")+1)-EDATE($P1888,DATEDIF($P1888,INT($B1888),"m"))))/$R1888,0)*$R1888),$P1888))))),"")))</f>
      </c>
      <c r="M1888" s="223">
        <f>IF(OR($C1888="",N($L1888)=0,N($B1888)=0),"",IF(IF(MOD($L1888,1)=0,INT($B1888),$B1888)&lt;=$L1888,"Đúng hạn","Trễ hạn"))</f>
      </c>
      <c r="N1888" s="225">
        <f>IF($C1888="","",ROW())</f>
      </c>
      <c r="O1888" s="225">
        <f>IF($I1888="Công việc",MATCH($C1888,'Kế hoạch'!$A$6:$A$305,0),"")</f>
      </c>
      <c r="P1888" s="234">
        <f>IF($O1888="","",INDEX('Kế hoạch'!$I$6:$I$305,$O1888))</f>
      </c>
      <c r="Q1888" s="225">
        <f>IF($O1888="","",INDEX('Kế hoạch'!$AJ$6:$AJ$305,$O1888))</f>
      </c>
      <c r="R1888" s="225">
        <f>IF($O1888="","",INDEX('Kế hoạch'!$AK$6:$AK$305,$O1888))</f>
      </c>
    </row>
    <row r="1889">
      <c r="A1889" s="223">
        <f>IF($C1889="","",COUNTIF($C$6:$C1889,"?*"))</f>
      </c>
      <c r="B1889" s="217"/>
      <c r="C1889" s="216"/>
      <c r="D1889" s="240"/>
      <c r="E1889" s="218"/>
      <c r="F1889" s="218"/>
      <c r="G1889" s="218"/>
      <c r="H1889" s="219"/>
      <c r="I1889" s="223">
        <f>IF($C1889="","",IF(ISNUMBER(MATCH($C1889,'Phản ánh'!$A$6:$A$505,0)),"Phản ánh",IF(ISNUMBER(MATCH($C1889,'Kế hoạch'!$A$6:$A$305,0)),"Công việc","Mã chưa có")))</f>
      </c>
      <c r="J1889" s="221">
        <f>IF($I1889="Phản ánh",INDEX('Phản ánh'!$C$6:$C$505,MATCH($C1889,'Phản ánh'!$A$6:$A$505,0)),IF($I1889="Công việc",INDEX('Kế hoạch'!$C$6:$C$305,$O1889),""))</f>
      </c>
      <c r="K1889" s="221">
        <f>IF($I1889="Phản ánh",INDEX('Phản ánh'!$K$6:$K$505,MATCH($C1889,'Phản ánh'!$A$6:$A$505,0))&amp;"",IF($I1889="Công việc",INDEX('Kế hoạch'!$N$6:$N$305,$O1889)&amp;"",""))</f>
      </c>
      <c r="L1889" s="220">
        <f>IF(OR($C1889="",N($B1889)=0),"",IF(AND($I1889="Phản ánh",$E1889="Đã xử lý"),INDEX('Phản ánh'!$U$6:$U$505,MATCH($C1889,'Phản ánh'!$A$6:$A$505,0)),IF(AND($I1889="Công việc",OR($E1889="Hoàn thành",$E1889="Hoàn thành kỳ")),IF(INDEX('Kế hoạch'!$B$6:$B$305,$O1889)="Đột xuất",INDEX('Kế hoạch'!$AY$6:$AY$305,$O1889),IF(N($P1889)=0,"",IF(INT($B1889)&lt;$P1889,$P1889,IF($Q1889&gt;0,$P1889+ROUND((INT($B1889)-$P1889)/$Q1889,0)*$Q1889,IF($R1889&gt;0,EDATE($P1889,ROUND((DATEDIF($P1889,INT($B1889),"m")+(INT($B1889)-EDATE($P1889,DATEDIF($P1889,INT($B1889),"m")))/(EDATE($P1889,DATEDIF($P1889,INT($B1889),"m")+1)-EDATE($P1889,DATEDIF($P1889,INT($B1889),"m"))))/$R1889,0)*$R1889),$P1889))))),"")))</f>
      </c>
      <c r="M1889" s="223">
        <f>IF(OR($C1889="",N($L1889)=0,N($B1889)=0),"",IF(IF(MOD($L1889,1)=0,INT($B1889),$B1889)&lt;=$L1889,"Đúng hạn","Trễ hạn"))</f>
      </c>
      <c r="N1889" s="225">
        <f>IF($C1889="","",ROW())</f>
      </c>
      <c r="O1889" s="225">
        <f>IF($I1889="Công việc",MATCH($C1889,'Kế hoạch'!$A$6:$A$305,0),"")</f>
      </c>
      <c r="P1889" s="234">
        <f>IF($O1889="","",INDEX('Kế hoạch'!$I$6:$I$305,$O1889))</f>
      </c>
      <c r="Q1889" s="225">
        <f>IF($O1889="","",INDEX('Kế hoạch'!$AJ$6:$AJ$305,$O1889))</f>
      </c>
      <c r="R1889" s="225">
        <f>IF($O1889="","",INDEX('Kế hoạch'!$AK$6:$AK$305,$O1889))</f>
      </c>
    </row>
    <row r="1890">
      <c r="A1890" s="223">
        <f>IF($C1890="","",COUNTIF($C$6:$C1890,"?*"))</f>
      </c>
      <c r="B1890" s="217"/>
      <c r="C1890" s="216"/>
      <c r="D1890" s="240"/>
      <c r="E1890" s="218"/>
      <c r="F1890" s="218"/>
      <c r="G1890" s="218"/>
      <c r="H1890" s="219"/>
      <c r="I1890" s="223">
        <f>IF($C1890="","",IF(ISNUMBER(MATCH($C1890,'Phản ánh'!$A$6:$A$505,0)),"Phản ánh",IF(ISNUMBER(MATCH($C1890,'Kế hoạch'!$A$6:$A$305,0)),"Công việc","Mã chưa có")))</f>
      </c>
      <c r="J1890" s="221">
        <f>IF($I1890="Phản ánh",INDEX('Phản ánh'!$C$6:$C$505,MATCH($C1890,'Phản ánh'!$A$6:$A$505,0)),IF($I1890="Công việc",INDEX('Kế hoạch'!$C$6:$C$305,$O1890),""))</f>
      </c>
      <c r="K1890" s="221">
        <f>IF($I1890="Phản ánh",INDEX('Phản ánh'!$K$6:$K$505,MATCH($C1890,'Phản ánh'!$A$6:$A$505,0))&amp;"",IF($I1890="Công việc",INDEX('Kế hoạch'!$N$6:$N$305,$O1890)&amp;"",""))</f>
      </c>
      <c r="L1890" s="220">
        <f>IF(OR($C1890="",N($B1890)=0),"",IF(AND($I1890="Phản ánh",$E1890="Đã xử lý"),INDEX('Phản ánh'!$U$6:$U$505,MATCH($C1890,'Phản ánh'!$A$6:$A$505,0)),IF(AND($I1890="Công việc",OR($E1890="Hoàn thành",$E1890="Hoàn thành kỳ")),IF(INDEX('Kế hoạch'!$B$6:$B$305,$O1890)="Đột xuất",INDEX('Kế hoạch'!$AY$6:$AY$305,$O1890),IF(N($P1890)=0,"",IF(INT($B1890)&lt;$P1890,$P1890,IF($Q1890&gt;0,$P1890+ROUND((INT($B1890)-$P1890)/$Q1890,0)*$Q1890,IF($R1890&gt;0,EDATE($P1890,ROUND((DATEDIF($P1890,INT($B1890),"m")+(INT($B1890)-EDATE($P1890,DATEDIF($P1890,INT($B1890),"m")))/(EDATE($P1890,DATEDIF($P1890,INT($B1890),"m")+1)-EDATE($P1890,DATEDIF($P1890,INT($B1890),"m"))))/$R1890,0)*$R1890),$P1890))))),"")))</f>
      </c>
      <c r="M1890" s="223">
        <f>IF(OR($C1890="",N($L1890)=0,N($B1890)=0),"",IF(IF(MOD($L1890,1)=0,INT($B1890),$B1890)&lt;=$L1890,"Đúng hạn","Trễ hạn"))</f>
      </c>
      <c r="N1890" s="225">
        <f>IF($C1890="","",ROW())</f>
      </c>
      <c r="O1890" s="225">
        <f>IF($I1890="Công việc",MATCH($C1890,'Kế hoạch'!$A$6:$A$305,0),"")</f>
      </c>
      <c r="P1890" s="234">
        <f>IF($O1890="","",INDEX('Kế hoạch'!$I$6:$I$305,$O1890))</f>
      </c>
      <c r="Q1890" s="225">
        <f>IF($O1890="","",INDEX('Kế hoạch'!$AJ$6:$AJ$305,$O1890))</f>
      </c>
      <c r="R1890" s="225">
        <f>IF($O1890="","",INDEX('Kế hoạch'!$AK$6:$AK$305,$O1890))</f>
      </c>
    </row>
    <row r="1891">
      <c r="A1891" s="223">
        <f>IF($C1891="","",COUNTIF($C$6:$C1891,"?*"))</f>
      </c>
      <c r="B1891" s="217"/>
      <c r="C1891" s="216"/>
      <c r="D1891" s="240"/>
      <c r="E1891" s="218"/>
      <c r="F1891" s="218"/>
      <c r="G1891" s="218"/>
      <c r="H1891" s="219"/>
      <c r="I1891" s="223">
        <f>IF($C1891="","",IF(ISNUMBER(MATCH($C1891,'Phản ánh'!$A$6:$A$505,0)),"Phản ánh",IF(ISNUMBER(MATCH($C1891,'Kế hoạch'!$A$6:$A$305,0)),"Công việc","Mã chưa có")))</f>
      </c>
      <c r="J1891" s="221">
        <f>IF($I1891="Phản ánh",INDEX('Phản ánh'!$C$6:$C$505,MATCH($C1891,'Phản ánh'!$A$6:$A$505,0)),IF($I1891="Công việc",INDEX('Kế hoạch'!$C$6:$C$305,$O1891),""))</f>
      </c>
      <c r="K1891" s="221">
        <f>IF($I1891="Phản ánh",INDEX('Phản ánh'!$K$6:$K$505,MATCH($C1891,'Phản ánh'!$A$6:$A$505,0))&amp;"",IF($I1891="Công việc",INDEX('Kế hoạch'!$N$6:$N$305,$O1891)&amp;"",""))</f>
      </c>
      <c r="L1891" s="220">
        <f>IF(OR($C1891="",N($B1891)=0),"",IF(AND($I1891="Phản ánh",$E1891="Đã xử lý"),INDEX('Phản ánh'!$U$6:$U$505,MATCH($C1891,'Phản ánh'!$A$6:$A$505,0)),IF(AND($I1891="Công việc",OR($E1891="Hoàn thành",$E1891="Hoàn thành kỳ")),IF(INDEX('Kế hoạch'!$B$6:$B$305,$O1891)="Đột xuất",INDEX('Kế hoạch'!$AY$6:$AY$305,$O1891),IF(N($P1891)=0,"",IF(INT($B1891)&lt;$P1891,$P1891,IF($Q1891&gt;0,$P1891+ROUND((INT($B1891)-$P1891)/$Q1891,0)*$Q1891,IF($R1891&gt;0,EDATE($P1891,ROUND((DATEDIF($P1891,INT($B1891),"m")+(INT($B1891)-EDATE($P1891,DATEDIF($P1891,INT($B1891),"m")))/(EDATE($P1891,DATEDIF($P1891,INT($B1891),"m")+1)-EDATE($P1891,DATEDIF($P1891,INT($B1891),"m"))))/$R1891,0)*$R1891),$P1891))))),"")))</f>
      </c>
      <c r="M1891" s="223">
        <f>IF(OR($C1891="",N($L1891)=0,N($B1891)=0),"",IF(IF(MOD($L1891,1)=0,INT($B1891),$B1891)&lt;=$L1891,"Đúng hạn","Trễ hạn"))</f>
      </c>
      <c r="N1891" s="225">
        <f>IF($C1891="","",ROW())</f>
      </c>
      <c r="O1891" s="225">
        <f>IF($I1891="Công việc",MATCH($C1891,'Kế hoạch'!$A$6:$A$305,0),"")</f>
      </c>
      <c r="P1891" s="234">
        <f>IF($O1891="","",INDEX('Kế hoạch'!$I$6:$I$305,$O1891))</f>
      </c>
      <c r="Q1891" s="225">
        <f>IF($O1891="","",INDEX('Kế hoạch'!$AJ$6:$AJ$305,$O1891))</f>
      </c>
      <c r="R1891" s="225">
        <f>IF($O1891="","",INDEX('Kế hoạch'!$AK$6:$AK$305,$O1891))</f>
      </c>
    </row>
    <row r="1892">
      <c r="A1892" s="223">
        <f>IF($C1892="","",COUNTIF($C$6:$C1892,"?*"))</f>
      </c>
      <c r="B1892" s="217"/>
      <c r="C1892" s="216"/>
      <c r="D1892" s="240"/>
      <c r="E1892" s="218"/>
      <c r="F1892" s="218"/>
      <c r="G1892" s="218"/>
      <c r="H1892" s="219"/>
      <c r="I1892" s="223">
        <f>IF($C1892="","",IF(ISNUMBER(MATCH($C1892,'Phản ánh'!$A$6:$A$505,0)),"Phản ánh",IF(ISNUMBER(MATCH($C1892,'Kế hoạch'!$A$6:$A$305,0)),"Công việc","Mã chưa có")))</f>
      </c>
      <c r="J1892" s="221">
        <f>IF($I1892="Phản ánh",INDEX('Phản ánh'!$C$6:$C$505,MATCH($C1892,'Phản ánh'!$A$6:$A$505,0)),IF($I1892="Công việc",INDEX('Kế hoạch'!$C$6:$C$305,$O1892),""))</f>
      </c>
      <c r="K1892" s="221">
        <f>IF($I1892="Phản ánh",INDEX('Phản ánh'!$K$6:$K$505,MATCH($C1892,'Phản ánh'!$A$6:$A$505,0))&amp;"",IF($I1892="Công việc",INDEX('Kế hoạch'!$N$6:$N$305,$O1892)&amp;"",""))</f>
      </c>
      <c r="L1892" s="220">
        <f>IF(OR($C1892="",N($B1892)=0),"",IF(AND($I1892="Phản ánh",$E1892="Đã xử lý"),INDEX('Phản ánh'!$U$6:$U$505,MATCH($C1892,'Phản ánh'!$A$6:$A$505,0)),IF(AND($I1892="Công việc",OR($E1892="Hoàn thành",$E1892="Hoàn thành kỳ")),IF(INDEX('Kế hoạch'!$B$6:$B$305,$O1892)="Đột xuất",INDEX('Kế hoạch'!$AY$6:$AY$305,$O1892),IF(N($P1892)=0,"",IF(INT($B1892)&lt;$P1892,$P1892,IF($Q1892&gt;0,$P1892+ROUND((INT($B1892)-$P1892)/$Q1892,0)*$Q1892,IF($R1892&gt;0,EDATE($P1892,ROUND((DATEDIF($P1892,INT($B1892),"m")+(INT($B1892)-EDATE($P1892,DATEDIF($P1892,INT($B1892),"m")))/(EDATE($P1892,DATEDIF($P1892,INT($B1892),"m")+1)-EDATE($P1892,DATEDIF($P1892,INT($B1892),"m"))))/$R1892,0)*$R1892),$P1892))))),"")))</f>
      </c>
      <c r="M1892" s="223">
        <f>IF(OR($C1892="",N($L1892)=0,N($B1892)=0),"",IF(IF(MOD($L1892,1)=0,INT($B1892),$B1892)&lt;=$L1892,"Đúng hạn","Trễ hạn"))</f>
      </c>
      <c r="N1892" s="225">
        <f>IF($C1892="","",ROW())</f>
      </c>
      <c r="O1892" s="225">
        <f>IF($I1892="Công việc",MATCH($C1892,'Kế hoạch'!$A$6:$A$305,0),"")</f>
      </c>
      <c r="P1892" s="234">
        <f>IF($O1892="","",INDEX('Kế hoạch'!$I$6:$I$305,$O1892))</f>
      </c>
      <c r="Q1892" s="225">
        <f>IF($O1892="","",INDEX('Kế hoạch'!$AJ$6:$AJ$305,$O1892))</f>
      </c>
      <c r="R1892" s="225">
        <f>IF($O1892="","",INDEX('Kế hoạch'!$AK$6:$AK$305,$O1892))</f>
      </c>
    </row>
    <row r="1893">
      <c r="A1893" s="223">
        <f>IF($C1893="","",COUNTIF($C$6:$C1893,"?*"))</f>
      </c>
      <c r="B1893" s="217"/>
      <c r="C1893" s="216"/>
      <c r="D1893" s="240"/>
      <c r="E1893" s="218"/>
      <c r="F1893" s="218"/>
      <c r="G1893" s="218"/>
      <c r="H1893" s="219"/>
      <c r="I1893" s="223">
        <f>IF($C1893="","",IF(ISNUMBER(MATCH($C1893,'Phản ánh'!$A$6:$A$505,0)),"Phản ánh",IF(ISNUMBER(MATCH($C1893,'Kế hoạch'!$A$6:$A$305,0)),"Công việc","Mã chưa có")))</f>
      </c>
      <c r="J1893" s="221">
        <f>IF($I1893="Phản ánh",INDEX('Phản ánh'!$C$6:$C$505,MATCH($C1893,'Phản ánh'!$A$6:$A$505,0)),IF($I1893="Công việc",INDEX('Kế hoạch'!$C$6:$C$305,$O1893),""))</f>
      </c>
      <c r="K1893" s="221">
        <f>IF($I1893="Phản ánh",INDEX('Phản ánh'!$K$6:$K$505,MATCH($C1893,'Phản ánh'!$A$6:$A$505,0))&amp;"",IF($I1893="Công việc",INDEX('Kế hoạch'!$N$6:$N$305,$O1893)&amp;"",""))</f>
      </c>
      <c r="L1893" s="220">
        <f>IF(OR($C1893="",N($B1893)=0),"",IF(AND($I1893="Phản ánh",$E1893="Đã xử lý"),INDEX('Phản ánh'!$U$6:$U$505,MATCH($C1893,'Phản ánh'!$A$6:$A$505,0)),IF(AND($I1893="Công việc",OR($E1893="Hoàn thành",$E1893="Hoàn thành kỳ")),IF(INDEX('Kế hoạch'!$B$6:$B$305,$O1893)="Đột xuất",INDEX('Kế hoạch'!$AY$6:$AY$305,$O1893),IF(N($P1893)=0,"",IF(INT($B1893)&lt;$P1893,$P1893,IF($Q1893&gt;0,$P1893+ROUND((INT($B1893)-$P1893)/$Q1893,0)*$Q1893,IF($R1893&gt;0,EDATE($P1893,ROUND((DATEDIF($P1893,INT($B1893),"m")+(INT($B1893)-EDATE($P1893,DATEDIF($P1893,INT($B1893),"m")))/(EDATE($P1893,DATEDIF($P1893,INT($B1893),"m")+1)-EDATE($P1893,DATEDIF($P1893,INT($B1893),"m"))))/$R1893,0)*$R1893),$P1893))))),"")))</f>
      </c>
      <c r="M1893" s="223">
        <f>IF(OR($C1893="",N($L1893)=0,N($B1893)=0),"",IF(IF(MOD($L1893,1)=0,INT($B1893),$B1893)&lt;=$L1893,"Đúng hạn","Trễ hạn"))</f>
      </c>
      <c r="N1893" s="225">
        <f>IF($C1893="","",ROW())</f>
      </c>
      <c r="O1893" s="225">
        <f>IF($I1893="Công việc",MATCH($C1893,'Kế hoạch'!$A$6:$A$305,0),"")</f>
      </c>
      <c r="P1893" s="234">
        <f>IF($O1893="","",INDEX('Kế hoạch'!$I$6:$I$305,$O1893))</f>
      </c>
      <c r="Q1893" s="225">
        <f>IF($O1893="","",INDEX('Kế hoạch'!$AJ$6:$AJ$305,$O1893))</f>
      </c>
      <c r="R1893" s="225">
        <f>IF($O1893="","",INDEX('Kế hoạch'!$AK$6:$AK$305,$O1893))</f>
      </c>
    </row>
    <row r="1894">
      <c r="A1894" s="223">
        <f>IF($C1894="","",COUNTIF($C$6:$C1894,"?*"))</f>
      </c>
      <c r="B1894" s="217"/>
      <c r="C1894" s="216"/>
      <c r="D1894" s="240"/>
      <c r="E1894" s="218"/>
      <c r="F1894" s="218"/>
      <c r="G1894" s="218"/>
      <c r="H1894" s="219"/>
      <c r="I1894" s="223">
        <f>IF($C1894="","",IF(ISNUMBER(MATCH($C1894,'Phản ánh'!$A$6:$A$505,0)),"Phản ánh",IF(ISNUMBER(MATCH($C1894,'Kế hoạch'!$A$6:$A$305,0)),"Công việc","Mã chưa có")))</f>
      </c>
      <c r="J1894" s="221">
        <f>IF($I1894="Phản ánh",INDEX('Phản ánh'!$C$6:$C$505,MATCH($C1894,'Phản ánh'!$A$6:$A$505,0)),IF($I1894="Công việc",INDEX('Kế hoạch'!$C$6:$C$305,$O1894),""))</f>
      </c>
      <c r="K1894" s="221">
        <f>IF($I1894="Phản ánh",INDEX('Phản ánh'!$K$6:$K$505,MATCH($C1894,'Phản ánh'!$A$6:$A$505,0))&amp;"",IF($I1894="Công việc",INDEX('Kế hoạch'!$N$6:$N$305,$O1894)&amp;"",""))</f>
      </c>
      <c r="L1894" s="220">
        <f>IF(OR($C1894="",N($B1894)=0),"",IF(AND($I1894="Phản ánh",$E1894="Đã xử lý"),INDEX('Phản ánh'!$U$6:$U$505,MATCH($C1894,'Phản ánh'!$A$6:$A$505,0)),IF(AND($I1894="Công việc",OR($E1894="Hoàn thành",$E1894="Hoàn thành kỳ")),IF(INDEX('Kế hoạch'!$B$6:$B$305,$O1894)="Đột xuất",INDEX('Kế hoạch'!$AY$6:$AY$305,$O1894),IF(N($P1894)=0,"",IF(INT($B1894)&lt;$P1894,$P1894,IF($Q1894&gt;0,$P1894+ROUND((INT($B1894)-$P1894)/$Q1894,0)*$Q1894,IF($R1894&gt;0,EDATE($P1894,ROUND((DATEDIF($P1894,INT($B1894),"m")+(INT($B1894)-EDATE($P1894,DATEDIF($P1894,INT($B1894),"m")))/(EDATE($P1894,DATEDIF($P1894,INT($B1894),"m")+1)-EDATE($P1894,DATEDIF($P1894,INT($B1894),"m"))))/$R1894,0)*$R1894),$P1894))))),"")))</f>
      </c>
      <c r="M1894" s="223">
        <f>IF(OR($C1894="",N($L1894)=0,N($B1894)=0),"",IF(IF(MOD($L1894,1)=0,INT($B1894),$B1894)&lt;=$L1894,"Đúng hạn","Trễ hạn"))</f>
      </c>
      <c r="N1894" s="225">
        <f>IF($C1894="","",ROW())</f>
      </c>
      <c r="O1894" s="225">
        <f>IF($I1894="Công việc",MATCH($C1894,'Kế hoạch'!$A$6:$A$305,0),"")</f>
      </c>
      <c r="P1894" s="234">
        <f>IF($O1894="","",INDEX('Kế hoạch'!$I$6:$I$305,$O1894))</f>
      </c>
      <c r="Q1894" s="225">
        <f>IF($O1894="","",INDEX('Kế hoạch'!$AJ$6:$AJ$305,$O1894))</f>
      </c>
      <c r="R1894" s="225">
        <f>IF($O1894="","",INDEX('Kế hoạch'!$AK$6:$AK$305,$O1894))</f>
      </c>
    </row>
    <row r="1895">
      <c r="A1895" s="223">
        <f>IF($C1895="","",COUNTIF($C$6:$C1895,"?*"))</f>
      </c>
      <c r="B1895" s="217"/>
      <c r="C1895" s="216"/>
      <c r="D1895" s="240"/>
      <c r="E1895" s="218"/>
      <c r="F1895" s="218"/>
      <c r="G1895" s="218"/>
      <c r="H1895" s="219"/>
      <c r="I1895" s="223">
        <f>IF($C1895="","",IF(ISNUMBER(MATCH($C1895,'Phản ánh'!$A$6:$A$505,0)),"Phản ánh",IF(ISNUMBER(MATCH($C1895,'Kế hoạch'!$A$6:$A$305,0)),"Công việc","Mã chưa có")))</f>
      </c>
      <c r="J1895" s="221">
        <f>IF($I1895="Phản ánh",INDEX('Phản ánh'!$C$6:$C$505,MATCH($C1895,'Phản ánh'!$A$6:$A$505,0)),IF($I1895="Công việc",INDEX('Kế hoạch'!$C$6:$C$305,$O1895),""))</f>
      </c>
      <c r="K1895" s="221">
        <f>IF($I1895="Phản ánh",INDEX('Phản ánh'!$K$6:$K$505,MATCH($C1895,'Phản ánh'!$A$6:$A$505,0))&amp;"",IF($I1895="Công việc",INDEX('Kế hoạch'!$N$6:$N$305,$O1895)&amp;"",""))</f>
      </c>
      <c r="L1895" s="220">
        <f>IF(OR($C1895="",N($B1895)=0),"",IF(AND($I1895="Phản ánh",$E1895="Đã xử lý"),INDEX('Phản ánh'!$U$6:$U$505,MATCH($C1895,'Phản ánh'!$A$6:$A$505,0)),IF(AND($I1895="Công việc",OR($E1895="Hoàn thành",$E1895="Hoàn thành kỳ")),IF(INDEX('Kế hoạch'!$B$6:$B$305,$O1895)="Đột xuất",INDEX('Kế hoạch'!$AY$6:$AY$305,$O1895),IF(N($P1895)=0,"",IF(INT($B1895)&lt;$P1895,$P1895,IF($Q1895&gt;0,$P1895+ROUND((INT($B1895)-$P1895)/$Q1895,0)*$Q1895,IF($R1895&gt;0,EDATE($P1895,ROUND((DATEDIF($P1895,INT($B1895),"m")+(INT($B1895)-EDATE($P1895,DATEDIF($P1895,INT($B1895),"m")))/(EDATE($P1895,DATEDIF($P1895,INT($B1895),"m")+1)-EDATE($P1895,DATEDIF($P1895,INT($B1895),"m"))))/$R1895,0)*$R1895),$P1895))))),"")))</f>
      </c>
      <c r="M1895" s="223">
        <f>IF(OR($C1895="",N($L1895)=0,N($B1895)=0),"",IF(IF(MOD($L1895,1)=0,INT($B1895),$B1895)&lt;=$L1895,"Đúng hạn","Trễ hạn"))</f>
      </c>
      <c r="N1895" s="225">
        <f>IF($C1895="","",ROW())</f>
      </c>
      <c r="O1895" s="225">
        <f>IF($I1895="Công việc",MATCH($C1895,'Kế hoạch'!$A$6:$A$305,0),"")</f>
      </c>
      <c r="P1895" s="234">
        <f>IF($O1895="","",INDEX('Kế hoạch'!$I$6:$I$305,$O1895))</f>
      </c>
      <c r="Q1895" s="225">
        <f>IF($O1895="","",INDEX('Kế hoạch'!$AJ$6:$AJ$305,$O1895))</f>
      </c>
      <c r="R1895" s="225">
        <f>IF($O1895="","",INDEX('Kế hoạch'!$AK$6:$AK$305,$O1895))</f>
      </c>
    </row>
    <row r="1896">
      <c r="A1896" s="223">
        <f>IF($C1896="","",COUNTIF($C$6:$C1896,"?*"))</f>
      </c>
      <c r="B1896" s="217"/>
      <c r="C1896" s="216"/>
      <c r="D1896" s="240"/>
      <c r="E1896" s="218"/>
      <c r="F1896" s="218"/>
      <c r="G1896" s="218"/>
      <c r="H1896" s="219"/>
      <c r="I1896" s="223">
        <f>IF($C1896="","",IF(ISNUMBER(MATCH($C1896,'Phản ánh'!$A$6:$A$505,0)),"Phản ánh",IF(ISNUMBER(MATCH($C1896,'Kế hoạch'!$A$6:$A$305,0)),"Công việc","Mã chưa có")))</f>
      </c>
      <c r="J1896" s="221">
        <f>IF($I1896="Phản ánh",INDEX('Phản ánh'!$C$6:$C$505,MATCH($C1896,'Phản ánh'!$A$6:$A$505,0)),IF($I1896="Công việc",INDEX('Kế hoạch'!$C$6:$C$305,$O1896),""))</f>
      </c>
      <c r="K1896" s="221">
        <f>IF($I1896="Phản ánh",INDEX('Phản ánh'!$K$6:$K$505,MATCH($C1896,'Phản ánh'!$A$6:$A$505,0))&amp;"",IF($I1896="Công việc",INDEX('Kế hoạch'!$N$6:$N$305,$O1896)&amp;"",""))</f>
      </c>
      <c r="L1896" s="220">
        <f>IF(OR($C1896="",N($B1896)=0),"",IF(AND($I1896="Phản ánh",$E1896="Đã xử lý"),INDEX('Phản ánh'!$U$6:$U$505,MATCH($C1896,'Phản ánh'!$A$6:$A$505,0)),IF(AND($I1896="Công việc",OR($E1896="Hoàn thành",$E1896="Hoàn thành kỳ")),IF(INDEX('Kế hoạch'!$B$6:$B$305,$O1896)="Đột xuất",INDEX('Kế hoạch'!$AY$6:$AY$305,$O1896),IF(N($P1896)=0,"",IF(INT($B1896)&lt;$P1896,$P1896,IF($Q1896&gt;0,$P1896+ROUND((INT($B1896)-$P1896)/$Q1896,0)*$Q1896,IF($R1896&gt;0,EDATE($P1896,ROUND((DATEDIF($P1896,INT($B1896),"m")+(INT($B1896)-EDATE($P1896,DATEDIF($P1896,INT($B1896),"m")))/(EDATE($P1896,DATEDIF($P1896,INT($B1896),"m")+1)-EDATE($P1896,DATEDIF($P1896,INT($B1896),"m"))))/$R1896,0)*$R1896),$P1896))))),"")))</f>
      </c>
      <c r="M1896" s="223">
        <f>IF(OR($C1896="",N($L1896)=0,N($B1896)=0),"",IF(IF(MOD($L1896,1)=0,INT($B1896),$B1896)&lt;=$L1896,"Đúng hạn","Trễ hạn"))</f>
      </c>
      <c r="N1896" s="225">
        <f>IF($C1896="","",ROW())</f>
      </c>
      <c r="O1896" s="225">
        <f>IF($I1896="Công việc",MATCH($C1896,'Kế hoạch'!$A$6:$A$305,0),"")</f>
      </c>
      <c r="P1896" s="234">
        <f>IF($O1896="","",INDEX('Kế hoạch'!$I$6:$I$305,$O1896))</f>
      </c>
      <c r="Q1896" s="225">
        <f>IF($O1896="","",INDEX('Kế hoạch'!$AJ$6:$AJ$305,$O1896))</f>
      </c>
      <c r="R1896" s="225">
        <f>IF($O1896="","",INDEX('Kế hoạch'!$AK$6:$AK$305,$O1896))</f>
      </c>
    </row>
    <row r="1897">
      <c r="A1897" s="223">
        <f>IF($C1897="","",COUNTIF($C$6:$C1897,"?*"))</f>
      </c>
      <c r="B1897" s="217"/>
      <c r="C1897" s="216"/>
      <c r="D1897" s="240"/>
      <c r="E1897" s="218"/>
      <c r="F1897" s="218"/>
      <c r="G1897" s="218"/>
      <c r="H1897" s="219"/>
      <c r="I1897" s="223">
        <f>IF($C1897="","",IF(ISNUMBER(MATCH($C1897,'Phản ánh'!$A$6:$A$505,0)),"Phản ánh",IF(ISNUMBER(MATCH($C1897,'Kế hoạch'!$A$6:$A$305,0)),"Công việc","Mã chưa có")))</f>
      </c>
      <c r="J1897" s="221">
        <f>IF($I1897="Phản ánh",INDEX('Phản ánh'!$C$6:$C$505,MATCH($C1897,'Phản ánh'!$A$6:$A$505,0)),IF($I1897="Công việc",INDEX('Kế hoạch'!$C$6:$C$305,$O1897),""))</f>
      </c>
      <c r="K1897" s="221">
        <f>IF($I1897="Phản ánh",INDEX('Phản ánh'!$K$6:$K$505,MATCH($C1897,'Phản ánh'!$A$6:$A$505,0))&amp;"",IF($I1897="Công việc",INDEX('Kế hoạch'!$N$6:$N$305,$O1897)&amp;"",""))</f>
      </c>
      <c r="L1897" s="220">
        <f>IF(OR($C1897="",N($B1897)=0),"",IF(AND($I1897="Phản ánh",$E1897="Đã xử lý"),INDEX('Phản ánh'!$U$6:$U$505,MATCH($C1897,'Phản ánh'!$A$6:$A$505,0)),IF(AND($I1897="Công việc",OR($E1897="Hoàn thành",$E1897="Hoàn thành kỳ")),IF(INDEX('Kế hoạch'!$B$6:$B$305,$O1897)="Đột xuất",INDEX('Kế hoạch'!$AY$6:$AY$305,$O1897),IF(N($P1897)=0,"",IF(INT($B1897)&lt;$P1897,$P1897,IF($Q1897&gt;0,$P1897+ROUND((INT($B1897)-$P1897)/$Q1897,0)*$Q1897,IF($R1897&gt;0,EDATE($P1897,ROUND((DATEDIF($P1897,INT($B1897),"m")+(INT($B1897)-EDATE($P1897,DATEDIF($P1897,INT($B1897),"m")))/(EDATE($P1897,DATEDIF($P1897,INT($B1897),"m")+1)-EDATE($P1897,DATEDIF($P1897,INT($B1897),"m"))))/$R1897,0)*$R1897),$P1897))))),"")))</f>
      </c>
      <c r="M1897" s="223">
        <f>IF(OR($C1897="",N($L1897)=0,N($B1897)=0),"",IF(IF(MOD($L1897,1)=0,INT($B1897),$B1897)&lt;=$L1897,"Đúng hạn","Trễ hạn"))</f>
      </c>
      <c r="N1897" s="225">
        <f>IF($C1897="","",ROW())</f>
      </c>
      <c r="O1897" s="225">
        <f>IF($I1897="Công việc",MATCH($C1897,'Kế hoạch'!$A$6:$A$305,0),"")</f>
      </c>
      <c r="P1897" s="234">
        <f>IF($O1897="","",INDEX('Kế hoạch'!$I$6:$I$305,$O1897))</f>
      </c>
      <c r="Q1897" s="225">
        <f>IF($O1897="","",INDEX('Kế hoạch'!$AJ$6:$AJ$305,$O1897))</f>
      </c>
      <c r="R1897" s="225">
        <f>IF($O1897="","",INDEX('Kế hoạch'!$AK$6:$AK$305,$O1897))</f>
      </c>
    </row>
    <row r="1898">
      <c r="A1898" s="223">
        <f>IF($C1898="","",COUNTIF($C$6:$C1898,"?*"))</f>
      </c>
      <c r="B1898" s="217"/>
      <c r="C1898" s="216"/>
      <c r="D1898" s="240"/>
      <c r="E1898" s="218"/>
      <c r="F1898" s="218"/>
      <c r="G1898" s="218"/>
      <c r="H1898" s="219"/>
      <c r="I1898" s="223">
        <f>IF($C1898="","",IF(ISNUMBER(MATCH($C1898,'Phản ánh'!$A$6:$A$505,0)),"Phản ánh",IF(ISNUMBER(MATCH($C1898,'Kế hoạch'!$A$6:$A$305,0)),"Công việc","Mã chưa có")))</f>
      </c>
      <c r="J1898" s="221">
        <f>IF($I1898="Phản ánh",INDEX('Phản ánh'!$C$6:$C$505,MATCH($C1898,'Phản ánh'!$A$6:$A$505,0)),IF($I1898="Công việc",INDEX('Kế hoạch'!$C$6:$C$305,$O1898),""))</f>
      </c>
      <c r="K1898" s="221">
        <f>IF($I1898="Phản ánh",INDEX('Phản ánh'!$K$6:$K$505,MATCH($C1898,'Phản ánh'!$A$6:$A$505,0))&amp;"",IF($I1898="Công việc",INDEX('Kế hoạch'!$N$6:$N$305,$O1898)&amp;"",""))</f>
      </c>
      <c r="L1898" s="220">
        <f>IF(OR($C1898="",N($B1898)=0),"",IF(AND($I1898="Phản ánh",$E1898="Đã xử lý"),INDEX('Phản ánh'!$U$6:$U$505,MATCH($C1898,'Phản ánh'!$A$6:$A$505,0)),IF(AND($I1898="Công việc",OR($E1898="Hoàn thành",$E1898="Hoàn thành kỳ")),IF(INDEX('Kế hoạch'!$B$6:$B$305,$O1898)="Đột xuất",INDEX('Kế hoạch'!$AY$6:$AY$305,$O1898),IF(N($P1898)=0,"",IF(INT($B1898)&lt;$P1898,$P1898,IF($Q1898&gt;0,$P1898+ROUND((INT($B1898)-$P1898)/$Q1898,0)*$Q1898,IF($R1898&gt;0,EDATE($P1898,ROUND((DATEDIF($P1898,INT($B1898),"m")+(INT($B1898)-EDATE($P1898,DATEDIF($P1898,INT($B1898),"m")))/(EDATE($P1898,DATEDIF($P1898,INT($B1898),"m")+1)-EDATE($P1898,DATEDIF($P1898,INT($B1898),"m"))))/$R1898,0)*$R1898),$P1898))))),"")))</f>
      </c>
      <c r="M1898" s="223">
        <f>IF(OR($C1898="",N($L1898)=0,N($B1898)=0),"",IF(IF(MOD($L1898,1)=0,INT($B1898),$B1898)&lt;=$L1898,"Đúng hạn","Trễ hạn"))</f>
      </c>
      <c r="N1898" s="225">
        <f>IF($C1898="","",ROW())</f>
      </c>
      <c r="O1898" s="225">
        <f>IF($I1898="Công việc",MATCH($C1898,'Kế hoạch'!$A$6:$A$305,0),"")</f>
      </c>
      <c r="P1898" s="234">
        <f>IF($O1898="","",INDEX('Kế hoạch'!$I$6:$I$305,$O1898))</f>
      </c>
      <c r="Q1898" s="225">
        <f>IF($O1898="","",INDEX('Kế hoạch'!$AJ$6:$AJ$305,$O1898))</f>
      </c>
      <c r="R1898" s="225">
        <f>IF($O1898="","",INDEX('Kế hoạch'!$AK$6:$AK$305,$O1898))</f>
      </c>
    </row>
    <row r="1899">
      <c r="A1899" s="223">
        <f>IF($C1899="","",COUNTIF($C$6:$C1899,"?*"))</f>
      </c>
      <c r="B1899" s="217"/>
      <c r="C1899" s="216"/>
      <c r="D1899" s="240"/>
      <c r="E1899" s="218"/>
      <c r="F1899" s="218"/>
      <c r="G1899" s="218"/>
      <c r="H1899" s="219"/>
      <c r="I1899" s="223">
        <f>IF($C1899="","",IF(ISNUMBER(MATCH($C1899,'Phản ánh'!$A$6:$A$505,0)),"Phản ánh",IF(ISNUMBER(MATCH($C1899,'Kế hoạch'!$A$6:$A$305,0)),"Công việc","Mã chưa có")))</f>
      </c>
      <c r="J1899" s="221">
        <f>IF($I1899="Phản ánh",INDEX('Phản ánh'!$C$6:$C$505,MATCH($C1899,'Phản ánh'!$A$6:$A$505,0)),IF($I1899="Công việc",INDEX('Kế hoạch'!$C$6:$C$305,$O1899),""))</f>
      </c>
      <c r="K1899" s="221">
        <f>IF($I1899="Phản ánh",INDEX('Phản ánh'!$K$6:$K$505,MATCH($C1899,'Phản ánh'!$A$6:$A$505,0))&amp;"",IF($I1899="Công việc",INDEX('Kế hoạch'!$N$6:$N$305,$O1899)&amp;"",""))</f>
      </c>
      <c r="L1899" s="220">
        <f>IF(OR($C1899="",N($B1899)=0),"",IF(AND($I1899="Phản ánh",$E1899="Đã xử lý"),INDEX('Phản ánh'!$U$6:$U$505,MATCH($C1899,'Phản ánh'!$A$6:$A$505,0)),IF(AND($I1899="Công việc",OR($E1899="Hoàn thành",$E1899="Hoàn thành kỳ")),IF(INDEX('Kế hoạch'!$B$6:$B$305,$O1899)="Đột xuất",INDEX('Kế hoạch'!$AY$6:$AY$305,$O1899),IF(N($P1899)=0,"",IF(INT($B1899)&lt;$P1899,$P1899,IF($Q1899&gt;0,$P1899+ROUND((INT($B1899)-$P1899)/$Q1899,0)*$Q1899,IF($R1899&gt;0,EDATE($P1899,ROUND((DATEDIF($P1899,INT($B1899),"m")+(INT($B1899)-EDATE($P1899,DATEDIF($P1899,INT($B1899),"m")))/(EDATE($P1899,DATEDIF($P1899,INT($B1899),"m")+1)-EDATE($P1899,DATEDIF($P1899,INT($B1899),"m"))))/$R1899,0)*$R1899),$P1899))))),"")))</f>
      </c>
      <c r="M1899" s="223">
        <f>IF(OR($C1899="",N($L1899)=0,N($B1899)=0),"",IF(IF(MOD($L1899,1)=0,INT($B1899),$B1899)&lt;=$L1899,"Đúng hạn","Trễ hạn"))</f>
      </c>
      <c r="N1899" s="225">
        <f>IF($C1899="","",ROW())</f>
      </c>
      <c r="O1899" s="225">
        <f>IF($I1899="Công việc",MATCH($C1899,'Kế hoạch'!$A$6:$A$305,0),"")</f>
      </c>
      <c r="P1899" s="234">
        <f>IF($O1899="","",INDEX('Kế hoạch'!$I$6:$I$305,$O1899))</f>
      </c>
      <c r="Q1899" s="225">
        <f>IF($O1899="","",INDEX('Kế hoạch'!$AJ$6:$AJ$305,$O1899))</f>
      </c>
      <c r="R1899" s="225">
        <f>IF($O1899="","",INDEX('Kế hoạch'!$AK$6:$AK$305,$O1899))</f>
      </c>
    </row>
    <row r="1900">
      <c r="A1900" s="223">
        <f>IF($C1900="","",COUNTIF($C$6:$C1900,"?*"))</f>
      </c>
      <c r="B1900" s="217"/>
      <c r="C1900" s="216"/>
      <c r="D1900" s="240"/>
      <c r="E1900" s="218"/>
      <c r="F1900" s="218"/>
      <c r="G1900" s="218"/>
      <c r="H1900" s="219"/>
      <c r="I1900" s="223">
        <f>IF($C1900="","",IF(ISNUMBER(MATCH($C1900,'Phản ánh'!$A$6:$A$505,0)),"Phản ánh",IF(ISNUMBER(MATCH($C1900,'Kế hoạch'!$A$6:$A$305,0)),"Công việc","Mã chưa có")))</f>
      </c>
      <c r="J1900" s="221">
        <f>IF($I1900="Phản ánh",INDEX('Phản ánh'!$C$6:$C$505,MATCH($C1900,'Phản ánh'!$A$6:$A$505,0)),IF($I1900="Công việc",INDEX('Kế hoạch'!$C$6:$C$305,$O1900),""))</f>
      </c>
      <c r="K1900" s="221">
        <f>IF($I1900="Phản ánh",INDEX('Phản ánh'!$K$6:$K$505,MATCH($C1900,'Phản ánh'!$A$6:$A$505,0))&amp;"",IF($I1900="Công việc",INDEX('Kế hoạch'!$N$6:$N$305,$O1900)&amp;"",""))</f>
      </c>
      <c r="L1900" s="220">
        <f>IF(OR($C1900="",N($B1900)=0),"",IF(AND($I1900="Phản ánh",$E1900="Đã xử lý"),INDEX('Phản ánh'!$U$6:$U$505,MATCH($C1900,'Phản ánh'!$A$6:$A$505,0)),IF(AND($I1900="Công việc",OR($E1900="Hoàn thành",$E1900="Hoàn thành kỳ")),IF(INDEX('Kế hoạch'!$B$6:$B$305,$O1900)="Đột xuất",INDEX('Kế hoạch'!$AY$6:$AY$305,$O1900),IF(N($P1900)=0,"",IF(INT($B1900)&lt;$P1900,$P1900,IF($Q1900&gt;0,$P1900+ROUND((INT($B1900)-$P1900)/$Q1900,0)*$Q1900,IF($R1900&gt;0,EDATE($P1900,ROUND((DATEDIF($P1900,INT($B1900),"m")+(INT($B1900)-EDATE($P1900,DATEDIF($P1900,INT($B1900),"m")))/(EDATE($P1900,DATEDIF($P1900,INT($B1900),"m")+1)-EDATE($P1900,DATEDIF($P1900,INT($B1900),"m"))))/$R1900,0)*$R1900),$P1900))))),"")))</f>
      </c>
      <c r="M1900" s="223">
        <f>IF(OR($C1900="",N($L1900)=0,N($B1900)=0),"",IF(IF(MOD($L1900,1)=0,INT($B1900),$B1900)&lt;=$L1900,"Đúng hạn","Trễ hạn"))</f>
      </c>
      <c r="N1900" s="225">
        <f>IF($C1900="","",ROW())</f>
      </c>
      <c r="O1900" s="225">
        <f>IF($I1900="Công việc",MATCH($C1900,'Kế hoạch'!$A$6:$A$305,0),"")</f>
      </c>
      <c r="P1900" s="234">
        <f>IF($O1900="","",INDEX('Kế hoạch'!$I$6:$I$305,$O1900))</f>
      </c>
      <c r="Q1900" s="225">
        <f>IF($O1900="","",INDEX('Kế hoạch'!$AJ$6:$AJ$305,$O1900))</f>
      </c>
      <c r="R1900" s="225">
        <f>IF($O1900="","",INDEX('Kế hoạch'!$AK$6:$AK$305,$O1900))</f>
      </c>
    </row>
    <row r="1901">
      <c r="A1901" s="223">
        <f>IF($C1901="","",COUNTIF($C$6:$C1901,"?*"))</f>
      </c>
      <c r="B1901" s="217"/>
      <c r="C1901" s="216"/>
      <c r="D1901" s="240"/>
      <c r="E1901" s="218"/>
      <c r="F1901" s="218"/>
      <c r="G1901" s="218"/>
      <c r="H1901" s="219"/>
      <c r="I1901" s="223">
        <f>IF($C1901="","",IF(ISNUMBER(MATCH($C1901,'Phản ánh'!$A$6:$A$505,0)),"Phản ánh",IF(ISNUMBER(MATCH($C1901,'Kế hoạch'!$A$6:$A$305,0)),"Công việc","Mã chưa có")))</f>
      </c>
      <c r="J1901" s="221">
        <f>IF($I1901="Phản ánh",INDEX('Phản ánh'!$C$6:$C$505,MATCH($C1901,'Phản ánh'!$A$6:$A$505,0)),IF($I1901="Công việc",INDEX('Kế hoạch'!$C$6:$C$305,$O1901),""))</f>
      </c>
      <c r="K1901" s="221">
        <f>IF($I1901="Phản ánh",INDEX('Phản ánh'!$K$6:$K$505,MATCH($C1901,'Phản ánh'!$A$6:$A$505,0))&amp;"",IF($I1901="Công việc",INDEX('Kế hoạch'!$N$6:$N$305,$O1901)&amp;"",""))</f>
      </c>
      <c r="L1901" s="220">
        <f>IF(OR($C1901="",N($B1901)=0),"",IF(AND($I1901="Phản ánh",$E1901="Đã xử lý"),INDEX('Phản ánh'!$U$6:$U$505,MATCH($C1901,'Phản ánh'!$A$6:$A$505,0)),IF(AND($I1901="Công việc",OR($E1901="Hoàn thành",$E1901="Hoàn thành kỳ")),IF(INDEX('Kế hoạch'!$B$6:$B$305,$O1901)="Đột xuất",INDEX('Kế hoạch'!$AY$6:$AY$305,$O1901),IF(N($P1901)=0,"",IF(INT($B1901)&lt;$P1901,$P1901,IF($Q1901&gt;0,$P1901+ROUND((INT($B1901)-$P1901)/$Q1901,0)*$Q1901,IF($R1901&gt;0,EDATE($P1901,ROUND((DATEDIF($P1901,INT($B1901),"m")+(INT($B1901)-EDATE($P1901,DATEDIF($P1901,INT($B1901),"m")))/(EDATE($P1901,DATEDIF($P1901,INT($B1901),"m")+1)-EDATE($P1901,DATEDIF($P1901,INT($B1901),"m"))))/$R1901,0)*$R1901),$P1901))))),"")))</f>
      </c>
      <c r="M1901" s="223">
        <f>IF(OR($C1901="",N($L1901)=0,N($B1901)=0),"",IF(IF(MOD($L1901,1)=0,INT($B1901),$B1901)&lt;=$L1901,"Đúng hạn","Trễ hạn"))</f>
      </c>
      <c r="N1901" s="225">
        <f>IF($C1901="","",ROW())</f>
      </c>
      <c r="O1901" s="225">
        <f>IF($I1901="Công việc",MATCH($C1901,'Kế hoạch'!$A$6:$A$305,0),"")</f>
      </c>
      <c r="P1901" s="234">
        <f>IF($O1901="","",INDEX('Kế hoạch'!$I$6:$I$305,$O1901))</f>
      </c>
      <c r="Q1901" s="225">
        <f>IF($O1901="","",INDEX('Kế hoạch'!$AJ$6:$AJ$305,$O1901))</f>
      </c>
      <c r="R1901" s="225">
        <f>IF($O1901="","",INDEX('Kế hoạch'!$AK$6:$AK$305,$O1901))</f>
      </c>
    </row>
    <row r="1902">
      <c r="A1902" s="223">
        <f>IF($C1902="","",COUNTIF($C$6:$C1902,"?*"))</f>
      </c>
      <c r="B1902" s="217"/>
      <c r="C1902" s="216"/>
      <c r="D1902" s="240"/>
      <c r="E1902" s="218"/>
      <c r="F1902" s="218"/>
      <c r="G1902" s="218"/>
      <c r="H1902" s="219"/>
      <c r="I1902" s="223">
        <f>IF($C1902="","",IF(ISNUMBER(MATCH($C1902,'Phản ánh'!$A$6:$A$505,0)),"Phản ánh",IF(ISNUMBER(MATCH($C1902,'Kế hoạch'!$A$6:$A$305,0)),"Công việc","Mã chưa có")))</f>
      </c>
      <c r="J1902" s="221">
        <f>IF($I1902="Phản ánh",INDEX('Phản ánh'!$C$6:$C$505,MATCH($C1902,'Phản ánh'!$A$6:$A$505,0)),IF($I1902="Công việc",INDEX('Kế hoạch'!$C$6:$C$305,$O1902),""))</f>
      </c>
      <c r="K1902" s="221">
        <f>IF($I1902="Phản ánh",INDEX('Phản ánh'!$K$6:$K$505,MATCH($C1902,'Phản ánh'!$A$6:$A$505,0))&amp;"",IF($I1902="Công việc",INDEX('Kế hoạch'!$N$6:$N$305,$O1902)&amp;"",""))</f>
      </c>
      <c r="L1902" s="220">
        <f>IF(OR($C1902="",N($B1902)=0),"",IF(AND($I1902="Phản ánh",$E1902="Đã xử lý"),INDEX('Phản ánh'!$U$6:$U$505,MATCH($C1902,'Phản ánh'!$A$6:$A$505,0)),IF(AND($I1902="Công việc",OR($E1902="Hoàn thành",$E1902="Hoàn thành kỳ")),IF(INDEX('Kế hoạch'!$B$6:$B$305,$O1902)="Đột xuất",INDEX('Kế hoạch'!$AY$6:$AY$305,$O1902),IF(N($P1902)=0,"",IF(INT($B1902)&lt;$P1902,$P1902,IF($Q1902&gt;0,$P1902+ROUND((INT($B1902)-$P1902)/$Q1902,0)*$Q1902,IF($R1902&gt;0,EDATE($P1902,ROUND((DATEDIF($P1902,INT($B1902),"m")+(INT($B1902)-EDATE($P1902,DATEDIF($P1902,INT($B1902),"m")))/(EDATE($P1902,DATEDIF($P1902,INT($B1902),"m")+1)-EDATE($P1902,DATEDIF($P1902,INT($B1902),"m"))))/$R1902,0)*$R1902),$P1902))))),"")))</f>
      </c>
      <c r="M1902" s="223">
        <f>IF(OR($C1902="",N($L1902)=0,N($B1902)=0),"",IF(IF(MOD($L1902,1)=0,INT($B1902),$B1902)&lt;=$L1902,"Đúng hạn","Trễ hạn"))</f>
      </c>
      <c r="N1902" s="225">
        <f>IF($C1902="","",ROW())</f>
      </c>
      <c r="O1902" s="225">
        <f>IF($I1902="Công việc",MATCH($C1902,'Kế hoạch'!$A$6:$A$305,0),"")</f>
      </c>
      <c r="P1902" s="234">
        <f>IF($O1902="","",INDEX('Kế hoạch'!$I$6:$I$305,$O1902))</f>
      </c>
      <c r="Q1902" s="225">
        <f>IF($O1902="","",INDEX('Kế hoạch'!$AJ$6:$AJ$305,$O1902))</f>
      </c>
      <c r="R1902" s="225">
        <f>IF($O1902="","",INDEX('Kế hoạch'!$AK$6:$AK$305,$O1902))</f>
      </c>
    </row>
    <row r="1903">
      <c r="A1903" s="223">
        <f>IF($C1903="","",COUNTIF($C$6:$C1903,"?*"))</f>
      </c>
      <c r="B1903" s="217"/>
      <c r="C1903" s="216"/>
      <c r="D1903" s="240"/>
      <c r="E1903" s="218"/>
      <c r="F1903" s="218"/>
      <c r="G1903" s="218"/>
      <c r="H1903" s="219"/>
      <c r="I1903" s="223">
        <f>IF($C1903="","",IF(ISNUMBER(MATCH($C1903,'Phản ánh'!$A$6:$A$505,0)),"Phản ánh",IF(ISNUMBER(MATCH($C1903,'Kế hoạch'!$A$6:$A$305,0)),"Công việc","Mã chưa có")))</f>
      </c>
      <c r="J1903" s="221">
        <f>IF($I1903="Phản ánh",INDEX('Phản ánh'!$C$6:$C$505,MATCH($C1903,'Phản ánh'!$A$6:$A$505,0)),IF($I1903="Công việc",INDEX('Kế hoạch'!$C$6:$C$305,$O1903),""))</f>
      </c>
      <c r="K1903" s="221">
        <f>IF($I1903="Phản ánh",INDEX('Phản ánh'!$K$6:$K$505,MATCH($C1903,'Phản ánh'!$A$6:$A$505,0))&amp;"",IF($I1903="Công việc",INDEX('Kế hoạch'!$N$6:$N$305,$O1903)&amp;"",""))</f>
      </c>
      <c r="L1903" s="220">
        <f>IF(OR($C1903="",N($B1903)=0),"",IF(AND($I1903="Phản ánh",$E1903="Đã xử lý"),INDEX('Phản ánh'!$U$6:$U$505,MATCH($C1903,'Phản ánh'!$A$6:$A$505,0)),IF(AND($I1903="Công việc",OR($E1903="Hoàn thành",$E1903="Hoàn thành kỳ")),IF(INDEX('Kế hoạch'!$B$6:$B$305,$O1903)="Đột xuất",INDEX('Kế hoạch'!$AY$6:$AY$305,$O1903),IF(N($P1903)=0,"",IF(INT($B1903)&lt;$P1903,$P1903,IF($Q1903&gt;0,$P1903+ROUND((INT($B1903)-$P1903)/$Q1903,0)*$Q1903,IF($R1903&gt;0,EDATE($P1903,ROUND((DATEDIF($P1903,INT($B1903),"m")+(INT($B1903)-EDATE($P1903,DATEDIF($P1903,INT($B1903),"m")))/(EDATE($P1903,DATEDIF($P1903,INT($B1903),"m")+1)-EDATE($P1903,DATEDIF($P1903,INT($B1903),"m"))))/$R1903,0)*$R1903),$P1903))))),"")))</f>
      </c>
      <c r="M1903" s="223">
        <f>IF(OR($C1903="",N($L1903)=0,N($B1903)=0),"",IF(IF(MOD($L1903,1)=0,INT($B1903),$B1903)&lt;=$L1903,"Đúng hạn","Trễ hạn"))</f>
      </c>
      <c r="N1903" s="225">
        <f>IF($C1903="","",ROW())</f>
      </c>
      <c r="O1903" s="225">
        <f>IF($I1903="Công việc",MATCH($C1903,'Kế hoạch'!$A$6:$A$305,0),"")</f>
      </c>
      <c r="P1903" s="234">
        <f>IF($O1903="","",INDEX('Kế hoạch'!$I$6:$I$305,$O1903))</f>
      </c>
      <c r="Q1903" s="225">
        <f>IF($O1903="","",INDEX('Kế hoạch'!$AJ$6:$AJ$305,$O1903))</f>
      </c>
      <c r="R1903" s="225">
        <f>IF($O1903="","",INDEX('Kế hoạch'!$AK$6:$AK$305,$O1903))</f>
      </c>
    </row>
    <row r="1904">
      <c r="A1904" s="223">
        <f>IF($C1904="","",COUNTIF($C$6:$C1904,"?*"))</f>
      </c>
      <c r="B1904" s="217"/>
      <c r="C1904" s="216"/>
      <c r="D1904" s="240"/>
      <c r="E1904" s="218"/>
      <c r="F1904" s="218"/>
      <c r="G1904" s="218"/>
      <c r="H1904" s="219"/>
      <c r="I1904" s="223">
        <f>IF($C1904="","",IF(ISNUMBER(MATCH($C1904,'Phản ánh'!$A$6:$A$505,0)),"Phản ánh",IF(ISNUMBER(MATCH($C1904,'Kế hoạch'!$A$6:$A$305,0)),"Công việc","Mã chưa có")))</f>
      </c>
      <c r="J1904" s="221">
        <f>IF($I1904="Phản ánh",INDEX('Phản ánh'!$C$6:$C$505,MATCH($C1904,'Phản ánh'!$A$6:$A$505,0)),IF($I1904="Công việc",INDEX('Kế hoạch'!$C$6:$C$305,$O1904),""))</f>
      </c>
      <c r="K1904" s="221">
        <f>IF($I1904="Phản ánh",INDEX('Phản ánh'!$K$6:$K$505,MATCH($C1904,'Phản ánh'!$A$6:$A$505,0))&amp;"",IF($I1904="Công việc",INDEX('Kế hoạch'!$N$6:$N$305,$O1904)&amp;"",""))</f>
      </c>
      <c r="L1904" s="220">
        <f>IF(OR($C1904="",N($B1904)=0),"",IF(AND($I1904="Phản ánh",$E1904="Đã xử lý"),INDEX('Phản ánh'!$U$6:$U$505,MATCH($C1904,'Phản ánh'!$A$6:$A$505,0)),IF(AND($I1904="Công việc",OR($E1904="Hoàn thành",$E1904="Hoàn thành kỳ")),IF(INDEX('Kế hoạch'!$B$6:$B$305,$O1904)="Đột xuất",INDEX('Kế hoạch'!$AY$6:$AY$305,$O1904),IF(N($P1904)=0,"",IF(INT($B1904)&lt;$P1904,$P1904,IF($Q1904&gt;0,$P1904+ROUND((INT($B1904)-$P1904)/$Q1904,0)*$Q1904,IF($R1904&gt;0,EDATE($P1904,ROUND((DATEDIF($P1904,INT($B1904),"m")+(INT($B1904)-EDATE($P1904,DATEDIF($P1904,INT($B1904),"m")))/(EDATE($P1904,DATEDIF($P1904,INT($B1904),"m")+1)-EDATE($P1904,DATEDIF($P1904,INT($B1904),"m"))))/$R1904,0)*$R1904),$P1904))))),"")))</f>
      </c>
      <c r="M1904" s="223">
        <f>IF(OR($C1904="",N($L1904)=0,N($B1904)=0),"",IF(IF(MOD($L1904,1)=0,INT($B1904),$B1904)&lt;=$L1904,"Đúng hạn","Trễ hạn"))</f>
      </c>
      <c r="N1904" s="225">
        <f>IF($C1904="","",ROW())</f>
      </c>
      <c r="O1904" s="225">
        <f>IF($I1904="Công việc",MATCH($C1904,'Kế hoạch'!$A$6:$A$305,0),"")</f>
      </c>
      <c r="P1904" s="234">
        <f>IF($O1904="","",INDEX('Kế hoạch'!$I$6:$I$305,$O1904))</f>
      </c>
      <c r="Q1904" s="225">
        <f>IF($O1904="","",INDEX('Kế hoạch'!$AJ$6:$AJ$305,$O1904))</f>
      </c>
      <c r="R1904" s="225">
        <f>IF($O1904="","",INDEX('Kế hoạch'!$AK$6:$AK$305,$O1904))</f>
      </c>
    </row>
    <row r="1905">
      <c r="A1905" s="223">
        <f>IF($C1905="","",COUNTIF($C$6:$C1905,"?*"))</f>
      </c>
      <c r="B1905" s="217"/>
      <c r="C1905" s="216"/>
      <c r="D1905" s="240"/>
      <c r="E1905" s="218"/>
      <c r="F1905" s="218"/>
      <c r="G1905" s="218"/>
      <c r="H1905" s="219"/>
      <c r="I1905" s="223">
        <f>IF($C1905="","",IF(ISNUMBER(MATCH($C1905,'Phản ánh'!$A$6:$A$505,0)),"Phản ánh",IF(ISNUMBER(MATCH($C1905,'Kế hoạch'!$A$6:$A$305,0)),"Công việc","Mã chưa có")))</f>
      </c>
      <c r="J1905" s="221">
        <f>IF($I1905="Phản ánh",INDEX('Phản ánh'!$C$6:$C$505,MATCH($C1905,'Phản ánh'!$A$6:$A$505,0)),IF($I1905="Công việc",INDEX('Kế hoạch'!$C$6:$C$305,$O1905),""))</f>
      </c>
      <c r="K1905" s="221">
        <f>IF($I1905="Phản ánh",INDEX('Phản ánh'!$K$6:$K$505,MATCH($C1905,'Phản ánh'!$A$6:$A$505,0))&amp;"",IF($I1905="Công việc",INDEX('Kế hoạch'!$N$6:$N$305,$O1905)&amp;"",""))</f>
      </c>
      <c r="L1905" s="220">
        <f>IF(OR($C1905="",N($B1905)=0),"",IF(AND($I1905="Phản ánh",$E1905="Đã xử lý"),INDEX('Phản ánh'!$U$6:$U$505,MATCH($C1905,'Phản ánh'!$A$6:$A$505,0)),IF(AND($I1905="Công việc",OR($E1905="Hoàn thành",$E1905="Hoàn thành kỳ")),IF(INDEX('Kế hoạch'!$B$6:$B$305,$O1905)="Đột xuất",INDEX('Kế hoạch'!$AY$6:$AY$305,$O1905),IF(N($P1905)=0,"",IF(INT($B1905)&lt;$P1905,$P1905,IF($Q1905&gt;0,$P1905+ROUND((INT($B1905)-$P1905)/$Q1905,0)*$Q1905,IF($R1905&gt;0,EDATE($P1905,ROUND((DATEDIF($P1905,INT($B1905),"m")+(INT($B1905)-EDATE($P1905,DATEDIF($P1905,INT($B1905),"m")))/(EDATE($P1905,DATEDIF($P1905,INT($B1905),"m")+1)-EDATE($P1905,DATEDIF($P1905,INT($B1905),"m"))))/$R1905,0)*$R1905),$P1905))))),"")))</f>
      </c>
      <c r="M1905" s="223">
        <f>IF(OR($C1905="",N($L1905)=0,N($B1905)=0),"",IF(IF(MOD($L1905,1)=0,INT($B1905),$B1905)&lt;=$L1905,"Đúng hạn","Trễ hạn"))</f>
      </c>
      <c r="N1905" s="225">
        <f>IF($C1905="","",ROW())</f>
      </c>
      <c r="O1905" s="225">
        <f>IF($I1905="Công việc",MATCH($C1905,'Kế hoạch'!$A$6:$A$305,0),"")</f>
      </c>
      <c r="P1905" s="234">
        <f>IF($O1905="","",INDEX('Kế hoạch'!$I$6:$I$305,$O1905))</f>
      </c>
      <c r="Q1905" s="225">
        <f>IF($O1905="","",INDEX('Kế hoạch'!$AJ$6:$AJ$305,$O1905))</f>
      </c>
      <c r="R1905" s="225">
        <f>IF($O1905="","",INDEX('Kế hoạch'!$AK$6:$AK$305,$O1905))</f>
      </c>
    </row>
    <row r="1906">
      <c r="A1906" s="223">
        <f>IF($C1906="","",COUNTIF($C$6:$C1906,"?*"))</f>
      </c>
      <c r="B1906" s="217"/>
      <c r="C1906" s="216"/>
      <c r="D1906" s="240"/>
      <c r="E1906" s="218"/>
      <c r="F1906" s="218"/>
      <c r="G1906" s="218"/>
      <c r="H1906" s="219"/>
      <c r="I1906" s="223">
        <f>IF($C1906="","",IF(ISNUMBER(MATCH($C1906,'Phản ánh'!$A$6:$A$505,0)),"Phản ánh",IF(ISNUMBER(MATCH($C1906,'Kế hoạch'!$A$6:$A$305,0)),"Công việc","Mã chưa có")))</f>
      </c>
      <c r="J1906" s="221">
        <f>IF($I1906="Phản ánh",INDEX('Phản ánh'!$C$6:$C$505,MATCH($C1906,'Phản ánh'!$A$6:$A$505,0)),IF($I1906="Công việc",INDEX('Kế hoạch'!$C$6:$C$305,$O1906),""))</f>
      </c>
      <c r="K1906" s="221">
        <f>IF($I1906="Phản ánh",INDEX('Phản ánh'!$K$6:$K$505,MATCH($C1906,'Phản ánh'!$A$6:$A$505,0))&amp;"",IF($I1906="Công việc",INDEX('Kế hoạch'!$N$6:$N$305,$O1906)&amp;"",""))</f>
      </c>
      <c r="L1906" s="220">
        <f>IF(OR($C1906="",N($B1906)=0),"",IF(AND($I1906="Phản ánh",$E1906="Đã xử lý"),INDEX('Phản ánh'!$U$6:$U$505,MATCH($C1906,'Phản ánh'!$A$6:$A$505,0)),IF(AND($I1906="Công việc",OR($E1906="Hoàn thành",$E1906="Hoàn thành kỳ")),IF(INDEX('Kế hoạch'!$B$6:$B$305,$O1906)="Đột xuất",INDEX('Kế hoạch'!$AY$6:$AY$305,$O1906),IF(N($P1906)=0,"",IF(INT($B1906)&lt;$P1906,$P1906,IF($Q1906&gt;0,$P1906+ROUND((INT($B1906)-$P1906)/$Q1906,0)*$Q1906,IF($R1906&gt;0,EDATE($P1906,ROUND((DATEDIF($P1906,INT($B1906),"m")+(INT($B1906)-EDATE($P1906,DATEDIF($P1906,INT($B1906),"m")))/(EDATE($P1906,DATEDIF($P1906,INT($B1906),"m")+1)-EDATE($P1906,DATEDIF($P1906,INT($B1906),"m"))))/$R1906,0)*$R1906),$P1906))))),"")))</f>
      </c>
      <c r="M1906" s="223">
        <f>IF(OR($C1906="",N($L1906)=0,N($B1906)=0),"",IF(IF(MOD($L1906,1)=0,INT($B1906),$B1906)&lt;=$L1906,"Đúng hạn","Trễ hạn"))</f>
      </c>
      <c r="N1906" s="225">
        <f>IF($C1906="","",ROW())</f>
      </c>
      <c r="O1906" s="225">
        <f>IF($I1906="Công việc",MATCH($C1906,'Kế hoạch'!$A$6:$A$305,0),"")</f>
      </c>
      <c r="P1906" s="234">
        <f>IF($O1906="","",INDEX('Kế hoạch'!$I$6:$I$305,$O1906))</f>
      </c>
      <c r="Q1906" s="225">
        <f>IF($O1906="","",INDEX('Kế hoạch'!$AJ$6:$AJ$305,$O1906))</f>
      </c>
      <c r="R1906" s="225">
        <f>IF($O1906="","",INDEX('Kế hoạch'!$AK$6:$AK$305,$O1906))</f>
      </c>
    </row>
    <row r="1907">
      <c r="A1907" s="223">
        <f>IF($C1907="","",COUNTIF($C$6:$C1907,"?*"))</f>
      </c>
      <c r="B1907" s="217"/>
      <c r="C1907" s="216"/>
      <c r="D1907" s="240"/>
      <c r="E1907" s="218"/>
      <c r="F1907" s="218"/>
      <c r="G1907" s="218"/>
      <c r="H1907" s="219"/>
      <c r="I1907" s="223">
        <f>IF($C1907="","",IF(ISNUMBER(MATCH($C1907,'Phản ánh'!$A$6:$A$505,0)),"Phản ánh",IF(ISNUMBER(MATCH($C1907,'Kế hoạch'!$A$6:$A$305,0)),"Công việc","Mã chưa có")))</f>
      </c>
      <c r="J1907" s="221">
        <f>IF($I1907="Phản ánh",INDEX('Phản ánh'!$C$6:$C$505,MATCH($C1907,'Phản ánh'!$A$6:$A$505,0)),IF($I1907="Công việc",INDEX('Kế hoạch'!$C$6:$C$305,$O1907),""))</f>
      </c>
      <c r="K1907" s="221">
        <f>IF($I1907="Phản ánh",INDEX('Phản ánh'!$K$6:$K$505,MATCH($C1907,'Phản ánh'!$A$6:$A$505,0))&amp;"",IF($I1907="Công việc",INDEX('Kế hoạch'!$N$6:$N$305,$O1907)&amp;"",""))</f>
      </c>
      <c r="L1907" s="220">
        <f>IF(OR($C1907="",N($B1907)=0),"",IF(AND($I1907="Phản ánh",$E1907="Đã xử lý"),INDEX('Phản ánh'!$U$6:$U$505,MATCH($C1907,'Phản ánh'!$A$6:$A$505,0)),IF(AND($I1907="Công việc",OR($E1907="Hoàn thành",$E1907="Hoàn thành kỳ")),IF(INDEX('Kế hoạch'!$B$6:$B$305,$O1907)="Đột xuất",INDEX('Kế hoạch'!$AY$6:$AY$305,$O1907),IF(N($P1907)=0,"",IF(INT($B1907)&lt;$P1907,$P1907,IF($Q1907&gt;0,$P1907+ROUND((INT($B1907)-$P1907)/$Q1907,0)*$Q1907,IF($R1907&gt;0,EDATE($P1907,ROUND((DATEDIF($P1907,INT($B1907),"m")+(INT($B1907)-EDATE($P1907,DATEDIF($P1907,INT($B1907),"m")))/(EDATE($P1907,DATEDIF($P1907,INT($B1907),"m")+1)-EDATE($P1907,DATEDIF($P1907,INT($B1907),"m"))))/$R1907,0)*$R1907),$P1907))))),"")))</f>
      </c>
      <c r="M1907" s="223">
        <f>IF(OR($C1907="",N($L1907)=0,N($B1907)=0),"",IF(IF(MOD($L1907,1)=0,INT($B1907),$B1907)&lt;=$L1907,"Đúng hạn","Trễ hạn"))</f>
      </c>
      <c r="N1907" s="225">
        <f>IF($C1907="","",ROW())</f>
      </c>
      <c r="O1907" s="225">
        <f>IF($I1907="Công việc",MATCH($C1907,'Kế hoạch'!$A$6:$A$305,0),"")</f>
      </c>
      <c r="P1907" s="234">
        <f>IF($O1907="","",INDEX('Kế hoạch'!$I$6:$I$305,$O1907))</f>
      </c>
      <c r="Q1907" s="225">
        <f>IF($O1907="","",INDEX('Kế hoạch'!$AJ$6:$AJ$305,$O1907))</f>
      </c>
      <c r="R1907" s="225">
        <f>IF($O1907="","",INDEX('Kế hoạch'!$AK$6:$AK$305,$O1907))</f>
      </c>
    </row>
    <row r="1908">
      <c r="A1908" s="223">
        <f>IF($C1908="","",COUNTIF($C$6:$C1908,"?*"))</f>
      </c>
      <c r="B1908" s="217"/>
      <c r="C1908" s="216"/>
      <c r="D1908" s="240"/>
      <c r="E1908" s="218"/>
      <c r="F1908" s="218"/>
      <c r="G1908" s="218"/>
      <c r="H1908" s="219"/>
      <c r="I1908" s="223">
        <f>IF($C1908="","",IF(ISNUMBER(MATCH($C1908,'Phản ánh'!$A$6:$A$505,0)),"Phản ánh",IF(ISNUMBER(MATCH($C1908,'Kế hoạch'!$A$6:$A$305,0)),"Công việc","Mã chưa có")))</f>
      </c>
      <c r="J1908" s="221">
        <f>IF($I1908="Phản ánh",INDEX('Phản ánh'!$C$6:$C$505,MATCH($C1908,'Phản ánh'!$A$6:$A$505,0)),IF($I1908="Công việc",INDEX('Kế hoạch'!$C$6:$C$305,$O1908),""))</f>
      </c>
      <c r="K1908" s="221">
        <f>IF($I1908="Phản ánh",INDEX('Phản ánh'!$K$6:$K$505,MATCH($C1908,'Phản ánh'!$A$6:$A$505,0))&amp;"",IF($I1908="Công việc",INDEX('Kế hoạch'!$N$6:$N$305,$O1908)&amp;"",""))</f>
      </c>
      <c r="L1908" s="220">
        <f>IF(OR($C1908="",N($B1908)=0),"",IF(AND($I1908="Phản ánh",$E1908="Đã xử lý"),INDEX('Phản ánh'!$U$6:$U$505,MATCH($C1908,'Phản ánh'!$A$6:$A$505,0)),IF(AND($I1908="Công việc",OR($E1908="Hoàn thành",$E1908="Hoàn thành kỳ")),IF(INDEX('Kế hoạch'!$B$6:$B$305,$O1908)="Đột xuất",INDEX('Kế hoạch'!$AY$6:$AY$305,$O1908),IF(N($P1908)=0,"",IF(INT($B1908)&lt;$P1908,$P1908,IF($Q1908&gt;0,$P1908+ROUND((INT($B1908)-$P1908)/$Q1908,0)*$Q1908,IF($R1908&gt;0,EDATE($P1908,ROUND((DATEDIF($P1908,INT($B1908),"m")+(INT($B1908)-EDATE($P1908,DATEDIF($P1908,INT($B1908),"m")))/(EDATE($P1908,DATEDIF($P1908,INT($B1908),"m")+1)-EDATE($P1908,DATEDIF($P1908,INT($B1908),"m"))))/$R1908,0)*$R1908),$P1908))))),"")))</f>
      </c>
      <c r="M1908" s="223">
        <f>IF(OR($C1908="",N($L1908)=0,N($B1908)=0),"",IF(IF(MOD($L1908,1)=0,INT($B1908),$B1908)&lt;=$L1908,"Đúng hạn","Trễ hạn"))</f>
      </c>
      <c r="N1908" s="225">
        <f>IF($C1908="","",ROW())</f>
      </c>
      <c r="O1908" s="225">
        <f>IF($I1908="Công việc",MATCH($C1908,'Kế hoạch'!$A$6:$A$305,0),"")</f>
      </c>
      <c r="P1908" s="234">
        <f>IF($O1908="","",INDEX('Kế hoạch'!$I$6:$I$305,$O1908))</f>
      </c>
      <c r="Q1908" s="225">
        <f>IF($O1908="","",INDEX('Kế hoạch'!$AJ$6:$AJ$305,$O1908))</f>
      </c>
      <c r="R1908" s="225">
        <f>IF($O1908="","",INDEX('Kế hoạch'!$AK$6:$AK$305,$O1908))</f>
      </c>
    </row>
    <row r="1909">
      <c r="A1909" s="223">
        <f>IF($C1909="","",COUNTIF($C$6:$C1909,"?*"))</f>
      </c>
      <c r="B1909" s="217"/>
      <c r="C1909" s="216"/>
      <c r="D1909" s="240"/>
      <c r="E1909" s="218"/>
      <c r="F1909" s="218"/>
      <c r="G1909" s="218"/>
      <c r="H1909" s="219"/>
      <c r="I1909" s="223">
        <f>IF($C1909="","",IF(ISNUMBER(MATCH($C1909,'Phản ánh'!$A$6:$A$505,0)),"Phản ánh",IF(ISNUMBER(MATCH($C1909,'Kế hoạch'!$A$6:$A$305,0)),"Công việc","Mã chưa có")))</f>
      </c>
      <c r="J1909" s="221">
        <f>IF($I1909="Phản ánh",INDEX('Phản ánh'!$C$6:$C$505,MATCH($C1909,'Phản ánh'!$A$6:$A$505,0)),IF($I1909="Công việc",INDEX('Kế hoạch'!$C$6:$C$305,$O1909),""))</f>
      </c>
      <c r="K1909" s="221">
        <f>IF($I1909="Phản ánh",INDEX('Phản ánh'!$K$6:$K$505,MATCH($C1909,'Phản ánh'!$A$6:$A$505,0))&amp;"",IF($I1909="Công việc",INDEX('Kế hoạch'!$N$6:$N$305,$O1909)&amp;"",""))</f>
      </c>
      <c r="L1909" s="220">
        <f>IF(OR($C1909="",N($B1909)=0),"",IF(AND($I1909="Phản ánh",$E1909="Đã xử lý"),INDEX('Phản ánh'!$U$6:$U$505,MATCH($C1909,'Phản ánh'!$A$6:$A$505,0)),IF(AND($I1909="Công việc",OR($E1909="Hoàn thành",$E1909="Hoàn thành kỳ")),IF(INDEX('Kế hoạch'!$B$6:$B$305,$O1909)="Đột xuất",INDEX('Kế hoạch'!$AY$6:$AY$305,$O1909),IF(N($P1909)=0,"",IF(INT($B1909)&lt;$P1909,$P1909,IF($Q1909&gt;0,$P1909+ROUND((INT($B1909)-$P1909)/$Q1909,0)*$Q1909,IF($R1909&gt;0,EDATE($P1909,ROUND((DATEDIF($P1909,INT($B1909),"m")+(INT($B1909)-EDATE($P1909,DATEDIF($P1909,INT($B1909),"m")))/(EDATE($P1909,DATEDIF($P1909,INT($B1909),"m")+1)-EDATE($P1909,DATEDIF($P1909,INT($B1909),"m"))))/$R1909,0)*$R1909),$P1909))))),"")))</f>
      </c>
      <c r="M1909" s="223">
        <f>IF(OR($C1909="",N($L1909)=0,N($B1909)=0),"",IF(IF(MOD($L1909,1)=0,INT($B1909),$B1909)&lt;=$L1909,"Đúng hạn","Trễ hạn"))</f>
      </c>
      <c r="N1909" s="225">
        <f>IF($C1909="","",ROW())</f>
      </c>
      <c r="O1909" s="225">
        <f>IF($I1909="Công việc",MATCH($C1909,'Kế hoạch'!$A$6:$A$305,0),"")</f>
      </c>
      <c r="P1909" s="234">
        <f>IF($O1909="","",INDEX('Kế hoạch'!$I$6:$I$305,$O1909))</f>
      </c>
      <c r="Q1909" s="225">
        <f>IF($O1909="","",INDEX('Kế hoạch'!$AJ$6:$AJ$305,$O1909))</f>
      </c>
      <c r="R1909" s="225">
        <f>IF($O1909="","",INDEX('Kế hoạch'!$AK$6:$AK$305,$O1909))</f>
      </c>
    </row>
    <row r="1910">
      <c r="A1910" s="223">
        <f>IF($C1910="","",COUNTIF($C$6:$C1910,"?*"))</f>
      </c>
      <c r="B1910" s="217"/>
      <c r="C1910" s="216"/>
      <c r="D1910" s="240"/>
      <c r="E1910" s="218"/>
      <c r="F1910" s="218"/>
      <c r="G1910" s="218"/>
      <c r="H1910" s="219"/>
      <c r="I1910" s="223">
        <f>IF($C1910="","",IF(ISNUMBER(MATCH($C1910,'Phản ánh'!$A$6:$A$505,0)),"Phản ánh",IF(ISNUMBER(MATCH($C1910,'Kế hoạch'!$A$6:$A$305,0)),"Công việc","Mã chưa có")))</f>
      </c>
      <c r="J1910" s="221">
        <f>IF($I1910="Phản ánh",INDEX('Phản ánh'!$C$6:$C$505,MATCH($C1910,'Phản ánh'!$A$6:$A$505,0)),IF($I1910="Công việc",INDEX('Kế hoạch'!$C$6:$C$305,$O1910),""))</f>
      </c>
      <c r="K1910" s="221">
        <f>IF($I1910="Phản ánh",INDEX('Phản ánh'!$K$6:$K$505,MATCH($C1910,'Phản ánh'!$A$6:$A$505,0))&amp;"",IF($I1910="Công việc",INDEX('Kế hoạch'!$N$6:$N$305,$O1910)&amp;"",""))</f>
      </c>
      <c r="L1910" s="220">
        <f>IF(OR($C1910="",N($B1910)=0),"",IF(AND($I1910="Phản ánh",$E1910="Đã xử lý"),INDEX('Phản ánh'!$U$6:$U$505,MATCH($C1910,'Phản ánh'!$A$6:$A$505,0)),IF(AND($I1910="Công việc",OR($E1910="Hoàn thành",$E1910="Hoàn thành kỳ")),IF(INDEX('Kế hoạch'!$B$6:$B$305,$O1910)="Đột xuất",INDEX('Kế hoạch'!$AY$6:$AY$305,$O1910),IF(N($P1910)=0,"",IF(INT($B1910)&lt;$P1910,$P1910,IF($Q1910&gt;0,$P1910+ROUND((INT($B1910)-$P1910)/$Q1910,0)*$Q1910,IF($R1910&gt;0,EDATE($P1910,ROUND((DATEDIF($P1910,INT($B1910),"m")+(INT($B1910)-EDATE($P1910,DATEDIF($P1910,INT($B1910),"m")))/(EDATE($P1910,DATEDIF($P1910,INT($B1910),"m")+1)-EDATE($P1910,DATEDIF($P1910,INT($B1910),"m"))))/$R1910,0)*$R1910),$P1910))))),"")))</f>
      </c>
      <c r="M1910" s="223">
        <f>IF(OR($C1910="",N($L1910)=0,N($B1910)=0),"",IF(IF(MOD($L1910,1)=0,INT($B1910),$B1910)&lt;=$L1910,"Đúng hạn","Trễ hạn"))</f>
      </c>
      <c r="N1910" s="225">
        <f>IF($C1910="","",ROW())</f>
      </c>
      <c r="O1910" s="225">
        <f>IF($I1910="Công việc",MATCH($C1910,'Kế hoạch'!$A$6:$A$305,0),"")</f>
      </c>
      <c r="P1910" s="234">
        <f>IF($O1910="","",INDEX('Kế hoạch'!$I$6:$I$305,$O1910))</f>
      </c>
      <c r="Q1910" s="225">
        <f>IF($O1910="","",INDEX('Kế hoạch'!$AJ$6:$AJ$305,$O1910))</f>
      </c>
      <c r="R1910" s="225">
        <f>IF($O1910="","",INDEX('Kế hoạch'!$AK$6:$AK$305,$O1910))</f>
      </c>
    </row>
    <row r="1911">
      <c r="A1911" s="223">
        <f>IF($C1911="","",COUNTIF($C$6:$C1911,"?*"))</f>
      </c>
      <c r="B1911" s="217"/>
      <c r="C1911" s="216"/>
      <c r="D1911" s="240"/>
      <c r="E1911" s="218"/>
      <c r="F1911" s="218"/>
      <c r="G1911" s="218"/>
      <c r="H1911" s="219"/>
      <c r="I1911" s="223">
        <f>IF($C1911="","",IF(ISNUMBER(MATCH($C1911,'Phản ánh'!$A$6:$A$505,0)),"Phản ánh",IF(ISNUMBER(MATCH($C1911,'Kế hoạch'!$A$6:$A$305,0)),"Công việc","Mã chưa có")))</f>
      </c>
      <c r="J1911" s="221">
        <f>IF($I1911="Phản ánh",INDEX('Phản ánh'!$C$6:$C$505,MATCH($C1911,'Phản ánh'!$A$6:$A$505,0)),IF($I1911="Công việc",INDEX('Kế hoạch'!$C$6:$C$305,$O1911),""))</f>
      </c>
      <c r="K1911" s="221">
        <f>IF($I1911="Phản ánh",INDEX('Phản ánh'!$K$6:$K$505,MATCH($C1911,'Phản ánh'!$A$6:$A$505,0))&amp;"",IF($I1911="Công việc",INDEX('Kế hoạch'!$N$6:$N$305,$O1911)&amp;"",""))</f>
      </c>
      <c r="L1911" s="220">
        <f>IF(OR($C1911="",N($B1911)=0),"",IF(AND($I1911="Phản ánh",$E1911="Đã xử lý"),INDEX('Phản ánh'!$U$6:$U$505,MATCH($C1911,'Phản ánh'!$A$6:$A$505,0)),IF(AND($I1911="Công việc",OR($E1911="Hoàn thành",$E1911="Hoàn thành kỳ")),IF(INDEX('Kế hoạch'!$B$6:$B$305,$O1911)="Đột xuất",INDEX('Kế hoạch'!$AY$6:$AY$305,$O1911),IF(N($P1911)=0,"",IF(INT($B1911)&lt;$P1911,$P1911,IF($Q1911&gt;0,$P1911+ROUND((INT($B1911)-$P1911)/$Q1911,0)*$Q1911,IF($R1911&gt;0,EDATE($P1911,ROUND((DATEDIF($P1911,INT($B1911),"m")+(INT($B1911)-EDATE($P1911,DATEDIF($P1911,INT($B1911),"m")))/(EDATE($P1911,DATEDIF($P1911,INT($B1911),"m")+1)-EDATE($P1911,DATEDIF($P1911,INT($B1911),"m"))))/$R1911,0)*$R1911),$P1911))))),"")))</f>
      </c>
      <c r="M1911" s="223">
        <f>IF(OR($C1911="",N($L1911)=0,N($B1911)=0),"",IF(IF(MOD($L1911,1)=0,INT($B1911),$B1911)&lt;=$L1911,"Đúng hạn","Trễ hạn"))</f>
      </c>
      <c r="N1911" s="225">
        <f>IF($C1911="","",ROW())</f>
      </c>
      <c r="O1911" s="225">
        <f>IF($I1911="Công việc",MATCH($C1911,'Kế hoạch'!$A$6:$A$305,0),"")</f>
      </c>
      <c r="P1911" s="234">
        <f>IF($O1911="","",INDEX('Kế hoạch'!$I$6:$I$305,$O1911))</f>
      </c>
      <c r="Q1911" s="225">
        <f>IF($O1911="","",INDEX('Kế hoạch'!$AJ$6:$AJ$305,$O1911))</f>
      </c>
      <c r="R1911" s="225">
        <f>IF($O1911="","",INDEX('Kế hoạch'!$AK$6:$AK$305,$O1911))</f>
      </c>
    </row>
    <row r="1912">
      <c r="A1912" s="223">
        <f>IF($C1912="","",COUNTIF($C$6:$C1912,"?*"))</f>
      </c>
      <c r="B1912" s="217"/>
      <c r="C1912" s="216"/>
      <c r="D1912" s="240"/>
      <c r="E1912" s="218"/>
      <c r="F1912" s="218"/>
      <c r="G1912" s="218"/>
      <c r="H1912" s="219"/>
      <c r="I1912" s="223">
        <f>IF($C1912="","",IF(ISNUMBER(MATCH($C1912,'Phản ánh'!$A$6:$A$505,0)),"Phản ánh",IF(ISNUMBER(MATCH($C1912,'Kế hoạch'!$A$6:$A$305,0)),"Công việc","Mã chưa có")))</f>
      </c>
      <c r="J1912" s="221">
        <f>IF($I1912="Phản ánh",INDEX('Phản ánh'!$C$6:$C$505,MATCH($C1912,'Phản ánh'!$A$6:$A$505,0)),IF($I1912="Công việc",INDEX('Kế hoạch'!$C$6:$C$305,$O1912),""))</f>
      </c>
      <c r="K1912" s="221">
        <f>IF($I1912="Phản ánh",INDEX('Phản ánh'!$K$6:$K$505,MATCH($C1912,'Phản ánh'!$A$6:$A$505,0))&amp;"",IF($I1912="Công việc",INDEX('Kế hoạch'!$N$6:$N$305,$O1912)&amp;"",""))</f>
      </c>
      <c r="L1912" s="220">
        <f>IF(OR($C1912="",N($B1912)=0),"",IF(AND($I1912="Phản ánh",$E1912="Đã xử lý"),INDEX('Phản ánh'!$U$6:$U$505,MATCH($C1912,'Phản ánh'!$A$6:$A$505,0)),IF(AND($I1912="Công việc",OR($E1912="Hoàn thành",$E1912="Hoàn thành kỳ")),IF(INDEX('Kế hoạch'!$B$6:$B$305,$O1912)="Đột xuất",INDEX('Kế hoạch'!$AY$6:$AY$305,$O1912),IF(N($P1912)=0,"",IF(INT($B1912)&lt;$P1912,$P1912,IF($Q1912&gt;0,$P1912+ROUND((INT($B1912)-$P1912)/$Q1912,0)*$Q1912,IF($R1912&gt;0,EDATE($P1912,ROUND((DATEDIF($P1912,INT($B1912),"m")+(INT($B1912)-EDATE($P1912,DATEDIF($P1912,INT($B1912),"m")))/(EDATE($P1912,DATEDIF($P1912,INT($B1912),"m")+1)-EDATE($P1912,DATEDIF($P1912,INT($B1912),"m"))))/$R1912,0)*$R1912),$P1912))))),"")))</f>
      </c>
      <c r="M1912" s="223">
        <f>IF(OR($C1912="",N($L1912)=0,N($B1912)=0),"",IF(IF(MOD($L1912,1)=0,INT($B1912),$B1912)&lt;=$L1912,"Đúng hạn","Trễ hạn"))</f>
      </c>
      <c r="N1912" s="225">
        <f>IF($C1912="","",ROW())</f>
      </c>
      <c r="O1912" s="225">
        <f>IF($I1912="Công việc",MATCH($C1912,'Kế hoạch'!$A$6:$A$305,0),"")</f>
      </c>
      <c r="P1912" s="234">
        <f>IF($O1912="","",INDEX('Kế hoạch'!$I$6:$I$305,$O1912))</f>
      </c>
      <c r="Q1912" s="225">
        <f>IF($O1912="","",INDEX('Kế hoạch'!$AJ$6:$AJ$305,$O1912))</f>
      </c>
      <c r="R1912" s="225">
        <f>IF($O1912="","",INDEX('Kế hoạch'!$AK$6:$AK$305,$O1912))</f>
      </c>
    </row>
    <row r="1913">
      <c r="A1913" s="223">
        <f>IF($C1913="","",COUNTIF($C$6:$C1913,"?*"))</f>
      </c>
      <c r="B1913" s="217"/>
      <c r="C1913" s="216"/>
      <c r="D1913" s="240"/>
      <c r="E1913" s="218"/>
      <c r="F1913" s="218"/>
      <c r="G1913" s="218"/>
      <c r="H1913" s="219"/>
      <c r="I1913" s="223">
        <f>IF($C1913="","",IF(ISNUMBER(MATCH($C1913,'Phản ánh'!$A$6:$A$505,0)),"Phản ánh",IF(ISNUMBER(MATCH($C1913,'Kế hoạch'!$A$6:$A$305,0)),"Công việc","Mã chưa có")))</f>
      </c>
      <c r="J1913" s="221">
        <f>IF($I1913="Phản ánh",INDEX('Phản ánh'!$C$6:$C$505,MATCH($C1913,'Phản ánh'!$A$6:$A$505,0)),IF($I1913="Công việc",INDEX('Kế hoạch'!$C$6:$C$305,$O1913),""))</f>
      </c>
      <c r="K1913" s="221">
        <f>IF($I1913="Phản ánh",INDEX('Phản ánh'!$K$6:$K$505,MATCH($C1913,'Phản ánh'!$A$6:$A$505,0))&amp;"",IF($I1913="Công việc",INDEX('Kế hoạch'!$N$6:$N$305,$O1913)&amp;"",""))</f>
      </c>
      <c r="L1913" s="220">
        <f>IF(OR($C1913="",N($B1913)=0),"",IF(AND($I1913="Phản ánh",$E1913="Đã xử lý"),INDEX('Phản ánh'!$U$6:$U$505,MATCH($C1913,'Phản ánh'!$A$6:$A$505,0)),IF(AND($I1913="Công việc",OR($E1913="Hoàn thành",$E1913="Hoàn thành kỳ")),IF(INDEX('Kế hoạch'!$B$6:$B$305,$O1913)="Đột xuất",INDEX('Kế hoạch'!$AY$6:$AY$305,$O1913),IF(N($P1913)=0,"",IF(INT($B1913)&lt;$P1913,$P1913,IF($Q1913&gt;0,$P1913+ROUND((INT($B1913)-$P1913)/$Q1913,0)*$Q1913,IF($R1913&gt;0,EDATE($P1913,ROUND((DATEDIF($P1913,INT($B1913),"m")+(INT($B1913)-EDATE($P1913,DATEDIF($P1913,INT($B1913),"m")))/(EDATE($P1913,DATEDIF($P1913,INT($B1913),"m")+1)-EDATE($P1913,DATEDIF($P1913,INT($B1913),"m"))))/$R1913,0)*$R1913),$P1913))))),"")))</f>
      </c>
      <c r="M1913" s="223">
        <f>IF(OR($C1913="",N($L1913)=0,N($B1913)=0),"",IF(IF(MOD($L1913,1)=0,INT($B1913),$B1913)&lt;=$L1913,"Đúng hạn","Trễ hạn"))</f>
      </c>
      <c r="N1913" s="225">
        <f>IF($C1913="","",ROW())</f>
      </c>
      <c r="O1913" s="225">
        <f>IF($I1913="Công việc",MATCH($C1913,'Kế hoạch'!$A$6:$A$305,0),"")</f>
      </c>
      <c r="P1913" s="234">
        <f>IF($O1913="","",INDEX('Kế hoạch'!$I$6:$I$305,$O1913))</f>
      </c>
      <c r="Q1913" s="225">
        <f>IF($O1913="","",INDEX('Kế hoạch'!$AJ$6:$AJ$305,$O1913))</f>
      </c>
      <c r="R1913" s="225">
        <f>IF($O1913="","",INDEX('Kế hoạch'!$AK$6:$AK$305,$O1913))</f>
      </c>
    </row>
    <row r="1914">
      <c r="A1914" s="223">
        <f>IF($C1914="","",COUNTIF($C$6:$C1914,"?*"))</f>
      </c>
      <c r="B1914" s="217"/>
      <c r="C1914" s="216"/>
      <c r="D1914" s="240"/>
      <c r="E1914" s="218"/>
      <c r="F1914" s="218"/>
      <c r="G1914" s="218"/>
      <c r="H1914" s="219"/>
      <c r="I1914" s="223">
        <f>IF($C1914="","",IF(ISNUMBER(MATCH($C1914,'Phản ánh'!$A$6:$A$505,0)),"Phản ánh",IF(ISNUMBER(MATCH($C1914,'Kế hoạch'!$A$6:$A$305,0)),"Công việc","Mã chưa có")))</f>
      </c>
      <c r="J1914" s="221">
        <f>IF($I1914="Phản ánh",INDEX('Phản ánh'!$C$6:$C$505,MATCH($C1914,'Phản ánh'!$A$6:$A$505,0)),IF($I1914="Công việc",INDEX('Kế hoạch'!$C$6:$C$305,$O1914),""))</f>
      </c>
      <c r="K1914" s="221">
        <f>IF($I1914="Phản ánh",INDEX('Phản ánh'!$K$6:$K$505,MATCH($C1914,'Phản ánh'!$A$6:$A$505,0))&amp;"",IF($I1914="Công việc",INDEX('Kế hoạch'!$N$6:$N$305,$O1914)&amp;"",""))</f>
      </c>
      <c r="L1914" s="220">
        <f>IF(OR($C1914="",N($B1914)=0),"",IF(AND($I1914="Phản ánh",$E1914="Đã xử lý"),INDEX('Phản ánh'!$U$6:$U$505,MATCH($C1914,'Phản ánh'!$A$6:$A$505,0)),IF(AND($I1914="Công việc",OR($E1914="Hoàn thành",$E1914="Hoàn thành kỳ")),IF(INDEX('Kế hoạch'!$B$6:$B$305,$O1914)="Đột xuất",INDEX('Kế hoạch'!$AY$6:$AY$305,$O1914),IF(N($P1914)=0,"",IF(INT($B1914)&lt;$P1914,$P1914,IF($Q1914&gt;0,$P1914+ROUND((INT($B1914)-$P1914)/$Q1914,0)*$Q1914,IF($R1914&gt;0,EDATE($P1914,ROUND((DATEDIF($P1914,INT($B1914),"m")+(INT($B1914)-EDATE($P1914,DATEDIF($P1914,INT($B1914),"m")))/(EDATE($P1914,DATEDIF($P1914,INT($B1914),"m")+1)-EDATE($P1914,DATEDIF($P1914,INT($B1914),"m"))))/$R1914,0)*$R1914),$P1914))))),"")))</f>
      </c>
      <c r="M1914" s="223">
        <f>IF(OR($C1914="",N($L1914)=0,N($B1914)=0),"",IF(IF(MOD($L1914,1)=0,INT($B1914),$B1914)&lt;=$L1914,"Đúng hạn","Trễ hạn"))</f>
      </c>
      <c r="N1914" s="225">
        <f>IF($C1914="","",ROW())</f>
      </c>
      <c r="O1914" s="225">
        <f>IF($I1914="Công việc",MATCH($C1914,'Kế hoạch'!$A$6:$A$305,0),"")</f>
      </c>
      <c r="P1914" s="234">
        <f>IF($O1914="","",INDEX('Kế hoạch'!$I$6:$I$305,$O1914))</f>
      </c>
      <c r="Q1914" s="225">
        <f>IF($O1914="","",INDEX('Kế hoạch'!$AJ$6:$AJ$305,$O1914))</f>
      </c>
      <c r="R1914" s="225">
        <f>IF($O1914="","",INDEX('Kế hoạch'!$AK$6:$AK$305,$O1914))</f>
      </c>
    </row>
    <row r="1915">
      <c r="A1915" s="223">
        <f>IF($C1915="","",COUNTIF($C$6:$C1915,"?*"))</f>
      </c>
      <c r="B1915" s="217"/>
      <c r="C1915" s="216"/>
      <c r="D1915" s="240"/>
      <c r="E1915" s="218"/>
      <c r="F1915" s="218"/>
      <c r="G1915" s="218"/>
      <c r="H1915" s="219"/>
      <c r="I1915" s="223">
        <f>IF($C1915="","",IF(ISNUMBER(MATCH($C1915,'Phản ánh'!$A$6:$A$505,0)),"Phản ánh",IF(ISNUMBER(MATCH($C1915,'Kế hoạch'!$A$6:$A$305,0)),"Công việc","Mã chưa có")))</f>
      </c>
      <c r="J1915" s="221">
        <f>IF($I1915="Phản ánh",INDEX('Phản ánh'!$C$6:$C$505,MATCH($C1915,'Phản ánh'!$A$6:$A$505,0)),IF($I1915="Công việc",INDEX('Kế hoạch'!$C$6:$C$305,$O1915),""))</f>
      </c>
      <c r="K1915" s="221">
        <f>IF($I1915="Phản ánh",INDEX('Phản ánh'!$K$6:$K$505,MATCH($C1915,'Phản ánh'!$A$6:$A$505,0))&amp;"",IF($I1915="Công việc",INDEX('Kế hoạch'!$N$6:$N$305,$O1915)&amp;"",""))</f>
      </c>
      <c r="L1915" s="220">
        <f>IF(OR($C1915="",N($B1915)=0),"",IF(AND($I1915="Phản ánh",$E1915="Đã xử lý"),INDEX('Phản ánh'!$U$6:$U$505,MATCH($C1915,'Phản ánh'!$A$6:$A$505,0)),IF(AND($I1915="Công việc",OR($E1915="Hoàn thành",$E1915="Hoàn thành kỳ")),IF(INDEX('Kế hoạch'!$B$6:$B$305,$O1915)="Đột xuất",INDEX('Kế hoạch'!$AY$6:$AY$305,$O1915),IF(N($P1915)=0,"",IF(INT($B1915)&lt;$P1915,$P1915,IF($Q1915&gt;0,$P1915+ROUND((INT($B1915)-$P1915)/$Q1915,0)*$Q1915,IF($R1915&gt;0,EDATE($P1915,ROUND((DATEDIF($P1915,INT($B1915),"m")+(INT($B1915)-EDATE($P1915,DATEDIF($P1915,INT($B1915),"m")))/(EDATE($P1915,DATEDIF($P1915,INT($B1915),"m")+1)-EDATE($P1915,DATEDIF($P1915,INT($B1915),"m"))))/$R1915,0)*$R1915),$P1915))))),"")))</f>
      </c>
      <c r="M1915" s="223">
        <f>IF(OR($C1915="",N($L1915)=0,N($B1915)=0),"",IF(IF(MOD($L1915,1)=0,INT($B1915),$B1915)&lt;=$L1915,"Đúng hạn","Trễ hạn"))</f>
      </c>
      <c r="N1915" s="225">
        <f>IF($C1915="","",ROW())</f>
      </c>
      <c r="O1915" s="225">
        <f>IF($I1915="Công việc",MATCH($C1915,'Kế hoạch'!$A$6:$A$305,0),"")</f>
      </c>
      <c r="P1915" s="234">
        <f>IF($O1915="","",INDEX('Kế hoạch'!$I$6:$I$305,$O1915))</f>
      </c>
      <c r="Q1915" s="225">
        <f>IF($O1915="","",INDEX('Kế hoạch'!$AJ$6:$AJ$305,$O1915))</f>
      </c>
      <c r="R1915" s="225">
        <f>IF($O1915="","",INDEX('Kế hoạch'!$AK$6:$AK$305,$O1915))</f>
      </c>
    </row>
    <row r="1916">
      <c r="A1916" s="223">
        <f>IF($C1916="","",COUNTIF($C$6:$C1916,"?*"))</f>
      </c>
      <c r="B1916" s="217"/>
      <c r="C1916" s="216"/>
      <c r="D1916" s="240"/>
      <c r="E1916" s="218"/>
      <c r="F1916" s="218"/>
      <c r="G1916" s="218"/>
      <c r="H1916" s="219"/>
      <c r="I1916" s="223">
        <f>IF($C1916="","",IF(ISNUMBER(MATCH($C1916,'Phản ánh'!$A$6:$A$505,0)),"Phản ánh",IF(ISNUMBER(MATCH($C1916,'Kế hoạch'!$A$6:$A$305,0)),"Công việc","Mã chưa có")))</f>
      </c>
      <c r="J1916" s="221">
        <f>IF($I1916="Phản ánh",INDEX('Phản ánh'!$C$6:$C$505,MATCH($C1916,'Phản ánh'!$A$6:$A$505,0)),IF($I1916="Công việc",INDEX('Kế hoạch'!$C$6:$C$305,$O1916),""))</f>
      </c>
      <c r="K1916" s="221">
        <f>IF($I1916="Phản ánh",INDEX('Phản ánh'!$K$6:$K$505,MATCH($C1916,'Phản ánh'!$A$6:$A$505,0))&amp;"",IF($I1916="Công việc",INDEX('Kế hoạch'!$N$6:$N$305,$O1916)&amp;"",""))</f>
      </c>
      <c r="L1916" s="220">
        <f>IF(OR($C1916="",N($B1916)=0),"",IF(AND($I1916="Phản ánh",$E1916="Đã xử lý"),INDEX('Phản ánh'!$U$6:$U$505,MATCH($C1916,'Phản ánh'!$A$6:$A$505,0)),IF(AND($I1916="Công việc",OR($E1916="Hoàn thành",$E1916="Hoàn thành kỳ")),IF(INDEX('Kế hoạch'!$B$6:$B$305,$O1916)="Đột xuất",INDEX('Kế hoạch'!$AY$6:$AY$305,$O1916),IF(N($P1916)=0,"",IF(INT($B1916)&lt;$P1916,$P1916,IF($Q1916&gt;0,$P1916+ROUND((INT($B1916)-$P1916)/$Q1916,0)*$Q1916,IF($R1916&gt;0,EDATE($P1916,ROUND((DATEDIF($P1916,INT($B1916),"m")+(INT($B1916)-EDATE($P1916,DATEDIF($P1916,INT($B1916),"m")))/(EDATE($P1916,DATEDIF($P1916,INT($B1916),"m")+1)-EDATE($P1916,DATEDIF($P1916,INT($B1916),"m"))))/$R1916,0)*$R1916),$P1916))))),"")))</f>
      </c>
      <c r="M1916" s="223">
        <f>IF(OR($C1916="",N($L1916)=0,N($B1916)=0),"",IF(IF(MOD($L1916,1)=0,INT($B1916),$B1916)&lt;=$L1916,"Đúng hạn","Trễ hạn"))</f>
      </c>
      <c r="N1916" s="225">
        <f>IF($C1916="","",ROW())</f>
      </c>
      <c r="O1916" s="225">
        <f>IF($I1916="Công việc",MATCH($C1916,'Kế hoạch'!$A$6:$A$305,0),"")</f>
      </c>
      <c r="P1916" s="234">
        <f>IF($O1916="","",INDEX('Kế hoạch'!$I$6:$I$305,$O1916))</f>
      </c>
      <c r="Q1916" s="225">
        <f>IF($O1916="","",INDEX('Kế hoạch'!$AJ$6:$AJ$305,$O1916))</f>
      </c>
      <c r="R1916" s="225">
        <f>IF($O1916="","",INDEX('Kế hoạch'!$AK$6:$AK$305,$O1916))</f>
      </c>
    </row>
    <row r="1917">
      <c r="A1917" s="223">
        <f>IF($C1917="","",COUNTIF($C$6:$C1917,"?*"))</f>
      </c>
      <c r="B1917" s="217"/>
      <c r="C1917" s="216"/>
      <c r="D1917" s="240"/>
      <c r="E1917" s="218"/>
      <c r="F1917" s="218"/>
      <c r="G1917" s="218"/>
      <c r="H1917" s="219"/>
      <c r="I1917" s="223">
        <f>IF($C1917="","",IF(ISNUMBER(MATCH($C1917,'Phản ánh'!$A$6:$A$505,0)),"Phản ánh",IF(ISNUMBER(MATCH($C1917,'Kế hoạch'!$A$6:$A$305,0)),"Công việc","Mã chưa có")))</f>
      </c>
      <c r="J1917" s="221">
        <f>IF($I1917="Phản ánh",INDEX('Phản ánh'!$C$6:$C$505,MATCH($C1917,'Phản ánh'!$A$6:$A$505,0)),IF($I1917="Công việc",INDEX('Kế hoạch'!$C$6:$C$305,$O1917),""))</f>
      </c>
      <c r="K1917" s="221">
        <f>IF($I1917="Phản ánh",INDEX('Phản ánh'!$K$6:$K$505,MATCH($C1917,'Phản ánh'!$A$6:$A$505,0))&amp;"",IF($I1917="Công việc",INDEX('Kế hoạch'!$N$6:$N$305,$O1917)&amp;"",""))</f>
      </c>
      <c r="L1917" s="220">
        <f>IF(OR($C1917="",N($B1917)=0),"",IF(AND($I1917="Phản ánh",$E1917="Đã xử lý"),INDEX('Phản ánh'!$U$6:$U$505,MATCH($C1917,'Phản ánh'!$A$6:$A$505,0)),IF(AND($I1917="Công việc",OR($E1917="Hoàn thành",$E1917="Hoàn thành kỳ")),IF(INDEX('Kế hoạch'!$B$6:$B$305,$O1917)="Đột xuất",INDEX('Kế hoạch'!$AY$6:$AY$305,$O1917),IF(N($P1917)=0,"",IF(INT($B1917)&lt;$P1917,$P1917,IF($Q1917&gt;0,$P1917+ROUND((INT($B1917)-$P1917)/$Q1917,0)*$Q1917,IF($R1917&gt;0,EDATE($P1917,ROUND((DATEDIF($P1917,INT($B1917),"m")+(INT($B1917)-EDATE($P1917,DATEDIF($P1917,INT($B1917),"m")))/(EDATE($P1917,DATEDIF($P1917,INT($B1917),"m")+1)-EDATE($P1917,DATEDIF($P1917,INT($B1917),"m"))))/$R1917,0)*$R1917),$P1917))))),"")))</f>
      </c>
      <c r="M1917" s="223">
        <f>IF(OR($C1917="",N($L1917)=0,N($B1917)=0),"",IF(IF(MOD($L1917,1)=0,INT($B1917),$B1917)&lt;=$L1917,"Đúng hạn","Trễ hạn"))</f>
      </c>
      <c r="N1917" s="225">
        <f>IF($C1917="","",ROW())</f>
      </c>
      <c r="O1917" s="225">
        <f>IF($I1917="Công việc",MATCH($C1917,'Kế hoạch'!$A$6:$A$305,0),"")</f>
      </c>
      <c r="P1917" s="234">
        <f>IF($O1917="","",INDEX('Kế hoạch'!$I$6:$I$305,$O1917))</f>
      </c>
      <c r="Q1917" s="225">
        <f>IF($O1917="","",INDEX('Kế hoạch'!$AJ$6:$AJ$305,$O1917))</f>
      </c>
      <c r="R1917" s="225">
        <f>IF($O1917="","",INDEX('Kế hoạch'!$AK$6:$AK$305,$O1917))</f>
      </c>
    </row>
    <row r="1918">
      <c r="A1918" s="223">
        <f>IF($C1918="","",COUNTIF($C$6:$C1918,"?*"))</f>
      </c>
      <c r="B1918" s="217"/>
      <c r="C1918" s="216"/>
      <c r="D1918" s="240"/>
      <c r="E1918" s="218"/>
      <c r="F1918" s="218"/>
      <c r="G1918" s="218"/>
      <c r="H1918" s="219"/>
      <c r="I1918" s="223">
        <f>IF($C1918="","",IF(ISNUMBER(MATCH($C1918,'Phản ánh'!$A$6:$A$505,0)),"Phản ánh",IF(ISNUMBER(MATCH($C1918,'Kế hoạch'!$A$6:$A$305,0)),"Công việc","Mã chưa có")))</f>
      </c>
      <c r="J1918" s="221">
        <f>IF($I1918="Phản ánh",INDEX('Phản ánh'!$C$6:$C$505,MATCH($C1918,'Phản ánh'!$A$6:$A$505,0)),IF($I1918="Công việc",INDEX('Kế hoạch'!$C$6:$C$305,$O1918),""))</f>
      </c>
      <c r="K1918" s="221">
        <f>IF($I1918="Phản ánh",INDEX('Phản ánh'!$K$6:$K$505,MATCH($C1918,'Phản ánh'!$A$6:$A$505,0))&amp;"",IF($I1918="Công việc",INDEX('Kế hoạch'!$N$6:$N$305,$O1918)&amp;"",""))</f>
      </c>
      <c r="L1918" s="220">
        <f>IF(OR($C1918="",N($B1918)=0),"",IF(AND($I1918="Phản ánh",$E1918="Đã xử lý"),INDEX('Phản ánh'!$U$6:$U$505,MATCH($C1918,'Phản ánh'!$A$6:$A$505,0)),IF(AND($I1918="Công việc",OR($E1918="Hoàn thành",$E1918="Hoàn thành kỳ")),IF(INDEX('Kế hoạch'!$B$6:$B$305,$O1918)="Đột xuất",INDEX('Kế hoạch'!$AY$6:$AY$305,$O1918),IF(N($P1918)=0,"",IF(INT($B1918)&lt;$P1918,$P1918,IF($Q1918&gt;0,$P1918+ROUND((INT($B1918)-$P1918)/$Q1918,0)*$Q1918,IF($R1918&gt;0,EDATE($P1918,ROUND((DATEDIF($P1918,INT($B1918),"m")+(INT($B1918)-EDATE($P1918,DATEDIF($P1918,INT($B1918),"m")))/(EDATE($P1918,DATEDIF($P1918,INT($B1918),"m")+1)-EDATE($P1918,DATEDIF($P1918,INT($B1918),"m"))))/$R1918,0)*$R1918),$P1918))))),"")))</f>
      </c>
      <c r="M1918" s="223">
        <f>IF(OR($C1918="",N($L1918)=0,N($B1918)=0),"",IF(IF(MOD($L1918,1)=0,INT($B1918),$B1918)&lt;=$L1918,"Đúng hạn","Trễ hạn"))</f>
      </c>
      <c r="N1918" s="225">
        <f>IF($C1918="","",ROW())</f>
      </c>
      <c r="O1918" s="225">
        <f>IF($I1918="Công việc",MATCH($C1918,'Kế hoạch'!$A$6:$A$305,0),"")</f>
      </c>
      <c r="P1918" s="234">
        <f>IF($O1918="","",INDEX('Kế hoạch'!$I$6:$I$305,$O1918))</f>
      </c>
      <c r="Q1918" s="225">
        <f>IF($O1918="","",INDEX('Kế hoạch'!$AJ$6:$AJ$305,$O1918))</f>
      </c>
      <c r="R1918" s="225">
        <f>IF($O1918="","",INDEX('Kế hoạch'!$AK$6:$AK$305,$O1918))</f>
      </c>
    </row>
    <row r="1919">
      <c r="A1919" s="223">
        <f>IF($C1919="","",COUNTIF($C$6:$C1919,"?*"))</f>
      </c>
      <c r="B1919" s="217"/>
      <c r="C1919" s="216"/>
      <c r="D1919" s="240"/>
      <c r="E1919" s="218"/>
      <c r="F1919" s="218"/>
      <c r="G1919" s="218"/>
      <c r="H1919" s="219"/>
      <c r="I1919" s="223">
        <f>IF($C1919="","",IF(ISNUMBER(MATCH($C1919,'Phản ánh'!$A$6:$A$505,0)),"Phản ánh",IF(ISNUMBER(MATCH($C1919,'Kế hoạch'!$A$6:$A$305,0)),"Công việc","Mã chưa có")))</f>
      </c>
      <c r="J1919" s="221">
        <f>IF($I1919="Phản ánh",INDEX('Phản ánh'!$C$6:$C$505,MATCH($C1919,'Phản ánh'!$A$6:$A$505,0)),IF($I1919="Công việc",INDEX('Kế hoạch'!$C$6:$C$305,$O1919),""))</f>
      </c>
      <c r="K1919" s="221">
        <f>IF($I1919="Phản ánh",INDEX('Phản ánh'!$K$6:$K$505,MATCH($C1919,'Phản ánh'!$A$6:$A$505,0))&amp;"",IF($I1919="Công việc",INDEX('Kế hoạch'!$N$6:$N$305,$O1919)&amp;"",""))</f>
      </c>
      <c r="L1919" s="220">
        <f>IF(OR($C1919="",N($B1919)=0),"",IF(AND($I1919="Phản ánh",$E1919="Đã xử lý"),INDEX('Phản ánh'!$U$6:$U$505,MATCH($C1919,'Phản ánh'!$A$6:$A$505,0)),IF(AND($I1919="Công việc",OR($E1919="Hoàn thành",$E1919="Hoàn thành kỳ")),IF(INDEX('Kế hoạch'!$B$6:$B$305,$O1919)="Đột xuất",INDEX('Kế hoạch'!$AY$6:$AY$305,$O1919),IF(N($P1919)=0,"",IF(INT($B1919)&lt;$P1919,$P1919,IF($Q1919&gt;0,$P1919+ROUND((INT($B1919)-$P1919)/$Q1919,0)*$Q1919,IF($R1919&gt;0,EDATE($P1919,ROUND((DATEDIF($P1919,INT($B1919),"m")+(INT($B1919)-EDATE($P1919,DATEDIF($P1919,INT($B1919),"m")))/(EDATE($P1919,DATEDIF($P1919,INT($B1919),"m")+1)-EDATE($P1919,DATEDIF($P1919,INT($B1919),"m"))))/$R1919,0)*$R1919),$P1919))))),"")))</f>
      </c>
      <c r="M1919" s="223">
        <f>IF(OR($C1919="",N($L1919)=0,N($B1919)=0),"",IF(IF(MOD($L1919,1)=0,INT($B1919),$B1919)&lt;=$L1919,"Đúng hạn","Trễ hạn"))</f>
      </c>
      <c r="N1919" s="225">
        <f>IF($C1919="","",ROW())</f>
      </c>
      <c r="O1919" s="225">
        <f>IF($I1919="Công việc",MATCH($C1919,'Kế hoạch'!$A$6:$A$305,0),"")</f>
      </c>
      <c r="P1919" s="234">
        <f>IF($O1919="","",INDEX('Kế hoạch'!$I$6:$I$305,$O1919))</f>
      </c>
      <c r="Q1919" s="225">
        <f>IF($O1919="","",INDEX('Kế hoạch'!$AJ$6:$AJ$305,$O1919))</f>
      </c>
      <c r="R1919" s="225">
        <f>IF($O1919="","",INDEX('Kế hoạch'!$AK$6:$AK$305,$O1919))</f>
      </c>
    </row>
    <row r="1920">
      <c r="A1920" s="223">
        <f>IF($C1920="","",COUNTIF($C$6:$C1920,"?*"))</f>
      </c>
      <c r="B1920" s="217"/>
      <c r="C1920" s="216"/>
      <c r="D1920" s="240"/>
      <c r="E1920" s="218"/>
      <c r="F1920" s="218"/>
      <c r="G1920" s="218"/>
      <c r="H1920" s="219"/>
      <c r="I1920" s="223">
        <f>IF($C1920="","",IF(ISNUMBER(MATCH($C1920,'Phản ánh'!$A$6:$A$505,0)),"Phản ánh",IF(ISNUMBER(MATCH($C1920,'Kế hoạch'!$A$6:$A$305,0)),"Công việc","Mã chưa có")))</f>
      </c>
      <c r="J1920" s="221">
        <f>IF($I1920="Phản ánh",INDEX('Phản ánh'!$C$6:$C$505,MATCH($C1920,'Phản ánh'!$A$6:$A$505,0)),IF($I1920="Công việc",INDEX('Kế hoạch'!$C$6:$C$305,$O1920),""))</f>
      </c>
      <c r="K1920" s="221">
        <f>IF($I1920="Phản ánh",INDEX('Phản ánh'!$K$6:$K$505,MATCH($C1920,'Phản ánh'!$A$6:$A$505,0))&amp;"",IF($I1920="Công việc",INDEX('Kế hoạch'!$N$6:$N$305,$O1920)&amp;"",""))</f>
      </c>
      <c r="L1920" s="220">
        <f>IF(OR($C1920="",N($B1920)=0),"",IF(AND($I1920="Phản ánh",$E1920="Đã xử lý"),INDEX('Phản ánh'!$U$6:$U$505,MATCH($C1920,'Phản ánh'!$A$6:$A$505,0)),IF(AND($I1920="Công việc",OR($E1920="Hoàn thành",$E1920="Hoàn thành kỳ")),IF(INDEX('Kế hoạch'!$B$6:$B$305,$O1920)="Đột xuất",INDEX('Kế hoạch'!$AY$6:$AY$305,$O1920),IF(N($P1920)=0,"",IF(INT($B1920)&lt;$P1920,$P1920,IF($Q1920&gt;0,$P1920+ROUND((INT($B1920)-$P1920)/$Q1920,0)*$Q1920,IF($R1920&gt;0,EDATE($P1920,ROUND((DATEDIF($P1920,INT($B1920),"m")+(INT($B1920)-EDATE($P1920,DATEDIF($P1920,INT($B1920),"m")))/(EDATE($P1920,DATEDIF($P1920,INT($B1920),"m")+1)-EDATE($P1920,DATEDIF($P1920,INT($B1920),"m"))))/$R1920,0)*$R1920),$P1920))))),"")))</f>
      </c>
      <c r="M1920" s="223">
        <f>IF(OR($C1920="",N($L1920)=0,N($B1920)=0),"",IF(IF(MOD($L1920,1)=0,INT($B1920),$B1920)&lt;=$L1920,"Đúng hạn","Trễ hạn"))</f>
      </c>
      <c r="N1920" s="225">
        <f>IF($C1920="","",ROW())</f>
      </c>
      <c r="O1920" s="225">
        <f>IF($I1920="Công việc",MATCH($C1920,'Kế hoạch'!$A$6:$A$305,0),"")</f>
      </c>
      <c r="P1920" s="234">
        <f>IF($O1920="","",INDEX('Kế hoạch'!$I$6:$I$305,$O1920))</f>
      </c>
      <c r="Q1920" s="225">
        <f>IF($O1920="","",INDEX('Kế hoạch'!$AJ$6:$AJ$305,$O1920))</f>
      </c>
      <c r="R1920" s="225">
        <f>IF($O1920="","",INDEX('Kế hoạch'!$AK$6:$AK$305,$O1920))</f>
      </c>
    </row>
    <row r="1921">
      <c r="A1921" s="223">
        <f>IF($C1921="","",COUNTIF($C$6:$C1921,"?*"))</f>
      </c>
      <c r="B1921" s="217"/>
      <c r="C1921" s="216"/>
      <c r="D1921" s="240"/>
      <c r="E1921" s="218"/>
      <c r="F1921" s="218"/>
      <c r="G1921" s="218"/>
      <c r="H1921" s="219"/>
      <c r="I1921" s="223">
        <f>IF($C1921="","",IF(ISNUMBER(MATCH($C1921,'Phản ánh'!$A$6:$A$505,0)),"Phản ánh",IF(ISNUMBER(MATCH($C1921,'Kế hoạch'!$A$6:$A$305,0)),"Công việc","Mã chưa có")))</f>
      </c>
      <c r="J1921" s="221">
        <f>IF($I1921="Phản ánh",INDEX('Phản ánh'!$C$6:$C$505,MATCH($C1921,'Phản ánh'!$A$6:$A$505,0)),IF($I1921="Công việc",INDEX('Kế hoạch'!$C$6:$C$305,$O1921),""))</f>
      </c>
      <c r="K1921" s="221">
        <f>IF($I1921="Phản ánh",INDEX('Phản ánh'!$K$6:$K$505,MATCH($C1921,'Phản ánh'!$A$6:$A$505,0))&amp;"",IF($I1921="Công việc",INDEX('Kế hoạch'!$N$6:$N$305,$O1921)&amp;"",""))</f>
      </c>
      <c r="L1921" s="220">
        <f>IF(OR($C1921="",N($B1921)=0),"",IF(AND($I1921="Phản ánh",$E1921="Đã xử lý"),INDEX('Phản ánh'!$U$6:$U$505,MATCH($C1921,'Phản ánh'!$A$6:$A$505,0)),IF(AND($I1921="Công việc",OR($E1921="Hoàn thành",$E1921="Hoàn thành kỳ")),IF(INDEX('Kế hoạch'!$B$6:$B$305,$O1921)="Đột xuất",INDEX('Kế hoạch'!$AY$6:$AY$305,$O1921),IF(N($P1921)=0,"",IF(INT($B1921)&lt;$P1921,$P1921,IF($Q1921&gt;0,$P1921+ROUND((INT($B1921)-$P1921)/$Q1921,0)*$Q1921,IF($R1921&gt;0,EDATE($P1921,ROUND((DATEDIF($P1921,INT($B1921),"m")+(INT($B1921)-EDATE($P1921,DATEDIF($P1921,INT($B1921),"m")))/(EDATE($P1921,DATEDIF($P1921,INT($B1921),"m")+1)-EDATE($P1921,DATEDIF($P1921,INT($B1921),"m"))))/$R1921,0)*$R1921),$P1921))))),"")))</f>
      </c>
      <c r="M1921" s="223">
        <f>IF(OR($C1921="",N($L1921)=0,N($B1921)=0),"",IF(IF(MOD($L1921,1)=0,INT($B1921),$B1921)&lt;=$L1921,"Đúng hạn","Trễ hạn"))</f>
      </c>
      <c r="N1921" s="225">
        <f>IF($C1921="","",ROW())</f>
      </c>
      <c r="O1921" s="225">
        <f>IF($I1921="Công việc",MATCH($C1921,'Kế hoạch'!$A$6:$A$305,0),"")</f>
      </c>
      <c r="P1921" s="234">
        <f>IF($O1921="","",INDEX('Kế hoạch'!$I$6:$I$305,$O1921))</f>
      </c>
      <c r="Q1921" s="225">
        <f>IF($O1921="","",INDEX('Kế hoạch'!$AJ$6:$AJ$305,$O1921))</f>
      </c>
      <c r="R1921" s="225">
        <f>IF($O1921="","",INDEX('Kế hoạch'!$AK$6:$AK$305,$O1921))</f>
      </c>
    </row>
    <row r="1922">
      <c r="A1922" s="223">
        <f>IF($C1922="","",COUNTIF($C$6:$C1922,"?*"))</f>
      </c>
      <c r="B1922" s="217"/>
      <c r="C1922" s="216"/>
      <c r="D1922" s="240"/>
      <c r="E1922" s="218"/>
      <c r="F1922" s="218"/>
      <c r="G1922" s="218"/>
      <c r="H1922" s="219"/>
      <c r="I1922" s="223">
        <f>IF($C1922="","",IF(ISNUMBER(MATCH($C1922,'Phản ánh'!$A$6:$A$505,0)),"Phản ánh",IF(ISNUMBER(MATCH($C1922,'Kế hoạch'!$A$6:$A$305,0)),"Công việc","Mã chưa có")))</f>
      </c>
      <c r="J1922" s="221">
        <f>IF($I1922="Phản ánh",INDEX('Phản ánh'!$C$6:$C$505,MATCH($C1922,'Phản ánh'!$A$6:$A$505,0)),IF($I1922="Công việc",INDEX('Kế hoạch'!$C$6:$C$305,$O1922),""))</f>
      </c>
      <c r="K1922" s="221">
        <f>IF($I1922="Phản ánh",INDEX('Phản ánh'!$K$6:$K$505,MATCH($C1922,'Phản ánh'!$A$6:$A$505,0))&amp;"",IF($I1922="Công việc",INDEX('Kế hoạch'!$N$6:$N$305,$O1922)&amp;"",""))</f>
      </c>
      <c r="L1922" s="220">
        <f>IF(OR($C1922="",N($B1922)=0),"",IF(AND($I1922="Phản ánh",$E1922="Đã xử lý"),INDEX('Phản ánh'!$U$6:$U$505,MATCH($C1922,'Phản ánh'!$A$6:$A$505,0)),IF(AND($I1922="Công việc",OR($E1922="Hoàn thành",$E1922="Hoàn thành kỳ")),IF(INDEX('Kế hoạch'!$B$6:$B$305,$O1922)="Đột xuất",INDEX('Kế hoạch'!$AY$6:$AY$305,$O1922),IF(N($P1922)=0,"",IF(INT($B1922)&lt;$P1922,$P1922,IF($Q1922&gt;0,$P1922+ROUND((INT($B1922)-$P1922)/$Q1922,0)*$Q1922,IF($R1922&gt;0,EDATE($P1922,ROUND((DATEDIF($P1922,INT($B1922),"m")+(INT($B1922)-EDATE($P1922,DATEDIF($P1922,INT($B1922),"m")))/(EDATE($P1922,DATEDIF($P1922,INT($B1922),"m")+1)-EDATE($P1922,DATEDIF($P1922,INT($B1922),"m"))))/$R1922,0)*$R1922),$P1922))))),"")))</f>
      </c>
      <c r="M1922" s="223">
        <f>IF(OR($C1922="",N($L1922)=0,N($B1922)=0),"",IF(IF(MOD($L1922,1)=0,INT($B1922),$B1922)&lt;=$L1922,"Đúng hạn","Trễ hạn"))</f>
      </c>
      <c r="N1922" s="225">
        <f>IF($C1922="","",ROW())</f>
      </c>
      <c r="O1922" s="225">
        <f>IF($I1922="Công việc",MATCH($C1922,'Kế hoạch'!$A$6:$A$305,0),"")</f>
      </c>
      <c r="P1922" s="234">
        <f>IF($O1922="","",INDEX('Kế hoạch'!$I$6:$I$305,$O1922))</f>
      </c>
      <c r="Q1922" s="225">
        <f>IF($O1922="","",INDEX('Kế hoạch'!$AJ$6:$AJ$305,$O1922))</f>
      </c>
      <c r="R1922" s="225">
        <f>IF($O1922="","",INDEX('Kế hoạch'!$AK$6:$AK$305,$O1922))</f>
      </c>
    </row>
    <row r="1923">
      <c r="A1923" s="223">
        <f>IF($C1923="","",COUNTIF($C$6:$C1923,"?*"))</f>
      </c>
      <c r="B1923" s="217"/>
      <c r="C1923" s="216"/>
      <c r="D1923" s="240"/>
      <c r="E1923" s="218"/>
      <c r="F1923" s="218"/>
      <c r="G1923" s="218"/>
      <c r="H1923" s="219"/>
      <c r="I1923" s="223">
        <f>IF($C1923="","",IF(ISNUMBER(MATCH($C1923,'Phản ánh'!$A$6:$A$505,0)),"Phản ánh",IF(ISNUMBER(MATCH($C1923,'Kế hoạch'!$A$6:$A$305,0)),"Công việc","Mã chưa có")))</f>
      </c>
      <c r="J1923" s="221">
        <f>IF($I1923="Phản ánh",INDEX('Phản ánh'!$C$6:$C$505,MATCH($C1923,'Phản ánh'!$A$6:$A$505,0)),IF($I1923="Công việc",INDEX('Kế hoạch'!$C$6:$C$305,$O1923),""))</f>
      </c>
      <c r="K1923" s="221">
        <f>IF($I1923="Phản ánh",INDEX('Phản ánh'!$K$6:$K$505,MATCH($C1923,'Phản ánh'!$A$6:$A$505,0))&amp;"",IF($I1923="Công việc",INDEX('Kế hoạch'!$N$6:$N$305,$O1923)&amp;"",""))</f>
      </c>
      <c r="L1923" s="220">
        <f>IF(OR($C1923="",N($B1923)=0),"",IF(AND($I1923="Phản ánh",$E1923="Đã xử lý"),INDEX('Phản ánh'!$U$6:$U$505,MATCH($C1923,'Phản ánh'!$A$6:$A$505,0)),IF(AND($I1923="Công việc",OR($E1923="Hoàn thành",$E1923="Hoàn thành kỳ")),IF(INDEX('Kế hoạch'!$B$6:$B$305,$O1923)="Đột xuất",INDEX('Kế hoạch'!$AY$6:$AY$305,$O1923),IF(N($P1923)=0,"",IF(INT($B1923)&lt;$P1923,$P1923,IF($Q1923&gt;0,$P1923+ROUND((INT($B1923)-$P1923)/$Q1923,0)*$Q1923,IF($R1923&gt;0,EDATE($P1923,ROUND((DATEDIF($P1923,INT($B1923),"m")+(INT($B1923)-EDATE($P1923,DATEDIF($P1923,INT($B1923),"m")))/(EDATE($P1923,DATEDIF($P1923,INT($B1923),"m")+1)-EDATE($P1923,DATEDIF($P1923,INT($B1923),"m"))))/$R1923,0)*$R1923),$P1923))))),"")))</f>
      </c>
      <c r="M1923" s="223">
        <f>IF(OR($C1923="",N($L1923)=0,N($B1923)=0),"",IF(IF(MOD($L1923,1)=0,INT($B1923),$B1923)&lt;=$L1923,"Đúng hạn","Trễ hạn"))</f>
      </c>
      <c r="N1923" s="225">
        <f>IF($C1923="","",ROW())</f>
      </c>
      <c r="O1923" s="225">
        <f>IF($I1923="Công việc",MATCH($C1923,'Kế hoạch'!$A$6:$A$305,0),"")</f>
      </c>
      <c r="P1923" s="234">
        <f>IF($O1923="","",INDEX('Kế hoạch'!$I$6:$I$305,$O1923))</f>
      </c>
      <c r="Q1923" s="225">
        <f>IF($O1923="","",INDEX('Kế hoạch'!$AJ$6:$AJ$305,$O1923))</f>
      </c>
      <c r="R1923" s="225">
        <f>IF($O1923="","",INDEX('Kế hoạch'!$AK$6:$AK$305,$O1923))</f>
      </c>
    </row>
    <row r="1924">
      <c r="A1924" s="223">
        <f>IF($C1924="","",COUNTIF($C$6:$C1924,"?*"))</f>
      </c>
      <c r="B1924" s="217"/>
      <c r="C1924" s="216"/>
      <c r="D1924" s="240"/>
      <c r="E1924" s="218"/>
      <c r="F1924" s="218"/>
      <c r="G1924" s="218"/>
      <c r="H1924" s="219"/>
      <c r="I1924" s="223">
        <f>IF($C1924="","",IF(ISNUMBER(MATCH($C1924,'Phản ánh'!$A$6:$A$505,0)),"Phản ánh",IF(ISNUMBER(MATCH($C1924,'Kế hoạch'!$A$6:$A$305,0)),"Công việc","Mã chưa có")))</f>
      </c>
      <c r="J1924" s="221">
        <f>IF($I1924="Phản ánh",INDEX('Phản ánh'!$C$6:$C$505,MATCH($C1924,'Phản ánh'!$A$6:$A$505,0)),IF($I1924="Công việc",INDEX('Kế hoạch'!$C$6:$C$305,$O1924),""))</f>
      </c>
      <c r="K1924" s="221">
        <f>IF($I1924="Phản ánh",INDEX('Phản ánh'!$K$6:$K$505,MATCH($C1924,'Phản ánh'!$A$6:$A$505,0))&amp;"",IF($I1924="Công việc",INDEX('Kế hoạch'!$N$6:$N$305,$O1924)&amp;"",""))</f>
      </c>
      <c r="L1924" s="220">
        <f>IF(OR($C1924="",N($B1924)=0),"",IF(AND($I1924="Phản ánh",$E1924="Đã xử lý"),INDEX('Phản ánh'!$U$6:$U$505,MATCH($C1924,'Phản ánh'!$A$6:$A$505,0)),IF(AND($I1924="Công việc",OR($E1924="Hoàn thành",$E1924="Hoàn thành kỳ")),IF(INDEX('Kế hoạch'!$B$6:$B$305,$O1924)="Đột xuất",INDEX('Kế hoạch'!$AY$6:$AY$305,$O1924),IF(N($P1924)=0,"",IF(INT($B1924)&lt;$P1924,$P1924,IF($Q1924&gt;0,$P1924+ROUND((INT($B1924)-$P1924)/$Q1924,0)*$Q1924,IF($R1924&gt;0,EDATE($P1924,ROUND((DATEDIF($P1924,INT($B1924),"m")+(INT($B1924)-EDATE($P1924,DATEDIF($P1924,INT($B1924),"m")))/(EDATE($P1924,DATEDIF($P1924,INT($B1924),"m")+1)-EDATE($P1924,DATEDIF($P1924,INT($B1924),"m"))))/$R1924,0)*$R1924),$P1924))))),"")))</f>
      </c>
      <c r="M1924" s="223">
        <f>IF(OR($C1924="",N($L1924)=0,N($B1924)=0),"",IF(IF(MOD($L1924,1)=0,INT($B1924),$B1924)&lt;=$L1924,"Đúng hạn","Trễ hạn"))</f>
      </c>
      <c r="N1924" s="225">
        <f>IF($C1924="","",ROW())</f>
      </c>
      <c r="O1924" s="225">
        <f>IF($I1924="Công việc",MATCH($C1924,'Kế hoạch'!$A$6:$A$305,0),"")</f>
      </c>
      <c r="P1924" s="234">
        <f>IF($O1924="","",INDEX('Kế hoạch'!$I$6:$I$305,$O1924))</f>
      </c>
      <c r="Q1924" s="225">
        <f>IF($O1924="","",INDEX('Kế hoạch'!$AJ$6:$AJ$305,$O1924))</f>
      </c>
      <c r="R1924" s="225">
        <f>IF($O1924="","",INDEX('Kế hoạch'!$AK$6:$AK$305,$O1924))</f>
      </c>
    </row>
    <row r="1925">
      <c r="A1925" s="223">
        <f>IF($C1925="","",COUNTIF($C$6:$C1925,"?*"))</f>
      </c>
      <c r="B1925" s="217"/>
      <c r="C1925" s="216"/>
      <c r="D1925" s="240"/>
      <c r="E1925" s="218"/>
      <c r="F1925" s="218"/>
      <c r="G1925" s="218"/>
      <c r="H1925" s="219"/>
      <c r="I1925" s="223">
        <f>IF($C1925="","",IF(ISNUMBER(MATCH($C1925,'Phản ánh'!$A$6:$A$505,0)),"Phản ánh",IF(ISNUMBER(MATCH($C1925,'Kế hoạch'!$A$6:$A$305,0)),"Công việc","Mã chưa có")))</f>
      </c>
      <c r="J1925" s="221">
        <f>IF($I1925="Phản ánh",INDEX('Phản ánh'!$C$6:$C$505,MATCH($C1925,'Phản ánh'!$A$6:$A$505,0)),IF($I1925="Công việc",INDEX('Kế hoạch'!$C$6:$C$305,$O1925),""))</f>
      </c>
      <c r="K1925" s="221">
        <f>IF($I1925="Phản ánh",INDEX('Phản ánh'!$K$6:$K$505,MATCH($C1925,'Phản ánh'!$A$6:$A$505,0))&amp;"",IF($I1925="Công việc",INDEX('Kế hoạch'!$N$6:$N$305,$O1925)&amp;"",""))</f>
      </c>
      <c r="L1925" s="220">
        <f>IF(OR($C1925="",N($B1925)=0),"",IF(AND($I1925="Phản ánh",$E1925="Đã xử lý"),INDEX('Phản ánh'!$U$6:$U$505,MATCH($C1925,'Phản ánh'!$A$6:$A$505,0)),IF(AND($I1925="Công việc",OR($E1925="Hoàn thành",$E1925="Hoàn thành kỳ")),IF(INDEX('Kế hoạch'!$B$6:$B$305,$O1925)="Đột xuất",INDEX('Kế hoạch'!$AY$6:$AY$305,$O1925),IF(N($P1925)=0,"",IF(INT($B1925)&lt;$P1925,$P1925,IF($Q1925&gt;0,$P1925+ROUND((INT($B1925)-$P1925)/$Q1925,0)*$Q1925,IF($R1925&gt;0,EDATE($P1925,ROUND((DATEDIF($P1925,INT($B1925),"m")+(INT($B1925)-EDATE($P1925,DATEDIF($P1925,INT($B1925),"m")))/(EDATE($P1925,DATEDIF($P1925,INT($B1925),"m")+1)-EDATE($P1925,DATEDIF($P1925,INT($B1925),"m"))))/$R1925,0)*$R1925),$P1925))))),"")))</f>
      </c>
      <c r="M1925" s="223">
        <f>IF(OR($C1925="",N($L1925)=0,N($B1925)=0),"",IF(IF(MOD($L1925,1)=0,INT($B1925),$B1925)&lt;=$L1925,"Đúng hạn","Trễ hạn"))</f>
      </c>
      <c r="N1925" s="225">
        <f>IF($C1925="","",ROW())</f>
      </c>
      <c r="O1925" s="225">
        <f>IF($I1925="Công việc",MATCH($C1925,'Kế hoạch'!$A$6:$A$305,0),"")</f>
      </c>
      <c r="P1925" s="234">
        <f>IF($O1925="","",INDEX('Kế hoạch'!$I$6:$I$305,$O1925))</f>
      </c>
      <c r="Q1925" s="225">
        <f>IF($O1925="","",INDEX('Kế hoạch'!$AJ$6:$AJ$305,$O1925))</f>
      </c>
      <c r="R1925" s="225">
        <f>IF($O1925="","",INDEX('Kế hoạch'!$AK$6:$AK$305,$O1925))</f>
      </c>
    </row>
    <row r="1926">
      <c r="A1926" s="223">
        <f>IF($C1926="","",COUNTIF($C$6:$C1926,"?*"))</f>
      </c>
      <c r="B1926" s="217"/>
      <c r="C1926" s="216"/>
      <c r="D1926" s="240"/>
      <c r="E1926" s="218"/>
      <c r="F1926" s="218"/>
      <c r="G1926" s="218"/>
      <c r="H1926" s="219"/>
      <c r="I1926" s="223">
        <f>IF($C1926="","",IF(ISNUMBER(MATCH($C1926,'Phản ánh'!$A$6:$A$505,0)),"Phản ánh",IF(ISNUMBER(MATCH($C1926,'Kế hoạch'!$A$6:$A$305,0)),"Công việc","Mã chưa có")))</f>
      </c>
      <c r="J1926" s="221">
        <f>IF($I1926="Phản ánh",INDEX('Phản ánh'!$C$6:$C$505,MATCH($C1926,'Phản ánh'!$A$6:$A$505,0)),IF($I1926="Công việc",INDEX('Kế hoạch'!$C$6:$C$305,$O1926),""))</f>
      </c>
      <c r="K1926" s="221">
        <f>IF($I1926="Phản ánh",INDEX('Phản ánh'!$K$6:$K$505,MATCH($C1926,'Phản ánh'!$A$6:$A$505,0))&amp;"",IF($I1926="Công việc",INDEX('Kế hoạch'!$N$6:$N$305,$O1926)&amp;"",""))</f>
      </c>
      <c r="L1926" s="220">
        <f>IF(OR($C1926="",N($B1926)=0),"",IF(AND($I1926="Phản ánh",$E1926="Đã xử lý"),INDEX('Phản ánh'!$U$6:$U$505,MATCH($C1926,'Phản ánh'!$A$6:$A$505,0)),IF(AND($I1926="Công việc",OR($E1926="Hoàn thành",$E1926="Hoàn thành kỳ")),IF(INDEX('Kế hoạch'!$B$6:$B$305,$O1926)="Đột xuất",INDEX('Kế hoạch'!$AY$6:$AY$305,$O1926),IF(N($P1926)=0,"",IF(INT($B1926)&lt;$P1926,$P1926,IF($Q1926&gt;0,$P1926+ROUND((INT($B1926)-$P1926)/$Q1926,0)*$Q1926,IF($R1926&gt;0,EDATE($P1926,ROUND((DATEDIF($P1926,INT($B1926),"m")+(INT($B1926)-EDATE($P1926,DATEDIF($P1926,INT($B1926),"m")))/(EDATE($P1926,DATEDIF($P1926,INT($B1926),"m")+1)-EDATE($P1926,DATEDIF($P1926,INT($B1926),"m"))))/$R1926,0)*$R1926),$P1926))))),"")))</f>
      </c>
      <c r="M1926" s="223">
        <f>IF(OR($C1926="",N($L1926)=0,N($B1926)=0),"",IF(IF(MOD($L1926,1)=0,INT($B1926),$B1926)&lt;=$L1926,"Đúng hạn","Trễ hạn"))</f>
      </c>
      <c r="N1926" s="225">
        <f>IF($C1926="","",ROW())</f>
      </c>
      <c r="O1926" s="225">
        <f>IF($I1926="Công việc",MATCH($C1926,'Kế hoạch'!$A$6:$A$305,0),"")</f>
      </c>
      <c r="P1926" s="234">
        <f>IF($O1926="","",INDEX('Kế hoạch'!$I$6:$I$305,$O1926))</f>
      </c>
      <c r="Q1926" s="225">
        <f>IF($O1926="","",INDEX('Kế hoạch'!$AJ$6:$AJ$305,$O1926))</f>
      </c>
      <c r="R1926" s="225">
        <f>IF($O1926="","",INDEX('Kế hoạch'!$AK$6:$AK$305,$O1926))</f>
      </c>
    </row>
    <row r="1927">
      <c r="A1927" s="223">
        <f>IF($C1927="","",COUNTIF($C$6:$C1927,"?*"))</f>
      </c>
      <c r="B1927" s="217"/>
      <c r="C1927" s="216"/>
      <c r="D1927" s="240"/>
      <c r="E1927" s="218"/>
      <c r="F1927" s="218"/>
      <c r="G1927" s="218"/>
      <c r="H1927" s="219"/>
      <c r="I1927" s="223">
        <f>IF($C1927="","",IF(ISNUMBER(MATCH($C1927,'Phản ánh'!$A$6:$A$505,0)),"Phản ánh",IF(ISNUMBER(MATCH($C1927,'Kế hoạch'!$A$6:$A$305,0)),"Công việc","Mã chưa có")))</f>
      </c>
      <c r="J1927" s="221">
        <f>IF($I1927="Phản ánh",INDEX('Phản ánh'!$C$6:$C$505,MATCH($C1927,'Phản ánh'!$A$6:$A$505,0)),IF($I1927="Công việc",INDEX('Kế hoạch'!$C$6:$C$305,$O1927),""))</f>
      </c>
      <c r="K1927" s="221">
        <f>IF($I1927="Phản ánh",INDEX('Phản ánh'!$K$6:$K$505,MATCH($C1927,'Phản ánh'!$A$6:$A$505,0))&amp;"",IF($I1927="Công việc",INDEX('Kế hoạch'!$N$6:$N$305,$O1927)&amp;"",""))</f>
      </c>
      <c r="L1927" s="220">
        <f>IF(OR($C1927="",N($B1927)=0),"",IF(AND($I1927="Phản ánh",$E1927="Đã xử lý"),INDEX('Phản ánh'!$U$6:$U$505,MATCH($C1927,'Phản ánh'!$A$6:$A$505,0)),IF(AND($I1927="Công việc",OR($E1927="Hoàn thành",$E1927="Hoàn thành kỳ")),IF(INDEX('Kế hoạch'!$B$6:$B$305,$O1927)="Đột xuất",INDEX('Kế hoạch'!$AY$6:$AY$305,$O1927),IF(N($P1927)=0,"",IF(INT($B1927)&lt;$P1927,$P1927,IF($Q1927&gt;0,$P1927+ROUND((INT($B1927)-$P1927)/$Q1927,0)*$Q1927,IF($R1927&gt;0,EDATE($P1927,ROUND((DATEDIF($P1927,INT($B1927),"m")+(INT($B1927)-EDATE($P1927,DATEDIF($P1927,INT($B1927),"m")))/(EDATE($P1927,DATEDIF($P1927,INT($B1927),"m")+1)-EDATE($P1927,DATEDIF($P1927,INT($B1927),"m"))))/$R1927,0)*$R1927),$P1927))))),"")))</f>
      </c>
      <c r="M1927" s="223">
        <f>IF(OR($C1927="",N($L1927)=0,N($B1927)=0),"",IF(IF(MOD($L1927,1)=0,INT($B1927),$B1927)&lt;=$L1927,"Đúng hạn","Trễ hạn"))</f>
      </c>
      <c r="N1927" s="225">
        <f>IF($C1927="","",ROW())</f>
      </c>
      <c r="O1927" s="225">
        <f>IF($I1927="Công việc",MATCH($C1927,'Kế hoạch'!$A$6:$A$305,0),"")</f>
      </c>
      <c r="P1927" s="234">
        <f>IF($O1927="","",INDEX('Kế hoạch'!$I$6:$I$305,$O1927))</f>
      </c>
      <c r="Q1927" s="225">
        <f>IF($O1927="","",INDEX('Kế hoạch'!$AJ$6:$AJ$305,$O1927))</f>
      </c>
      <c r="R1927" s="225">
        <f>IF($O1927="","",INDEX('Kế hoạch'!$AK$6:$AK$305,$O1927))</f>
      </c>
    </row>
    <row r="1928">
      <c r="A1928" s="223">
        <f>IF($C1928="","",COUNTIF($C$6:$C1928,"?*"))</f>
      </c>
      <c r="B1928" s="217"/>
      <c r="C1928" s="216"/>
      <c r="D1928" s="240"/>
      <c r="E1928" s="218"/>
      <c r="F1928" s="218"/>
      <c r="G1928" s="218"/>
      <c r="H1928" s="219"/>
      <c r="I1928" s="223">
        <f>IF($C1928="","",IF(ISNUMBER(MATCH($C1928,'Phản ánh'!$A$6:$A$505,0)),"Phản ánh",IF(ISNUMBER(MATCH($C1928,'Kế hoạch'!$A$6:$A$305,0)),"Công việc","Mã chưa có")))</f>
      </c>
      <c r="J1928" s="221">
        <f>IF($I1928="Phản ánh",INDEX('Phản ánh'!$C$6:$C$505,MATCH($C1928,'Phản ánh'!$A$6:$A$505,0)),IF($I1928="Công việc",INDEX('Kế hoạch'!$C$6:$C$305,$O1928),""))</f>
      </c>
      <c r="K1928" s="221">
        <f>IF($I1928="Phản ánh",INDEX('Phản ánh'!$K$6:$K$505,MATCH($C1928,'Phản ánh'!$A$6:$A$505,0))&amp;"",IF($I1928="Công việc",INDEX('Kế hoạch'!$N$6:$N$305,$O1928)&amp;"",""))</f>
      </c>
      <c r="L1928" s="220">
        <f>IF(OR($C1928="",N($B1928)=0),"",IF(AND($I1928="Phản ánh",$E1928="Đã xử lý"),INDEX('Phản ánh'!$U$6:$U$505,MATCH($C1928,'Phản ánh'!$A$6:$A$505,0)),IF(AND($I1928="Công việc",OR($E1928="Hoàn thành",$E1928="Hoàn thành kỳ")),IF(INDEX('Kế hoạch'!$B$6:$B$305,$O1928)="Đột xuất",INDEX('Kế hoạch'!$AY$6:$AY$305,$O1928),IF(N($P1928)=0,"",IF(INT($B1928)&lt;$P1928,$P1928,IF($Q1928&gt;0,$P1928+ROUND((INT($B1928)-$P1928)/$Q1928,0)*$Q1928,IF($R1928&gt;0,EDATE($P1928,ROUND((DATEDIF($P1928,INT($B1928),"m")+(INT($B1928)-EDATE($P1928,DATEDIF($P1928,INT($B1928),"m")))/(EDATE($P1928,DATEDIF($P1928,INT($B1928),"m")+1)-EDATE($P1928,DATEDIF($P1928,INT($B1928),"m"))))/$R1928,0)*$R1928),$P1928))))),"")))</f>
      </c>
      <c r="M1928" s="223">
        <f>IF(OR($C1928="",N($L1928)=0,N($B1928)=0),"",IF(IF(MOD($L1928,1)=0,INT($B1928),$B1928)&lt;=$L1928,"Đúng hạn","Trễ hạn"))</f>
      </c>
      <c r="N1928" s="225">
        <f>IF($C1928="","",ROW())</f>
      </c>
      <c r="O1928" s="225">
        <f>IF($I1928="Công việc",MATCH($C1928,'Kế hoạch'!$A$6:$A$305,0),"")</f>
      </c>
      <c r="P1928" s="234">
        <f>IF($O1928="","",INDEX('Kế hoạch'!$I$6:$I$305,$O1928))</f>
      </c>
      <c r="Q1928" s="225">
        <f>IF($O1928="","",INDEX('Kế hoạch'!$AJ$6:$AJ$305,$O1928))</f>
      </c>
      <c r="R1928" s="225">
        <f>IF($O1928="","",INDEX('Kế hoạch'!$AK$6:$AK$305,$O1928))</f>
      </c>
    </row>
    <row r="1929">
      <c r="A1929" s="223">
        <f>IF($C1929="","",COUNTIF($C$6:$C1929,"?*"))</f>
      </c>
      <c r="B1929" s="217"/>
      <c r="C1929" s="216"/>
      <c r="D1929" s="240"/>
      <c r="E1929" s="218"/>
      <c r="F1929" s="218"/>
      <c r="G1929" s="218"/>
      <c r="H1929" s="219"/>
      <c r="I1929" s="223">
        <f>IF($C1929="","",IF(ISNUMBER(MATCH($C1929,'Phản ánh'!$A$6:$A$505,0)),"Phản ánh",IF(ISNUMBER(MATCH($C1929,'Kế hoạch'!$A$6:$A$305,0)),"Công việc","Mã chưa có")))</f>
      </c>
      <c r="J1929" s="221">
        <f>IF($I1929="Phản ánh",INDEX('Phản ánh'!$C$6:$C$505,MATCH($C1929,'Phản ánh'!$A$6:$A$505,0)),IF($I1929="Công việc",INDEX('Kế hoạch'!$C$6:$C$305,$O1929),""))</f>
      </c>
      <c r="K1929" s="221">
        <f>IF($I1929="Phản ánh",INDEX('Phản ánh'!$K$6:$K$505,MATCH($C1929,'Phản ánh'!$A$6:$A$505,0))&amp;"",IF($I1929="Công việc",INDEX('Kế hoạch'!$N$6:$N$305,$O1929)&amp;"",""))</f>
      </c>
      <c r="L1929" s="220">
        <f>IF(OR($C1929="",N($B1929)=0),"",IF(AND($I1929="Phản ánh",$E1929="Đã xử lý"),INDEX('Phản ánh'!$U$6:$U$505,MATCH($C1929,'Phản ánh'!$A$6:$A$505,0)),IF(AND($I1929="Công việc",OR($E1929="Hoàn thành",$E1929="Hoàn thành kỳ")),IF(INDEX('Kế hoạch'!$B$6:$B$305,$O1929)="Đột xuất",INDEX('Kế hoạch'!$AY$6:$AY$305,$O1929),IF(N($P1929)=0,"",IF(INT($B1929)&lt;$P1929,$P1929,IF($Q1929&gt;0,$P1929+ROUND((INT($B1929)-$P1929)/$Q1929,0)*$Q1929,IF($R1929&gt;0,EDATE($P1929,ROUND((DATEDIF($P1929,INT($B1929),"m")+(INT($B1929)-EDATE($P1929,DATEDIF($P1929,INT($B1929),"m")))/(EDATE($P1929,DATEDIF($P1929,INT($B1929),"m")+1)-EDATE($P1929,DATEDIF($P1929,INT($B1929),"m"))))/$R1929,0)*$R1929),$P1929))))),"")))</f>
      </c>
      <c r="M1929" s="223">
        <f>IF(OR($C1929="",N($L1929)=0,N($B1929)=0),"",IF(IF(MOD($L1929,1)=0,INT($B1929),$B1929)&lt;=$L1929,"Đúng hạn","Trễ hạn"))</f>
      </c>
      <c r="N1929" s="225">
        <f>IF($C1929="","",ROW())</f>
      </c>
      <c r="O1929" s="225">
        <f>IF($I1929="Công việc",MATCH($C1929,'Kế hoạch'!$A$6:$A$305,0),"")</f>
      </c>
      <c r="P1929" s="234">
        <f>IF($O1929="","",INDEX('Kế hoạch'!$I$6:$I$305,$O1929))</f>
      </c>
      <c r="Q1929" s="225">
        <f>IF($O1929="","",INDEX('Kế hoạch'!$AJ$6:$AJ$305,$O1929))</f>
      </c>
      <c r="R1929" s="225">
        <f>IF($O1929="","",INDEX('Kế hoạch'!$AK$6:$AK$305,$O1929))</f>
      </c>
    </row>
    <row r="1930">
      <c r="A1930" s="223">
        <f>IF($C1930="","",COUNTIF($C$6:$C1930,"?*"))</f>
      </c>
      <c r="B1930" s="217"/>
      <c r="C1930" s="216"/>
      <c r="D1930" s="240"/>
      <c r="E1930" s="218"/>
      <c r="F1930" s="218"/>
      <c r="G1930" s="218"/>
      <c r="H1930" s="219"/>
      <c r="I1930" s="223">
        <f>IF($C1930="","",IF(ISNUMBER(MATCH($C1930,'Phản ánh'!$A$6:$A$505,0)),"Phản ánh",IF(ISNUMBER(MATCH($C1930,'Kế hoạch'!$A$6:$A$305,0)),"Công việc","Mã chưa có")))</f>
      </c>
      <c r="J1930" s="221">
        <f>IF($I1930="Phản ánh",INDEX('Phản ánh'!$C$6:$C$505,MATCH($C1930,'Phản ánh'!$A$6:$A$505,0)),IF($I1930="Công việc",INDEX('Kế hoạch'!$C$6:$C$305,$O1930),""))</f>
      </c>
      <c r="K1930" s="221">
        <f>IF($I1930="Phản ánh",INDEX('Phản ánh'!$K$6:$K$505,MATCH($C1930,'Phản ánh'!$A$6:$A$505,0))&amp;"",IF($I1930="Công việc",INDEX('Kế hoạch'!$N$6:$N$305,$O1930)&amp;"",""))</f>
      </c>
      <c r="L1930" s="220">
        <f>IF(OR($C1930="",N($B1930)=0),"",IF(AND($I1930="Phản ánh",$E1930="Đã xử lý"),INDEX('Phản ánh'!$U$6:$U$505,MATCH($C1930,'Phản ánh'!$A$6:$A$505,0)),IF(AND($I1930="Công việc",OR($E1930="Hoàn thành",$E1930="Hoàn thành kỳ")),IF(INDEX('Kế hoạch'!$B$6:$B$305,$O1930)="Đột xuất",INDEX('Kế hoạch'!$AY$6:$AY$305,$O1930),IF(N($P1930)=0,"",IF(INT($B1930)&lt;$P1930,$P1930,IF($Q1930&gt;0,$P1930+ROUND((INT($B1930)-$P1930)/$Q1930,0)*$Q1930,IF($R1930&gt;0,EDATE($P1930,ROUND((DATEDIF($P1930,INT($B1930),"m")+(INT($B1930)-EDATE($P1930,DATEDIF($P1930,INT($B1930),"m")))/(EDATE($P1930,DATEDIF($P1930,INT($B1930),"m")+1)-EDATE($P1930,DATEDIF($P1930,INT($B1930),"m"))))/$R1930,0)*$R1930),$P1930))))),"")))</f>
      </c>
      <c r="M1930" s="223">
        <f>IF(OR($C1930="",N($L1930)=0,N($B1930)=0),"",IF(IF(MOD($L1930,1)=0,INT($B1930),$B1930)&lt;=$L1930,"Đúng hạn","Trễ hạn"))</f>
      </c>
      <c r="N1930" s="225">
        <f>IF($C1930="","",ROW())</f>
      </c>
      <c r="O1930" s="225">
        <f>IF($I1930="Công việc",MATCH($C1930,'Kế hoạch'!$A$6:$A$305,0),"")</f>
      </c>
      <c r="P1930" s="234">
        <f>IF($O1930="","",INDEX('Kế hoạch'!$I$6:$I$305,$O1930))</f>
      </c>
      <c r="Q1930" s="225">
        <f>IF($O1930="","",INDEX('Kế hoạch'!$AJ$6:$AJ$305,$O1930))</f>
      </c>
      <c r="R1930" s="225">
        <f>IF($O1930="","",INDEX('Kế hoạch'!$AK$6:$AK$305,$O1930))</f>
      </c>
    </row>
    <row r="1931">
      <c r="A1931" s="223">
        <f>IF($C1931="","",COUNTIF($C$6:$C1931,"?*"))</f>
      </c>
      <c r="B1931" s="217"/>
      <c r="C1931" s="216"/>
      <c r="D1931" s="240"/>
      <c r="E1931" s="218"/>
      <c r="F1931" s="218"/>
      <c r="G1931" s="218"/>
      <c r="H1931" s="219"/>
      <c r="I1931" s="223">
        <f>IF($C1931="","",IF(ISNUMBER(MATCH($C1931,'Phản ánh'!$A$6:$A$505,0)),"Phản ánh",IF(ISNUMBER(MATCH($C1931,'Kế hoạch'!$A$6:$A$305,0)),"Công việc","Mã chưa có")))</f>
      </c>
      <c r="J1931" s="221">
        <f>IF($I1931="Phản ánh",INDEX('Phản ánh'!$C$6:$C$505,MATCH($C1931,'Phản ánh'!$A$6:$A$505,0)),IF($I1931="Công việc",INDEX('Kế hoạch'!$C$6:$C$305,$O1931),""))</f>
      </c>
      <c r="K1931" s="221">
        <f>IF($I1931="Phản ánh",INDEX('Phản ánh'!$K$6:$K$505,MATCH($C1931,'Phản ánh'!$A$6:$A$505,0))&amp;"",IF($I1931="Công việc",INDEX('Kế hoạch'!$N$6:$N$305,$O1931)&amp;"",""))</f>
      </c>
      <c r="L1931" s="220">
        <f>IF(OR($C1931="",N($B1931)=0),"",IF(AND($I1931="Phản ánh",$E1931="Đã xử lý"),INDEX('Phản ánh'!$U$6:$U$505,MATCH($C1931,'Phản ánh'!$A$6:$A$505,0)),IF(AND($I1931="Công việc",OR($E1931="Hoàn thành",$E1931="Hoàn thành kỳ")),IF(INDEX('Kế hoạch'!$B$6:$B$305,$O1931)="Đột xuất",INDEX('Kế hoạch'!$AY$6:$AY$305,$O1931),IF(N($P1931)=0,"",IF(INT($B1931)&lt;$P1931,$P1931,IF($Q1931&gt;0,$P1931+ROUND((INT($B1931)-$P1931)/$Q1931,0)*$Q1931,IF($R1931&gt;0,EDATE($P1931,ROUND((DATEDIF($P1931,INT($B1931),"m")+(INT($B1931)-EDATE($P1931,DATEDIF($P1931,INT($B1931),"m")))/(EDATE($P1931,DATEDIF($P1931,INT($B1931),"m")+1)-EDATE($P1931,DATEDIF($P1931,INT($B1931),"m"))))/$R1931,0)*$R1931),$P1931))))),"")))</f>
      </c>
      <c r="M1931" s="223">
        <f>IF(OR($C1931="",N($L1931)=0,N($B1931)=0),"",IF(IF(MOD($L1931,1)=0,INT($B1931),$B1931)&lt;=$L1931,"Đúng hạn","Trễ hạn"))</f>
      </c>
      <c r="N1931" s="225">
        <f>IF($C1931="","",ROW())</f>
      </c>
      <c r="O1931" s="225">
        <f>IF($I1931="Công việc",MATCH($C1931,'Kế hoạch'!$A$6:$A$305,0),"")</f>
      </c>
      <c r="P1931" s="234">
        <f>IF($O1931="","",INDEX('Kế hoạch'!$I$6:$I$305,$O1931))</f>
      </c>
      <c r="Q1931" s="225">
        <f>IF($O1931="","",INDEX('Kế hoạch'!$AJ$6:$AJ$305,$O1931))</f>
      </c>
      <c r="R1931" s="225">
        <f>IF($O1931="","",INDEX('Kế hoạch'!$AK$6:$AK$305,$O1931))</f>
      </c>
    </row>
    <row r="1932">
      <c r="A1932" s="223">
        <f>IF($C1932="","",COUNTIF($C$6:$C1932,"?*"))</f>
      </c>
      <c r="B1932" s="217"/>
      <c r="C1932" s="216"/>
      <c r="D1932" s="240"/>
      <c r="E1932" s="218"/>
      <c r="F1932" s="218"/>
      <c r="G1932" s="218"/>
      <c r="H1932" s="219"/>
      <c r="I1932" s="223">
        <f>IF($C1932="","",IF(ISNUMBER(MATCH($C1932,'Phản ánh'!$A$6:$A$505,0)),"Phản ánh",IF(ISNUMBER(MATCH($C1932,'Kế hoạch'!$A$6:$A$305,0)),"Công việc","Mã chưa có")))</f>
      </c>
      <c r="J1932" s="221">
        <f>IF($I1932="Phản ánh",INDEX('Phản ánh'!$C$6:$C$505,MATCH($C1932,'Phản ánh'!$A$6:$A$505,0)),IF($I1932="Công việc",INDEX('Kế hoạch'!$C$6:$C$305,$O1932),""))</f>
      </c>
      <c r="K1932" s="221">
        <f>IF($I1932="Phản ánh",INDEX('Phản ánh'!$K$6:$K$505,MATCH($C1932,'Phản ánh'!$A$6:$A$505,0))&amp;"",IF($I1932="Công việc",INDEX('Kế hoạch'!$N$6:$N$305,$O1932)&amp;"",""))</f>
      </c>
      <c r="L1932" s="220">
        <f>IF(OR($C1932="",N($B1932)=0),"",IF(AND($I1932="Phản ánh",$E1932="Đã xử lý"),INDEX('Phản ánh'!$U$6:$U$505,MATCH($C1932,'Phản ánh'!$A$6:$A$505,0)),IF(AND($I1932="Công việc",OR($E1932="Hoàn thành",$E1932="Hoàn thành kỳ")),IF(INDEX('Kế hoạch'!$B$6:$B$305,$O1932)="Đột xuất",INDEX('Kế hoạch'!$AY$6:$AY$305,$O1932),IF(N($P1932)=0,"",IF(INT($B1932)&lt;$P1932,$P1932,IF($Q1932&gt;0,$P1932+ROUND((INT($B1932)-$P1932)/$Q1932,0)*$Q1932,IF($R1932&gt;0,EDATE($P1932,ROUND((DATEDIF($P1932,INT($B1932),"m")+(INT($B1932)-EDATE($P1932,DATEDIF($P1932,INT($B1932),"m")))/(EDATE($P1932,DATEDIF($P1932,INT($B1932),"m")+1)-EDATE($P1932,DATEDIF($P1932,INT($B1932),"m"))))/$R1932,0)*$R1932),$P1932))))),"")))</f>
      </c>
      <c r="M1932" s="223">
        <f>IF(OR($C1932="",N($L1932)=0,N($B1932)=0),"",IF(IF(MOD($L1932,1)=0,INT($B1932),$B1932)&lt;=$L1932,"Đúng hạn","Trễ hạn"))</f>
      </c>
      <c r="N1932" s="225">
        <f>IF($C1932="","",ROW())</f>
      </c>
      <c r="O1932" s="225">
        <f>IF($I1932="Công việc",MATCH($C1932,'Kế hoạch'!$A$6:$A$305,0),"")</f>
      </c>
      <c r="P1932" s="234">
        <f>IF($O1932="","",INDEX('Kế hoạch'!$I$6:$I$305,$O1932))</f>
      </c>
      <c r="Q1932" s="225">
        <f>IF($O1932="","",INDEX('Kế hoạch'!$AJ$6:$AJ$305,$O1932))</f>
      </c>
      <c r="R1932" s="225">
        <f>IF($O1932="","",INDEX('Kế hoạch'!$AK$6:$AK$305,$O1932))</f>
      </c>
    </row>
    <row r="1933">
      <c r="A1933" s="223">
        <f>IF($C1933="","",COUNTIF($C$6:$C1933,"?*"))</f>
      </c>
      <c r="B1933" s="217"/>
      <c r="C1933" s="216"/>
      <c r="D1933" s="240"/>
      <c r="E1933" s="218"/>
      <c r="F1933" s="218"/>
      <c r="G1933" s="218"/>
      <c r="H1933" s="219"/>
      <c r="I1933" s="223">
        <f>IF($C1933="","",IF(ISNUMBER(MATCH($C1933,'Phản ánh'!$A$6:$A$505,0)),"Phản ánh",IF(ISNUMBER(MATCH($C1933,'Kế hoạch'!$A$6:$A$305,0)),"Công việc","Mã chưa có")))</f>
      </c>
      <c r="J1933" s="221">
        <f>IF($I1933="Phản ánh",INDEX('Phản ánh'!$C$6:$C$505,MATCH($C1933,'Phản ánh'!$A$6:$A$505,0)),IF($I1933="Công việc",INDEX('Kế hoạch'!$C$6:$C$305,$O1933),""))</f>
      </c>
      <c r="K1933" s="221">
        <f>IF($I1933="Phản ánh",INDEX('Phản ánh'!$K$6:$K$505,MATCH($C1933,'Phản ánh'!$A$6:$A$505,0))&amp;"",IF($I1933="Công việc",INDEX('Kế hoạch'!$N$6:$N$305,$O1933)&amp;"",""))</f>
      </c>
      <c r="L1933" s="220">
        <f>IF(OR($C1933="",N($B1933)=0),"",IF(AND($I1933="Phản ánh",$E1933="Đã xử lý"),INDEX('Phản ánh'!$U$6:$U$505,MATCH($C1933,'Phản ánh'!$A$6:$A$505,0)),IF(AND($I1933="Công việc",OR($E1933="Hoàn thành",$E1933="Hoàn thành kỳ")),IF(INDEX('Kế hoạch'!$B$6:$B$305,$O1933)="Đột xuất",INDEX('Kế hoạch'!$AY$6:$AY$305,$O1933),IF(N($P1933)=0,"",IF(INT($B1933)&lt;$P1933,$P1933,IF($Q1933&gt;0,$P1933+ROUND((INT($B1933)-$P1933)/$Q1933,0)*$Q1933,IF($R1933&gt;0,EDATE($P1933,ROUND((DATEDIF($P1933,INT($B1933),"m")+(INT($B1933)-EDATE($P1933,DATEDIF($P1933,INT($B1933),"m")))/(EDATE($P1933,DATEDIF($P1933,INT($B1933),"m")+1)-EDATE($P1933,DATEDIF($P1933,INT($B1933),"m"))))/$R1933,0)*$R1933),$P1933))))),"")))</f>
      </c>
      <c r="M1933" s="223">
        <f>IF(OR($C1933="",N($L1933)=0,N($B1933)=0),"",IF(IF(MOD($L1933,1)=0,INT($B1933),$B1933)&lt;=$L1933,"Đúng hạn","Trễ hạn"))</f>
      </c>
      <c r="N1933" s="225">
        <f>IF($C1933="","",ROW())</f>
      </c>
      <c r="O1933" s="225">
        <f>IF($I1933="Công việc",MATCH($C1933,'Kế hoạch'!$A$6:$A$305,0),"")</f>
      </c>
      <c r="P1933" s="234">
        <f>IF($O1933="","",INDEX('Kế hoạch'!$I$6:$I$305,$O1933))</f>
      </c>
      <c r="Q1933" s="225">
        <f>IF($O1933="","",INDEX('Kế hoạch'!$AJ$6:$AJ$305,$O1933))</f>
      </c>
      <c r="R1933" s="225">
        <f>IF($O1933="","",INDEX('Kế hoạch'!$AK$6:$AK$305,$O1933))</f>
      </c>
    </row>
    <row r="1934">
      <c r="A1934" s="223">
        <f>IF($C1934="","",COUNTIF($C$6:$C1934,"?*"))</f>
      </c>
      <c r="B1934" s="217"/>
      <c r="C1934" s="216"/>
      <c r="D1934" s="240"/>
      <c r="E1934" s="218"/>
      <c r="F1934" s="218"/>
      <c r="G1934" s="218"/>
      <c r="H1934" s="219"/>
      <c r="I1934" s="223">
        <f>IF($C1934="","",IF(ISNUMBER(MATCH($C1934,'Phản ánh'!$A$6:$A$505,0)),"Phản ánh",IF(ISNUMBER(MATCH($C1934,'Kế hoạch'!$A$6:$A$305,0)),"Công việc","Mã chưa có")))</f>
      </c>
      <c r="J1934" s="221">
        <f>IF($I1934="Phản ánh",INDEX('Phản ánh'!$C$6:$C$505,MATCH($C1934,'Phản ánh'!$A$6:$A$505,0)),IF($I1934="Công việc",INDEX('Kế hoạch'!$C$6:$C$305,$O1934),""))</f>
      </c>
      <c r="K1934" s="221">
        <f>IF($I1934="Phản ánh",INDEX('Phản ánh'!$K$6:$K$505,MATCH($C1934,'Phản ánh'!$A$6:$A$505,0))&amp;"",IF($I1934="Công việc",INDEX('Kế hoạch'!$N$6:$N$305,$O1934)&amp;"",""))</f>
      </c>
      <c r="L1934" s="220">
        <f>IF(OR($C1934="",N($B1934)=0),"",IF(AND($I1934="Phản ánh",$E1934="Đã xử lý"),INDEX('Phản ánh'!$U$6:$U$505,MATCH($C1934,'Phản ánh'!$A$6:$A$505,0)),IF(AND($I1934="Công việc",OR($E1934="Hoàn thành",$E1934="Hoàn thành kỳ")),IF(INDEX('Kế hoạch'!$B$6:$B$305,$O1934)="Đột xuất",INDEX('Kế hoạch'!$AY$6:$AY$305,$O1934),IF(N($P1934)=0,"",IF(INT($B1934)&lt;$P1934,$P1934,IF($Q1934&gt;0,$P1934+ROUND((INT($B1934)-$P1934)/$Q1934,0)*$Q1934,IF($R1934&gt;0,EDATE($P1934,ROUND((DATEDIF($P1934,INT($B1934),"m")+(INT($B1934)-EDATE($P1934,DATEDIF($P1934,INT($B1934),"m")))/(EDATE($P1934,DATEDIF($P1934,INT($B1934),"m")+1)-EDATE($P1934,DATEDIF($P1934,INT($B1934),"m"))))/$R1934,0)*$R1934),$P1934))))),"")))</f>
      </c>
      <c r="M1934" s="223">
        <f>IF(OR($C1934="",N($L1934)=0,N($B1934)=0),"",IF(IF(MOD($L1934,1)=0,INT($B1934),$B1934)&lt;=$L1934,"Đúng hạn","Trễ hạn"))</f>
      </c>
      <c r="N1934" s="225">
        <f>IF($C1934="","",ROW())</f>
      </c>
      <c r="O1934" s="225">
        <f>IF($I1934="Công việc",MATCH($C1934,'Kế hoạch'!$A$6:$A$305,0),"")</f>
      </c>
      <c r="P1934" s="234">
        <f>IF($O1934="","",INDEX('Kế hoạch'!$I$6:$I$305,$O1934))</f>
      </c>
      <c r="Q1934" s="225">
        <f>IF($O1934="","",INDEX('Kế hoạch'!$AJ$6:$AJ$305,$O1934))</f>
      </c>
      <c r="R1934" s="225">
        <f>IF($O1934="","",INDEX('Kế hoạch'!$AK$6:$AK$305,$O1934))</f>
      </c>
    </row>
    <row r="1935">
      <c r="A1935" s="223">
        <f>IF($C1935="","",COUNTIF($C$6:$C1935,"?*"))</f>
      </c>
      <c r="B1935" s="217"/>
      <c r="C1935" s="216"/>
      <c r="D1935" s="240"/>
      <c r="E1935" s="218"/>
      <c r="F1935" s="218"/>
      <c r="G1935" s="218"/>
      <c r="H1935" s="219"/>
      <c r="I1935" s="223">
        <f>IF($C1935="","",IF(ISNUMBER(MATCH($C1935,'Phản ánh'!$A$6:$A$505,0)),"Phản ánh",IF(ISNUMBER(MATCH($C1935,'Kế hoạch'!$A$6:$A$305,0)),"Công việc","Mã chưa có")))</f>
      </c>
      <c r="J1935" s="221">
        <f>IF($I1935="Phản ánh",INDEX('Phản ánh'!$C$6:$C$505,MATCH($C1935,'Phản ánh'!$A$6:$A$505,0)),IF($I1935="Công việc",INDEX('Kế hoạch'!$C$6:$C$305,$O1935),""))</f>
      </c>
      <c r="K1935" s="221">
        <f>IF($I1935="Phản ánh",INDEX('Phản ánh'!$K$6:$K$505,MATCH($C1935,'Phản ánh'!$A$6:$A$505,0))&amp;"",IF($I1935="Công việc",INDEX('Kế hoạch'!$N$6:$N$305,$O1935)&amp;"",""))</f>
      </c>
      <c r="L1935" s="220">
        <f>IF(OR($C1935="",N($B1935)=0),"",IF(AND($I1935="Phản ánh",$E1935="Đã xử lý"),INDEX('Phản ánh'!$U$6:$U$505,MATCH($C1935,'Phản ánh'!$A$6:$A$505,0)),IF(AND($I1935="Công việc",OR($E1935="Hoàn thành",$E1935="Hoàn thành kỳ")),IF(INDEX('Kế hoạch'!$B$6:$B$305,$O1935)="Đột xuất",INDEX('Kế hoạch'!$AY$6:$AY$305,$O1935),IF(N($P1935)=0,"",IF(INT($B1935)&lt;$P1935,$P1935,IF($Q1935&gt;0,$P1935+ROUND((INT($B1935)-$P1935)/$Q1935,0)*$Q1935,IF($R1935&gt;0,EDATE($P1935,ROUND((DATEDIF($P1935,INT($B1935),"m")+(INT($B1935)-EDATE($P1935,DATEDIF($P1935,INT($B1935),"m")))/(EDATE($P1935,DATEDIF($P1935,INT($B1935),"m")+1)-EDATE($P1935,DATEDIF($P1935,INT($B1935),"m"))))/$R1935,0)*$R1935),$P1935))))),"")))</f>
      </c>
      <c r="M1935" s="223">
        <f>IF(OR($C1935="",N($L1935)=0,N($B1935)=0),"",IF(IF(MOD($L1935,1)=0,INT($B1935),$B1935)&lt;=$L1935,"Đúng hạn","Trễ hạn"))</f>
      </c>
      <c r="N1935" s="225">
        <f>IF($C1935="","",ROW())</f>
      </c>
      <c r="O1935" s="225">
        <f>IF($I1935="Công việc",MATCH($C1935,'Kế hoạch'!$A$6:$A$305,0),"")</f>
      </c>
      <c r="P1935" s="234">
        <f>IF($O1935="","",INDEX('Kế hoạch'!$I$6:$I$305,$O1935))</f>
      </c>
      <c r="Q1935" s="225">
        <f>IF($O1935="","",INDEX('Kế hoạch'!$AJ$6:$AJ$305,$O1935))</f>
      </c>
      <c r="R1935" s="225">
        <f>IF($O1935="","",INDEX('Kế hoạch'!$AK$6:$AK$305,$O1935))</f>
      </c>
    </row>
    <row r="1936">
      <c r="A1936" s="223">
        <f>IF($C1936="","",COUNTIF($C$6:$C1936,"?*"))</f>
      </c>
      <c r="B1936" s="217"/>
      <c r="C1936" s="216"/>
      <c r="D1936" s="240"/>
      <c r="E1936" s="218"/>
      <c r="F1936" s="218"/>
      <c r="G1936" s="218"/>
      <c r="H1936" s="219"/>
      <c r="I1936" s="223">
        <f>IF($C1936="","",IF(ISNUMBER(MATCH($C1936,'Phản ánh'!$A$6:$A$505,0)),"Phản ánh",IF(ISNUMBER(MATCH($C1936,'Kế hoạch'!$A$6:$A$305,0)),"Công việc","Mã chưa có")))</f>
      </c>
      <c r="J1936" s="221">
        <f>IF($I1936="Phản ánh",INDEX('Phản ánh'!$C$6:$C$505,MATCH($C1936,'Phản ánh'!$A$6:$A$505,0)),IF($I1936="Công việc",INDEX('Kế hoạch'!$C$6:$C$305,$O1936),""))</f>
      </c>
      <c r="K1936" s="221">
        <f>IF($I1936="Phản ánh",INDEX('Phản ánh'!$K$6:$K$505,MATCH($C1936,'Phản ánh'!$A$6:$A$505,0))&amp;"",IF($I1936="Công việc",INDEX('Kế hoạch'!$N$6:$N$305,$O1936)&amp;"",""))</f>
      </c>
      <c r="L1936" s="220">
        <f>IF(OR($C1936="",N($B1936)=0),"",IF(AND($I1936="Phản ánh",$E1936="Đã xử lý"),INDEX('Phản ánh'!$U$6:$U$505,MATCH($C1936,'Phản ánh'!$A$6:$A$505,0)),IF(AND($I1936="Công việc",OR($E1936="Hoàn thành",$E1936="Hoàn thành kỳ")),IF(INDEX('Kế hoạch'!$B$6:$B$305,$O1936)="Đột xuất",INDEX('Kế hoạch'!$AY$6:$AY$305,$O1936),IF(N($P1936)=0,"",IF(INT($B1936)&lt;$P1936,$P1936,IF($Q1936&gt;0,$P1936+ROUND((INT($B1936)-$P1936)/$Q1936,0)*$Q1936,IF($R1936&gt;0,EDATE($P1936,ROUND((DATEDIF($P1936,INT($B1936),"m")+(INT($B1936)-EDATE($P1936,DATEDIF($P1936,INT($B1936),"m")))/(EDATE($P1936,DATEDIF($P1936,INT($B1936),"m")+1)-EDATE($P1936,DATEDIF($P1936,INT($B1936),"m"))))/$R1936,0)*$R1936),$P1936))))),"")))</f>
      </c>
      <c r="M1936" s="223">
        <f>IF(OR($C1936="",N($L1936)=0,N($B1936)=0),"",IF(IF(MOD($L1936,1)=0,INT($B1936),$B1936)&lt;=$L1936,"Đúng hạn","Trễ hạn"))</f>
      </c>
      <c r="N1936" s="225">
        <f>IF($C1936="","",ROW())</f>
      </c>
      <c r="O1936" s="225">
        <f>IF($I1936="Công việc",MATCH($C1936,'Kế hoạch'!$A$6:$A$305,0),"")</f>
      </c>
      <c r="P1936" s="234">
        <f>IF($O1936="","",INDEX('Kế hoạch'!$I$6:$I$305,$O1936))</f>
      </c>
      <c r="Q1936" s="225">
        <f>IF($O1936="","",INDEX('Kế hoạch'!$AJ$6:$AJ$305,$O1936))</f>
      </c>
      <c r="R1936" s="225">
        <f>IF($O1936="","",INDEX('Kế hoạch'!$AK$6:$AK$305,$O1936))</f>
      </c>
    </row>
    <row r="1937">
      <c r="A1937" s="223">
        <f>IF($C1937="","",COUNTIF($C$6:$C1937,"?*"))</f>
      </c>
      <c r="B1937" s="217"/>
      <c r="C1937" s="216"/>
      <c r="D1937" s="240"/>
      <c r="E1937" s="218"/>
      <c r="F1937" s="218"/>
      <c r="G1937" s="218"/>
      <c r="H1937" s="219"/>
      <c r="I1937" s="223">
        <f>IF($C1937="","",IF(ISNUMBER(MATCH($C1937,'Phản ánh'!$A$6:$A$505,0)),"Phản ánh",IF(ISNUMBER(MATCH($C1937,'Kế hoạch'!$A$6:$A$305,0)),"Công việc","Mã chưa có")))</f>
      </c>
      <c r="J1937" s="221">
        <f>IF($I1937="Phản ánh",INDEX('Phản ánh'!$C$6:$C$505,MATCH($C1937,'Phản ánh'!$A$6:$A$505,0)),IF($I1937="Công việc",INDEX('Kế hoạch'!$C$6:$C$305,$O1937),""))</f>
      </c>
      <c r="K1937" s="221">
        <f>IF($I1937="Phản ánh",INDEX('Phản ánh'!$K$6:$K$505,MATCH($C1937,'Phản ánh'!$A$6:$A$505,0))&amp;"",IF($I1937="Công việc",INDEX('Kế hoạch'!$N$6:$N$305,$O1937)&amp;"",""))</f>
      </c>
      <c r="L1937" s="220">
        <f>IF(OR($C1937="",N($B1937)=0),"",IF(AND($I1937="Phản ánh",$E1937="Đã xử lý"),INDEX('Phản ánh'!$U$6:$U$505,MATCH($C1937,'Phản ánh'!$A$6:$A$505,0)),IF(AND($I1937="Công việc",OR($E1937="Hoàn thành",$E1937="Hoàn thành kỳ")),IF(INDEX('Kế hoạch'!$B$6:$B$305,$O1937)="Đột xuất",INDEX('Kế hoạch'!$AY$6:$AY$305,$O1937),IF(N($P1937)=0,"",IF(INT($B1937)&lt;$P1937,$P1937,IF($Q1937&gt;0,$P1937+ROUND((INT($B1937)-$P1937)/$Q1937,0)*$Q1937,IF($R1937&gt;0,EDATE($P1937,ROUND((DATEDIF($P1937,INT($B1937),"m")+(INT($B1937)-EDATE($P1937,DATEDIF($P1937,INT($B1937),"m")))/(EDATE($P1937,DATEDIF($P1937,INT($B1937),"m")+1)-EDATE($P1937,DATEDIF($P1937,INT($B1937),"m"))))/$R1937,0)*$R1937),$P1937))))),"")))</f>
      </c>
      <c r="M1937" s="223">
        <f>IF(OR($C1937="",N($L1937)=0,N($B1937)=0),"",IF(IF(MOD($L1937,1)=0,INT($B1937),$B1937)&lt;=$L1937,"Đúng hạn","Trễ hạn"))</f>
      </c>
      <c r="N1937" s="225">
        <f>IF($C1937="","",ROW())</f>
      </c>
      <c r="O1937" s="225">
        <f>IF($I1937="Công việc",MATCH($C1937,'Kế hoạch'!$A$6:$A$305,0),"")</f>
      </c>
      <c r="P1937" s="234">
        <f>IF($O1937="","",INDEX('Kế hoạch'!$I$6:$I$305,$O1937))</f>
      </c>
      <c r="Q1937" s="225">
        <f>IF($O1937="","",INDEX('Kế hoạch'!$AJ$6:$AJ$305,$O1937))</f>
      </c>
      <c r="R1937" s="225">
        <f>IF($O1937="","",INDEX('Kế hoạch'!$AK$6:$AK$305,$O1937))</f>
      </c>
    </row>
    <row r="1938">
      <c r="A1938" s="223">
        <f>IF($C1938="","",COUNTIF($C$6:$C1938,"?*"))</f>
      </c>
      <c r="B1938" s="217"/>
      <c r="C1938" s="216"/>
      <c r="D1938" s="240"/>
      <c r="E1938" s="218"/>
      <c r="F1938" s="218"/>
      <c r="G1938" s="218"/>
      <c r="H1938" s="219"/>
      <c r="I1938" s="223">
        <f>IF($C1938="","",IF(ISNUMBER(MATCH($C1938,'Phản ánh'!$A$6:$A$505,0)),"Phản ánh",IF(ISNUMBER(MATCH($C1938,'Kế hoạch'!$A$6:$A$305,0)),"Công việc","Mã chưa có")))</f>
      </c>
      <c r="J1938" s="221">
        <f>IF($I1938="Phản ánh",INDEX('Phản ánh'!$C$6:$C$505,MATCH($C1938,'Phản ánh'!$A$6:$A$505,0)),IF($I1938="Công việc",INDEX('Kế hoạch'!$C$6:$C$305,$O1938),""))</f>
      </c>
      <c r="K1938" s="221">
        <f>IF($I1938="Phản ánh",INDEX('Phản ánh'!$K$6:$K$505,MATCH($C1938,'Phản ánh'!$A$6:$A$505,0))&amp;"",IF($I1938="Công việc",INDEX('Kế hoạch'!$N$6:$N$305,$O1938)&amp;"",""))</f>
      </c>
      <c r="L1938" s="220">
        <f>IF(OR($C1938="",N($B1938)=0),"",IF(AND($I1938="Phản ánh",$E1938="Đã xử lý"),INDEX('Phản ánh'!$U$6:$U$505,MATCH($C1938,'Phản ánh'!$A$6:$A$505,0)),IF(AND($I1938="Công việc",OR($E1938="Hoàn thành",$E1938="Hoàn thành kỳ")),IF(INDEX('Kế hoạch'!$B$6:$B$305,$O1938)="Đột xuất",INDEX('Kế hoạch'!$AY$6:$AY$305,$O1938),IF(N($P1938)=0,"",IF(INT($B1938)&lt;$P1938,$P1938,IF($Q1938&gt;0,$P1938+ROUND((INT($B1938)-$P1938)/$Q1938,0)*$Q1938,IF($R1938&gt;0,EDATE($P1938,ROUND((DATEDIF($P1938,INT($B1938),"m")+(INT($B1938)-EDATE($P1938,DATEDIF($P1938,INT($B1938),"m")))/(EDATE($P1938,DATEDIF($P1938,INT($B1938),"m")+1)-EDATE($P1938,DATEDIF($P1938,INT($B1938),"m"))))/$R1938,0)*$R1938),$P1938))))),"")))</f>
      </c>
      <c r="M1938" s="223">
        <f>IF(OR($C1938="",N($L1938)=0,N($B1938)=0),"",IF(IF(MOD($L1938,1)=0,INT($B1938),$B1938)&lt;=$L1938,"Đúng hạn","Trễ hạn"))</f>
      </c>
      <c r="N1938" s="225">
        <f>IF($C1938="","",ROW())</f>
      </c>
      <c r="O1938" s="225">
        <f>IF($I1938="Công việc",MATCH($C1938,'Kế hoạch'!$A$6:$A$305,0),"")</f>
      </c>
      <c r="P1938" s="234">
        <f>IF($O1938="","",INDEX('Kế hoạch'!$I$6:$I$305,$O1938))</f>
      </c>
      <c r="Q1938" s="225">
        <f>IF($O1938="","",INDEX('Kế hoạch'!$AJ$6:$AJ$305,$O1938))</f>
      </c>
      <c r="R1938" s="225">
        <f>IF($O1938="","",INDEX('Kế hoạch'!$AK$6:$AK$305,$O1938))</f>
      </c>
    </row>
    <row r="1939">
      <c r="A1939" s="223">
        <f>IF($C1939="","",COUNTIF($C$6:$C1939,"?*"))</f>
      </c>
      <c r="B1939" s="217"/>
      <c r="C1939" s="216"/>
      <c r="D1939" s="240"/>
      <c r="E1939" s="218"/>
      <c r="F1939" s="218"/>
      <c r="G1939" s="218"/>
      <c r="H1939" s="219"/>
      <c r="I1939" s="223">
        <f>IF($C1939="","",IF(ISNUMBER(MATCH($C1939,'Phản ánh'!$A$6:$A$505,0)),"Phản ánh",IF(ISNUMBER(MATCH($C1939,'Kế hoạch'!$A$6:$A$305,0)),"Công việc","Mã chưa có")))</f>
      </c>
      <c r="J1939" s="221">
        <f>IF($I1939="Phản ánh",INDEX('Phản ánh'!$C$6:$C$505,MATCH($C1939,'Phản ánh'!$A$6:$A$505,0)),IF($I1939="Công việc",INDEX('Kế hoạch'!$C$6:$C$305,$O1939),""))</f>
      </c>
      <c r="K1939" s="221">
        <f>IF($I1939="Phản ánh",INDEX('Phản ánh'!$K$6:$K$505,MATCH($C1939,'Phản ánh'!$A$6:$A$505,0))&amp;"",IF($I1939="Công việc",INDEX('Kế hoạch'!$N$6:$N$305,$O1939)&amp;"",""))</f>
      </c>
      <c r="L1939" s="220">
        <f>IF(OR($C1939="",N($B1939)=0),"",IF(AND($I1939="Phản ánh",$E1939="Đã xử lý"),INDEX('Phản ánh'!$U$6:$U$505,MATCH($C1939,'Phản ánh'!$A$6:$A$505,0)),IF(AND($I1939="Công việc",OR($E1939="Hoàn thành",$E1939="Hoàn thành kỳ")),IF(INDEX('Kế hoạch'!$B$6:$B$305,$O1939)="Đột xuất",INDEX('Kế hoạch'!$AY$6:$AY$305,$O1939),IF(N($P1939)=0,"",IF(INT($B1939)&lt;$P1939,$P1939,IF($Q1939&gt;0,$P1939+ROUND((INT($B1939)-$P1939)/$Q1939,0)*$Q1939,IF($R1939&gt;0,EDATE($P1939,ROUND((DATEDIF($P1939,INT($B1939),"m")+(INT($B1939)-EDATE($P1939,DATEDIF($P1939,INT($B1939),"m")))/(EDATE($P1939,DATEDIF($P1939,INT($B1939),"m")+1)-EDATE($P1939,DATEDIF($P1939,INT($B1939),"m"))))/$R1939,0)*$R1939),$P1939))))),"")))</f>
      </c>
      <c r="M1939" s="223">
        <f>IF(OR($C1939="",N($L1939)=0,N($B1939)=0),"",IF(IF(MOD($L1939,1)=0,INT($B1939),$B1939)&lt;=$L1939,"Đúng hạn","Trễ hạn"))</f>
      </c>
      <c r="N1939" s="225">
        <f>IF($C1939="","",ROW())</f>
      </c>
      <c r="O1939" s="225">
        <f>IF($I1939="Công việc",MATCH($C1939,'Kế hoạch'!$A$6:$A$305,0),"")</f>
      </c>
      <c r="P1939" s="234">
        <f>IF($O1939="","",INDEX('Kế hoạch'!$I$6:$I$305,$O1939))</f>
      </c>
      <c r="Q1939" s="225">
        <f>IF($O1939="","",INDEX('Kế hoạch'!$AJ$6:$AJ$305,$O1939))</f>
      </c>
      <c r="R1939" s="225">
        <f>IF($O1939="","",INDEX('Kế hoạch'!$AK$6:$AK$305,$O1939))</f>
      </c>
    </row>
    <row r="1940">
      <c r="A1940" s="223">
        <f>IF($C1940="","",COUNTIF($C$6:$C1940,"?*"))</f>
      </c>
      <c r="B1940" s="217"/>
      <c r="C1940" s="216"/>
      <c r="D1940" s="240"/>
      <c r="E1940" s="218"/>
      <c r="F1940" s="218"/>
      <c r="G1940" s="218"/>
      <c r="H1940" s="219"/>
      <c r="I1940" s="223">
        <f>IF($C1940="","",IF(ISNUMBER(MATCH($C1940,'Phản ánh'!$A$6:$A$505,0)),"Phản ánh",IF(ISNUMBER(MATCH($C1940,'Kế hoạch'!$A$6:$A$305,0)),"Công việc","Mã chưa có")))</f>
      </c>
      <c r="J1940" s="221">
        <f>IF($I1940="Phản ánh",INDEX('Phản ánh'!$C$6:$C$505,MATCH($C1940,'Phản ánh'!$A$6:$A$505,0)),IF($I1940="Công việc",INDEX('Kế hoạch'!$C$6:$C$305,$O1940),""))</f>
      </c>
      <c r="K1940" s="221">
        <f>IF($I1940="Phản ánh",INDEX('Phản ánh'!$K$6:$K$505,MATCH($C1940,'Phản ánh'!$A$6:$A$505,0))&amp;"",IF($I1940="Công việc",INDEX('Kế hoạch'!$N$6:$N$305,$O1940)&amp;"",""))</f>
      </c>
      <c r="L1940" s="220">
        <f>IF(OR($C1940="",N($B1940)=0),"",IF(AND($I1940="Phản ánh",$E1940="Đã xử lý"),INDEX('Phản ánh'!$U$6:$U$505,MATCH($C1940,'Phản ánh'!$A$6:$A$505,0)),IF(AND($I1940="Công việc",OR($E1940="Hoàn thành",$E1940="Hoàn thành kỳ")),IF(INDEX('Kế hoạch'!$B$6:$B$305,$O1940)="Đột xuất",INDEX('Kế hoạch'!$AY$6:$AY$305,$O1940),IF(N($P1940)=0,"",IF(INT($B1940)&lt;$P1940,$P1940,IF($Q1940&gt;0,$P1940+ROUND((INT($B1940)-$P1940)/$Q1940,0)*$Q1940,IF($R1940&gt;0,EDATE($P1940,ROUND((DATEDIF($P1940,INT($B1940),"m")+(INT($B1940)-EDATE($P1940,DATEDIF($P1940,INT($B1940),"m")))/(EDATE($P1940,DATEDIF($P1940,INT($B1940),"m")+1)-EDATE($P1940,DATEDIF($P1940,INT($B1940),"m"))))/$R1940,0)*$R1940),$P1940))))),"")))</f>
      </c>
      <c r="M1940" s="223">
        <f>IF(OR($C1940="",N($L1940)=0,N($B1940)=0),"",IF(IF(MOD($L1940,1)=0,INT($B1940),$B1940)&lt;=$L1940,"Đúng hạn","Trễ hạn"))</f>
      </c>
      <c r="N1940" s="225">
        <f>IF($C1940="","",ROW())</f>
      </c>
      <c r="O1940" s="225">
        <f>IF($I1940="Công việc",MATCH($C1940,'Kế hoạch'!$A$6:$A$305,0),"")</f>
      </c>
      <c r="P1940" s="234">
        <f>IF($O1940="","",INDEX('Kế hoạch'!$I$6:$I$305,$O1940))</f>
      </c>
      <c r="Q1940" s="225">
        <f>IF($O1940="","",INDEX('Kế hoạch'!$AJ$6:$AJ$305,$O1940))</f>
      </c>
      <c r="R1940" s="225">
        <f>IF($O1940="","",INDEX('Kế hoạch'!$AK$6:$AK$305,$O1940))</f>
      </c>
    </row>
    <row r="1941">
      <c r="A1941" s="223">
        <f>IF($C1941="","",COUNTIF($C$6:$C1941,"?*"))</f>
      </c>
      <c r="B1941" s="217"/>
      <c r="C1941" s="216"/>
      <c r="D1941" s="240"/>
      <c r="E1941" s="218"/>
      <c r="F1941" s="218"/>
      <c r="G1941" s="218"/>
      <c r="H1941" s="219"/>
      <c r="I1941" s="223">
        <f>IF($C1941="","",IF(ISNUMBER(MATCH($C1941,'Phản ánh'!$A$6:$A$505,0)),"Phản ánh",IF(ISNUMBER(MATCH($C1941,'Kế hoạch'!$A$6:$A$305,0)),"Công việc","Mã chưa có")))</f>
      </c>
      <c r="J1941" s="221">
        <f>IF($I1941="Phản ánh",INDEX('Phản ánh'!$C$6:$C$505,MATCH($C1941,'Phản ánh'!$A$6:$A$505,0)),IF($I1941="Công việc",INDEX('Kế hoạch'!$C$6:$C$305,$O1941),""))</f>
      </c>
      <c r="K1941" s="221">
        <f>IF($I1941="Phản ánh",INDEX('Phản ánh'!$K$6:$K$505,MATCH($C1941,'Phản ánh'!$A$6:$A$505,0))&amp;"",IF($I1941="Công việc",INDEX('Kế hoạch'!$N$6:$N$305,$O1941)&amp;"",""))</f>
      </c>
      <c r="L1941" s="220">
        <f>IF(OR($C1941="",N($B1941)=0),"",IF(AND($I1941="Phản ánh",$E1941="Đã xử lý"),INDEX('Phản ánh'!$U$6:$U$505,MATCH($C1941,'Phản ánh'!$A$6:$A$505,0)),IF(AND($I1941="Công việc",OR($E1941="Hoàn thành",$E1941="Hoàn thành kỳ")),IF(INDEX('Kế hoạch'!$B$6:$B$305,$O1941)="Đột xuất",INDEX('Kế hoạch'!$AY$6:$AY$305,$O1941),IF(N($P1941)=0,"",IF(INT($B1941)&lt;$P1941,$P1941,IF($Q1941&gt;0,$P1941+ROUND((INT($B1941)-$P1941)/$Q1941,0)*$Q1941,IF($R1941&gt;0,EDATE($P1941,ROUND((DATEDIF($P1941,INT($B1941),"m")+(INT($B1941)-EDATE($P1941,DATEDIF($P1941,INT($B1941),"m")))/(EDATE($P1941,DATEDIF($P1941,INT($B1941),"m")+1)-EDATE($P1941,DATEDIF($P1941,INT($B1941),"m"))))/$R1941,0)*$R1941),$P1941))))),"")))</f>
      </c>
      <c r="M1941" s="223">
        <f>IF(OR($C1941="",N($L1941)=0,N($B1941)=0),"",IF(IF(MOD($L1941,1)=0,INT($B1941),$B1941)&lt;=$L1941,"Đúng hạn","Trễ hạn"))</f>
      </c>
      <c r="N1941" s="225">
        <f>IF($C1941="","",ROW())</f>
      </c>
      <c r="O1941" s="225">
        <f>IF($I1941="Công việc",MATCH($C1941,'Kế hoạch'!$A$6:$A$305,0),"")</f>
      </c>
      <c r="P1941" s="234">
        <f>IF($O1941="","",INDEX('Kế hoạch'!$I$6:$I$305,$O1941))</f>
      </c>
      <c r="Q1941" s="225">
        <f>IF($O1941="","",INDEX('Kế hoạch'!$AJ$6:$AJ$305,$O1941))</f>
      </c>
      <c r="R1941" s="225">
        <f>IF($O1941="","",INDEX('Kế hoạch'!$AK$6:$AK$305,$O1941))</f>
      </c>
    </row>
    <row r="1942">
      <c r="A1942" s="223">
        <f>IF($C1942="","",COUNTIF($C$6:$C1942,"?*"))</f>
      </c>
      <c r="B1942" s="217"/>
      <c r="C1942" s="216"/>
      <c r="D1942" s="240"/>
      <c r="E1942" s="218"/>
      <c r="F1942" s="218"/>
      <c r="G1942" s="218"/>
      <c r="H1942" s="219"/>
      <c r="I1942" s="223">
        <f>IF($C1942="","",IF(ISNUMBER(MATCH($C1942,'Phản ánh'!$A$6:$A$505,0)),"Phản ánh",IF(ISNUMBER(MATCH($C1942,'Kế hoạch'!$A$6:$A$305,0)),"Công việc","Mã chưa có")))</f>
      </c>
      <c r="J1942" s="221">
        <f>IF($I1942="Phản ánh",INDEX('Phản ánh'!$C$6:$C$505,MATCH($C1942,'Phản ánh'!$A$6:$A$505,0)),IF($I1942="Công việc",INDEX('Kế hoạch'!$C$6:$C$305,$O1942),""))</f>
      </c>
      <c r="K1942" s="221">
        <f>IF($I1942="Phản ánh",INDEX('Phản ánh'!$K$6:$K$505,MATCH($C1942,'Phản ánh'!$A$6:$A$505,0))&amp;"",IF($I1942="Công việc",INDEX('Kế hoạch'!$N$6:$N$305,$O1942)&amp;"",""))</f>
      </c>
      <c r="L1942" s="220">
        <f>IF(OR($C1942="",N($B1942)=0),"",IF(AND($I1942="Phản ánh",$E1942="Đã xử lý"),INDEX('Phản ánh'!$U$6:$U$505,MATCH($C1942,'Phản ánh'!$A$6:$A$505,0)),IF(AND($I1942="Công việc",OR($E1942="Hoàn thành",$E1942="Hoàn thành kỳ")),IF(INDEX('Kế hoạch'!$B$6:$B$305,$O1942)="Đột xuất",INDEX('Kế hoạch'!$AY$6:$AY$305,$O1942),IF(N($P1942)=0,"",IF(INT($B1942)&lt;$P1942,$P1942,IF($Q1942&gt;0,$P1942+ROUND((INT($B1942)-$P1942)/$Q1942,0)*$Q1942,IF($R1942&gt;0,EDATE($P1942,ROUND((DATEDIF($P1942,INT($B1942),"m")+(INT($B1942)-EDATE($P1942,DATEDIF($P1942,INT($B1942),"m")))/(EDATE($P1942,DATEDIF($P1942,INT($B1942),"m")+1)-EDATE($P1942,DATEDIF($P1942,INT($B1942),"m"))))/$R1942,0)*$R1942),$P1942))))),"")))</f>
      </c>
      <c r="M1942" s="223">
        <f>IF(OR($C1942="",N($L1942)=0,N($B1942)=0),"",IF(IF(MOD($L1942,1)=0,INT($B1942),$B1942)&lt;=$L1942,"Đúng hạn","Trễ hạn"))</f>
      </c>
      <c r="N1942" s="225">
        <f>IF($C1942="","",ROW())</f>
      </c>
      <c r="O1942" s="225">
        <f>IF($I1942="Công việc",MATCH($C1942,'Kế hoạch'!$A$6:$A$305,0),"")</f>
      </c>
      <c r="P1942" s="234">
        <f>IF($O1942="","",INDEX('Kế hoạch'!$I$6:$I$305,$O1942))</f>
      </c>
      <c r="Q1942" s="225">
        <f>IF($O1942="","",INDEX('Kế hoạch'!$AJ$6:$AJ$305,$O1942))</f>
      </c>
      <c r="R1942" s="225">
        <f>IF($O1942="","",INDEX('Kế hoạch'!$AK$6:$AK$305,$O1942))</f>
      </c>
    </row>
    <row r="1943">
      <c r="A1943" s="223">
        <f>IF($C1943="","",COUNTIF($C$6:$C1943,"?*"))</f>
      </c>
      <c r="B1943" s="217"/>
      <c r="C1943" s="216"/>
      <c r="D1943" s="240"/>
      <c r="E1943" s="218"/>
      <c r="F1943" s="218"/>
      <c r="G1943" s="218"/>
      <c r="H1943" s="219"/>
      <c r="I1943" s="223">
        <f>IF($C1943="","",IF(ISNUMBER(MATCH($C1943,'Phản ánh'!$A$6:$A$505,0)),"Phản ánh",IF(ISNUMBER(MATCH($C1943,'Kế hoạch'!$A$6:$A$305,0)),"Công việc","Mã chưa có")))</f>
      </c>
      <c r="J1943" s="221">
        <f>IF($I1943="Phản ánh",INDEX('Phản ánh'!$C$6:$C$505,MATCH($C1943,'Phản ánh'!$A$6:$A$505,0)),IF($I1943="Công việc",INDEX('Kế hoạch'!$C$6:$C$305,$O1943),""))</f>
      </c>
      <c r="K1943" s="221">
        <f>IF($I1943="Phản ánh",INDEX('Phản ánh'!$K$6:$K$505,MATCH($C1943,'Phản ánh'!$A$6:$A$505,0))&amp;"",IF($I1943="Công việc",INDEX('Kế hoạch'!$N$6:$N$305,$O1943)&amp;"",""))</f>
      </c>
      <c r="L1943" s="220">
        <f>IF(OR($C1943="",N($B1943)=0),"",IF(AND($I1943="Phản ánh",$E1943="Đã xử lý"),INDEX('Phản ánh'!$U$6:$U$505,MATCH($C1943,'Phản ánh'!$A$6:$A$505,0)),IF(AND($I1943="Công việc",OR($E1943="Hoàn thành",$E1943="Hoàn thành kỳ")),IF(INDEX('Kế hoạch'!$B$6:$B$305,$O1943)="Đột xuất",INDEX('Kế hoạch'!$AY$6:$AY$305,$O1943),IF(N($P1943)=0,"",IF(INT($B1943)&lt;$P1943,$P1943,IF($Q1943&gt;0,$P1943+ROUND((INT($B1943)-$P1943)/$Q1943,0)*$Q1943,IF($R1943&gt;0,EDATE($P1943,ROUND((DATEDIF($P1943,INT($B1943),"m")+(INT($B1943)-EDATE($P1943,DATEDIF($P1943,INT($B1943),"m")))/(EDATE($P1943,DATEDIF($P1943,INT($B1943),"m")+1)-EDATE($P1943,DATEDIF($P1943,INT($B1943),"m"))))/$R1943,0)*$R1943),$P1943))))),"")))</f>
      </c>
      <c r="M1943" s="223">
        <f>IF(OR($C1943="",N($L1943)=0,N($B1943)=0),"",IF(IF(MOD($L1943,1)=0,INT($B1943),$B1943)&lt;=$L1943,"Đúng hạn","Trễ hạn"))</f>
      </c>
      <c r="N1943" s="225">
        <f>IF($C1943="","",ROW())</f>
      </c>
      <c r="O1943" s="225">
        <f>IF($I1943="Công việc",MATCH($C1943,'Kế hoạch'!$A$6:$A$305,0),"")</f>
      </c>
      <c r="P1943" s="234">
        <f>IF($O1943="","",INDEX('Kế hoạch'!$I$6:$I$305,$O1943))</f>
      </c>
      <c r="Q1943" s="225">
        <f>IF($O1943="","",INDEX('Kế hoạch'!$AJ$6:$AJ$305,$O1943))</f>
      </c>
      <c r="R1943" s="225">
        <f>IF($O1943="","",INDEX('Kế hoạch'!$AK$6:$AK$305,$O1943))</f>
      </c>
    </row>
    <row r="1944">
      <c r="A1944" s="223">
        <f>IF($C1944="","",COUNTIF($C$6:$C1944,"?*"))</f>
      </c>
      <c r="B1944" s="217"/>
      <c r="C1944" s="216"/>
      <c r="D1944" s="240"/>
      <c r="E1944" s="218"/>
      <c r="F1944" s="218"/>
      <c r="G1944" s="218"/>
      <c r="H1944" s="219"/>
      <c r="I1944" s="223">
        <f>IF($C1944="","",IF(ISNUMBER(MATCH($C1944,'Phản ánh'!$A$6:$A$505,0)),"Phản ánh",IF(ISNUMBER(MATCH($C1944,'Kế hoạch'!$A$6:$A$305,0)),"Công việc","Mã chưa có")))</f>
      </c>
      <c r="J1944" s="221">
        <f>IF($I1944="Phản ánh",INDEX('Phản ánh'!$C$6:$C$505,MATCH($C1944,'Phản ánh'!$A$6:$A$505,0)),IF($I1944="Công việc",INDEX('Kế hoạch'!$C$6:$C$305,$O1944),""))</f>
      </c>
      <c r="K1944" s="221">
        <f>IF($I1944="Phản ánh",INDEX('Phản ánh'!$K$6:$K$505,MATCH($C1944,'Phản ánh'!$A$6:$A$505,0))&amp;"",IF($I1944="Công việc",INDEX('Kế hoạch'!$N$6:$N$305,$O1944)&amp;"",""))</f>
      </c>
      <c r="L1944" s="220">
        <f>IF(OR($C1944="",N($B1944)=0),"",IF(AND($I1944="Phản ánh",$E1944="Đã xử lý"),INDEX('Phản ánh'!$U$6:$U$505,MATCH($C1944,'Phản ánh'!$A$6:$A$505,0)),IF(AND($I1944="Công việc",OR($E1944="Hoàn thành",$E1944="Hoàn thành kỳ")),IF(INDEX('Kế hoạch'!$B$6:$B$305,$O1944)="Đột xuất",INDEX('Kế hoạch'!$AY$6:$AY$305,$O1944),IF(N($P1944)=0,"",IF(INT($B1944)&lt;$P1944,$P1944,IF($Q1944&gt;0,$P1944+ROUND((INT($B1944)-$P1944)/$Q1944,0)*$Q1944,IF($R1944&gt;0,EDATE($P1944,ROUND((DATEDIF($P1944,INT($B1944),"m")+(INT($B1944)-EDATE($P1944,DATEDIF($P1944,INT($B1944),"m")))/(EDATE($P1944,DATEDIF($P1944,INT($B1944),"m")+1)-EDATE($P1944,DATEDIF($P1944,INT($B1944),"m"))))/$R1944,0)*$R1944),$P1944))))),"")))</f>
      </c>
      <c r="M1944" s="223">
        <f>IF(OR($C1944="",N($L1944)=0,N($B1944)=0),"",IF(IF(MOD($L1944,1)=0,INT($B1944),$B1944)&lt;=$L1944,"Đúng hạn","Trễ hạn"))</f>
      </c>
      <c r="N1944" s="225">
        <f>IF($C1944="","",ROW())</f>
      </c>
      <c r="O1944" s="225">
        <f>IF($I1944="Công việc",MATCH($C1944,'Kế hoạch'!$A$6:$A$305,0),"")</f>
      </c>
      <c r="P1944" s="234">
        <f>IF($O1944="","",INDEX('Kế hoạch'!$I$6:$I$305,$O1944))</f>
      </c>
      <c r="Q1944" s="225">
        <f>IF($O1944="","",INDEX('Kế hoạch'!$AJ$6:$AJ$305,$O1944))</f>
      </c>
      <c r="R1944" s="225">
        <f>IF($O1944="","",INDEX('Kế hoạch'!$AK$6:$AK$305,$O1944))</f>
      </c>
    </row>
    <row r="1945">
      <c r="A1945" s="223">
        <f>IF($C1945="","",COUNTIF($C$6:$C1945,"?*"))</f>
      </c>
      <c r="B1945" s="217"/>
      <c r="C1945" s="216"/>
      <c r="D1945" s="240"/>
      <c r="E1945" s="218"/>
      <c r="F1945" s="218"/>
      <c r="G1945" s="218"/>
      <c r="H1945" s="219"/>
      <c r="I1945" s="223">
        <f>IF($C1945="","",IF(ISNUMBER(MATCH($C1945,'Phản ánh'!$A$6:$A$505,0)),"Phản ánh",IF(ISNUMBER(MATCH($C1945,'Kế hoạch'!$A$6:$A$305,0)),"Công việc","Mã chưa có")))</f>
      </c>
      <c r="J1945" s="221">
        <f>IF($I1945="Phản ánh",INDEX('Phản ánh'!$C$6:$C$505,MATCH($C1945,'Phản ánh'!$A$6:$A$505,0)),IF($I1945="Công việc",INDEX('Kế hoạch'!$C$6:$C$305,$O1945),""))</f>
      </c>
      <c r="K1945" s="221">
        <f>IF($I1945="Phản ánh",INDEX('Phản ánh'!$K$6:$K$505,MATCH($C1945,'Phản ánh'!$A$6:$A$505,0))&amp;"",IF($I1945="Công việc",INDEX('Kế hoạch'!$N$6:$N$305,$O1945)&amp;"",""))</f>
      </c>
      <c r="L1945" s="220">
        <f>IF(OR($C1945="",N($B1945)=0),"",IF(AND($I1945="Phản ánh",$E1945="Đã xử lý"),INDEX('Phản ánh'!$U$6:$U$505,MATCH($C1945,'Phản ánh'!$A$6:$A$505,0)),IF(AND($I1945="Công việc",OR($E1945="Hoàn thành",$E1945="Hoàn thành kỳ")),IF(INDEX('Kế hoạch'!$B$6:$B$305,$O1945)="Đột xuất",INDEX('Kế hoạch'!$AY$6:$AY$305,$O1945),IF(N($P1945)=0,"",IF(INT($B1945)&lt;$P1945,$P1945,IF($Q1945&gt;0,$P1945+ROUND((INT($B1945)-$P1945)/$Q1945,0)*$Q1945,IF($R1945&gt;0,EDATE($P1945,ROUND((DATEDIF($P1945,INT($B1945),"m")+(INT($B1945)-EDATE($P1945,DATEDIF($P1945,INT($B1945),"m")))/(EDATE($P1945,DATEDIF($P1945,INT($B1945),"m")+1)-EDATE($P1945,DATEDIF($P1945,INT($B1945),"m"))))/$R1945,0)*$R1945),$P1945))))),"")))</f>
      </c>
      <c r="M1945" s="223">
        <f>IF(OR($C1945="",N($L1945)=0,N($B1945)=0),"",IF(IF(MOD($L1945,1)=0,INT($B1945),$B1945)&lt;=$L1945,"Đúng hạn","Trễ hạn"))</f>
      </c>
      <c r="N1945" s="225">
        <f>IF($C1945="","",ROW())</f>
      </c>
      <c r="O1945" s="225">
        <f>IF($I1945="Công việc",MATCH($C1945,'Kế hoạch'!$A$6:$A$305,0),"")</f>
      </c>
      <c r="P1945" s="234">
        <f>IF($O1945="","",INDEX('Kế hoạch'!$I$6:$I$305,$O1945))</f>
      </c>
      <c r="Q1945" s="225">
        <f>IF($O1945="","",INDEX('Kế hoạch'!$AJ$6:$AJ$305,$O1945))</f>
      </c>
      <c r="R1945" s="225">
        <f>IF($O1945="","",INDEX('Kế hoạch'!$AK$6:$AK$305,$O1945))</f>
      </c>
    </row>
    <row r="1946">
      <c r="A1946" s="223">
        <f>IF($C1946="","",COUNTIF($C$6:$C1946,"?*"))</f>
      </c>
      <c r="B1946" s="217"/>
      <c r="C1946" s="216"/>
      <c r="D1946" s="240"/>
      <c r="E1946" s="218"/>
      <c r="F1946" s="218"/>
      <c r="G1946" s="218"/>
      <c r="H1946" s="219"/>
      <c r="I1946" s="223">
        <f>IF($C1946="","",IF(ISNUMBER(MATCH($C1946,'Phản ánh'!$A$6:$A$505,0)),"Phản ánh",IF(ISNUMBER(MATCH($C1946,'Kế hoạch'!$A$6:$A$305,0)),"Công việc","Mã chưa có")))</f>
      </c>
      <c r="J1946" s="221">
        <f>IF($I1946="Phản ánh",INDEX('Phản ánh'!$C$6:$C$505,MATCH($C1946,'Phản ánh'!$A$6:$A$505,0)),IF($I1946="Công việc",INDEX('Kế hoạch'!$C$6:$C$305,$O1946),""))</f>
      </c>
      <c r="K1946" s="221">
        <f>IF($I1946="Phản ánh",INDEX('Phản ánh'!$K$6:$K$505,MATCH($C1946,'Phản ánh'!$A$6:$A$505,0))&amp;"",IF($I1946="Công việc",INDEX('Kế hoạch'!$N$6:$N$305,$O1946)&amp;"",""))</f>
      </c>
      <c r="L1946" s="220">
        <f>IF(OR($C1946="",N($B1946)=0),"",IF(AND($I1946="Phản ánh",$E1946="Đã xử lý"),INDEX('Phản ánh'!$U$6:$U$505,MATCH($C1946,'Phản ánh'!$A$6:$A$505,0)),IF(AND($I1946="Công việc",OR($E1946="Hoàn thành",$E1946="Hoàn thành kỳ")),IF(INDEX('Kế hoạch'!$B$6:$B$305,$O1946)="Đột xuất",INDEX('Kế hoạch'!$AY$6:$AY$305,$O1946),IF(N($P1946)=0,"",IF(INT($B1946)&lt;$P1946,$P1946,IF($Q1946&gt;0,$P1946+ROUND((INT($B1946)-$P1946)/$Q1946,0)*$Q1946,IF($R1946&gt;0,EDATE($P1946,ROUND((DATEDIF($P1946,INT($B1946),"m")+(INT($B1946)-EDATE($P1946,DATEDIF($P1946,INT($B1946),"m")))/(EDATE($P1946,DATEDIF($P1946,INT($B1946),"m")+1)-EDATE($P1946,DATEDIF($P1946,INT($B1946),"m"))))/$R1946,0)*$R1946),$P1946))))),"")))</f>
      </c>
      <c r="M1946" s="223">
        <f>IF(OR($C1946="",N($L1946)=0,N($B1946)=0),"",IF(IF(MOD($L1946,1)=0,INT($B1946),$B1946)&lt;=$L1946,"Đúng hạn","Trễ hạn"))</f>
      </c>
      <c r="N1946" s="225">
        <f>IF($C1946="","",ROW())</f>
      </c>
      <c r="O1946" s="225">
        <f>IF($I1946="Công việc",MATCH($C1946,'Kế hoạch'!$A$6:$A$305,0),"")</f>
      </c>
      <c r="P1946" s="234">
        <f>IF($O1946="","",INDEX('Kế hoạch'!$I$6:$I$305,$O1946))</f>
      </c>
      <c r="Q1946" s="225">
        <f>IF($O1946="","",INDEX('Kế hoạch'!$AJ$6:$AJ$305,$O1946))</f>
      </c>
      <c r="R1946" s="225">
        <f>IF($O1946="","",INDEX('Kế hoạch'!$AK$6:$AK$305,$O1946))</f>
      </c>
    </row>
    <row r="1947">
      <c r="A1947" s="223">
        <f>IF($C1947="","",COUNTIF($C$6:$C1947,"?*"))</f>
      </c>
      <c r="B1947" s="217"/>
      <c r="C1947" s="216"/>
      <c r="D1947" s="240"/>
      <c r="E1947" s="218"/>
      <c r="F1947" s="218"/>
      <c r="G1947" s="218"/>
      <c r="H1947" s="219"/>
      <c r="I1947" s="223">
        <f>IF($C1947="","",IF(ISNUMBER(MATCH($C1947,'Phản ánh'!$A$6:$A$505,0)),"Phản ánh",IF(ISNUMBER(MATCH($C1947,'Kế hoạch'!$A$6:$A$305,0)),"Công việc","Mã chưa có")))</f>
      </c>
      <c r="J1947" s="221">
        <f>IF($I1947="Phản ánh",INDEX('Phản ánh'!$C$6:$C$505,MATCH($C1947,'Phản ánh'!$A$6:$A$505,0)),IF($I1947="Công việc",INDEX('Kế hoạch'!$C$6:$C$305,$O1947),""))</f>
      </c>
      <c r="K1947" s="221">
        <f>IF($I1947="Phản ánh",INDEX('Phản ánh'!$K$6:$K$505,MATCH($C1947,'Phản ánh'!$A$6:$A$505,0))&amp;"",IF($I1947="Công việc",INDEX('Kế hoạch'!$N$6:$N$305,$O1947)&amp;"",""))</f>
      </c>
      <c r="L1947" s="220">
        <f>IF(OR($C1947="",N($B1947)=0),"",IF(AND($I1947="Phản ánh",$E1947="Đã xử lý"),INDEX('Phản ánh'!$U$6:$U$505,MATCH($C1947,'Phản ánh'!$A$6:$A$505,0)),IF(AND($I1947="Công việc",OR($E1947="Hoàn thành",$E1947="Hoàn thành kỳ")),IF(INDEX('Kế hoạch'!$B$6:$B$305,$O1947)="Đột xuất",INDEX('Kế hoạch'!$AY$6:$AY$305,$O1947),IF(N($P1947)=0,"",IF(INT($B1947)&lt;$P1947,$P1947,IF($Q1947&gt;0,$P1947+ROUND((INT($B1947)-$P1947)/$Q1947,0)*$Q1947,IF($R1947&gt;0,EDATE($P1947,ROUND((DATEDIF($P1947,INT($B1947),"m")+(INT($B1947)-EDATE($P1947,DATEDIF($P1947,INT($B1947),"m")))/(EDATE($P1947,DATEDIF($P1947,INT($B1947),"m")+1)-EDATE($P1947,DATEDIF($P1947,INT($B1947),"m"))))/$R1947,0)*$R1947),$P1947))))),"")))</f>
      </c>
      <c r="M1947" s="223">
        <f>IF(OR($C1947="",N($L1947)=0,N($B1947)=0),"",IF(IF(MOD($L1947,1)=0,INT($B1947),$B1947)&lt;=$L1947,"Đúng hạn","Trễ hạn"))</f>
      </c>
      <c r="N1947" s="225">
        <f>IF($C1947="","",ROW())</f>
      </c>
      <c r="O1947" s="225">
        <f>IF($I1947="Công việc",MATCH($C1947,'Kế hoạch'!$A$6:$A$305,0),"")</f>
      </c>
      <c r="P1947" s="234">
        <f>IF($O1947="","",INDEX('Kế hoạch'!$I$6:$I$305,$O1947))</f>
      </c>
      <c r="Q1947" s="225">
        <f>IF($O1947="","",INDEX('Kế hoạch'!$AJ$6:$AJ$305,$O1947))</f>
      </c>
      <c r="R1947" s="225">
        <f>IF($O1947="","",INDEX('Kế hoạch'!$AK$6:$AK$305,$O1947))</f>
      </c>
    </row>
    <row r="1948">
      <c r="A1948" s="223">
        <f>IF($C1948="","",COUNTIF($C$6:$C1948,"?*"))</f>
      </c>
      <c r="B1948" s="217"/>
      <c r="C1948" s="216"/>
      <c r="D1948" s="240"/>
      <c r="E1948" s="218"/>
      <c r="F1948" s="218"/>
      <c r="G1948" s="218"/>
      <c r="H1948" s="219"/>
      <c r="I1948" s="223">
        <f>IF($C1948="","",IF(ISNUMBER(MATCH($C1948,'Phản ánh'!$A$6:$A$505,0)),"Phản ánh",IF(ISNUMBER(MATCH($C1948,'Kế hoạch'!$A$6:$A$305,0)),"Công việc","Mã chưa có")))</f>
      </c>
      <c r="J1948" s="221">
        <f>IF($I1948="Phản ánh",INDEX('Phản ánh'!$C$6:$C$505,MATCH($C1948,'Phản ánh'!$A$6:$A$505,0)),IF($I1948="Công việc",INDEX('Kế hoạch'!$C$6:$C$305,$O1948),""))</f>
      </c>
      <c r="K1948" s="221">
        <f>IF($I1948="Phản ánh",INDEX('Phản ánh'!$K$6:$K$505,MATCH($C1948,'Phản ánh'!$A$6:$A$505,0))&amp;"",IF($I1948="Công việc",INDEX('Kế hoạch'!$N$6:$N$305,$O1948)&amp;"",""))</f>
      </c>
      <c r="L1948" s="220">
        <f>IF(OR($C1948="",N($B1948)=0),"",IF(AND($I1948="Phản ánh",$E1948="Đã xử lý"),INDEX('Phản ánh'!$U$6:$U$505,MATCH($C1948,'Phản ánh'!$A$6:$A$505,0)),IF(AND($I1948="Công việc",OR($E1948="Hoàn thành",$E1948="Hoàn thành kỳ")),IF(INDEX('Kế hoạch'!$B$6:$B$305,$O1948)="Đột xuất",INDEX('Kế hoạch'!$AY$6:$AY$305,$O1948),IF(N($P1948)=0,"",IF(INT($B1948)&lt;$P1948,$P1948,IF($Q1948&gt;0,$P1948+ROUND((INT($B1948)-$P1948)/$Q1948,0)*$Q1948,IF($R1948&gt;0,EDATE($P1948,ROUND((DATEDIF($P1948,INT($B1948),"m")+(INT($B1948)-EDATE($P1948,DATEDIF($P1948,INT($B1948),"m")))/(EDATE($P1948,DATEDIF($P1948,INT($B1948),"m")+1)-EDATE($P1948,DATEDIF($P1948,INT($B1948),"m"))))/$R1948,0)*$R1948),$P1948))))),"")))</f>
      </c>
      <c r="M1948" s="223">
        <f>IF(OR($C1948="",N($L1948)=0,N($B1948)=0),"",IF(IF(MOD($L1948,1)=0,INT($B1948),$B1948)&lt;=$L1948,"Đúng hạn","Trễ hạn"))</f>
      </c>
      <c r="N1948" s="225">
        <f>IF($C1948="","",ROW())</f>
      </c>
      <c r="O1948" s="225">
        <f>IF($I1948="Công việc",MATCH($C1948,'Kế hoạch'!$A$6:$A$305,0),"")</f>
      </c>
      <c r="P1948" s="234">
        <f>IF($O1948="","",INDEX('Kế hoạch'!$I$6:$I$305,$O1948))</f>
      </c>
      <c r="Q1948" s="225">
        <f>IF($O1948="","",INDEX('Kế hoạch'!$AJ$6:$AJ$305,$O1948))</f>
      </c>
      <c r="R1948" s="225">
        <f>IF($O1948="","",INDEX('Kế hoạch'!$AK$6:$AK$305,$O1948))</f>
      </c>
    </row>
    <row r="1949">
      <c r="A1949" s="223">
        <f>IF($C1949="","",COUNTIF($C$6:$C1949,"?*"))</f>
      </c>
      <c r="B1949" s="217"/>
      <c r="C1949" s="216"/>
      <c r="D1949" s="240"/>
      <c r="E1949" s="218"/>
      <c r="F1949" s="218"/>
      <c r="G1949" s="218"/>
      <c r="H1949" s="219"/>
      <c r="I1949" s="223">
        <f>IF($C1949="","",IF(ISNUMBER(MATCH($C1949,'Phản ánh'!$A$6:$A$505,0)),"Phản ánh",IF(ISNUMBER(MATCH($C1949,'Kế hoạch'!$A$6:$A$305,0)),"Công việc","Mã chưa có")))</f>
      </c>
      <c r="J1949" s="221">
        <f>IF($I1949="Phản ánh",INDEX('Phản ánh'!$C$6:$C$505,MATCH($C1949,'Phản ánh'!$A$6:$A$505,0)),IF($I1949="Công việc",INDEX('Kế hoạch'!$C$6:$C$305,$O1949),""))</f>
      </c>
      <c r="K1949" s="221">
        <f>IF($I1949="Phản ánh",INDEX('Phản ánh'!$K$6:$K$505,MATCH($C1949,'Phản ánh'!$A$6:$A$505,0))&amp;"",IF($I1949="Công việc",INDEX('Kế hoạch'!$N$6:$N$305,$O1949)&amp;"",""))</f>
      </c>
      <c r="L1949" s="220">
        <f>IF(OR($C1949="",N($B1949)=0),"",IF(AND($I1949="Phản ánh",$E1949="Đã xử lý"),INDEX('Phản ánh'!$U$6:$U$505,MATCH($C1949,'Phản ánh'!$A$6:$A$505,0)),IF(AND($I1949="Công việc",OR($E1949="Hoàn thành",$E1949="Hoàn thành kỳ")),IF(INDEX('Kế hoạch'!$B$6:$B$305,$O1949)="Đột xuất",INDEX('Kế hoạch'!$AY$6:$AY$305,$O1949),IF(N($P1949)=0,"",IF(INT($B1949)&lt;$P1949,$P1949,IF($Q1949&gt;0,$P1949+ROUND((INT($B1949)-$P1949)/$Q1949,0)*$Q1949,IF($R1949&gt;0,EDATE($P1949,ROUND((DATEDIF($P1949,INT($B1949),"m")+(INT($B1949)-EDATE($P1949,DATEDIF($P1949,INT($B1949),"m")))/(EDATE($P1949,DATEDIF($P1949,INT($B1949),"m")+1)-EDATE($P1949,DATEDIF($P1949,INT($B1949),"m"))))/$R1949,0)*$R1949),$P1949))))),"")))</f>
      </c>
      <c r="M1949" s="223">
        <f>IF(OR($C1949="",N($L1949)=0,N($B1949)=0),"",IF(IF(MOD($L1949,1)=0,INT($B1949),$B1949)&lt;=$L1949,"Đúng hạn","Trễ hạn"))</f>
      </c>
      <c r="N1949" s="225">
        <f>IF($C1949="","",ROW())</f>
      </c>
      <c r="O1949" s="225">
        <f>IF($I1949="Công việc",MATCH($C1949,'Kế hoạch'!$A$6:$A$305,0),"")</f>
      </c>
      <c r="P1949" s="234">
        <f>IF($O1949="","",INDEX('Kế hoạch'!$I$6:$I$305,$O1949))</f>
      </c>
      <c r="Q1949" s="225">
        <f>IF($O1949="","",INDEX('Kế hoạch'!$AJ$6:$AJ$305,$O1949))</f>
      </c>
      <c r="R1949" s="225">
        <f>IF($O1949="","",INDEX('Kế hoạch'!$AK$6:$AK$305,$O1949))</f>
      </c>
    </row>
    <row r="1950">
      <c r="A1950" s="223">
        <f>IF($C1950="","",COUNTIF($C$6:$C1950,"?*"))</f>
      </c>
      <c r="B1950" s="217"/>
      <c r="C1950" s="216"/>
      <c r="D1950" s="240"/>
      <c r="E1950" s="218"/>
      <c r="F1950" s="218"/>
      <c r="G1950" s="218"/>
      <c r="H1950" s="219"/>
      <c r="I1950" s="223">
        <f>IF($C1950="","",IF(ISNUMBER(MATCH($C1950,'Phản ánh'!$A$6:$A$505,0)),"Phản ánh",IF(ISNUMBER(MATCH($C1950,'Kế hoạch'!$A$6:$A$305,0)),"Công việc","Mã chưa có")))</f>
      </c>
      <c r="J1950" s="221">
        <f>IF($I1950="Phản ánh",INDEX('Phản ánh'!$C$6:$C$505,MATCH($C1950,'Phản ánh'!$A$6:$A$505,0)),IF($I1950="Công việc",INDEX('Kế hoạch'!$C$6:$C$305,$O1950),""))</f>
      </c>
      <c r="K1950" s="221">
        <f>IF($I1950="Phản ánh",INDEX('Phản ánh'!$K$6:$K$505,MATCH($C1950,'Phản ánh'!$A$6:$A$505,0))&amp;"",IF($I1950="Công việc",INDEX('Kế hoạch'!$N$6:$N$305,$O1950)&amp;"",""))</f>
      </c>
      <c r="L1950" s="220">
        <f>IF(OR($C1950="",N($B1950)=0),"",IF(AND($I1950="Phản ánh",$E1950="Đã xử lý"),INDEX('Phản ánh'!$U$6:$U$505,MATCH($C1950,'Phản ánh'!$A$6:$A$505,0)),IF(AND($I1950="Công việc",OR($E1950="Hoàn thành",$E1950="Hoàn thành kỳ")),IF(INDEX('Kế hoạch'!$B$6:$B$305,$O1950)="Đột xuất",INDEX('Kế hoạch'!$AY$6:$AY$305,$O1950),IF(N($P1950)=0,"",IF(INT($B1950)&lt;$P1950,$P1950,IF($Q1950&gt;0,$P1950+ROUND((INT($B1950)-$P1950)/$Q1950,0)*$Q1950,IF($R1950&gt;0,EDATE($P1950,ROUND((DATEDIF($P1950,INT($B1950),"m")+(INT($B1950)-EDATE($P1950,DATEDIF($P1950,INT($B1950),"m")))/(EDATE($P1950,DATEDIF($P1950,INT($B1950),"m")+1)-EDATE($P1950,DATEDIF($P1950,INT($B1950),"m"))))/$R1950,0)*$R1950),$P1950))))),"")))</f>
      </c>
      <c r="M1950" s="223">
        <f>IF(OR($C1950="",N($L1950)=0,N($B1950)=0),"",IF(IF(MOD($L1950,1)=0,INT($B1950),$B1950)&lt;=$L1950,"Đúng hạn","Trễ hạn"))</f>
      </c>
      <c r="N1950" s="225">
        <f>IF($C1950="","",ROW())</f>
      </c>
      <c r="O1950" s="225">
        <f>IF($I1950="Công việc",MATCH($C1950,'Kế hoạch'!$A$6:$A$305,0),"")</f>
      </c>
      <c r="P1950" s="234">
        <f>IF($O1950="","",INDEX('Kế hoạch'!$I$6:$I$305,$O1950))</f>
      </c>
      <c r="Q1950" s="225">
        <f>IF($O1950="","",INDEX('Kế hoạch'!$AJ$6:$AJ$305,$O1950))</f>
      </c>
      <c r="R1950" s="225">
        <f>IF($O1950="","",INDEX('Kế hoạch'!$AK$6:$AK$305,$O1950))</f>
      </c>
    </row>
    <row r="1951">
      <c r="A1951" s="223">
        <f>IF($C1951="","",COUNTIF($C$6:$C1951,"?*"))</f>
      </c>
      <c r="B1951" s="217"/>
      <c r="C1951" s="216"/>
      <c r="D1951" s="240"/>
      <c r="E1951" s="218"/>
      <c r="F1951" s="218"/>
      <c r="G1951" s="218"/>
      <c r="H1951" s="219"/>
      <c r="I1951" s="223">
        <f>IF($C1951="","",IF(ISNUMBER(MATCH($C1951,'Phản ánh'!$A$6:$A$505,0)),"Phản ánh",IF(ISNUMBER(MATCH($C1951,'Kế hoạch'!$A$6:$A$305,0)),"Công việc","Mã chưa có")))</f>
      </c>
      <c r="J1951" s="221">
        <f>IF($I1951="Phản ánh",INDEX('Phản ánh'!$C$6:$C$505,MATCH($C1951,'Phản ánh'!$A$6:$A$505,0)),IF($I1951="Công việc",INDEX('Kế hoạch'!$C$6:$C$305,$O1951),""))</f>
      </c>
      <c r="K1951" s="221">
        <f>IF($I1951="Phản ánh",INDEX('Phản ánh'!$K$6:$K$505,MATCH($C1951,'Phản ánh'!$A$6:$A$505,0))&amp;"",IF($I1951="Công việc",INDEX('Kế hoạch'!$N$6:$N$305,$O1951)&amp;"",""))</f>
      </c>
      <c r="L1951" s="220">
        <f>IF(OR($C1951="",N($B1951)=0),"",IF(AND($I1951="Phản ánh",$E1951="Đã xử lý"),INDEX('Phản ánh'!$U$6:$U$505,MATCH($C1951,'Phản ánh'!$A$6:$A$505,0)),IF(AND($I1951="Công việc",OR($E1951="Hoàn thành",$E1951="Hoàn thành kỳ")),IF(INDEX('Kế hoạch'!$B$6:$B$305,$O1951)="Đột xuất",INDEX('Kế hoạch'!$AY$6:$AY$305,$O1951),IF(N($P1951)=0,"",IF(INT($B1951)&lt;$P1951,$P1951,IF($Q1951&gt;0,$P1951+ROUND((INT($B1951)-$P1951)/$Q1951,0)*$Q1951,IF($R1951&gt;0,EDATE($P1951,ROUND((DATEDIF($P1951,INT($B1951),"m")+(INT($B1951)-EDATE($P1951,DATEDIF($P1951,INT($B1951),"m")))/(EDATE($P1951,DATEDIF($P1951,INT($B1951),"m")+1)-EDATE($P1951,DATEDIF($P1951,INT($B1951),"m"))))/$R1951,0)*$R1951),$P1951))))),"")))</f>
      </c>
      <c r="M1951" s="223">
        <f>IF(OR($C1951="",N($L1951)=0,N($B1951)=0),"",IF(IF(MOD($L1951,1)=0,INT($B1951),$B1951)&lt;=$L1951,"Đúng hạn","Trễ hạn"))</f>
      </c>
      <c r="N1951" s="225">
        <f>IF($C1951="","",ROW())</f>
      </c>
      <c r="O1951" s="225">
        <f>IF($I1951="Công việc",MATCH($C1951,'Kế hoạch'!$A$6:$A$305,0),"")</f>
      </c>
      <c r="P1951" s="234">
        <f>IF($O1951="","",INDEX('Kế hoạch'!$I$6:$I$305,$O1951))</f>
      </c>
      <c r="Q1951" s="225">
        <f>IF($O1951="","",INDEX('Kế hoạch'!$AJ$6:$AJ$305,$O1951))</f>
      </c>
      <c r="R1951" s="225">
        <f>IF($O1951="","",INDEX('Kế hoạch'!$AK$6:$AK$305,$O1951))</f>
      </c>
    </row>
    <row r="1952">
      <c r="A1952" s="223">
        <f>IF($C1952="","",COUNTIF($C$6:$C1952,"?*"))</f>
      </c>
      <c r="B1952" s="217"/>
      <c r="C1952" s="216"/>
      <c r="D1952" s="240"/>
      <c r="E1952" s="218"/>
      <c r="F1952" s="218"/>
      <c r="G1952" s="218"/>
      <c r="H1952" s="219"/>
      <c r="I1952" s="223">
        <f>IF($C1952="","",IF(ISNUMBER(MATCH($C1952,'Phản ánh'!$A$6:$A$505,0)),"Phản ánh",IF(ISNUMBER(MATCH($C1952,'Kế hoạch'!$A$6:$A$305,0)),"Công việc","Mã chưa có")))</f>
      </c>
      <c r="J1952" s="221">
        <f>IF($I1952="Phản ánh",INDEX('Phản ánh'!$C$6:$C$505,MATCH($C1952,'Phản ánh'!$A$6:$A$505,0)),IF($I1952="Công việc",INDEX('Kế hoạch'!$C$6:$C$305,$O1952),""))</f>
      </c>
      <c r="K1952" s="221">
        <f>IF($I1952="Phản ánh",INDEX('Phản ánh'!$K$6:$K$505,MATCH($C1952,'Phản ánh'!$A$6:$A$505,0))&amp;"",IF($I1952="Công việc",INDEX('Kế hoạch'!$N$6:$N$305,$O1952)&amp;"",""))</f>
      </c>
      <c r="L1952" s="220">
        <f>IF(OR($C1952="",N($B1952)=0),"",IF(AND($I1952="Phản ánh",$E1952="Đã xử lý"),INDEX('Phản ánh'!$U$6:$U$505,MATCH($C1952,'Phản ánh'!$A$6:$A$505,0)),IF(AND($I1952="Công việc",OR($E1952="Hoàn thành",$E1952="Hoàn thành kỳ")),IF(INDEX('Kế hoạch'!$B$6:$B$305,$O1952)="Đột xuất",INDEX('Kế hoạch'!$AY$6:$AY$305,$O1952),IF(N($P1952)=0,"",IF(INT($B1952)&lt;$P1952,$P1952,IF($Q1952&gt;0,$P1952+ROUND((INT($B1952)-$P1952)/$Q1952,0)*$Q1952,IF($R1952&gt;0,EDATE($P1952,ROUND((DATEDIF($P1952,INT($B1952),"m")+(INT($B1952)-EDATE($P1952,DATEDIF($P1952,INT($B1952),"m")))/(EDATE($P1952,DATEDIF($P1952,INT($B1952),"m")+1)-EDATE($P1952,DATEDIF($P1952,INT($B1952),"m"))))/$R1952,0)*$R1952),$P1952))))),"")))</f>
      </c>
      <c r="M1952" s="223">
        <f>IF(OR($C1952="",N($L1952)=0,N($B1952)=0),"",IF(IF(MOD($L1952,1)=0,INT($B1952),$B1952)&lt;=$L1952,"Đúng hạn","Trễ hạn"))</f>
      </c>
      <c r="N1952" s="225">
        <f>IF($C1952="","",ROW())</f>
      </c>
      <c r="O1952" s="225">
        <f>IF($I1952="Công việc",MATCH($C1952,'Kế hoạch'!$A$6:$A$305,0),"")</f>
      </c>
      <c r="P1952" s="234">
        <f>IF($O1952="","",INDEX('Kế hoạch'!$I$6:$I$305,$O1952))</f>
      </c>
      <c r="Q1952" s="225">
        <f>IF($O1952="","",INDEX('Kế hoạch'!$AJ$6:$AJ$305,$O1952))</f>
      </c>
      <c r="R1952" s="225">
        <f>IF($O1952="","",INDEX('Kế hoạch'!$AK$6:$AK$305,$O1952))</f>
      </c>
    </row>
    <row r="1953">
      <c r="A1953" s="223">
        <f>IF($C1953="","",COUNTIF($C$6:$C1953,"?*"))</f>
      </c>
      <c r="B1953" s="217"/>
      <c r="C1953" s="216"/>
      <c r="D1953" s="240"/>
      <c r="E1953" s="218"/>
      <c r="F1953" s="218"/>
      <c r="G1953" s="218"/>
      <c r="H1953" s="219"/>
      <c r="I1953" s="223">
        <f>IF($C1953="","",IF(ISNUMBER(MATCH($C1953,'Phản ánh'!$A$6:$A$505,0)),"Phản ánh",IF(ISNUMBER(MATCH($C1953,'Kế hoạch'!$A$6:$A$305,0)),"Công việc","Mã chưa có")))</f>
      </c>
      <c r="J1953" s="221">
        <f>IF($I1953="Phản ánh",INDEX('Phản ánh'!$C$6:$C$505,MATCH($C1953,'Phản ánh'!$A$6:$A$505,0)),IF($I1953="Công việc",INDEX('Kế hoạch'!$C$6:$C$305,$O1953),""))</f>
      </c>
      <c r="K1953" s="221">
        <f>IF($I1953="Phản ánh",INDEX('Phản ánh'!$K$6:$K$505,MATCH($C1953,'Phản ánh'!$A$6:$A$505,0))&amp;"",IF($I1953="Công việc",INDEX('Kế hoạch'!$N$6:$N$305,$O1953)&amp;"",""))</f>
      </c>
      <c r="L1953" s="220">
        <f>IF(OR($C1953="",N($B1953)=0),"",IF(AND($I1953="Phản ánh",$E1953="Đã xử lý"),INDEX('Phản ánh'!$U$6:$U$505,MATCH($C1953,'Phản ánh'!$A$6:$A$505,0)),IF(AND($I1953="Công việc",OR($E1953="Hoàn thành",$E1953="Hoàn thành kỳ")),IF(INDEX('Kế hoạch'!$B$6:$B$305,$O1953)="Đột xuất",INDEX('Kế hoạch'!$AY$6:$AY$305,$O1953),IF(N($P1953)=0,"",IF(INT($B1953)&lt;$P1953,$P1953,IF($Q1953&gt;0,$P1953+ROUND((INT($B1953)-$P1953)/$Q1953,0)*$Q1953,IF($R1953&gt;0,EDATE($P1953,ROUND((DATEDIF($P1953,INT($B1953),"m")+(INT($B1953)-EDATE($P1953,DATEDIF($P1953,INT($B1953),"m")))/(EDATE($P1953,DATEDIF($P1953,INT($B1953),"m")+1)-EDATE($P1953,DATEDIF($P1953,INT($B1953),"m"))))/$R1953,0)*$R1953),$P1953))))),"")))</f>
      </c>
      <c r="M1953" s="223">
        <f>IF(OR($C1953="",N($L1953)=0,N($B1953)=0),"",IF(IF(MOD($L1953,1)=0,INT($B1953),$B1953)&lt;=$L1953,"Đúng hạn","Trễ hạn"))</f>
      </c>
      <c r="N1953" s="225">
        <f>IF($C1953="","",ROW())</f>
      </c>
      <c r="O1953" s="225">
        <f>IF($I1953="Công việc",MATCH($C1953,'Kế hoạch'!$A$6:$A$305,0),"")</f>
      </c>
      <c r="P1953" s="234">
        <f>IF($O1953="","",INDEX('Kế hoạch'!$I$6:$I$305,$O1953))</f>
      </c>
      <c r="Q1953" s="225">
        <f>IF($O1953="","",INDEX('Kế hoạch'!$AJ$6:$AJ$305,$O1953))</f>
      </c>
      <c r="R1953" s="225">
        <f>IF($O1953="","",INDEX('Kế hoạch'!$AK$6:$AK$305,$O1953))</f>
      </c>
    </row>
    <row r="1954">
      <c r="A1954" s="223">
        <f>IF($C1954="","",COUNTIF($C$6:$C1954,"?*"))</f>
      </c>
      <c r="B1954" s="217"/>
      <c r="C1954" s="216"/>
      <c r="D1954" s="240"/>
      <c r="E1954" s="218"/>
      <c r="F1954" s="218"/>
      <c r="G1954" s="218"/>
      <c r="H1954" s="219"/>
      <c r="I1954" s="223">
        <f>IF($C1954="","",IF(ISNUMBER(MATCH($C1954,'Phản ánh'!$A$6:$A$505,0)),"Phản ánh",IF(ISNUMBER(MATCH($C1954,'Kế hoạch'!$A$6:$A$305,0)),"Công việc","Mã chưa có")))</f>
      </c>
      <c r="J1954" s="221">
        <f>IF($I1954="Phản ánh",INDEX('Phản ánh'!$C$6:$C$505,MATCH($C1954,'Phản ánh'!$A$6:$A$505,0)),IF($I1954="Công việc",INDEX('Kế hoạch'!$C$6:$C$305,$O1954),""))</f>
      </c>
      <c r="K1954" s="221">
        <f>IF($I1954="Phản ánh",INDEX('Phản ánh'!$K$6:$K$505,MATCH($C1954,'Phản ánh'!$A$6:$A$505,0))&amp;"",IF($I1954="Công việc",INDEX('Kế hoạch'!$N$6:$N$305,$O1954)&amp;"",""))</f>
      </c>
      <c r="L1954" s="220">
        <f>IF(OR($C1954="",N($B1954)=0),"",IF(AND($I1954="Phản ánh",$E1954="Đã xử lý"),INDEX('Phản ánh'!$U$6:$U$505,MATCH($C1954,'Phản ánh'!$A$6:$A$505,0)),IF(AND($I1954="Công việc",OR($E1954="Hoàn thành",$E1954="Hoàn thành kỳ")),IF(INDEX('Kế hoạch'!$B$6:$B$305,$O1954)="Đột xuất",INDEX('Kế hoạch'!$AY$6:$AY$305,$O1954),IF(N($P1954)=0,"",IF(INT($B1954)&lt;$P1954,$P1954,IF($Q1954&gt;0,$P1954+ROUND((INT($B1954)-$P1954)/$Q1954,0)*$Q1954,IF($R1954&gt;0,EDATE($P1954,ROUND((DATEDIF($P1954,INT($B1954),"m")+(INT($B1954)-EDATE($P1954,DATEDIF($P1954,INT($B1954),"m")))/(EDATE($P1954,DATEDIF($P1954,INT($B1954),"m")+1)-EDATE($P1954,DATEDIF($P1954,INT($B1954),"m"))))/$R1954,0)*$R1954),$P1954))))),"")))</f>
      </c>
      <c r="M1954" s="223">
        <f>IF(OR($C1954="",N($L1954)=0,N($B1954)=0),"",IF(IF(MOD($L1954,1)=0,INT($B1954),$B1954)&lt;=$L1954,"Đúng hạn","Trễ hạn"))</f>
      </c>
      <c r="N1954" s="225">
        <f>IF($C1954="","",ROW())</f>
      </c>
      <c r="O1954" s="225">
        <f>IF($I1954="Công việc",MATCH($C1954,'Kế hoạch'!$A$6:$A$305,0),"")</f>
      </c>
      <c r="P1954" s="234">
        <f>IF($O1954="","",INDEX('Kế hoạch'!$I$6:$I$305,$O1954))</f>
      </c>
      <c r="Q1954" s="225">
        <f>IF($O1954="","",INDEX('Kế hoạch'!$AJ$6:$AJ$305,$O1954))</f>
      </c>
      <c r="R1954" s="225">
        <f>IF($O1954="","",INDEX('Kế hoạch'!$AK$6:$AK$305,$O1954))</f>
      </c>
    </row>
    <row r="1955">
      <c r="A1955" s="223">
        <f>IF($C1955="","",COUNTIF($C$6:$C1955,"?*"))</f>
      </c>
      <c r="B1955" s="217"/>
      <c r="C1955" s="216"/>
      <c r="D1955" s="240"/>
      <c r="E1955" s="218"/>
      <c r="F1955" s="218"/>
      <c r="G1955" s="218"/>
      <c r="H1955" s="219"/>
      <c r="I1955" s="223">
        <f>IF($C1955="","",IF(ISNUMBER(MATCH($C1955,'Phản ánh'!$A$6:$A$505,0)),"Phản ánh",IF(ISNUMBER(MATCH($C1955,'Kế hoạch'!$A$6:$A$305,0)),"Công việc","Mã chưa có")))</f>
      </c>
      <c r="J1955" s="221">
        <f>IF($I1955="Phản ánh",INDEX('Phản ánh'!$C$6:$C$505,MATCH($C1955,'Phản ánh'!$A$6:$A$505,0)),IF($I1955="Công việc",INDEX('Kế hoạch'!$C$6:$C$305,$O1955),""))</f>
      </c>
      <c r="K1955" s="221">
        <f>IF($I1955="Phản ánh",INDEX('Phản ánh'!$K$6:$K$505,MATCH($C1955,'Phản ánh'!$A$6:$A$505,0))&amp;"",IF($I1955="Công việc",INDEX('Kế hoạch'!$N$6:$N$305,$O1955)&amp;"",""))</f>
      </c>
      <c r="L1955" s="220">
        <f>IF(OR($C1955="",N($B1955)=0),"",IF(AND($I1955="Phản ánh",$E1955="Đã xử lý"),INDEX('Phản ánh'!$U$6:$U$505,MATCH($C1955,'Phản ánh'!$A$6:$A$505,0)),IF(AND($I1955="Công việc",OR($E1955="Hoàn thành",$E1955="Hoàn thành kỳ")),IF(INDEX('Kế hoạch'!$B$6:$B$305,$O1955)="Đột xuất",INDEX('Kế hoạch'!$AY$6:$AY$305,$O1955),IF(N($P1955)=0,"",IF(INT($B1955)&lt;$P1955,$P1955,IF($Q1955&gt;0,$P1955+ROUND((INT($B1955)-$P1955)/$Q1955,0)*$Q1955,IF($R1955&gt;0,EDATE($P1955,ROUND((DATEDIF($P1955,INT($B1955),"m")+(INT($B1955)-EDATE($P1955,DATEDIF($P1955,INT($B1955),"m")))/(EDATE($P1955,DATEDIF($P1955,INT($B1955),"m")+1)-EDATE($P1955,DATEDIF($P1955,INT($B1955),"m"))))/$R1955,0)*$R1955),$P1955))))),"")))</f>
      </c>
      <c r="M1955" s="223">
        <f>IF(OR($C1955="",N($L1955)=0,N($B1955)=0),"",IF(IF(MOD($L1955,1)=0,INT($B1955),$B1955)&lt;=$L1955,"Đúng hạn","Trễ hạn"))</f>
      </c>
      <c r="N1955" s="225">
        <f>IF($C1955="","",ROW())</f>
      </c>
      <c r="O1955" s="225">
        <f>IF($I1955="Công việc",MATCH($C1955,'Kế hoạch'!$A$6:$A$305,0),"")</f>
      </c>
      <c r="P1955" s="234">
        <f>IF($O1955="","",INDEX('Kế hoạch'!$I$6:$I$305,$O1955))</f>
      </c>
      <c r="Q1955" s="225">
        <f>IF($O1955="","",INDEX('Kế hoạch'!$AJ$6:$AJ$305,$O1955))</f>
      </c>
      <c r="R1955" s="225">
        <f>IF($O1955="","",INDEX('Kế hoạch'!$AK$6:$AK$305,$O1955))</f>
      </c>
    </row>
    <row r="1956">
      <c r="A1956" s="223">
        <f>IF($C1956="","",COUNTIF($C$6:$C1956,"?*"))</f>
      </c>
      <c r="B1956" s="217"/>
      <c r="C1956" s="216"/>
      <c r="D1956" s="240"/>
      <c r="E1956" s="218"/>
      <c r="F1956" s="218"/>
      <c r="G1956" s="218"/>
      <c r="H1956" s="219"/>
      <c r="I1956" s="223">
        <f>IF($C1956="","",IF(ISNUMBER(MATCH($C1956,'Phản ánh'!$A$6:$A$505,0)),"Phản ánh",IF(ISNUMBER(MATCH($C1956,'Kế hoạch'!$A$6:$A$305,0)),"Công việc","Mã chưa có")))</f>
      </c>
      <c r="J1956" s="221">
        <f>IF($I1956="Phản ánh",INDEX('Phản ánh'!$C$6:$C$505,MATCH($C1956,'Phản ánh'!$A$6:$A$505,0)),IF($I1956="Công việc",INDEX('Kế hoạch'!$C$6:$C$305,$O1956),""))</f>
      </c>
      <c r="K1956" s="221">
        <f>IF($I1956="Phản ánh",INDEX('Phản ánh'!$K$6:$K$505,MATCH($C1956,'Phản ánh'!$A$6:$A$505,0))&amp;"",IF($I1956="Công việc",INDEX('Kế hoạch'!$N$6:$N$305,$O1956)&amp;"",""))</f>
      </c>
      <c r="L1956" s="220">
        <f>IF(OR($C1956="",N($B1956)=0),"",IF(AND($I1956="Phản ánh",$E1956="Đã xử lý"),INDEX('Phản ánh'!$U$6:$U$505,MATCH($C1956,'Phản ánh'!$A$6:$A$505,0)),IF(AND($I1956="Công việc",OR($E1956="Hoàn thành",$E1956="Hoàn thành kỳ")),IF(INDEX('Kế hoạch'!$B$6:$B$305,$O1956)="Đột xuất",INDEX('Kế hoạch'!$AY$6:$AY$305,$O1956),IF(N($P1956)=0,"",IF(INT($B1956)&lt;$P1956,$P1956,IF($Q1956&gt;0,$P1956+ROUND((INT($B1956)-$P1956)/$Q1956,0)*$Q1956,IF($R1956&gt;0,EDATE($P1956,ROUND((DATEDIF($P1956,INT($B1956),"m")+(INT($B1956)-EDATE($P1956,DATEDIF($P1956,INT($B1956),"m")))/(EDATE($P1956,DATEDIF($P1956,INT($B1956),"m")+1)-EDATE($P1956,DATEDIF($P1956,INT($B1956),"m"))))/$R1956,0)*$R1956),$P1956))))),"")))</f>
      </c>
      <c r="M1956" s="223">
        <f>IF(OR($C1956="",N($L1956)=0,N($B1956)=0),"",IF(IF(MOD($L1956,1)=0,INT($B1956),$B1956)&lt;=$L1956,"Đúng hạn","Trễ hạn"))</f>
      </c>
      <c r="N1956" s="225">
        <f>IF($C1956="","",ROW())</f>
      </c>
      <c r="O1956" s="225">
        <f>IF($I1956="Công việc",MATCH($C1956,'Kế hoạch'!$A$6:$A$305,0),"")</f>
      </c>
      <c r="P1956" s="234">
        <f>IF($O1956="","",INDEX('Kế hoạch'!$I$6:$I$305,$O1956))</f>
      </c>
      <c r="Q1956" s="225">
        <f>IF($O1956="","",INDEX('Kế hoạch'!$AJ$6:$AJ$305,$O1956))</f>
      </c>
      <c r="R1956" s="225">
        <f>IF($O1956="","",INDEX('Kế hoạch'!$AK$6:$AK$305,$O1956))</f>
      </c>
    </row>
    <row r="1957">
      <c r="A1957" s="223">
        <f>IF($C1957="","",COUNTIF($C$6:$C1957,"?*"))</f>
      </c>
      <c r="B1957" s="217"/>
      <c r="C1957" s="216"/>
      <c r="D1957" s="240"/>
      <c r="E1957" s="218"/>
      <c r="F1957" s="218"/>
      <c r="G1957" s="218"/>
      <c r="H1957" s="219"/>
      <c r="I1957" s="223">
        <f>IF($C1957="","",IF(ISNUMBER(MATCH($C1957,'Phản ánh'!$A$6:$A$505,0)),"Phản ánh",IF(ISNUMBER(MATCH($C1957,'Kế hoạch'!$A$6:$A$305,0)),"Công việc","Mã chưa có")))</f>
      </c>
      <c r="J1957" s="221">
        <f>IF($I1957="Phản ánh",INDEX('Phản ánh'!$C$6:$C$505,MATCH($C1957,'Phản ánh'!$A$6:$A$505,0)),IF($I1957="Công việc",INDEX('Kế hoạch'!$C$6:$C$305,$O1957),""))</f>
      </c>
      <c r="K1957" s="221">
        <f>IF($I1957="Phản ánh",INDEX('Phản ánh'!$K$6:$K$505,MATCH($C1957,'Phản ánh'!$A$6:$A$505,0))&amp;"",IF($I1957="Công việc",INDEX('Kế hoạch'!$N$6:$N$305,$O1957)&amp;"",""))</f>
      </c>
      <c r="L1957" s="220">
        <f>IF(OR($C1957="",N($B1957)=0),"",IF(AND($I1957="Phản ánh",$E1957="Đã xử lý"),INDEX('Phản ánh'!$U$6:$U$505,MATCH($C1957,'Phản ánh'!$A$6:$A$505,0)),IF(AND($I1957="Công việc",OR($E1957="Hoàn thành",$E1957="Hoàn thành kỳ")),IF(INDEX('Kế hoạch'!$B$6:$B$305,$O1957)="Đột xuất",INDEX('Kế hoạch'!$AY$6:$AY$305,$O1957),IF(N($P1957)=0,"",IF(INT($B1957)&lt;$P1957,$P1957,IF($Q1957&gt;0,$P1957+ROUND((INT($B1957)-$P1957)/$Q1957,0)*$Q1957,IF($R1957&gt;0,EDATE($P1957,ROUND((DATEDIF($P1957,INT($B1957),"m")+(INT($B1957)-EDATE($P1957,DATEDIF($P1957,INT($B1957),"m")))/(EDATE($P1957,DATEDIF($P1957,INT($B1957),"m")+1)-EDATE($P1957,DATEDIF($P1957,INT($B1957),"m"))))/$R1957,0)*$R1957),$P1957))))),"")))</f>
      </c>
      <c r="M1957" s="223">
        <f>IF(OR($C1957="",N($L1957)=0,N($B1957)=0),"",IF(IF(MOD($L1957,1)=0,INT($B1957),$B1957)&lt;=$L1957,"Đúng hạn","Trễ hạn"))</f>
      </c>
      <c r="N1957" s="225">
        <f>IF($C1957="","",ROW())</f>
      </c>
      <c r="O1957" s="225">
        <f>IF($I1957="Công việc",MATCH($C1957,'Kế hoạch'!$A$6:$A$305,0),"")</f>
      </c>
      <c r="P1957" s="234">
        <f>IF($O1957="","",INDEX('Kế hoạch'!$I$6:$I$305,$O1957))</f>
      </c>
      <c r="Q1957" s="225">
        <f>IF($O1957="","",INDEX('Kế hoạch'!$AJ$6:$AJ$305,$O1957))</f>
      </c>
      <c r="R1957" s="225">
        <f>IF($O1957="","",INDEX('Kế hoạch'!$AK$6:$AK$305,$O1957))</f>
      </c>
    </row>
    <row r="1958">
      <c r="A1958" s="223">
        <f>IF($C1958="","",COUNTIF($C$6:$C1958,"?*"))</f>
      </c>
      <c r="B1958" s="217"/>
      <c r="C1958" s="216"/>
      <c r="D1958" s="240"/>
      <c r="E1958" s="218"/>
      <c r="F1958" s="218"/>
      <c r="G1958" s="218"/>
      <c r="H1958" s="219"/>
      <c r="I1958" s="223">
        <f>IF($C1958="","",IF(ISNUMBER(MATCH($C1958,'Phản ánh'!$A$6:$A$505,0)),"Phản ánh",IF(ISNUMBER(MATCH($C1958,'Kế hoạch'!$A$6:$A$305,0)),"Công việc","Mã chưa có")))</f>
      </c>
      <c r="J1958" s="221">
        <f>IF($I1958="Phản ánh",INDEX('Phản ánh'!$C$6:$C$505,MATCH($C1958,'Phản ánh'!$A$6:$A$505,0)),IF($I1958="Công việc",INDEX('Kế hoạch'!$C$6:$C$305,$O1958),""))</f>
      </c>
      <c r="K1958" s="221">
        <f>IF($I1958="Phản ánh",INDEX('Phản ánh'!$K$6:$K$505,MATCH($C1958,'Phản ánh'!$A$6:$A$505,0))&amp;"",IF($I1958="Công việc",INDEX('Kế hoạch'!$N$6:$N$305,$O1958)&amp;"",""))</f>
      </c>
      <c r="L1958" s="220">
        <f>IF(OR($C1958="",N($B1958)=0),"",IF(AND($I1958="Phản ánh",$E1958="Đã xử lý"),INDEX('Phản ánh'!$U$6:$U$505,MATCH($C1958,'Phản ánh'!$A$6:$A$505,0)),IF(AND($I1958="Công việc",OR($E1958="Hoàn thành",$E1958="Hoàn thành kỳ")),IF(INDEX('Kế hoạch'!$B$6:$B$305,$O1958)="Đột xuất",INDEX('Kế hoạch'!$AY$6:$AY$305,$O1958),IF(N($P1958)=0,"",IF(INT($B1958)&lt;$P1958,$P1958,IF($Q1958&gt;0,$P1958+ROUND((INT($B1958)-$P1958)/$Q1958,0)*$Q1958,IF($R1958&gt;0,EDATE($P1958,ROUND((DATEDIF($P1958,INT($B1958),"m")+(INT($B1958)-EDATE($P1958,DATEDIF($P1958,INT($B1958),"m")))/(EDATE($P1958,DATEDIF($P1958,INT($B1958),"m")+1)-EDATE($P1958,DATEDIF($P1958,INT($B1958),"m"))))/$R1958,0)*$R1958),$P1958))))),"")))</f>
      </c>
      <c r="M1958" s="223">
        <f>IF(OR($C1958="",N($L1958)=0,N($B1958)=0),"",IF(IF(MOD($L1958,1)=0,INT($B1958),$B1958)&lt;=$L1958,"Đúng hạn","Trễ hạn"))</f>
      </c>
      <c r="N1958" s="225">
        <f>IF($C1958="","",ROW())</f>
      </c>
      <c r="O1958" s="225">
        <f>IF($I1958="Công việc",MATCH($C1958,'Kế hoạch'!$A$6:$A$305,0),"")</f>
      </c>
      <c r="P1958" s="234">
        <f>IF($O1958="","",INDEX('Kế hoạch'!$I$6:$I$305,$O1958))</f>
      </c>
      <c r="Q1958" s="225">
        <f>IF($O1958="","",INDEX('Kế hoạch'!$AJ$6:$AJ$305,$O1958))</f>
      </c>
      <c r="R1958" s="225">
        <f>IF($O1958="","",INDEX('Kế hoạch'!$AK$6:$AK$305,$O1958))</f>
      </c>
    </row>
    <row r="1959">
      <c r="A1959" s="223">
        <f>IF($C1959="","",COUNTIF($C$6:$C1959,"?*"))</f>
      </c>
      <c r="B1959" s="217"/>
      <c r="C1959" s="216"/>
      <c r="D1959" s="240"/>
      <c r="E1959" s="218"/>
      <c r="F1959" s="218"/>
      <c r="G1959" s="218"/>
      <c r="H1959" s="219"/>
      <c r="I1959" s="223">
        <f>IF($C1959="","",IF(ISNUMBER(MATCH($C1959,'Phản ánh'!$A$6:$A$505,0)),"Phản ánh",IF(ISNUMBER(MATCH($C1959,'Kế hoạch'!$A$6:$A$305,0)),"Công việc","Mã chưa có")))</f>
      </c>
      <c r="J1959" s="221">
        <f>IF($I1959="Phản ánh",INDEX('Phản ánh'!$C$6:$C$505,MATCH($C1959,'Phản ánh'!$A$6:$A$505,0)),IF($I1959="Công việc",INDEX('Kế hoạch'!$C$6:$C$305,$O1959),""))</f>
      </c>
      <c r="K1959" s="221">
        <f>IF($I1959="Phản ánh",INDEX('Phản ánh'!$K$6:$K$505,MATCH($C1959,'Phản ánh'!$A$6:$A$505,0))&amp;"",IF($I1959="Công việc",INDEX('Kế hoạch'!$N$6:$N$305,$O1959)&amp;"",""))</f>
      </c>
      <c r="L1959" s="220">
        <f>IF(OR($C1959="",N($B1959)=0),"",IF(AND($I1959="Phản ánh",$E1959="Đã xử lý"),INDEX('Phản ánh'!$U$6:$U$505,MATCH($C1959,'Phản ánh'!$A$6:$A$505,0)),IF(AND($I1959="Công việc",OR($E1959="Hoàn thành",$E1959="Hoàn thành kỳ")),IF(INDEX('Kế hoạch'!$B$6:$B$305,$O1959)="Đột xuất",INDEX('Kế hoạch'!$AY$6:$AY$305,$O1959),IF(N($P1959)=0,"",IF(INT($B1959)&lt;$P1959,$P1959,IF($Q1959&gt;0,$P1959+ROUND((INT($B1959)-$P1959)/$Q1959,0)*$Q1959,IF($R1959&gt;0,EDATE($P1959,ROUND((DATEDIF($P1959,INT($B1959),"m")+(INT($B1959)-EDATE($P1959,DATEDIF($P1959,INT($B1959),"m")))/(EDATE($P1959,DATEDIF($P1959,INT($B1959),"m")+1)-EDATE($P1959,DATEDIF($P1959,INT($B1959),"m"))))/$R1959,0)*$R1959),$P1959))))),"")))</f>
      </c>
      <c r="M1959" s="223">
        <f>IF(OR($C1959="",N($L1959)=0,N($B1959)=0),"",IF(IF(MOD($L1959,1)=0,INT($B1959),$B1959)&lt;=$L1959,"Đúng hạn","Trễ hạn"))</f>
      </c>
      <c r="N1959" s="225">
        <f>IF($C1959="","",ROW())</f>
      </c>
      <c r="O1959" s="225">
        <f>IF($I1959="Công việc",MATCH($C1959,'Kế hoạch'!$A$6:$A$305,0),"")</f>
      </c>
      <c r="P1959" s="234">
        <f>IF($O1959="","",INDEX('Kế hoạch'!$I$6:$I$305,$O1959))</f>
      </c>
      <c r="Q1959" s="225">
        <f>IF($O1959="","",INDEX('Kế hoạch'!$AJ$6:$AJ$305,$O1959))</f>
      </c>
      <c r="R1959" s="225">
        <f>IF($O1959="","",INDEX('Kế hoạch'!$AK$6:$AK$305,$O1959))</f>
      </c>
    </row>
    <row r="1960">
      <c r="A1960" s="223">
        <f>IF($C1960="","",COUNTIF($C$6:$C1960,"?*"))</f>
      </c>
      <c r="B1960" s="217"/>
      <c r="C1960" s="216"/>
      <c r="D1960" s="240"/>
      <c r="E1960" s="218"/>
      <c r="F1960" s="218"/>
      <c r="G1960" s="218"/>
      <c r="H1960" s="219"/>
      <c r="I1960" s="223">
        <f>IF($C1960="","",IF(ISNUMBER(MATCH($C1960,'Phản ánh'!$A$6:$A$505,0)),"Phản ánh",IF(ISNUMBER(MATCH($C1960,'Kế hoạch'!$A$6:$A$305,0)),"Công việc","Mã chưa có")))</f>
      </c>
      <c r="J1960" s="221">
        <f>IF($I1960="Phản ánh",INDEX('Phản ánh'!$C$6:$C$505,MATCH($C1960,'Phản ánh'!$A$6:$A$505,0)),IF($I1960="Công việc",INDEX('Kế hoạch'!$C$6:$C$305,$O1960),""))</f>
      </c>
      <c r="K1960" s="221">
        <f>IF($I1960="Phản ánh",INDEX('Phản ánh'!$K$6:$K$505,MATCH($C1960,'Phản ánh'!$A$6:$A$505,0))&amp;"",IF($I1960="Công việc",INDEX('Kế hoạch'!$N$6:$N$305,$O1960)&amp;"",""))</f>
      </c>
      <c r="L1960" s="220">
        <f>IF(OR($C1960="",N($B1960)=0),"",IF(AND($I1960="Phản ánh",$E1960="Đã xử lý"),INDEX('Phản ánh'!$U$6:$U$505,MATCH($C1960,'Phản ánh'!$A$6:$A$505,0)),IF(AND($I1960="Công việc",OR($E1960="Hoàn thành",$E1960="Hoàn thành kỳ")),IF(INDEX('Kế hoạch'!$B$6:$B$305,$O1960)="Đột xuất",INDEX('Kế hoạch'!$AY$6:$AY$305,$O1960),IF(N($P1960)=0,"",IF(INT($B1960)&lt;$P1960,$P1960,IF($Q1960&gt;0,$P1960+ROUND((INT($B1960)-$P1960)/$Q1960,0)*$Q1960,IF($R1960&gt;0,EDATE($P1960,ROUND((DATEDIF($P1960,INT($B1960),"m")+(INT($B1960)-EDATE($P1960,DATEDIF($P1960,INT($B1960),"m")))/(EDATE($P1960,DATEDIF($P1960,INT($B1960),"m")+1)-EDATE($P1960,DATEDIF($P1960,INT($B1960),"m"))))/$R1960,0)*$R1960),$P1960))))),"")))</f>
      </c>
      <c r="M1960" s="223">
        <f>IF(OR($C1960="",N($L1960)=0,N($B1960)=0),"",IF(IF(MOD($L1960,1)=0,INT($B1960),$B1960)&lt;=$L1960,"Đúng hạn","Trễ hạn"))</f>
      </c>
      <c r="N1960" s="225">
        <f>IF($C1960="","",ROW())</f>
      </c>
      <c r="O1960" s="225">
        <f>IF($I1960="Công việc",MATCH($C1960,'Kế hoạch'!$A$6:$A$305,0),"")</f>
      </c>
      <c r="P1960" s="234">
        <f>IF($O1960="","",INDEX('Kế hoạch'!$I$6:$I$305,$O1960))</f>
      </c>
      <c r="Q1960" s="225">
        <f>IF($O1960="","",INDEX('Kế hoạch'!$AJ$6:$AJ$305,$O1960))</f>
      </c>
      <c r="R1960" s="225">
        <f>IF($O1960="","",INDEX('Kế hoạch'!$AK$6:$AK$305,$O1960))</f>
      </c>
    </row>
    <row r="1961">
      <c r="A1961" s="223">
        <f>IF($C1961="","",COUNTIF($C$6:$C1961,"?*"))</f>
      </c>
      <c r="B1961" s="217"/>
      <c r="C1961" s="216"/>
      <c r="D1961" s="240"/>
      <c r="E1961" s="218"/>
      <c r="F1961" s="218"/>
      <c r="G1961" s="218"/>
      <c r="H1961" s="219"/>
      <c r="I1961" s="223">
        <f>IF($C1961="","",IF(ISNUMBER(MATCH($C1961,'Phản ánh'!$A$6:$A$505,0)),"Phản ánh",IF(ISNUMBER(MATCH($C1961,'Kế hoạch'!$A$6:$A$305,0)),"Công việc","Mã chưa có")))</f>
      </c>
      <c r="J1961" s="221">
        <f>IF($I1961="Phản ánh",INDEX('Phản ánh'!$C$6:$C$505,MATCH($C1961,'Phản ánh'!$A$6:$A$505,0)),IF($I1961="Công việc",INDEX('Kế hoạch'!$C$6:$C$305,$O1961),""))</f>
      </c>
      <c r="K1961" s="221">
        <f>IF($I1961="Phản ánh",INDEX('Phản ánh'!$K$6:$K$505,MATCH($C1961,'Phản ánh'!$A$6:$A$505,0))&amp;"",IF($I1961="Công việc",INDEX('Kế hoạch'!$N$6:$N$305,$O1961)&amp;"",""))</f>
      </c>
      <c r="L1961" s="220">
        <f>IF(OR($C1961="",N($B1961)=0),"",IF(AND($I1961="Phản ánh",$E1961="Đã xử lý"),INDEX('Phản ánh'!$U$6:$U$505,MATCH($C1961,'Phản ánh'!$A$6:$A$505,0)),IF(AND($I1961="Công việc",OR($E1961="Hoàn thành",$E1961="Hoàn thành kỳ")),IF(INDEX('Kế hoạch'!$B$6:$B$305,$O1961)="Đột xuất",INDEX('Kế hoạch'!$AY$6:$AY$305,$O1961),IF(N($P1961)=0,"",IF(INT($B1961)&lt;$P1961,$P1961,IF($Q1961&gt;0,$P1961+ROUND((INT($B1961)-$P1961)/$Q1961,0)*$Q1961,IF($R1961&gt;0,EDATE($P1961,ROUND((DATEDIF($P1961,INT($B1961),"m")+(INT($B1961)-EDATE($P1961,DATEDIF($P1961,INT($B1961),"m")))/(EDATE($P1961,DATEDIF($P1961,INT($B1961),"m")+1)-EDATE($P1961,DATEDIF($P1961,INT($B1961),"m"))))/$R1961,0)*$R1961),$P1961))))),"")))</f>
      </c>
      <c r="M1961" s="223">
        <f>IF(OR($C1961="",N($L1961)=0,N($B1961)=0),"",IF(IF(MOD($L1961,1)=0,INT($B1961),$B1961)&lt;=$L1961,"Đúng hạn","Trễ hạn"))</f>
      </c>
      <c r="N1961" s="225">
        <f>IF($C1961="","",ROW())</f>
      </c>
      <c r="O1961" s="225">
        <f>IF($I1961="Công việc",MATCH($C1961,'Kế hoạch'!$A$6:$A$305,0),"")</f>
      </c>
      <c r="P1961" s="234">
        <f>IF($O1961="","",INDEX('Kế hoạch'!$I$6:$I$305,$O1961))</f>
      </c>
      <c r="Q1961" s="225">
        <f>IF($O1961="","",INDEX('Kế hoạch'!$AJ$6:$AJ$305,$O1961))</f>
      </c>
      <c r="R1961" s="225">
        <f>IF($O1961="","",INDEX('Kế hoạch'!$AK$6:$AK$305,$O1961))</f>
      </c>
    </row>
    <row r="1962">
      <c r="A1962" s="223">
        <f>IF($C1962="","",COUNTIF($C$6:$C1962,"?*"))</f>
      </c>
      <c r="B1962" s="217"/>
      <c r="C1962" s="216"/>
      <c r="D1962" s="240"/>
      <c r="E1962" s="218"/>
      <c r="F1962" s="218"/>
      <c r="G1962" s="218"/>
      <c r="H1962" s="219"/>
      <c r="I1962" s="223">
        <f>IF($C1962="","",IF(ISNUMBER(MATCH($C1962,'Phản ánh'!$A$6:$A$505,0)),"Phản ánh",IF(ISNUMBER(MATCH($C1962,'Kế hoạch'!$A$6:$A$305,0)),"Công việc","Mã chưa có")))</f>
      </c>
      <c r="J1962" s="221">
        <f>IF($I1962="Phản ánh",INDEX('Phản ánh'!$C$6:$C$505,MATCH($C1962,'Phản ánh'!$A$6:$A$505,0)),IF($I1962="Công việc",INDEX('Kế hoạch'!$C$6:$C$305,$O1962),""))</f>
      </c>
      <c r="K1962" s="221">
        <f>IF($I1962="Phản ánh",INDEX('Phản ánh'!$K$6:$K$505,MATCH($C1962,'Phản ánh'!$A$6:$A$505,0))&amp;"",IF($I1962="Công việc",INDEX('Kế hoạch'!$N$6:$N$305,$O1962)&amp;"",""))</f>
      </c>
      <c r="L1962" s="220">
        <f>IF(OR($C1962="",N($B1962)=0),"",IF(AND($I1962="Phản ánh",$E1962="Đã xử lý"),INDEX('Phản ánh'!$U$6:$U$505,MATCH($C1962,'Phản ánh'!$A$6:$A$505,0)),IF(AND($I1962="Công việc",OR($E1962="Hoàn thành",$E1962="Hoàn thành kỳ")),IF(INDEX('Kế hoạch'!$B$6:$B$305,$O1962)="Đột xuất",INDEX('Kế hoạch'!$AY$6:$AY$305,$O1962),IF(N($P1962)=0,"",IF(INT($B1962)&lt;$P1962,$P1962,IF($Q1962&gt;0,$P1962+ROUND((INT($B1962)-$P1962)/$Q1962,0)*$Q1962,IF($R1962&gt;0,EDATE($P1962,ROUND((DATEDIF($P1962,INT($B1962),"m")+(INT($B1962)-EDATE($P1962,DATEDIF($P1962,INT($B1962),"m")))/(EDATE($P1962,DATEDIF($P1962,INT($B1962),"m")+1)-EDATE($P1962,DATEDIF($P1962,INT($B1962),"m"))))/$R1962,0)*$R1962),$P1962))))),"")))</f>
      </c>
      <c r="M1962" s="223">
        <f>IF(OR($C1962="",N($L1962)=0,N($B1962)=0),"",IF(IF(MOD($L1962,1)=0,INT($B1962),$B1962)&lt;=$L1962,"Đúng hạn","Trễ hạn"))</f>
      </c>
      <c r="N1962" s="225">
        <f>IF($C1962="","",ROW())</f>
      </c>
      <c r="O1962" s="225">
        <f>IF($I1962="Công việc",MATCH($C1962,'Kế hoạch'!$A$6:$A$305,0),"")</f>
      </c>
      <c r="P1962" s="234">
        <f>IF($O1962="","",INDEX('Kế hoạch'!$I$6:$I$305,$O1962))</f>
      </c>
      <c r="Q1962" s="225">
        <f>IF($O1962="","",INDEX('Kế hoạch'!$AJ$6:$AJ$305,$O1962))</f>
      </c>
      <c r="R1962" s="225">
        <f>IF($O1962="","",INDEX('Kế hoạch'!$AK$6:$AK$305,$O1962))</f>
      </c>
    </row>
    <row r="1963">
      <c r="A1963" s="223">
        <f>IF($C1963="","",COUNTIF($C$6:$C1963,"?*"))</f>
      </c>
      <c r="B1963" s="217"/>
      <c r="C1963" s="216"/>
      <c r="D1963" s="240"/>
      <c r="E1963" s="218"/>
      <c r="F1963" s="218"/>
      <c r="G1963" s="218"/>
      <c r="H1963" s="219"/>
      <c r="I1963" s="223">
        <f>IF($C1963="","",IF(ISNUMBER(MATCH($C1963,'Phản ánh'!$A$6:$A$505,0)),"Phản ánh",IF(ISNUMBER(MATCH($C1963,'Kế hoạch'!$A$6:$A$305,0)),"Công việc","Mã chưa có")))</f>
      </c>
      <c r="J1963" s="221">
        <f>IF($I1963="Phản ánh",INDEX('Phản ánh'!$C$6:$C$505,MATCH($C1963,'Phản ánh'!$A$6:$A$505,0)),IF($I1963="Công việc",INDEX('Kế hoạch'!$C$6:$C$305,$O1963),""))</f>
      </c>
      <c r="K1963" s="221">
        <f>IF($I1963="Phản ánh",INDEX('Phản ánh'!$K$6:$K$505,MATCH($C1963,'Phản ánh'!$A$6:$A$505,0))&amp;"",IF($I1963="Công việc",INDEX('Kế hoạch'!$N$6:$N$305,$O1963)&amp;"",""))</f>
      </c>
      <c r="L1963" s="220">
        <f>IF(OR($C1963="",N($B1963)=0),"",IF(AND($I1963="Phản ánh",$E1963="Đã xử lý"),INDEX('Phản ánh'!$U$6:$U$505,MATCH($C1963,'Phản ánh'!$A$6:$A$505,0)),IF(AND($I1963="Công việc",OR($E1963="Hoàn thành",$E1963="Hoàn thành kỳ")),IF(INDEX('Kế hoạch'!$B$6:$B$305,$O1963)="Đột xuất",INDEX('Kế hoạch'!$AY$6:$AY$305,$O1963),IF(N($P1963)=0,"",IF(INT($B1963)&lt;$P1963,$P1963,IF($Q1963&gt;0,$P1963+ROUND((INT($B1963)-$P1963)/$Q1963,0)*$Q1963,IF($R1963&gt;0,EDATE($P1963,ROUND((DATEDIF($P1963,INT($B1963),"m")+(INT($B1963)-EDATE($P1963,DATEDIF($P1963,INT($B1963),"m")))/(EDATE($P1963,DATEDIF($P1963,INT($B1963),"m")+1)-EDATE($P1963,DATEDIF($P1963,INT($B1963),"m"))))/$R1963,0)*$R1963),$P1963))))),"")))</f>
      </c>
      <c r="M1963" s="223">
        <f>IF(OR($C1963="",N($L1963)=0,N($B1963)=0),"",IF(IF(MOD($L1963,1)=0,INT($B1963),$B1963)&lt;=$L1963,"Đúng hạn","Trễ hạn"))</f>
      </c>
      <c r="N1963" s="225">
        <f>IF($C1963="","",ROW())</f>
      </c>
      <c r="O1963" s="225">
        <f>IF($I1963="Công việc",MATCH($C1963,'Kế hoạch'!$A$6:$A$305,0),"")</f>
      </c>
      <c r="P1963" s="234">
        <f>IF($O1963="","",INDEX('Kế hoạch'!$I$6:$I$305,$O1963))</f>
      </c>
      <c r="Q1963" s="225">
        <f>IF($O1963="","",INDEX('Kế hoạch'!$AJ$6:$AJ$305,$O1963))</f>
      </c>
      <c r="R1963" s="225">
        <f>IF($O1963="","",INDEX('Kế hoạch'!$AK$6:$AK$305,$O1963))</f>
      </c>
    </row>
    <row r="1964">
      <c r="A1964" s="223">
        <f>IF($C1964="","",COUNTIF($C$6:$C1964,"?*"))</f>
      </c>
      <c r="B1964" s="217"/>
      <c r="C1964" s="216"/>
      <c r="D1964" s="240"/>
      <c r="E1964" s="218"/>
      <c r="F1964" s="218"/>
      <c r="G1964" s="218"/>
      <c r="H1964" s="219"/>
      <c r="I1964" s="223">
        <f>IF($C1964="","",IF(ISNUMBER(MATCH($C1964,'Phản ánh'!$A$6:$A$505,0)),"Phản ánh",IF(ISNUMBER(MATCH($C1964,'Kế hoạch'!$A$6:$A$305,0)),"Công việc","Mã chưa có")))</f>
      </c>
      <c r="J1964" s="221">
        <f>IF($I1964="Phản ánh",INDEX('Phản ánh'!$C$6:$C$505,MATCH($C1964,'Phản ánh'!$A$6:$A$505,0)),IF($I1964="Công việc",INDEX('Kế hoạch'!$C$6:$C$305,$O1964),""))</f>
      </c>
      <c r="K1964" s="221">
        <f>IF($I1964="Phản ánh",INDEX('Phản ánh'!$K$6:$K$505,MATCH($C1964,'Phản ánh'!$A$6:$A$505,0))&amp;"",IF($I1964="Công việc",INDEX('Kế hoạch'!$N$6:$N$305,$O1964)&amp;"",""))</f>
      </c>
      <c r="L1964" s="220">
        <f>IF(OR($C1964="",N($B1964)=0),"",IF(AND($I1964="Phản ánh",$E1964="Đã xử lý"),INDEX('Phản ánh'!$U$6:$U$505,MATCH($C1964,'Phản ánh'!$A$6:$A$505,0)),IF(AND($I1964="Công việc",OR($E1964="Hoàn thành",$E1964="Hoàn thành kỳ")),IF(INDEX('Kế hoạch'!$B$6:$B$305,$O1964)="Đột xuất",INDEX('Kế hoạch'!$AY$6:$AY$305,$O1964),IF(N($P1964)=0,"",IF(INT($B1964)&lt;$P1964,$P1964,IF($Q1964&gt;0,$P1964+ROUND((INT($B1964)-$P1964)/$Q1964,0)*$Q1964,IF($R1964&gt;0,EDATE($P1964,ROUND((DATEDIF($P1964,INT($B1964),"m")+(INT($B1964)-EDATE($P1964,DATEDIF($P1964,INT($B1964),"m")))/(EDATE($P1964,DATEDIF($P1964,INT($B1964),"m")+1)-EDATE($P1964,DATEDIF($P1964,INT($B1964),"m"))))/$R1964,0)*$R1964),$P1964))))),"")))</f>
      </c>
      <c r="M1964" s="223">
        <f>IF(OR($C1964="",N($L1964)=0,N($B1964)=0),"",IF(IF(MOD($L1964,1)=0,INT($B1964),$B1964)&lt;=$L1964,"Đúng hạn","Trễ hạn"))</f>
      </c>
      <c r="N1964" s="225">
        <f>IF($C1964="","",ROW())</f>
      </c>
      <c r="O1964" s="225">
        <f>IF($I1964="Công việc",MATCH($C1964,'Kế hoạch'!$A$6:$A$305,0),"")</f>
      </c>
      <c r="P1964" s="234">
        <f>IF($O1964="","",INDEX('Kế hoạch'!$I$6:$I$305,$O1964))</f>
      </c>
      <c r="Q1964" s="225">
        <f>IF($O1964="","",INDEX('Kế hoạch'!$AJ$6:$AJ$305,$O1964))</f>
      </c>
      <c r="R1964" s="225">
        <f>IF($O1964="","",INDEX('Kế hoạch'!$AK$6:$AK$305,$O1964))</f>
      </c>
    </row>
    <row r="1965">
      <c r="A1965" s="223">
        <f>IF($C1965="","",COUNTIF($C$6:$C1965,"?*"))</f>
      </c>
      <c r="B1965" s="217"/>
      <c r="C1965" s="216"/>
      <c r="D1965" s="240"/>
      <c r="E1965" s="218"/>
      <c r="F1965" s="218"/>
      <c r="G1965" s="218"/>
      <c r="H1965" s="219"/>
      <c r="I1965" s="223">
        <f>IF($C1965="","",IF(ISNUMBER(MATCH($C1965,'Phản ánh'!$A$6:$A$505,0)),"Phản ánh",IF(ISNUMBER(MATCH($C1965,'Kế hoạch'!$A$6:$A$305,0)),"Công việc","Mã chưa có")))</f>
      </c>
      <c r="J1965" s="221">
        <f>IF($I1965="Phản ánh",INDEX('Phản ánh'!$C$6:$C$505,MATCH($C1965,'Phản ánh'!$A$6:$A$505,0)),IF($I1965="Công việc",INDEX('Kế hoạch'!$C$6:$C$305,$O1965),""))</f>
      </c>
      <c r="K1965" s="221">
        <f>IF($I1965="Phản ánh",INDEX('Phản ánh'!$K$6:$K$505,MATCH($C1965,'Phản ánh'!$A$6:$A$505,0))&amp;"",IF($I1965="Công việc",INDEX('Kế hoạch'!$N$6:$N$305,$O1965)&amp;"",""))</f>
      </c>
      <c r="L1965" s="220">
        <f>IF(OR($C1965="",N($B1965)=0),"",IF(AND($I1965="Phản ánh",$E1965="Đã xử lý"),INDEX('Phản ánh'!$U$6:$U$505,MATCH($C1965,'Phản ánh'!$A$6:$A$505,0)),IF(AND($I1965="Công việc",OR($E1965="Hoàn thành",$E1965="Hoàn thành kỳ")),IF(INDEX('Kế hoạch'!$B$6:$B$305,$O1965)="Đột xuất",INDEX('Kế hoạch'!$AY$6:$AY$305,$O1965),IF(N($P1965)=0,"",IF(INT($B1965)&lt;$P1965,$P1965,IF($Q1965&gt;0,$P1965+ROUND((INT($B1965)-$P1965)/$Q1965,0)*$Q1965,IF($R1965&gt;0,EDATE($P1965,ROUND((DATEDIF($P1965,INT($B1965),"m")+(INT($B1965)-EDATE($P1965,DATEDIF($P1965,INT($B1965),"m")))/(EDATE($P1965,DATEDIF($P1965,INT($B1965),"m")+1)-EDATE($P1965,DATEDIF($P1965,INT($B1965),"m"))))/$R1965,0)*$R1965),$P1965))))),"")))</f>
      </c>
      <c r="M1965" s="223">
        <f>IF(OR($C1965="",N($L1965)=0,N($B1965)=0),"",IF(IF(MOD($L1965,1)=0,INT($B1965),$B1965)&lt;=$L1965,"Đúng hạn","Trễ hạn"))</f>
      </c>
      <c r="N1965" s="225">
        <f>IF($C1965="","",ROW())</f>
      </c>
      <c r="O1965" s="225">
        <f>IF($I1965="Công việc",MATCH($C1965,'Kế hoạch'!$A$6:$A$305,0),"")</f>
      </c>
      <c r="P1965" s="234">
        <f>IF($O1965="","",INDEX('Kế hoạch'!$I$6:$I$305,$O1965))</f>
      </c>
      <c r="Q1965" s="225">
        <f>IF($O1965="","",INDEX('Kế hoạch'!$AJ$6:$AJ$305,$O1965))</f>
      </c>
      <c r="R1965" s="225">
        <f>IF($O1965="","",INDEX('Kế hoạch'!$AK$6:$AK$305,$O1965))</f>
      </c>
    </row>
    <row r="1966">
      <c r="A1966" s="223">
        <f>IF($C1966="","",COUNTIF($C$6:$C1966,"?*"))</f>
      </c>
      <c r="B1966" s="217"/>
      <c r="C1966" s="216"/>
      <c r="D1966" s="240"/>
      <c r="E1966" s="218"/>
      <c r="F1966" s="218"/>
      <c r="G1966" s="218"/>
      <c r="H1966" s="219"/>
      <c r="I1966" s="223">
        <f>IF($C1966="","",IF(ISNUMBER(MATCH($C1966,'Phản ánh'!$A$6:$A$505,0)),"Phản ánh",IF(ISNUMBER(MATCH($C1966,'Kế hoạch'!$A$6:$A$305,0)),"Công việc","Mã chưa có")))</f>
      </c>
      <c r="J1966" s="221">
        <f>IF($I1966="Phản ánh",INDEX('Phản ánh'!$C$6:$C$505,MATCH($C1966,'Phản ánh'!$A$6:$A$505,0)),IF($I1966="Công việc",INDEX('Kế hoạch'!$C$6:$C$305,$O1966),""))</f>
      </c>
      <c r="K1966" s="221">
        <f>IF($I1966="Phản ánh",INDEX('Phản ánh'!$K$6:$K$505,MATCH($C1966,'Phản ánh'!$A$6:$A$505,0))&amp;"",IF($I1966="Công việc",INDEX('Kế hoạch'!$N$6:$N$305,$O1966)&amp;"",""))</f>
      </c>
      <c r="L1966" s="220">
        <f>IF(OR($C1966="",N($B1966)=0),"",IF(AND($I1966="Phản ánh",$E1966="Đã xử lý"),INDEX('Phản ánh'!$U$6:$U$505,MATCH($C1966,'Phản ánh'!$A$6:$A$505,0)),IF(AND($I1966="Công việc",OR($E1966="Hoàn thành",$E1966="Hoàn thành kỳ")),IF(INDEX('Kế hoạch'!$B$6:$B$305,$O1966)="Đột xuất",INDEX('Kế hoạch'!$AY$6:$AY$305,$O1966),IF(N($P1966)=0,"",IF(INT($B1966)&lt;$P1966,$P1966,IF($Q1966&gt;0,$P1966+ROUND((INT($B1966)-$P1966)/$Q1966,0)*$Q1966,IF($R1966&gt;0,EDATE($P1966,ROUND((DATEDIF($P1966,INT($B1966),"m")+(INT($B1966)-EDATE($P1966,DATEDIF($P1966,INT($B1966),"m")))/(EDATE($P1966,DATEDIF($P1966,INT($B1966),"m")+1)-EDATE($P1966,DATEDIF($P1966,INT($B1966),"m"))))/$R1966,0)*$R1966),$P1966))))),"")))</f>
      </c>
      <c r="M1966" s="223">
        <f>IF(OR($C1966="",N($L1966)=0,N($B1966)=0),"",IF(IF(MOD($L1966,1)=0,INT($B1966),$B1966)&lt;=$L1966,"Đúng hạn","Trễ hạn"))</f>
      </c>
      <c r="N1966" s="225">
        <f>IF($C1966="","",ROW())</f>
      </c>
      <c r="O1966" s="225">
        <f>IF($I1966="Công việc",MATCH($C1966,'Kế hoạch'!$A$6:$A$305,0),"")</f>
      </c>
      <c r="P1966" s="234">
        <f>IF($O1966="","",INDEX('Kế hoạch'!$I$6:$I$305,$O1966))</f>
      </c>
      <c r="Q1966" s="225">
        <f>IF($O1966="","",INDEX('Kế hoạch'!$AJ$6:$AJ$305,$O1966))</f>
      </c>
      <c r="R1966" s="225">
        <f>IF($O1966="","",INDEX('Kế hoạch'!$AK$6:$AK$305,$O1966))</f>
      </c>
    </row>
    <row r="1967">
      <c r="A1967" s="223">
        <f>IF($C1967="","",COUNTIF($C$6:$C1967,"?*"))</f>
      </c>
      <c r="B1967" s="217"/>
      <c r="C1967" s="216"/>
      <c r="D1967" s="240"/>
      <c r="E1967" s="218"/>
      <c r="F1967" s="218"/>
      <c r="G1967" s="218"/>
      <c r="H1967" s="219"/>
      <c r="I1967" s="223">
        <f>IF($C1967="","",IF(ISNUMBER(MATCH($C1967,'Phản ánh'!$A$6:$A$505,0)),"Phản ánh",IF(ISNUMBER(MATCH($C1967,'Kế hoạch'!$A$6:$A$305,0)),"Công việc","Mã chưa có")))</f>
      </c>
      <c r="J1967" s="221">
        <f>IF($I1967="Phản ánh",INDEX('Phản ánh'!$C$6:$C$505,MATCH($C1967,'Phản ánh'!$A$6:$A$505,0)),IF($I1967="Công việc",INDEX('Kế hoạch'!$C$6:$C$305,$O1967),""))</f>
      </c>
      <c r="K1967" s="221">
        <f>IF($I1967="Phản ánh",INDEX('Phản ánh'!$K$6:$K$505,MATCH($C1967,'Phản ánh'!$A$6:$A$505,0))&amp;"",IF($I1967="Công việc",INDEX('Kế hoạch'!$N$6:$N$305,$O1967)&amp;"",""))</f>
      </c>
      <c r="L1967" s="220">
        <f>IF(OR($C1967="",N($B1967)=0),"",IF(AND($I1967="Phản ánh",$E1967="Đã xử lý"),INDEX('Phản ánh'!$U$6:$U$505,MATCH($C1967,'Phản ánh'!$A$6:$A$505,0)),IF(AND($I1967="Công việc",OR($E1967="Hoàn thành",$E1967="Hoàn thành kỳ")),IF(INDEX('Kế hoạch'!$B$6:$B$305,$O1967)="Đột xuất",INDEX('Kế hoạch'!$AY$6:$AY$305,$O1967),IF(N($P1967)=0,"",IF(INT($B1967)&lt;$P1967,$P1967,IF($Q1967&gt;0,$P1967+ROUND((INT($B1967)-$P1967)/$Q1967,0)*$Q1967,IF($R1967&gt;0,EDATE($P1967,ROUND((DATEDIF($P1967,INT($B1967),"m")+(INT($B1967)-EDATE($P1967,DATEDIF($P1967,INT($B1967),"m")))/(EDATE($P1967,DATEDIF($P1967,INT($B1967),"m")+1)-EDATE($P1967,DATEDIF($P1967,INT($B1967),"m"))))/$R1967,0)*$R1967),$P1967))))),"")))</f>
      </c>
      <c r="M1967" s="223">
        <f>IF(OR($C1967="",N($L1967)=0,N($B1967)=0),"",IF(IF(MOD($L1967,1)=0,INT($B1967),$B1967)&lt;=$L1967,"Đúng hạn","Trễ hạn"))</f>
      </c>
      <c r="N1967" s="225">
        <f>IF($C1967="","",ROW())</f>
      </c>
      <c r="O1967" s="225">
        <f>IF($I1967="Công việc",MATCH($C1967,'Kế hoạch'!$A$6:$A$305,0),"")</f>
      </c>
      <c r="P1967" s="234">
        <f>IF($O1967="","",INDEX('Kế hoạch'!$I$6:$I$305,$O1967))</f>
      </c>
      <c r="Q1967" s="225">
        <f>IF($O1967="","",INDEX('Kế hoạch'!$AJ$6:$AJ$305,$O1967))</f>
      </c>
      <c r="R1967" s="225">
        <f>IF($O1967="","",INDEX('Kế hoạch'!$AK$6:$AK$305,$O1967))</f>
      </c>
    </row>
    <row r="1968">
      <c r="A1968" s="223">
        <f>IF($C1968="","",COUNTIF($C$6:$C1968,"?*"))</f>
      </c>
      <c r="B1968" s="217"/>
      <c r="C1968" s="216"/>
      <c r="D1968" s="240"/>
      <c r="E1968" s="218"/>
      <c r="F1968" s="218"/>
      <c r="G1968" s="218"/>
      <c r="H1968" s="219"/>
      <c r="I1968" s="223">
        <f>IF($C1968="","",IF(ISNUMBER(MATCH($C1968,'Phản ánh'!$A$6:$A$505,0)),"Phản ánh",IF(ISNUMBER(MATCH($C1968,'Kế hoạch'!$A$6:$A$305,0)),"Công việc","Mã chưa có")))</f>
      </c>
      <c r="J1968" s="221">
        <f>IF($I1968="Phản ánh",INDEX('Phản ánh'!$C$6:$C$505,MATCH($C1968,'Phản ánh'!$A$6:$A$505,0)),IF($I1968="Công việc",INDEX('Kế hoạch'!$C$6:$C$305,$O1968),""))</f>
      </c>
      <c r="K1968" s="221">
        <f>IF($I1968="Phản ánh",INDEX('Phản ánh'!$K$6:$K$505,MATCH($C1968,'Phản ánh'!$A$6:$A$505,0))&amp;"",IF($I1968="Công việc",INDEX('Kế hoạch'!$N$6:$N$305,$O1968)&amp;"",""))</f>
      </c>
      <c r="L1968" s="220">
        <f>IF(OR($C1968="",N($B1968)=0),"",IF(AND($I1968="Phản ánh",$E1968="Đã xử lý"),INDEX('Phản ánh'!$U$6:$U$505,MATCH($C1968,'Phản ánh'!$A$6:$A$505,0)),IF(AND($I1968="Công việc",OR($E1968="Hoàn thành",$E1968="Hoàn thành kỳ")),IF(INDEX('Kế hoạch'!$B$6:$B$305,$O1968)="Đột xuất",INDEX('Kế hoạch'!$AY$6:$AY$305,$O1968),IF(N($P1968)=0,"",IF(INT($B1968)&lt;$P1968,$P1968,IF($Q1968&gt;0,$P1968+ROUND((INT($B1968)-$P1968)/$Q1968,0)*$Q1968,IF($R1968&gt;0,EDATE($P1968,ROUND((DATEDIF($P1968,INT($B1968),"m")+(INT($B1968)-EDATE($P1968,DATEDIF($P1968,INT($B1968),"m")))/(EDATE($P1968,DATEDIF($P1968,INT($B1968),"m")+1)-EDATE($P1968,DATEDIF($P1968,INT($B1968),"m"))))/$R1968,0)*$R1968),$P1968))))),"")))</f>
      </c>
      <c r="M1968" s="223">
        <f>IF(OR($C1968="",N($L1968)=0,N($B1968)=0),"",IF(IF(MOD($L1968,1)=0,INT($B1968),$B1968)&lt;=$L1968,"Đúng hạn","Trễ hạn"))</f>
      </c>
      <c r="N1968" s="225">
        <f>IF($C1968="","",ROW())</f>
      </c>
      <c r="O1968" s="225">
        <f>IF($I1968="Công việc",MATCH($C1968,'Kế hoạch'!$A$6:$A$305,0),"")</f>
      </c>
      <c r="P1968" s="234">
        <f>IF($O1968="","",INDEX('Kế hoạch'!$I$6:$I$305,$O1968))</f>
      </c>
      <c r="Q1968" s="225">
        <f>IF($O1968="","",INDEX('Kế hoạch'!$AJ$6:$AJ$305,$O1968))</f>
      </c>
      <c r="R1968" s="225">
        <f>IF($O1968="","",INDEX('Kế hoạch'!$AK$6:$AK$305,$O1968))</f>
      </c>
    </row>
    <row r="1969">
      <c r="A1969" s="223">
        <f>IF($C1969="","",COUNTIF($C$6:$C1969,"?*"))</f>
      </c>
      <c r="B1969" s="217"/>
      <c r="C1969" s="216"/>
      <c r="D1969" s="240"/>
      <c r="E1969" s="218"/>
      <c r="F1969" s="218"/>
      <c r="G1969" s="218"/>
      <c r="H1969" s="219"/>
      <c r="I1969" s="223">
        <f>IF($C1969="","",IF(ISNUMBER(MATCH($C1969,'Phản ánh'!$A$6:$A$505,0)),"Phản ánh",IF(ISNUMBER(MATCH($C1969,'Kế hoạch'!$A$6:$A$305,0)),"Công việc","Mã chưa có")))</f>
      </c>
      <c r="J1969" s="221">
        <f>IF($I1969="Phản ánh",INDEX('Phản ánh'!$C$6:$C$505,MATCH($C1969,'Phản ánh'!$A$6:$A$505,0)),IF($I1969="Công việc",INDEX('Kế hoạch'!$C$6:$C$305,$O1969),""))</f>
      </c>
      <c r="K1969" s="221">
        <f>IF($I1969="Phản ánh",INDEX('Phản ánh'!$K$6:$K$505,MATCH($C1969,'Phản ánh'!$A$6:$A$505,0))&amp;"",IF($I1969="Công việc",INDEX('Kế hoạch'!$N$6:$N$305,$O1969)&amp;"",""))</f>
      </c>
      <c r="L1969" s="220">
        <f>IF(OR($C1969="",N($B1969)=0),"",IF(AND($I1969="Phản ánh",$E1969="Đã xử lý"),INDEX('Phản ánh'!$U$6:$U$505,MATCH($C1969,'Phản ánh'!$A$6:$A$505,0)),IF(AND($I1969="Công việc",OR($E1969="Hoàn thành",$E1969="Hoàn thành kỳ")),IF(INDEX('Kế hoạch'!$B$6:$B$305,$O1969)="Đột xuất",INDEX('Kế hoạch'!$AY$6:$AY$305,$O1969),IF(N($P1969)=0,"",IF(INT($B1969)&lt;$P1969,$P1969,IF($Q1969&gt;0,$P1969+ROUND((INT($B1969)-$P1969)/$Q1969,0)*$Q1969,IF($R1969&gt;0,EDATE($P1969,ROUND((DATEDIF($P1969,INT($B1969),"m")+(INT($B1969)-EDATE($P1969,DATEDIF($P1969,INT($B1969),"m")))/(EDATE($P1969,DATEDIF($P1969,INT($B1969),"m")+1)-EDATE($P1969,DATEDIF($P1969,INT($B1969),"m"))))/$R1969,0)*$R1969),$P1969))))),"")))</f>
      </c>
      <c r="M1969" s="223">
        <f>IF(OR($C1969="",N($L1969)=0,N($B1969)=0),"",IF(IF(MOD($L1969,1)=0,INT($B1969),$B1969)&lt;=$L1969,"Đúng hạn","Trễ hạn"))</f>
      </c>
      <c r="N1969" s="225">
        <f>IF($C1969="","",ROW())</f>
      </c>
      <c r="O1969" s="225">
        <f>IF($I1969="Công việc",MATCH($C1969,'Kế hoạch'!$A$6:$A$305,0),"")</f>
      </c>
      <c r="P1969" s="234">
        <f>IF($O1969="","",INDEX('Kế hoạch'!$I$6:$I$305,$O1969))</f>
      </c>
      <c r="Q1969" s="225">
        <f>IF($O1969="","",INDEX('Kế hoạch'!$AJ$6:$AJ$305,$O1969))</f>
      </c>
      <c r="R1969" s="225">
        <f>IF($O1969="","",INDEX('Kế hoạch'!$AK$6:$AK$305,$O1969))</f>
      </c>
    </row>
    <row r="1970">
      <c r="A1970" s="223">
        <f>IF($C1970="","",COUNTIF($C$6:$C1970,"?*"))</f>
      </c>
      <c r="B1970" s="217"/>
      <c r="C1970" s="216"/>
      <c r="D1970" s="240"/>
      <c r="E1970" s="218"/>
      <c r="F1970" s="218"/>
      <c r="G1970" s="218"/>
      <c r="H1970" s="219"/>
      <c r="I1970" s="223">
        <f>IF($C1970="","",IF(ISNUMBER(MATCH($C1970,'Phản ánh'!$A$6:$A$505,0)),"Phản ánh",IF(ISNUMBER(MATCH($C1970,'Kế hoạch'!$A$6:$A$305,0)),"Công việc","Mã chưa có")))</f>
      </c>
      <c r="J1970" s="221">
        <f>IF($I1970="Phản ánh",INDEX('Phản ánh'!$C$6:$C$505,MATCH($C1970,'Phản ánh'!$A$6:$A$505,0)),IF($I1970="Công việc",INDEX('Kế hoạch'!$C$6:$C$305,$O1970),""))</f>
      </c>
      <c r="K1970" s="221">
        <f>IF($I1970="Phản ánh",INDEX('Phản ánh'!$K$6:$K$505,MATCH($C1970,'Phản ánh'!$A$6:$A$505,0))&amp;"",IF($I1970="Công việc",INDEX('Kế hoạch'!$N$6:$N$305,$O1970)&amp;"",""))</f>
      </c>
      <c r="L1970" s="220">
        <f>IF(OR($C1970="",N($B1970)=0),"",IF(AND($I1970="Phản ánh",$E1970="Đã xử lý"),INDEX('Phản ánh'!$U$6:$U$505,MATCH($C1970,'Phản ánh'!$A$6:$A$505,0)),IF(AND($I1970="Công việc",OR($E1970="Hoàn thành",$E1970="Hoàn thành kỳ")),IF(INDEX('Kế hoạch'!$B$6:$B$305,$O1970)="Đột xuất",INDEX('Kế hoạch'!$AY$6:$AY$305,$O1970),IF(N($P1970)=0,"",IF(INT($B1970)&lt;$P1970,$P1970,IF($Q1970&gt;0,$P1970+ROUND((INT($B1970)-$P1970)/$Q1970,0)*$Q1970,IF($R1970&gt;0,EDATE($P1970,ROUND((DATEDIF($P1970,INT($B1970),"m")+(INT($B1970)-EDATE($P1970,DATEDIF($P1970,INT($B1970),"m")))/(EDATE($P1970,DATEDIF($P1970,INT($B1970),"m")+1)-EDATE($P1970,DATEDIF($P1970,INT($B1970),"m"))))/$R1970,0)*$R1970),$P1970))))),"")))</f>
      </c>
      <c r="M1970" s="223">
        <f>IF(OR($C1970="",N($L1970)=0,N($B1970)=0),"",IF(IF(MOD($L1970,1)=0,INT($B1970),$B1970)&lt;=$L1970,"Đúng hạn","Trễ hạn"))</f>
      </c>
      <c r="N1970" s="225">
        <f>IF($C1970="","",ROW())</f>
      </c>
      <c r="O1970" s="225">
        <f>IF($I1970="Công việc",MATCH($C1970,'Kế hoạch'!$A$6:$A$305,0),"")</f>
      </c>
      <c r="P1970" s="234">
        <f>IF($O1970="","",INDEX('Kế hoạch'!$I$6:$I$305,$O1970))</f>
      </c>
      <c r="Q1970" s="225">
        <f>IF($O1970="","",INDEX('Kế hoạch'!$AJ$6:$AJ$305,$O1970))</f>
      </c>
      <c r="R1970" s="225">
        <f>IF($O1970="","",INDEX('Kế hoạch'!$AK$6:$AK$305,$O1970))</f>
      </c>
    </row>
    <row r="1971">
      <c r="A1971" s="223">
        <f>IF($C1971="","",COUNTIF($C$6:$C1971,"?*"))</f>
      </c>
      <c r="B1971" s="217"/>
      <c r="C1971" s="216"/>
      <c r="D1971" s="240"/>
      <c r="E1971" s="218"/>
      <c r="F1971" s="218"/>
      <c r="G1971" s="218"/>
      <c r="H1971" s="219"/>
      <c r="I1971" s="223">
        <f>IF($C1971="","",IF(ISNUMBER(MATCH($C1971,'Phản ánh'!$A$6:$A$505,0)),"Phản ánh",IF(ISNUMBER(MATCH($C1971,'Kế hoạch'!$A$6:$A$305,0)),"Công việc","Mã chưa có")))</f>
      </c>
      <c r="J1971" s="221">
        <f>IF($I1971="Phản ánh",INDEX('Phản ánh'!$C$6:$C$505,MATCH($C1971,'Phản ánh'!$A$6:$A$505,0)),IF($I1971="Công việc",INDEX('Kế hoạch'!$C$6:$C$305,$O1971),""))</f>
      </c>
      <c r="K1971" s="221">
        <f>IF($I1971="Phản ánh",INDEX('Phản ánh'!$K$6:$K$505,MATCH($C1971,'Phản ánh'!$A$6:$A$505,0))&amp;"",IF($I1971="Công việc",INDEX('Kế hoạch'!$N$6:$N$305,$O1971)&amp;"",""))</f>
      </c>
      <c r="L1971" s="220">
        <f>IF(OR($C1971="",N($B1971)=0),"",IF(AND($I1971="Phản ánh",$E1971="Đã xử lý"),INDEX('Phản ánh'!$U$6:$U$505,MATCH($C1971,'Phản ánh'!$A$6:$A$505,0)),IF(AND($I1971="Công việc",OR($E1971="Hoàn thành",$E1971="Hoàn thành kỳ")),IF(INDEX('Kế hoạch'!$B$6:$B$305,$O1971)="Đột xuất",INDEX('Kế hoạch'!$AY$6:$AY$305,$O1971),IF(N($P1971)=0,"",IF(INT($B1971)&lt;$P1971,$P1971,IF($Q1971&gt;0,$P1971+ROUND((INT($B1971)-$P1971)/$Q1971,0)*$Q1971,IF($R1971&gt;0,EDATE($P1971,ROUND((DATEDIF($P1971,INT($B1971),"m")+(INT($B1971)-EDATE($P1971,DATEDIF($P1971,INT($B1971),"m")))/(EDATE($P1971,DATEDIF($P1971,INT($B1971),"m")+1)-EDATE($P1971,DATEDIF($P1971,INT($B1971),"m"))))/$R1971,0)*$R1971),$P1971))))),"")))</f>
      </c>
      <c r="M1971" s="223">
        <f>IF(OR($C1971="",N($L1971)=0,N($B1971)=0),"",IF(IF(MOD($L1971,1)=0,INT($B1971),$B1971)&lt;=$L1971,"Đúng hạn","Trễ hạn"))</f>
      </c>
      <c r="N1971" s="225">
        <f>IF($C1971="","",ROW())</f>
      </c>
      <c r="O1971" s="225">
        <f>IF($I1971="Công việc",MATCH($C1971,'Kế hoạch'!$A$6:$A$305,0),"")</f>
      </c>
      <c r="P1971" s="234">
        <f>IF($O1971="","",INDEX('Kế hoạch'!$I$6:$I$305,$O1971))</f>
      </c>
      <c r="Q1971" s="225">
        <f>IF($O1971="","",INDEX('Kế hoạch'!$AJ$6:$AJ$305,$O1971))</f>
      </c>
      <c r="R1971" s="225">
        <f>IF($O1971="","",INDEX('Kế hoạch'!$AK$6:$AK$305,$O1971))</f>
      </c>
    </row>
    <row r="1972">
      <c r="A1972" s="223">
        <f>IF($C1972="","",COUNTIF($C$6:$C1972,"?*"))</f>
      </c>
      <c r="B1972" s="217"/>
      <c r="C1972" s="216"/>
      <c r="D1972" s="240"/>
      <c r="E1972" s="218"/>
      <c r="F1972" s="218"/>
      <c r="G1972" s="218"/>
      <c r="H1972" s="219"/>
      <c r="I1972" s="223">
        <f>IF($C1972="","",IF(ISNUMBER(MATCH($C1972,'Phản ánh'!$A$6:$A$505,0)),"Phản ánh",IF(ISNUMBER(MATCH($C1972,'Kế hoạch'!$A$6:$A$305,0)),"Công việc","Mã chưa có")))</f>
      </c>
      <c r="J1972" s="221">
        <f>IF($I1972="Phản ánh",INDEX('Phản ánh'!$C$6:$C$505,MATCH($C1972,'Phản ánh'!$A$6:$A$505,0)),IF($I1972="Công việc",INDEX('Kế hoạch'!$C$6:$C$305,$O1972),""))</f>
      </c>
      <c r="K1972" s="221">
        <f>IF($I1972="Phản ánh",INDEX('Phản ánh'!$K$6:$K$505,MATCH($C1972,'Phản ánh'!$A$6:$A$505,0))&amp;"",IF($I1972="Công việc",INDEX('Kế hoạch'!$N$6:$N$305,$O1972)&amp;"",""))</f>
      </c>
      <c r="L1972" s="220">
        <f>IF(OR($C1972="",N($B1972)=0),"",IF(AND($I1972="Phản ánh",$E1972="Đã xử lý"),INDEX('Phản ánh'!$U$6:$U$505,MATCH($C1972,'Phản ánh'!$A$6:$A$505,0)),IF(AND($I1972="Công việc",OR($E1972="Hoàn thành",$E1972="Hoàn thành kỳ")),IF(INDEX('Kế hoạch'!$B$6:$B$305,$O1972)="Đột xuất",INDEX('Kế hoạch'!$AY$6:$AY$305,$O1972),IF(N($P1972)=0,"",IF(INT($B1972)&lt;$P1972,$P1972,IF($Q1972&gt;0,$P1972+ROUND((INT($B1972)-$P1972)/$Q1972,0)*$Q1972,IF($R1972&gt;0,EDATE($P1972,ROUND((DATEDIF($P1972,INT($B1972),"m")+(INT($B1972)-EDATE($P1972,DATEDIF($P1972,INT($B1972),"m")))/(EDATE($P1972,DATEDIF($P1972,INT($B1972),"m")+1)-EDATE($P1972,DATEDIF($P1972,INT($B1972),"m"))))/$R1972,0)*$R1972),$P1972))))),"")))</f>
      </c>
      <c r="M1972" s="223">
        <f>IF(OR($C1972="",N($L1972)=0,N($B1972)=0),"",IF(IF(MOD($L1972,1)=0,INT($B1972),$B1972)&lt;=$L1972,"Đúng hạn","Trễ hạn"))</f>
      </c>
      <c r="N1972" s="225">
        <f>IF($C1972="","",ROW())</f>
      </c>
      <c r="O1972" s="225">
        <f>IF($I1972="Công việc",MATCH($C1972,'Kế hoạch'!$A$6:$A$305,0),"")</f>
      </c>
      <c r="P1972" s="234">
        <f>IF($O1972="","",INDEX('Kế hoạch'!$I$6:$I$305,$O1972))</f>
      </c>
      <c r="Q1972" s="225">
        <f>IF($O1972="","",INDEX('Kế hoạch'!$AJ$6:$AJ$305,$O1972))</f>
      </c>
      <c r="R1972" s="225">
        <f>IF($O1972="","",INDEX('Kế hoạch'!$AK$6:$AK$305,$O1972))</f>
      </c>
    </row>
    <row r="1973">
      <c r="A1973" s="223">
        <f>IF($C1973="","",COUNTIF($C$6:$C1973,"?*"))</f>
      </c>
      <c r="B1973" s="217"/>
      <c r="C1973" s="216"/>
      <c r="D1973" s="240"/>
      <c r="E1973" s="218"/>
      <c r="F1973" s="218"/>
      <c r="G1973" s="218"/>
      <c r="H1973" s="219"/>
      <c r="I1973" s="223">
        <f>IF($C1973="","",IF(ISNUMBER(MATCH($C1973,'Phản ánh'!$A$6:$A$505,0)),"Phản ánh",IF(ISNUMBER(MATCH($C1973,'Kế hoạch'!$A$6:$A$305,0)),"Công việc","Mã chưa có")))</f>
      </c>
      <c r="J1973" s="221">
        <f>IF($I1973="Phản ánh",INDEX('Phản ánh'!$C$6:$C$505,MATCH($C1973,'Phản ánh'!$A$6:$A$505,0)),IF($I1973="Công việc",INDEX('Kế hoạch'!$C$6:$C$305,$O1973),""))</f>
      </c>
      <c r="K1973" s="221">
        <f>IF($I1973="Phản ánh",INDEX('Phản ánh'!$K$6:$K$505,MATCH($C1973,'Phản ánh'!$A$6:$A$505,0))&amp;"",IF($I1973="Công việc",INDEX('Kế hoạch'!$N$6:$N$305,$O1973)&amp;"",""))</f>
      </c>
      <c r="L1973" s="220">
        <f>IF(OR($C1973="",N($B1973)=0),"",IF(AND($I1973="Phản ánh",$E1973="Đã xử lý"),INDEX('Phản ánh'!$U$6:$U$505,MATCH($C1973,'Phản ánh'!$A$6:$A$505,0)),IF(AND($I1973="Công việc",OR($E1973="Hoàn thành",$E1973="Hoàn thành kỳ")),IF(INDEX('Kế hoạch'!$B$6:$B$305,$O1973)="Đột xuất",INDEX('Kế hoạch'!$AY$6:$AY$305,$O1973),IF(N($P1973)=0,"",IF(INT($B1973)&lt;$P1973,$P1973,IF($Q1973&gt;0,$P1973+ROUND((INT($B1973)-$P1973)/$Q1973,0)*$Q1973,IF($R1973&gt;0,EDATE($P1973,ROUND((DATEDIF($P1973,INT($B1973),"m")+(INT($B1973)-EDATE($P1973,DATEDIF($P1973,INT($B1973),"m")))/(EDATE($P1973,DATEDIF($P1973,INT($B1973),"m")+1)-EDATE($P1973,DATEDIF($P1973,INT($B1973),"m"))))/$R1973,0)*$R1973),$P1973))))),"")))</f>
      </c>
      <c r="M1973" s="223">
        <f>IF(OR($C1973="",N($L1973)=0,N($B1973)=0),"",IF(IF(MOD($L1973,1)=0,INT($B1973),$B1973)&lt;=$L1973,"Đúng hạn","Trễ hạn"))</f>
      </c>
      <c r="N1973" s="225">
        <f>IF($C1973="","",ROW())</f>
      </c>
      <c r="O1973" s="225">
        <f>IF($I1973="Công việc",MATCH($C1973,'Kế hoạch'!$A$6:$A$305,0),"")</f>
      </c>
      <c r="P1973" s="234">
        <f>IF($O1973="","",INDEX('Kế hoạch'!$I$6:$I$305,$O1973))</f>
      </c>
      <c r="Q1973" s="225">
        <f>IF($O1973="","",INDEX('Kế hoạch'!$AJ$6:$AJ$305,$O1973))</f>
      </c>
      <c r="R1973" s="225">
        <f>IF($O1973="","",INDEX('Kế hoạch'!$AK$6:$AK$305,$O1973))</f>
      </c>
    </row>
    <row r="1974">
      <c r="A1974" s="223">
        <f>IF($C1974="","",COUNTIF($C$6:$C1974,"?*"))</f>
      </c>
      <c r="B1974" s="217"/>
      <c r="C1974" s="216"/>
      <c r="D1974" s="240"/>
      <c r="E1974" s="218"/>
      <c r="F1974" s="218"/>
      <c r="G1974" s="218"/>
      <c r="H1974" s="219"/>
      <c r="I1974" s="223">
        <f>IF($C1974="","",IF(ISNUMBER(MATCH($C1974,'Phản ánh'!$A$6:$A$505,0)),"Phản ánh",IF(ISNUMBER(MATCH($C1974,'Kế hoạch'!$A$6:$A$305,0)),"Công việc","Mã chưa có")))</f>
      </c>
      <c r="J1974" s="221">
        <f>IF($I1974="Phản ánh",INDEX('Phản ánh'!$C$6:$C$505,MATCH($C1974,'Phản ánh'!$A$6:$A$505,0)),IF($I1974="Công việc",INDEX('Kế hoạch'!$C$6:$C$305,$O1974),""))</f>
      </c>
      <c r="K1974" s="221">
        <f>IF($I1974="Phản ánh",INDEX('Phản ánh'!$K$6:$K$505,MATCH($C1974,'Phản ánh'!$A$6:$A$505,0))&amp;"",IF($I1974="Công việc",INDEX('Kế hoạch'!$N$6:$N$305,$O1974)&amp;"",""))</f>
      </c>
      <c r="L1974" s="220">
        <f>IF(OR($C1974="",N($B1974)=0),"",IF(AND($I1974="Phản ánh",$E1974="Đã xử lý"),INDEX('Phản ánh'!$U$6:$U$505,MATCH($C1974,'Phản ánh'!$A$6:$A$505,0)),IF(AND($I1974="Công việc",OR($E1974="Hoàn thành",$E1974="Hoàn thành kỳ")),IF(INDEX('Kế hoạch'!$B$6:$B$305,$O1974)="Đột xuất",INDEX('Kế hoạch'!$AY$6:$AY$305,$O1974),IF(N($P1974)=0,"",IF(INT($B1974)&lt;$P1974,$P1974,IF($Q1974&gt;0,$P1974+ROUND((INT($B1974)-$P1974)/$Q1974,0)*$Q1974,IF($R1974&gt;0,EDATE($P1974,ROUND((DATEDIF($P1974,INT($B1974),"m")+(INT($B1974)-EDATE($P1974,DATEDIF($P1974,INT($B1974),"m")))/(EDATE($P1974,DATEDIF($P1974,INT($B1974),"m")+1)-EDATE($P1974,DATEDIF($P1974,INT($B1974),"m"))))/$R1974,0)*$R1974),$P1974))))),"")))</f>
      </c>
      <c r="M1974" s="223">
        <f>IF(OR($C1974="",N($L1974)=0,N($B1974)=0),"",IF(IF(MOD($L1974,1)=0,INT($B1974),$B1974)&lt;=$L1974,"Đúng hạn","Trễ hạn"))</f>
      </c>
      <c r="N1974" s="225">
        <f>IF($C1974="","",ROW())</f>
      </c>
      <c r="O1974" s="225">
        <f>IF($I1974="Công việc",MATCH($C1974,'Kế hoạch'!$A$6:$A$305,0),"")</f>
      </c>
      <c r="P1974" s="234">
        <f>IF($O1974="","",INDEX('Kế hoạch'!$I$6:$I$305,$O1974))</f>
      </c>
      <c r="Q1974" s="225">
        <f>IF($O1974="","",INDEX('Kế hoạch'!$AJ$6:$AJ$305,$O1974))</f>
      </c>
      <c r="R1974" s="225">
        <f>IF($O1974="","",INDEX('Kế hoạch'!$AK$6:$AK$305,$O1974))</f>
      </c>
    </row>
    <row r="1975">
      <c r="A1975" s="223">
        <f>IF($C1975="","",COUNTIF($C$6:$C1975,"?*"))</f>
      </c>
      <c r="B1975" s="217"/>
      <c r="C1975" s="216"/>
      <c r="D1975" s="240"/>
      <c r="E1975" s="218"/>
      <c r="F1975" s="218"/>
      <c r="G1975" s="218"/>
      <c r="H1975" s="219"/>
      <c r="I1975" s="223">
        <f>IF($C1975="","",IF(ISNUMBER(MATCH($C1975,'Phản ánh'!$A$6:$A$505,0)),"Phản ánh",IF(ISNUMBER(MATCH($C1975,'Kế hoạch'!$A$6:$A$305,0)),"Công việc","Mã chưa có")))</f>
      </c>
      <c r="J1975" s="221">
        <f>IF($I1975="Phản ánh",INDEX('Phản ánh'!$C$6:$C$505,MATCH($C1975,'Phản ánh'!$A$6:$A$505,0)),IF($I1975="Công việc",INDEX('Kế hoạch'!$C$6:$C$305,$O1975),""))</f>
      </c>
      <c r="K1975" s="221">
        <f>IF($I1975="Phản ánh",INDEX('Phản ánh'!$K$6:$K$505,MATCH($C1975,'Phản ánh'!$A$6:$A$505,0))&amp;"",IF($I1975="Công việc",INDEX('Kế hoạch'!$N$6:$N$305,$O1975)&amp;"",""))</f>
      </c>
      <c r="L1975" s="220">
        <f>IF(OR($C1975="",N($B1975)=0),"",IF(AND($I1975="Phản ánh",$E1975="Đã xử lý"),INDEX('Phản ánh'!$U$6:$U$505,MATCH($C1975,'Phản ánh'!$A$6:$A$505,0)),IF(AND($I1975="Công việc",OR($E1975="Hoàn thành",$E1975="Hoàn thành kỳ")),IF(INDEX('Kế hoạch'!$B$6:$B$305,$O1975)="Đột xuất",INDEX('Kế hoạch'!$AY$6:$AY$305,$O1975),IF(N($P1975)=0,"",IF(INT($B1975)&lt;$P1975,$P1975,IF($Q1975&gt;0,$P1975+ROUND((INT($B1975)-$P1975)/$Q1975,0)*$Q1975,IF($R1975&gt;0,EDATE($P1975,ROUND((DATEDIF($P1975,INT($B1975),"m")+(INT($B1975)-EDATE($P1975,DATEDIF($P1975,INT($B1975),"m")))/(EDATE($P1975,DATEDIF($P1975,INT($B1975),"m")+1)-EDATE($P1975,DATEDIF($P1975,INT($B1975),"m"))))/$R1975,0)*$R1975),$P1975))))),"")))</f>
      </c>
      <c r="M1975" s="223">
        <f>IF(OR($C1975="",N($L1975)=0,N($B1975)=0),"",IF(IF(MOD($L1975,1)=0,INT($B1975),$B1975)&lt;=$L1975,"Đúng hạn","Trễ hạn"))</f>
      </c>
      <c r="N1975" s="225">
        <f>IF($C1975="","",ROW())</f>
      </c>
      <c r="O1975" s="225">
        <f>IF($I1975="Công việc",MATCH($C1975,'Kế hoạch'!$A$6:$A$305,0),"")</f>
      </c>
      <c r="P1975" s="234">
        <f>IF($O1975="","",INDEX('Kế hoạch'!$I$6:$I$305,$O1975))</f>
      </c>
      <c r="Q1975" s="225">
        <f>IF($O1975="","",INDEX('Kế hoạch'!$AJ$6:$AJ$305,$O1975))</f>
      </c>
      <c r="R1975" s="225">
        <f>IF($O1975="","",INDEX('Kế hoạch'!$AK$6:$AK$305,$O1975))</f>
      </c>
    </row>
    <row r="1976">
      <c r="A1976" s="223">
        <f>IF($C1976="","",COUNTIF($C$6:$C1976,"?*"))</f>
      </c>
      <c r="B1976" s="217"/>
      <c r="C1976" s="216"/>
      <c r="D1976" s="240"/>
      <c r="E1976" s="218"/>
      <c r="F1976" s="218"/>
      <c r="G1976" s="218"/>
      <c r="H1976" s="219"/>
      <c r="I1976" s="223">
        <f>IF($C1976="","",IF(ISNUMBER(MATCH($C1976,'Phản ánh'!$A$6:$A$505,0)),"Phản ánh",IF(ISNUMBER(MATCH($C1976,'Kế hoạch'!$A$6:$A$305,0)),"Công việc","Mã chưa có")))</f>
      </c>
      <c r="J1976" s="221">
        <f>IF($I1976="Phản ánh",INDEX('Phản ánh'!$C$6:$C$505,MATCH($C1976,'Phản ánh'!$A$6:$A$505,0)),IF($I1976="Công việc",INDEX('Kế hoạch'!$C$6:$C$305,$O1976),""))</f>
      </c>
      <c r="K1976" s="221">
        <f>IF($I1976="Phản ánh",INDEX('Phản ánh'!$K$6:$K$505,MATCH($C1976,'Phản ánh'!$A$6:$A$505,0))&amp;"",IF($I1976="Công việc",INDEX('Kế hoạch'!$N$6:$N$305,$O1976)&amp;"",""))</f>
      </c>
      <c r="L1976" s="220">
        <f>IF(OR($C1976="",N($B1976)=0),"",IF(AND($I1976="Phản ánh",$E1976="Đã xử lý"),INDEX('Phản ánh'!$U$6:$U$505,MATCH($C1976,'Phản ánh'!$A$6:$A$505,0)),IF(AND($I1976="Công việc",OR($E1976="Hoàn thành",$E1976="Hoàn thành kỳ")),IF(INDEX('Kế hoạch'!$B$6:$B$305,$O1976)="Đột xuất",INDEX('Kế hoạch'!$AY$6:$AY$305,$O1976),IF(N($P1976)=0,"",IF(INT($B1976)&lt;$P1976,$P1976,IF($Q1976&gt;0,$P1976+ROUND((INT($B1976)-$P1976)/$Q1976,0)*$Q1976,IF($R1976&gt;0,EDATE($P1976,ROUND((DATEDIF($P1976,INT($B1976),"m")+(INT($B1976)-EDATE($P1976,DATEDIF($P1976,INT($B1976),"m")))/(EDATE($P1976,DATEDIF($P1976,INT($B1976),"m")+1)-EDATE($P1976,DATEDIF($P1976,INT($B1976),"m"))))/$R1976,0)*$R1976),$P1976))))),"")))</f>
      </c>
      <c r="M1976" s="223">
        <f>IF(OR($C1976="",N($L1976)=0,N($B1976)=0),"",IF(IF(MOD($L1976,1)=0,INT($B1976),$B1976)&lt;=$L1976,"Đúng hạn","Trễ hạn"))</f>
      </c>
      <c r="N1976" s="225">
        <f>IF($C1976="","",ROW())</f>
      </c>
      <c r="O1976" s="225">
        <f>IF($I1976="Công việc",MATCH($C1976,'Kế hoạch'!$A$6:$A$305,0),"")</f>
      </c>
      <c r="P1976" s="234">
        <f>IF($O1976="","",INDEX('Kế hoạch'!$I$6:$I$305,$O1976))</f>
      </c>
      <c r="Q1976" s="225">
        <f>IF($O1976="","",INDEX('Kế hoạch'!$AJ$6:$AJ$305,$O1976))</f>
      </c>
      <c r="R1976" s="225">
        <f>IF($O1976="","",INDEX('Kế hoạch'!$AK$6:$AK$305,$O1976))</f>
      </c>
    </row>
    <row r="1977">
      <c r="A1977" s="223">
        <f>IF($C1977="","",COUNTIF($C$6:$C1977,"?*"))</f>
      </c>
      <c r="B1977" s="217"/>
      <c r="C1977" s="216"/>
      <c r="D1977" s="240"/>
      <c r="E1977" s="218"/>
      <c r="F1977" s="218"/>
      <c r="G1977" s="218"/>
      <c r="H1977" s="219"/>
      <c r="I1977" s="223">
        <f>IF($C1977="","",IF(ISNUMBER(MATCH($C1977,'Phản ánh'!$A$6:$A$505,0)),"Phản ánh",IF(ISNUMBER(MATCH($C1977,'Kế hoạch'!$A$6:$A$305,0)),"Công việc","Mã chưa có")))</f>
      </c>
      <c r="J1977" s="221">
        <f>IF($I1977="Phản ánh",INDEX('Phản ánh'!$C$6:$C$505,MATCH($C1977,'Phản ánh'!$A$6:$A$505,0)),IF($I1977="Công việc",INDEX('Kế hoạch'!$C$6:$C$305,$O1977),""))</f>
      </c>
      <c r="K1977" s="221">
        <f>IF($I1977="Phản ánh",INDEX('Phản ánh'!$K$6:$K$505,MATCH($C1977,'Phản ánh'!$A$6:$A$505,0))&amp;"",IF($I1977="Công việc",INDEX('Kế hoạch'!$N$6:$N$305,$O1977)&amp;"",""))</f>
      </c>
      <c r="L1977" s="220">
        <f>IF(OR($C1977="",N($B1977)=0),"",IF(AND($I1977="Phản ánh",$E1977="Đã xử lý"),INDEX('Phản ánh'!$U$6:$U$505,MATCH($C1977,'Phản ánh'!$A$6:$A$505,0)),IF(AND($I1977="Công việc",OR($E1977="Hoàn thành",$E1977="Hoàn thành kỳ")),IF(INDEX('Kế hoạch'!$B$6:$B$305,$O1977)="Đột xuất",INDEX('Kế hoạch'!$AY$6:$AY$305,$O1977),IF(N($P1977)=0,"",IF(INT($B1977)&lt;$P1977,$P1977,IF($Q1977&gt;0,$P1977+ROUND((INT($B1977)-$P1977)/$Q1977,0)*$Q1977,IF($R1977&gt;0,EDATE($P1977,ROUND((DATEDIF($P1977,INT($B1977),"m")+(INT($B1977)-EDATE($P1977,DATEDIF($P1977,INT($B1977),"m")))/(EDATE($P1977,DATEDIF($P1977,INT($B1977),"m")+1)-EDATE($P1977,DATEDIF($P1977,INT($B1977),"m"))))/$R1977,0)*$R1977),$P1977))))),"")))</f>
      </c>
      <c r="M1977" s="223">
        <f>IF(OR($C1977="",N($L1977)=0,N($B1977)=0),"",IF(IF(MOD($L1977,1)=0,INT($B1977),$B1977)&lt;=$L1977,"Đúng hạn","Trễ hạn"))</f>
      </c>
      <c r="N1977" s="225">
        <f>IF($C1977="","",ROW())</f>
      </c>
      <c r="O1977" s="225">
        <f>IF($I1977="Công việc",MATCH($C1977,'Kế hoạch'!$A$6:$A$305,0),"")</f>
      </c>
      <c r="P1977" s="234">
        <f>IF($O1977="","",INDEX('Kế hoạch'!$I$6:$I$305,$O1977))</f>
      </c>
      <c r="Q1977" s="225">
        <f>IF($O1977="","",INDEX('Kế hoạch'!$AJ$6:$AJ$305,$O1977))</f>
      </c>
      <c r="R1977" s="225">
        <f>IF($O1977="","",INDEX('Kế hoạch'!$AK$6:$AK$305,$O1977))</f>
      </c>
    </row>
    <row r="1978">
      <c r="A1978" s="223">
        <f>IF($C1978="","",COUNTIF($C$6:$C1978,"?*"))</f>
      </c>
      <c r="B1978" s="217"/>
      <c r="C1978" s="216"/>
      <c r="D1978" s="240"/>
      <c r="E1978" s="218"/>
      <c r="F1978" s="218"/>
      <c r="G1978" s="218"/>
      <c r="H1978" s="219"/>
      <c r="I1978" s="223">
        <f>IF($C1978="","",IF(ISNUMBER(MATCH($C1978,'Phản ánh'!$A$6:$A$505,0)),"Phản ánh",IF(ISNUMBER(MATCH($C1978,'Kế hoạch'!$A$6:$A$305,0)),"Công việc","Mã chưa có")))</f>
      </c>
      <c r="J1978" s="221">
        <f>IF($I1978="Phản ánh",INDEX('Phản ánh'!$C$6:$C$505,MATCH($C1978,'Phản ánh'!$A$6:$A$505,0)),IF($I1978="Công việc",INDEX('Kế hoạch'!$C$6:$C$305,$O1978),""))</f>
      </c>
      <c r="K1978" s="221">
        <f>IF($I1978="Phản ánh",INDEX('Phản ánh'!$K$6:$K$505,MATCH($C1978,'Phản ánh'!$A$6:$A$505,0))&amp;"",IF($I1978="Công việc",INDEX('Kế hoạch'!$N$6:$N$305,$O1978)&amp;"",""))</f>
      </c>
      <c r="L1978" s="220">
        <f>IF(OR($C1978="",N($B1978)=0),"",IF(AND($I1978="Phản ánh",$E1978="Đã xử lý"),INDEX('Phản ánh'!$U$6:$U$505,MATCH($C1978,'Phản ánh'!$A$6:$A$505,0)),IF(AND($I1978="Công việc",OR($E1978="Hoàn thành",$E1978="Hoàn thành kỳ")),IF(INDEX('Kế hoạch'!$B$6:$B$305,$O1978)="Đột xuất",INDEX('Kế hoạch'!$AY$6:$AY$305,$O1978),IF(N($P1978)=0,"",IF(INT($B1978)&lt;$P1978,$P1978,IF($Q1978&gt;0,$P1978+ROUND((INT($B1978)-$P1978)/$Q1978,0)*$Q1978,IF($R1978&gt;0,EDATE($P1978,ROUND((DATEDIF($P1978,INT($B1978),"m")+(INT($B1978)-EDATE($P1978,DATEDIF($P1978,INT($B1978),"m")))/(EDATE($P1978,DATEDIF($P1978,INT($B1978),"m")+1)-EDATE($P1978,DATEDIF($P1978,INT($B1978),"m"))))/$R1978,0)*$R1978),$P1978))))),"")))</f>
      </c>
      <c r="M1978" s="223">
        <f>IF(OR($C1978="",N($L1978)=0,N($B1978)=0),"",IF(IF(MOD($L1978,1)=0,INT($B1978),$B1978)&lt;=$L1978,"Đúng hạn","Trễ hạn"))</f>
      </c>
      <c r="N1978" s="225">
        <f>IF($C1978="","",ROW())</f>
      </c>
      <c r="O1978" s="225">
        <f>IF($I1978="Công việc",MATCH($C1978,'Kế hoạch'!$A$6:$A$305,0),"")</f>
      </c>
      <c r="P1978" s="234">
        <f>IF($O1978="","",INDEX('Kế hoạch'!$I$6:$I$305,$O1978))</f>
      </c>
      <c r="Q1978" s="225">
        <f>IF($O1978="","",INDEX('Kế hoạch'!$AJ$6:$AJ$305,$O1978))</f>
      </c>
      <c r="R1978" s="225">
        <f>IF($O1978="","",INDEX('Kế hoạch'!$AK$6:$AK$305,$O1978))</f>
      </c>
    </row>
    <row r="1979">
      <c r="A1979" s="223">
        <f>IF($C1979="","",COUNTIF($C$6:$C1979,"?*"))</f>
      </c>
      <c r="B1979" s="217"/>
      <c r="C1979" s="216"/>
      <c r="D1979" s="240"/>
      <c r="E1979" s="218"/>
      <c r="F1979" s="218"/>
      <c r="G1979" s="218"/>
      <c r="H1979" s="219"/>
      <c r="I1979" s="223">
        <f>IF($C1979="","",IF(ISNUMBER(MATCH($C1979,'Phản ánh'!$A$6:$A$505,0)),"Phản ánh",IF(ISNUMBER(MATCH($C1979,'Kế hoạch'!$A$6:$A$305,0)),"Công việc","Mã chưa có")))</f>
      </c>
      <c r="J1979" s="221">
        <f>IF($I1979="Phản ánh",INDEX('Phản ánh'!$C$6:$C$505,MATCH($C1979,'Phản ánh'!$A$6:$A$505,0)),IF($I1979="Công việc",INDEX('Kế hoạch'!$C$6:$C$305,$O1979),""))</f>
      </c>
      <c r="K1979" s="221">
        <f>IF($I1979="Phản ánh",INDEX('Phản ánh'!$K$6:$K$505,MATCH($C1979,'Phản ánh'!$A$6:$A$505,0))&amp;"",IF($I1979="Công việc",INDEX('Kế hoạch'!$N$6:$N$305,$O1979)&amp;"",""))</f>
      </c>
      <c r="L1979" s="220">
        <f>IF(OR($C1979="",N($B1979)=0),"",IF(AND($I1979="Phản ánh",$E1979="Đã xử lý"),INDEX('Phản ánh'!$U$6:$U$505,MATCH($C1979,'Phản ánh'!$A$6:$A$505,0)),IF(AND($I1979="Công việc",OR($E1979="Hoàn thành",$E1979="Hoàn thành kỳ")),IF(INDEX('Kế hoạch'!$B$6:$B$305,$O1979)="Đột xuất",INDEX('Kế hoạch'!$AY$6:$AY$305,$O1979),IF(N($P1979)=0,"",IF(INT($B1979)&lt;$P1979,$P1979,IF($Q1979&gt;0,$P1979+ROUND((INT($B1979)-$P1979)/$Q1979,0)*$Q1979,IF($R1979&gt;0,EDATE($P1979,ROUND((DATEDIF($P1979,INT($B1979),"m")+(INT($B1979)-EDATE($P1979,DATEDIF($P1979,INT($B1979),"m")))/(EDATE($P1979,DATEDIF($P1979,INT($B1979),"m")+1)-EDATE($P1979,DATEDIF($P1979,INT($B1979),"m"))))/$R1979,0)*$R1979),$P1979))))),"")))</f>
      </c>
      <c r="M1979" s="223">
        <f>IF(OR($C1979="",N($L1979)=0,N($B1979)=0),"",IF(IF(MOD($L1979,1)=0,INT($B1979),$B1979)&lt;=$L1979,"Đúng hạn","Trễ hạn"))</f>
      </c>
      <c r="N1979" s="225">
        <f>IF($C1979="","",ROW())</f>
      </c>
      <c r="O1979" s="225">
        <f>IF($I1979="Công việc",MATCH($C1979,'Kế hoạch'!$A$6:$A$305,0),"")</f>
      </c>
      <c r="P1979" s="234">
        <f>IF($O1979="","",INDEX('Kế hoạch'!$I$6:$I$305,$O1979))</f>
      </c>
      <c r="Q1979" s="225">
        <f>IF($O1979="","",INDEX('Kế hoạch'!$AJ$6:$AJ$305,$O1979))</f>
      </c>
      <c r="R1979" s="225">
        <f>IF($O1979="","",INDEX('Kế hoạch'!$AK$6:$AK$305,$O1979))</f>
      </c>
    </row>
    <row r="1980">
      <c r="A1980" s="223">
        <f>IF($C1980="","",COUNTIF($C$6:$C1980,"?*"))</f>
      </c>
      <c r="B1980" s="217"/>
      <c r="C1980" s="216"/>
      <c r="D1980" s="240"/>
      <c r="E1980" s="218"/>
      <c r="F1980" s="218"/>
      <c r="G1980" s="218"/>
      <c r="H1980" s="219"/>
      <c r="I1980" s="223">
        <f>IF($C1980="","",IF(ISNUMBER(MATCH($C1980,'Phản ánh'!$A$6:$A$505,0)),"Phản ánh",IF(ISNUMBER(MATCH($C1980,'Kế hoạch'!$A$6:$A$305,0)),"Công việc","Mã chưa có")))</f>
      </c>
      <c r="J1980" s="221">
        <f>IF($I1980="Phản ánh",INDEX('Phản ánh'!$C$6:$C$505,MATCH($C1980,'Phản ánh'!$A$6:$A$505,0)),IF($I1980="Công việc",INDEX('Kế hoạch'!$C$6:$C$305,$O1980),""))</f>
      </c>
      <c r="K1980" s="221">
        <f>IF($I1980="Phản ánh",INDEX('Phản ánh'!$K$6:$K$505,MATCH($C1980,'Phản ánh'!$A$6:$A$505,0))&amp;"",IF($I1980="Công việc",INDEX('Kế hoạch'!$N$6:$N$305,$O1980)&amp;"",""))</f>
      </c>
      <c r="L1980" s="220">
        <f>IF(OR($C1980="",N($B1980)=0),"",IF(AND($I1980="Phản ánh",$E1980="Đã xử lý"),INDEX('Phản ánh'!$U$6:$U$505,MATCH($C1980,'Phản ánh'!$A$6:$A$505,0)),IF(AND($I1980="Công việc",OR($E1980="Hoàn thành",$E1980="Hoàn thành kỳ")),IF(INDEX('Kế hoạch'!$B$6:$B$305,$O1980)="Đột xuất",INDEX('Kế hoạch'!$AY$6:$AY$305,$O1980),IF(N($P1980)=0,"",IF(INT($B1980)&lt;$P1980,$P1980,IF($Q1980&gt;0,$P1980+ROUND((INT($B1980)-$P1980)/$Q1980,0)*$Q1980,IF($R1980&gt;0,EDATE($P1980,ROUND((DATEDIF($P1980,INT($B1980),"m")+(INT($B1980)-EDATE($P1980,DATEDIF($P1980,INT($B1980),"m")))/(EDATE($P1980,DATEDIF($P1980,INT($B1980),"m")+1)-EDATE($P1980,DATEDIF($P1980,INT($B1980),"m"))))/$R1980,0)*$R1980),$P1980))))),"")))</f>
      </c>
      <c r="M1980" s="223">
        <f>IF(OR($C1980="",N($L1980)=0,N($B1980)=0),"",IF(IF(MOD($L1980,1)=0,INT($B1980),$B1980)&lt;=$L1980,"Đúng hạn","Trễ hạn"))</f>
      </c>
      <c r="N1980" s="225">
        <f>IF($C1980="","",ROW())</f>
      </c>
      <c r="O1980" s="225">
        <f>IF($I1980="Công việc",MATCH($C1980,'Kế hoạch'!$A$6:$A$305,0),"")</f>
      </c>
      <c r="P1980" s="234">
        <f>IF($O1980="","",INDEX('Kế hoạch'!$I$6:$I$305,$O1980))</f>
      </c>
      <c r="Q1980" s="225">
        <f>IF($O1980="","",INDEX('Kế hoạch'!$AJ$6:$AJ$305,$O1980))</f>
      </c>
      <c r="R1980" s="225">
        <f>IF($O1980="","",INDEX('Kế hoạch'!$AK$6:$AK$305,$O1980))</f>
      </c>
    </row>
    <row r="1981">
      <c r="A1981" s="223">
        <f>IF($C1981="","",COUNTIF($C$6:$C1981,"?*"))</f>
      </c>
      <c r="B1981" s="217"/>
      <c r="C1981" s="216"/>
      <c r="D1981" s="240"/>
      <c r="E1981" s="218"/>
      <c r="F1981" s="218"/>
      <c r="G1981" s="218"/>
      <c r="H1981" s="219"/>
      <c r="I1981" s="223">
        <f>IF($C1981="","",IF(ISNUMBER(MATCH($C1981,'Phản ánh'!$A$6:$A$505,0)),"Phản ánh",IF(ISNUMBER(MATCH($C1981,'Kế hoạch'!$A$6:$A$305,0)),"Công việc","Mã chưa có")))</f>
      </c>
      <c r="J1981" s="221">
        <f>IF($I1981="Phản ánh",INDEX('Phản ánh'!$C$6:$C$505,MATCH($C1981,'Phản ánh'!$A$6:$A$505,0)),IF($I1981="Công việc",INDEX('Kế hoạch'!$C$6:$C$305,$O1981),""))</f>
      </c>
      <c r="K1981" s="221">
        <f>IF($I1981="Phản ánh",INDEX('Phản ánh'!$K$6:$K$505,MATCH($C1981,'Phản ánh'!$A$6:$A$505,0))&amp;"",IF($I1981="Công việc",INDEX('Kế hoạch'!$N$6:$N$305,$O1981)&amp;"",""))</f>
      </c>
      <c r="L1981" s="220">
        <f>IF(OR($C1981="",N($B1981)=0),"",IF(AND($I1981="Phản ánh",$E1981="Đã xử lý"),INDEX('Phản ánh'!$U$6:$U$505,MATCH($C1981,'Phản ánh'!$A$6:$A$505,0)),IF(AND($I1981="Công việc",OR($E1981="Hoàn thành",$E1981="Hoàn thành kỳ")),IF(INDEX('Kế hoạch'!$B$6:$B$305,$O1981)="Đột xuất",INDEX('Kế hoạch'!$AY$6:$AY$305,$O1981),IF(N($P1981)=0,"",IF(INT($B1981)&lt;$P1981,$P1981,IF($Q1981&gt;0,$P1981+ROUND((INT($B1981)-$P1981)/$Q1981,0)*$Q1981,IF($R1981&gt;0,EDATE($P1981,ROUND((DATEDIF($P1981,INT($B1981),"m")+(INT($B1981)-EDATE($P1981,DATEDIF($P1981,INT($B1981),"m")))/(EDATE($P1981,DATEDIF($P1981,INT($B1981),"m")+1)-EDATE($P1981,DATEDIF($P1981,INT($B1981),"m"))))/$R1981,0)*$R1981),$P1981))))),"")))</f>
      </c>
      <c r="M1981" s="223">
        <f>IF(OR($C1981="",N($L1981)=0,N($B1981)=0),"",IF(IF(MOD($L1981,1)=0,INT($B1981),$B1981)&lt;=$L1981,"Đúng hạn","Trễ hạn"))</f>
      </c>
      <c r="N1981" s="225">
        <f>IF($C1981="","",ROW())</f>
      </c>
      <c r="O1981" s="225">
        <f>IF($I1981="Công việc",MATCH($C1981,'Kế hoạch'!$A$6:$A$305,0),"")</f>
      </c>
      <c r="P1981" s="234">
        <f>IF($O1981="","",INDEX('Kế hoạch'!$I$6:$I$305,$O1981))</f>
      </c>
      <c r="Q1981" s="225">
        <f>IF($O1981="","",INDEX('Kế hoạch'!$AJ$6:$AJ$305,$O1981))</f>
      </c>
      <c r="R1981" s="225">
        <f>IF($O1981="","",INDEX('Kế hoạch'!$AK$6:$AK$305,$O1981))</f>
      </c>
    </row>
    <row r="1982">
      <c r="A1982" s="223">
        <f>IF($C1982="","",COUNTIF($C$6:$C1982,"?*"))</f>
      </c>
      <c r="B1982" s="217"/>
      <c r="C1982" s="216"/>
      <c r="D1982" s="240"/>
      <c r="E1982" s="218"/>
      <c r="F1982" s="218"/>
      <c r="G1982" s="218"/>
      <c r="H1982" s="219"/>
      <c r="I1982" s="223">
        <f>IF($C1982="","",IF(ISNUMBER(MATCH($C1982,'Phản ánh'!$A$6:$A$505,0)),"Phản ánh",IF(ISNUMBER(MATCH($C1982,'Kế hoạch'!$A$6:$A$305,0)),"Công việc","Mã chưa có")))</f>
      </c>
      <c r="J1982" s="221">
        <f>IF($I1982="Phản ánh",INDEX('Phản ánh'!$C$6:$C$505,MATCH($C1982,'Phản ánh'!$A$6:$A$505,0)),IF($I1982="Công việc",INDEX('Kế hoạch'!$C$6:$C$305,$O1982),""))</f>
      </c>
      <c r="K1982" s="221">
        <f>IF($I1982="Phản ánh",INDEX('Phản ánh'!$K$6:$K$505,MATCH($C1982,'Phản ánh'!$A$6:$A$505,0))&amp;"",IF($I1982="Công việc",INDEX('Kế hoạch'!$N$6:$N$305,$O1982)&amp;"",""))</f>
      </c>
      <c r="L1982" s="220">
        <f>IF(OR($C1982="",N($B1982)=0),"",IF(AND($I1982="Phản ánh",$E1982="Đã xử lý"),INDEX('Phản ánh'!$U$6:$U$505,MATCH($C1982,'Phản ánh'!$A$6:$A$505,0)),IF(AND($I1982="Công việc",OR($E1982="Hoàn thành",$E1982="Hoàn thành kỳ")),IF(INDEX('Kế hoạch'!$B$6:$B$305,$O1982)="Đột xuất",INDEX('Kế hoạch'!$AY$6:$AY$305,$O1982),IF(N($P1982)=0,"",IF(INT($B1982)&lt;$P1982,$P1982,IF($Q1982&gt;0,$P1982+ROUND((INT($B1982)-$P1982)/$Q1982,0)*$Q1982,IF($R1982&gt;0,EDATE($P1982,ROUND((DATEDIF($P1982,INT($B1982),"m")+(INT($B1982)-EDATE($P1982,DATEDIF($P1982,INT($B1982),"m")))/(EDATE($P1982,DATEDIF($P1982,INT($B1982),"m")+1)-EDATE($P1982,DATEDIF($P1982,INT($B1982),"m"))))/$R1982,0)*$R1982),$P1982))))),"")))</f>
      </c>
      <c r="M1982" s="223">
        <f>IF(OR($C1982="",N($L1982)=0,N($B1982)=0),"",IF(IF(MOD($L1982,1)=0,INT($B1982),$B1982)&lt;=$L1982,"Đúng hạn","Trễ hạn"))</f>
      </c>
      <c r="N1982" s="225">
        <f>IF($C1982="","",ROW())</f>
      </c>
      <c r="O1982" s="225">
        <f>IF($I1982="Công việc",MATCH($C1982,'Kế hoạch'!$A$6:$A$305,0),"")</f>
      </c>
      <c r="P1982" s="234">
        <f>IF($O1982="","",INDEX('Kế hoạch'!$I$6:$I$305,$O1982))</f>
      </c>
      <c r="Q1982" s="225">
        <f>IF($O1982="","",INDEX('Kế hoạch'!$AJ$6:$AJ$305,$O1982))</f>
      </c>
      <c r="R1982" s="225">
        <f>IF($O1982="","",INDEX('Kế hoạch'!$AK$6:$AK$305,$O1982))</f>
      </c>
    </row>
    <row r="1983">
      <c r="A1983" s="223">
        <f>IF($C1983="","",COUNTIF($C$6:$C1983,"?*"))</f>
      </c>
      <c r="B1983" s="217"/>
      <c r="C1983" s="216"/>
      <c r="D1983" s="240"/>
      <c r="E1983" s="218"/>
      <c r="F1983" s="218"/>
      <c r="G1983" s="218"/>
      <c r="H1983" s="219"/>
      <c r="I1983" s="223">
        <f>IF($C1983="","",IF(ISNUMBER(MATCH($C1983,'Phản ánh'!$A$6:$A$505,0)),"Phản ánh",IF(ISNUMBER(MATCH($C1983,'Kế hoạch'!$A$6:$A$305,0)),"Công việc","Mã chưa có")))</f>
      </c>
      <c r="J1983" s="221">
        <f>IF($I1983="Phản ánh",INDEX('Phản ánh'!$C$6:$C$505,MATCH($C1983,'Phản ánh'!$A$6:$A$505,0)),IF($I1983="Công việc",INDEX('Kế hoạch'!$C$6:$C$305,$O1983),""))</f>
      </c>
      <c r="K1983" s="221">
        <f>IF($I1983="Phản ánh",INDEX('Phản ánh'!$K$6:$K$505,MATCH($C1983,'Phản ánh'!$A$6:$A$505,0))&amp;"",IF($I1983="Công việc",INDEX('Kế hoạch'!$N$6:$N$305,$O1983)&amp;"",""))</f>
      </c>
      <c r="L1983" s="220">
        <f>IF(OR($C1983="",N($B1983)=0),"",IF(AND($I1983="Phản ánh",$E1983="Đã xử lý"),INDEX('Phản ánh'!$U$6:$U$505,MATCH($C1983,'Phản ánh'!$A$6:$A$505,0)),IF(AND($I1983="Công việc",OR($E1983="Hoàn thành",$E1983="Hoàn thành kỳ")),IF(INDEX('Kế hoạch'!$B$6:$B$305,$O1983)="Đột xuất",INDEX('Kế hoạch'!$AY$6:$AY$305,$O1983),IF(N($P1983)=0,"",IF(INT($B1983)&lt;$P1983,$P1983,IF($Q1983&gt;0,$P1983+ROUND((INT($B1983)-$P1983)/$Q1983,0)*$Q1983,IF($R1983&gt;0,EDATE($P1983,ROUND((DATEDIF($P1983,INT($B1983),"m")+(INT($B1983)-EDATE($P1983,DATEDIF($P1983,INT($B1983),"m")))/(EDATE($P1983,DATEDIF($P1983,INT($B1983),"m")+1)-EDATE($P1983,DATEDIF($P1983,INT($B1983),"m"))))/$R1983,0)*$R1983),$P1983))))),"")))</f>
      </c>
      <c r="M1983" s="223">
        <f>IF(OR($C1983="",N($L1983)=0,N($B1983)=0),"",IF(IF(MOD($L1983,1)=0,INT($B1983),$B1983)&lt;=$L1983,"Đúng hạn","Trễ hạn"))</f>
      </c>
      <c r="N1983" s="225">
        <f>IF($C1983="","",ROW())</f>
      </c>
      <c r="O1983" s="225">
        <f>IF($I1983="Công việc",MATCH($C1983,'Kế hoạch'!$A$6:$A$305,0),"")</f>
      </c>
      <c r="P1983" s="234">
        <f>IF($O1983="","",INDEX('Kế hoạch'!$I$6:$I$305,$O1983))</f>
      </c>
      <c r="Q1983" s="225">
        <f>IF($O1983="","",INDEX('Kế hoạch'!$AJ$6:$AJ$305,$O1983))</f>
      </c>
      <c r="R1983" s="225">
        <f>IF($O1983="","",INDEX('Kế hoạch'!$AK$6:$AK$305,$O1983))</f>
      </c>
    </row>
    <row r="1984">
      <c r="A1984" s="223">
        <f>IF($C1984="","",COUNTIF($C$6:$C1984,"?*"))</f>
      </c>
      <c r="B1984" s="217"/>
      <c r="C1984" s="216"/>
      <c r="D1984" s="240"/>
      <c r="E1984" s="218"/>
      <c r="F1984" s="218"/>
      <c r="G1984" s="218"/>
      <c r="H1984" s="219"/>
      <c r="I1984" s="223">
        <f>IF($C1984="","",IF(ISNUMBER(MATCH($C1984,'Phản ánh'!$A$6:$A$505,0)),"Phản ánh",IF(ISNUMBER(MATCH($C1984,'Kế hoạch'!$A$6:$A$305,0)),"Công việc","Mã chưa có")))</f>
      </c>
      <c r="J1984" s="221">
        <f>IF($I1984="Phản ánh",INDEX('Phản ánh'!$C$6:$C$505,MATCH($C1984,'Phản ánh'!$A$6:$A$505,0)),IF($I1984="Công việc",INDEX('Kế hoạch'!$C$6:$C$305,$O1984),""))</f>
      </c>
      <c r="K1984" s="221">
        <f>IF($I1984="Phản ánh",INDEX('Phản ánh'!$K$6:$K$505,MATCH($C1984,'Phản ánh'!$A$6:$A$505,0))&amp;"",IF($I1984="Công việc",INDEX('Kế hoạch'!$N$6:$N$305,$O1984)&amp;"",""))</f>
      </c>
      <c r="L1984" s="220">
        <f>IF(OR($C1984="",N($B1984)=0),"",IF(AND($I1984="Phản ánh",$E1984="Đã xử lý"),INDEX('Phản ánh'!$U$6:$U$505,MATCH($C1984,'Phản ánh'!$A$6:$A$505,0)),IF(AND($I1984="Công việc",OR($E1984="Hoàn thành",$E1984="Hoàn thành kỳ")),IF(INDEX('Kế hoạch'!$B$6:$B$305,$O1984)="Đột xuất",INDEX('Kế hoạch'!$AY$6:$AY$305,$O1984),IF(N($P1984)=0,"",IF(INT($B1984)&lt;$P1984,$P1984,IF($Q1984&gt;0,$P1984+ROUND((INT($B1984)-$P1984)/$Q1984,0)*$Q1984,IF($R1984&gt;0,EDATE($P1984,ROUND((DATEDIF($P1984,INT($B1984),"m")+(INT($B1984)-EDATE($P1984,DATEDIF($P1984,INT($B1984),"m")))/(EDATE($P1984,DATEDIF($P1984,INT($B1984),"m")+1)-EDATE($P1984,DATEDIF($P1984,INT($B1984),"m"))))/$R1984,0)*$R1984),$P1984))))),"")))</f>
      </c>
      <c r="M1984" s="223">
        <f>IF(OR($C1984="",N($L1984)=0,N($B1984)=0),"",IF(IF(MOD($L1984,1)=0,INT($B1984),$B1984)&lt;=$L1984,"Đúng hạn","Trễ hạn"))</f>
      </c>
      <c r="N1984" s="225">
        <f>IF($C1984="","",ROW())</f>
      </c>
      <c r="O1984" s="225">
        <f>IF($I1984="Công việc",MATCH($C1984,'Kế hoạch'!$A$6:$A$305,0),"")</f>
      </c>
      <c r="P1984" s="234">
        <f>IF($O1984="","",INDEX('Kế hoạch'!$I$6:$I$305,$O1984))</f>
      </c>
      <c r="Q1984" s="225">
        <f>IF($O1984="","",INDEX('Kế hoạch'!$AJ$6:$AJ$305,$O1984))</f>
      </c>
      <c r="R1984" s="225">
        <f>IF($O1984="","",INDEX('Kế hoạch'!$AK$6:$AK$305,$O1984))</f>
      </c>
    </row>
    <row r="1985">
      <c r="A1985" s="223">
        <f>IF($C1985="","",COUNTIF($C$6:$C1985,"?*"))</f>
      </c>
      <c r="B1985" s="217"/>
      <c r="C1985" s="216"/>
      <c r="D1985" s="240"/>
      <c r="E1985" s="218"/>
      <c r="F1985" s="218"/>
      <c r="G1985" s="218"/>
      <c r="H1985" s="219"/>
      <c r="I1985" s="223">
        <f>IF($C1985="","",IF(ISNUMBER(MATCH($C1985,'Phản ánh'!$A$6:$A$505,0)),"Phản ánh",IF(ISNUMBER(MATCH($C1985,'Kế hoạch'!$A$6:$A$305,0)),"Công việc","Mã chưa có")))</f>
      </c>
      <c r="J1985" s="221">
        <f>IF($I1985="Phản ánh",INDEX('Phản ánh'!$C$6:$C$505,MATCH($C1985,'Phản ánh'!$A$6:$A$505,0)),IF($I1985="Công việc",INDEX('Kế hoạch'!$C$6:$C$305,$O1985),""))</f>
      </c>
      <c r="K1985" s="221">
        <f>IF($I1985="Phản ánh",INDEX('Phản ánh'!$K$6:$K$505,MATCH($C1985,'Phản ánh'!$A$6:$A$505,0))&amp;"",IF($I1985="Công việc",INDEX('Kế hoạch'!$N$6:$N$305,$O1985)&amp;"",""))</f>
      </c>
      <c r="L1985" s="220">
        <f>IF(OR($C1985="",N($B1985)=0),"",IF(AND($I1985="Phản ánh",$E1985="Đã xử lý"),INDEX('Phản ánh'!$U$6:$U$505,MATCH($C1985,'Phản ánh'!$A$6:$A$505,0)),IF(AND($I1985="Công việc",OR($E1985="Hoàn thành",$E1985="Hoàn thành kỳ")),IF(INDEX('Kế hoạch'!$B$6:$B$305,$O1985)="Đột xuất",INDEX('Kế hoạch'!$AY$6:$AY$305,$O1985),IF(N($P1985)=0,"",IF(INT($B1985)&lt;$P1985,$P1985,IF($Q1985&gt;0,$P1985+ROUND((INT($B1985)-$P1985)/$Q1985,0)*$Q1985,IF($R1985&gt;0,EDATE($P1985,ROUND((DATEDIF($P1985,INT($B1985),"m")+(INT($B1985)-EDATE($P1985,DATEDIF($P1985,INT($B1985),"m")))/(EDATE($P1985,DATEDIF($P1985,INT($B1985),"m")+1)-EDATE($P1985,DATEDIF($P1985,INT($B1985),"m"))))/$R1985,0)*$R1985),$P1985))))),"")))</f>
      </c>
      <c r="M1985" s="223">
        <f>IF(OR($C1985="",N($L1985)=0,N($B1985)=0),"",IF(IF(MOD($L1985,1)=0,INT($B1985),$B1985)&lt;=$L1985,"Đúng hạn","Trễ hạn"))</f>
      </c>
      <c r="N1985" s="225">
        <f>IF($C1985="","",ROW())</f>
      </c>
      <c r="O1985" s="225">
        <f>IF($I1985="Công việc",MATCH($C1985,'Kế hoạch'!$A$6:$A$305,0),"")</f>
      </c>
      <c r="P1985" s="234">
        <f>IF($O1985="","",INDEX('Kế hoạch'!$I$6:$I$305,$O1985))</f>
      </c>
      <c r="Q1985" s="225">
        <f>IF($O1985="","",INDEX('Kế hoạch'!$AJ$6:$AJ$305,$O1985))</f>
      </c>
      <c r="R1985" s="225">
        <f>IF($O1985="","",INDEX('Kế hoạch'!$AK$6:$AK$305,$O1985))</f>
      </c>
    </row>
    <row r="1986">
      <c r="A1986" s="223">
        <f>IF($C1986="","",COUNTIF($C$6:$C1986,"?*"))</f>
      </c>
      <c r="B1986" s="217"/>
      <c r="C1986" s="216"/>
      <c r="D1986" s="240"/>
      <c r="E1986" s="218"/>
      <c r="F1986" s="218"/>
      <c r="G1986" s="218"/>
      <c r="H1986" s="219"/>
      <c r="I1986" s="223">
        <f>IF($C1986="","",IF(ISNUMBER(MATCH($C1986,'Phản ánh'!$A$6:$A$505,0)),"Phản ánh",IF(ISNUMBER(MATCH($C1986,'Kế hoạch'!$A$6:$A$305,0)),"Công việc","Mã chưa có")))</f>
      </c>
      <c r="J1986" s="221">
        <f>IF($I1986="Phản ánh",INDEX('Phản ánh'!$C$6:$C$505,MATCH($C1986,'Phản ánh'!$A$6:$A$505,0)),IF($I1986="Công việc",INDEX('Kế hoạch'!$C$6:$C$305,$O1986),""))</f>
      </c>
      <c r="K1986" s="221">
        <f>IF($I1986="Phản ánh",INDEX('Phản ánh'!$K$6:$K$505,MATCH($C1986,'Phản ánh'!$A$6:$A$505,0))&amp;"",IF($I1986="Công việc",INDEX('Kế hoạch'!$N$6:$N$305,$O1986)&amp;"",""))</f>
      </c>
      <c r="L1986" s="220">
        <f>IF(OR($C1986="",N($B1986)=0),"",IF(AND($I1986="Phản ánh",$E1986="Đã xử lý"),INDEX('Phản ánh'!$U$6:$U$505,MATCH($C1986,'Phản ánh'!$A$6:$A$505,0)),IF(AND($I1986="Công việc",OR($E1986="Hoàn thành",$E1986="Hoàn thành kỳ")),IF(INDEX('Kế hoạch'!$B$6:$B$305,$O1986)="Đột xuất",INDEX('Kế hoạch'!$AY$6:$AY$305,$O1986),IF(N($P1986)=0,"",IF(INT($B1986)&lt;$P1986,$P1986,IF($Q1986&gt;0,$P1986+ROUND((INT($B1986)-$P1986)/$Q1986,0)*$Q1986,IF($R1986&gt;0,EDATE($P1986,ROUND((DATEDIF($P1986,INT($B1986),"m")+(INT($B1986)-EDATE($P1986,DATEDIF($P1986,INT($B1986),"m")))/(EDATE($P1986,DATEDIF($P1986,INT($B1986),"m")+1)-EDATE($P1986,DATEDIF($P1986,INT($B1986),"m"))))/$R1986,0)*$R1986),$P1986))))),"")))</f>
      </c>
      <c r="M1986" s="223">
        <f>IF(OR($C1986="",N($L1986)=0,N($B1986)=0),"",IF(IF(MOD($L1986,1)=0,INT($B1986),$B1986)&lt;=$L1986,"Đúng hạn","Trễ hạn"))</f>
      </c>
      <c r="N1986" s="225">
        <f>IF($C1986="","",ROW())</f>
      </c>
      <c r="O1986" s="225">
        <f>IF($I1986="Công việc",MATCH($C1986,'Kế hoạch'!$A$6:$A$305,0),"")</f>
      </c>
      <c r="P1986" s="234">
        <f>IF($O1986="","",INDEX('Kế hoạch'!$I$6:$I$305,$O1986))</f>
      </c>
      <c r="Q1986" s="225">
        <f>IF($O1986="","",INDEX('Kế hoạch'!$AJ$6:$AJ$305,$O1986))</f>
      </c>
      <c r="R1986" s="225">
        <f>IF($O1986="","",INDEX('Kế hoạch'!$AK$6:$AK$305,$O1986))</f>
      </c>
    </row>
    <row r="1987">
      <c r="A1987" s="223">
        <f>IF($C1987="","",COUNTIF($C$6:$C1987,"?*"))</f>
      </c>
      <c r="B1987" s="217"/>
      <c r="C1987" s="216"/>
      <c r="D1987" s="240"/>
      <c r="E1987" s="218"/>
      <c r="F1987" s="218"/>
      <c r="G1987" s="218"/>
      <c r="H1987" s="219"/>
      <c r="I1987" s="223">
        <f>IF($C1987="","",IF(ISNUMBER(MATCH($C1987,'Phản ánh'!$A$6:$A$505,0)),"Phản ánh",IF(ISNUMBER(MATCH($C1987,'Kế hoạch'!$A$6:$A$305,0)),"Công việc","Mã chưa có")))</f>
      </c>
      <c r="J1987" s="221">
        <f>IF($I1987="Phản ánh",INDEX('Phản ánh'!$C$6:$C$505,MATCH($C1987,'Phản ánh'!$A$6:$A$505,0)),IF($I1987="Công việc",INDEX('Kế hoạch'!$C$6:$C$305,$O1987),""))</f>
      </c>
      <c r="K1987" s="221">
        <f>IF($I1987="Phản ánh",INDEX('Phản ánh'!$K$6:$K$505,MATCH($C1987,'Phản ánh'!$A$6:$A$505,0))&amp;"",IF($I1987="Công việc",INDEX('Kế hoạch'!$N$6:$N$305,$O1987)&amp;"",""))</f>
      </c>
      <c r="L1987" s="220">
        <f>IF(OR($C1987="",N($B1987)=0),"",IF(AND($I1987="Phản ánh",$E1987="Đã xử lý"),INDEX('Phản ánh'!$U$6:$U$505,MATCH($C1987,'Phản ánh'!$A$6:$A$505,0)),IF(AND($I1987="Công việc",OR($E1987="Hoàn thành",$E1987="Hoàn thành kỳ")),IF(INDEX('Kế hoạch'!$B$6:$B$305,$O1987)="Đột xuất",INDEX('Kế hoạch'!$AY$6:$AY$305,$O1987),IF(N($P1987)=0,"",IF(INT($B1987)&lt;$P1987,$P1987,IF($Q1987&gt;0,$P1987+ROUND((INT($B1987)-$P1987)/$Q1987,0)*$Q1987,IF($R1987&gt;0,EDATE($P1987,ROUND((DATEDIF($P1987,INT($B1987),"m")+(INT($B1987)-EDATE($P1987,DATEDIF($P1987,INT($B1987),"m")))/(EDATE($P1987,DATEDIF($P1987,INT($B1987),"m")+1)-EDATE($P1987,DATEDIF($P1987,INT($B1987),"m"))))/$R1987,0)*$R1987),$P1987))))),"")))</f>
      </c>
      <c r="M1987" s="223">
        <f>IF(OR($C1987="",N($L1987)=0,N($B1987)=0),"",IF(IF(MOD($L1987,1)=0,INT($B1987),$B1987)&lt;=$L1987,"Đúng hạn","Trễ hạn"))</f>
      </c>
      <c r="N1987" s="225">
        <f>IF($C1987="","",ROW())</f>
      </c>
      <c r="O1987" s="225">
        <f>IF($I1987="Công việc",MATCH($C1987,'Kế hoạch'!$A$6:$A$305,0),"")</f>
      </c>
      <c r="P1987" s="234">
        <f>IF($O1987="","",INDEX('Kế hoạch'!$I$6:$I$305,$O1987))</f>
      </c>
      <c r="Q1987" s="225">
        <f>IF($O1987="","",INDEX('Kế hoạch'!$AJ$6:$AJ$305,$O1987))</f>
      </c>
      <c r="R1987" s="225">
        <f>IF($O1987="","",INDEX('Kế hoạch'!$AK$6:$AK$305,$O1987))</f>
      </c>
    </row>
    <row r="1988">
      <c r="A1988" s="223">
        <f>IF($C1988="","",COUNTIF($C$6:$C1988,"?*"))</f>
      </c>
      <c r="B1988" s="217"/>
      <c r="C1988" s="216"/>
      <c r="D1988" s="240"/>
      <c r="E1988" s="218"/>
      <c r="F1988" s="218"/>
      <c r="G1988" s="218"/>
      <c r="H1988" s="219"/>
      <c r="I1988" s="223">
        <f>IF($C1988="","",IF(ISNUMBER(MATCH($C1988,'Phản ánh'!$A$6:$A$505,0)),"Phản ánh",IF(ISNUMBER(MATCH($C1988,'Kế hoạch'!$A$6:$A$305,0)),"Công việc","Mã chưa có")))</f>
      </c>
      <c r="J1988" s="221">
        <f>IF($I1988="Phản ánh",INDEX('Phản ánh'!$C$6:$C$505,MATCH($C1988,'Phản ánh'!$A$6:$A$505,0)),IF($I1988="Công việc",INDEX('Kế hoạch'!$C$6:$C$305,$O1988),""))</f>
      </c>
      <c r="K1988" s="221">
        <f>IF($I1988="Phản ánh",INDEX('Phản ánh'!$K$6:$K$505,MATCH($C1988,'Phản ánh'!$A$6:$A$505,0))&amp;"",IF($I1988="Công việc",INDEX('Kế hoạch'!$N$6:$N$305,$O1988)&amp;"",""))</f>
      </c>
      <c r="L1988" s="220">
        <f>IF(OR($C1988="",N($B1988)=0),"",IF(AND($I1988="Phản ánh",$E1988="Đã xử lý"),INDEX('Phản ánh'!$U$6:$U$505,MATCH($C1988,'Phản ánh'!$A$6:$A$505,0)),IF(AND($I1988="Công việc",OR($E1988="Hoàn thành",$E1988="Hoàn thành kỳ")),IF(INDEX('Kế hoạch'!$B$6:$B$305,$O1988)="Đột xuất",INDEX('Kế hoạch'!$AY$6:$AY$305,$O1988),IF(N($P1988)=0,"",IF(INT($B1988)&lt;$P1988,$P1988,IF($Q1988&gt;0,$P1988+ROUND((INT($B1988)-$P1988)/$Q1988,0)*$Q1988,IF($R1988&gt;0,EDATE($P1988,ROUND((DATEDIF($P1988,INT($B1988),"m")+(INT($B1988)-EDATE($P1988,DATEDIF($P1988,INT($B1988),"m")))/(EDATE($P1988,DATEDIF($P1988,INT($B1988),"m")+1)-EDATE($P1988,DATEDIF($P1988,INT($B1988),"m"))))/$R1988,0)*$R1988),$P1988))))),"")))</f>
      </c>
      <c r="M1988" s="223">
        <f>IF(OR($C1988="",N($L1988)=0,N($B1988)=0),"",IF(IF(MOD($L1988,1)=0,INT($B1988),$B1988)&lt;=$L1988,"Đúng hạn","Trễ hạn"))</f>
      </c>
      <c r="N1988" s="225">
        <f>IF($C1988="","",ROW())</f>
      </c>
      <c r="O1988" s="225">
        <f>IF($I1988="Công việc",MATCH($C1988,'Kế hoạch'!$A$6:$A$305,0),"")</f>
      </c>
      <c r="P1988" s="234">
        <f>IF($O1988="","",INDEX('Kế hoạch'!$I$6:$I$305,$O1988))</f>
      </c>
      <c r="Q1988" s="225">
        <f>IF($O1988="","",INDEX('Kế hoạch'!$AJ$6:$AJ$305,$O1988))</f>
      </c>
      <c r="R1988" s="225">
        <f>IF($O1988="","",INDEX('Kế hoạch'!$AK$6:$AK$305,$O1988))</f>
      </c>
    </row>
    <row r="1989">
      <c r="A1989" s="223">
        <f>IF($C1989="","",COUNTIF($C$6:$C1989,"?*"))</f>
      </c>
      <c r="B1989" s="217"/>
      <c r="C1989" s="216"/>
      <c r="D1989" s="240"/>
      <c r="E1989" s="218"/>
      <c r="F1989" s="218"/>
      <c r="G1989" s="218"/>
      <c r="H1989" s="219"/>
      <c r="I1989" s="223">
        <f>IF($C1989="","",IF(ISNUMBER(MATCH($C1989,'Phản ánh'!$A$6:$A$505,0)),"Phản ánh",IF(ISNUMBER(MATCH($C1989,'Kế hoạch'!$A$6:$A$305,0)),"Công việc","Mã chưa có")))</f>
      </c>
      <c r="J1989" s="221">
        <f>IF($I1989="Phản ánh",INDEX('Phản ánh'!$C$6:$C$505,MATCH($C1989,'Phản ánh'!$A$6:$A$505,0)),IF($I1989="Công việc",INDEX('Kế hoạch'!$C$6:$C$305,$O1989),""))</f>
      </c>
      <c r="K1989" s="221">
        <f>IF($I1989="Phản ánh",INDEX('Phản ánh'!$K$6:$K$505,MATCH($C1989,'Phản ánh'!$A$6:$A$505,0))&amp;"",IF($I1989="Công việc",INDEX('Kế hoạch'!$N$6:$N$305,$O1989)&amp;"",""))</f>
      </c>
      <c r="L1989" s="220">
        <f>IF(OR($C1989="",N($B1989)=0),"",IF(AND($I1989="Phản ánh",$E1989="Đã xử lý"),INDEX('Phản ánh'!$U$6:$U$505,MATCH($C1989,'Phản ánh'!$A$6:$A$505,0)),IF(AND($I1989="Công việc",OR($E1989="Hoàn thành",$E1989="Hoàn thành kỳ")),IF(INDEX('Kế hoạch'!$B$6:$B$305,$O1989)="Đột xuất",INDEX('Kế hoạch'!$AY$6:$AY$305,$O1989),IF(N($P1989)=0,"",IF(INT($B1989)&lt;$P1989,$P1989,IF($Q1989&gt;0,$P1989+ROUND((INT($B1989)-$P1989)/$Q1989,0)*$Q1989,IF($R1989&gt;0,EDATE($P1989,ROUND((DATEDIF($P1989,INT($B1989),"m")+(INT($B1989)-EDATE($P1989,DATEDIF($P1989,INT($B1989),"m")))/(EDATE($P1989,DATEDIF($P1989,INT($B1989),"m")+1)-EDATE($P1989,DATEDIF($P1989,INT($B1989),"m"))))/$R1989,0)*$R1989),$P1989))))),"")))</f>
      </c>
      <c r="M1989" s="223">
        <f>IF(OR($C1989="",N($L1989)=0,N($B1989)=0),"",IF(IF(MOD($L1989,1)=0,INT($B1989),$B1989)&lt;=$L1989,"Đúng hạn","Trễ hạn"))</f>
      </c>
      <c r="N1989" s="225">
        <f>IF($C1989="","",ROW())</f>
      </c>
      <c r="O1989" s="225">
        <f>IF($I1989="Công việc",MATCH($C1989,'Kế hoạch'!$A$6:$A$305,0),"")</f>
      </c>
      <c r="P1989" s="234">
        <f>IF($O1989="","",INDEX('Kế hoạch'!$I$6:$I$305,$O1989))</f>
      </c>
      <c r="Q1989" s="225">
        <f>IF($O1989="","",INDEX('Kế hoạch'!$AJ$6:$AJ$305,$O1989))</f>
      </c>
      <c r="R1989" s="225">
        <f>IF($O1989="","",INDEX('Kế hoạch'!$AK$6:$AK$305,$O1989))</f>
      </c>
    </row>
    <row r="1990">
      <c r="A1990" s="223">
        <f>IF($C1990="","",COUNTIF($C$6:$C1990,"?*"))</f>
      </c>
      <c r="B1990" s="217"/>
      <c r="C1990" s="216"/>
      <c r="D1990" s="240"/>
      <c r="E1990" s="218"/>
      <c r="F1990" s="218"/>
      <c r="G1990" s="218"/>
      <c r="H1990" s="219"/>
      <c r="I1990" s="223">
        <f>IF($C1990="","",IF(ISNUMBER(MATCH($C1990,'Phản ánh'!$A$6:$A$505,0)),"Phản ánh",IF(ISNUMBER(MATCH($C1990,'Kế hoạch'!$A$6:$A$305,0)),"Công việc","Mã chưa có")))</f>
      </c>
      <c r="J1990" s="221">
        <f>IF($I1990="Phản ánh",INDEX('Phản ánh'!$C$6:$C$505,MATCH($C1990,'Phản ánh'!$A$6:$A$505,0)),IF($I1990="Công việc",INDEX('Kế hoạch'!$C$6:$C$305,$O1990),""))</f>
      </c>
      <c r="K1990" s="221">
        <f>IF($I1990="Phản ánh",INDEX('Phản ánh'!$K$6:$K$505,MATCH($C1990,'Phản ánh'!$A$6:$A$505,0))&amp;"",IF($I1990="Công việc",INDEX('Kế hoạch'!$N$6:$N$305,$O1990)&amp;"",""))</f>
      </c>
      <c r="L1990" s="220">
        <f>IF(OR($C1990="",N($B1990)=0),"",IF(AND($I1990="Phản ánh",$E1990="Đã xử lý"),INDEX('Phản ánh'!$U$6:$U$505,MATCH($C1990,'Phản ánh'!$A$6:$A$505,0)),IF(AND($I1990="Công việc",OR($E1990="Hoàn thành",$E1990="Hoàn thành kỳ")),IF(INDEX('Kế hoạch'!$B$6:$B$305,$O1990)="Đột xuất",INDEX('Kế hoạch'!$AY$6:$AY$305,$O1990),IF(N($P1990)=0,"",IF(INT($B1990)&lt;$P1990,$P1990,IF($Q1990&gt;0,$P1990+ROUND((INT($B1990)-$P1990)/$Q1990,0)*$Q1990,IF($R1990&gt;0,EDATE($P1990,ROUND((DATEDIF($P1990,INT($B1990),"m")+(INT($B1990)-EDATE($P1990,DATEDIF($P1990,INT($B1990),"m")))/(EDATE($P1990,DATEDIF($P1990,INT($B1990),"m")+1)-EDATE($P1990,DATEDIF($P1990,INT($B1990),"m"))))/$R1990,0)*$R1990),$P1990))))),"")))</f>
      </c>
      <c r="M1990" s="223">
        <f>IF(OR($C1990="",N($L1990)=0,N($B1990)=0),"",IF(IF(MOD($L1990,1)=0,INT($B1990),$B1990)&lt;=$L1990,"Đúng hạn","Trễ hạn"))</f>
      </c>
      <c r="N1990" s="225">
        <f>IF($C1990="","",ROW())</f>
      </c>
      <c r="O1990" s="225">
        <f>IF($I1990="Công việc",MATCH($C1990,'Kế hoạch'!$A$6:$A$305,0),"")</f>
      </c>
      <c r="P1990" s="234">
        <f>IF($O1990="","",INDEX('Kế hoạch'!$I$6:$I$305,$O1990))</f>
      </c>
      <c r="Q1990" s="225">
        <f>IF($O1990="","",INDEX('Kế hoạch'!$AJ$6:$AJ$305,$O1990))</f>
      </c>
      <c r="R1990" s="225">
        <f>IF($O1990="","",INDEX('Kế hoạch'!$AK$6:$AK$305,$O1990))</f>
      </c>
    </row>
    <row r="1991">
      <c r="A1991" s="223">
        <f>IF($C1991="","",COUNTIF($C$6:$C1991,"?*"))</f>
      </c>
      <c r="B1991" s="217"/>
      <c r="C1991" s="216"/>
      <c r="D1991" s="240"/>
      <c r="E1991" s="218"/>
      <c r="F1991" s="218"/>
      <c r="G1991" s="218"/>
      <c r="H1991" s="219"/>
      <c r="I1991" s="223">
        <f>IF($C1991="","",IF(ISNUMBER(MATCH($C1991,'Phản ánh'!$A$6:$A$505,0)),"Phản ánh",IF(ISNUMBER(MATCH($C1991,'Kế hoạch'!$A$6:$A$305,0)),"Công việc","Mã chưa có")))</f>
      </c>
      <c r="J1991" s="221">
        <f>IF($I1991="Phản ánh",INDEX('Phản ánh'!$C$6:$C$505,MATCH($C1991,'Phản ánh'!$A$6:$A$505,0)),IF($I1991="Công việc",INDEX('Kế hoạch'!$C$6:$C$305,$O1991),""))</f>
      </c>
      <c r="K1991" s="221">
        <f>IF($I1991="Phản ánh",INDEX('Phản ánh'!$K$6:$K$505,MATCH($C1991,'Phản ánh'!$A$6:$A$505,0))&amp;"",IF($I1991="Công việc",INDEX('Kế hoạch'!$N$6:$N$305,$O1991)&amp;"",""))</f>
      </c>
      <c r="L1991" s="220">
        <f>IF(OR($C1991="",N($B1991)=0),"",IF(AND($I1991="Phản ánh",$E1991="Đã xử lý"),INDEX('Phản ánh'!$U$6:$U$505,MATCH($C1991,'Phản ánh'!$A$6:$A$505,0)),IF(AND($I1991="Công việc",OR($E1991="Hoàn thành",$E1991="Hoàn thành kỳ")),IF(INDEX('Kế hoạch'!$B$6:$B$305,$O1991)="Đột xuất",INDEX('Kế hoạch'!$AY$6:$AY$305,$O1991),IF(N($P1991)=0,"",IF(INT($B1991)&lt;$P1991,$P1991,IF($Q1991&gt;0,$P1991+ROUND((INT($B1991)-$P1991)/$Q1991,0)*$Q1991,IF($R1991&gt;0,EDATE($P1991,ROUND((DATEDIF($P1991,INT($B1991),"m")+(INT($B1991)-EDATE($P1991,DATEDIF($P1991,INT($B1991),"m")))/(EDATE($P1991,DATEDIF($P1991,INT($B1991),"m")+1)-EDATE($P1991,DATEDIF($P1991,INT($B1991),"m"))))/$R1991,0)*$R1991),$P1991))))),"")))</f>
      </c>
      <c r="M1991" s="223">
        <f>IF(OR($C1991="",N($L1991)=0,N($B1991)=0),"",IF(IF(MOD($L1991,1)=0,INT($B1991),$B1991)&lt;=$L1991,"Đúng hạn","Trễ hạn"))</f>
      </c>
      <c r="N1991" s="225">
        <f>IF($C1991="","",ROW())</f>
      </c>
      <c r="O1991" s="225">
        <f>IF($I1991="Công việc",MATCH($C1991,'Kế hoạch'!$A$6:$A$305,0),"")</f>
      </c>
      <c r="P1991" s="234">
        <f>IF($O1991="","",INDEX('Kế hoạch'!$I$6:$I$305,$O1991))</f>
      </c>
      <c r="Q1991" s="225">
        <f>IF($O1991="","",INDEX('Kế hoạch'!$AJ$6:$AJ$305,$O1991))</f>
      </c>
      <c r="R1991" s="225">
        <f>IF($O1991="","",INDEX('Kế hoạch'!$AK$6:$AK$305,$O1991))</f>
      </c>
    </row>
    <row r="1992">
      <c r="A1992" s="223">
        <f>IF($C1992="","",COUNTIF($C$6:$C1992,"?*"))</f>
      </c>
      <c r="B1992" s="217"/>
      <c r="C1992" s="216"/>
      <c r="D1992" s="240"/>
      <c r="E1992" s="218"/>
      <c r="F1992" s="218"/>
      <c r="G1992" s="218"/>
      <c r="H1992" s="219"/>
      <c r="I1992" s="223">
        <f>IF($C1992="","",IF(ISNUMBER(MATCH($C1992,'Phản ánh'!$A$6:$A$505,0)),"Phản ánh",IF(ISNUMBER(MATCH($C1992,'Kế hoạch'!$A$6:$A$305,0)),"Công việc","Mã chưa có")))</f>
      </c>
      <c r="J1992" s="221">
        <f>IF($I1992="Phản ánh",INDEX('Phản ánh'!$C$6:$C$505,MATCH($C1992,'Phản ánh'!$A$6:$A$505,0)),IF($I1992="Công việc",INDEX('Kế hoạch'!$C$6:$C$305,$O1992),""))</f>
      </c>
      <c r="K1992" s="221">
        <f>IF($I1992="Phản ánh",INDEX('Phản ánh'!$K$6:$K$505,MATCH($C1992,'Phản ánh'!$A$6:$A$505,0))&amp;"",IF($I1992="Công việc",INDEX('Kế hoạch'!$N$6:$N$305,$O1992)&amp;"",""))</f>
      </c>
      <c r="L1992" s="220">
        <f>IF(OR($C1992="",N($B1992)=0),"",IF(AND($I1992="Phản ánh",$E1992="Đã xử lý"),INDEX('Phản ánh'!$U$6:$U$505,MATCH($C1992,'Phản ánh'!$A$6:$A$505,0)),IF(AND($I1992="Công việc",OR($E1992="Hoàn thành",$E1992="Hoàn thành kỳ")),IF(INDEX('Kế hoạch'!$B$6:$B$305,$O1992)="Đột xuất",INDEX('Kế hoạch'!$AY$6:$AY$305,$O1992),IF(N($P1992)=0,"",IF(INT($B1992)&lt;$P1992,$P1992,IF($Q1992&gt;0,$P1992+ROUND((INT($B1992)-$P1992)/$Q1992,0)*$Q1992,IF($R1992&gt;0,EDATE($P1992,ROUND((DATEDIF($P1992,INT($B1992),"m")+(INT($B1992)-EDATE($P1992,DATEDIF($P1992,INT($B1992),"m")))/(EDATE($P1992,DATEDIF($P1992,INT($B1992),"m")+1)-EDATE($P1992,DATEDIF($P1992,INT($B1992),"m"))))/$R1992,0)*$R1992),$P1992))))),"")))</f>
      </c>
      <c r="M1992" s="223">
        <f>IF(OR($C1992="",N($L1992)=0,N($B1992)=0),"",IF(IF(MOD($L1992,1)=0,INT($B1992),$B1992)&lt;=$L1992,"Đúng hạn","Trễ hạn"))</f>
      </c>
      <c r="N1992" s="225">
        <f>IF($C1992="","",ROW())</f>
      </c>
      <c r="O1992" s="225">
        <f>IF($I1992="Công việc",MATCH($C1992,'Kế hoạch'!$A$6:$A$305,0),"")</f>
      </c>
      <c r="P1992" s="234">
        <f>IF($O1992="","",INDEX('Kế hoạch'!$I$6:$I$305,$O1992))</f>
      </c>
      <c r="Q1992" s="225">
        <f>IF($O1992="","",INDEX('Kế hoạch'!$AJ$6:$AJ$305,$O1992))</f>
      </c>
      <c r="R1992" s="225">
        <f>IF($O1992="","",INDEX('Kế hoạch'!$AK$6:$AK$305,$O1992))</f>
      </c>
    </row>
    <row r="1993">
      <c r="A1993" s="223">
        <f>IF($C1993="","",COUNTIF($C$6:$C1993,"?*"))</f>
      </c>
      <c r="B1993" s="217"/>
      <c r="C1993" s="216"/>
      <c r="D1993" s="240"/>
      <c r="E1993" s="218"/>
      <c r="F1993" s="218"/>
      <c r="G1993" s="218"/>
      <c r="H1993" s="219"/>
      <c r="I1993" s="223">
        <f>IF($C1993="","",IF(ISNUMBER(MATCH($C1993,'Phản ánh'!$A$6:$A$505,0)),"Phản ánh",IF(ISNUMBER(MATCH($C1993,'Kế hoạch'!$A$6:$A$305,0)),"Công việc","Mã chưa có")))</f>
      </c>
      <c r="J1993" s="221">
        <f>IF($I1993="Phản ánh",INDEX('Phản ánh'!$C$6:$C$505,MATCH($C1993,'Phản ánh'!$A$6:$A$505,0)),IF($I1993="Công việc",INDEX('Kế hoạch'!$C$6:$C$305,$O1993),""))</f>
      </c>
      <c r="K1993" s="221">
        <f>IF($I1993="Phản ánh",INDEX('Phản ánh'!$K$6:$K$505,MATCH($C1993,'Phản ánh'!$A$6:$A$505,0))&amp;"",IF($I1993="Công việc",INDEX('Kế hoạch'!$N$6:$N$305,$O1993)&amp;"",""))</f>
      </c>
      <c r="L1993" s="220">
        <f>IF(OR($C1993="",N($B1993)=0),"",IF(AND($I1993="Phản ánh",$E1993="Đã xử lý"),INDEX('Phản ánh'!$U$6:$U$505,MATCH($C1993,'Phản ánh'!$A$6:$A$505,0)),IF(AND($I1993="Công việc",OR($E1993="Hoàn thành",$E1993="Hoàn thành kỳ")),IF(INDEX('Kế hoạch'!$B$6:$B$305,$O1993)="Đột xuất",INDEX('Kế hoạch'!$AY$6:$AY$305,$O1993),IF(N($P1993)=0,"",IF(INT($B1993)&lt;$P1993,$P1993,IF($Q1993&gt;0,$P1993+ROUND((INT($B1993)-$P1993)/$Q1993,0)*$Q1993,IF($R1993&gt;0,EDATE($P1993,ROUND((DATEDIF($P1993,INT($B1993),"m")+(INT($B1993)-EDATE($P1993,DATEDIF($P1993,INT($B1993),"m")))/(EDATE($P1993,DATEDIF($P1993,INT($B1993),"m")+1)-EDATE($P1993,DATEDIF($P1993,INT($B1993),"m"))))/$R1993,0)*$R1993),$P1993))))),"")))</f>
      </c>
      <c r="M1993" s="223">
        <f>IF(OR($C1993="",N($L1993)=0,N($B1993)=0),"",IF(IF(MOD($L1993,1)=0,INT($B1993),$B1993)&lt;=$L1993,"Đúng hạn","Trễ hạn"))</f>
      </c>
      <c r="N1993" s="225">
        <f>IF($C1993="","",ROW())</f>
      </c>
      <c r="O1993" s="225">
        <f>IF($I1993="Công việc",MATCH($C1993,'Kế hoạch'!$A$6:$A$305,0),"")</f>
      </c>
      <c r="P1993" s="234">
        <f>IF($O1993="","",INDEX('Kế hoạch'!$I$6:$I$305,$O1993))</f>
      </c>
      <c r="Q1993" s="225">
        <f>IF($O1993="","",INDEX('Kế hoạch'!$AJ$6:$AJ$305,$O1993))</f>
      </c>
      <c r="R1993" s="225">
        <f>IF($O1993="","",INDEX('Kế hoạch'!$AK$6:$AK$305,$O1993))</f>
      </c>
    </row>
    <row r="1994">
      <c r="A1994" s="223">
        <f>IF($C1994="","",COUNTIF($C$6:$C1994,"?*"))</f>
      </c>
      <c r="B1994" s="217"/>
      <c r="C1994" s="216"/>
      <c r="D1994" s="240"/>
      <c r="E1994" s="218"/>
      <c r="F1994" s="218"/>
      <c r="G1994" s="218"/>
      <c r="H1994" s="219"/>
      <c r="I1994" s="223">
        <f>IF($C1994="","",IF(ISNUMBER(MATCH($C1994,'Phản ánh'!$A$6:$A$505,0)),"Phản ánh",IF(ISNUMBER(MATCH($C1994,'Kế hoạch'!$A$6:$A$305,0)),"Công việc","Mã chưa có")))</f>
      </c>
      <c r="J1994" s="221">
        <f>IF($I1994="Phản ánh",INDEX('Phản ánh'!$C$6:$C$505,MATCH($C1994,'Phản ánh'!$A$6:$A$505,0)),IF($I1994="Công việc",INDEX('Kế hoạch'!$C$6:$C$305,$O1994),""))</f>
      </c>
      <c r="K1994" s="221">
        <f>IF($I1994="Phản ánh",INDEX('Phản ánh'!$K$6:$K$505,MATCH($C1994,'Phản ánh'!$A$6:$A$505,0))&amp;"",IF($I1994="Công việc",INDEX('Kế hoạch'!$N$6:$N$305,$O1994)&amp;"",""))</f>
      </c>
      <c r="L1994" s="220">
        <f>IF(OR($C1994="",N($B1994)=0),"",IF(AND($I1994="Phản ánh",$E1994="Đã xử lý"),INDEX('Phản ánh'!$U$6:$U$505,MATCH($C1994,'Phản ánh'!$A$6:$A$505,0)),IF(AND($I1994="Công việc",OR($E1994="Hoàn thành",$E1994="Hoàn thành kỳ")),IF(INDEX('Kế hoạch'!$B$6:$B$305,$O1994)="Đột xuất",INDEX('Kế hoạch'!$AY$6:$AY$305,$O1994),IF(N($P1994)=0,"",IF(INT($B1994)&lt;$P1994,$P1994,IF($Q1994&gt;0,$P1994+ROUND((INT($B1994)-$P1994)/$Q1994,0)*$Q1994,IF($R1994&gt;0,EDATE($P1994,ROUND((DATEDIF($P1994,INT($B1994),"m")+(INT($B1994)-EDATE($P1994,DATEDIF($P1994,INT($B1994),"m")))/(EDATE($P1994,DATEDIF($P1994,INT($B1994),"m")+1)-EDATE($P1994,DATEDIF($P1994,INT($B1994),"m"))))/$R1994,0)*$R1994),$P1994))))),"")))</f>
      </c>
      <c r="M1994" s="223">
        <f>IF(OR($C1994="",N($L1994)=0,N($B1994)=0),"",IF(IF(MOD($L1994,1)=0,INT($B1994),$B1994)&lt;=$L1994,"Đúng hạn","Trễ hạn"))</f>
      </c>
      <c r="N1994" s="225">
        <f>IF($C1994="","",ROW())</f>
      </c>
      <c r="O1994" s="225">
        <f>IF($I1994="Công việc",MATCH($C1994,'Kế hoạch'!$A$6:$A$305,0),"")</f>
      </c>
      <c r="P1994" s="234">
        <f>IF($O1994="","",INDEX('Kế hoạch'!$I$6:$I$305,$O1994))</f>
      </c>
      <c r="Q1994" s="225">
        <f>IF($O1994="","",INDEX('Kế hoạch'!$AJ$6:$AJ$305,$O1994))</f>
      </c>
      <c r="R1994" s="225">
        <f>IF($O1994="","",INDEX('Kế hoạch'!$AK$6:$AK$305,$O1994))</f>
      </c>
    </row>
    <row r="1995">
      <c r="A1995" s="223">
        <f>IF($C1995="","",COUNTIF($C$6:$C1995,"?*"))</f>
      </c>
      <c r="B1995" s="217"/>
      <c r="C1995" s="216"/>
      <c r="D1995" s="240"/>
      <c r="E1995" s="218"/>
      <c r="F1995" s="218"/>
      <c r="G1995" s="218"/>
      <c r="H1995" s="219"/>
      <c r="I1995" s="223">
        <f>IF($C1995="","",IF(ISNUMBER(MATCH($C1995,'Phản ánh'!$A$6:$A$505,0)),"Phản ánh",IF(ISNUMBER(MATCH($C1995,'Kế hoạch'!$A$6:$A$305,0)),"Công việc","Mã chưa có")))</f>
      </c>
      <c r="J1995" s="221">
        <f>IF($I1995="Phản ánh",INDEX('Phản ánh'!$C$6:$C$505,MATCH($C1995,'Phản ánh'!$A$6:$A$505,0)),IF($I1995="Công việc",INDEX('Kế hoạch'!$C$6:$C$305,$O1995),""))</f>
      </c>
      <c r="K1995" s="221">
        <f>IF($I1995="Phản ánh",INDEX('Phản ánh'!$K$6:$K$505,MATCH($C1995,'Phản ánh'!$A$6:$A$505,0))&amp;"",IF($I1995="Công việc",INDEX('Kế hoạch'!$N$6:$N$305,$O1995)&amp;"",""))</f>
      </c>
      <c r="L1995" s="220">
        <f>IF(OR($C1995="",N($B1995)=0),"",IF(AND($I1995="Phản ánh",$E1995="Đã xử lý"),INDEX('Phản ánh'!$U$6:$U$505,MATCH($C1995,'Phản ánh'!$A$6:$A$505,0)),IF(AND($I1995="Công việc",OR($E1995="Hoàn thành",$E1995="Hoàn thành kỳ")),IF(INDEX('Kế hoạch'!$B$6:$B$305,$O1995)="Đột xuất",INDEX('Kế hoạch'!$AY$6:$AY$305,$O1995),IF(N($P1995)=0,"",IF(INT($B1995)&lt;$P1995,$P1995,IF($Q1995&gt;0,$P1995+ROUND((INT($B1995)-$P1995)/$Q1995,0)*$Q1995,IF($R1995&gt;0,EDATE($P1995,ROUND((DATEDIF($P1995,INT($B1995),"m")+(INT($B1995)-EDATE($P1995,DATEDIF($P1995,INT($B1995),"m")))/(EDATE($P1995,DATEDIF($P1995,INT($B1995),"m")+1)-EDATE($P1995,DATEDIF($P1995,INT($B1995),"m"))))/$R1995,0)*$R1995),$P1995))))),"")))</f>
      </c>
      <c r="M1995" s="223">
        <f>IF(OR($C1995="",N($L1995)=0,N($B1995)=0),"",IF(IF(MOD($L1995,1)=0,INT($B1995),$B1995)&lt;=$L1995,"Đúng hạn","Trễ hạn"))</f>
      </c>
      <c r="N1995" s="225">
        <f>IF($C1995="","",ROW())</f>
      </c>
      <c r="O1995" s="225">
        <f>IF($I1995="Công việc",MATCH($C1995,'Kế hoạch'!$A$6:$A$305,0),"")</f>
      </c>
      <c r="P1995" s="234">
        <f>IF($O1995="","",INDEX('Kế hoạch'!$I$6:$I$305,$O1995))</f>
      </c>
      <c r="Q1995" s="225">
        <f>IF($O1995="","",INDEX('Kế hoạch'!$AJ$6:$AJ$305,$O1995))</f>
      </c>
      <c r="R1995" s="225">
        <f>IF($O1995="","",INDEX('Kế hoạch'!$AK$6:$AK$305,$O1995))</f>
      </c>
    </row>
    <row r="1996">
      <c r="A1996" s="223">
        <f>IF($C1996="","",COUNTIF($C$6:$C1996,"?*"))</f>
      </c>
      <c r="B1996" s="217"/>
      <c r="C1996" s="216"/>
      <c r="D1996" s="240"/>
      <c r="E1996" s="218"/>
      <c r="F1996" s="218"/>
      <c r="G1996" s="218"/>
      <c r="H1996" s="219"/>
      <c r="I1996" s="223">
        <f>IF($C1996="","",IF(ISNUMBER(MATCH($C1996,'Phản ánh'!$A$6:$A$505,0)),"Phản ánh",IF(ISNUMBER(MATCH($C1996,'Kế hoạch'!$A$6:$A$305,0)),"Công việc","Mã chưa có")))</f>
      </c>
      <c r="J1996" s="221">
        <f>IF($I1996="Phản ánh",INDEX('Phản ánh'!$C$6:$C$505,MATCH($C1996,'Phản ánh'!$A$6:$A$505,0)),IF($I1996="Công việc",INDEX('Kế hoạch'!$C$6:$C$305,$O1996),""))</f>
      </c>
      <c r="K1996" s="221">
        <f>IF($I1996="Phản ánh",INDEX('Phản ánh'!$K$6:$K$505,MATCH($C1996,'Phản ánh'!$A$6:$A$505,0))&amp;"",IF($I1996="Công việc",INDEX('Kế hoạch'!$N$6:$N$305,$O1996)&amp;"",""))</f>
      </c>
      <c r="L1996" s="220">
        <f>IF(OR($C1996="",N($B1996)=0),"",IF(AND($I1996="Phản ánh",$E1996="Đã xử lý"),INDEX('Phản ánh'!$U$6:$U$505,MATCH($C1996,'Phản ánh'!$A$6:$A$505,0)),IF(AND($I1996="Công việc",OR($E1996="Hoàn thành",$E1996="Hoàn thành kỳ")),IF(INDEX('Kế hoạch'!$B$6:$B$305,$O1996)="Đột xuất",INDEX('Kế hoạch'!$AY$6:$AY$305,$O1996),IF(N($P1996)=0,"",IF(INT($B1996)&lt;$P1996,$P1996,IF($Q1996&gt;0,$P1996+ROUND((INT($B1996)-$P1996)/$Q1996,0)*$Q1996,IF($R1996&gt;0,EDATE($P1996,ROUND((DATEDIF($P1996,INT($B1996),"m")+(INT($B1996)-EDATE($P1996,DATEDIF($P1996,INT($B1996),"m")))/(EDATE($P1996,DATEDIF($P1996,INT($B1996),"m")+1)-EDATE($P1996,DATEDIF($P1996,INT($B1996),"m"))))/$R1996,0)*$R1996),$P1996))))),"")))</f>
      </c>
      <c r="M1996" s="223">
        <f>IF(OR($C1996="",N($L1996)=0,N($B1996)=0),"",IF(IF(MOD($L1996,1)=0,INT($B1996),$B1996)&lt;=$L1996,"Đúng hạn","Trễ hạn"))</f>
      </c>
      <c r="N1996" s="225">
        <f>IF($C1996="","",ROW())</f>
      </c>
      <c r="O1996" s="225">
        <f>IF($I1996="Công việc",MATCH($C1996,'Kế hoạch'!$A$6:$A$305,0),"")</f>
      </c>
      <c r="P1996" s="234">
        <f>IF($O1996="","",INDEX('Kế hoạch'!$I$6:$I$305,$O1996))</f>
      </c>
      <c r="Q1996" s="225">
        <f>IF($O1996="","",INDEX('Kế hoạch'!$AJ$6:$AJ$305,$O1996))</f>
      </c>
      <c r="R1996" s="225">
        <f>IF($O1996="","",INDEX('Kế hoạch'!$AK$6:$AK$305,$O1996))</f>
      </c>
    </row>
    <row r="1997">
      <c r="A1997" s="223">
        <f>IF($C1997="","",COUNTIF($C$6:$C1997,"?*"))</f>
      </c>
      <c r="B1997" s="217"/>
      <c r="C1997" s="216"/>
      <c r="D1997" s="240"/>
      <c r="E1997" s="218"/>
      <c r="F1997" s="218"/>
      <c r="G1997" s="218"/>
      <c r="H1997" s="219"/>
      <c r="I1997" s="223">
        <f>IF($C1997="","",IF(ISNUMBER(MATCH($C1997,'Phản ánh'!$A$6:$A$505,0)),"Phản ánh",IF(ISNUMBER(MATCH($C1997,'Kế hoạch'!$A$6:$A$305,0)),"Công việc","Mã chưa có")))</f>
      </c>
      <c r="J1997" s="221">
        <f>IF($I1997="Phản ánh",INDEX('Phản ánh'!$C$6:$C$505,MATCH($C1997,'Phản ánh'!$A$6:$A$505,0)),IF($I1997="Công việc",INDEX('Kế hoạch'!$C$6:$C$305,$O1997),""))</f>
      </c>
      <c r="K1997" s="221">
        <f>IF($I1997="Phản ánh",INDEX('Phản ánh'!$K$6:$K$505,MATCH($C1997,'Phản ánh'!$A$6:$A$505,0))&amp;"",IF($I1997="Công việc",INDEX('Kế hoạch'!$N$6:$N$305,$O1997)&amp;"",""))</f>
      </c>
      <c r="L1997" s="220">
        <f>IF(OR($C1997="",N($B1997)=0),"",IF(AND($I1997="Phản ánh",$E1997="Đã xử lý"),INDEX('Phản ánh'!$U$6:$U$505,MATCH($C1997,'Phản ánh'!$A$6:$A$505,0)),IF(AND($I1997="Công việc",OR($E1997="Hoàn thành",$E1997="Hoàn thành kỳ")),IF(INDEX('Kế hoạch'!$B$6:$B$305,$O1997)="Đột xuất",INDEX('Kế hoạch'!$AY$6:$AY$305,$O1997),IF(N($P1997)=0,"",IF(INT($B1997)&lt;$P1997,$P1997,IF($Q1997&gt;0,$P1997+ROUND((INT($B1997)-$P1997)/$Q1997,0)*$Q1997,IF($R1997&gt;0,EDATE($P1997,ROUND((DATEDIF($P1997,INT($B1997),"m")+(INT($B1997)-EDATE($P1997,DATEDIF($P1997,INT($B1997),"m")))/(EDATE($P1997,DATEDIF($P1997,INT($B1997),"m")+1)-EDATE($P1997,DATEDIF($P1997,INT($B1997),"m"))))/$R1997,0)*$R1997),$P1997))))),"")))</f>
      </c>
      <c r="M1997" s="223">
        <f>IF(OR($C1997="",N($L1997)=0,N($B1997)=0),"",IF(IF(MOD($L1997,1)=0,INT($B1997),$B1997)&lt;=$L1997,"Đúng hạn","Trễ hạn"))</f>
      </c>
      <c r="N1997" s="225">
        <f>IF($C1997="","",ROW())</f>
      </c>
      <c r="O1997" s="225">
        <f>IF($I1997="Công việc",MATCH($C1997,'Kế hoạch'!$A$6:$A$305,0),"")</f>
      </c>
      <c r="P1997" s="234">
        <f>IF($O1997="","",INDEX('Kế hoạch'!$I$6:$I$305,$O1997))</f>
      </c>
      <c r="Q1997" s="225">
        <f>IF($O1997="","",INDEX('Kế hoạch'!$AJ$6:$AJ$305,$O1997))</f>
      </c>
      <c r="R1997" s="225">
        <f>IF($O1997="","",INDEX('Kế hoạch'!$AK$6:$AK$305,$O1997))</f>
      </c>
    </row>
    <row r="1998">
      <c r="A1998" s="223">
        <f>IF($C1998="","",COUNTIF($C$6:$C1998,"?*"))</f>
      </c>
      <c r="B1998" s="217"/>
      <c r="C1998" s="216"/>
      <c r="D1998" s="240"/>
      <c r="E1998" s="218"/>
      <c r="F1998" s="218"/>
      <c r="G1998" s="218"/>
      <c r="H1998" s="219"/>
      <c r="I1998" s="223">
        <f>IF($C1998="","",IF(ISNUMBER(MATCH($C1998,'Phản ánh'!$A$6:$A$505,0)),"Phản ánh",IF(ISNUMBER(MATCH($C1998,'Kế hoạch'!$A$6:$A$305,0)),"Công việc","Mã chưa có")))</f>
      </c>
      <c r="J1998" s="221">
        <f>IF($I1998="Phản ánh",INDEX('Phản ánh'!$C$6:$C$505,MATCH($C1998,'Phản ánh'!$A$6:$A$505,0)),IF($I1998="Công việc",INDEX('Kế hoạch'!$C$6:$C$305,$O1998),""))</f>
      </c>
      <c r="K1998" s="221">
        <f>IF($I1998="Phản ánh",INDEX('Phản ánh'!$K$6:$K$505,MATCH($C1998,'Phản ánh'!$A$6:$A$505,0))&amp;"",IF($I1998="Công việc",INDEX('Kế hoạch'!$N$6:$N$305,$O1998)&amp;"",""))</f>
      </c>
      <c r="L1998" s="220">
        <f>IF(OR($C1998="",N($B1998)=0),"",IF(AND($I1998="Phản ánh",$E1998="Đã xử lý"),INDEX('Phản ánh'!$U$6:$U$505,MATCH($C1998,'Phản ánh'!$A$6:$A$505,0)),IF(AND($I1998="Công việc",OR($E1998="Hoàn thành",$E1998="Hoàn thành kỳ")),IF(INDEX('Kế hoạch'!$B$6:$B$305,$O1998)="Đột xuất",INDEX('Kế hoạch'!$AY$6:$AY$305,$O1998),IF(N($P1998)=0,"",IF(INT($B1998)&lt;$P1998,$P1998,IF($Q1998&gt;0,$P1998+ROUND((INT($B1998)-$P1998)/$Q1998,0)*$Q1998,IF($R1998&gt;0,EDATE($P1998,ROUND((DATEDIF($P1998,INT($B1998),"m")+(INT($B1998)-EDATE($P1998,DATEDIF($P1998,INT($B1998),"m")))/(EDATE($P1998,DATEDIF($P1998,INT($B1998),"m")+1)-EDATE($P1998,DATEDIF($P1998,INT($B1998),"m"))))/$R1998,0)*$R1998),$P1998))))),"")))</f>
      </c>
      <c r="M1998" s="223">
        <f>IF(OR($C1998="",N($L1998)=0,N($B1998)=0),"",IF(IF(MOD($L1998,1)=0,INT($B1998),$B1998)&lt;=$L1998,"Đúng hạn","Trễ hạn"))</f>
      </c>
      <c r="N1998" s="225">
        <f>IF($C1998="","",ROW())</f>
      </c>
      <c r="O1998" s="225">
        <f>IF($I1998="Công việc",MATCH($C1998,'Kế hoạch'!$A$6:$A$305,0),"")</f>
      </c>
      <c r="P1998" s="234">
        <f>IF($O1998="","",INDEX('Kế hoạch'!$I$6:$I$305,$O1998))</f>
      </c>
      <c r="Q1998" s="225">
        <f>IF($O1998="","",INDEX('Kế hoạch'!$AJ$6:$AJ$305,$O1998))</f>
      </c>
      <c r="R1998" s="225">
        <f>IF($O1998="","",INDEX('Kế hoạch'!$AK$6:$AK$305,$O1998))</f>
      </c>
    </row>
    <row r="1999">
      <c r="A1999" s="223">
        <f>IF($C1999="","",COUNTIF($C$6:$C1999,"?*"))</f>
      </c>
      <c r="B1999" s="217"/>
      <c r="C1999" s="216"/>
      <c r="D1999" s="240"/>
      <c r="E1999" s="218"/>
      <c r="F1999" s="218"/>
      <c r="G1999" s="218"/>
      <c r="H1999" s="219"/>
      <c r="I1999" s="223">
        <f>IF($C1999="","",IF(ISNUMBER(MATCH($C1999,'Phản ánh'!$A$6:$A$505,0)),"Phản ánh",IF(ISNUMBER(MATCH($C1999,'Kế hoạch'!$A$6:$A$305,0)),"Công việc","Mã chưa có")))</f>
      </c>
      <c r="J1999" s="221">
        <f>IF($I1999="Phản ánh",INDEX('Phản ánh'!$C$6:$C$505,MATCH($C1999,'Phản ánh'!$A$6:$A$505,0)),IF($I1999="Công việc",INDEX('Kế hoạch'!$C$6:$C$305,$O1999),""))</f>
      </c>
      <c r="K1999" s="221">
        <f>IF($I1999="Phản ánh",INDEX('Phản ánh'!$K$6:$K$505,MATCH($C1999,'Phản ánh'!$A$6:$A$505,0))&amp;"",IF($I1999="Công việc",INDEX('Kế hoạch'!$N$6:$N$305,$O1999)&amp;"",""))</f>
      </c>
      <c r="L1999" s="220">
        <f>IF(OR($C1999="",N($B1999)=0),"",IF(AND($I1999="Phản ánh",$E1999="Đã xử lý"),INDEX('Phản ánh'!$U$6:$U$505,MATCH($C1999,'Phản ánh'!$A$6:$A$505,0)),IF(AND($I1999="Công việc",OR($E1999="Hoàn thành",$E1999="Hoàn thành kỳ")),IF(INDEX('Kế hoạch'!$B$6:$B$305,$O1999)="Đột xuất",INDEX('Kế hoạch'!$AY$6:$AY$305,$O1999),IF(N($P1999)=0,"",IF(INT($B1999)&lt;$P1999,$P1999,IF($Q1999&gt;0,$P1999+ROUND((INT($B1999)-$P1999)/$Q1999,0)*$Q1999,IF($R1999&gt;0,EDATE($P1999,ROUND((DATEDIF($P1999,INT($B1999),"m")+(INT($B1999)-EDATE($P1999,DATEDIF($P1999,INT($B1999),"m")))/(EDATE($P1999,DATEDIF($P1999,INT($B1999),"m")+1)-EDATE($P1999,DATEDIF($P1999,INT($B1999),"m"))))/$R1999,0)*$R1999),$P1999))))),"")))</f>
      </c>
      <c r="M1999" s="223">
        <f>IF(OR($C1999="",N($L1999)=0,N($B1999)=0),"",IF(IF(MOD($L1999,1)=0,INT($B1999),$B1999)&lt;=$L1999,"Đúng hạn","Trễ hạn"))</f>
      </c>
      <c r="N1999" s="225">
        <f>IF($C1999="","",ROW())</f>
      </c>
      <c r="O1999" s="225">
        <f>IF($I1999="Công việc",MATCH($C1999,'Kế hoạch'!$A$6:$A$305,0),"")</f>
      </c>
      <c r="P1999" s="234">
        <f>IF($O1999="","",INDEX('Kế hoạch'!$I$6:$I$305,$O1999))</f>
      </c>
      <c r="Q1999" s="225">
        <f>IF($O1999="","",INDEX('Kế hoạch'!$AJ$6:$AJ$305,$O1999))</f>
      </c>
      <c r="R1999" s="225">
        <f>IF($O1999="","",INDEX('Kế hoạch'!$AK$6:$AK$305,$O1999))</f>
      </c>
    </row>
    <row r="2000">
      <c r="A2000" s="223">
        <f>IF($C2000="","",COUNTIF($C$6:$C2000,"?*"))</f>
      </c>
      <c r="B2000" s="217"/>
      <c r="C2000" s="216"/>
      <c r="D2000" s="240"/>
      <c r="E2000" s="218"/>
      <c r="F2000" s="218"/>
      <c r="G2000" s="218"/>
      <c r="H2000" s="219"/>
      <c r="I2000" s="223">
        <f>IF($C2000="","",IF(ISNUMBER(MATCH($C2000,'Phản ánh'!$A$6:$A$505,0)),"Phản ánh",IF(ISNUMBER(MATCH($C2000,'Kế hoạch'!$A$6:$A$305,0)),"Công việc","Mã chưa có")))</f>
      </c>
      <c r="J2000" s="221">
        <f>IF($I2000="Phản ánh",INDEX('Phản ánh'!$C$6:$C$505,MATCH($C2000,'Phản ánh'!$A$6:$A$505,0)),IF($I2000="Công việc",INDEX('Kế hoạch'!$C$6:$C$305,$O2000),""))</f>
      </c>
      <c r="K2000" s="221">
        <f>IF($I2000="Phản ánh",INDEX('Phản ánh'!$K$6:$K$505,MATCH($C2000,'Phản ánh'!$A$6:$A$505,0))&amp;"",IF($I2000="Công việc",INDEX('Kế hoạch'!$N$6:$N$305,$O2000)&amp;"",""))</f>
      </c>
      <c r="L2000" s="220">
        <f>IF(OR($C2000="",N($B2000)=0),"",IF(AND($I2000="Phản ánh",$E2000="Đã xử lý"),INDEX('Phản ánh'!$U$6:$U$505,MATCH($C2000,'Phản ánh'!$A$6:$A$505,0)),IF(AND($I2000="Công việc",OR($E2000="Hoàn thành",$E2000="Hoàn thành kỳ")),IF(INDEX('Kế hoạch'!$B$6:$B$305,$O2000)="Đột xuất",INDEX('Kế hoạch'!$AY$6:$AY$305,$O2000),IF(N($P2000)=0,"",IF(INT($B2000)&lt;$P2000,$P2000,IF($Q2000&gt;0,$P2000+ROUND((INT($B2000)-$P2000)/$Q2000,0)*$Q2000,IF($R2000&gt;0,EDATE($P2000,ROUND((DATEDIF($P2000,INT($B2000),"m")+(INT($B2000)-EDATE($P2000,DATEDIF($P2000,INT($B2000),"m")))/(EDATE($P2000,DATEDIF($P2000,INT($B2000),"m")+1)-EDATE($P2000,DATEDIF($P2000,INT($B2000),"m"))))/$R2000,0)*$R2000),$P2000))))),"")))</f>
      </c>
      <c r="M2000" s="223">
        <f>IF(OR($C2000="",N($L2000)=0,N($B2000)=0),"",IF(IF(MOD($L2000,1)=0,INT($B2000),$B2000)&lt;=$L2000,"Đúng hạn","Trễ hạn"))</f>
      </c>
      <c r="N2000" s="225">
        <f>IF($C2000="","",ROW())</f>
      </c>
      <c r="O2000" s="225">
        <f>IF($I2000="Công việc",MATCH($C2000,'Kế hoạch'!$A$6:$A$305,0),"")</f>
      </c>
      <c r="P2000" s="234">
        <f>IF($O2000="","",INDEX('Kế hoạch'!$I$6:$I$305,$O2000))</f>
      </c>
      <c r="Q2000" s="225">
        <f>IF($O2000="","",INDEX('Kế hoạch'!$AJ$6:$AJ$305,$O2000))</f>
      </c>
      <c r="R2000" s="225">
        <f>IF($O2000="","",INDEX('Kế hoạch'!$AK$6:$AK$305,$O2000))</f>
      </c>
    </row>
    <row r="2001">
      <c r="A2001" s="223">
        <f>IF($C2001="","",COUNTIF($C$6:$C2001,"?*"))</f>
      </c>
      <c r="B2001" s="217"/>
      <c r="C2001" s="216"/>
      <c r="D2001" s="240"/>
      <c r="E2001" s="218"/>
      <c r="F2001" s="218"/>
      <c r="G2001" s="218"/>
      <c r="H2001" s="219"/>
      <c r="I2001" s="223">
        <f>IF($C2001="","",IF(ISNUMBER(MATCH($C2001,'Phản ánh'!$A$6:$A$505,0)),"Phản ánh",IF(ISNUMBER(MATCH($C2001,'Kế hoạch'!$A$6:$A$305,0)),"Công việc","Mã chưa có")))</f>
      </c>
      <c r="J2001" s="221">
        <f>IF($I2001="Phản ánh",INDEX('Phản ánh'!$C$6:$C$505,MATCH($C2001,'Phản ánh'!$A$6:$A$505,0)),IF($I2001="Công việc",INDEX('Kế hoạch'!$C$6:$C$305,$O2001),""))</f>
      </c>
      <c r="K2001" s="221">
        <f>IF($I2001="Phản ánh",INDEX('Phản ánh'!$K$6:$K$505,MATCH($C2001,'Phản ánh'!$A$6:$A$505,0))&amp;"",IF($I2001="Công việc",INDEX('Kế hoạch'!$N$6:$N$305,$O2001)&amp;"",""))</f>
      </c>
      <c r="L2001" s="220">
        <f>IF(OR($C2001="",N($B2001)=0),"",IF(AND($I2001="Phản ánh",$E2001="Đã xử lý"),INDEX('Phản ánh'!$U$6:$U$505,MATCH($C2001,'Phản ánh'!$A$6:$A$505,0)),IF(AND($I2001="Công việc",OR($E2001="Hoàn thành",$E2001="Hoàn thành kỳ")),IF(INDEX('Kế hoạch'!$B$6:$B$305,$O2001)="Đột xuất",INDEX('Kế hoạch'!$AY$6:$AY$305,$O2001),IF(N($P2001)=0,"",IF(INT($B2001)&lt;$P2001,$P2001,IF($Q2001&gt;0,$P2001+ROUND((INT($B2001)-$P2001)/$Q2001,0)*$Q2001,IF($R2001&gt;0,EDATE($P2001,ROUND((DATEDIF($P2001,INT($B2001),"m")+(INT($B2001)-EDATE($P2001,DATEDIF($P2001,INT($B2001),"m")))/(EDATE($P2001,DATEDIF($P2001,INT($B2001),"m")+1)-EDATE($P2001,DATEDIF($P2001,INT($B2001),"m"))))/$R2001,0)*$R2001),$P2001))))),"")))</f>
      </c>
      <c r="M2001" s="223">
        <f>IF(OR($C2001="",N($L2001)=0,N($B2001)=0),"",IF(IF(MOD($L2001,1)=0,INT($B2001),$B2001)&lt;=$L2001,"Đúng hạn","Trễ hạn"))</f>
      </c>
      <c r="N2001" s="225">
        <f>IF($C2001="","",ROW())</f>
      </c>
      <c r="O2001" s="225">
        <f>IF($I2001="Công việc",MATCH($C2001,'Kế hoạch'!$A$6:$A$305,0),"")</f>
      </c>
      <c r="P2001" s="234">
        <f>IF($O2001="","",INDEX('Kế hoạch'!$I$6:$I$305,$O2001))</f>
      </c>
      <c r="Q2001" s="225">
        <f>IF($O2001="","",INDEX('Kế hoạch'!$AJ$6:$AJ$305,$O2001))</f>
      </c>
      <c r="R2001" s="225">
        <f>IF($O2001="","",INDEX('Kế hoạch'!$AK$6:$AK$305,$O2001))</f>
      </c>
    </row>
    <row r="2002">
      <c r="A2002" s="223">
        <f>IF($C2002="","",COUNTIF($C$6:$C2002,"?*"))</f>
      </c>
      <c r="B2002" s="217"/>
      <c r="C2002" s="216"/>
      <c r="D2002" s="240"/>
      <c r="E2002" s="218"/>
      <c r="F2002" s="218"/>
      <c r="G2002" s="218"/>
      <c r="H2002" s="219"/>
      <c r="I2002" s="223">
        <f>IF($C2002="","",IF(ISNUMBER(MATCH($C2002,'Phản ánh'!$A$6:$A$505,0)),"Phản ánh",IF(ISNUMBER(MATCH($C2002,'Kế hoạch'!$A$6:$A$305,0)),"Công việc","Mã chưa có")))</f>
      </c>
      <c r="J2002" s="221">
        <f>IF($I2002="Phản ánh",INDEX('Phản ánh'!$C$6:$C$505,MATCH($C2002,'Phản ánh'!$A$6:$A$505,0)),IF($I2002="Công việc",INDEX('Kế hoạch'!$C$6:$C$305,$O2002),""))</f>
      </c>
      <c r="K2002" s="221">
        <f>IF($I2002="Phản ánh",INDEX('Phản ánh'!$K$6:$K$505,MATCH($C2002,'Phản ánh'!$A$6:$A$505,0))&amp;"",IF($I2002="Công việc",INDEX('Kế hoạch'!$N$6:$N$305,$O2002)&amp;"",""))</f>
      </c>
      <c r="L2002" s="220">
        <f>IF(OR($C2002="",N($B2002)=0),"",IF(AND($I2002="Phản ánh",$E2002="Đã xử lý"),INDEX('Phản ánh'!$U$6:$U$505,MATCH($C2002,'Phản ánh'!$A$6:$A$505,0)),IF(AND($I2002="Công việc",OR($E2002="Hoàn thành",$E2002="Hoàn thành kỳ")),IF(INDEX('Kế hoạch'!$B$6:$B$305,$O2002)="Đột xuất",INDEX('Kế hoạch'!$AY$6:$AY$305,$O2002),IF(N($P2002)=0,"",IF(INT($B2002)&lt;$P2002,$P2002,IF($Q2002&gt;0,$P2002+ROUND((INT($B2002)-$P2002)/$Q2002,0)*$Q2002,IF($R2002&gt;0,EDATE($P2002,ROUND((DATEDIF($P2002,INT($B2002),"m")+(INT($B2002)-EDATE($P2002,DATEDIF($P2002,INT($B2002),"m")))/(EDATE($P2002,DATEDIF($P2002,INT($B2002),"m")+1)-EDATE($P2002,DATEDIF($P2002,INT($B2002),"m"))))/$R2002,0)*$R2002),$P2002))))),"")))</f>
      </c>
      <c r="M2002" s="223">
        <f>IF(OR($C2002="",N($L2002)=0,N($B2002)=0),"",IF(IF(MOD($L2002,1)=0,INT($B2002),$B2002)&lt;=$L2002,"Đúng hạn","Trễ hạn"))</f>
      </c>
      <c r="N2002" s="225">
        <f>IF($C2002="","",ROW())</f>
      </c>
      <c r="O2002" s="225">
        <f>IF($I2002="Công việc",MATCH($C2002,'Kế hoạch'!$A$6:$A$305,0),"")</f>
      </c>
      <c r="P2002" s="234">
        <f>IF($O2002="","",INDEX('Kế hoạch'!$I$6:$I$305,$O2002))</f>
      </c>
      <c r="Q2002" s="225">
        <f>IF($O2002="","",INDEX('Kế hoạch'!$AJ$6:$AJ$305,$O2002))</f>
      </c>
      <c r="R2002" s="225">
        <f>IF($O2002="","",INDEX('Kế hoạch'!$AK$6:$AK$305,$O2002))</f>
      </c>
    </row>
    <row r="2003">
      <c r="A2003" s="223">
        <f>IF($C2003="","",COUNTIF($C$6:$C2003,"?*"))</f>
      </c>
      <c r="B2003" s="217"/>
      <c r="C2003" s="216"/>
      <c r="D2003" s="240"/>
      <c r="E2003" s="218"/>
      <c r="F2003" s="218"/>
      <c r="G2003" s="218"/>
      <c r="H2003" s="219"/>
      <c r="I2003" s="223">
        <f>IF($C2003="","",IF(ISNUMBER(MATCH($C2003,'Phản ánh'!$A$6:$A$505,0)),"Phản ánh",IF(ISNUMBER(MATCH($C2003,'Kế hoạch'!$A$6:$A$305,0)),"Công việc","Mã chưa có")))</f>
      </c>
      <c r="J2003" s="221">
        <f>IF($I2003="Phản ánh",INDEX('Phản ánh'!$C$6:$C$505,MATCH($C2003,'Phản ánh'!$A$6:$A$505,0)),IF($I2003="Công việc",INDEX('Kế hoạch'!$C$6:$C$305,$O2003),""))</f>
      </c>
      <c r="K2003" s="221">
        <f>IF($I2003="Phản ánh",INDEX('Phản ánh'!$K$6:$K$505,MATCH($C2003,'Phản ánh'!$A$6:$A$505,0))&amp;"",IF($I2003="Công việc",INDEX('Kế hoạch'!$N$6:$N$305,$O2003)&amp;"",""))</f>
      </c>
      <c r="L2003" s="220">
        <f>IF(OR($C2003="",N($B2003)=0),"",IF(AND($I2003="Phản ánh",$E2003="Đã xử lý"),INDEX('Phản ánh'!$U$6:$U$505,MATCH($C2003,'Phản ánh'!$A$6:$A$505,0)),IF(AND($I2003="Công việc",OR($E2003="Hoàn thành",$E2003="Hoàn thành kỳ")),IF(INDEX('Kế hoạch'!$B$6:$B$305,$O2003)="Đột xuất",INDEX('Kế hoạch'!$AY$6:$AY$305,$O2003),IF(N($P2003)=0,"",IF(INT($B2003)&lt;$P2003,$P2003,IF($Q2003&gt;0,$P2003+ROUND((INT($B2003)-$P2003)/$Q2003,0)*$Q2003,IF($R2003&gt;0,EDATE($P2003,ROUND((DATEDIF($P2003,INT($B2003),"m")+(INT($B2003)-EDATE($P2003,DATEDIF($P2003,INT($B2003),"m")))/(EDATE($P2003,DATEDIF($P2003,INT($B2003),"m")+1)-EDATE($P2003,DATEDIF($P2003,INT($B2003),"m"))))/$R2003,0)*$R2003),$P2003))))),"")))</f>
      </c>
      <c r="M2003" s="223">
        <f>IF(OR($C2003="",N($L2003)=0,N($B2003)=0),"",IF(IF(MOD($L2003,1)=0,INT($B2003),$B2003)&lt;=$L2003,"Đúng hạn","Trễ hạn"))</f>
      </c>
      <c r="N2003" s="225">
        <f>IF($C2003="","",ROW())</f>
      </c>
      <c r="O2003" s="225">
        <f>IF($I2003="Công việc",MATCH($C2003,'Kế hoạch'!$A$6:$A$305,0),"")</f>
      </c>
      <c r="P2003" s="234">
        <f>IF($O2003="","",INDEX('Kế hoạch'!$I$6:$I$305,$O2003))</f>
      </c>
      <c r="Q2003" s="225">
        <f>IF($O2003="","",INDEX('Kế hoạch'!$AJ$6:$AJ$305,$O2003))</f>
      </c>
      <c r="R2003" s="225">
        <f>IF($O2003="","",INDEX('Kế hoạch'!$AK$6:$AK$305,$O2003))</f>
      </c>
    </row>
    <row r="2004">
      <c r="A2004" s="223">
        <f>IF($C2004="","",COUNTIF($C$6:$C2004,"?*"))</f>
      </c>
      <c r="B2004" s="217"/>
      <c r="C2004" s="216"/>
      <c r="D2004" s="240"/>
      <c r="E2004" s="218"/>
      <c r="F2004" s="218"/>
      <c r="G2004" s="218"/>
      <c r="H2004" s="219"/>
      <c r="I2004" s="223">
        <f>IF($C2004="","",IF(ISNUMBER(MATCH($C2004,'Phản ánh'!$A$6:$A$505,0)),"Phản ánh",IF(ISNUMBER(MATCH($C2004,'Kế hoạch'!$A$6:$A$305,0)),"Công việc","Mã chưa có")))</f>
      </c>
      <c r="J2004" s="221">
        <f>IF($I2004="Phản ánh",INDEX('Phản ánh'!$C$6:$C$505,MATCH($C2004,'Phản ánh'!$A$6:$A$505,0)),IF($I2004="Công việc",INDEX('Kế hoạch'!$C$6:$C$305,$O2004),""))</f>
      </c>
      <c r="K2004" s="221">
        <f>IF($I2004="Phản ánh",INDEX('Phản ánh'!$K$6:$K$505,MATCH($C2004,'Phản ánh'!$A$6:$A$505,0))&amp;"",IF($I2004="Công việc",INDEX('Kế hoạch'!$N$6:$N$305,$O2004)&amp;"",""))</f>
      </c>
      <c r="L2004" s="220">
        <f>IF(OR($C2004="",N($B2004)=0),"",IF(AND($I2004="Phản ánh",$E2004="Đã xử lý"),INDEX('Phản ánh'!$U$6:$U$505,MATCH($C2004,'Phản ánh'!$A$6:$A$505,0)),IF(AND($I2004="Công việc",OR($E2004="Hoàn thành",$E2004="Hoàn thành kỳ")),IF(INDEX('Kế hoạch'!$B$6:$B$305,$O2004)="Đột xuất",INDEX('Kế hoạch'!$AY$6:$AY$305,$O2004),IF(N($P2004)=0,"",IF(INT($B2004)&lt;$P2004,$P2004,IF($Q2004&gt;0,$P2004+ROUND((INT($B2004)-$P2004)/$Q2004,0)*$Q2004,IF($R2004&gt;0,EDATE($P2004,ROUND((DATEDIF($P2004,INT($B2004),"m")+(INT($B2004)-EDATE($P2004,DATEDIF($P2004,INT($B2004),"m")))/(EDATE($P2004,DATEDIF($P2004,INT($B2004),"m")+1)-EDATE($P2004,DATEDIF($P2004,INT($B2004),"m"))))/$R2004,0)*$R2004),$P2004))))),"")))</f>
      </c>
      <c r="M2004" s="223">
        <f>IF(OR($C2004="",N($L2004)=0,N($B2004)=0),"",IF(IF(MOD($L2004,1)=0,INT($B2004),$B2004)&lt;=$L2004,"Đúng hạn","Trễ hạn"))</f>
      </c>
      <c r="N2004" s="225">
        <f>IF($C2004="","",ROW())</f>
      </c>
      <c r="O2004" s="225">
        <f>IF($I2004="Công việc",MATCH($C2004,'Kế hoạch'!$A$6:$A$305,0),"")</f>
      </c>
      <c r="P2004" s="234">
        <f>IF($O2004="","",INDEX('Kế hoạch'!$I$6:$I$305,$O2004))</f>
      </c>
      <c r="Q2004" s="225">
        <f>IF($O2004="","",INDEX('Kế hoạch'!$AJ$6:$AJ$305,$O2004))</f>
      </c>
      <c r="R2004" s="225">
        <f>IF($O2004="","",INDEX('Kế hoạch'!$AK$6:$AK$305,$O2004))</f>
      </c>
    </row>
    <row r="2005">
      <c r="A2005" s="223">
        <f>IF($C2005="","",COUNTIF($C$6:$C2005,"?*"))</f>
      </c>
      <c r="B2005" s="217"/>
      <c r="C2005" s="216"/>
      <c r="D2005" s="240"/>
      <c r="E2005" s="218"/>
      <c r="F2005" s="218"/>
      <c r="G2005" s="218"/>
      <c r="H2005" s="219"/>
      <c r="I2005" s="223">
        <f>IF($C2005="","",IF(ISNUMBER(MATCH($C2005,'Phản ánh'!$A$6:$A$505,0)),"Phản ánh",IF(ISNUMBER(MATCH($C2005,'Kế hoạch'!$A$6:$A$305,0)),"Công việc","Mã chưa có")))</f>
      </c>
      <c r="J2005" s="221">
        <f>IF($I2005="Phản ánh",INDEX('Phản ánh'!$C$6:$C$505,MATCH($C2005,'Phản ánh'!$A$6:$A$505,0)),IF($I2005="Công việc",INDEX('Kế hoạch'!$C$6:$C$305,$O2005),""))</f>
      </c>
      <c r="K2005" s="221">
        <f>IF($I2005="Phản ánh",INDEX('Phản ánh'!$K$6:$K$505,MATCH($C2005,'Phản ánh'!$A$6:$A$505,0))&amp;"",IF($I2005="Công việc",INDEX('Kế hoạch'!$N$6:$N$305,$O2005)&amp;"",""))</f>
      </c>
      <c r="L2005" s="220">
        <f>IF(OR($C2005="",N($B2005)=0),"",IF(AND($I2005="Phản ánh",$E2005="Đã xử lý"),INDEX('Phản ánh'!$U$6:$U$505,MATCH($C2005,'Phản ánh'!$A$6:$A$505,0)),IF(AND($I2005="Công việc",OR($E2005="Hoàn thành",$E2005="Hoàn thành kỳ")),IF(INDEX('Kế hoạch'!$B$6:$B$305,$O2005)="Đột xuất",INDEX('Kế hoạch'!$AY$6:$AY$305,$O2005),IF(N($P2005)=0,"",IF(INT($B2005)&lt;$P2005,$P2005,IF($Q2005&gt;0,$P2005+ROUND((INT($B2005)-$P2005)/$Q2005,0)*$Q2005,IF($R2005&gt;0,EDATE($P2005,ROUND((DATEDIF($P2005,INT($B2005),"m")+(INT($B2005)-EDATE($P2005,DATEDIF($P2005,INT($B2005),"m")))/(EDATE($P2005,DATEDIF($P2005,INT($B2005),"m")+1)-EDATE($P2005,DATEDIF($P2005,INT($B2005),"m"))))/$R2005,0)*$R2005),$P2005))))),"")))</f>
      </c>
      <c r="M2005" s="223">
        <f>IF(OR($C2005="",N($L2005)=0,N($B2005)=0),"",IF(IF(MOD($L2005,1)=0,INT($B2005),$B2005)&lt;=$L2005,"Đúng hạn","Trễ hạn"))</f>
      </c>
      <c r="N2005" s="225">
        <f>IF($C2005="","",ROW())</f>
      </c>
      <c r="O2005" s="225">
        <f>IF($I2005="Công việc",MATCH($C2005,'Kế hoạch'!$A$6:$A$305,0),"")</f>
      </c>
      <c r="P2005" s="234">
        <f>IF($O2005="","",INDEX('Kế hoạch'!$I$6:$I$305,$O2005))</f>
      </c>
      <c r="Q2005" s="225">
        <f>IF($O2005="","",INDEX('Kế hoạch'!$AJ$6:$AJ$305,$O2005))</f>
      </c>
      <c r="R2005" s="225">
        <f>IF($O2005="","",INDEX('Kế hoạch'!$AK$6:$AK$305,$O2005))</f>
      </c>
    </row>
    <row r="2006">
      <c r="A2006" s="223">
        <f>IF($C2006="","",COUNTIF($C$6:$C2006,"?*"))</f>
      </c>
      <c r="B2006" s="217"/>
      <c r="C2006" s="216"/>
      <c r="D2006" s="240"/>
      <c r="E2006" s="218"/>
      <c r="F2006" s="218"/>
      <c r="G2006" s="218"/>
      <c r="H2006" s="219"/>
      <c r="I2006" s="223">
        <f>IF($C2006="","",IF(ISNUMBER(MATCH($C2006,'Phản ánh'!$A$6:$A$505,0)),"Phản ánh",IF(ISNUMBER(MATCH($C2006,'Kế hoạch'!$A$6:$A$305,0)),"Công việc","Mã chưa có")))</f>
      </c>
      <c r="J2006" s="221">
        <f>IF($I2006="Phản ánh",INDEX('Phản ánh'!$C$6:$C$505,MATCH($C2006,'Phản ánh'!$A$6:$A$505,0)),IF($I2006="Công việc",INDEX('Kế hoạch'!$C$6:$C$305,$O2006),""))</f>
      </c>
      <c r="K2006" s="221">
        <f>IF($I2006="Phản ánh",INDEX('Phản ánh'!$K$6:$K$505,MATCH($C2006,'Phản ánh'!$A$6:$A$505,0))&amp;"",IF($I2006="Công việc",INDEX('Kế hoạch'!$N$6:$N$305,$O2006)&amp;"",""))</f>
      </c>
      <c r="L2006" s="220">
        <f>IF(OR($C2006="",N($B2006)=0),"",IF(AND($I2006="Phản ánh",$E2006="Đã xử lý"),INDEX('Phản ánh'!$U$6:$U$505,MATCH($C2006,'Phản ánh'!$A$6:$A$505,0)),IF(AND($I2006="Công việc",OR($E2006="Hoàn thành",$E2006="Hoàn thành kỳ")),IF(INDEX('Kế hoạch'!$B$6:$B$305,$O2006)="Đột xuất",INDEX('Kế hoạch'!$AY$6:$AY$305,$O2006),IF(N($P2006)=0,"",IF(INT($B2006)&lt;$P2006,$P2006,IF($Q2006&gt;0,$P2006+ROUND((INT($B2006)-$P2006)/$Q2006,0)*$Q2006,IF($R2006&gt;0,EDATE($P2006,ROUND((DATEDIF($P2006,INT($B2006),"m")+(INT($B2006)-EDATE($P2006,DATEDIF($P2006,INT($B2006),"m")))/(EDATE($P2006,DATEDIF($P2006,INT($B2006),"m")+1)-EDATE($P2006,DATEDIF($P2006,INT($B2006),"m"))))/$R2006,0)*$R2006),$P2006))))),"")))</f>
      </c>
      <c r="M2006" s="223">
        <f>IF(OR($C2006="",N($L2006)=0,N($B2006)=0),"",IF(IF(MOD($L2006,1)=0,INT($B2006),$B2006)&lt;=$L2006,"Đúng hạn","Trễ hạn"))</f>
      </c>
      <c r="N2006" s="225">
        <f>IF($C2006="","",ROW())</f>
      </c>
      <c r="O2006" s="225">
        <f>IF($I2006="Công việc",MATCH($C2006,'Kế hoạch'!$A$6:$A$305,0),"")</f>
      </c>
      <c r="P2006" s="234">
        <f>IF($O2006="","",INDEX('Kế hoạch'!$I$6:$I$305,$O2006))</f>
      </c>
      <c r="Q2006" s="225">
        <f>IF($O2006="","",INDEX('Kế hoạch'!$AJ$6:$AJ$305,$O2006))</f>
      </c>
      <c r="R2006" s="225">
        <f>IF($O2006="","",INDEX('Kế hoạch'!$AK$6:$AK$305,$O2006))</f>
      </c>
    </row>
    <row r="2007">
      <c r="A2007" s="223">
        <f>IF($C2007="","",COUNTIF($C$6:$C2007,"?*"))</f>
      </c>
      <c r="B2007" s="217"/>
      <c r="C2007" s="216"/>
      <c r="D2007" s="240"/>
      <c r="E2007" s="218"/>
      <c r="F2007" s="218"/>
      <c r="G2007" s="218"/>
      <c r="H2007" s="219"/>
      <c r="I2007" s="223">
        <f>IF($C2007="","",IF(ISNUMBER(MATCH($C2007,'Phản ánh'!$A$6:$A$505,0)),"Phản ánh",IF(ISNUMBER(MATCH($C2007,'Kế hoạch'!$A$6:$A$305,0)),"Công việc","Mã chưa có")))</f>
      </c>
      <c r="J2007" s="221">
        <f>IF($I2007="Phản ánh",INDEX('Phản ánh'!$C$6:$C$505,MATCH($C2007,'Phản ánh'!$A$6:$A$505,0)),IF($I2007="Công việc",INDEX('Kế hoạch'!$C$6:$C$305,$O2007),""))</f>
      </c>
      <c r="K2007" s="221">
        <f>IF($I2007="Phản ánh",INDEX('Phản ánh'!$K$6:$K$505,MATCH($C2007,'Phản ánh'!$A$6:$A$505,0))&amp;"",IF($I2007="Công việc",INDEX('Kế hoạch'!$N$6:$N$305,$O2007)&amp;"",""))</f>
      </c>
      <c r="L2007" s="220">
        <f>IF(OR($C2007="",N($B2007)=0),"",IF(AND($I2007="Phản ánh",$E2007="Đã xử lý"),INDEX('Phản ánh'!$U$6:$U$505,MATCH($C2007,'Phản ánh'!$A$6:$A$505,0)),IF(AND($I2007="Công việc",OR($E2007="Hoàn thành",$E2007="Hoàn thành kỳ")),IF(INDEX('Kế hoạch'!$B$6:$B$305,$O2007)="Đột xuất",INDEX('Kế hoạch'!$AY$6:$AY$305,$O2007),IF(N($P2007)=0,"",IF(INT($B2007)&lt;$P2007,$P2007,IF($Q2007&gt;0,$P2007+ROUND((INT($B2007)-$P2007)/$Q2007,0)*$Q2007,IF($R2007&gt;0,EDATE($P2007,ROUND((DATEDIF($P2007,INT($B2007),"m")+(INT($B2007)-EDATE($P2007,DATEDIF($P2007,INT($B2007),"m")))/(EDATE($P2007,DATEDIF($P2007,INT($B2007),"m")+1)-EDATE($P2007,DATEDIF($P2007,INT($B2007),"m"))))/$R2007,0)*$R2007),$P2007))))),"")))</f>
      </c>
      <c r="M2007" s="223">
        <f>IF(OR($C2007="",N($L2007)=0,N($B2007)=0),"",IF(IF(MOD($L2007,1)=0,INT($B2007),$B2007)&lt;=$L2007,"Đúng hạn","Trễ hạn"))</f>
      </c>
      <c r="N2007" s="225">
        <f>IF($C2007="","",ROW())</f>
      </c>
      <c r="O2007" s="225">
        <f>IF($I2007="Công việc",MATCH($C2007,'Kế hoạch'!$A$6:$A$305,0),"")</f>
      </c>
      <c r="P2007" s="234">
        <f>IF($O2007="","",INDEX('Kế hoạch'!$I$6:$I$305,$O2007))</f>
      </c>
      <c r="Q2007" s="225">
        <f>IF($O2007="","",INDEX('Kế hoạch'!$AJ$6:$AJ$305,$O2007))</f>
      </c>
      <c r="R2007" s="225">
        <f>IF($O2007="","",INDEX('Kế hoạch'!$AK$6:$AK$305,$O2007))</f>
      </c>
    </row>
    <row r="2008">
      <c r="A2008" s="223">
        <f>IF($C2008="","",COUNTIF($C$6:$C2008,"?*"))</f>
      </c>
      <c r="B2008" s="217"/>
      <c r="C2008" s="216"/>
      <c r="D2008" s="240"/>
      <c r="E2008" s="218"/>
      <c r="F2008" s="218"/>
      <c r="G2008" s="218"/>
      <c r="H2008" s="219"/>
      <c r="I2008" s="223">
        <f>IF($C2008="","",IF(ISNUMBER(MATCH($C2008,'Phản ánh'!$A$6:$A$505,0)),"Phản ánh",IF(ISNUMBER(MATCH($C2008,'Kế hoạch'!$A$6:$A$305,0)),"Công việc","Mã chưa có")))</f>
      </c>
      <c r="J2008" s="221">
        <f>IF($I2008="Phản ánh",INDEX('Phản ánh'!$C$6:$C$505,MATCH($C2008,'Phản ánh'!$A$6:$A$505,0)),IF($I2008="Công việc",INDEX('Kế hoạch'!$C$6:$C$305,$O2008),""))</f>
      </c>
      <c r="K2008" s="221">
        <f>IF($I2008="Phản ánh",INDEX('Phản ánh'!$K$6:$K$505,MATCH($C2008,'Phản ánh'!$A$6:$A$505,0))&amp;"",IF($I2008="Công việc",INDEX('Kế hoạch'!$N$6:$N$305,$O2008)&amp;"",""))</f>
      </c>
      <c r="L2008" s="220">
        <f>IF(OR($C2008="",N($B2008)=0),"",IF(AND($I2008="Phản ánh",$E2008="Đã xử lý"),INDEX('Phản ánh'!$U$6:$U$505,MATCH($C2008,'Phản ánh'!$A$6:$A$505,0)),IF(AND($I2008="Công việc",OR($E2008="Hoàn thành",$E2008="Hoàn thành kỳ")),IF(INDEX('Kế hoạch'!$B$6:$B$305,$O2008)="Đột xuất",INDEX('Kế hoạch'!$AY$6:$AY$305,$O2008),IF(N($P2008)=0,"",IF(INT($B2008)&lt;$P2008,$P2008,IF($Q2008&gt;0,$P2008+ROUND((INT($B2008)-$P2008)/$Q2008,0)*$Q2008,IF($R2008&gt;0,EDATE($P2008,ROUND((DATEDIF($P2008,INT($B2008),"m")+(INT($B2008)-EDATE($P2008,DATEDIF($P2008,INT($B2008),"m")))/(EDATE($P2008,DATEDIF($P2008,INT($B2008),"m")+1)-EDATE($P2008,DATEDIF($P2008,INT($B2008),"m"))))/$R2008,0)*$R2008),$P2008))))),"")))</f>
      </c>
      <c r="M2008" s="223">
        <f>IF(OR($C2008="",N($L2008)=0,N($B2008)=0),"",IF(IF(MOD($L2008,1)=0,INT($B2008),$B2008)&lt;=$L2008,"Đúng hạn","Trễ hạn"))</f>
      </c>
      <c r="N2008" s="225">
        <f>IF($C2008="","",ROW())</f>
      </c>
      <c r="O2008" s="225">
        <f>IF($I2008="Công việc",MATCH($C2008,'Kế hoạch'!$A$6:$A$305,0),"")</f>
      </c>
      <c r="P2008" s="234">
        <f>IF($O2008="","",INDEX('Kế hoạch'!$I$6:$I$305,$O2008))</f>
      </c>
      <c r="Q2008" s="225">
        <f>IF($O2008="","",INDEX('Kế hoạch'!$AJ$6:$AJ$305,$O2008))</f>
      </c>
      <c r="R2008" s="225">
        <f>IF($O2008="","",INDEX('Kế hoạch'!$AK$6:$AK$305,$O2008))</f>
      </c>
    </row>
    <row r="2009">
      <c r="A2009" s="223">
        <f>IF($C2009="","",COUNTIF($C$6:$C2009,"?*"))</f>
      </c>
      <c r="B2009" s="217"/>
      <c r="C2009" s="216"/>
      <c r="D2009" s="240"/>
      <c r="E2009" s="218"/>
      <c r="F2009" s="218"/>
      <c r="G2009" s="218"/>
      <c r="H2009" s="219"/>
      <c r="I2009" s="223">
        <f>IF($C2009="","",IF(ISNUMBER(MATCH($C2009,'Phản ánh'!$A$6:$A$505,0)),"Phản ánh",IF(ISNUMBER(MATCH($C2009,'Kế hoạch'!$A$6:$A$305,0)),"Công việc","Mã chưa có")))</f>
      </c>
      <c r="J2009" s="221">
        <f>IF($I2009="Phản ánh",INDEX('Phản ánh'!$C$6:$C$505,MATCH($C2009,'Phản ánh'!$A$6:$A$505,0)),IF($I2009="Công việc",INDEX('Kế hoạch'!$C$6:$C$305,$O2009),""))</f>
      </c>
      <c r="K2009" s="221">
        <f>IF($I2009="Phản ánh",INDEX('Phản ánh'!$K$6:$K$505,MATCH($C2009,'Phản ánh'!$A$6:$A$505,0))&amp;"",IF($I2009="Công việc",INDEX('Kế hoạch'!$N$6:$N$305,$O2009)&amp;"",""))</f>
      </c>
      <c r="L2009" s="220">
        <f>IF(OR($C2009="",N($B2009)=0),"",IF(AND($I2009="Phản ánh",$E2009="Đã xử lý"),INDEX('Phản ánh'!$U$6:$U$505,MATCH($C2009,'Phản ánh'!$A$6:$A$505,0)),IF(AND($I2009="Công việc",OR($E2009="Hoàn thành",$E2009="Hoàn thành kỳ")),IF(INDEX('Kế hoạch'!$B$6:$B$305,$O2009)="Đột xuất",INDEX('Kế hoạch'!$AY$6:$AY$305,$O2009),IF(N($P2009)=0,"",IF(INT($B2009)&lt;$P2009,$P2009,IF($Q2009&gt;0,$P2009+ROUND((INT($B2009)-$P2009)/$Q2009,0)*$Q2009,IF($R2009&gt;0,EDATE($P2009,ROUND((DATEDIF($P2009,INT($B2009),"m")+(INT($B2009)-EDATE($P2009,DATEDIF($P2009,INT($B2009),"m")))/(EDATE($P2009,DATEDIF($P2009,INT($B2009),"m")+1)-EDATE($P2009,DATEDIF($P2009,INT($B2009),"m"))))/$R2009,0)*$R2009),$P2009))))),"")))</f>
      </c>
      <c r="M2009" s="223">
        <f>IF(OR($C2009="",N($L2009)=0,N($B2009)=0),"",IF(IF(MOD($L2009,1)=0,INT($B2009),$B2009)&lt;=$L2009,"Đúng hạn","Trễ hạn"))</f>
      </c>
      <c r="N2009" s="225">
        <f>IF($C2009="","",ROW())</f>
      </c>
      <c r="O2009" s="225">
        <f>IF($I2009="Công việc",MATCH($C2009,'Kế hoạch'!$A$6:$A$305,0),"")</f>
      </c>
      <c r="P2009" s="234">
        <f>IF($O2009="","",INDEX('Kế hoạch'!$I$6:$I$305,$O2009))</f>
      </c>
      <c r="Q2009" s="225">
        <f>IF($O2009="","",INDEX('Kế hoạch'!$AJ$6:$AJ$305,$O2009))</f>
      </c>
      <c r="R2009" s="225">
        <f>IF($O2009="","",INDEX('Kế hoạch'!$AK$6:$AK$305,$O2009))</f>
      </c>
    </row>
    <row r="2010">
      <c r="A2010" s="223">
        <f>IF($C2010="","",COUNTIF($C$6:$C2010,"?*"))</f>
      </c>
      <c r="B2010" s="217"/>
      <c r="C2010" s="216"/>
      <c r="D2010" s="240"/>
      <c r="E2010" s="218"/>
      <c r="F2010" s="218"/>
      <c r="G2010" s="218"/>
      <c r="H2010" s="219"/>
      <c r="I2010" s="223">
        <f>IF($C2010="","",IF(ISNUMBER(MATCH($C2010,'Phản ánh'!$A$6:$A$505,0)),"Phản ánh",IF(ISNUMBER(MATCH($C2010,'Kế hoạch'!$A$6:$A$305,0)),"Công việc","Mã chưa có")))</f>
      </c>
      <c r="J2010" s="221">
        <f>IF($I2010="Phản ánh",INDEX('Phản ánh'!$C$6:$C$505,MATCH($C2010,'Phản ánh'!$A$6:$A$505,0)),IF($I2010="Công việc",INDEX('Kế hoạch'!$C$6:$C$305,$O2010),""))</f>
      </c>
      <c r="K2010" s="221">
        <f>IF($I2010="Phản ánh",INDEX('Phản ánh'!$K$6:$K$505,MATCH($C2010,'Phản ánh'!$A$6:$A$505,0))&amp;"",IF($I2010="Công việc",INDEX('Kế hoạch'!$N$6:$N$305,$O2010)&amp;"",""))</f>
      </c>
      <c r="L2010" s="220">
        <f>IF(OR($C2010="",N($B2010)=0),"",IF(AND($I2010="Phản ánh",$E2010="Đã xử lý"),INDEX('Phản ánh'!$U$6:$U$505,MATCH($C2010,'Phản ánh'!$A$6:$A$505,0)),IF(AND($I2010="Công việc",OR($E2010="Hoàn thành",$E2010="Hoàn thành kỳ")),IF(INDEX('Kế hoạch'!$B$6:$B$305,$O2010)="Đột xuất",INDEX('Kế hoạch'!$AY$6:$AY$305,$O2010),IF(N($P2010)=0,"",IF(INT($B2010)&lt;$P2010,$P2010,IF($Q2010&gt;0,$P2010+ROUND((INT($B2010)-$P2010)/$Q2010,0)*$Q2010,IF($R2010&gt;0,EDATE($P2010,ROUND((DATEDIF($P2010,INT($B2010),"m")+(INT($B2010)-EDATE($P2010,DATEDIF($P2010,INT($B2010),"m")))/(EDATE($P2010,DATEDIF($P2010,INT($B2010),"m")+1)-EDATE($P2010,DATEDIF($P2010,INT($B2010),"m"))))/$R2010,0)*$R2010),$P2010))))),"")))</f>
      </c>
      <c r="M2010" s="223">
        <f>IF(OR($C2010="",N($L2010)=0,N($B2010)=0),"",IF(IF(MOD($L2010,1)=0,INT($B2010),$B2010)&lt;=$L2010,"Đúng hạn","Trễ hạn"))</f>
      </c>
      <c r="N2010" s="225">
        <f>IF($C2010="","",ROW())</f>
      </c>
      <c r="O2010" s="225">
        <f>IF($I2010="Công việc",MATCH($C2010,'Kế hoạch'!$A$6:$A$305,0),"")</f>
      </c>
      <c r="P2010" s="234">
        <f>IF($O2010="","",INDEX('Kế hoạch'!$I$6:$I$305,$O2010))</f>
      </c>
      <c r="Q2010" s="225">
        <f>IF($O2010="","",INDEX('Kế hoạch'!$AJ$6:$AJ$305,$O2010))</f>
      </c>
      <c r="R2010" s="225">
        <f>IF($O2010="","",INDEX('Kế hoạch'!$AK$6:$AK$305,$O2010))</f>
      </c>
    </row>
    <row r="2011">
      <c r="A2011" s="223">
        <f>IF($C2011="","",COUNTIF($C$6:$C2011,"?*"))</f>
      </c>
      <c r="B2011" s="217"/>
      <c r="C2011" s="216"/>
      <c r="D2011" s="240"/>
      <c r="E2011" s="218"/>
      <c r="F2011" s="218"/>
      <c r="G2011" s="218"/>
      <c r="H2011" s="219"/>
      <c r="I2011" s="223">
        <f>IF($C2011="","",IF(ISNUMBER(MATCH($C2011,'Phản ánh'!$A$6:$A$505,0)),"Phản ánh",IF(ISNUMBER(MATCH($C2011,'Kế hoạch'!$A$6:$A$305,0)),"Công việc","Mã chưa có")))</f>
      </c>
      <c r="J2011" s="221">
        <f>IF($I2011="Phản ánh",INDEX('Phản ánh'!$C$6:$C$505,MATCH($C2011,'Phản ánh'!$A$6:$A$505,0)),IF($I2011="Công việc",INDEX('Kế hoạch'!$C$6:$C$305,$O2011),""))</f>
      </c>
      <c r="K2011" s="221">
        <f>IF($I2011="Phản ánh",INDEX('Phản ánh'!$K$6:$K$505,MATCH($C2011,'Phản ánh'!$A$6:$A$505,0))&amp;"",IF($I2011="Công việc",INDEX('Kế hoạch'!$N$6:$N$305,$O2011)&amp;"",""))</f>
      </c>
      <c r="L2011" s="220">
        <f>IF(OR($C2011="",N($B2011)=0),"",IF(AND($I2011="Phản ánh",$E2011="Đã xử lý"),INDEX('Phản ánh'!$U$6:$U$505,MATCH($C2011,'Phản ánh'!$A$6:$A$505,0)),IF(AND($I2011="Công việc",OR($E2011="Hoàn thành",$E2011="Hoàn thành kỳ")),IF(INDEX('Kế hoạch'!$B$6:$B$305,$O2011)="Đột xuất",INDEX('Kế hoạch'!$AY$6:$AY$305,$O2011),IF(N($P2011)=0,"",IF(INT($B2011)&lt;$P2011,$P2011,IF($Q2011&gt;0,$P2011+ROUND((INT($B2011)-$P2011)/$Q2011,0)*$Q2011,IF($R2011&gt;0,EDATE($P2011,ROUND((DATEDIF($P2011,INT($B2011),"m")+(INT($B2011)-EDATE($P2011,DATEDIF($P2011,INT($B2011),"m")))/(EDATE($P2011,DATEDIF($P2011,INT($B2011),"m")+1)-EDATE($P2011,DATEDIF($P2011,INT($B2011),"m"))))/$R2011,0)*$R2011),$P2011))))),"")))</f>
      </c>
      <c r="M2011" s="223">
        <f>IF(OR($C2011="",N($L2011)=0,N($B2011)=0),"",IF(IF(MOD($L2011,1)=0,INT($B2011),$B2011)&lt;=$L2011,"Đúng hạn","Trễ hạn"))</f>
      </c>
      <c r="N2011" s="225">
        <f>IF($C2011="","",ROW())</f>
      </c>
      <c r="O2011" s="225">
        <f>IF($I2011="Công việc",MATCH($C2011,'Kế hoạch'!$A$6:$A$305,0),"")</f>
      </c>
      <c r="P2011" s="234">
        <f>IF($O2011="","",INDEX('Kế hoạch'!$I$6:$I$305,$O2011))</f>
      </c>
      <c r="Q2011" s="225">
        <f>IF($O2011="","",INDEX('Kế hoạch'!$AJ$6:$AJ$305,$O2011))</f>
      </c>
      <c r="R2011" s="225">
        <f>IF($O2011="","",INDEX('Kế hoạch'!$AK$6:$AK$305,$O2011))</f>
      </c>
    </row>
    <row r="2012">
      <c r="A2012" s="223">
        <f>IF($C2012="","",COUNTIF($C$6:$C2012,"?*"))</f>
      </c>
      <c r="B2012" s="217"/>
      <c r="C2012" s="216"/>
      <c r="D2012" s="240"/>
      <c r="E2012" s="218"/>
      <c r="F2012" s="218"/>
      <c r="G2012" s="218"/>
      <c r="H2012" s="219"/>
      <c r="I2012" s="223">
        <f>IF($C2012="","",IF(ISNUMBER(MATCH($C2012,'Phản ánh'!$A$6:$A$505,0)),"Phản ánh",IF(ISNUMBER(MATCH($C2012,'Kế hoạch'!$A$6:$A$305,0)),"Công việc","Mã chưa có")))</f>
      </c>
      <c r="J2012" s="221">
        <f>IF($I2012="Phản ánh",INDEX('Phản ánh'!$C$6:$C$505,MATCH($C2012,'Phản ánh'!$A$6:$A$505,0)),IF($I2012="Công việc",INDEX('Kế hoạch'!$C$6:$C$305,$O2012),""))</f>
      </c>
      <c r="K2012" s="221">
        <f>IF($I2012="Phản ánh",INDEX('Phản ánh'!$K$6:$K$505,MATCH($C2012,'Phản ánh'!$A$6:$A$505,0))&amp;"",IF($I2012="Công việc",INDEX('Kế hoạch'!$N$6:$N$305,$O2012)&amp;"",""))</f>
      </c>
      <c r="L2012" s="220">
        <f>IF(OR($C2012="",N($B2012)=0),"",IF(AND($I2012="Phản ánh",$E2012="Đã xử lý"),INDEX('Phản ánh'!$U$6:$U$505,MATCH($C2012,'Phản ánh'!$A$6:$A$505,0)),IF(AND($I2012="Công việc",OR($E2012="Hoàn thành",$E2012="Hoàn thành kỳ")),IF(INDEX('Kế hoạch'!$B$6:$B$305,$O2012)="Đột xuất",INDEX('Kế hoạch'!$AY$6:$AY$305,$O2012),IF(N($P2012)=0,"",IF(INT($B2012)&lt;$P2012,$P2012,IF($Q2012&gt;0,$P2012+ROUND((INT($B2012)-$P2012)/$Q2012,0)*$Q2012,IF($R2012&gt;0,EDATE($P2012,ROUND((DATEDIF($P2012,INT($B2012),"m")+(INT($B2012)-EDATE($P2012,DATEDIF($P2012,INT($B2012),"m")))/(EDATE($P2012,DATEDIF($P2012,INT($B2012),"m")+1)-EDATE($P2012,DATEDIF($P2012,INT($B2012),"m"))))/$R2012,0)*$R2012),$P2012))))),"")))</f>
      </c>
      <c r="M2012" s="223">
        <f>IF(OR($C2012="",N($L2012)=0,N($B2012)=0),"",IF(IF(MOD($L2012,1)=0,INT($B2012),$B2012)&lt;=$L2012,"Đúng hạn","Trễ hạn"))</f>
      </c>
      <c r="N2012" s="225">
        <f>IF($C2012="","",ROW())</f>
      </c>
      <c r="O2012" s="225">
        <f>IF($I2012="Công việc",MATCH($C2012,'Kế hoạch'!$A$6:$A$305,0),"")</f>
      </c>
      <c r="P2012" s="234">
        <f>IF($O2012="","",INDEX('Kế hoạch'!$I$6:$I$305,$O2012))</f>
      </c>
      <c r="Q2012" s="225">
        <f>IF($O2012="","",INDEX('Kế hoạch'!$AJ$6:$AJ$305,$O2012))</f>
      </c>
      <c r="R2012" s="225">
        <f>IF($O2012="","",INDEX('Kế hoạch'!$AK$6:$AK$305,$O2012))</f>
      </c>
    </row>
    <row r="2013">
      <c r="A2013" s="223">
        <f>IF($C2013="","",COUNTIF($C$6:$C2013,"?*"))</f>
      </c>
      <c r="B2013" s="217"/>
      <c r="C2013" s="216"/>
      <c r="D2013" s="240"/>
      <c r="E2013" s="218"/>
      <c r="F2013" s="218"/>
      <c r="G2013" s="218"/>
      <c r="H2013" s="219"/>
      <c r="I2013" s="223">
        <f>IF($C2013="","",IF(ISNUMBER(MATCH($C2013,'Phản ánh'!$A$6:$A$505,0)),"Phản ánh",IF(ISNUMBER(MATCH($C2013,'Kế hoạch'!$A$6:$A$305,0)),"Công việc","Mã chưa có")))</f>
      </c>
      <c r="J2013" s="221">
        <f>IF($I2013="Phản ánh",INDEX('Phản ánh'!$C$6:$C$505,MATCH($C2013,'Phản ánh'!$A$6:$A$505,0)),IF($I2013="Công việc",INDEX('Kế hoạch'!$C$6:$C$305,$O2013),""))</f>
      </c>
      <c r="K2013" s="221">
        <f>IF($I2013="Phản ánh",INDEX('Phản ánh'!$K$6:$K$505,MATCH($C2013,'Phản ánh'!$A$6:$A$505,0))&amp;"",IF($I2013="Công việc",INDEX('Kế hoạch'!$N$6:$N$305,$O2013)&amp;"",""))</f>
      </c>
      <c r="L2013" s="220">
        <f>IF(OR($C2013="",N($B2013)=0),"",IF(AND($I2013="Phản ánh",$E2013="Đã xử lý"),INDEX('Phản ánh'!$U$6:$U$505,MATCH($C2013,'Phản ánh'!$A$6:$A$505,0)),IF(AND($I2013="Công việc",OR($E2013="Hoàn thành",$E2013="Hoàn thành kỳ")),IF(INDEX('Kế hoạch'!$B$6:$B$305,$O2013)="Đột xuất",INDEX('Kế hoạch'!$AY$6:$AY$305,$O2013),IF(N($P2013)=0,"",IF(INT($B2013)&lt;$P2013,$P2013,IF($Q2013&gt;0,$P2013+ROUND((INT($B2013)-$P2013)/$Q2013,0)*$Q2013,IF($R2013&gt;0,EDATE($P2013,ROUND((DATEDIF($P2013,INT($B2013),"m")+(INT($B2013)-EDATE($P2013,DATEDIF($P2013,INT($B2013),"m")))/(EDATE($P2013,DATEDIF($P2013,INT($B2013),"m")+1)-EDATE($P2013,DATEDIF($P2013,INT($B2013),"m"))))/$R2013,0)*$R2013),$P2013))))),"")))</f>
      </c>
      <c r="M2013" s="223">
        <f>IF(OR($C2013="",N($L2013)=0,N($B2013)=0),"",IF(IF(MOD($L2013,1)=0,INT($B2013),$B2013)&lt;=$L2013,"Đúng hạn","Trễ hạn"))</f>
      </c>
      <c r="N2013" s="225">
        <f>IF($C2013="","",ROW())</f>
      </c>
      <c r="O2013" s="225">
        <f>IF($I2013="Công việc",MATCH($C2013,'Kế hoạch'!$A$6:$A$305,0),"")</f>
      </c>
      <c r="P2013" s="234">
        <f>IF($O2013="","",INDEX('Kế hoạch'!$I$6:$I$305,$O2013))</f>
      </c>
      <c r="Q2013" s="225">
        <f>IF($O2013="","",INDEX('Kế hoạch'!$AJ$6:$AJ$305,$O2013))</f>
      </c>
      <c r="R2013" s="225">
        <f>IF($O2013="","",INDEX('Kế hoạch'!$AK$6:$AK$305,$O2013))</f>
      </c>
    </row>
    <row r="2014">
      <c r="A2014" s="223">
        <f>IF($C2014="","",COUNTIF($C$6:$C2014,"?*"))</f>
      </c>
      <c r="B2014" s="217"/>
      <c r="C2014" s="216"/>
      <c r="D2014" s="240"/>
      <c r="E2014" s="218"/>
      <c r="F2014" s="218"/>
      <c r="G2014" s="218"/>
      <c r="H2014" s="219"/>
      <c r="I2014" s="223">
        <f>IF($C2014="","",IF(ISNUMBER(MATCH($C2014,'Phản ánh'!$A$6:$A$505,0)),"Phản ánh",IF(ISNUMBER(MATCH($C2014,'Kế hoạch'!$A$6:$A$305,0)),"Công việc","Mã chưa có")))</f>
      </c>
      <c r="J2014" s="221">
        <f>IF($I2014="Phản ánh",INDEX('Phản ánh'!$C$6:$C$505,MATCH($C2014,'Phản ánh'!$A$6:$A$505,0)),IF($I2014="Công việc",INDEX('Kế hoạch'!$C$6:$C$305,$O2014),""))</f>
      </c>
      <c r="K2014" s="221">
        <f>IF($I2014="Phản ánh",INDEX('Phản ánh'!$K$6:$K$505,MATCH($C2014,'Phản ánh'!$A$6:$A$505,0))&amp;"",IF($I2014="Công việc",INDEX('Kế hoạch'!$N$6:$N$305,$O2014)&amp;"",""))</f>
      </c>
      <c r="L2014" s="220">
        <f>IF(OR($C2014="",N($B2014)=0),"",IF(AND($I2014="Phản ánh",$E2014="Đã xử lý"),INDEX('Phản ánh'!$U$6:$U$505,MATCH($C2014,'Phản ánh'!$A$6:$A$505,0)),IF(AND($I2014="Công việc",OR($E2014="Hoàn thành",$E2014="Hoàn thành kỳ")),IF(INDEX('Kế hoạch'!$B$6:$B$305,$O2014)="Đột xuất",INDEX('Kế hoạch'!$AY$6:$AY$305,$O2014),IF(N($P2014)=0,"",IF(INT($B2014)&lt;$P2014,$P2014,IF($Q2014&gt;0,$P2014+ROUND((INT($B2014)-$P2014)/$Q2014,0)*$Q2014,IF($R2014&gt;0,EDATE($P2014,ROUND((DATEDIF($P2014,INT($B2014),"m")+(INT($B2014)-EDATE($P2014,DATEDIF($P2014,INT($B2014),"m")))/(EDATE($P2014,DATEDIF($P2014,INT($B2014),"m")+1)-EDATE($P2014,DATEDIF($P2014,INT($B2014),"m"))))/$R2014,0)*$R2014),$P2014))))),"")))</f>
      </c>
      <c r="M2014" s="223">
        <f>IF(OR($C2014="",N($L2014)=0,N($B2014)=0),"",IF(IF(MOD($L2014,1)=0,INT($B2014),$B2014)&lt;=$L2014,"Đúng hạn","Trễ hạn"))</f>
      </c>
      <c r="N2014" s="225">
        <f>IF($C2014="","",ROW())</f>
      </c>
      <c r="O2014" s="225">
        <f>IF($I2014="Công việc",MATCH($C2014,'Kế hoạch'!$A$6:$A$305,0),"")</f>
      </c>
      <c r="P2014" s="234">
        <f>IF($O2014="","",INDEX('Kế hoạch'!$I$6:$I$305,$O2014))</f>
      </c>
      <c r="Q2014" s="225">
        <f>IF($O2014="","",INDEX('Kế hoạch'!$AJ$6:$AJ$305,$O2014))</f>
      </c>
      <c r="R2014" s="225">
        <f>IF($O2014="","",INDEX('Kế hoạch'!$AK$6:$AK$305,$O2014))</f>
      </c>
    </row>
    <row r="2015">
      <c r="A2015" s="223">
        <f>IF($C2015="","",COUNTIF($C$6:$C2015,"?*"))</f>
      </c>
      <c r="B2015" s="217"/>
      <c r="C2015" s="216"/>
      <c r="D2015" s="240"/>
      <c r="E2015" s="218"/>
      <c r="F2015" s="218"/>
      <c r="G2015" s="218"/>
      <c r="H2015" s="219"/>
      <c r="I2015" s="223">
        <f>IF($C2015="","",IF(ISNUMBER(MATCH($C2015,'Phản ánh'!$A$6:$A$505,0)),"Phản ánh",IF(ISNUMBER(MATCH($C2015,'Kế hoạch'!$A$6:$A$305,0)),"Công việc","Mã chưa có")))</f>
      </c>
      <c r="J2015" s="221">
        <f>IF($I2015="Phản ánh",INDEX('Phản ánh'!$C$6:$C$505,MATCH($C2015,'Phản ánh'!$A$6:$A$505,0)),IF($I2015="Công việc",INDEX('Kế hoạch'!$C$6:$C$305,$O2015),""))</f>
      </c>
      <c r="K2015" s="221">
        <f>IF($I2015="Phản ánh",INDEX('Phản ánh'!$K$6:$K$505,MATCH($C2015,'Phản ánh'!$A$6:$A$505,0))&amp;"",IF($I2015="Công việc",INDEX('Kế hoạch'!$N$6:$N$305,$O2015)&amp;"",""))</f>
      </c>
      <c r="L2015" s="220">
        <f>IF(OR($C2015="",N($B2015)=0),"",IF(AND($I2015="Phản ánh",$E2015="Đã xử lý"),INDEX('Phản ánh'!$U$6:$U$505,MATCH($C2015,'Phản ánh'!$A$6:$A$505,0)),IF(AND($I2015="Công việc",OR($E2015="Hoàn thành",$E2015="Hoàn thành kỳ")),IF(INDEX('Kế hoạch'!$B$6:$B$305,$O2015)="Đột xuất",INDEX('Kế hoạch'!$AY$6:$AY$305,$O2015),IF(N($P2015)=0,"",IF(INT($B2015)&lt;$P2015,$P2015,IF($Q2015&gt;0,$P2015+ROUND((INT($B2015)-$P2015)/$Q2015,0)*$Q2015,IF($R2015&gt;0,EDATE($P2015,ROUND((DATEDIF($P2015,INT($B2015),"m")+(INT($B2015)-EDATE($P2015,DATEDIF($P2015,INT($B2015),"m")))/(EDATE($P2015,DATEDIF($P2015,INT($B2015),"m")+1)-EDATE($P2015,DATEDIF($P2015,INT($B2015),"m"))))/$R2015,0)*$R2015),$P2015))))),"")))</f>
      </c>
      <c r="M2015" s="223">
        <f>IF(OR($C2015="",N($L2015)=0,N($B2015)=0),"",IF(IF(MOD($L2015,1)=0,INT($B2015),$B2015)&lt;=$L2015,"Đúng hạn","Trễ hạn"))</f>
      </c>
      <c r="N2015" s="225">
        <f>IF($C2015="","",ROW())</f>
      </c>
      <c r="O2015" s="225">
        <f>IF($I2015="Công việc",MATCH($C2015,'Kế hoạch'!$A$6:$A$305,0),"")</f>
      </c>
      <c r="P2015" s="234">
        <f>IF($O2015="","",INDEX('Kế hoạch'!$I$6:$I$305,$O2015))</f>
      </c>
      <c r="Q2015" s="225">
        <f>IF($O2015="","",INDEX('Kế hoạch'!$AJ$6:$AJ$305,$O2015))</f>
      </c>
      <c r="R2015" s="225">
        <f>IF($O2015="","",INDEX('Kế hoạch'!$AK$6:$AK$305,$O2015))</f>
      </c>
    </row>
    <row r="2016">
      <c r="A2016" s="223">
        <f>IF($C2016="","",COUNTIF($C$6:$C2016,"?*"))</f>
      </c>
      <c r="B2016" s="217"/>
      <c r="C2016" s="216"/>
      <c r="D2016" s="240"/>
      <c r="E2016" s="218"/>
      <c r="F2016" s="218"/>
      <c r="G2016" s="218"/>
      <c r="H2016" s="219"/>
      <c r="I2016" s="223">
        <f>IF($C2016="","",IF(ISNUMBER(MATCH($C2016,'Phản ánh'!$A$6:$A$505,0)),"Phản ánh",IF(ISNUMBER(MATCH($C2016,'Kế hoạch'!$A$6:$A$305,0)),"Công việc","Mã chưa có")))</f>
      </c>
      <c r="J2016" s="221">
        <f>IF($I2016="Phản ánh",INDEX('Phản ánh'!$C$6:$C$505,MATCH($C2016,'Phản ánh'!$A$6:$A$505,0)),IF($I2016="Công việc",INDEX('Kế hoạch'!$C$6:$C$305,$O2016),""))</f>
      </c>
      <c r="K2016" s="221">
        <f>IF($I2016="Phản ánh",INDEX('Phản ánh'!$K$6:$K$505,MATCH($C2016,'Phản ánh'!$A$6:$A$505,0))&amp;"",IF($I2016="Công việc",INDEX('Kế hoạch'!$N$6:$N$305,$O2016)&amp;"",""))</f>
      </c>
      <c r="L2016" s="220">
        <f>IF(OR($C2016="",N($B2016)=0),"",IF(AND($I2016="Phản ánh",$E2016="Đã xử lý"),INDEX('Phản ánh'!$U$6:$U$505,MATCH($C2016,'Phản ánh'!$A$6:$A$505,0)),IF(AND($I2016="Công việc",OR($E2016="Hoàn thành",$E2016="Hoàn thành kỳ")),IF(INDEX('Kế hoạch'!$B$6:$B$305,$O2016)="Đột xuất",INDEX('Kế hoạch'!$AY$6:$AY$305,$O2016),IF(N($P2016)=0,"",IF(INT($B2016)&lt;$P2016,$P2016,IF($Q2016&gt;0,$P2016+ROUND((INT($B2016)-$P2016)/$Q2016,0)*$Q2016,IF($R2016&gt;0,EDATE($P2016,ROUND((DATEDIF($P2016,INT($B2016),"m")+(INT($B2016)-EDATE($P2016,DATEDIF($P2016,INT($B2016),"m")))/(EDATE($P2016,DATEDIF($P2016,INT($B2016),"m")+1)-EDATE($P2016,DATEDIF($P2016,INT($B2016),"m"))))/$R2016,0)*$R2016),$P2016))))),"")))</f>
      </c>
      <c r="M2016" s="223">
        <f>IF(OR($C2016="",N($L2016)=0,N($B2016)=0),"",IF(IF(MOD($L2016,1)=0,INT($B2016),$B2016)&lt;=$L2016,"Đúng hạn","Trễ hạn"))</f>
      </c>
      <c r="N2016" s="225">
        <f>IF($C2016="","",ROW())</f>
      </c>
      <c r="O2016" s="225">
        <f>IF($I2016="Công việc",MATCH($C2016,'Kế hoạch'!$A$6:$A$305,0),"")</f>
      </c>
      <c r="P2016" s="234">
        <f>IF($O2016="","",INDEX('Kế hoạch'!$I$6:$I$305,$O2016))</f>
      </c>
      <c r="Q2016" s="225">
        <f>IF($O2016="","",INDEX('Kế hoạch'!$AJ$6:$AJ$305,$O2016))</f>
      </c>
      <c r="R2016" s="225">
        <f>IF($O2016="","",INDEX('Kế hoạch'!$AK$6:$AK$305,$O2016))</f>
      </c>
    </row>
    <row r="2017">
      <c r="A2017" s="223">
        <f>IF($C2017="","",COUNTIF($C$6:$C2017,"?*"))</f>
      </c>
      <c r="B2017" s="217"/>
      <c r="C2017" s="216"/>
      <c r="D2017" s="240"/>
      <c r="E2017" s="218"/>
      <c r="F2017" s="218"/>
      <c r="G2017" s="218"/>
      <c r="H2017" s="219"/>
      <c r="I2017" s="223">
        <f>IF($C2017="","",IF(ISNUMBER(MATCH($C2017,'Phản ánh'!$A$6:$A$505,0)),"Phản ánh",IF(ISNUMBER(MATCH($C2017,'Kế hoạch'!$A$6:$A$305,0)),"Công việc","Mã chưa có")))</f>
      </c>
      <c r="J2017" s="221">
        <f>IF($I2017="Phản ánh",INDEX('Phản ánh'!$C$6:$C$505,MATCH($C2017,'Phản ánh'!$A$6:$A$505,0)),IF($I2017="Công việc",INDEX('Kế hoạch'!$C$6:$C$305,$O2017),""))</f>
      </c>
      <c r="K2017" s="221">
        <f>IF($I2017="Phản ánh",INDEX('Phản ánh'!$K$6:$K$505,MATCH($C2017,'Phản ánh'!$A$6:$A$505,0))&amp;"",IF($I2017="Công việc",INDEX('Kế hoạch'!$N$6:$N$305,$O2017)&amp;"",""))</f>
      </c>
      <c r="L2017" s="220">
        <f>IF(OR($C2017="",N($B2017)=0),"",IF(AND($I2017="Phản ánh",$E2017="Đã xử lý"),INDEX('Phản ánh'!$U$6:$U$505,MATCH($C2017,'Phản ánh'!$A$6:$A$505,0)),IF(AND($I2017="Công việc",OR($E2017="Hoàn thành",$E2017="Hoàn thành kỳ")),IF(INDEX('Kế hoạch'!$B$6:$B$305,$O2017)="Đột xuất",INDEX('Kế hoạch'!$AY$6:$AY$305,$O2017),IF(N($P2017)=0,"",IF(INT($B2017)&lt;$P2017,$P2017,IF($Q2017&gt;0,$P2017+ROUND((INT($B2017)-$P2017)/$Q2017,0)*$Q2017,IF($R2017&gt;0,EDATE($P2017,ROUND((DATEDIF($P2017,INT($B2017),"m")+(INT($B2017)-EDATE($P2017,DATEDIF($P2017,INT($B2017),"m")))/(EDATE($P2017,DATEDIF($P2017,INT($B2017),"m")+1)-EDATE($P2017,DATEDIF($P2017,INT($B2017),"m"))))/$R2017,0)*$R2017),$P2017))))),"")))</f>
      </c>
      <c r="M2017" s="223">
        <f>IF(OR($C2017="",N($L2017)=0,N($B2017)=0),"",IF(IF(MOD($L2017,1)=0,INT($B2017),$B2017)&lt;=$L2017,"Đúng hạn","Trễ hạn"))</f>
      </c>
      <c r="N2017" s="225">
        <f>IF($C2017="","",ROW())</f>
      </c>
      <c r="O2017" s="225">
        <f>IF($I2017="Công việc",MATCH($C2017,'Kế hoạch'!$A$6:$A$305,0),"")</f>
      </c>
      <c r="P2017" s="234">
        <f>IF($O2017="","",INDEX('Kế hoạch'!$I$6:$I$305,$O2017))</f>
      </c>
      <c r="Q2017" s="225">
        <f>IF($O2017="","",INDEX('Kế hoạch'!$AJ$6:$AJ$305,$O2017))</f>
      </c>
      <c r="R2017" s="225">
        <f>IF($O2017="","",INDEX('Kế hoạch'!$AK$6:$AK$305,$O2017))</f>
      </c>
    </row>
    <row r="2018">
      <c r="A2018" s="223">
        <f>IF($C2018="","",COUNTIF($C$6:$C2018,"?*"))</f>
      </c>
      <c r="B2018" s="217"/>
      <c r="C2018" s="216"/>
      <c r="D2018" s="240"/>
      <c r="E2018" s="218"/>
      <c r="F2018" s="218"/>
      <c r="G2018" s="218"/>
      <c r="H2018" s="219"/>
      <c r="I2018" s="223">
        <f>IF($C2018="","",IF(ISNUMBER(MATCH($C2018,'Phản ánh'!$A$6:$A$505,0)),"Phản ánh",IF(ISNUMBER(MATCH($C2018,'Kế hoạch'!$A$6:$A$305,0)),"Công việc","Mã chưa có")))</f>
      </c>
      <c r="J2018" s="221">
        <f>IF($I2018="Phản ánh",INDEX('Phản ánh'!$C$6:$C$505,MATCH($C2018,'Phản ánh'!$A$6:$A$505,0)),IF($I2018="Công việc",INDEX('Kế hoạch'!$C$6:$C$305,$O2018),""))</f>
      </c>
      <c r="K2018" s="221">
        <f>IF($I2018="Phản ánh",INDEX('Phản ánh'!$K$6:$K$505,MATCH($C2018,'Phản ánh'!$A$6:$A$505,0))&amp;"",IF($I2018="Công việc",INDEX('Kế hoạch'!$N$6:$N$305,$O2018)&amp;"",""))</f>
      </c>
      <c r="L2018" s="220">
        <f>IF(OR($C2018="",N($B2018)=0),"",IF(AND($I2018="Phản ánh",$E2018="Đã xử lý"),INDEX('Phản ánh'!$U$6:$U$505,MATCH($C2018,'Phản ánh'!$A$6:$A$505,0)),IF(AND($I2018="Công việc",OR($E2018="Hoàn thành",$E2018="Hoàn thành kỳ")),IF(INDEX('Kế hoạch'!$B$6:$B$305,$O2018)="Đột xuất",INDEX('Kế hoạch'!$AY$6:$AY$305,$O2018),IF(N($P2018)=0,"",IF(INT($B2018)&lt;$P2018,$P2018,IF($Q2018&gt;0,$P2018+ROUND((INT($B2018)-$P2018)/$Q2018,0)*$Q2018,IF($R2018&gt;0,EDATE($P2018,ROUND((DATEDIF($P2018,INT($B2018),"m")+(INT($B2018)-EDATE($P2018,DATEDIF($P2018,INT($B2018),"m")))/(EDATE($P2018,DATEDIF($P2018,INT($B2018),"m")+1)-EDATE($P2018,DATEDIF($P2018,INT($B2018),"m"))))/$R2018,0)*$R2018),$P2018))))),"")))</f>
      </c>
      <c r="M2018" s="223">
        <f>IF(OR($C2018="",N($L2018)=0,N($B2018)=0),"",IF(IF(MOD($L2018,1)=0,INT($B2018),$B2018)&lt;=$L2018,"Đúng hạn","Trễ hạn"))</f>
      </c>
      <c r="N2018" s="225">
        <f>IF($C2018="","",ROW())</f>
      </c>
      <c r="O2018" s="225">
        <f>IF($I2018="Công việc",MATCH($C2018,'Kế hoạch'!$A$6:$A$305,0),"")</f>
      </c>
      <c r="P2018" s="234">
        <f>IF($O2018="","",INDEX('Kế hoạch'!$I$6:$I$305,$O2018))</f>
      </c>
      <c r="Q2018" s="225">
        <f>IF($O2018="","",INDEX('Kế hoạch'!$AJ$6:$AJ$305,$O2018))</f>
      </c>
      <c r="R2018" s="225">
        <f>IF($O2018="","",INDEX('Kế hoạch'!$AK$6:$AK$305,$O2018))</f>
      </c>
    </row>
    <row r="2019">
      <c r="A2019" s="223">
        <f>IF($C2019="","",COUNTIF($C$6:$C2019,"?*"))</f>
      </c>
      <c r="B2019" s="217"/>
      <c r="C2019" s="216"/>
      <c r="D2019" s="240"/>
      <c r="E2019" s="218"/>
      <c r="F2019" s="218"/>
      <c r="G2019" s="218"/>
      <c r="H2019" s="219"/>
      <c r="I2019" s="223">
        <f>IF($C2019="","",IF(ISNUMBER(MATCH($C2019,'Phản ánh'!$A$6:$A$505,0)),"Phản ánh",IF(ISNUMBER(MATCH($C2019,'Kế hoạch'!$A$6:$A$305,0)),"Công việc","Mã chưa có")))</f>
      </c>
      <c r="J2019" s="221">
        <f>IF($I2019="Phản ánh",INDEX('Phản ánh'!$C$6:$C$505,MATCH($C2019,'Phản ánh'!$A$6:$A$505,0)),IF($I2019="Công việc",INDEX('Kế hoạch'!$C$6:$C$305,$O2019),""))</f>
      </c>
      <c r="K2019" s="221">
        <f>IF($I2019="Phản ánh",INDEX('Phản ánh'!$K$6:$K$505,MATCH($C2019,'Phản ánh'!$A$6:$A$505,0))&amp;"",IF($I2019="Công việc",INDEX('Kế hoạch'!$N$6:$N$305,$O2019)&amp;"",""))</f>
      </c>
      <c r="L2019" s="220">
        <f>IF(OR($C2019="",N($B2019)=0),"",IF(AND($I2019="Phản ánh",$E2019="Đã xử lý"),INDEX('Phản ánh'!$U$6:$U$505,MATCH($C2019,'Phản ánh'!$A$6:$A$505,0)),IF(AND($I2019="Công việc",OR($E2019="Hoàn thành",$E2019="Hoàn thành kỳ")),IF(INDEX('Kế hoạch'!$B$6:$B$305,$O2019)="Đột xuất",INDEX('Kế hoạch'!$AY$6:$AY$305,$O2019),IF(N($P2019)=0,"",IF(INT($B2019)&lt;$P2019,$P2019,IF($Q2019&gt;0,$P2019+ROUND((INT($B2019)-$P2019)/$Q2019,0)*$Q2019,IF($R2019&gt;0,EDATE($P2019,ROUND((DATEDIF($P2019,INT($B2019),"m")+(INT($B2019)-EDATE($P2019,DATEDIF($P2019,INT($B2019),"m")))/(EDATE($P2019,DATEDIF($P2019,INT($B2019),"m")+1)-EDATE($P2019,DATEDIF($P2019,INT($B2019),"m"))))/$R2019,0)*$R2019),$P2019))))),"")))</f>
      </c>
      <c r="M2019" s="223">
        <f>IF(OR($C2019="",N($L2019)=0,N($B2019)=0),"",IF(IF(MOD($L2019,1)=0,INT($B2019),$B2019)&lt;=$L2019,"Đúng hạn","Trễ hạn"))</f>
      </c>
      <c r="N2019" s="225">
        <f>IF($C2019="","",ROW())</f>
      </c>
      <c r="O2019" s="225">
        <f>IF($I2019="Công việc",MATCH($C2019,'Kế hoạch'!$A$6:$A$305,0),"")</f>
      </c>
      <c r="P2019" s="234">
        <f>IF($O2019="","",INDEX('Kế hoạch'!$I$6:$I$305,$O2019))</f>
      </c>
      <c r="Q2019" s="225">
        <f>IF($O2019="","",INDEX('Kế hoạch'!$AJ$6:$AJ$305,$O2019))</f>
      </c>
      <c r="R2019" s="225">
        <f>IF($O2019="","",INDEX('Kế hoạch'!$AK$6:$AK$305,$O2019))</f>
      </c>
    </row>
    <row r="2020">
      <c r="A2020" s="223">
        <f>IF($C2020="","",COUNTIF($C$6:$C2020,"?*"))</f>
      </c>
      <c r="B2020" s="217"/>
      <c r="C2020" s="216"/>
      <c r="D2020" s="240"/>
      <c r="E2020" s="218"/>
      <c r="F2020" s="218"/>
      <c r="G2020" s="218"/>
      <c r="H2020" s="219"/>
      <c r="I2020" s="223">
        <f>IF($C2020="","",IF(ISNUMBER(MATCH($C2020,'Phản ánh'!$A$6:$A$505,0)),"Phản ánh",IF(ISNUMBER(MATCH($C2020,'Kế hoạch'!$A$6:$A$305,0)),"Công việc","Mã chưa có")))</f>
      </c>
      <c r="J2020" s="221">
        <f>IF($I2020="Phản ánh",INDEX('Phản ánh'!$C$6:$C$505,MATCH($C2020,'Phản ánh'!$A$6:$A$505,0)),IF($I2020="Công việc",INDEX('Kế hoạch'!$C$6:$C$305,$O2020),""))</f>
      </c>
      <c r="K2020" s="221">
        <f>IF($I2020="Phản ánh",INDEX('Phản ánh'!$K$6:$K$505,MATCH($C2020,'Phản ánh'!$A$6:$A$505,0))&amp;"",IF($I2020="Công việc",INDEX('Kế hoạch'!$N$6:$N$305,$O2020)&amp;"",""))</f>
      </c>
      <c r="L2020" s="220">
        <f>IF(OR($C2020="",N($B2020)=0),"",IF(AND($I2020="Phản ánh",$E2020="Đã xử lý"),INDEX('Phản ánh'!$U$6:$U$505,MATCH($C2020,'Phản ánh'!$A$6:$A$505,0)),IF(AND($I2020="Công việc",OR($E2020="Hoàn thành",$E2020="Hoàn thành kỳ")),IF(INDEX('Kế hoạch'!$B$6:$B$305,$O2020)="Đột xuất",INDEX('Kế hoạch'!$AY$6:$AY$305,$O2020),IF(N($P2020)=0,"",IF(INT($B2020)&lt;$P2020,$P2020,IF($Q2020&gt;0,$P2020+ROUND((INT($B2020)-$P2020)/$Q2020,0)*$Q2020,IF($R2020&gt;0,EDATE($P2020,ROUND((DATEDIF($P2020,INT($B2020),"m")+(INT($B2020)-EDATE($P2020,DATEDIF($P2020,INT($B2020),"m")))/(EDATE($P2020,DATEDIF($P2020,INT($B2020),"m")+1)-EDATE($P2020,DATEDIF($P2020,INT($B2020),"m"))))/$R2020,0)*$R2020),$P2020))))),"")))</f>
      </c>
      <c r="M2020" s="223">
        <f>IF(OR($C2020="",N($L2020)=0,N($B2020)=0),"",IF(IF(MOD($L2020,1)=0,INT($B2020),$B2020)&lt;=$L2020,"Đúng hạn","Trễ hạn"))</f>
      </c>
      <c r="N2020" s="225">
        <f>IF($C2020="","",ROW())</f>
      </c>
      <c r="O2020" s="225">
        <f>IF($I2020="Công việc",MATCH($C2020,'Kế hoạch'!$A$6:$A$305,0),"")</f>
      </c>
      <c r="P2020" s="234">
        <f>IF($O2020="","",INDEX('Kế hoạch'!$I$6:$I$305,$O2020))</f>
      </c>
      <c r="Q2020" s="225">
        <f>IF($O2020="","",INDEX('Kế hoạch'!$AJ$6:$AJ$305,$O2020))</f>
      </c>
      <c r="R2020" s="225">
        <f>IF($O2020="","",INDEX('Kế hoạch'!$AK$6:$AK$305,$O2020))</f>
      </c>
    </row>
    <row r="2021">
      <c r="A2021" s="223">
        <f>IF($C2021="","",COUNTIF($C$6:$C2021,"?*"))</f>
      </c>
      <c r="B2021" s="217"/>
      <c r="C2021" s="216"/>
      <c r="D2021" s="240"/>
      <c r="E2021" s="218"/>
      <c r="F2021" s="218"/>
      <c r="G2021" s="218"/>
      <c r="H2021" s="219"/>
      <c r="I2021" s="223">
        <f>IF($C2021="","",IF(ISNUMBER(MATCH($C2021,'Phản ánh'!$A$6:$A$505,0)),"Phản ánh",IF(ISNUMBER(MATCH($C2021,'Kế hoạch'!$A$6:$A$305,0)),"Công việc","Mã chưa có")))</f>
      </c>
      <c r="J2021" s="221">
        <f>IF($I2021="Phản ánh",INDEX('Phản ánh'!$C$6:$C$505,MATCH($C2021,'Phản ánh'!$A$6:$A$505,0)),IF($I2021="Công việc",INDEX('Kế hoạch'!$C$6:$C$305,$O2021),""))</f>
      </c>
      <c r="K2021" s="221">
        <f>IF($I2021="Phản ánh",INDEX('Phản ánh'!$K$6:$K$505,MATCH($C2021,'Phản ánh'!$A$6:$A$505,0))&amp;"",IF($I2021="Công việc",INDEX('Kế hoạch'!$N$6:$N$305,$O2021)&amp;"",""))</f>
      </c>
      <c r="L2021" s="220">
        <f>IF(OR($C2021="",N($B2021)=0),"",IF(AND($I2021="Phản ánh",$E2021="Đã xử lý"),INDEX('Phản ánh'!$U$6:$U$505,MATCH($C2021,'Phản ánh'!$A$6:$A$505,0)),IF(AND($I2021="Công việc",OR($E2021="Hoàn thành",$E2021="Hoàn thành kỳ")),IF(INDEX('Kế hoạch'!$B$6:$B$305,$O2021)="Đột xuất",INDEX('Kế hoạch'!$AY$6:$AY$305,$O2021),IF(N($P2021)=0,"",IF(INT($B2021)&lt;$P2021,$P2021,IF($Q2021&gt;0,$P2021+ROUND((INT($B2021)-$P2021)/$Q2021,0)*$Q2021,IF($R2021&gt;0,EDATE($P2021,ROUND((DATEDIF($P2021,INT($B2021),"m")+(INT($B2021)-EDATE($P2021,DATEDIF($P2021,INT($B2021),"m")))/(EDATE($P2021,DATEDIF($P2021,INT($B2021),"m")+1)-EDATE($P2021,DATEDIF($P2021,INT($B2021),"m"))))/$R2021,0)*$R2021),$P2021))))),"")))</f>
      </c>
      <c r="M2021" s="223">
        <f>IF(OR($C2021="",N($L2021)=0,N($B2021)=0),"",IF(IF(MOD($L2021,1)=0,INT($B2021),$B2021)&lt;=$L2021,"Đúng hạn","Trễ hạn"))</f>
      </c>
      <c r="N2021" s="225">
        <f>IF($C2021="","",ROW())</f>
      </c>
      <c r="O2021" s="225">
        <f>IF($I2021="Công việc",MATCH($C2021,'Kế hoạch'!$A$6:$A$305,0),"")</f>
      </c>
      <c r="P2021" s="234">
        <f>IF($O2021="","",INDEX('Kế hoạch'!$I$6:$I$305,$O2021))</f>
      </c>
      <c r="Q2021" s="225">
        <f>IF($O2021="","",INDEX('Kế hoạch'!$AJ$6:$AJ$305,$O2021))</f>
      </c>
      <c r="R2021" s="225">
        <f>IF($O2021="","",INDEX('Kế hoạch'!$AK$6:$AK$305,$O2021))</f>
      </c>
    </row>
    <row r="2022">
      <c r="A2022" s="223">
        <f>IF($C2022="","",COUNTIF($C$6:$C2022,"?*"))</f>
      </c>
      <c r="B2022" s="217"/>
      <c r="C2022" s="216"/>
      <c r="D2022" s="240"/>
      <c r="E2022" s="218"/>
      <c r="F2022" s="218"/>
      <c r="G2022" s="218"/>
      <c r="H2022" s="219"/>
      <c r="I2022" s="223">
        <f>IF($C2022="","",IF(ISNUMBER(MATCH($C2022,'Phản ánh'!$A$6:$A$505,0)),"Phản ánh",IF(ISNUMBER(MATCH($C2022,'Kế hoạch'!$A$6:$A$305,0)),"Công việc","Mã chưa có")))</f>
      </c>
      <c r="J2022" s="221">
        <f>IF($I2022="Phản ánh",INDEX('Phản ánh'!$C$6:$C$505,MATCH($C2022,'Phản ánh'!$A$6:$A$505,0)),IF($I2022="Công việc",INDEX('Kế hoạch'!$C$6:$C$305,$O2022),""))</f>
      </c>
      <c r="K2022" s="221">
        <f>IF($I2022="Phản ánh",INDEX('Phản ánh'!$K$6:$K$505,MATCH($C2022,'Phản ánh'!$A$6:$A$505,0))&amp;"",IF($I2022="Công việc",INDEX('Kế hoạch'!$N$6:$N$305,$O2022)&amp;"",""))</f>
      </c>
      <c r="L2022" s="220">
        <f>IF(OR($C2022="",N($B2022)=0),"",IF(AND($I2022="Phản ánh",$E2022="Đã xử lý"),INDEX('Phản ánh'!$U$6:$U$505,MATCH($C2022,'Phản ánh'!$A$6:$A$505,0)),IF(AND($I2022="Công việc",OR($E2022="Hoàn thành",$E2022="Hoàn thành kỳ")),IF(INDEX('Kế hoạch'!$B$6:$B$305,$O2022)="Đột xuất",INDEX('Kế hoạch'!$AY$6:$AY$305,$O2022),IF(N($P2022)=0,"",IF(INT($B2022)&lt;$P2022,$P2022,IF($Q2022&gt;0,$P2022+ROUND((INT($B2022)-$P2022)/$Q2022,0)*$Q2022,IF($R2022&gt;0,EDATE($P2022,ROUND((DATEDIF($P2022,INT($B2022),"m")+(INT($B2022)-EDATE($P2022,DATEDIF($P2022,INT($B2022),"m")))/(EDATE($P2022,DATEDIF($P2022,INT($B2022),"m")+1)-EDATE($P2022,DATEDIF($P2022,INT($B2022),"m"))))/$R2022,0)*$R2022),$P2022))))),"")))</f>
      </c>
      <c r="M2022" s="223">
        <f>IF(OR($C2022="",N($L2022)=0,N($B2022)=0),"",IF(IF(MOD($L2022,1)=0,INT($B2022),$B2022)&lt;=$L2022,"Đúng hạn","Trễ hạn"))</f>
      </c>
      <c r="N2022" s="225">
        <f>IF($C2022="","",ROW())</f>
      </c>
      <c r="O2022" s="225">
        <f>IF($I2022="Công việc",MATCH($C2022,'Kế hoạch'!$A$6:$A$305,0),"")</f>
      </c>
      <c r="P2022" s="234">
        <f>IF($O2022="","",INDEX('Kế hoạch'!$I$6:$I$305,$O2022))</f>
      </c>
      <c r="Q2022" s="225">
        <f>IF($O2022="","",INDEX('Kế hoạch'!$AJ$6:$AJ$305,$O2022))</f>
      </c>
      <c r="R2022" s="225">
        <f>IF($O2022="","",INDEX('Kế hoạch'!$AK$6:$AK$305,$O2022))</f>
      </c>
    </row>
    <row r="2023">
      <c r="A2023" s="223">
        <f>IF($C2023="","",COUNTIF($C$6:$C2023,"?*"))</f>
      </c>
      <c r="B2023" s="217"/>
      <c r="C2023" s="216"/>
      <c r="D2023" s="240"/>
      <c r="E2023" s="218"/>
      <c r="F2023" s="218"/>
      <c r="G2023" s="218"/>
      <c r="H2023" s="219"/>
      <c r="I2023" s="223">
        <f>IF($C2023="","",IF(ISNUMBER(MATCH($C2023,'Phản ánh'!$A$6:$A$505,0)),"Phản ánh",IF(ISNUMBER(MATCH($C2023,'Kế hoạch'!$A$6:$A$305,0)),"Công việc","Mã chưa có")))</f>
      </c>
      <c r="J2023" s="221">
        <f>IF($I2023="Phản ánh",INDEX('Phản ánh'!$C$6:$C$505,MATCH($C2023,'Phản ánh'!$A$6:$A$505,0)),IF($I2023="Công việc",INDEX('Kế hoạch'!$C$6:$C$305,$O2023),""))</f>
      </c>
      <c r="K2023" s="221">
        <f>IF($I2023="Phản ánh",INDEX('Phản ánh'!$K$6:$K$505,MATCH($C2023,'Phản ánh'!$A$6:$A$505,0))&amp;"",IF($I2023="Công việc",INDEX('Kế hoạch'!$N$6:$N$305,$O2023)&amp;"",""))</f>
      </c>
      <c r="L2023" s="220">
        <f>IF(OR($C2023="",N($B2023)=0),"",IF(AND($I2023="Phản ánh",$E2023="Đã xử lý"),INDEX('Phản ánh'!$U$6:$U$505,MATCH($C2023,'Phản ánh'!$A$6:$A$505,0)),IF(AND($I2023="Công việc",OR($E2023="Hoàn thành",$E2023="Hoàn thành kỳ")),IF(INDEX('Kế hoạch'!$B$6:$B$305,$O2023)="Đột xuất",INDEX('Kế hoạch'!$AY$6:$AY$305,$O2023),IF(N($P2023)=0,"",IF(INT($B2023)&lt;$P2023,$P2023,IF($Q2023&gt;0,$P2023+ROUND((INT($B2023)-$P2023)/$Q2023,0)*$Q2023,IF($R2023&gt;0,EDATE($P2023,ROUND((DATEDIF($P2023,INT($B2023),"m")+(INT($B2023)-EDATE($P2023,DATEDIF($P2023,INT($B2023),"m")))/(EDATE($P2023,DATEDIF($P2023,INT($B2023),"m")+1)-EDATE($P2023,DATEDIF($P2023,INT($B2023),"m"))))/$R2023,0)*$R2023),$P2023))))),"")))</f>
      </c>
      <c r="M2023" s="223">
        <f>IF(OR($C2023="",N($L2023)=0,N($B2023)=0),"",IF(IF(MOD($L2023,1)=0,INT($B2023),$B2023)&lt;=$L2023,"Đúng hạn","Trễ hạn"))</f>
      </c>
      <c r="N2023" s="225">
        <f>IF($C2023="","",ROW())</f>
      </c>
      <c r="O2023" s="225">
        <f>IF($I2023="Công việc",MATCH($C2023,'Kế hoạch'!$A$6:$A$305,0),"")</f>
      </c>
      <c r="P2023" s="234">
        <f>IF($O2023="","",INDEX('Kế hoạch'!$I$6:$I$305,$O2023))</f>
      </c>
      <c r="Q2023" s="225">
        <f>IF($O2023="","",INDEX('Kế hoạch'!$AJ$6:$AJ$305,$O2023))</f>
      </c>
      <c r="R2023" s="225">
        <f>IF($O2023="","",INDEX('Kế hoạch'!$AK$6:$AK$305,$O2023))</f>
      </c>
    </row>
    <row r="2024">
      <c r="A2024" s="223">
        <f>IF($C2024="","",COUNTIF($C$6:$C2024,"?*"))</f>
      </c>
      <c r="B2024" s="217"/>
      <c r="C2024" s="216"/>
      <c r="D2024" s="240"/>
      <c r="E2024" s="218"/>
      <c r="F2024" s="218"/>
      <c r="G2024" s="218"/>
      <c r="H2024" s="219"/>
      <c r="I2024" s="223">
        <f>IF($C2024="","",IF(ISNUMBER(MATCH($C2024,'Phản ánh'!$A$6:$A$505,0)),"Phản ánh",IF(ISNUMBER(MATCH($C2024,'Kế hoạch'!$A$6:$A$305,0)),"Công việc","Mã chưa có")))</f>
      </c>
      <c r="J2024" s="221">
        <f>IF($I2024="Phản ánh",INDEX('Phản ánh'!$C$6:$C$505,MATCH($C2024,'Phản ánh'!$A$6:$A$505,0)),IF($I2024="Công việc",INDEX('Kế hoạch'!$C$6:$C$305,$O2024),""))</f>
      </c>
      <c r="K2024" s="221">
        <f>IF($I2024="Phản ánh",INDEX('Phản ánh'!$K$6:$K$505,MATCH($C2024,'Phản ánh'!$A$6:$A$505,0))&amp;"",IF($I2024="Công việc",INDEX('Kế hoạch'!$N$6:$N$305,$O2024)&amp;"",""))</f>
      </c>
      <c r="L2024" s="220">
        <f>IF(OR($C2024="",N($B2024)=0),"",IF(AND($I2024="Phản ánh",$E2024="Đã xử lý"),INDEX('Phản ánh'!$U$6:$U$505,MATCH($C2024,'Phản ánh'!$A$6:$A$505,0)),IF(AND($I2024="Công việc",OR($E2024="Hoàn thành",$E2024="Hoàn thành kỳ")),IF(INDEX('Kế hoạch'!$B$6:$B$305,$O2024)="Đột xuất",INDEX('Kế hoạch'!$AY$6:$AY$305,$O2024),IF(N($P2024)=0,"",IF(INT($B2024)&lt;$P2024,$P2024,IF($Q2024&gt;0,$P2024+ROUND((INT($B2024)-$P2024)/$Q2024,0)*$Q2024,IF($R2024&gt;0,EDATE($P2024,ROUND((DATEDIF($P2024,INT($B2024),"m")+(INT($B2024)-EDATE($P2024,DATEDIF($P2024,INT($B2024),"m")))/(EDATE($P2024,DATEDIF($P2024,INT($B2024),"m")+1)-EDATE($P2024,DATEDIF($P2024,INT($B2024),"m"))))/$R2024,0)*$R2024),$P2024))))),"")))</f>
      </c>
      <c r="M2024" s="223">
        <f>IF(OR($C2024="",N($L2024)=0,N($B2024)=0),"",IF(IF(MOD($L2024,1)=0,INT($B2024),$B2024)&lt;=$L2024,"Đúng hạn","Trễ hạn"))</f>
      </c>
      <c r="N2024" s="225">
        <f>IF($C2024="","",ROW())</f>
      </c>
      <c r="O2024" s="225">
        <f>IF($I2024="Công việc",MATCH($C2024,'Kế hoạch'!$A$6:$A$305,0),"")</f>
      </c>
      <c r="P2024" s="234">
        <f>IF($O2024="","",INDEX('Kế hoạch'!$I$6:$I$305,$O2024))</f>
      </c>
      <c r="Q2024" s="225">
        <f>IF($O2024="","",INDEX('Kế hoạch'!$AJ$6:$AJ$305,$O2024))</f>
      </c>
      <c r="R2024" s="225">
        <f>IF($O2024="","",INDEX('Kế hoạch'!$AK$6:$AK$305,$O2024))</f>
      </c>
    </row>
    <row r="2025">
      <c r="A2025" s="223">
        <f>IF($C2025="","",COUNTIF($C$6:$C2025,"?*"))</f>
      </c>
      <c r="B2025" s="217"/>
      <c r="C2025" s="216"/>
      <c r="D2025" s="240"/>
      <c r="E2025" s="218"/>
      <c r="F2025" s="218"/>
      <c r="G2025" s="218"/>
      <c r="H2025" s="219"/>
      <c r="I2025" s="223">
        <f>IF($C2025="","",IF(ISNUMBER(MATCH($C2025,'Phản ánh'!$A$6:$A$505,0)),"Phản ánh",IF(ISNUMBER(MATCH($C2025,'Kế hoạch'!$A$6:$A$305,0)),"Công việc","Mã chưa có")))</f>
      </c>
      <c r="J2025" s="221">
        <f>IF($I2025="Phản ánh",INDEX('Phản ánh'!$C$6:$C$505,MATCH($C2025,'Phản ánh'!$A$6:$A$505,0)),IF($I2025="Công việc",INDEX('Kế hoạch'!$C$6:$C$305,$O2025),""))</f>
      </c>
      <c r="K2025" s="221">
        <f>IF($I2025="Phản ánh",INDEX('Phản ánh'!$K$6:$K$505,MATCH($C2025,'Phản ánh'!$A$6:$A$505,0))&amp;"",IF($I2025="Công việc",INDEX('Kế hoạch'!$N$6:$N$305,$O2025)&amp;"",""))</f>
      </c>
      <c r="L2025" s="220">
        <f>IF(OR($C2025="",N($B2025)=0),"",IF(AND($I2025="Phản ánh",$E2025="Đã xử lý"),INDEX('Phản ánh'!$U$6:$U$505,MATCH($C2025,'Phản ánh'!$A$6:$A$505,0)),IF(AND($I2025="Công việc",OR($E2025="Hoàn thành",$E2025="Hoàn thành kỳ")),IF(INDEX('Kế hoạch'!$B$6:$B$305,$O2025)="Đột xuất",INDEX('Kế hoạch'!$AY$6:$AY$305,$O2025),IF(N($P2025)=0,"",IF(INT($B2025)&lt;$P2025,$P2025,IF($Q2025&gt;0,$P2025+ROUND((INT($B2025)-$P2025)/$Q2025,0)*$Q2025,IF($R2025&gt;0,EDATE($P2025,ROUND((DATEDIF($P2025,INT($B2025),"m")+(INT($B2025)-EDATE($P2025,DATEDIF($P2025,INT($B2025),"m")))/(EDATE($P2025,DATEDIF($P2025,INT($B2025),"m")+1)-EDATE($P2025,DATEDIF($P2025,INT($B2025),"m"))))/$R2025,0)*$R2025),$P2025))))),"")))</f>
      </c>
      <c r="M2025" s="223">
        <f>IF(OR($C2025="",N($L2025)=0,N($B2025)=0),"",IF(IF(MOD($L2025,1)=0,INT($B2025),$B2025)&lt;=$L2025,"Đúng hạn","Trễ hạn"))</f>
      </c>
      <c r="N2025" s="225">
        <f>IF($C2025="","",ROW())</f>
      </c>
      <c r="O2025" s="225">
        <f>IF($I2025="Công việc",MATCH($C2025,'Kế hoạch'!$A$6:$A$305,0),"")</f>
      </c>
      <c r="P2025" s="234">
        <f>IF($O2025="","",INDEX('Kế hoạch'!$I$6:$I$305,$O2025))</f>
      </c>
      <c r="Q2025" s="225">
        <f>IF($O2025="","",INDEX('Kế hoạch'!$AJ$6:$AJ$305,$O2025))</f>
      </c>
      <c r="R2025" s="225">
        <f>IF($O2025="","",INDEX('Kế hoạch'!$AK$6:$AK$305,$O2025))</f>
      </c>
    </row>
    <row r="2026">
      <c r="A2026" s="223">
        <f>IF($C2026="","",COUNTIF($C$6:$C2026,"?*"))</f>
      </c>
      <c r="B2026" s="217"/>
      <c r="C2026" s="216"/>
      <c r="D2026" s="240"/>
      <c r="E2026" s="218"/>
      <c r="F2026" s="218"/>
      <c r="G2026" s="218"/>
      <c r="H2026" s="219"/>
      <c r="I2026" s="223">
        <f>IF($C2026="","",IF(ISNUMBER(MATCH($C2026,'Phản ánh'!$A$6:$A$505,0)),"Phản ánh",IF(ISNUMBER(MATCH($C2026,'Kế hoạch'!$A$6:$A$305,0)),"Công việc","Mã chưa có")))</f>
      </c>
      <c r="J2026" s="221">
        <f>IF($I2026="Phản ánh",INDEX('Phản ánh'!$C$6:$C$505,MATCH($C2026,'Phản ánh'!$A$6:$A$505,0)),IF($I2026="Công việc",INDEX('Kế hoạch'!$C$6:$C$305,$O2026),""))</f>
      </c>
      <c r="K2026" s="221">
        <f>IF($I2026="Phản ánh",INDEX('Phản ánh'!$K$6:$K$505,MATCH($C2026,'Phản ánh'!$A$6:$A$505,0))&amp;"",IF($I2026="Công việc",INDEX('Kế hoạch'!$N$6:$N$305,$O2026)&amp;"",""))</f>
      </c>
      <c r="L2026" s="220">
        <f>IF(OR($C2026="",N($B2026)=0),"",IF(AND($I2026="Phản ánh",$E2026="Đã xử lý"),INDEX('Phản ánh'!$U$6:$U$505,MATCH($C2026,'Phản ánh'!$A$6:$A$505,0)),IF(AND($I2026="Công việc",OR($E2026="Hoàn thành",$E2026="Hoàn thành kỳ")),IF(INDEX('Kế hoạch'!$B$6:$B$305,$O2026)="Đột xuất",INDEX('Kế hoạch'!$AY$6:$AY$305,$O2026),IF(N($P2026)=0,"",IF(INT($B2026)&lt;$P2026,$P2026,IF($Q2026&gt;0,$P2026+ROUND((INT($B2026)-$P2026)/$Q2026,0)*$Q2026,IF($R2026&gt;0,EDATE($P2026,ROUND((DATEDIF($P2026,INT($B2026),"m")+(INT($B2026)-EDATE($P2026,DATEDIF($P2026,INT($B2026),"m")))/(EDATE($P2026,DATEDIF($P2026,INT($B2026),"m")+1)-EDATE($P2026,DATEDIF($P2026,INT($B2026),"m"))))/$R2026,0)*$R2026),$P2026))))),"")))</f>
      </c>
      <c r="M2026" s="223">
        <f>IF(OR($C2026="",N($L2026)=0,N($B2026)=0),"",IF(IF(MOD($L2026,1)=0,INT($B2026),$B2026)&lt;=$L2026,"Đúng hạn","Trễ hạn"))</f>
      </c>
      <c r="N2026" s="225">
        <f>IF($C2026="","",ROW())</f>
      </c>
      <c r="O2026" s="225">
        <f>IF($I2026="Công việc",MATCH($C2026,'Kế hoạch'!$A$6:$A$305,0),"")</f>
      </c>
      <c r="P2026" s="234">
        <f>IF($O2026="","",INDEX('Kế hoạch'!$I$6:$I$305,$O2026))</f>
      </c>
      <c r="Q2026" s="225">
        <f>IF($O2026="","",INDEX('Kế hoạch'!$AJ$6:$AJ$305,$O2026))</f>
      </c>
      <c r="R2026" s="225">
        <f>IF($O2026="","",INDEX('Kế hoạch'!$AK$6:$AK$305,$O2026))</f>
      </c>
    </row>
    <row r="2027">
      <c r="A2027" s="223">
        <f>IF($C2027="","",COUNTIF($C$6:$C2027,"?*"))</f>
      </c>
      <c r="B2027" s="217"/>
      <c r="C2027" s="216"/>
      <c r="D2027" s="240"/>
      <c r="E2027" s="218"/>
      <c r="F2027" s="218"/>
      <c r="G2027" s="218"/>
      <c r="H2027" s="219"/>
      <c r="I2027" s="223">
        <f>IF($C2027="","",IF(ISNUMBER(MATCH($C2027,'Phản ánh'!$A$6:$A$505,0)),"Phản ánh",IF(ISNUMBER(MATCH($C2027,'Kế hoạch'!$A$6:$A$305,0)),"Công việc","Mã chưa có")))</f>
      </c>
      <c r="J2027" s="221">
        <f>IF($I2027="Phản ánh",INDEX('Phản ánh'!$C$6:$C$505,MATCH($C2027,'Phản ánh'!$A$6:$A$505,0)),IF($I2027="Công việc",INDEX('Kế hoạch'!$C$6:$C$305,$O2027),""))</f>
      </c>
      <c r="K2027" s="221">
        <f>IF($I2027="Phản ánh",INDEX('Phản ánh'!$K$6:$K$505,MATCH($C2027,'Phản ánh'!$A$6:$A$505,0))&amp;"",IF($I2027="Công việc",INDEX('Kế hoạch'!$N$6:$N$305,$O2027)&amp;"",""))</f>
      </c>
      <c r="L2027" s="220">
        <f>IF(OR($C2027="",N($B2027)=0),"",IF(AND($I2027="Phản ánh",$E2027="Đã xử lý"),INDEX('Phản ánh'!$U$6:$U$505,MATCH($C2027,'Phản ánh'!$A$6:$A$505,0)),IF(AND($I2027="Công việc",OR($E2027="Hoàn thành",$E2027="Hoàn thành kỳ")),IF(INDEX('Kế hoạch'!$B$6:$B$305,$O2027)="Đột xuất",INDEX('Kế hoạch'!$AY$6:$AY$305,$O2027),IF(N($P2027)=0,"",IF(INT($B2027)&lt;$P2027,$P2027,IF($Q2027&gt;0,$P2027+ROUND((INT($B2027)-$P2027)/$Q2027,0)*$Q2027,IF($R2027&gt;0,EDATE($P2027,ROUND((DATEDIF($P2027,INT($B2027),"m")+(INT($B2027)-EDATE($P2027,DATEDIF($P2027,INT($B2027),"m")))/(EDATE($P2027,DATEDIF($P2027,INT($B2027),"m")+1)-EDATE($P2027,DATEDIF($P2027,INT($B2027),"m"))))/$R2027,0)*$R2027),$P2027))))),"")))</f>
      </c>
      <c r="M2027" s="223">
        <f>IF(OR($C2027="",N($L2027)=0,N($B2027)=0),"",IF(IF(MOD($L2027,1)=0,INT($B2027),$B2027)&lt;=$L2027,"Đúng hạn","Trễ hạn"))</f>
      </c>
      <c r="N2027" s="225">
        <f>IF($C2027="","",ROW())</f>
      </c>
      <c r="O2027" s="225">
        <f>IF($I2027="Công việc",MATCH($C2027,'Kế hoạch'!$A$6:$A$305,0),"")</f>
      </c>
      <c r="P2027" s="234">
        <f>IF($O2027="","",INDEX('Kế hoạch'!$I$6:$I$305,$O2027))</f>
      </c>
      <c r="Q2027" s="225">
        <f>IF($O2027="","",INDEX('Kế hoạch'!$AJ$6:$AJ$305,$O2027))</f>
      </c>
      <c r="R2027" s="225">
        <f>IF($O2027="","",INDEX('Kế hoạch'!$AK$6:$AK$305,$O2027))</f>
      </c>
    </row>
    <row r="2028">
      <c r="A2028" s="223">
        <f>IF($C2028="","",COUNTIF($C$6:$C2028,"?*"))</f>
      </c>
      <c r="B2028" s="217"/>
      <c r="C2028" s="216"/>
      <c r="D2028" s="240"/>
      <c r="E2028" s="218"/>
      <c r="F2028" s="218"/>
      <c r="G2028" s="218"/>
      <c r="H2028" s="219"/>
      <c r="I2028" s="223">
        <f>IF($C2028="","",IF(ISNUMBER(MATCH($C2028,'Phản ánh'!$A$6:$A$505,0)),"Phản ánh",IF(ISNUMBER(MATCH($C2028,'Kế hoạch'!$A$6:$A$305,0)),"Công việc","Mã chưa có")))</f>
      </c>
      <c r="J2028" s="221">
        <f>IF($I2028="Phản ánh",INDEX('Phản ánh'!$C$6:$C$505,MATCH($C2028,'Phản ánh'!$A$6:$A$505,0)),IF($I2028="Công việc",INDEX('Kế hoạch'!$C$6:$C$305,$O2028),""))</f>
      </c>
      <c r="K2028" s="221">
        <f>IF($I2028="Phản ánh",INDEX('Phản ánh'!$K$6:$K$505,MATCH($C2028,'Phản ánh'!$A$6:$A$505,0))&amp;"",IF($I2028="Công việc",INDEX('Kế hoạch'!$N$6:$N$305,$O2028)&amp;"",""))</f>
      </c>
      <c r="L2028" s="220">
        <f>IF(OR($C2028="",N($B2028)=0),"",IF(AND($I2028="Phản ánh",$E2028="Đã xử lý"),INDEX('Phản ánh'!$U$6:$U$505,MATCH($C2028,'Phản ánh'!$A$6:$A$505,0)),IF(AND($I2028="Công việc",OR($E2028="Hoàn thành",$E2028="Hoàn thành kỳ")),IF(INDEX('Kế hoạch'!$B$6:$B$305,$O2028)="Đột xuất",INDEX('Kế hoạch'!$AY$6:$AY$305,$O2028),IF(N($P2028)=0,"",IF(INT($B2028)&lt;$P2028,$P2028,IF($Q2028&gt;0,$P2028+ROUND((INT($B2028)-$P2028)/$Q2028,0)*$Q2028,IF($R2028&gt;0,EDATE($P2028,ROUND((DATEDIF($P2028,INT($B2028),"m")+(INT($B2028)-EDATE($P2028,DATEDIF($P2028,INT($B2028),"m")))/(EDATE($P2028,DATEDIF($P2028,INT($B2028),"m")+1)-EDATE($P2028,DATEDIF($P2028,INT($B2028),"m"))))/$R2028,0)*$R2028),$P2028))))),"")))</f>
      </c>
      <c r="M2028" s="223">
        <f>IF(OR($C2028="",N($L2028)=0,N($B2028)=0),"",IF(IF(MOD($L2028,1)=0,INT($B2028),$B2028)&lt;=$L2028,"Đúng hạn","Trễ hạn"))</f>
      </c>
      <c r="N2028" s="225">
        <f>IF($C2028="","",ROW())</f>
      </c>
      <c r="O2028" s="225">
        <f>IF($I2028="Công việc",MATCH($C2028,'Kế hoạch'!$A$6:$A$305,0),"")</f>
      </c>
      <c r="P2028" s="234">
        <f>IF($O2028="","",INDEX('Kế hoạch'!$I$6:$I$305,$O2028))</f>
      </c>
      <c r="Q2028" s="225">
        <f>IF($O2028="","",INDEX('Kế hoạch'!$AJ$6:$AJ$305,$O2028))</f>
      </c>
      <c r="R2028" s="225">
        <f>IF($O2028="","",INDEX('Kế hoạch'!$AK$6:$AK$305,$O2028))</f>
      </c>
    </row>
    <row r="2029">
      <c r="A2029" s="223">
        <f>IF($C2029="","",COUNTIF($C$6:$C2029,"?*"))</f>
      </c>
      <c r="B2029" s="217"/>
      <c r="C2029" s="216"/>
      <c r="D2029" s="240"/>
      <c r="E2029" s="218"/>
      <c r="F2029" s="218"/>
      <c r="G2029" s="218"/>
      <c r="H2029" s="219"/>
      <c r="I2029" s="223">
        <f>IF($C2029="","",IF(ISNUMBER(MATCH($C2029,'Phản ánh'!$A$6:$A$505,0)),"Phản ánh",IF(ISNUMBER(MATCH($C2029,'Kế hoạch'!$A$6:$A$305,0)),"Công việc","Mã chưa có")))</f>
      </c>
      <c r="J2029" s="221">
        <f>IF($I2029="Phản ánh",INDEX('Phản ánh'!$C$6:$C$505,MATCH($C2029,'Phản ánh'!$A$6:$A$505,0)),IF($I2029="Công việc",INDEX('Kế hoạch'!$C$6:$C$305,$O2029),""))</f>
      </c>
      <c r="K2029" s="221">
        <f>IF($I2029="Phản ánh",INDEX('Phản ánh'!$K$6:$K$505,MATCH($C2029,'Phản ánh'!$A$6:$A$505,0))&amp;"",IF($I2029="Công việc",INDEX('Kế hoạch'!$N$6:$N$305,$O2029)&amp;"",""))</f>
      </c>
      <c r="L2029" s="220">
        <f>IF(OR($C2029="",N($B2029)=0),"",IF(AND($I2029="Phản ánh",$E2029="Đã xử lý"),INDEX('Phản ánh'!$U$6:$U$505,MATCH($C2029,'Phản ánh'!$A$6:$A$505,0)),IF(AND($I2029="Công việc",OR($E2029="Hoàn thành",$E2029="Hoàn thành kỳ")),IF(INDEX('Kế hoạch'!$B$6:$B$305,$O2029)="Đột xuất",INDEX('Kế hoạch'!$AY$6:$AY$305,$O2029),IF(N($P2029)=0,"",IF(INT($B2029)&lt;$P2029,$P2029,IF($Q2029&gt;0,$P2029+ROUND((INT($B2029)-$P2029)/$Q2029,0)*$Q2029,IF($R2029&gt;0,EDATE($P2029,ROUND((DATEDIF($P2029,INT($B2029),"m")+(INT($B2029)-EDATE($P2029,DATEDIF($P2029,INT($B2029),"m")))/(EDATE($P2029,DATEDIF($P2029,INT($B2029),"m")+1)-EDATE($P2029,DATEDIF($P2029,INT($B2029),"m"))))/$R2029,0)*$R2029),$P2029))))),"")))</f>
      </c>
      <c r="M2029" s="223">
        <f>IF(OR($C2029="",N($L2029)=0,N($B2029)=0),"",IF(IF(MOD($L2029,1)=0,INT($B2029),$B2029)&lt;=$L2029,"Đúng hạn","Trễ hạn"))</f>
      </c>
      <c r="N2029" s="225">
        <f>IF($C2029="","",ROW())</f>
      </c>
      <c r="O2029" s="225">
        <f>IF($I2029="Công việc",MATCH($C2029,'Kế hoạch'!$A$6:$A$305,0),"")</f>
      </c>
      <c r="P2029" s="234">
        <f>IF($O2029="","",INDEX('Kế hoạch'!$I$6:$I$305,$O2029))</f>
      </c>
      <c r="Q2029" s="225">
        <f>IF($O2029="","",INDEX('Kế hoạch'!$AJ$6:$AJ$305,$O2029))</f>
      </c>
      <c r="R2029" s="225">
        <f>IF($O2029="","",INDEX('Kế hoạch'!$AK$6:$AK$305,$O2029))</f>
      </c>
    </row>
    <row r="2030">
      <c r="A2030" s="223">
        <f>IF($C2030="","",COUNTIF($C$6:$C2030,"?*"))</f>
      </c>
      <c r="B2030" s="217"/>
      <c r="C2030" s="216"/>
      <c r="D2030" s="240"/>
      <c r="E2030" s="218"/>
      <c r="F2030" s="218"/>
      <c r="G2030" s="218"/>
      <c r="H2030" s="219"/>
      <c r="I2030" s="223">
        <f>IF($C2030="","",IF(ISNUMBER(MATCH($C2030,'Phản ánh'!$A$6:$A$505,0)),"Phản ánh",IF(ISNUMBER(MATCH($C2030,'Kế hoạch'!$A$6:$A$305,0)),"Công việc","Mã chưa có")))</f>
      </c>
      <c r="J2030" s="221">
        <f>IF($I2030="Phản ánh",INDEX('Phản ánh'!$C$6:$C$505,MATCH($C2030,'Phản ánh'!$A$6:$A$505,0)),IF($I2030="Công việc",INDEX('Kế hoạch'!$C$6:$C$305,$O2030),""))</f>
      </c>
      <c r="K2030" s="221">
        <f>IF($I2030="Phản ánh",INDEX('Phản ánh'!$K$6:$K$505,MATCH($C2030,'Phản ánh'!$A$6:$A$505,0))&amp;"",IF($I2030="Công việc",INDEX('Kế hoạch'!$N$6:$N$305,$O2030)&amp;"",""))</f>
      </c>
      <c r="L2030" s="220">
        <f>IF(OR($C2030="",N($B2030)=0),"",IF(AND($I2030="Phản ánh",$E2030="Đã xử lý"),INDEX('Phản ánh'!$U$6:$U$505,MATCH($C2030,'Phản ánh'!$A$6:$A$505,0)),IF(AND($I2030="Công việc",OR($E2030="Hoàn thành",$E2030="Hoàn thành kỳ")),IF(INDEX('Kế hoạch'!$B$6:$B$305,$O2030)="Đột xuất",INDEX('Kế hoạch'!$AY$6:$AY$305,$O2030),IF(N($P2030)=0,"",IF(INT($B2030)&lt;$P2030,$P2030,IF($Q2030&gt;0,$P2030+ROUND((INT($B2030)-$P2030)/$Q2030,0)*$Q2030,IF($R2030&gt;0,EDATE($P2030,ROUND((DATEDIF($P2030,INT($B2030),"m")+(INT($B2030)-EDATE($P2030,DATEDIF($P2030,INT($B2030),"m")))/(EDATE($P2030,DATEDIF($P2030,INT($B2030),"m")+1)-EDATE($P2030,DATEDIF($P2030,INT($B2030),"m"))))/$R2030,0)*$R2030),$P2030))))),"")))</f>
      </c>
      <c r="M2030" s="223">
        <f>IF(OR($C2030="",N($L2030)=0,N($B2030)=0),"",IF(IF(MOD($L2030,1)=0,INT($B2030),$B2030)&lt;=$L2030,"Đúng hạn","Trễ hạn"))</f>
      </c>
      <c r="N2030" s="225">
        <f>IF($C2030="","",ROW())</f>
      </c>
      <c r="O2030" s="225">
        <f>IF($I2030="Công việc",MATCH($C2030,'Kế hoạch'!$A$6:$A$305,0),"")</f>
      </c>
      <c r="P2030" s="234">
        <f>IF($O2030="","",INDEX('Kế hoạch'!$I$6:$I$305,$O2030))</f>
      </c>
      <c r="Q2030" s="225">
        <f>IF($O2030="","",INDEX('Kế hoạch'!$AJ$6:$AJ$305,$O2030))</f>
      </c>
      <c r="R2030" s="225">
        <f>IF($O2030="","",INDEX('Kế hoạch'!$AK$6:$AK$305,$O2030))</f>
      </c>
    </row>
    <row r="2031">
      <c r="A2031" s="223">
        <f>IF($C2031="","",COUNTIF($C$6:$C2031,"?*"))</f>
      </c>
      <c r="B2031" s="217"/>
      <c r="C2031" s="216"/>
      <c r="D2031" s="240"/>
      <c r="E2031" s="218"/>
      <c r="F2031" s="218"/>
      <c r="G2031" s="218"/>
      <c r="H2031" s="219"/>
      <c r="I2031" s="223">
        <f>IF($C2031="","",IF(ISNUMBER(MATCH($C2031,'Phản ánh'!$A$6:$A$505,0)),"Phản ánh",IF(ISNUMBER(MATCH($C2031,'Kế hoạch'!$A$6:$A$305,0)),"Công việc","Mã chưa có")))</f>
      </c>
      <c r="J2031" s="221">
        <f>IF($I2031="Phản ánh",INDEX('Phản ánh'!$C$6:$C$505,MATCH($C2031,'Phản ánh'!$A$6:$A$505,0)),IF($I2031="Công việc",INDEX('Kế hoạch'!$C$6:$C$305,$O2031),""))</f>
      </c>
      <c r="K2031" s="221">
        <f>IF($I2031="Phản ánh",INDEX('Phản ánh'!$K$6:$K$505,MATCH($C2031,'Phản ánh'!$A$6:$A$505,0))&amp;"",IF($I2031="Công việc",INDEX('Kế hoạch'!$N$6:$N$305,$O2031)&amp;"",""))</f>
      </c>
      <c r="L2031" s="220">
        <f>IF(OR($C2031="",N($B2031)=0),"",IF(AND($I2031="Phản ánh",$E2031="Đã xử lý"),INDEX('Phản ánh'!$U$6:$U$505,MATCH($C2031,'Phản ánh'!$A$6:$A$505,0)),IF(AND($I2031="Công việc",OR($E2031="Hoàn thành",$E2031="Hoàn thành kỳ")),IF(INDEX('Kế hoạch'!$B$6:$B$305,$O2031)="Đột xuất",INDEX('Kế hoạch'!$AY$6:$AY$305,$O2031),IF(N($P2031)=0,"",IF(INT($B2031)&lt;$P2031,$P2031,IF($Q2031&gt;0,$P2031+ROUND((INT($B2031)-$P2031)/$Q2031,0)*$Q2031,IF($R2031&gt;0,EDATE($P2031,ROUND((DATEDIF($P2031,INT($B2031),"m")+(INT($B2031)-EDATE($P2031,DATEDIF($P2031,INT($B2031),"m")))/(EDATE($P2031,DATEDIF($P2031,INT($B2031),"m")+1)-EDATE($P2031,DATEDIF($P2031,INT($B2031),"m"))))/$R2031,0)*$R2031),$P2031))))),"")))</f>
      </c>
      <c r="M2031" s="223">
        <f>IF(OR($C2031="",N($L2031)=0,N($B2031)=0),"",IF(IF(MOD($L2031,1)=0,INT($B2031),$B2031)&lt;=$L2031,"Đúng hạn","Trễ hạn"))</f>
      </c>
      <c r="N2031" s="225">
        <f>IF($C2031="","",ROW())</f>
      </c>
      <c r="O2031" s="225">
        <f>IF($I2031="Công việc",MATCH($C2031,'Kế hoạch'!$A$6:$A$305,0),"")</f>
      </c>
      <c r="P2031" s="234">
        <f>IF($O2031="","",INDEX('Kế hoạch'!$I$6:$I$305,$O2031))</f>
      </c>
      <c r="Q2031" s="225">
        <f>IF($O2031="","",INDEX('Kế hoạch'!$AJ$6:$AJ$305,$O2031))</f>
      </c>
      <c r="R2031" s="225">
        <f>IF($O2031="","",INDEX('Kế hoạch'!$AK$6:$AK$305,$O2031))</f>
      </c>
    </row>
    <row r="2032">
      <c r="A2032" s="223">
        <f>IF($C2032="","",COUNTIF($C$6:$C2032,"?*"))</f>
      </c>
      <c r="B2032" s="217"/>
      <c r="C2032" s="216"/>
      <c r="D2032" s="240"/>
      <c r="E2032" s="218"/>
      <c r="F2032" s="218"/>
      <c r="G2032" s="218"/>
      <c r="H2032" s="219"/>
      <c r="I2032" s="223">
        <f>IF($C2032="","",IF(ISNUMBER(MATCH($C2032,'Phản ánh'!$A$6:$A$505,0)),"Phản ánh",IF(ISNUMBER(MATCH($C2032,'Kế hoạch'!$A$6:$A$305,0)),"Công việc","Mã chưa có")))</f>
      </c>
      <c r="J2032" s="221">
        <f>IF($I2032="Phản ánh",INDEX('Phản ánh'!$C$6:$C$505,MATCH($C2032,'Phản ánh'!$A$6:$A$505,0)),IF($I2032="Công việc",INDEX('Kế hoạch'!$C$6:$C$305,$O2032),""))</f>
      </c>
      <c r="K2032" s="221">
        <f>IF($I2032="Phản ánh",INDEX('Phản ánh'!$K$6:$K$505,MATCH($C2032,'Phản ánh'!$A$6:$A$505,0))&amp;"",IF($I2032="Công việc",INDEX('Kế hoạch'!$N$6:$N$305,$O2032)&amp;"",""))</f>
      </c>
      <c r="L2032" s="220">
        <f>IF(OR($C2032="",N($B2032)=0),"",IF(AND($I2032="Phản ánh",$E2032="Đã xử lý"),INDEX('Phản ánh'!$U$6:$U$505,MATCH($C2032,'Phản ánh'!$A$6:$A$505,0)),IF(AND($I2032="Công việc",OR($E2032="Hoàn thành",$E2032="Hoàn thành kỳ")),IF(INDEX('Kế hoạch'!$B$6:$B$305,$O2032)="Đột xuất",INDEX('Kế hoạch'!$AY$6:$AY$305,$O2032),IF(N($P2032)=0,"",IF(INT($B2032)&lt;$P2032,$P2032,IF($Q2032&gt;0,$P2032+ROUND((INT($B2032)-$P2032)/$Q2032,0)*$Q2032,IF($R2032&gt;0,EDATE($P2032,ROUND((DATEDIF($P2032,INT($B2032),"m")+(INT($B2032)-EDATE($P2032,DATEDIF($P2032,INT($B2032),"m")))/(EDATE($P2032,DATEDIF($P2032,INT($B2032),"m")+1)-EDATE($P2032,DATEDIF($P2032,INT($B2032),"m"))))/$R2032,0)*$R2032),$P2032))))),"")))</f>
      </c>
      <c r="M2032" s="223">
        <f>IF(OR($C2032="",N($L2032)=0,N($B2032)=0),"",IF(IF(MOD($L2032,1)=0,INT($B2032),$B2032)&lt;=$L2032,"Đúng hạn","Trễ hạn"))</f>
      </c>
      <c r="N2032" s="225">
        <f>IF($C2032="","",ROW())</f>
      </c>
      <c r="O2032" s="225">
        <f>IF($I2032="Công việc",MATCH($C2032,'Kế hoạch'!$A$6:$A$305,0),"")</f>
      </c>
      <c r="P2032" s="234">
        <f>IF($O2032="","",INDEX('Kế hoạch'!$I$6:$I$305,$O2032))</f>
      </c>
      <c r="Q2032" s="225">
        <f>IF($O2032="","",INDEX('Kế hoạch'!$AJ$6:$AJ$305,$O2032))</f>
      </c>
      <c r="R2032" s="225">
        <f>IF($O2032="","",INDEX('Kế hoạch'!$AK$6:$AK$305,$O2032))</f>
      </c>
    </row>
    <row r="2033">
      <c r="A2033" s="223">
        <f>IF($C2033="","",COUNTIF($C$6:$C2033,"?*"))</f>
      </c>
      <c r="B2033" s="217"/>
      <c r="C2033" s="216"/>
      <c r="D2033" s="240"/>
      <c r="E2033" s="218"/>
      <c r="F2033" s="218"/>
      <c r="G2033" s="218"/>
      <c r="H2033" s="219"/>
      <c r="I2033" s="223">
        <f>IF($C2033="","",IF(ISNUMBER(MATCH($C2033,'Phản ánh'!$A$6:$A$505,0)),"Phản ánh",IF(ISNUMBER(MATCH($C2033,'Kế hoạch'!$A$6:$A$305,0)),"Công việc","Mã chưa có")))</f>
      </c>
      <c r="J2033" s="221">
        <f>IF($I2033="Phản ánh",INDEX('Phản ánh'!$C$6:$C$505,MATCH($C2033,'Phản ánh'!$A$6:$A$505,0)),IF($I2033="Công việc",INDEX('Kế hoạch'!$C$6:$C$305,$O2033),""))</f>
      </c>
      <c r="K2033" s="221">
        <f>IF($I2033="Phản ánh",INDEX('Phản ánh'!$K$6:$K$505,MATCH($C2033,'Phản ánh'!$A$6:$A$505,0))&amp;"",IF($I2033="Công việc",INDEX('Kế hoạch'!$N$6:$N$305,$O2033)&amp;"",""))</f>
      </c>
      <c r="L2033" s="220">
        <f>IF(OR($C2033="",N($B2033)=0),"",IF(AND($I2033="Phản ánh",$E2033="Đã xử lý"),INDEX('Phản ánh'!$U$6:$U$505,MATCH($C2033,'Phản ánh'!$A$6:$A$505,0)),IF(AND($I2033="Công việc",OR($E2033="Hoàn thành",$E2033="Hoàn thành kỳ")),IF(INDEX('Kế hoạch'!$B$6:$B$305,$O2033)="Đột xuất",INDEX('Kế hoạch'!$AY$6:$AY$305,$O2033),IF(N($P2033)=0,"",IF(INT($B2033)&lt;$P2033,$P2033,IF($Q2033&gt;0,$P2033+ROUND((INT($B2033)-$P2033)/$Q2033,0)*$Q2033,IF($R2033&gt;0,EDATE($P2033,ROUND((DATEDIF($P2033,INT($B2033),"m")+(INT($B2033)-EDATE($P2033,DATEDIF($P2033,INT($B2033),"m")))/(EDATE($P2033,DATEDIF($P2033,INT($B2033),"m")+1)-EDATE($P2033,DATEDIF($P2033,INT($B2033),"m"))))/$R2033,0)*$R2033),$P2033))))),"")))</f>
      </c>
      <c r="M2033" s="223">
        <f>IF(OR($C2033="",N($L2033)=0,N($B2033)=0),"",IF(IF(MOD($L2033,1)=0,INT($B2033),$B2033)&lt;=$L2033,"Đúng hạn","Trễ hạn"))</f>
      </c>
      <c r="N2033" s="225">
        <f>IF($C2033="","",ROW())</f>
      </c>
      <c r="O2033" s="225">
        <f>IF($I2033="Công việc",MATCH($C2033,'Kế hoạch'!$A$6:$A$305,0),"")</f>
      </c>
      <c r="P2033" s="234">
        <f>IF($O2033="","",INDEX('Kế hoạch'!$I$6:$I$305,$O2033))</f>
      </c>
      <c r="Q2033" s="225">
        <f>IF($O2033="","",INDEX('Kế hoạch'!$AJ$6:$AJ$305,$O2033))</f>
      </c>
      <c r="R2033" s="225">
        <f>IF($O2033="","",INDEX('Kế hoạch'!$AK$6:$AK$305,$O2033))</f>
      </c>
    </row>
    <row r="2034">
      <c r="A2034" s="223">
        <f>IF($C2034="","",COUNTIF($C$6:$C2034,"?*"))</f>
      </c>
      <c r="B2034" s="217"/>
      <c r="C2034" s="216"/>
      <c r="D2034" s="240"/>
      <c r="E2034" s="218"/>
      <c r="F2034" s="218"/>
      <c r="G2034" s="218"/>
      <c r="H2034" s="219"/>
      <c r="I2034" s="223">
        <f>IF($C2034="","",IF(ISNUMBER(MATCH($C2034,'Phản ánh'!$A$6:$A$505,0)),"Phản ánh",IF(ISNUMBER(MATCH($C2034,'Kế hoạch'!$A$6:$A$305,0)),"Công việc","Mã chưa có")))</f>
      </c>
      <c r="J2034" s="221">
        <f>IF($I2034="Phản ánh",INDEX('Phản ánh'!$C$6:$C$505,MATCH($C2034,'Phản ánh'!$A$6:$A$505,0)),IF($I2034="Công việc",INDEX('Kế hoạch'!$C$6:$C$305,$O2034),""))</f>
      </c>
      <c r="K2034" s="221">
        <f>IF($I2034="Phản ánh",INDEX('Phản ánh'!$K$6:$K$505,MATCH($C2034,'Phản ánh'!$A$6:$A$505,0))&amp;"",IF($I2034="Công việc",INDEX('Kế hoạch'!$N$6:$N$305,$O2034)&amp;"",""))</f>
      </c>
      <c r="L2034" s="220">
        <f>IF(OR($C2034="",N($B2034)=0),"",IF(AND($I2034="Phản ánh",$E2034="Đã xử lý"),INDEX('Phản ánh'!$U$6:$U$505,MATCH($C2034,'Phản ánh'!$A$6:$A$505,0)),IF(AND($I2034="Công việc",OR($E2034="Hoàn thành",$E2034="Hoàn thành kỳ")),IF(INDEX('Kế hoạch'!$B$6:$B$305,$O2034)="Đột xuất",INDEX('Kế hoạch'!$AY$6:$AY$305,$O2034),IF(N($P2034)=0,"",IF(INT($B2034)&lt;$P2034,$P2034,IF($Q2034&gt;0,$P2034+ROUND((INT($B2034)-$P2034)/$Q2034,0)*$Q2034,IF($R2034&gt;0,EDATE($P2034,ROUND((DATEDIF($P2034,INT($B2034),"m")+(INT($B2034)-EDATE($P2034,DATEDIF($P2034,INT($B2034),"m")))/(EDATE($P2034,DATEDIF($P2034,INT($B2034),"m")+1)-EDATE($P2034,DATEDIF($P2034,INT($B2034),"m"))))/$R2034,0)*$R2034),$P2034))))),"")))</f>
      </c>
      <c r="M2034" s="223">
        <f>IF(OR($C2034="",N($L2034)=0,N($B2034)=0),"",IF(IF(MOD($L2034,1)=0,INT($B2034),$B2034)&lt;=$L2034,"Đúng hạn","Trễ hạn"))</f>
      </c>
      <c r="N2034" s="225">
        <f>IF($C2034="","",ROW())</f>
      </c>
      <c r="O2034" s="225">
        <f>IF($I2034="Công việc",MATCH($C2034,'Kế hoạch'!$A$6:$A$305,0),"")</f>
      </c>
      <c r="P2034" s="234">
        <f>IF($O2034="","",INDEX('Kế hoạch'!$I$6:$I$305,$O2034))</f>
      </c>
      <c r="Q2034" s="225">
        <f>IF($O2034="","",INDEX('Kế hoạch'!$AJ$6:$AJ$305,$O2034))</f>
      </c>
      <c r="R2034" s="225">
        <f>IF($O2034="","",INDEX('Kế hoạch'!$AK$6:$AK$305,$O2034))</f>
      </c>
    </row>
    <row r="2035">
      <c r="A2035" s="223">
        <f>IF($C2035="","",COUNTIF($C$6:$C2035,"?*"))</f>
      </c>
      <c r="B2035" s="217"/>
      <c r="C2035" s="216"/>
      <c r="D2035" s="240"/>
      <c r="E2035" s="218"/>
      <c r="F2035" s="218"/>
      <c r="G2035" s="218"/>
      <c r="H2035" s="219"/>
      <c r="I2035" s="223">
        <f>IF($C2035="","",IF(ISNUMBER(MATCH($C2035,'Phản ánh'!$A$6:$A$505,0)),"Phản ánh",IF(ISNUMBER(MATCH($C2035,'Kế hoạch'!$A$6:$A$305,0)),"Công việc","Mã chưa có")))</f>
      </c>
      <c r="J2035" s="221">
        <f>IF($I2035="Phản ánh",INDEX('Phản ánh'!$C$6:$C$505,MATCH($C2035,'Phản ánh'!$A$6:$A$505,0)),IF($I2035="Công việc",INDEX('Kế hoạch'!$C$6:$C$305,$O2035),""))</f>
      </c>
      <c r="K2035" s="221">
        <f>IF($I2035="Phản ánh",INDEX('Phản ánh'!$K$6:$K$505,MATCH($C2035,'Phản ánh'!$A$6:$A$505,0))&amp;"",IF($I2035="Công việc",INDEX('Kế hoạch'!$N$6:$N$305,$O2035)&amp;"",""))</f>
      </c>
      <c r="L2035" s="220">
        <f>IF(OR($C2035="",N($B2035)=0),"",IF(AND($I2035="Phản ánh",$E2035="Đã xử lý"),INDEX('Phản ánh'!$U$6:$U$505,MATCH($C2035,'Phản ánh'!$A$6:$A$505,0)),IF(AND($I2035="Công việc",OR($E2035="Hoàn thành",$E2035="Hoàn thành kỳ")),IF(INDEX('Kế hoạch'!$B$6:$B$305,$O2035)="Đột xuất",INDEX('Kế hoạch'!$AY$6:$AY$305,$O2035),IF(N($P2035)=0,"",IF(INT($B2035)&lt;$P2035,$P2035,IF($Q2035&gt;0,$P2035+ROUND((INT($B2035)-$P2035)/$Q2035,0)*$Q2035,IF($R2035&gt;0,EDATE($P2035,ROUND((DATEDIF($P2035,INT($B2035),"m")+(INT($B2035)-EDATE($P2035,DATEDIF($P2035,INT($B2035),"m")))/(EDATE($P2035,DATEDIF($P2035,INT($B2035),"m")+1)-EDATE($P2035,DATEDIF($P2035,INT($B2035),"m"))))/$R2035,0)*$R2035),$P2035))))),"")))</f>
      </c>
      <c r="M2035" s="223">
        <f>IF(OR($C2035="",N($L2035)=0,N($B2035)=0),"",IF(IF(MOD($L2035,1)=0,INT($B2035),$B2035)&lt;=$L2035,"Đúng hạn","Trễ hạn"))</f>
      </c>
      <c r="N2035" s="225">
        <f>IF($C2035="","",ROW())</f>
      </c>
      <c r="O2035" s="225">
        <f>IF($I2035="Công việc",MATCH($C2035,'Kế hoạch'!$A$6:$A$305,0),"")</f>
      </c>
      <c r="P2035" s="234">
        <f>IF($O2035="","",INDEX('Kế hoạch'!$I$6:$I$305,$O2035))</f>
      </c>
      <c r="Q2035" s="225">
        <f>IF($O2035="","",INDEX('Kế hoạch'!$AJ$6:$AJ$305,$O2035))</f>
      </c>
      <c r="R2035" s="225">
        <f>IF($O2035="","",INDEX('Kế hoạch'!$AK$6:$AK$305,$O2035))</f>
      </c>
    </row>
    <row r="2036">
      <c r="A2036" s="223">
        <f>IF($C2036="","",COUNTIF($C$6:$C2036,"?*"))</f>
      </c>
      <c r="B2036" s="217"/>
      <c r="C2036" s="216"/>
      <c r="D2036" s="240"/>
      <c r="E2036" s="218"/>
      <c r="F2036" s="218"/>
      <c r="G2036" s="218"/>
      <c r="H2036" s="219"/>
      <c r="I2036" s="223">
        <f>IF($C2036="","",IF(ISNUMBER(MATCH($C2036,'Phản ánh'!$A$6:$A$505,0)),"Phản ánh",IF(ISNUMBER(MATCH($C2036,'Kế hoạch'!$A$6:$A$305,0)),"Công việc","Mã chưa có")))</f>
      </c>
      <c r="J2036" s="221">
        <f>IF($I2036="Phản ánh",INDEX('Phản ánh'!$C$6:$C$505,MATCH($C2036,'Phản ánh'!$A$6:$A$505,0)),IF($I2036="Công việc",INDEX('Kế hoạch'!$C$6:$C$305,$O2036),""))</f>
      </c>
      <c r="K2036" s="221">
        <f>IF($I2036="Phản ánh",INDEX('Phản ánh'!$K$6:$K$505,MATCH($C2036,'Phản ánh'!$A$6:$A$505,0))&amp;"",IF($I2036="Công việc",INDEX('Kế hoạch'!$N$6:$N$305,$O2036)&amp;"",""))</f>
      </c>
      <c r="L2036" s="220">
        <f>IF(OR($C2036="",N($B2036)=0),"",IF(AND($I2036="Phản ánh",$E2036="Đã xử lý"),INDEX('Phản ánh'!$U$6:$U$505,MATCH($C2036,'Phản ánh'!$A$6:$A$505,0)),IF(AND($I2036="Công việc",OR($E2036="Hoàn thành",$E2036="Hoàn thành kỳ")),IF(INDEX('Kế hoạch'!$B$6:$B$305,$O2036)="Đột xuất",INDEX('Kế hoạch'!$AY$6:$AY$305,$O2036),IF(N($P2036)=0,"",IF(INT($B2036)&lt;$P2036,$P2036,IF($Q2036&gt;0,$P2036+ROUND((INT($B2036)-$P2036)/$Q2036,0)*$Q2036,IF($R2036&gt;0,EDATE($P2036,ROUND((DATEDIF($P2036,INT($B2036),"m")+(INT($B2036)-EDATE($P2036,DATEDIF($P2036,INT($B2036),"m")))/(EDATE($P2036,DATEDIF($P2036,INT($B2036),"m")+1)-EDATE($P2036,DATEDIF($P2036,INT($B2036),"m"))))/$R2036,0)*$R2036),$P2036))))),"")))</f>
      </c>
      <c r="M2036" s="223">
        <f>IF(OR($C2036="",N($L2036)=0,N($B2036)=0),"",IF(IF(MOD($L2036,1)=0,INT($B2036),$B2036)&lt;=$L2036,"Đúng hạn","Trễ hạn"))</f>
      </c>
      <c r="N2036" s="225">
        <f>IF($C2036="","",ROW())</f>
      </c>
      <c r="O2036" s="225">
        <f>IF($I2036="Công việc",MATCH($C2036,'Kế hoạch'!$A$6:$A$305,0),"")</f>
      </c>
      <c r="P2036" s="234">
        <f>IF($O2036="","",INDEX('Kế hoạch'!$I$6:$I$305,$O2036))</f>
      </c>
      <c r="Q2036" s="225">
        <f>IF($O2036="","",INDEX('Kế hoạch'!$AJ$6:$AJ$305,$O2036))</f>
      </c>
      <c r="R2036" s="225">
        <f>IF($O2036="","",INDEX('Kế hoạch'!$AK$6:$AK$305,$O2036))</f>
      </c>
    </row>
    <row r="2037">
      <c r="A2037" s="223">
        <f>IF($C2037="","",COUNTIF($C$6:$C2037,"?*"))</f>
      </c>
      <c r="B2037" s="217"/>
      <c r="C2037" s="216"/>
      <c r="D2037" s="240"/>
      <c r="E2037" s="218"/>
      <c r="F2037" s="218"/>
      <c r="G2037" s="218"/>
      <c r="H2037" s="219"/>
      <c r="I2037" s="223">
        <f>IF($C2037="","",IF(ISNUMBER(MATCH($C2037,'Phản ánh'!$A$6:$A$505,0)),"Phản ánh",IF(ISNUMBER(MATCH($C2037,'Kế hoạch'!$A$6:$A$305,0)),"Công việc","Mã chưa có")))</f>
      </c>
      <c r="J2037" s="221">
        <f>IF($I2037="Phản ánh",INDEX('Phản ánh'!$C$6:$C$505,MATCH($C2037,'Phản ánh'!$A$6:$A$505,0)),IF($I2037="Công việc",INDEX('Kế hoạch'!$C$6:$C$305,$O2037),""))</f>
      </c>
      <c r="K2037" s="221">
        <f>IF($I2037="Phản ánh",INDEX('Phản ánh'!$K$6:$K$505,MATCH($C2037,'Phản ánh'!$A$6:$A$505,0))&amp;"",IF($I2037="Công việc",INDEX('Kế hoạch'!$N$6:$N$305,$O2037)&amp;"",""))</f>
      </c>
      <c r="L2037" s="220">
        <f>IF(OR($C2037="",N($B2037)=0),"",IF(AND($I2037="Phản ánh",$E2037="Đã xử lý"),INDEX('Phản ánh'!$U$6:$U$505,MATCH($C2037,'Phản ánh'!$A$6:$A$505,0)),IF(AND($I2037="Công việc",OR($E2037="Hoàn thành",$E2037="Hoàn thành kỳ")),IF(INDEX('Kế hoạch'!$B$6:$B$305,$O2037)="Đột xuất",INDEX('Kế hoạch'!$AY$6:$AY$305,$O2037),IF(N($P2037)=0,"",IF(INT($B2037)&lt;$P2037,$P2037,IF($Q2037&gt;0,$P2037+ROUND((INT($B2037)-$P2037)/$Q2037,0)*$Q2037,IF($R2037&gt;0,EDATE($P2037,ROUND((DATEDIF($P2037,INT($B2037),"m")+(INT($B2037)-EDATE($P2037,DATEDIF($P2037,INT($B2037),"m")))/(EDATE($P2037,DATEDIF($P2037,INT($B2037),"m")+1)-EDATE($P2037,DATEDIF($P2037,INT($B2037),"m"))))/$R2037,0)*$R2037),$P2037))))),"")))</f>
      </c>
      <c r="M2037" s="223">
        <f>IF(OR($C2037="",N($L2037)=0,N($B2037)=0),"",IF(IF(MOD($L2037,1)=0,INT($B2037),$B2037)&lt;=$L2037,"Đúng hạn","Trễ hạn"))</f>
      </c>
      <c r="N2037" s="225">
        <f>IF($C2037="","",ROW())</f>
      </c>
      <c r="O2037" s="225">
        <f>IF($I2037="Công việc",MATCH($C2037,'Kế hoạch'!$A$6:$A$305,0),"")</f>
      </c>
      <c r="P2037" s="234">
        <f>IF($O2037="","",INDEX('Kế hoạch'!$I$6:$I$305,$O2037))</f>
      </c>
      <c r="Q2037" s="225">
        <f>IF($O2037="","",INDEX('Kế hoạch'!$AJ$6:$AJ$305,$O2037))</f>
      </c>
      <c r="R2037" s="225">
        <f>IF($O2037="","",INDEX('Kế hoạch'!$AK$6:$AK$305,$O2037))</f>
      </c>
    </row>
    <row r="2038">
      <c r="A2038" s="223">
        <f>IF($C2038="","",COUNTIF($C$6:$C2038,"?*"))</f>
      </c>
      <c r="B2038" s="217"/>
      <c r="C2038" s="216"/>
      <c r="D2038" s="240"/>
      <c r="E2038" s="218"/>
      <c r="F2038" s="218"/>
      <c r="G2038" s="218"/>
      <c r="H2038" s="219"/>
      <c r="I2038" s="223">
        <f>IF($C2038="","",IF(ISNUMBER(MATCH($C2038,'Phản ánh'!$A$6:$A$505,0)),"Phản ánh",IF(ISNUMBER(MATCH($C2038,'Kế hoạch'!$A$6:$A$305,0)),"Công việc","Mã chưa có")))</f>
      </c>
      <c r="J2038" s="221">
        <f>IF($I2038="Phản ánh",INDEX('Phản ánh'!$C$6:$C$505,MATCH($C2038,'Phản ánh'!$A$6:$A$505,0)),IF($I2038="Công việc",INDEX('Kế hoạch'!$C$6:$C$305,$O2038),""))</f>
      </c>
      <c r="K2038" s="221">
        <f>IF($I2038="Phản ánh",INDEX('Phản ánh'!$K$6:$K$505,MATCH($C2038,'Phản ánh'!$A$6:$A$505,0))&amp;"",IF($I2038="Công việc",INDEX('Kế hoạch'!$N$6:$N$305,$O2038)&amp;"",""))</f>
      </c>
      <c r="L2038" s="220">
        <f>IF(OR($C2038="",N($B2038)=0),"",IF(AND($I2038="Phản ánh",$E2038="Đã xử lý"),INDEX('Phản ánh'!$U$6:$U$505,MATCH($C2038,'Phản ánh'!$A$6:$A$505,0)),IF(AND($I2038="Công việc",OR($E2038="Hoàn thành",$E2038="Hoàn thành kỳ")),IF(INDEX('Kế hoạch'!$B$6:$B$305,$O2038)="Đột xuất",INDEX('Kế hoạch'!$AY$6:$AY$305,$O2038),IF(N($P2038)=0,"",IF(INT($B2038)&lt;$P2038,$P2038,IF($Q2038&gt;0,$P2038+ROUND((INT($B2038)-$P2038)/$Q2038,0)*$Q2038,IF($R2038&gt;0,EDATE($P2038,ROUND((DATEDIF($P2038,INT($B2038),"m")+(INT($B2038)-EDATE($P2038,DATEDIF($P2038,INT($B2038),"m")))/(EDATE($P2038,DATEDIF($P2038,INT($B2038),"m")+1)-EDATE($P2038,DATEDIF($P2038,INT($B2038),"m"))))/$R2038,0)*$R2038),$P2038))))),"")))</f>
      </c>
      <c r="M2038" s="223">
        <f>IF(OR($C2038="",N($L2038)=0,N($B2038)=0),"",IF(IF(MOD($L2038,1)=0,INT($B2038),$B2038)&lt;=$L2038,"Đúng hạn","Trễ hạn"))</f>
      </c>
      <c r="N2038" s="225">
        <f>IF($C2038="","",ROW())</f>
      </c>
      <c r="O2038" s="225">
        <f>IF($I2038="Công việc",MATCH($C2038,'Kế hoạch'!$A$6:$A$305,0),"")</f>
      </c>
      <c r="P2038" s="234">
        <f>IF($O2038="","",INDEX('Kế hoạch'!$I$6:$I$305,$O2038))</f>
      </c>
      <c r="Q2038" s="225">
        <f>IF($O2038="","",INDEX('Kế hoạch'!$AJ$6:$AJ$305,$O2038))</f>
      </c>
      <c r="R2038" s="225">
        <f>IF($O2038="","",INDEX('Kế hoạch'!$AK$6:$AK$305,$O2038))</f>
      </c>
    </row>
    <row r="2039">
      <c r="A2039" s="223">
        <f>IF($C2039="","",COUNTIF($C$6:$C2039,"?*"))</f>
      </c>
      <c r="B2039" s="217"/>
      <c r="C2039" s="216"/>
      <c r="D2039" s="240"/>
      <c r="E2039" s="218"/>
      <c r="F2039" s="218"/>
      <c r="G2039" s="218"/>
      <c r="H2039" s="219"/>
      <c r="I2039" s="223">
        <f>IF($C2039="","",IF(ISNUMBER(MATCH($C2039,'Phản ánh'!$A$6:$A$505,0)),"Phản ánh",IF(ISNUMBER(MATCH($C2039,'Kế hoạch'!$A$6:$A$305,0)),"Công việc","Mã chưa có")))</f>
      </c>
      <c r="J2039" s="221">
        <f>IF($I2039="Phản ánh",INDEX('Phản ánh'!$C$6:$C$505,MATCH($C2039,'Phản ánh'!$A$6:$A$505,0)),IF($I2039="Công việc",INDEX('Kế hoạch'!$C$6:$C$305,$O2039),""))</f>
      </c>
      <c r="K2039" s="221">
        <f>IF($I2039="Phản ánh",INDEX('Phản ánh'!$K$6:$K$505,MATCH($C2039,'Phản ánh'!$A$6:$A$505,0))&amp;"",IF($I2039="Công việc",INDEX('Kế hoạch'!$N$6:$N$305,$O2039)&amp;"",""))</f>
      </c>
      <c r="L2039" s="220">
        <f>IF(OR($C2039="",N($B2039)=0),"",IF(AND($I2039="Phản ánh",$E2039="Đã xử lý"),INDEX('Phản ánh'!$U$6:$U$505,MATCH($C2039,'Phản ánh'!$A$6:$A$505,0)),IF(AND($I2039="Công việc",OR($E2039="Hoàn thành",$E2039="Hoàn thành kỳ")),IF(INDEX('Kế hoạch'!$B$6:$B$305,$O2039)="Đột xuất",INDEX('Kế hoạch'!$AY$6:$AY$305,$O2039),IF(N($P2039)=0,"",IF(INT($B2039)&lt;$P2039,$P2039,IF($Q2039&gt;0,$P2039+ROUND((INT($B2039)-$P2039)/$Q2039,0)*$Q2039,IF($R2039&gt;0,EDATE($P2039,ROUND((DATEDIF($P2039,INT($B2039),"m")+(INT($B2039)-EDATE($P2039,DATEDIF($P2039,INT($B2039),"m")))/(EDATE($P2039,DATEDIF($P2039,INT($B2039),"m")+1)-EDATE($P2039,DATEDIF($P2039,INT($B2039),"m"))))/$R2039,0)*$R2039),$P2039))))),"")))</f>
      </c>
      <c r="M2039" s="223">
        <f>IF(OR($C2039="",N($L2039)=0,N($B2039)=0),"",IF(IF(MOD($L2039,1)=0,INT($B2039),$B2039)&lt;=$L2039,"Đúng hạn","Trễ hạn"))</f>
      </c>
      <c r="N2039" s="225">
        <f>IF($C2039="","",ROW())</f>
      </c>
      <c r="O2039" s="225">
        <f>IF($I2039="Công việc",MATCH($C2039,'Kế hoạch'!$A$6:$A$305,0),"")</f>
      </c>
      <c r="P2039" s="234">
        <f>IF($O2039="","",INDEX('Kế hoạch'!$I$6:$I$305,$O2039))</f>
      </c>
      <c r="Q2039" s="225">
        <f>IF($O2039="","",INDEX('Kế hoạch'!$AJ$6:$AJ$305,$O2039))</f>
      </c>
      <c r="R2039" s="225">
        <f>IF($O2039="","",INDEX('Kế hoạch'!$AK$6:$AK$305,$O2039))</f>
      </c>
    </row>
    <row r="2040">
      <c r="A2040" s="223">
        <f>IF($C2040="","",COUNTIF($C$6:$C2040,"?*"))</f>
      </c>
      <c r="B2040" s="217"/>
      <c r="C2040" s="216"/>
      <c r="D2040" s="240"/>
      <c r="E2040" s="218"/>
      <c r="F2040" s="218"/>
      <c r="G2040" s="218"/>
      <c r="H2040" s="219"/>
      <c r="I2040" s="223">
        <f>IF($C2040="","",IF(ISNUMBER(MATCH($C2040,'Phản ánh'!$A$6:$A$505,0)),"Phản ánh",IF(ISNUMBER(MATCH($C2040,'Kế hoạch'!$A$6:$A$305,0)),"Công việc","Mã chưa có")))</f>
      </c>
      <c r="J2040" s="221">
        <f>IF($I2040="Phản ánh",INDEX('Phản ánh'!$C$6:$C$505,MATCH($C2040,'Phản ánh'!$A$6:$A$505,0)),IF($I2040="Công việc",INDEX('Kế hoạch'!$C$6:$C$305,$O2040),""))</f>
      </c>
      <c r="K2040" s="221">
        <f>IF($I2040="Phản ánh",INDEX('Phản ánh'!$K$6:$K$505,MATCH($C2040,'Phản ánh'!$A$6:$A$505,0))&amp;"",IF($I2040="Công việc",INDEX('Kế hoạch'!$N$6:$N$305,$O2040)&amp;"",""))</f>
      </c>
      <c r="L2040" s="220">
        <f>IF(OR($C2040="",N($B2040)=0),"",IF(AND($I2040="Phản ánh",$E2040="Đã xử lý"),INDEX('Phản ánh'!$U$6:$U$505,MATCH($C2040,'Phản ánh'!$A$6:$A$505,0)),IF(AND($I2040="Công việc",OR($E2040="Hoàn thành",$E2040="Hoàn thành kỳ")),IF(INDEX('Kế hoạch'!$B$6:$B$305,$O2040)="Đột xuất",INDEX('Kế hoạch'!$AY$6:$AY$305,$O2040),IF(N($P2040)=0,"",IF(INT($B2040)&lt;$P2040,$P2040,IF($Q2040&gt;0,$P2040+ROUND((INT($B2040)-$P2040)/$Q2040,0)*$Q2040,IF($R2040&gt;0,EDATE($P2040,ROUND((DATEDIF($P2040,INT($B2040),"m")+(INT($B2040)-EDATE($P2040,DATEDIF($P2040,INT($B2040),"m")))/(EDATE($P2040,DATEDIF($P2040,INT($B2040),"m")+1)-EDATE($P2040,DATEDIF($P2040,INT($B2040),"m"))))/$R2040,0)*$R2040),$P2040))))),"")))</f>
      </c>
      <c r="M2040" s="223">
        <f>IF(OR($C2040="",N($L2040)=0,N($B2040)=0),"",IF(IF(MOD($L2040,1)=0,INT($B2040),$B2040)&lt;=$L2040,"Đúng hạn","Trễ hạn"))</f>
      </c>
      <c r="N2040" s="225">
        <f>IF($C2040="","",ROW())</f>
      </c>
      <c r="O2040" s="225">
        <f>IF($I2040="Công việc",MATCH($C2040,'Kế hoạch'!$A$6:$A$305,0),"")</f>
      </c>
      <c r="P2040" s="234">
        <f>IF($O2040="","",INDEX('Kế hoạch'!$I$6:$I$305,$O2040))</f>
      </c>
      <c r="Q2040" s="225">
        <f>IF($O2040="","",INDEX('Kế hoạch'!$AJ$6:$AJ$305,$O2040))</f>
      </c>
      <c r="R2040" s="225">
        <f>IF($O2040="","",INDEX('Kế hoạch'!$AK$6:$AK$305,$O2040))</f>
      </c>
    </row>
    <row r="2041">
      <c r="A2041" s="223">
        <f>IF($C2041="","",COUNTIF($C$6:$C2041,"?*"))</f>
      </c>
      <c r="B2041" s="217"/>
      <c r="C2041" s="216"/>
      <c r="D2041" s="240"/>
      <c r="E2041" s="218"/>
      <c r="F2041" s="218"/>
      <c r="G2041" s="218"/>
      <c r="H2041" s="219"/>
      <c r="I2041" s="223">
        <f>IF($C2041="","",IF(ISNUMBER(MATCH($C2041,'Phản ánh'!$A$6:$A$505,0)),"Phản ánh",IF(ISNUMBER(MATCH($C2041,'Kế hoạch'!$A$6:$A$305,0)),"Công việc","Mã chưa có")))</f>
      </c>
      <c r="J2041" s="221">
        <f>IF($I2041="Phản ánh",INDEX('Phản ánh'!$C$6:$C$505,MATCH($C2041,'Phản ánh'!$A$6:$A$505,0)),IF($I2041="Công việc",INDEX('Kế hoạch'!$C$6:$C$305,$O2041),""))</f>
      </c>
      <c r="K2041" s="221">
        <f>IF($I2041="Phản ánh",INDEX('Phản ánh'!$K$6:$K$505,MATCH($C2041,'Phản ánh'!$A$6:$A$505,0))&amp;"",IF($I2041="Công việc",INDEX('Kế hoạch'!$N$6:$N$305,$O2041)&amp;"",""))</f>
      </c>
      <c r="L2041" s="220">
        <f>IF(OR($C2041="",N($B2041)=0),"",IF(AND($I2041="Phản ánh",$E2041="Đã xử lý"),INDEX('Phản ánh'!$U$6:$U$505,MATCH($C2041,'Phản ánh'!$A$6:$A$505,0)),IF(AND($I2041="Công việc",OR($E2041="Hoàn thành",$E2041="Hoàn thành kỳ")),IF(INDEX('Kế hoạch'!$B$6:$B$305,$O2041)="Đột xuất",INDEX('Kế hoạch'!$AY$6:$AY$305,$O2041),IF(N($P2041)=0,"",IF(INT($B2041)&lt;$P2041,$P2041,IF($Q2041&gt;0,$P2041+ROUND((INT($B2041)-$P2041)/$Q2041,0)*$Q2041,IF($R2041&gt;0,EDATE($P2041,ROUND((DATEDIF($P2041,INT($B2041),"m")+(INT($B2041)-EDATE($P2041,DATEDIF($P2041,INT($B2041),"m")))/(EDATE($P2041,DATEDIF($P2041,INT($B2041),"m")+1)-EDATE($P2041,DATEDIF($P2041,INT($B2041),"m"))))/$R2041,0)*$R2041),$P2041))))),"")))</f>
      </c>
      <c r="M2041" s="223">
        <f>IF(OR($C2041="",N($L2041)=0,N($B2041)=0),"",IF(IF(MOD($L2041,1)=0,INT($B2041),$B2041)&lt;=$L2041,"Đúng hạn","Trễ hạn"))</f>
      </c>
      <c r="N2041" s="225">
        <f>IF($C2041="","",ROW())</f>
      </c>
      <c r="O2041" s="225">
        <f>IF($I2041="Công việc",MATCH($C2041,'Kế hoạch'!$A$6:$A$305,0),"")</f>
      </c>
      <c r="P2041" s="234">
        <f>IF($O2041="","",INDEX('Kế hoạch'!$I$6:$I$305,$O2041))</f>
      </c>
      <c r="Q2041" s="225">
        <f>IF($O2041="","",INDEX('Kế hoạch'!$AJ$6:$AJ$305,$O2041))</f>
      </c>
      <c r="R2041" s="225">
        <f>IF($O2041="","",INDEX('Kế hoạch'!$AK$6:$AK$305,$O2041))</f>
      </c>
    </row>
    <row r="2042">
      <c r="A2042" s="223">
        <f>IF($C2042="","",COUNTIF($C$6:$C2042,"?*"))</f>
      </c>
      <c r="B2042" s="217"/>
      <c r="C2042" s="216"/>
      <c r="D2042" s="240"/>
      <c r="E2042" s="218"/>
      <c r="F2042" s="218"/>
      <c r="G2042" s="218"/>
      <c r="H2042" s="219"/>
      <c r="I2042" s="223">
        <f>IF($C2042="","",IF(ISNUMBER(MATCH($C2042,'Phản ánh'!$A$6:$A$505,0)),"Phản ánh",IF(ISNUMBER(MATCH($C2042,'Kế hoạch'!$A$6:$A$305,0)),"Công việc","Mã chưa có")))</f>
      </c>
      <c r="J2042" s="221">
        <f>IF($I2042="Phản ánh",INDEX('Phản ánh'!$C$6:$C$505,MATCH($C2042,'Phản ánh'!$A$6:$A$505,0)),IF($I2042="Công việc",INDEX('Kế hoạch'!$C$6:$C$305,$O2042),""))</f>
      </c>
      <c r="K2042" s="221">
        <f>IF($I2042="Phản ánh",INDEX('Phản ánh'!$K$6:$K$505,MATCH($C2042,'Phản ánh'!$A$6:$A$505,0))&amp;"",IF($I2042="Công việc",INDEX('Kế hoạch'!$N$6:$N$305,$O2042)&amp;"",""))</f>
      </c>
      <c r="L2042" s="220">
        <f>IF(OR($C2042="",N($B2042)=0),"",IF(AND($I2042="Phản ánh",$E2042="Đã xử lý"),INDEX('Phản ánh'!$U$6:$U$505,MATCH($C2042,'Phản ánh'!$A$6:$A$505,0)),IF(AND($I2042="Công việc",OR($E2042="Hoàn thành",$E2042="Hoàn thành kỳ")),IF(INDEX('Kế hoạch'!$B$6:$B$305,$O2042)="Đột xuất",INDEX('Kế hoạch'!$AY$6:$AY$305,$O2042),IF(N($P2042)=0,"",IF(INT($B2042)&lt;$P2042,$P2042,IF($Q2042&gt;0,$P2042+ROUND((INT($B2042)-$P2042)/$Q2042,0)*$Q2042,IF($R2042&gt;0,EDATE($P2042,ROUND((DATEDIF($P2042,INT($B2042),"m")+(INT($B2042)-EDATE($P2042,DATEDIF($P2042,INT($B2042),"m")))/(EDATE($P2042,DATEDIF($P2042,INT($B2042),"m")+1)-EDATE($P2042,DATEDIF($P2042,INT($B2042),"m"))))/$R2042,0)*$R2042),$P2042))))),"")))</f>
      </c>
      <c r="M2042" s="223">
        <f>IF(OR($C2042="",N($L2042)=0,N($B2042)=0),"",IF(IF(MOD($L2042,1)=0,INT($B2042),$B2042)&lt;=$L2042,"Đúng hạn","Trễ hạn"))</f>
      </c>
      <c r="N2042" s="225">
        <f>IF($C2042="","",ROW())</f>
      </c>
      <c r="O2042" s="225">
        <f>IF($I2042="Công việc",MATCH($C2042,'Kế hoạch'!$A$6:$A$305,0),"")</f>
      </c>
      <c r="P2042" s="234">
        <f>IF($O2042="","",INDEX('Kế hoạch'!$I$6:$I$305,$O2042))</f>
      </c>
      <c r="Q2042" s="225">
        <f>IF($O2042="","",INDEX('Kế hoạch'!$AJ$6:$AJ$305,$O2042))</f>
      </c>
      <c r="R2042" s="225">
        <f>IF($O2042="","",INDEX('Kế hoạch'!$AK$6:$AK$305,$O2042))</f>
      </c>
    </row>
    <row r="2043">
      <c r="A2043" s="223">
        <f>IF($C2043="","",COUNTIF($C$6:$C2043,"?*"))</f>
      </c>
      <c r="B2043" s="217"/>
      <c r="C2043" s="216"/>
      <c r="D2043" s="240"/>
      <c r="E2043" s="218"/>
      <c r="F2043" s="218"/>
      <c r="G2043" s="218"/>
      <c r="H2043" s="219"/>
      <c r="I2043" s="223">
        <f>IF($C2043="","",IF(ISNUMBER(MATCH($C2043,'Phản ánh'!$A$6:$A$505,0)),"Phản ánh",IF(ISNUMBER(MATCH($C2043,'Kế hoạch'!$A$6:$A$305,0)),"Công việc","Mã chưa có")))</f>
      </c>
      <c r="J2043" s="221">
        <f>IF($I2043="Phản ánh",INDEX('Phản ánh'!$C$6:$C$505,MATCH($C2043,'Phản ánh'!$A$6:$A$505,0)),IF($I2043="Công việc",INDEX('Kế hoạch'!$C$6:$C$305,$O2043),""))</f>
      </c>
      <c r="K2043" s="221">
        <f>IF($I2043="Phản ánh",INDEX('Phản ánh'!$K$6:$K$505,MATCH($C2043,'Phản ánh'!$A$6:$A$505,0))&amp;"",IF($I2043="Công việc",INDEX('Kế hoạch'!$N$6:$N$305,$O2043)&amp;"",""))</f>
      </c>
      <c r="L2043" s="220">
        <f>IF(OR($C2043="",N($B2043)=0),"",IF(AND($I2043="Phản ánh",$E2043="Đã xử lý"),INDEX('Phản ánh'!$U$6:$U$505,MATCH($C2043,'Phản ánh'!$A$6:$A$505,0)),IF(AND($I2043="Công việc",OR($E2043="Hoàn thành",$E2043="Hoàn thành kỳ")),IF(INDEX('Kế hoạch'!$B$6:$B$305,$O2043)="Đột xuất",INDEX('Kế hoạch'!$AY$6:$AY$305,$O2043),IF(N($P2043)=0,"",IF(INT($B2043)&lt;$P2043,$P2043,IF($Q2043&gt;0,$P2043+ROUND((INT($B2043)-$P2043)/$Q2043,0)*$Q2043,IF($R2043&gt;0,EDATE($P2043,ROUND((DATEDIF($P2043,INT($B2043),"m")+(INT($B2043)-EDATE($P2043,DATEDIF($P2043,INT($B2043),"m")))/(EDATE($P2043,DATEDIF($P2043,INT($B2043),"m")+1)-EDATE($P2043,DATEDIF($P2043,INT($B2043),"m"))))/$R2043,0)*$R2043),$P2043))))),"")))</f>
      </c>
      <c r="M2043" s="223">
        <f>IF(OR($C2043="",N($L2043)=0,N($B2043)=0),"",IF(IF(MOD($L2043,1)=0,INT($B2043),$B2043)&lt;=$L2043,"Đúng hạn","Trễ hạn"))</f>
      </c>
      <c r="N2043" s="225">
        <f>IF($C2043="","",ROW())</f>
      </c>
      <c r="O2043" s="225">
        <f>IF($I2043="Công việc",MATCH($C2043,'Kế hoạch'!$A$6:$A$305,0),"")</f>
      </c>
      <c r="P2043" s="234">
        <f>IF($O2043="","",INDEX('Kế hoạch'!$I$6:$I$305,$O2043))</f>
      </c>
      <c r="Q2043" s="225">
        <f>IF($O2043="","",INDEX('Kế hoạch'!$AJ$6:$AJ$305,$O2043))</f>
      </c>
      <c r="R2043" s="225">
        <f>IF($O2043="","",INDEX('Kế hoạch'!$AK$6:$AK$305,$O2043))</f>
      </c>
    </row>
    <row r="2044">
      <c r="A2044" s="223">
        <f>IF($C2044="","",COUNTIF($C$6:$C2044,"?*"))</f>
      </c>
      <c r="B2044" s="217"/>
      <c r="C2044" s="216"/>
      <c r="D2044" s="240"/>
      <c r="E2044" s="218"/>
      <c r="F2044" s="218"/>
      <c r="G2044" s="218"/>
      <c r="H2044" s="219"/>
      <c r="I2044" s="223">
        <f>IF($C2044="","",IF(ISNUMBER(MATCH($C2044,'Phản ánh'!$A$6:$A$505,0)),"Phản ánh",IF(ISNUMBER(MATCH($C2044,'Kế hoạch'!$A$6:$A$305,0)),"Công việc","Mã chưa có")))</f>
      </c>
      <c r="J2044" s="221">
        <f>IF($I2044="Phản ánh",INDEX('Phản ánh'!$C$6:$C$505,MATCH($C2044,'Phản ánh'!$A$6:$A$505,0)),IF($I2044="Công việc",INDEX('Kế hoạch'!$C$6:$C$305,$O2044),""))</f>
      </c>
      <c r="K2044" s="221">
        <f>IF($I2044="Phản ánh",INDEX('Phản ánh'!$K$6:$K$505,MATCH($C2044,'Phản ánh'!$A$6:$A$505,0))&amp;"",IF($I2044="Công việc",INDEX('Kế hoạch'!$N$6:$N$305,$O2044)&amp;"",""))</f>
      </c>
      <c r="L2044" s="220">
        <f>IF(OR($C2044="",N($B2044)=0),"",IF(AND($I2044="Phản ánh",$E2044="Đã xử lý"),INDEX('Phản ánh'!$U$6:$U$505,MATCH($C2044,'Phản ánh'!$A$6:$A$505,0)),IF(AND($I2044="Công việc",OR($E2044="Hoàn thành",$E2044="Hoàn thành kỳ")),IF(INDEX('Kế hoạch'!$B$6:$B$305,$O2044)="Đột xuất",INDEX('Kế hoạch'!$AY$6:$AY$305,$O2044),IF(N($P2044)=0,"",IF(INT($B2044)&lt;$P2044,$P2044,IF($Q2044&gt;0,$P2044+ROUND((INT($B2044)-$P2044)/$Q2044,0)*$Q2044,IF($R2044&gt;0,EDATE($P2044,ROUND((DATEDIF($P2044,INT($B2044),"m")+(INT($B2044)-EDATE($P2044,DATEDIF($P2044,INT($B2044),"m")))/(EDATE($P2044,DATEDIF($P2044,INT($B2044),"m")+1)-EDATE($P2044,DATEDIF($P2044,INT($B2044),"m"))))/$R2044,0)*$R2044),$P2044))))),"")))</f>
      </c>
      <c r="M2044" s="223">
        <f>IF(OR($C2044="",N($L2044)=0,N($B2044)=0),"",IF(IF(MOD($L2044,1)=0,INT($B2044),$B2044)&lt;=$L2044,"Đúng hạn","Trễ hạn"))</f>
      </c>
      <c r="N2044" s="225">
        <f>IF($C2044="","",ROW())</f>
      </c>
      <c r="O2044" s="225">
        <f>IF($I2044="Công việc",MATCH($C2044,'Kế hoạch'!$A$6:$A$305,0),"")</f>
      </c>
      <c r="P2044" s="234">
        <f>IF($O2044="","",INDEX('Kế hoạch'!$I$6:$I$305,$O2044))</f>
      </c>
      <c r="Q2044" s="225">
        <f>IF($O2044="","",INDEX('Kế hoạch'!$AJ$6:$AJ$305,$O2044))</f>
      </c>
      <c r="R2044" s="225">
        <f>IF($O2044="","",INDEX('Kế hoạch'!$AK$6:$AK$305,$O2044))</f>
      </c>
    </row>
    <row r="2045">
      <c r="A2045" s="223">
        <f>IF($C2045="","",COUNTIF($C$6:$C2045,"?*"))</f>
      </c>
      <c r="B2045" s="217"/>
      <c r="C2045" s="216"/>
      <c r="D2045" s="240"/>
      <c r="E2045" s="218"/>
      <c r="F2045" s="218"/>
      <c r="G2045" s="218"/>
      <c r="H2045" s="219"/>
      <c r="I2045" s="223">
        <f>IF($C2045="","",IF(ISNUMBER(MATCH($C2045,'Phản ánh'!$A$6:$A$505,0)),"Phản ánh",IF(ISNUMBER(MATCH($C2045,'Kế hoạch'!$A$6:$A$305,0)),"Công việc","Mã chưa có")))</f>
      </c>
      <c r="J2045" s="221">
        <f>IF($I2045="Phản ánh",INDEX('Phản ánh'!$C$6:$C$505,MATCH($C2045,'Phản ánh'!$A$6:$A$505,0)),IF($I2045="Công việc",INDEX('Kế hoạch'!$C$6:$C$305,$O2045),""))</f>
      </c>
      <c r="K2045" s="221">
        <f>IF($I2045="Phản ánh",INDEX('Phản ánh'!$K$6:$K$505,MATCH($C2045,'Phản ánh'!$A$6:$A$505,0))&amp;"",IF($I2045="Công việc",INDEX('Kế hoạch'!$N$6:$N$305,$O2045)&amp;"",""))</f>
      </c>
      <c r="L2045" s="220">
        <f>IF(OR($C2045="",N($B2045)=0),"",IF(AND($I2045="Phản ánh",$E2045="Đã xử lý"),INDEX('Phản ánh'!$U$6:$U$505,MATCH($C2045,'Phản ánh'!$A$6:$A$505,0)),IF(AND($I2045="Công việc",OR($E2045="Hoàn thành",$E2045="Hoàn thành kỳ")),IF(INDEX('Kế hoạch'!$B$6:$B$305,$O2045)="Đột xuất",INDEX('Kế hoạch'!$AY$6:$AY$305,$O2045),IF(N($P2045)=0,"",IF(INT($B2045)&lt;$P2045,$P2045,IF($Q2045&gt;0,$P2045+ROUND((INT($B2045)-$P2045)/$Q2045,0)*$Q2045,IF($R2045&gt;0,EDATE($P2045,ROUND((DATEDIF($P2045,INT($B2045),"m")+(INT($B2045)-EDATE($P2045,DATEDIF($P2045,INT($B2045),"m")))/(EDATE($P2045,DATEDIF($P2045,INT($B2045),"m")+1)-EDATE($P2045,DATEDIF($P2045,INT($B2045),"m"))))/$R2045,0)*$R2045),$P2045))))),"")))</f>
      </c>
      <c r="M2045" s="223">
        <f>IF(OR($C2045="",N($L2045)=0,N($B2045)=0),"",IF(IF(MOD($L2045,1)=0,INT($B2045),$B2045)&lt;=$L2045,"Đúng hạn","Trễ hạn"))</f>
      </c>
      <c r="N2045" s="225">
        <f>IF($C2045="","",ROW())</f>
      </c>
      <c r="O2045" s="225">
        <f>IF($I2045="Công việc",MATCH($C2045,'Kế hoạch'!$A$6:$A$305,0),"")</f>
      </c>
      <c r="P2045" s="234">
        <f>IF($O2045="","",INDEX('Kế hoạch'!$I$6:$I$305,$O2045))</f>
      </c>
      <c r="Q2045" s="225">
        <f>IF($O2045="","",INDEX('Kế hoạch'!$AJ$6:$AJ$305,$O2045))</f>
      </c>
      <c r="R2045" s="225">
        <f>IF($O2045="","",INDEX('Kế hoạch'!$AK$6:$AK$305,$O2045))</f>
      </c>
    </row>
    <row r="2046">
      <c r="A2046" s="223">
        <f>IF($C2046="","",COUNTIF($C$6:$C2046,"?*"))</f>
      </c>
      <c r="B2046" s="217"/>
      <c r="C2046" s="216"/>
      <c r="D2046" s="240"/>
      <c r="E2046" s="218"/>
      <c r="F2046" s="218"/>
      <c r="G2046" s="218"/>
      <c r="H2046" s="219"/>
      <c r="I2046" s="223">
        <f>IF($C2046="","",IF(ISNUMBER(MATCH($C2046,'Phản ánh'!$A$6:$A$505,0)),"Phản ánh",IF(ISNUMBER(MATCH($C2046,'Kế hoạch'!$A$6:$A$305,0)),"Công việc","Mã chưa có")))</f>
      </c>
      <c r="J2046" s="221">
        <f>IF($I2046="Phản ánh",INDEX('Phản ánh'!$C$6:$C$505,MATCH($C2046,'Phản ánh'!$A$6:$A$505,0)),IF($I2046="Công việc",INDEX('Kế hoạch'!$C$6:$C$305,$O2046),""))</f>
      </c>
      <c r="K2046" s="221">
        <f>IF($I2046="Phản ánh",INDEX('Phản ánh'!$K$6:$K$505,MATCH($C2046,'Phản ánh'!$A$6:$A$505,0))&amp;"",IF($I2046="Công việc",INDEX('Kế hoạch'!$N$6:$N$305,$O2046)&amp;"",""))</f>
      </c>
      <c r="L2046" s="220">
        <f>IF(OR($C2046="",N($B2046)=0),"",IF(AND($I2046="Phản ánh",$E2046="Đã xử lý"),INDEX('Phản ánh'!$U$6:$U$505,MATCH($C2046,'Phản ánh'!$A$6:$A$505,0)),IF(AND($I2046="Công việc",OR($E2046="Hoàn thành",$E2046="Hoàn thành kỳ")),IF(INDEX('Kế hoạch'!$B$6:$B$305,$O2046)="Đột xuất",INDEX('Kế hoạch'!$AY$6:$AY$305,$O2046),IF(N($P2046)=0,"",IF(INT($B2046)&lt;$P2046,$P2046,IF($Q2046&gt;0,$P2046+ROUND((INT($B2046)-$P2046)/$Q2046,0)*$Q2046,IF($R2046&gt;0,EDATE($P2046,ROUND((DATEDIF($P2046,INT($B2046),"m")+(INT($B2046)-EDATE($P2046,DATEDIF($P2046,INT($B2046),"m")))/(EDATE($P2046,DATEDIF($P2046,INT($B2046),"m")+1)-EDATE($P2046,DATEDIF($P2046,INT($B2046),"m"))))/$R2046,0)*$R2046),$P2046))))),"")))</f>
      </c>
      <c r="M2046" s="223">
        <f>IF(OR($C2046="",N($L2046)=0,N($B2046)=0),"",IF(IF(MOD($L2046,1)=0,INT($B2046),$B2046)&lt;=$L2046,"Đúng hạn","Trễ hạn"))</f>
      </c>
      <c r="N2046" s="225">
        <f>IF($C2046="","",ROW())</f>
      </c>
      <c r="O2046" s="225">
        <f>IF($I2046="Công việc",MATCH($C2046,'Kế hoạch'!$A$6:$A$305,0),"")</f>
      </c>
      <c r="P2046" s="234">
        <f>IF($O2046="","",INDEX('Kế hoạch'!$I$6:$I$305,$O2046))</f>
      </c>
      <c r="Q2046" s="225">
        <f>IF($O2046="","",INDEX('Kế hoạch'!$AJ$6:$AJ$305,$O2046))</f>
      </c>
      <c r="R2046" s="225">
        <f>IF($O2046="","",INDEX('Kế hoạch'!$AK$6:$AK$305,$O2046))</f>
      </c>
    </row>
    <row r="2047">
      <c r="A2047" s="223">
        <f>IF($C2047="","",COUNTIF($C$6:$C2047,"?*"))</f>
      </c>
      <c r="B2047" s="217"/>
      <c r="C2047" s="216"/>
      <c r="D2047" s="240"/>
      <c r="E2047" s="218"/>
      <c r="F2047" s="218"/>
      <c r="G2047" s="218"/>
      <c r="H2047" s="219"/>
      <c r="I2047" s="223">
        <f>IF($C2047="","",IF(ISNUMBER(MATCH($C2047,'Phản ánh'!$A$6:$A$505,0)),"Phản ánh",IF(ISNUMBER(MATCH($C2047,'Kế hoạch'!$A$6:$A$305,0)),"Công việc","Mã chưa có")))</f>
      </c>
      <c r="J2047" s="221">
        <f>IF($I2047="Phản ánh",INDEX('Phản ánh'!$C$6:$C$505,MATCH($C2047,'Phản ánh'!$A$6:$A$505,0)),IF($I2047="Công việc",INDEX('Kế hoạch'!$C$6:$C$305,$O2047),""))</f>
      </c>
      <c r="K2047" s="221">
        <f>IF($I2047="Phản ánh",INDEX('Phản ánh'!$K$6:$K$505,MATCH($C2047,'Phản ánh'!$A$6:$A$505,0))&amp;"",IF($I2047="Công việc",INDEX('Kế hoạch'!$N$6:$N$305,$O2047)&amp;"",""))</f>
      </c>
      <c r="L2047" s="220">
        <f>IF(OR($C2047="",N($B2047)=0),"",IF(AND($I2047="Phản ánh",$E2047="Đã xử lý"),INDEX('Phản ánh'!$U$6:$U$505,MATCH($C2047,'Phản ánh'!$A$6:$A$505,0)),IF(AND($I2047="Công việc",OR($E2047="Hoàn thành",$E2047="Hoàn thành kỳ")),IF(INDEX('Kế hoạch'!$B$6:$B$305,$O2047)="Đột xuất",INDEX('Kế hoạch'!$AY$6:$AY$305,$O2047),IF(N($P2047)=0,"",IF(INT($B2047)&lt;$P2047,$P2047,IF($Q2047&gt;0,$P2047+ROUND((INT($B2047)-$P2047)/$Q2047,0)*$Q2047,IF($R2047&gt;0,EDATE($P2047,ROUND((DATEDIF($P2047,INT($B2047),"m")+(INT($B2047)-EDATE($P2047,DATEDIF($P2047,INT($B2047),"m")))/(EDATE($P2047,DATEDIF($P2047,INT($B2047),"m")+1)-EDATE($P2047,DATEDIF($P2047,INT($B2047),"m"))))/$R2047,0)*$R2047),$P2047))))),"")))</f>
      </c>
      <c r="M2047" s="223">
        <f>IF(OR($C2047="",N($L2047)=0,N($B2047)=0),"",IF(IF(MOD($L2047,1)=0,INT($B2047),$B2047)&lt;=$L2047,"Đúng hạn","Trễ hạn"))</f>
      </c>
      <c r="N2047" s="225">
        <f>IF($C2047="","",ROW())</f>
      </c>
      <c r="O2047" s="225">
        <f>IF($I2047="Công việc",MATCH($C2047,'Kế hoạch'!$A$6:$A$305,0),"")</f>
      </c>
      <c r="P2047" s="234">
        <f>IF($O2047="","",INDEX('Kế hoạch'!$I$6:$I$305,$O2047))</f>
      </c>
      <c r="Q2047" s="225">
        <f>IF($O2047="","",INDEX('Kế hoạch'!$AJ$6:$AJ$305,$O2047))</f>
      </c>
      <c r="R2047" s="225">
        <f>IF($O2047="","",INDEX('Kế hoạch'!$AK$6:$AK$305,$O2047))</f>
      </c>
    </row>
    <row r="2048">
      <c r="A2048" s="223">
        <f>IF($C2048="","",COUNTIF($C$6:$C2048,"?*"))</f>
      </c>
      <c r="B2048" s="217"/>
      <c r="C2048" s="216"/>
      <c r="D2048" s="240"/>
      <c r="E2048" s="218"/>
      <c r="F2048" s="218"/>
      <c r="G2048" s="218"/>
      <c r="H2048" s="219"/>
      <c r="I2048" s="223">
        <f>IF($C2048="","",IF(ISNUMBER(MATCH($C2048,'Phản ánh'!$A$6:$A$505,0)),"Phản ánh",IF(ISNUMBER(MATCH($C2048,'Kế hoạch'!$A$6:$A$305,0)),"Công việc","Mã chưa có")))</f>
      </c>
      <c r="J2048" s="221">
        <f>IF($I2048="Phản ánh",INDEX('Phản ánh'!$C$6:$C$505,MATCH($C2048,'Phản ánh'!$A$6:$A$505,0)),IF($I2048="Công việc",INDEX('Kế hoạch'!$C$6:$C$305,$O2048),""))</f>
      </c>
      <c r="K2048" s="221">
        <f>IF($I2048="Phản ánh",INDEX('Phản ánh'!$K$6:$K$505,MATCH($C2048,'Phản ánh'!$A$6:$A$505,0))&amp;"",IF($I2048="Công việc",INDEX('Kế hoạch'!$N$6:$N$305,$O2048)&amp;"",""))</f>
      </c>
      <c r="L2048" s="220">
        <f>IF(OR($C2048="",N($B2048)=0),"",IF(AND($I2048="Phản ánh",$E2048="Đã xử lý"),INDEX('Phản ánh'!$U$6:$U$505,MATCH($C2048,'Phản ánh'!$A$6:$A$505,0)),IF(AND($I2048="Công việc",OR($E2048="Hoàn thành",$E2048="Hoàn thành kỳ")),IF(INDEX('Kế hoạch'!$B$6:$B$305,$O2048)="Đột xuất",INDEX('Kế hoạch'!$AY$6:$AY$305,$O2048),IF(N($P2048)=0,"",IF(INT($B2048)&lt;$P2048,$P2048,IF($Q2048&gt;0,$P2048+ROUND((INT($B2048)-$P2048)/$Q2048,0)*$Q2048,IF($R2048&gt;0,EDATE($P2048,ROUND((DATEDIF($P2048,INT($B2048),"m")+(INT($B2048)-EDATE($P2048,DATEDIF($P2048,INT($B2048),"m")))/(EDATE($P2048,DATEDIF($P2048,INT($B2048),"m")+1)-EDATE($P2048,DATEDIF($P2048,INT($B2048),"m"))))/$R2048,0)*$R2048),$P2048))))),"")))</f>
      </c>
      <c r="M2048" s="223">
        <f>IF(OR($C2048="",N($L2048)=0,N($B2048)=0),"",IF(IF(MOD($L2048,1)=0,INT($B2048),$B2048)&lt;=$L2048,"Đúng hạn","Trễ hạn"))</f>
      </c>
      <c r="N2048" s="225">
        <f>IF($C2048="","",ROW())</f>
      </c>
      <c r="O2048" s="225">
        <f>IF($I2048="Công việc",MATCH($C2048,'Kế hoạch'!$A$6:$A$305,0),"")</f>
      </c>
      <c r="P2048" s="234">
        <f>IF($O2048="","",INDEX('Kế hoạch'!$I$6:$I$305,$O2048))</f>
      </c>
      <c r="Q2048" s="225">
        <f>IF($O2048="","",INDEX('Kế hoạch'!$AJ$6:$AJ$305,$O2048))</f>
      </c>
      <c r="R2048" s="225">
        <f>IF($O2048="","",INDEX('Kế hoạch'!$AK$6:$AK$305,$O2048))</f>
      </c>
    </row>
    <row r="2049">
      <c r="A2049" s="223">
        <f>IF($C2049="","",COUNTIF($C$6:$C2049,"?*"))</f>
      </c>
      <c r="B2049" s="217"/>
      <c r="C2049" s="216"/>
      <c r="D2049" s="240"/>
      <c r="E2049" s="218"/>
      <c r="F2049" s="218"/>
      <c r="G2049" s="218"/>
      <c r="H2049" s="219"/>
      <c r="I2049" s="223">
        <f>IF($C2049="","",IF(ISNUMBER(MATCH($C2049,'Phản ánh'!$A$6:$A$505,0)),"Phản ánh",IF(ISNUMBER(MATCH($C2049,'Kế hoạch'!$A$6:$A$305,0)),"Công việc","Mã chưa có")))</f>
      </c>
      <c r="J2049" s="221">
        <f>IF($I2049="Phản ánh",INDEX('Phản ánh'!$C$6:$C$505,MATCH($C2049,'Phản ánh'!$A$6:$A$505,0)),IF($I2049="Công việc",INDEX('Kế hoạch'!$C$6:$C$305,$O2049),""))</f>
      </c>
      <c r="K2049" s="221">
        <f>IF($I2049="Phản ánh",INDEX('Phản ánh'!$K$6:$K$505,MATCH($C2049,'Phản ánh'!$A$6:$A$505,0))&amp;"",IF($I2049="Công việc",INDEX('Kế hoạch'!$N$6:$N$305,$O2049)&amp;"",""))</f>
      </c>
      <c r="L2049" s="220">
        <f>IF(OR($C2049="",N($B2049)=0),"",IF(AND($I2049="Phản ánh",$E2049="Đã xử lý"),INDEX('Phản ánh'!$U$6:$U$505,MATCH($C2049,'Phản ánh'!$A$6:$A$505,0)),IF(AND($I2049="Công việc",OR($E2049="Hoàn thành",$E2049="Hoàn thành kỳ")),IF(INDEX('Kế hoạch'!$B$6:$B$305,$O2049)="Đột xuất",INDEX('Kế hoạch'!$AY$6:$AY$305,$O2049),IF(N($P2049)=0,"",IF(INT($B2049)&lt;$P2049,$P2049,IF($Q2049&gt;0,$P2049+ROUND((INT($B2049)-$P2049)/$Q2049,0)*$Q2049,IF($R2049&gt;0,EDATE($P2049,ROUND((DATEDIF($P2049,INT($B2049),"m")+(INT($B2049)-EDATE($P2049,DATEDIF($P2049,INT($B2049),"m")))/(EDATE($P2049,DATEDIF($P2049,INT($B2049),"m")+1)-EDATE($P2049,DATEDIF($P2049,INT($B2049),"m"))))/$R2049,0)*$R2049),$P2049))))),"")))</f>
      </c>
      <c r="M2049" s="223">
        <f>IF(OR($C2049="",N($L2049)=0,N($B2049)=0),"",IF(IF(MOD($L2049,1)=0,INT($B2049),$B2049)&lt;=$L2049,"Đúng hạn","Trễ hạn"))</f>
      </c>
      <c r="N2049" s="225">
        <f>IF($C2049="","",ROW())</f>
      </c>
      <c r="O2049" s="225">
        <f>IF($I2049="Công việc",MATCH($C2049,'Kế hoạch'!$A$6:$A$305,0),"")</f>
      </c>
      <c r="P2049" s="234">
        <f>IF($O2049="","",INDEX('Kế hoạch'!$I$6:$I$305,$O2049))</f>
      </c>
      <c r="Q2049" s="225">
        <f>IF($O2049="","",INDEX('Kế hoạch'!$AJ$6:$AJ$305,$O2049))</f>
      </c>
      <c r="R2049" s="225">
        <f>IF($O2049="","",INDEX('Kế hoạch'!$AK$6:$AK$305,$O2049))</f>
      </c>
    </row>
    <row r="2050">
      <c r="A2050" s="223">
        <f>IF($C2050="","",COUNTIF($C$6:$C2050,"?*"))</f>
      </c>
      <c r="B2050" s="217"/>
      <c r="C2050" s="216"/>
      <c r="D2050" s="240"/>
      <c r="E2050" s="218"/>
      <c r="F2050" s="218"/>
      <c r="G2050" s="218"/>
      <c r="H2050" s="219"/>
      <c r="I2050" s="223">
        <f>IF($C2050="","",IF(ISNUMBER(MATCH($C2050,'Phản ánh'!$A$6:$A$505,0)),"Phản ánh",IF(ISNUMBER(MATCH($C2050,'Kế hoạch'!$A$6:$A$305,0)),"Công việc","Mã chưa có")))</f>
      </c>
      <c r="J2050" s="221">
        <f>IF($I2050="Phản ánh",INDEX('Phản ánh'!$C$6:$C$505,MATCH($C2050,'Phản ánh'!$A$6:$A$505,0)),IF($I2050="Công việc",INDEX('Kế hoạch'!$C$6:$C$305,$O2050),""))</f>
      </c>
      <c r="K2050" s="221">
        <f>IF($I2050="Phản ánh",INDEX('Phản ánh'!$K$6:$K$505,MATCH($C2050,'Phản ánh'!$A$6:$A$505,0))&amp;"",IF($I2050="Công việc",INDEX('Kế hoạch'!$N$6:$N$305,$O2050)&amp;"",""))</f>
      </c>
      <c r="L2050" s="220">
        <f>IF(OR($C2050="",N($B2050)=0),"",IF(AND($I2050="Phản ánh",$E2050="Đã xử lý"),INDEX('Phản ánh'!$U$6:$U$505,MATCH($C2050,'Phản ánh'!$A$6:$A$505,0)),IF(AND($I2050="Công việc",OR($E2050="Hoàn thành",$E2050="Hoàn thành kỳ")),IF(INDEX('Kế hoạch'!$B$6:$B$305,$O2050)="Đột xuất",INDEX('Kế hoạch'!$AY$6:$AY$305,$O2050),IF(N($P2050)=0,"",IF(INT($B2050)&lt;$P2050,$P2050,IF($Q2050&gt;0,$P2050+ROUND((INT($B2050)-$P2050)/$Q2050,0)*$Q2050,IF($R2050&gt;0,EDATE($P2050,ROUND((DATEDIF($P2050,INT($B2050),"m")+(INT($B2050)-EDATE($P2050,DATEDIF($P2050,INT($B2050),"m")))/(EDATE($P2050,DATEDIF($P2050,INT($B2050),"m")+1)-EDATE($P2050,DATEDIF($P2050,INT($B2050),"m"))))/$R2050,0)*$R2050),$P2050))))),"")))</f>
      </c>
      <c r="M2050" s="223">
        <f>IF(OR($C2050="",N($L2050)=0,N($B2050)=0),"",IF(IF(MOD($L2050,1)=0,INT($B2050),$B2050)&lt;=$L2050,"Đúng hạn","Trễ hạn"))</f>
      </c>
      <c r="N2050" s="225">
        <f>IF($C2050="","",ROW())</f>
      </c>
      <c r="O2050" s="225">
        <f>IF($I2050="Công việc",MATCH($C2050,'Kế hoạch'!$A$6:$A$305,0),"")</f>
      </c>
      <c r="P2050" s="234">
        <f>IF($O2050="","",INDEX('Kế hoạch'!$I$6:$I$305,$O2050))</f>
      </c>
      <c r="Q2050" s="225">
        <f>IF($O2050="","",INDEX('Kế hoạch'!$AJ$6:$AJ$305,$O2050))</f>
      </c>
      <c r="R2050" s="225">
        <f>IF($O2050="","",INDEX('Kế hoạch'!$AK$6:$AK$305,$O2050))</f>
      </c>
    </row>
    <row r="2051">
      <c r="A2051" s="223">
        <f>IF($C2051="","",COUNTIF($C$6:$C2051,"?*"))</f>
      </c>
      <c r="B2051" s="217"/>
      <c r="C2051" s="216"/>
      <c r="D2051" s="240"/>
      <c r="E2051" s="218"/>
      <c r="F2051" s="218"/>
      <c r="G2051" s="218"/>
      <c r="H2051" s="219"/>
      <c r="I2051" s="223">
        <f>IF($C2051="","",IF(ISNUMBER(MATCH($C2051,'Phản ánh'!$A$6:$A$505,0)),"Phản ánh",IF(ISNUMBER(MATCH($C2051,'Kế hoạch'!$A$6:$A$305,0)),"Công việc","Mã chưa có")))</f>
      </c>
      <c r="J2051" s="221">
        <f>IF($I2051="Phản ánh",INDEX('Phản ánh'!$C$6:$C$505,MATCH($C2051,'Phản ánh'!$A$6:$A$505,0)),IF($I2051="Công việc",INDEX('Kế hoạch'!$C$6:$C$305,$O2051),""))</f>
      </c>
      <c r="K2051" s="221">
        <f>IF($I2051="Phản ánh",INDEX('Phản ánh'!$K$6:$K$505,MATCH($C2051,'Phản ánh'!$A$6:$A$505,0))&amp;"",IF($I2051="Công việc",INDEX('Kế hoạch'!$N$6:$N$305,$O2051)&amp;"",""))</f>
      </c>
      <c r="L2051" s="220">
        <f>IF(OR($C2051="",N($B2051)=0),"",IF(AND($I2051="Phản ánh",$E2051="Đã xử lý"),INDEX('Phản ánh'!$U$6:$U$505,MATCH($C2051,'Phản ánh'!$A$6:$A$505,0)),IF(AND($I2051="Công việc",OR($E2051="Hoàn thành",$E2051="Hoàn thành kỳ")),IF(INDEX('Kế hoạch'!$B$6:$B$305,$O2051)="Đột xuất",INDEX('Kế hoạch'!$AY$6:$AY$305,$O2051),IF(N($P2051)=0,"",IF(INT($B2051)&lt;$P2051,$P2051,IF($Q2051&gt;0,$P2051+ROUND((INT($B2051)-$P2051)/$Q2051,0)*$Q2051,IF($R2051&gt;0,EDATE($P2051,ROUND((DATEDIF($P2051,INT($B2051),"m")+(INT($B2051)-EDATE($P2051,DATEDIF($P2051,INT($B2051),"m")))/(EDATE($P2051,DATEDIF($P2051,INT($B2051),"m")+1)-EDATE($P2051,DATEDIF($P2051,INT($B2051),"m"))))/$R2051,0)*$R2051),$P2051))))),"")))</f>
      </c>
      <c r="M2051" s="223">
        <f>IF(OR($C2051="",N($L2051)=0,N($B2051)=0),"",IF(IF(MOD($L2051,1)=0,INT($B2051),$B2051)&lt;=$L2051,"Đúng hạn","Trễ hạn"))</f>
      </c>
      <c r="N2051" s="225">
        <f>IF($C2051="","",ROW())</f>
      </c>
      <c r="O2051" s="225">
        <f>IF($I2051="Công việc",MATCH($C2051,'Kế hoạch'!$A$6:$A$305,0),"")</f>
      </c>
      <c r="P2051" s="234">
        <f>IF($O2051="","",INDEX('Kế hoạch'!$I$6:$I$305,$O2051))</f>
      </c>
      <c r="Q2051" s="225">
        <f>IF($O2051="","",INDEX('Kế hoạch'!$AJ$6:$AJ$305,$O2051))</f>
      </c>
      <c r="R2051" s="225">
        <f>IF($O2051="","",INDEX('Kế hoạch'!$AK$6:$AK$305,$O2051))</f>
      </c>
    </row>
    <row r="2052">
      <c r="A2052" s="223">
        <f>IF($C2052="","",COUNTIF($C$6:$C2052,"?*"))</f>
      </c>
      <c r="B2052" s="217"/>
      <c r="C2052" s="216"/>
      <c r="D2052" s="240"/>
      <c r="E2052" s="218"/>
      <c r="F2052" s="218"/>
      <c r="G2052" s="218"/>
      <c r="H2052" s="219"/>
      <c r="I2052" s="223">
        <f>IF($C2052="","",IF(ISNUMBER(MATCH($C2052,'Phản ánh'!$A$6:$A$505,0)),"Phản ánh",IF(ISNUMBER(MATCH($C2052,'Kế hoạch'!$A$6:$A$305,0)),"Công việc","Mã chưa có")))</f>
      </c>
      <c r="J2052" s="221">
        <f>IF($I2052="Phản ánh",INDEX('Phản ánh'!$C$6:$C$505,MATCH($C2052,'Phản ánh'!$A$6:$A$505,0)),IF($I2052="Công việc",INDEX('Kế hoạch'!$C$6:$C$305,$O2052),""))</f>
      </c>
      <c r="K2052" s="221">
        <f>IF($I2052="Phản ánh",INDEX('Phản ánh'!$K$6:$K$505,MATCH($C2052,'Phản ánh'!$A$6:$A$505,0))&amp;"",IF($I2052="Công việc",INDEX('Kế hoạch'!$N$6:$N$305,$O2052)&amp;"",""))</f>
      </c>
      <c r="L2052" s="220">
        <f>IF(OR($C2052="",N($B2052)=0),"",IF(AND($I2052="Phản ánh",$E2052="Đã xử lý"),INDEX('Phản ánh'!$U$6:$U$505,MATCH($C2052,'Phản ánh'!$A$6:$A$505,0)),IF(AND($I2052="Công việc",OR($E2052="Hoàn thành",$E2052="Hoàn thành kỳ")),IF(INDEX('Kế hoạch'!$B$6:$B$305,$O2052)="Đột xuất",INDEX('Kế hoạch'!$AY$6:$AY$305,$O2052),IF(N($P2052)=0,"",IF(INT($B2052)&lt;$P2052,$P2052,IF($Q2052&gt;0,$P2052+ROUND((INT($B2052)-$P2052)/$Q2052,0)*$Q2052,IF($R2052&gt;0,EDATE($P2052,ROUND((DATEDIF($P2052,INT($B2052),"m")+(INT($B2052)-EDATE($P2052,DATEDIF($P2052,INT($B2052),"m")))/(EDATE($P2052,DATEDIF($P2052,INT($B2052),"m")+1)-EDATE($P2052,DATEDIF($P2052,INT($B2052),"m"))))/$R2052,0)*$R2052),$P2052))))),"")))</f>
      </c>
      <c r="M2052" s="223">
        <f>IF(OR($C2052="",N($L2052)=0,N($B2052)=0),"",IF(IF(MOD($L2052,1)=0,INT($B2052),$B2052)&lt;=$L2052,"Đúng hạn","Trễ hạn"))</f>
      </c>
      <c r="N2052" s="225">
        <f>IF($C2052="","",ROW())</f>
      </c>
      <c r="O2052" s="225">
        <f>IF($I2052="Công việc",MATCH($C2052,'Kế hoạch'!$A$6:$A$305,0),"")</f>
      </c>
      <c r="P2052" s="234">
        <f>IF($O2052="","",INDEX('Kế hoạch'!$I$6:$I$305,$O2052))</f>
      </c>
      <c r="Q2052" s="225">
        <f>IF($O2052="","",INDEX('Kế hoạch'!$AJ$6:$AJ$305,$O2052))</f>
      </c>
      <c r="R2052" s="225">
        <f>IF($O2052="","",INDEX('Kế hoạch'!$AK$6:$AK$305,$O2052))</f>
      </c>
    </row>
    <row r="2053">
      <c r="A2053" s="223">
        <f>IF($C2053="","",COUNTIF($C$6:$C2053,"?*"))</f>
      </c>
      <c r="B2053" s="217"/>
      <c r="C2053" s="216"/>
      <c r="D2053" s="240"/>
      <c r="E2053" s="218"/>
      <c r="F2053" s="218"/>
      <c r="G2053" s="218"/>
      <c r="H2053" s="219"/>
      <c r="I2053" s="223">
        <f>IF($C2053="","",IF(ISNUMBER(MATCH($C2053,'Phản ánh'!$A$6:$A$505,0)),"Phản ánh",IF(ISNUMBER(MATCH($C2053,'Kế hoạch'!$A$6:$A$305,0)),"Công việc","Mã chưa có")))</f>
      </c>
      <c r="J2053" s="221">
        <f>IF($I2053="Phản ánh",INDEX('Phản ánh'!$C$6:$C$505,MATCH($C2053,'Phản ánh'!$A$6:$A$505,0)),IF($I2053="Công việc",INDEX('Kế hoạch'!$C$6:$C$305,$O2053),""))</f>
      </c>
      <c r="K2053" s="221">
        <f>IF($I2053="Phản ánh",INDEX('Phản ánh'!$K$6:$K$505,MATCH($C2053,'Phản ánh'!$A$6:$A$505,0))&amp;"",IF($I2053="Công việc",INDEX('Kế hoạch'!$N$6:$N$305,$O2053)&amp;"",""))</f>
      </c>
      <c r="L2053" s="220">
        <f>IF(OR($C2053="",N($B2053)=0),"",IF(AND($I2053="Phản ánh",$E2053="Đã xử lý"),INDEX('Phản ánh'!$U$6:$U$505,MATCH($C2053,'Phản ánh'!$A$6:$A$505,0)),IF(AND($I2053="Công việc",OR($E2053="Hoàn thành",$E2053="Hoàn thành kỳ")),IF(INDEX('Kế hoạch'!$B$6:$B$305,$O2053)="Đột xuất",INDEX('Kế hoạch'!$AY$6:$AY$305,$O2053),IF(N($P2053)=0,"",IF(INT($B2053)&lt;$P2053,$P2053,IF($Q2053&gt;0,$P2053+ROUND((INT($B2053)-$P2053)/$Q2053,0)*$Q2053,IF($R2053&gt;0,EDATE($P2053,ROUND((DATEDIF($P2053,INT($B2053),"m")+(INT($B2053)-EDATE($P2053,DATEDIF($P2053,INT($B2053),"m")))/(EDATE($P2053,DATEDIF($P2053,INT($B2053),"m")+1)-EDATE($P2053,DATEDIF($P2053,INT($B2053),"m"))))/$R2053,0)*$R2053),$P2053))))),"")))</f>
      </c>
      <c r="M2053" s="223">
        <f>IF(OR($C2053="",N($L2053)=0,N($B2053)=0),"",IF(IF(MOD($L2053,1)=0,INT($B2053),$B2053)&lt;=$L2053,"Đúng hạn","Trễ hạn"))</f>
      </c>
      <c r="N2053" s="225">
        <f>IF($C2053="","",ROW())</f>
      </c>
      <c r="O2053" s="225">
        <f>IF($I2053="Công việc",MATCH($C2053,'Kế hoạch'!$A$6:$A$305,0),"")</f>
      </c>
      <c r="P2053" s="234">
        <f>IF($O2053="","",INDEX('Kế hoạch'!$I$6:$I$305,$O2053))</f>
      </c>
      <c r="Q2053" s="225">
        <f>IF($O2053="","",INDEX('Kế hoạch'!$AJ$6:$AJ$305,$O2053))</f>
      </c>
      <c r="R2053" s="225">
        <f>IF($O2053="","",INDEX('Kế hoạch'!$AK$6:$AK$305,$O2053))</f>
      </c>
    </row>
    <row r="2054">
      <c r="A2054" s="223">
        <f>IF($C2054="","",COUNTIF($C$6:$C2054,"?*"))</f>
      </c>
      <c r="B2054" s="217"/>
      <c r="C2054" s="216"/>
      <c r="D2054" s="240"/>
      <c r="E2054" s="218"/>
      <c r="F2054" s="218"/>
      <c r="G2054" s="218"/>
      <c r="H2054" s="219"/>
      <c r="I2054" s="223">
        <f>IF($C2054="","",IF(ISNUMBER(MATCH($C2054,'Phản ánh'!$A$6:$A$505,0)),"Phản ánh",IF(ISNUMBER(MATCH($C2054,'Kế hoạch'!$A$6:$A$305,0)),"Công việc","Mã chưa có")))</f>
      </c>
      <c r="J2054" s="221">
        <f>IF($I2054="Phản ánh",INDEX('Phản ánh'!$C$6:$C$505,MATCH($C2054,'Phản ánh'!$A$6:$A$505,0)),IF($I2054="Công việc",INDEX('Kế hoạch'!$C$6:$C$305,$O2054),""))</f>
      </c>
      <c r="K2054" s="221">
        <f>IF($I2054="Phản ánh",INDEX('Phản ánh'!$K$6:$K$505,MATCH($C2054,'Phản ánh'!$A$6:$A$505,0))&amp;"",IF($I2054="Công việc",INDEX('Kế hoạch'!$N$6:$N$305,$O2054)&amp;"",""))</f>
      </c>
      <c r="L2054" s="220">
        <f>IF(OR($C2054="",N($B2054)=0),"",IF(AND($I2054="Phản ánh",$E2054="Đã xử lý"),INDEX('Phản ánh'!$U$6:$U$505,MATCH($C2054,'Phản ánh'!$A$6:$A$505,0)),IF(AND($I2054="Công việc",OR($E2054="Hoàn thành",$E2054="Hoàn thành kỳ")),IF(INDEX('Kế hoạch'!$B$6:$B$305,$O2054)="Đột xuất",INDEX('Kế hoạch'!$AY$6:$AY$305,$O2054),IF(N($P2054)=0,"",IF(INT($B2054)&lt;$P2054,$P2054,IF($Q2054&gt;0,$P2054+ROUND((INT($B2054)-$P2054)/$Q2054,0)*$Q2054,IF($R2054&gt;0,EDATE($P2054,ROUND((DATEDIF($P2054,INT($B2054),"m")+(INT($B2054)-EDATE($P2054,DATEDIF($P2054,INT($B2054),"m")))/(EDATE($P2054,DATEDIF($P2054,INT($B2054),"m")+1)-EDATE($P2054,DATEDIF($P2054,INT($B2054),"m"))))/$R2054,0)*$R2054),$P2054))))),"")))</f>
      </c>
      <c r="M2054" s="223">
        <f>IF(OR($C2054="",N($L2054)=0,N($B2054)=0),"",IF(IF(MOD($L2054,1)=0,INT($B2054),$B2054)&lt;=$L2054,"Đúng hạn","Trễ hạn"))</f>
      </c>
      <c r="N2054" s="225">
        <f>IF($C2054="","",ROW())</f>
      </c>
      <c r="O2054" s="225">
        <f>IF($I2054="Công việc",MATCH($C2054,'Kế hoạch'!$A$6:$A$305,0),"")</f>
      </c>
      <c r="P2054" s="234">
        <f>IF($O2054="","",INDEX('Kế hoạch'!$I$6:$I$305,$O2054))</f>
      </c>
      <c r="Q2054" s="225">
        <f>IF($O2054="","",INDEX('Kế hoạch'!$AJ$6:$AJ$305,$O2054))</f>
      </c>
      <c r="R2054" s="225">
        <f>IF($O2054="","",INDEX('Kế hoạch'!$AK$6:$AK$305,$O2054))</f>
      </c>
    </row>
    <row r="2055">
      <c r="A2055" s="223">
        <f>IF($C2055="","",COUNTIF($C$6:$C2055,"?*"))</f>
      </c>
      <c r="B2055" s="217"/>
      <c r="C2055" s="216"/>
      <c r="D2055" s="240"/>
      <c r="E2055" s="218"/>
      <c r="F2055" s="218"/>
      <c r="G2055" s="218"/>
      <c r="H2055" s="219"/>
      <c r="I2055" s="223">
        <f>IF($C2055="","",IF(ISNUMBER(MATCH($C2055,'Phản ánh'!$A$6:$A$505,0)),"Phản ánh",IF(ISNUMBER(MATCH($C2055,'Kế hoạch'!$A$6:$A$305,0)),"Công việc","Mã chưa có")))</f>
      </c>
      <c r="J2055" s="221">
        <f>IF($I2055="Phản ánh",INDEX('Phản ánh'!$C$6:$C$505,MATCH($C2055,'Phản ánh'!$A$6:$A$505,0)),IF($I2055="Công việc",INDEX('Kế hoạch'!$C$6:$C$305,$O2055),""))</f>
      </c>
      <c r="K2055" s="221">
        <f>IF($I2055="Phản ánh",INDEX('Phản ánh'!$K$6:$K$505,MATCH($C2055,'Phản ánh'!$A$6:$A$505,0))&amp;"",IF($I2055="Công việc",INDEX('Kế hoạch'!$N$6:$N$305,$O2055)&amp;"",""))</f>
      </c>
      <c r="L2055" s="220">
        <f>IF(OR($C2055="",N($B2055)=0),"",IF(AND($I2055="Phản ánh",$E2055="Đã xử lý"),INDEX('Phản ánh'!$U$6:$U$505,MATCH($C2055,'Phản ánh'!$A$6:$A$505,0)),IF(AND($I2055="Công việc",OR($E2055="Hoàn thành",$E2055="Hoàn thành kỳ")),IF(INDEX('Kế hoạch'!$B$6:$B$305,$O2055)="Đột xuất",INDEX('Kế hoạch'!$AY$6:$AY$305,$O2055),IF(N($P2055)=0,"",IF(INT($B2055)&lt;$P2055,$P2055,IF($Q2055&gt;0,$P2055+ROUND((INT($B2055)-$P2055)/$Q2055,0)*$Q2055,IF($R2055&gt;0,EDATE($P2055,ROUND((DATEDIF($P2055,INT($B2055),"m")+(INT($B2055)-EDATE($P2055,DATEDIF($P2055,INT($B2055),"m")))/(EDATE($P2055,DATEDIF($P2055,INT($B2055),"m")+1)-EDATE($P2055,DATEDIF($P2055,INT($B2055),"m"))))/$R2055,0)*$R2055),$P2055))))),"")))</f>
      </c>
      <c r="M2055" s="223">
        <f>IF(OR($C2055="",N($L2055)=0,N($B2055)=0),"",IF(IF(MOD($L2055,1)=0,INT($B2055),$B2055)&lt;=$L2055,"Đúng hạn","Trễ hạn"))</f>
      </c>
      <c r="N2055" s="225">
        <f>IF($C2055="","",ROW())</f>
      </c>
      <c r="O2055" s="225">
        <f>IF($I2055="Công việc",MATCH($C2055,'Kế hoạch'!$A$6:$A$305,0),"")</f>
      </c>
      <c r="P2055" s="234">
        <f>IF($O2055="","",INDEX('Kế hoạch'!$I$6:$I$305,$O2055))</f>
      </c>
      <c r="Q2055" s="225">
        <f>IF($O2055="","",INDEX('Kế hoạch'!$AJ$6:$AJ$305,$O2055))</f>
      </c>
      <c r="R2055" s="225">
        <f>IF($O2055="","",INDEX('Kế hoạch'!$AK$6:$AK$305,$O2055))</f>
      </c>
    </row>
    <row r="2056">
      <c r="A2056" s="223">
        <f>IF($C2056="","",COUNTIF($C$6:$C2056,"?*"))</f>
      </c>
      <c r="B2056" s="217"/>
      <c r="C2056" s="216"/>
      <c r="D2056" s="240"/>
      <c r="E2056" s="218"/>
      <c r="F2056" s="218"/>
      <c r="G2056" s="218"/>
      <c r="H2056" s="219"/>
      <c r="I2056" s="223">
        <f>IF($C2056="","",IF(ISNUMBER(MATCH($C2056,'Phản ánh'!$A$6:$A$505,0)),"Phản ánh",IF(ISNUMBER(MATCH($C2056,'Kế hoạch'!$A$6:$A$305,0)),"Công việc","Mã chưa có")))</f>
      </c>
      <c r="J2056" s="221">
        <f>IF($I2056="Phản ánh",INDEX('Phản ánh'!$C$6:$C$505,MATCH($C2056,'Phản ánh'!$A$6:$A$505,0)),IF($I2056="Công việc",INDEX('Kế hoạch'!$C$6:$C$305,$O2056),""))</f>
      </c>
      <c r="K2056" s="221">
        <f>IF($I2056="Phản ánh",INDEX('Phản ánh'!$K$6:$K$505,MATCH($C2056,'Phản ánh'!$A$6:$A$505,0))&amp;"",IF($I2056="Công việc",INDEX('Kế hoạch'!$N$6:$N$305,$O2056)&amp;"",""))</f>
      </c>
      <c r="L2056" s="220">
        <f>IF(OR($C2056="",N($B2056)=0),"",IF(AND($I2056="Phản ánh",$E2056="Đã xử lý"),INDEX('Phản ánh'!$U$6:$U$505,MATCH($C2056,'Phản ánh'!$A$6:$A$505,0)),IF(AND($I2056="Công việc",OR($E2056="Hoàn thành",$E2056="Hoàn thành kỳ")),IF(INDEX('Kế hoạch'!$B$6:$B$305,$O2056)="Đột xuất",INDEX('Kế hoạch'!$AY$6:$AY$305,$O2056),IF(N($P2056)=0,"",IF(INT($B2056)&lt;$P2056,$P2056,IF($Q2056&gt;0,$P2056+ROUND((INT($B2056)-$P2056)/$Q2056,0)*$Q2056,IF($R2056&gt;0,EDATE($P2056,ROUND((DATEDIF($P2056,INT($B2056),"m")+(INT($B2056)-EDATE($P2056,DATEDIF($P2056,INT($B2056),"m")))/(EDATE($P2056,DATEDIF($P2056,INT($B2056),"m")+1)-EDATE($P2056,DATEDIF($P2056,INT($B2056),"m"))))/$R2056,0)*$R2056),$P2056))))),"")))</f>
      </c>
      <c r="M2056" s="223">
        <f>IF(OR($C2056="",N($L2056)=0,N($B2056)=0),"",IF(IF(MOD($L2056,1)=0,INT($B2056),$B2056)&lt;=$L2056,"Đúng hạn","Trễ hạn"))</f>
      </c>
      <c r="N2056" s="225">
        <f>IF($C2056="","",ROW())</f>
      </c>
      <c r="O2056" s="225">
        <f>IF($I2056="Công việc",MATCH($C2056,'Kế hoạch'!$A$6:$A$305,0),"")</f>
      </c>
      <c r="P2056" s="234">
        <f>IF($O2056="","",INDEX('Kế hoạch'!$I$6:$I$305,$O2056))</f>
      </c>
      <c r="Q2056" s="225">
        <f>IF($O2056="","",INDEX('Kế hoạch'!$AJ$6:$AJ$305,$O2056))</f>
      </c>
      <c r="R2056" s="225">
        <f>IF($O2056="","",INDEX('Kế hoạch'!$AK$6:$AK$305,$O2056))</f>
      </c>
    </row>
    <row r="2057">
      <c r="A2057" s="223">
        <f>IF($C2057="","",COUNTIF($C$6:$C2057,"?*"))</f>
      </c>
      <c r="B2057" s="217"/>
      <c r="C2057" s="216"/>
      <c r="D2057" s="240"/>
      <c r="E2057" s="218"/>
      <c r="F2057" s="218"/>
      <c r="G2057" s="218"/>
      <c r="H2057" s="219"/>
      <c r="I2057" s="223">
        <f>IF($C2057="","",IF(ISNUMBER(MATCH($C2057,'Phản ánh'!$A$6:$A$505,0)),"Phản ánh",IF(ISNUMBER(MATCH($C2057,'Kế hoạch'!$A$6:$A$305,0)),"Công việc","Mã chưa có")))</f>
      </c>
      <c r="J2057" s="221">
        <f>IF($I2057="Phản ánh",INDEX('Phản ánh'!$C$6:$C$505,MATCH($C2057,'Phản ánh'!$A$6:$A$505,0)),IF($I2057="Công việc",INDEX('Kế hoạch'!$C$6:$C$305,$O2057),""))</f>
      </c>
      <c r="K2057" s="221">
        <f>IF($I2057="Phản ánh",INDEX('Phản ánh'!$K$6:$K$505,MATCH($C2057,'Phản ánh'!$A$6:$A$505,0))&amp;"",IF($I2057="Công việc",INDEX('Kế hoạch'!$N$6:$N$305,$O2057)&amp;"",""))</f>
      </c>
      <c r="L2057" s="220">
        <f>IF(OR($C2057="",N($B2057)=0),"",IF(AND($I2057="Phản ánh",$E2057="Đã xử lý"),INDEX('Phản ánh'!$U$6:$U$505,MATCH($C2057,'Phản ánh'!$A$6:$A$505,0)),IF(AND($I2057="Công việc",OR($E2057="Hoàn thành",$E2057="Hoàn thành kỳ")),IF(INDEX('Kế hoạch'!$B$6:$B$305,$O2057)="Đột xuất",INDEX('Kế hoạch'!$AY$6:$AY$305,$O2057),IF(N($P2057)=0,"",IF(INT($B2057)&lt;$P2057,$P2057,IF($Q2057&gt;0,$P2057+ROUND((INT($B2057)-$P2057)/$Q2057,0)*$Q2057,IF($R2057&gt;0,EDATE($P2057,ROUND((DATEDIF($P2057,INT($B2057),"m")+(INT($B2057)-EDATE($P2057,DATEDIF($P2057,INT($B2057),"m")))/(EDATE($P2057,DATEDIF($P2057,INT($B2057),"m")+1)-EDATE($P2057,DATEDIF($P2057,INT($B2057),"m"))))/$R2057,0)*$R2057),$P2057))))),"")))</f>
      </c>
      <c r="M2057" s="223">
        <f>IF(OR($C2057="",N($L2057)=0,N($B2057)=0),"",IF(IF(MOD($L2057,1)=0,INT($B2057),$B2057)&lt;=$L2057,"Đúng hạn","Trễ hạn"))</f>
      </c>
      <c r="N2057" s="225">
        <f>IF($C2057="","",ROW())</f>
      </c>
      <c r="O2057" s="225">
        <f>IF($I2057="Công việc",MATCH($C2057,'Kế hoạch'!$A$6:$A$305,0),"")</f>
      </c>
      <c r="P2057" s="234">
        <f>IF($O2057="","",INDEX('Kế hoạch'!$I$6:$I$305,$O2057))</f>
      </c>
      <c r="Q2057" s="225">
        <f>IF($O2057="","",INDEX('Kế hoạch'!$AJ$6:$AJ$305,$O2057))</f>
      </c>
      <c r="R2057" s="225">
        <f>IF($O2057="","",INDEX('Kế hoạch'!$AK$6:$AK$305,$O2057))</f>
      </c>
    </row>
    <row r="2058">
      <c r="A2058" s="223">
        <f>IF($C2058="","",COUNTIF($C$6:$C2058,"?*"))</f>
      </c>
      <c r="B2058" s="217"/>
      <c r="C2058" s="216"/>
      <c r="D2058" s="240"/>
      <c r="E2058" s="218"/>
      <c r="F2058" s="218"/>
      <c r="G2058" s="218"/>
      <c r="H2058" s="219"/>
      <c r="I2058" s="223">
        <f>IF($C2058="","",IF(ISNUMBER(MATCH($C2058,'Phản ánh'!$A$6:$A$505,0)),"Phản ánh",IF(ISNUMBER(MATCH($C2058,'Kế hoạch'!$A$6:$A$305,0)),"Công việc","Mã chưa có")))</f>
      </c>
      <c r="J2058" s="221">
        <f>IF($I2058="Phản ánh",INDEX('Phản ánh'!$C$6:$C$505,MATCH($C2058,'Phản ánh'!$A$6:$A$505,0)),IF($I2058="Công việc",INDEX('Kế hoạch'!$C$6:$C$305,$O2058),""))</f>
      </c>
      <c r="K2058" s="221">
        <f>IF($I2058="Phản ánh",INDEX('Phản ánh'!$K$6:$K$505,MATCH($C2058,'Phản ánh'!$A$6:$A$505,0))&amp;"",IF($I2058="Công việc",INDEX('Kế hoạch'!$N$6:$N$305,$O2058)&amp;"",""))</f>
      </c>
      <c r="L2058" s="220">
        <f>IF(OR($C2058="",N($B2058)=0),"",IF(AND($I2058="Phản ánh",$E2058="Đã xử lý"),INDEX('Phản ánh'!$U$6:$U$505,MATCH($C2058,'Phản ánh'!$A$6:$A$505,0)),IF(AND($I2058="Công việc",OR($E2058="Hoàn thành",$E2058="Hoàn thành kỳ")),IF(INDEX('Kế hoạch'!$B$6:$B$305,$O2058)="Đột xuất",INDEX('Kế hoạch'!$AY$6:$AY$305,$O2058),IF(N($P2058)=0,"",IF(INT($B2058)&lt;$P2058,$P2058,IF($Q2058&gt;0,$P2058+ROUND((INT($B2058)-$P2058)/$Q2058,0)*$Q2058,IF($R2058&gt;0,EDATE($P2058,ROUND((DATEDIF($P2058,INT($B2058),"m")+(INT($B2058)-EDATE($P2058,DATEDIF($P2058,INT($B2058),"m")))/(EDATE($P2058,DATEDIF($P2058,INT($B2058),"m")+1)-EDATE($P2058,DATEDIF($P2058,INT($B2058),"m"))))/$R2058,0)*$R2058),$P2058))))),"")))</f>
      </c>
      <c r="M2058" s="223">
        <f>IF(OR($C2058="",N($L2058)=0,N($B2058)=0),"",IF(IF(MOD($L2058,1)=0,INT($B2058),$B2058)&lt;=$L2058,"Đúng hạn","Trễ hạn"))</f>
      </c>
      <c r="N2058" s="225">
        <f>IF($C2058="","",ROW())</f>
      </c>
      <c r="O2058" s="225">
        <f>IF($I2058="Công việc",MATCH($C2058,'Kế hoạch'!$A$6:$A$305,0),"")</f>
      </c>
      <c r="P2058" s="234">
        <f>IF($O2058="","",INDEX('Kế hoạch'!$I$6:$I$305,$O2058))</f>
      </c>
      <c r="Q2058" s="225">
        <f>IF($O2058="","",INDEX('Kế hoạch'!$AJ$6:$AJ$305,$O2058))</f>
      </c>
      <c r="R2058" s="225">
        <f>IF($O2058="","",INDEX('Kế hoạch'!$AK$6:$AK$305,$O2058))</f>
      </c>
    </row>
    <row r="2059">
      <c r="A2059" s="223">
        <f>IF($C2059="","",COUNTIF($C$6:$C2059,"?*"))</f>
      </c>
      <c r="B2059" s="217"/>
      <c r="C2059" s="216"/>
      <c r="D2059" s="240"/>
      <c r="E2059" s="218"/>
      <c r="F2059" s="218"/>
      <c r="G2059" s="218"/>
      <c r="H2059" s="219"/>
      <c r="I2059" s="223">
        <f>IF($C2059="","",IF(ISNUMBER(MATCH($C2059,'Phản ánh'!$A$6:$A$505,0)),"Phản ánh",IF(ISNUMBER(MATCH($C2059,'Kế hoạch'!$A$6:$A$305,0)),"Công việc","Mã chưa có")))</f>
      </c>
      <c r="J2059" s="221">
        <f>IF($I2059="Phản ánh",INDEX('Phản ánh'!$C$6:$C$505,MATCH($C2059,'Phản ánh'!$A$6:$A$505,0)),IF($I2059="Công việc",INDEX('Kế hoạch'!$C$6:$C$305,$O2059),""))</f>
      </c>
      <c r="K2059" s="221">
        <f>IF($I2059="Phản ánh",INDEX('Phản ánh'!$K$6:$K$505,MATCH($C2059,'Phản ánh'!$A$6:$A$505,0))&amp;"",IF($I2059="Công việc",INDEX('Kế hoạch'!$N$6:$N$305,$O2059)&amp;"",""))</f>
      </c>
      <c r="L2059" s="220">
        <f>IF(OR($C2059="",N($B2059)=0),"",IF(AND($I2059="Phản ánh",$E2059="Đã xử lý"),INDEX('Phản ánh'!$U$6:$U$505,MATCH($C2059,'Phản ánh'!$A$6:$A$505,0)),IF(AND($I2059="Công việc",OR($E2059="Hoàn thành",$E2059="Hoàn thành kỳ")),IF(INDEX('Kế hoạch'!$B$6:$B$305,$O2059)="Đột xuất",INDEX('Kế hoạch'!$AY$6:$AY$305,$O2059),IF(N($P2059)=0,"",IF(INT($B2059)&lt;$P2059,$P2059,IF($Q2059&gt;0,$P2059+ROUND((INT($B2059)-$P2059)/$Q2059,0)*$Q2059,IF($R2059&gt;0,EDATE($P2059,ROUND((DATEDIF($P2059,INT($B2059),"m")+(INT($B2059)-EDATE($P2059,DATEDIF($P2059,INT($B2059),"m")))/(EDATE($P2059,DATEDIF($P2059,INT($B2059),"m")+1)-EDATE($P2059,DATEDIF($P2059,INT($B2059),"m"))))/$R2059,0)*$R2059),$P2059))))),"")))</f>
      </c>
      <c r="M2059" s="223">
        <f>IF(OR($C2059="",N($L2059)=0,N($B2059)=0),"",IF(IF(MOD($L2059,1)=0,INT($B2059),$B2059)&lt;=$L2059,"Đúng hạn","Trễ hạn"))</f>
      </c>
      <c r="N2059" s="225">
        <f>IF($C2059="","",ROW())</f>
      </c>
      <c r="O2059" s="225">
        <f>IF($I2059="Công việc",MATCH($C2059,'Kế hoạch'!$A$6:$A$305,0),"")</f>
      </c>
      <c r="P2059" s="234">
        <f>IF($O2059="","",INDEX('Kế hoạch'!$I$6:$I$305,$O2059))</f>
      </c>
      <c r="Q2059" s="225">
        <f>IF($O2059="","",INDEX('Kế hoạch'!$AJ$6:$AJ$305,$O2059))</f>
      </c>
      <c r="R2059" s="225">
        <f>IF($O2059="","",INDEX('Kế hoạch'!$AK$6:$AK$305,$O2059))</f>
      </c>
    </row>
    <row r="2060">
      <c r="A2060" s="223">
        <f>IF($C2060="","",COUNTIF($C$6:$C2060,"?*"))</f>
      </c>
      <c r="B2060" s="217"/>
      <c r="C2060" s="216"/>
      <c r="D2060" s="240"/>
      <c r="E2060" s="218"/>
      <c r="F2060" s="218"/>
      <c r="G2060" s="218"/>
      <c r="H2060" s="219"/>
      <c r="I2060" s="223">
        <f>IF($C2060="","",IF(ISNUMBER(MATCH($C2060,'Phản ánh'!$A$6:$A$505,0)),"Phản ánh",IF(ISNUMBER(MATCH($C2060,'Kế hoạch'!$A$6:$A$305,0)),"Công việc","Mã chưa có")))</f>
      </c>
      <c r="J2060" s="221">
        <f>IF($I2060="Phản ánh",INDEX('Phản ánh'!$C$6:$C$505,MATCH($C2060,'Phản ánh'!$A$6:$A$505,0)),IF($I2060="Công việc",INDEX('Kế hoạch'!$C$6:$C$305,$O2060),""))</f>
      </c>
      <c r="K2060" s="221">
        <f>IF($I2060="Phản ánh",INDEX('Phản ánh'!$K$6:$K$505,MATCH($C2060,'Phản ánh'!$A$6:$A$505,0))&amp;"",IF($I2060="Công việc",INDEX('Kế hoạch'!$N$6:$N$305,$O2060)&amp;"",""))</f>
      </c>
      <c r="L2060" s="220">
        <f>IF(OR($C2060="",N($B2060)=0),"",IF(AND($I2060="Phản ánh",$E2060="Đã xử lý"),INDEX('Phản ánh'!$U$6:$U$505,MATCH($C2060,'Phản ánh'!$A$6:$A$505,0)),IF(AND($I2060="Công việc",OR($E2060="Hoàn thành",$E2060="Hoàn thành kỳ")),IF(INDEX('Kế hoạch'!$B$6:$B$305,$O2060)="Đột xuất",INDEX('Kế hoạch'!$AY$6:$AY$305,$O2060),IF(N($P2060)=0,"",IF(INT($B2060)&lt;$P2060,$P2060,IF($Q2060&gt;0,$P2060+ROUND((INT($B2060)-$P2060)/$Q2060,0)*$Q2060,IF($R2060&gt;0,EDATE($P2060,ROUND((DATEDIF($P2060,INT($B2060),"m")+(INT($B2060)-EDATE($P2060,DATEDIF($P2060,INT($B2060),"m")))/(EDATE($P2060,DATEDIF($P2060,INT($B2060),"m")+1)-EDATE($P2060,DATEDIF($P2060,INT($B2060),"m"))))/$R2060,0)*$R2060),$P2060))))),"")))</f>
      </c>
      <c r="M2060" s="223">
        <f>IF(OR($C2060="",N($L2060)=0,N($B2060)=0),"",IF(IF(MOD($L2060,1)=0,INT($B2060),$B2060)&lt;=$L2060,"Đúng hạn","Trễ hạn"))</f>
      </c>
      <c r="N2060" s="225">
        <f>IF($C2060="","",ROW())</f>
      </c>
      <c r="O2060" s="225">
        <f>IF($I2060="Công việc",MATCH($C2060,'Kế hoạch'!$A$6:$A$305,0),"")</f>
      </c>
      <c r="P2060" s="234">
        <f>IF($O2060="","",INDEX('Kế hoạch'!$I$6:$I$305,$O2060))</f>
      </c>
      <c r="Q2060" s="225">
        <f>IF($O2060="","",INDEX('Kế hoạch'!$AJ$6:$AJ$305,$O2060))</f>
      </c>
      <c r="R2060" s="225">
        <f>IF($O2060="","",INDEX('Kế hoạch'!$AK$6:$AK$305,$O2060))</f>
      </c>
    </row>
    <row r="2061">
      <c r="A2061" s="223">
        <f>IF($C2061="","",COUNTIF($C$6:$C2061,"?*"))</f>
      </c>
      <c r="B2061" s="217"/>
      <c r="C2061" s="216"/>
      <c r="D2061" s="240"/>
      <c r="E2061" s="218"/>
      <c r="F2061" s="218"/>
      <c r="G2061" s="218"/>
      <c r="H2061" s="219"/>
      <c r="I2061" s="223">
        <f>IF($C2061="","",IF(ISNUMBER(MATCH($C2061,'Phản ánh'!$A$6:$A$505,0)),"Phản ánh",IF(ISNUMBER(MATCH($C2061,'Kế hoạch'!$A$6:$A$305,0)),"Công việc","Mã chưa có")))</f>
      </c>
      <c r="J2061" s="221">
        <f>IF($I2061="Phản ánh",INDEX('Phản ánh'!$C$6:$C$505,MATCH($C2061,'Phản ánh'!$A$6:$A$505,0)),IF($I2061="Công việc",INDEX('Kế hoạch'!$C$6:$C$305,$O2061),""))</f>
      </c>
      <c r="K2061" s="221">
        <f>IF($I2061="Phản ánh",INDEX('Phản ánh'!$K$6:$K$505,MATCH($C2061,'Phản ánh'!$A$6:$A$505,0))&amp;"",IF($I2061="Công việc",INDEX('Kế hoạch'!$N$6:$N$305,$O2061)&amp;"",""))</f>
      </c>
      <c r="L2061" s="220">
        <f>IF(OR($C2061="",N($B2061)=0),"",IF(AND($I2061="Phản ánh",$E2061="Đã xử lý"),INDEX('Phản ánh'!$U$6:$U$505,MATCH($C2061,'Phản ánh'!$A$6:$A$505,0)),IF(AND($I2061="Công việc",OR($E2061="Hoàn thành",$E2061="Hoàn thành kỳ")),IF(INDEX('Kế hoạch'!$B$6:$B$305,$O2061)="Đột xuất",INDEX('Kế hoạch'!$AY$6:$AY$305,$O2061),IF(N($P2061)=0,"",IF(INT($B2061)&lt;$P2061,$P2061,IF($Q2061&gt;0,$P2061+ROUND((INT($B2061)-$P2061)/$Q2061,0)*$Q2061,IF($R2061&gt;0,EDATE($P2061,ROUND((DATEDIF($P2061,INT($B2061),"m")+(INT($B2061)-EDATE($P2061,DATEDIF($P2061,INT($B2061),"m")))/(EDATE($P2061,DATEDIF($P2061,INT($B2061),"m")+1)-EDATE($P2061,DATEDIF($P2061,INT($B2061),"m"))))/$R2061,0)*$R2061),$P2061))))),"")))</f>
      </c>
      <c r="M2061" s="223">
        <f>IF(OR($C2061="",N($L2061)=0,N($B2061)=0),"",IF(IF(MOD($L2061,1)=0,INT($B2061),$B2061)&lt;=$L2061,"Đúng hạn","Trễ hạn"))</f>
      </c>
      <c r="N2061" s="225">
        <f>IF($C2061="","",ROW())</f>
      </c>
      <c r="O2061" s="225">
        <f>IF($I2061="Công việc",MATCH($C2061,'Kế hoạch'!$A$6:$A$305,0),"")</f>
      </c>
      <c r="P2061" s="234">
        <f>IF($O2061="","",INDEX('Kế hoạch'!$I$6:$I$305,$O2061))</f>
      </c>
      <c r="Q2061" s="225">
        <f>IF($O2061="","",INDEX('Kế hoạch'!$AJ$6:$AJ$305,$O2061))</f>
      </c>
      <c r="R2061" s="225">
        <f>IF($O2061="","",INDEX('Kế hoạch'!$AK$6:$AK$305,$O2061))</f>
      </c>
    </row>
    <row r="2062">
      <c r="A2062" s="223">
        <f>IF($C2062="","",COUNTIF($C$6:$C2062,"?*"))</f>
      </c>
      <c r="B2062" s="217"/>
      <c r="C2062" s="216"/>
      <c r="D2062" s="240"/>
      <c r="E2062" s="218"/>
      <c r="F2062" s="218"/>
      <c r="G2062" s="218"/>
      <c r="H2062" s="219"/>
      <c r="I2062" s="223">
        <f>IF($C2062="","",IF(ISNUMBER(MATCH($C2062,'Phản ánh'!$A$6:$A$505,0)),"Phản ánh",IF(ISNUMBER(MATCH($C2062,'Kế hoạch'!$A$6:$A$305,0)),"Công việc","Mã chưa có")))</f>
      </c>
      <c r="J2062" s="221">
        <f>IF($I2062="Phản ánh",INDEX('Phản ánh'!$C$6:$C$505,MATCH($C2062,'Phản ánh'!$A$6:$A$505,0)),IF($I2062="Công việc",INDEX('Kế hoạch'!$C$6:$C$305,$O2062),""))</f>
      </c>
      <c r="K2062" s="221">
        <f>IF($I2062="Phản ánh",INDEX('Phản ánh'!$K$6:$K$505,MATCH($C2062,'Phản ánh'!$A$6:$A$505,0))&amp;"",IF($I2062="Công việc",INDEX('Kế hoạch'!$N$6:$N$305,$O2062)&amp;"",""))</f>
      </c>
      <c r="L2062" s="220">
        <f>IF(OR($C2062="",N($B2062)=0),"",IF(AND($I2062="Phản ánh",$E2062="Đã xử lý"),INDEX('Phản ánh'!$U$6:$U$505,MATCH($C2062,'Phản ánh'!$A$6:$A$505,0)),IF(AND($I2062="Công việc",OR($E2062="Hoàn thành",$E2062="Hoàn thành kỳ")),IF(INDEX('Kế hoạch'!$B$6:$B$305,$O2062)="Đột xuất",INDEX('Kế hoạch'!$AY$6:$AY$305,$O2062),IF(N($P2062)=0,"",IF(INT($B2062)&lt;$P2062,$P2062,IF($Q2062&gt;0,$P2062+ROUND((INT($B2062)-$P2062)/$Q2062,0)*$Q2062,IF($R2062&gt;0,EDATE($P2062,ROUND((DATEDIF($P2062,INT($B2062),"m")+(INT($B2062)-EDATE($P2062,DATEDIF($P2062,INT($B2062),"m")))/(EDATE($P2062,DATEDIF($P2062,INT($B2062),"m")+1)-EDATE($P2062,DATEDIF($P2062,INT($B2062),"m"))))/$R2062,0)*$R2062),$P2062))))),"")))</f>
      </c>
      <c r="M2062" s="223">
        <f>IF(OR($C2062="",N($L2062)=0,N($B2062)=0),"",IF(IF(MOD($L2062,1)=0,INT($B2062),$B2062)&lt;=$L2062,"Đúng hạn","Trễ hạn"))</f>
      </c>
      <c r="N2062" s="225">
        <f>IF($C2062="","",ROW())</f>
      </c>
      <c r="O2062" s="225">
        <f>IF($I2062="Công việc",MATCH($C2062,'Kế hoạch'!$A$6:$A$305,0),"")</f>
      </c>
      <c r="P2062" s="234">
        <f>IF($O2062="","",INDEX('Kế hoạch'!$I$6:$I$305,$O2062))</f>
      </c>
      <c r="Q2062" s="225">
        <f>IF($O2062="","",INDEX('Kế hoạch'!$AJ$6:$AJ$305,$O2062))</f>
      </c>
      <c r="R2062" s="225">
        <f>IF($O2062="","",INDEX('Kế hoạch'!$AK$6:$AK$305,$O2062))</f>
      </c>
    </row>
    <row r="2063">
      <c r="A2063" s="223">
        <f>IF($C2063="","",COUNTIF($C$6:$C2063,"?*"))</f>
      </c>
      <c r="B2063" s="217"/>
      <c r="C2063" s="216"/>
      <c r="D2063" s="240"/>
      <c r="E2063" s="218"/>
      <c r="F2063" s="218"/>
      <c r="G2063" s="218"/>
      <c r="H2063" s="219"/>
      <c r="I2063" s="223">
        <f>IF($C2063="","",IF(ISNUMBER(MATCH($C2063,'Phản ánh'!$A$6:$A$505,0)),"Phản ánh",IF(ISNUMBER(MATCH($C2063,'Kế hoạch'!$A$6:$A$305,0)),"Công việc","Mã chưa có")))</f>
      </c>
      <c r="J2063" s="221">
        <f>IF($I2063="Phản ánh",INDEX('Phản ánh'!$C$6:$C$505,MATCH($C2063,'Phản ánh'!$A$6:$A$505,0)),IF($I2063="Công việc",INDEX('Kế hoạch'!$C$6:$C$305,$O2063),""))</f>
      </c>
      <c r="K2063" s="221">
        <f>IF($I2063="Phản ánh",INDEX('Phản ánh'!$K$6:$K$505,MATCH($C2063,'Phản ánh'!$A$6:$A$505,0))&amp;"",IF($I2063="Công việc",INDEX('Kế hoạch'!$N$6:$N$305,$O2063)&amp;"",""))</f>
      </c>
      <c r="L2063" s="220">
        <f>IF(OR($C2063="",N($B2063)=0),"",IF(AND($I2063="Phản ánh",$E2063="Đã xử lý"),INDEX('Phản ánh'!$U$6:$U$505,MATCH($C2063,'Phản ánh'!$A$6:$A$505,0)),IF(AND($I2063="Công việc",OR($E2063="Hoàn thành",$E2063="Hoàn thành kỳ")),IF(INDEX('Kế hoạch'!$B$6:$B$305,$O2063)="Đột xuất",INDEX('Kế hoạch'!$AY$6:$AY$305,$O2063),IF(N($P2063)=0,"",IF(INT($B2063)&lt;$P2063,$P2063,IF($Q2063&gt;0,$P2063+ROUND((INT($B2063)-$P2063)/$Q2063,0)*$Q2063,IF($R2063&gt;0,EDATE($P2063,ROUND((DATEDIF($P2063,INT($B2063),"m")+(INT($B2063)-EDATE($P2063,DATEDIF($P2063,INT($B2063),"m")))/(EDATE($P2063,DATEDIF($P2063,INT($B2063),"m")+1)-EDATE($P2063,DATEDIF($P2063,INT($B2063),"m"))))/$R2063,0)*$R2063),$P2063))))),"")))</f>
      </c>
      <c r="M2063" s="223">
        <f>IF(OR($C2063="",N($L2063)=0,N($B2063)=0),"",IF(IF(MOD($L2063,1)=0,INT($B2063),$B2063)&lt;=$L2063,"Đúng hạn","Trễ hạn"))</f>
      </c>
      <c r="N2063" s="225">
        <f>IF($C2063="","",ROW())</f>
      </c>
      <c r="O2063" s="225">
        <f>IF($I2063="Công việc",MATCH($C2063,'Kế hoạch'!$A$6:$A$305,0),"")</f>
      </c>
      <c r="P2063" s="234">
        <f>IF($O2063="","",INDEX('Kế hoạch'!$I$6:$I$305,$O2063))</f>
      </c>
      <c r="Q2063" s="225">
        <f>IF($O2063="","",INDEX('Kế hoạch'!$AJ$6:$AJ$305,$O2063))</f>
      </c>
      <c r="R2063" s="225">
        <f>IF($O2063="","",INDEX('Kế hoạch'!$AK$6:$AK$305,$O2063))</f>
      </c>
    </row>
    <row r="2064">
      <c r="A2064" s="223">
        <f>IF($C2064="","",COUNTIF($C$6:$C2064,"?*"))</f>
      </c>
      <c r="B2064" s="217"/>
      <c r="C2064" s="216"/>
      <c r="D2064" s="240"/>
      <c r="E2064" s="218"/>
      <c r="F2064" s="218"/>
      <c r="G2064" s="218"/>
      <c r="H2064" s="219"/>
      <c r="I2064" s="223">
        <f>IF($C2064="","",IF(ISNUMBER(MATCH($C2064,'Phản ánh'!$A$6:$A$505,0)),"Phản ánh",IF(ISNUMBER(MATCH($C2064,'Kế hoạch'!$A$6:$A$305,0)),"Công việc","Mã chưa có")))</f>
      </c>
      <c r="J2064" s="221">
        <f>IF($I2064="Phản ánh",INDEX('Phản ánh'!$C$6:$C$505,MATCH($C2064,'Phản ánh'!$A$6:$A$505,0)),IF($I2064="Công việc",INDEX('Kế hoạch'!$C$6:$C$305,$O2064),""))</f>
      </c>
      <c r="K2064" s="221">
        <f>IF($I2064="Phản ánh",INDEX('Phản ánh'!$K$6:$K$505,MATCH($C2064,'Phản ánh'!$A$6:$A$505,0))&amp;"",IF($I2064="Công việc",INDEX('Kế hoạch'!$N$6:$N$305,$O2064)&amp;"",""))</f>
      </c>
      <c r="L2064" s="220">
        <f>IF(OR($C2064="",N($B2064)=0),"",IF(AND($I2064="Phản ánh",$E2064="Đã xử lý"),INDEX('Phản ánh'!$U$6:$U$505,MATCH($C2064,'Phản ánh'!$A$6:$A$505,0)),IF(AND($I2064="Công việc",OR($E2064="Hoàn thành",$E2064="Hoàn thành kỳ")),IF(INDEX('Kế hoạch'!$B$6:$B$305,$O2064)="Đột xuất",INDEX('Kế hoạch'!$AY$6:$AY$305,$O2064),IF(N($P2064)=0,"",IF(INT($B2064)&lt;$P2064,$P2064,IF($Q2064&gt;0,$P2064+ROUND((INT($B2064)-$P2064)/$Q2064,0)*$Q2064,IF($R2064&gt;0,EDATE($P2064,ROUND((DATEDIF($P2064,INT($B2064),"m")+(INT($B2064)-EDATE($P2064,DATEDIF($P2064,INT($B2064),"m")))/(EDATE($P2064,DATEDIF($P2064,INT($B2064),"m")+1)-EDATE($P2064,DATEDIF($P2064,INT($B2064),"m"))))/$R2064,0)*$R2064),$P2064))))),"")))</f>
      </c>
      <c r="M2064" s="223">
        <f>IF(OR($C2064="",N($L2064)=0,N($B2064)=0),"",IF(IF(MOD($L2064,1)=0,INT($B2064),$B2064)&lt;=$L2064,"Đúng hạn","Trễ hạn"))</f>
      </c>
      <c r="N2064" s="225">
        <f>IF($C2064="","",ROW())</f>
      </c>
      <c r="O2064" s="225">
        <f>IF($I2064="Công việc",MATCH($C2064,'Kế hoạch'!$A$6:$A$305,0),"")</f>
      </c>
      <c r="P2064" s="234">
        <f>IF($O2064="","",INDEX('Kế hoạch'!$I$6:$I$305,$O2064))</f>
      </c>
      <c r="Q2064" s="225">
        <f>IF($O2064="","",INDEX('Kế hoạch'!$AJ$6:$AJ$305,$O2064))</f>
      </c>
      <c r="R2064" s="225">
        <f>IF($O2064="","",INDEX('Kế hoạch'!$AK$6:$AK$305,$O2064))</f>
      </c>
    </row>
    <row r="2065">
      <c r="A2065" s="223">
        <f>IF($C2065="","",COUNTIF($C$6:$C2065,"?*"))</f>
      </c>
      <c r="B2065" s="217"/>
      <c r="C2065" s="216"/>
      <c r="D2065" s="240"/>
      <c r="E2065" s="218"/>
      <c r="F2065" s="218"/>
      <c r="G2065" s="218"/>
      <c r="H2065" s="219"/>
      <c r="I2065" s="223">
        <f>IF($C2065="","",IF(ISNUMBER(MATCH($C2065,'Phản ánh'!$A$6:$A$505,0)),"Phản ánh",IF(ISNUMBER(MATCH($C2065,'Kế hoạch'!$A$6:$A$305,0)),"Công việc","Mã chưa có")))</f>
      </c>
      <c r="J2065" s="221">
        <f>IF($I2065="Phản ánh",INDEX('Phản ánh'!$C$6:$C$505,MATCH($C2065,'Phản ánh'!$A$6:$A$505,0)),IF($I2065="Công việc",INDEX('Kế hoạch'!$C$6:$C$305,$O2065),""))</f>
      </c>
      <c r="K2065" s="221">
        <f>IF($I2065="Phản ánh",INDEX('Phản ánh'!$K$6:$K$505,MATCH($C2065,'Phản ánh'!$A$6:$A$505,0))&amp;"",IF($I2065="Công việc",INDEX('Kế hoạch'!$N$6:$N$305,$O2065)&amp;"",""))</f>
      </c>
      <c r="L2065" s="220">
        <f>IF(OR($C2065="",N($B2065)=0),"",IF(AND($I2065="Phản ánh",$E2065="Đã xử lý"),INDEX('Phản ánh'!$U$6:$U$505,MATCH($C2065,'Phản ánh'!$A$6:$A$505,0)),IF(AND($I2065="Công việc",OR($E2065="Hoàn thành",$E2065="Hoàn thành kỳ")),IF(INDEX('Kế hoạch'!$B$6:$B$305,$O2065)="Đột xuất",INDEX('Kế hoạch'!$AY$6:$AY$305,$O2065),IF(N($P2065)=0,"",IF(INT($B2065)&lt;$P2065,$P2065,IF($Q2065&gt;0,$P2065+ROUND((INT($B2065)-$P2065)/$Q2065,0)*$Q2065,IF($R2065&gt;0,EDATE($P2065,ROUND((DATEDIF($P2065,INT($B2065),"m")+(INT($B2065)-EDATE($P2065,DATEDIF($P2065,INT($B2065),"m")))/(EDATE($P2065,DATEDIF($P2065,INT($B2065),"m")+1)-EDATE($P2065,DATEDIF($P2065,INT($B2065),"m"))))/$R2065,0)*$R2065),$P2065))))),"")))</f>
      </c>
      <c r="M2065" s="223">
        <f>IF(OR($C2065="",N($L2065)=0,N($B2065)=0),"",IF(IF(MOD($L2065,1)=0,INT($B2065),$B2065)&lt;=$L2065,"Đúng hạn","Trễ hạn"))</f>
      </c>
      <c r="N2065" s="225">
        <f>IF($C2065="","",ROW())</f>
      </c>
      <c r="O2065" s="225">
        <f>IF($I2065="Công việc",MATCH($C2065,'Kế hoạch'!$A$6:$A$305,0),"")</f>
      </c>
      <c r="P2065" s="234">
        <f>IF($O2065="","",INDEX('Kế hoạch'!$I$6:$I$305,$O2065))</f>
      </c>
      <c r="Q2065" s="225">
        <f>IF($O2065="","",INDEX('Kế hoạch'!$AJ$6:$AJ$305,$O2065))</f>
      </c>
      <c r="R2065" s="225">
        <f>IF($O2065="","",INDEX('Kế hoạch'!$AK$6:$AK$305,$O2065))</f>
      </c>
    </row>
    <row r="2066">
      <c r="A2066" s="223">
        <f>IF($C2066="","",COUNTIF($C$6:$C2066,"?*"))</f>
      </c>
      <c r="B2066" s="217"/>
      <c r="C2066" s="216"/>
      <c r="D2066" s="240"/>
      <c r="E2066" s="218"/>
      <c r="F2066" s="218"/>
      <c r="G2066" s="218"/>
      <c r="H2066" s="219"/>
      <c r="I2066" s="223">
        <f>IF($C2066="","",IF(ISNUMBER(MATCH($C2066,'Phản ánh'!$A$6:$A$505,0)),"Phản ánh",IF(ISNUMBER(MATCH($C2066,'Kế hoạch'!$A$6:$A$305,0)),"Công việc","Mã chưa có")))</f>
      </c>
      <c r="J2066" s="221">
        <f>IF($I2066="Phản ánh",INDEX('Phản ánh'!$C$6:$C$505,MATCH($C2066,'Phản ánh'!$A$6:$A$505,0)),IF($I2066="Công việc",INDEX('Kế hoạch'!$C$6:$C$305,$O2066),""))</f>
      </c>
      <c r="K2066" s="221">
        <f>IF($I2066="Phản ánh",INDEX('Phản ánh'!$K$6:$K$505,MATCH($C2066,'Phản ánh'!$A$6:$A$505,0))&amp;"",IF($I2066="Công việc",INDEX('Kế hoạch'!$N$6:$N$305,$O2066)&amp;"",""))</f>
      </c>
      <c r="L2066" s="220">
        <f>IF(OR($C2066="",N($B2066)=0),"",IF(AND($I2066="Phản ánh",$E2066="Đã xử lý"),INDEX('Phản ánh'!$U$6:$U$505,MATCH($C2066,'Phản ánh'!$A$6:$A$505,0)),IF(AND($I2066="Công việc",OR($E2066="Hoàn thành",$E2066="Hoàn thành kỳ")),IF(INDEX('Kế hoạch'!$B$6:$B$305,$O2066)="Đột xuất",INDEX('Kế hoạch'!$AY$6:$AY$305,$O2066),IF(N($P2066)=0,"",IF(INT($B2066)&lt;$P2066,$P2066,IF($Q2066&gt;0,$P2066+ROUND((INT($B2066)-$P2066)/$Q2066,0)*$Q2066,IF($R2066&gt;0,EDATE($P2066,ROUND((DATEDIF($P2066,INT($B2066),"m")+(INT($B2066)-EDATE($P2066,DATEDIF($P2066,INT($B2066),"m")))/(EDATE($P2066,DATEDIF($P2066,INT($B2066),"m")+1)-EDATE($P2066,DATEDIF($P2066,INT($B2066),"m"))))/$R2066,0)*$R2066),$P2066))))),"")))</f>
      </c>
      <c r="M2066" s="223">
        <f>IF(OR($C2066="",N($L2066)=0,N($B2066)=0),"",IF(IF(MOD($L2066,1)=0,INT($B2066),$B2066)&lt;=$L2066,"Đúng hạn","Trễ hạn"))</f>
      </c>
      <c r="N2066" s="225">
        <f>IF($C2066="","",ROW())</f>
      </c>
      <c r="O2066" s="225">
        <f>IF($I2066="Công việc",MATCH($C2066,'Kế hoạch'!$A$6:$A$305,0),"")</f>
      </c>
      <c r="P2066" s="234">
        <f>IF($O2066="","",INDEX('Kế hoạch'!$I$6:$I$305,$O2066))</f>
      </c>
      <c r="Q2066" s="225">
        <f>IF($O2066="","",INDEX('Kế hoạch'!$AJ$6:$AJ$305,$O2066))</f>
      </c>
      <c r="R2066" s="225">
        <f>IF($O2066="","",INDEX('Kế hoạch'!$AK$6:$AK$305,$O2066))</f>
      </c>
    </row>
    <row r="2067">
      <c r="A2067" s="223">
        <f>IF($C2067="","",COUNTIF($C$6:$C2067,"?*"))</f>
      </c>
      <c r="B2067" s="217"/>
      <c r="C2067" s="216"/>
      <c r="D2067" s="240"/>
      <c r="E2067" s="218"/>
      <c r="F2067" s="218"/>
      <c r="G2067" s="218"/>
      <c r="H2067" s="219"/>
      <c r="I2067" s="223">
        <f>IF($C2067="","",IF(ISNUMBER(MATCH($C2067,'Phản ánh'!$A$6:$A$505,0)),"Phản ánh",IF(ISNUMBER(MATCH($C2067,'Kế hoạch'!$A$6:$A$305,0)),"Công việc","Mã chưa có")))</f>
      </c>
      <c r="J2067" s="221">
        <f>IF($I2067="Phản ánh",INDEX('Phản ánh'!$C$6:$C$505,MATCH($C2067,'Phản ánh'!$A$6:$A$505,0)),IF($I2067="Công việc",INDEX('Kế hoạch'!$C$6:$C$305,$O2067),""))</f>
      </c>
      <c r="K2067" s="221">
        <f>IF($I2067="Phản ánh",INDEX('Phản ánh'!$K$6:$K$505,MATCH($C2067,'Phản ánh'!$A$6:$A$505,0))&amp;"",IF($I2067="Công việc",INDEX('Kế hoạch'!$N$6:$N$305,$O2067)&amp;"",""))</f>
      </c>
      <c r="L2067" s="220">
        <f>IF(OR($C2067="",N($B2067)=0),"",IF(AND($I2067="Phản ánh",$E2067="Đã xử lý"),INDEX('Phản ánh'!$U$6:$U$505,MATCH($C2067,'Phản ánh'!$A$6:$A$505,0)),IF(AND($I2067="Công việc",OR($E2067="Hoàn thành",$E2067="Hoàn thành kỳ")),IF(INDEX('Kế hoạch'!$B$6:$B$305,$O2067)="Đột xuất",INDEX('Kế hoạch'!$AY$6:$AY$305,$O2067),IF(N($P2067)=0,"",IF(INT($B2067)&lt;$P2067,$P2067,IF($Q2067&gt;0,$P2067+ROUND((INT($B2067)-$P2067)/$Q2067,0)*$Q2067,IF($R2067&gt;0,EDATE($P2067,ROUND((DATEDIF($P2067,INT($B2067),"m")+(INT($B2067)-EDATE($P2067,DATEDIF($P2067,INT($B2067),"m")))/(EDATE($P2067,DATEDIF($P2067,INT($B2067),"m")+1)-EDATE($P2067,DATEDIF($P2067,INT($B2067),"m"))))/$R2067,0)*$R2067),$P2067))))),"")))</f>
      </c>
      <c r="M2067" s="223">
        <f>IF(OR($C2067="",N($L2067)=0,N($B2067)=0),"",IF(IF(MOD($L2067,1)=0,INT($B2067),$B2067)&lt;=$L2067,"Đúng hạn","Trễ hạn"))</f>
      </c>
      <c r="N2067" s="225">
        <f>IF($C2067="","",ROW())</f>
      </c>
      <c r="O2067" s="225">
        <f>IF($I2067="Công việc",MATCH($C2067,'Kế hoạch'!$A$6:$A$305,0),"")</f>
      </c>
      <c r="P2067" s="234">
        <f>IF($O2067="","",INDEX('Kế hoạch'!$I$6:$I$305,$O2067))</f>
      </c>
      <c r="Q2067" s="225">
        <f>IF($O2067="","",INDEX('Kế hoạch'!$AJ$6:$AJ$305,$O2067))</f>
      </c>
      <c r="R2067" s="225">
        <f>IF($O2067="","",INDEX('Kế hoạch'!$AK$6:$AK$305,$O2067))</f>
      </c>
    </row>
    <row r="2068">
      <c r="A2068" s="223">
        <f>IF($C2068="","",COUNTIF($C$6:$C2068,"?*"))</f>
      </c>
      <c r="B2068" s="217"/>
      <c r="C2068" s="216"/>
      <c r="D2068" s="240"/>
      <c r="E2068" s="218"/>
      <c r="F2068" s="218"/>
      <c r="G2068" s="218"/>
      <c r="H2068" s="219"/>
      <c r="I2068" s="223">
        <f>IF($C2068="","",IF(ISNUMBER(MATCH($C2068,'Phản ánh'!$A$6:$A$505,0)),"Phản ánh",IF(ISNUMBER(MATCH($C2068,'Kế hoạch'!$A$6:$A$305,0)),"Công việc","Mã chưa có")))</f>
      </c>
      <c r="J2068" s="221">
        <f>IF($I2068="Phản ánh",INDEX('Phản ánh'!$C$6:$C$505,MATCH($C2068,'Phản ánh'!$A$6:$A$505,0)),IF($I2068="Công việc",INDEX('Kế hoạch'!$C$6:$C$305,$O2068),""))</f>
      </c>
      <c r="K2068" s="221">
        <f>IF($I2068="Phản ánh",INDEX('Phản ánh'!$K$6:$K$505,MATCH($C2068,'Phản ánh'!$A$6:$A$505,0))&amp;"",IF($I2068="Công việc",INDEX('Kế hoạch'!$N$6:$N$305,$O2068)&amp;"",""))</f>
      </c>
      <c r="L2068" s="220">
        <f>IF(OR($C2068="",N($B2068)=0),"",IF(AND($I2068="Phản ánh",$E2068="Đã xử lý"),INDEX('Phản ánh'!$U$6:$U$505,MATCH($C2068,'Phản ánh'!$A$6:$A$505,0)),IF(AND($I2068="Công việc",OR($E2068="Hoàn thành",$E2068="Hoàn thành kỳ")),IF(INDEX('Kế hoạch'!$B$6:$B$305,$O2068)="Đột xuất",INDEX('Kế hoạch'!$AY$6:$AY$305,$O2068),IF(N($P2068)=0,"",IF(INT($B2068)&lt;$P2068,$P2068,IF($Q2068&gt;0,$P2068+ROUND((INT($B2068)-$P2068)/$Q2068,0)*$Q2068,IF($R2068&gt;0,EDATE($P2068,ROUND((DATEDIF($P2068,INT($B2068),"m")+(INT($B2068)-EDATE($P2068,DATEDIF($P2068,INT($B2068),"m")))/(EDATE($P2068,DATEDIF($P2068,INT($B2068),"m")+1)-EDATE($P2068,DATEDIF($P2068,INT($B2068),"m"))))/$R2068,0)*$R2068),$P2068))))),"")))</f>
      </c>
      <c r="M2068" s="223">
        <f>IF(OR($C2068="",N($L2068)=0,N($B2068)=0),"",IF(IF(MOD($L2068,1)=0,INT($B2068),$B2068)&lt;=$L2068,"Đúng hạn","Trễ hạn"))</f>
      </c>
      <c r="N2068" s="225">
        <f>IF($C2068="","",ROW())</f>
      </c>
      <c r="O2068" s="225">
        <f>IF($I2068="Công việc",MATCH($C2068,'Kế hoạch'!$A$6:$A$305,0),"")</f>
      </c>
      <c r="P2068" s="234">
        <f>IF($O2068="","",INDEX('Kế hoạch'!$I$6:$I$305,$O2068))</f>
      </c>
      <c r="Q2068" s="225">
        <f>IF($O2068="","",INDEX('Kế hoạch'!$AJ$6:$AJ$305,$O2068))</f>
      </c>
      <c r="R2068" s="225">
        <f>IF($O2068="","",INDEX('Kế hoạch'!$AK$6:$AK$305,$O2068))</f>
      </c>
    </row>
    <row r="2069">
      <c r="A2069" s="223">
        <f>IF($C2069="","",COUNTIF($C$6:$C2069,"?*"))</f>
      </c>
      <c r="B2069" s="217"/>
      <c r="C2069" s="216"/>
      <c r="D2069" s="240"/>
      <c r="E2069" s="218"/>
      <c r="F2069" s="218"/>
      <c r="G2069" s="218"/>
      <c r="H2069" s="219"/>
      <c r="I2069" s="223">
        <f>IF($C2069="","",IF(ISNUMBER(MATCH($C2069,'Phản ánh'!$A$6:$A$505,0)),"Phản ánh",IF(ISNUMBER(MATCH($C2069,'Kế hoạch'!$A$6:$A$305,0)),"Công việc","Mã chưa có")))</f>
      </c>
      <c r="J2069" s="221">
        <f>IF($I2069="Phản ánh",INDEX('Phản ánh'!$C$6:$C$505,MATCH($C2069,'Phản ánh'!$A$6:$A$505,0)),IF($I2069="Công việc",INDEX('Kế hoạch'!$C$6:$C$305,$O2069),""))</f>
      </c>
      <c r="K2069" s="221">
        <f>IF($I2069="Phản ánh",INDEX('Phản ánh'!$K$6:$K$505,MATCH($C2069,'Phản ánh'!$A$6:$A$505,0))&amp;"",IF($I2069="Công việc",INDEX('Kế hoạch'!$N$6:$N$305,$O2069)&amp;"",""))</f>
      </c>
      <c r="L2069" s="220">
        <f>IF(OR($C2069="",N($B2069)=0),"",IF(AND($I2069="Phản ánh",$E2069="Đã xử lý"),INDEX('Phản ánh'!$U$6:$U$505,MATCH($C2069,'Phản ánh'!$A$6:$A$505,0)),IF(AND($I2069="Công việc",OR($E2069="Hoàn thành",$E2069="Hoàn thành kỳ")),IF(INDEX('Kế hoạch'!$B$6:$B$305,$O2069)="Đột xuất",INDEX('Kế hoạch'!$AY$6:$AY$305,$O2069),IF(N($P2069)=0,"",IF(INT($B2069)&lt;$P2069,$P2069,IF($Q2069&gt;0,$P2069+ROUND((INT($B2069)-$P2069)/$Q2069,0)*$Q2069,IF($R2069&gt;0,EDATE($P2069,ROUND((DATEDIF($P2069,INT($B2069),"m")+(INT($B2069)-EDATE($P2069,DATEDIF($P2069,INT($B2069),"m")))/(EDATE($P2069,DATEDIF($P2069,INT($B2069),"m")+1)-EDATE($P2069,DATEDIF($P2069,INT($B2069),"m"))))/$R2069,0)*$R2069),$P2069))))),"")))</f>
      </c>
      <c r="M2069" s="223">
        <f>IF(OR($C2069="",N($L2069)=0,N($B2069)=0),"",IF(IF(MOD($L2069,1)=0,INT($B2069),$B2069)&lt;=$L2069,"Đúng hạn","Trễ hạn"))</f>
      </c>
      <c r="N2069" s="225">
        <f>IF($C2069="","",ROW())</f>
      </c>
      <c r="O2069" s="225">
        <f>IF($I2069="Công việc",MATCH($C2069,'Kế hoạch'!$A$6:$A$305,0),"")</f>
      </c>
      <c r="P2069" s="234">
        <f>IF($O2069="","",INDEX('Kế hoạch'!$I$6:$I$305,$O2069))</f>
      </c>
      <c r="Q2069" s="225">
        <f>IF($O2069="","",INDEX('Kế hoạch'!$AJ$6:$AJ$305,$O2069))</f>
      </c>
      <c r="R2069" s="225">
        <f>IF($O2069="","",INDEX('Kế hoạch'!$AK$6:$AK$305,$O2069))</f>
      </c>
    </row>
    <row r="2070">
      <c r="A2070" s="223">
        <f>IF($C2070="","",COUNTIF($C$6:$C2070,"?*"))</f>
      </c>
      <c r="B2070" s="217"/>
      <c r="C2070" s="216"/>
      <c r="D2070" s="240"/>
      <c r="E2070" s="218"/>
      <c r="F2070" s="218"/>
      <c r="G2070" s="218"/>
      <c r="H2070" s="219"/>
      <c r="I2070" s="223">
        <f>IF($C2070="","",IF(ISNUMBER(MATCH($C2070,'Phản ánh'!$A$6:$A$505,0)),"Phản ánh",IF(ISNUMBER(MATCH($C2070,'Kế hoạch'!$A$6:$A$305,0)),"Công việc","Mã chưa có")))</f>
      </c>
      <c r="J2070" s="221">
        <f>IF($I2070="Phản ánh",INDEX('Phản ánh'!$C$6:$C$505,MATCH($C2070,'Phản ánh'!$A$6:$A$505,0)),IF($I2070="Công việc",INDEX('Kế hoạch'!$C$6:$C$305,$O2070),""))</f>
      </c>
      <c r="K2070" s="221">
        <f>IF($I2070="Phản ánh",INDEX('Phản ánh'!$K$6:$K$505,MATCH($C2070,'Phản ánh'!$A$6:$A$505,0))&amp;"",IF($I2070="Công việc",INDEX('Kế hoạch'!$N$6:$N$305,$O2070)&amp;"",""))</f>
      </c>
      <c r="L2070" s="220">
        <f>IF(OR($C2070="",N($B2070)=0),"",IF(AND($I2070="Phản ánh",$E2070="Đã xử lý"),INDEX('Phản ánh'!$U$6:$U$505,MATCH($C2070,'Phản ánh'!$A$6:$A$505,0)),IF(AND($I2070="Công việc",OR($E2070="Hoàn thành",$E2070="Hoàn thành kỳ")),IF(INDEX('Kế hoạch'!$B$6:$B$305,$O2070)="Đột xuất",INDEX('Kế hoạch'!$AY$6:$AY$305,$O2070),IF(N($P2070)=0,"",IF(INT($B2070)&lt;$P2070,$P2070,IF($Q2070&gt;0,$P2070+ROUND((INT($B2070)-$P2070)/$Q2070,0)*$Q2070,IF($R2070&gt;0,EDATE($P2070,ROUND((DATEDIF($P2070,INT($B2070),"m")+(INT($B2070)-EDATE($P2070,DATEDIF($P2070,INT($B2070),"m")))/(EDATE($P2070,DATEDIF($P2070,INT($B2070),"m")+1)-EDATE($P2070,DATEDIF($P2070,INT($B2070),"m"))))/$R2070,0)*$R2070),$P2070))))),"")))</f>
      </c>
      <c r="M2070" s="223">
        <f>IF(OR($C2070="",N($L2070)=0,N($B2070)=0),"",IF(IF(MOD($L2070,1)=0,INT($B2070),$B2070)&lt;=$L2070,"Đúng hạn","Trễ hạn"))</f>
      </c>
      <c r="N2070" s="225">
        <f>IF($C2070="","",ROW())</f>
      </c>
      <c r="O2070" s="225">
        <f>IF($I2070="Công việc",MATCH($C2070,'Kế hoạch'!$A$6:$A$305,0),"")</f>
      </c>
      <c r="P2070" s="234">
        <f>IF($O2070="","",INDEX('Kế hoạch'!$I$6:$I$305,$O2070))</f>
      </c>
      <c r="Q2070" s="225">
        <f>IF($O2070="","",INDEX('Kế hoạch'!$AJ$6:$AJ$305,$O2070))</f>
      </c>
      <c r="R2070" s="225">
        <f>IF($O2070="","",INDEX('Kế hoạch'!$AK$6:$AK$305,$O2070))</f>
      </c>
    </row>
    <row r="2071">
      <c r="A2071" s="223">
        <f>IF($C2071="","",COUNTIF($C$6:$C2071,"?*"))</f>
      </c>
      <c r="B2071" s="217"/>
      <c r="C2071" s="216"/>
      <c r="D2071" s="240"/>
      <c r="E2071" s="218"/>
      <c r="F2071" s="218"/>
      <c r="G2071" s="218"/>
      <c r="H2071" s="219"/>
      <c r="I2071" s="223">
        <f>IF($C2071="","",IF(ISNUMBER(MATCH($C2071,'Phản ánh'!$A$6:$A$505,0)),"Phản ánh",IF(ISNUMBER(MATCH($C2071,'Kế hoạch'!$A$6:$A$305,0)),"Công việc","Mã chưa có")))</f>
      </c>
      <c r="J2071" s="221">
        <f>IF($I2071="Phản ánh",INDEX('Phản ánh'!$C$6:$C$505,MATCH($C2071,'Phản ánh'!$A$6:$A$505,0)),IF($I2071="Công việc",INDEX('Kế hoạch'!$C$6:$C$305,$O2071),""))</f>
      </c>
      <c r="K2071" s="221">
        <f>IF($I2071="Phản ánh",INDEX('Phản ánh'!$K$6:$K$505,MATCH($C2071,'Phản ánh'!$A$6:$A$505,0))&amp;"",IF($I2071="Công việc",INDEX('Kế hoạch'!$N$6:$N$305,$O2071)&amp;"",""))</f>
      </c>
      <c r="L2071" s="220">
        <f>IF(OR($C2071="",N($B2071)=0),"",IF(AND($I2071="Phản ánh",$E2071="Đã xử lý"),INDEX('Phản ánh'!$U$6:$U$505,MATCH($C2071,'Phản ánh'!$A$6:$A$505,0)),IF(AND($I2071="Công việc",OR($E2071="Hoàn thành",$E2071="Hoàn thành kỳ")),IF(INDEX('Kế hoạch'!$B$6:$B$305,$O2071)="Đột xuất",INDEX('Kế hoạch'!$AY$6:$AY$305,$O2071),IF(N($P2071)=0,"",IF(INT($B2071)&lt;$P2071,$P2071,IF($Q2071&gt;0,$P2071+ROUND((INT($B2071)-$P2071)/$Q2071,0)*$Q2071,IF($R2071&gt;0,EDATE($P2071,ROUND((DATEDIF($P2071,INT($B2071),"m")+(INT($B2071)-EDATE($P2071,DATEDIF($P2071,INT($B2071),"m")))/(EDATE($P2071,DATEDIF($P2071,INT($B2071),"m")+1)-EDATE($P2071,DATEDIF($P2071,INT($B2071),"m"))))/$R2071,0)*$R2071),$P2071))))),"")))</f>
      </c>
      <c r="M2071" s="223">
        <f>IF(OR($C2071="",N($L2071)=0,N($B2071)=0),"",IF(IF(MOD($L2071,1)=0,INT($B2071),$B2071)&lt;=$L2071,"Đúng hạn","Trễ hạn"))</f>
      </c>
      <c r="N2071" s="225">
        <f>IF($C2071="","",ROW())</f>
      </c>
      <c r="O2071" s="225">
        <f>IF($I2071="Công việc",MATCH($C2071,'Kế hoạch'!$A$6:$A$305,0),"")</f>
      </c>
      <c r="P2071" s="234">
        <f>IF($O2071="","",INDEX('Kế hoạch'!$I$6:$I$305,$O2071))</f>
      </c>
      <c r="Q2071" s="225">
        <f>IF($O2071="","",INDEX('Kế hoạch'!$AJ$6:$AJ$305,$O2071))</f>
      </c>
      <c r="R2071" s="225">
        <f>IF($O2071="","",INDEX('Kế hoạch'!$AK$6:$AK$305,$O2071))</f>
      </c>
    </row>
    <row r="2072">
      <c r="A2072" s="223">
        <f>IF($C2072="","",COUNTIF($C$6:$C2072,"?*"))</f>
      </c>
      <c r="B2072" s="217"/>
      <c r="C2072" s="216"/>
      <c r="D2072" s="240"/>
      <c r="E2072" s="218"/>
      <c r="F2072" s="218"/>
      <c r="G2072" s="218"/>
      <c r="H2072" s="219"/>
      <c r="I2072" s="223">
        <f>IF($C2072="","",IF(ISNUMBER(MATCH($C2072,'Phản ánh'!$A$6:$A$505,0)),"Phản ánh",IF(ISNUMBER(MATCH($C2072,'Kế hoạch'!$A$6:$A$305,0)),"Công việc","Mã chưa có")))</f>
      </c>
      <c r="J2072" s="221">
        <f>IF($I2072="Phản ánh",INDEX('Phản ánh'!$C$6:$C$505,MATCH($C2072,'Phản ánh'!$A$6:$A$505,0)),IF($I2072="Công việc",INDEX('Kế hoạch'!$C$6:$C$305,$O2072),""))</f>
      </c>
      <c r="K2072" s="221">
        <f>IF($I2072="Phản ánh",INDEX('Phản ánh'!$K$6:$K$505,MATCH($C2072,'Phản ánh'!$A$6:$A$505,0))&amp;"",IF($I2072="Công việc",INDEX('Kế hoạch'!$N$6:$N$305,$O2072)&amp;"",""))</f>
      </c>
      <c r="L2072" s="220">
        <f>IF(OR($C2072="",N($B2072)=0),"",IF(AND($I2072="Phản ánh",$E2072="Đã xử lý"),INDEX('Phản ánh'!$U$6:$U$505,MATCH($C2072,'Phản ánh'!$A$6:$A$505,0)),IF(AND($I2072="Công việc",OR($E2072="Hoàn thành",$E2072="Hoàn thành kỳ")),IF(INDEX('Kế hoạch'!$B$6:$B$305,$O2072)="Đột xuất",INDEX('Kế hoạch'!$AY$6:$AY$305,$O2072),IF(N($P2072)=0,"",IF(INT($B2072)&lt;$P2072,$P2072,IF($Q2072&gt;0,$P2072+ROUND((INT($B2072)-$P2072)/$Q2072,0)*$Q2072,IF($R2072&gt;0,EDATE($P2072,ROUND((DATEDIF($P2072,INT($B2072),"m")+(INT($B2072)-EDATE($P2072,DATEDIF($P2072,INT($B2072),"m")))/(EDATE($P2072,DATEDIF($P2072,INT($B2072),"m")+1)-EDATE($P2072,DATEDIF($P2072,INT($B2072),"m"))))/$R2072,0)*$R2072),$P2072))))),"")))</f>
      </c>
      <c r="M2072" s="223">
        <f>IF(OR($C2072="",N($L2072)=0,N($B2072)=0),"",IF(IF(MOD($L2072,1)=0,INT($B2072),$B2072)&lt;=$L2072,"Đúng hạn","Trễ hạn"))</f>
      </c>
      <c r="N2072" s="225">
        <f>IF($C2072="","",ROW())</f>
      </c>
      <c r="O2072" s="225">
        <f>IF($I2072="Công việc",MATCH($C2072,'Kế hoạch'!$A$6:$A$305,0),"")</f>
      </c>
      <c r="P2072" s="234">
        <f>IF($O2072="","",INDEX('Kế hoạch'!$I$6:$I$305,$O2072))</f>
      </c>
      <c r="Q2072" s="225">
        <f>IF($O2072="","",INDEX('Kế hoạch'!$AJ$6:$AJ$305,$O2072))</f>
      </c>
      <c r="R2072" s="225">
        <f>IF($O2072="","",INDEX('Kế hoạch'!$AK$6:$AK$305,$O2072))</f>
      </c>
    </row>
    <row r="2073">
      <c r="A2073" s="223">
        <f>IF($C2073="","",COUNTIF($C$6:$C2073,"?*"))</f>
      </c>
      <c r="B2073" s="217"/>
      <c r="C2073" s="216"/>
      <c r="D2073" s="240"/>
      <c r="E2073" s="218"/>
      <c r="F2073" s="218"/>
      <c r="G2073" s="218"/>
      <c r="H2073" s="219"/>
      <c r="I2073" s="223">
        <f>IF($C2073="","",IF(ISNUMBER(MATCH($C2073,'Phản ánh'!$A$6:$A$505,0)),"Phản ánh",IF(ISNUMBER(MATCH($C2073,'Kế hoạch'!$A$6:$A$305,0)),"Công việc","Mã chưa có")))</f>
      </c>
      <c r="J2073" s="221">
        <f>IF($I2073="Phản ánh",INDEX('Phản ánh'!$C$6:$C$505,MATCH($C2073,'Phản ánh'!$A$6:$A$505,0)),IF($I2073="Công việc",INDEX('Kế hoạch'!$C$6:$C$305,$O2073),""))</f>
      </c>
      <c r="K2073" s="221">
        <f>IF($I2073="Phản ánh",INDEX('Phản ánh'!$K$6:$K$505,MATCH($C2073,'Phản ánh'!$A$6:$A$505,0))&amp;"",IF($I2073="Công việc",INDEX('Kế hoạch'!$N$6:$N$305,$O2073)&amp;"",""))</f>
      </c>
      <c r="L2073" s="220">
        <f>IF(OR($C2073="",N($B2073)=0),"",IF(AND($I2073="Phản ánh",$E2073="Đã xử lý"),INDEX('Phản ánh'!$U$6:$U$505,MATCH($C2073,'Phản ánh'!$A$6:$A$505,0)),IF(AND($I2073="Công việc",OR($E2073="Hoàn thành",$E2073="Hoàn thành kỳ")),IF(INDEX('Kế hoạch'!$B$6:$B$305,$O2073)="Đột xuất",INDEX('Kế hoạch'!$AY$6:$AY$305,$O2073),IF(N($P2073)=0,"",IF(INT($B2073)&lt;$P2073,$P2073,IF($Q2073&gt;0,$P2073+ROUND((INT($B2073)-$P2073)/$Q2073,0)*$Q2073,IF($R2073&gt;0,EDATE($P2073,ROUND((DATEDIF($P2073,INT($B2073),"m")+(INT($B2073)-EDATE($P2073,DATEDIF($P2073,INT($B2073),"m")))/(EDATE($P2073,DATEDIF($P2073,INT($B2073),"m")+1)-EDATE($P2073,DATEDIF($P2073,INT($B2073),"m"))))/$R2073,0)*$R2073),$P2073))))),"")))</f>
      </c>
      <c r="M2073" s="223">
        <f>IF(OR($C2073="",N($L2073)=0,N($B2073)=0),"",IF(IF(MOD($L2073,1)=0,INT($B2073),$B2073)&lt;=$L2073,"Đúng hạn","Trễ hạn"))</f>
      </c>
      <c r="N2073" s="225">
        <f>IF($C2073="","",ROW())</f>
      </c>
      <c r="O2073" s="225">
        <f>IF($I2073="Công việc",MATCH($C2073,'Kế hoạch'!$A$6:$A$305,0),"")</f>
      </c>
      <c r="P2073" s="234">
        <f>IF($O2073="","",INDEX('Kế hoạch'!$I$6:$I$305,$O2073))</f>
      </c>
      <c r="Q2073" s="225">
        <f>IF($O2073="","",INDEX('Kế hoạch'!$AJ$6:$AJ$305,$O2073))</f>
      </c>
      <c r="R2073" s="225">
        <f>IF($O2073="","",INDEX('Kế hoạch'!$AK$6:$AK$305,$O2073))</f>
      </c>
    </row>
    <row r="2074">
      <c r="A2074" s="223">
        <f>IF($C2074="","",COUNTIF($C$6:$C2074,"?*"))</f>
      </c>
      <c r="B2074" s="217"/>
      <c r="C2074" s="216"/>
      <c r="D2074" s="240"/>
      <c r="E2074" s="218"/>
      <c r="F2074" s="218"/>
      <c r="G2074" s="218"/>
      <c r="H2074" s="219"/>
      <c r="I2074" s="223">
        <f>IF($C2074="","",IF(ISNUMBER(MATCH($C2074,'Phản ánh'!$A$6:$A$505,0)),"Phản ánh",IF(ISNUMBER(MATCH($C2074,'Kế hoạch'!$A$6:$A$305,0)),"Công việc","Mã chưa có")))</f>
      </c>
      <c r="J2074" s="221">
        <f>IF($I2074="Phản ánh",INDEX('Phản ánh'!$C$6:$C$505,MATCH($C2074,'Phản ánh'!$A$6:$A$505,0)),IF($I2074="Công việc",INDEX('Kế hoạch'!$C$6:$C$305,$O2074),""))</f>
      </c>
      <c r="K2074" s="221">
        <f>IF($I2074="Phản ánh",INDEX('Phản ánh'!$K$6:$K$505,MATCH($C2074,'Phản ánh'!$A$6:$A$505,0))&amp;"",IF($I2074="Công việc",INDEX('Kế hoạch'!$N$6:$N$305,$O2074)&amp;"",""))</f>
      </c>
      <c r="L2074" s="220">
        <f>IF(OR($C2074="",N($B2074)=0),"",IF(AND($I2074="Phản ánh",$E2074="Đã xử lý"),INDEX('Phản ánh'!$U$6:$U$505,MATCH($C2074,'Phản ánh'!$A$6:$A$505,0)),IF(AND($I2074="Công việc",OR($E2074="Hoàn thành",$E2074="Hoàn thành kỳ")),IF(INDEX('Kế hoạch'!$B$6:$B$305,$O2074)="Đột xuất",INDEX('Kế hoạch'!$AY$6:$AY$305,$O2074),IF(N($P2074)=0,"",IF(INT($B2074)&lt;$P2074,$P2074,IF($Q2074&gt;0,$P2074+ROUND((INT($B2074)-$P2074)/$Q2074,0)*$Q2074,IF($R2074&gt;0,EDATE($P2074,ROUND((DATEDIF($P2074,INT($B2074),"m")+(INT($B2074)-EDATE($P2074,DATEDIF($P2074,INT($B2074),"m")))/(EDATE($P2074,DATEDIF($P2074,INT($B2074),"m")+1)-EDATE($P2074,DATEDIF($P2074,INT($B2074),"m"))))/$R2074,0)*$R2074),$P2074))))),"")))</f>
      </c>
      <c r="M2074" s="223">
        <f>IF(OR($C2074="",N($L2074)=0,N($B2074)=0),"",IF(IF(MOD($L2074,1)=0,INT($B2074),$B2074)&lt;=$L2074,"Đúng hạn","Trễ hạn"))</f>
      </c>
      <c r="N2074" s="225">
        <f>IF($C2074="","",ROW())</f>
      </c>
      <c r="O2074" s="225">
        <f>IF($I2074="Công việc",MATCH($C2074,'Kế hoạch'!$A$6:$A$305,0),"")</f>
      </c>
      <c r="P2074" s="234">
        <f>IF($O2074="","",INDEX('Kế hoạch'!$I$6:$I$305,$O2074))</f>
      </c>
      <c r="Q2074" s="225">
        <f>IF($O2074="","",INDEX('Kế hoạch'!$AJ$6:$AJ$305,$O2074))</f>
      </c>
      <c r="R2074" s="225">
        <f>IF($O2074="","",INDEX('Kế hoạch'!$AK$6:$AK$305,$O2074))</f>
      </c>
    </row>
    <row r="2075">
      <c r="A2075" s="223">
        <f>IF($C2075="","",COUNTIF($C$6:$C2075,"?*"))</f>
      </c>
      <c r="B2075" s="217"/>
      <c r="C2075" s="216"/>
      <c r="D2075" s="240"/>
      <c r="E2075" s="218"/>
      <c r="F2075" s="218"/>
      <c r="G2075" s="218"/>
      <c r="H2075" s="219"/>
      <c r="I2075" s="223">
        <f>IF($C2075="","",IF(ISNUMBER(MATCH($C2075,'Phản ánh'!$A$6:$A$505,0)),"Phản ánh",IF(ISNUMBER(MATCH($C2075,'Kế hoạch'!$A$6:$A$305,0)),"Công việc","Mã chưa có")))</f>
      </c>
      <c r="J2075" s="221">
        <f>IF($I2075="Phản ánh",INDEX('Phản ánh'!$C$6:$C$505,MATCH($C2075,'Phản ánh'!$A$6:$A$505,0)),IF($I2075="Công việc",INDEX('Kế hoạch'!$C$6:$C$305,$O2075),""))</f>
      </c>
      <c r="K2075" s="221">
        <f>IF($I2075="Phản ánh",INDEX('Phản ánh'!$K$6:$K$505,MATCH($C2075,'Phản ánh'!$A$6:$A$505,0))&amp;"",IF($I2075="Công việc",INDEX('Kế hoạch'!$N$6:$N$305,$O2075)&amp;"",""))</f>
      </c>
      <c r="L2075" s="220">
        <f>IF(OR($C2075="",N($B2075)=0),"",IF(AND($I2075="Phản ánh",$E2075="Đã xử lý"),INDEX('Phản ánh'!$U$6:$U$505,MATCH($C2075,'Phản ánh'!$A$6:$A$505,0)),IF(AND($I2075="Công việc",OR($E2075="Hoàn thành",$E2075="Hoàn thành kỳ")),IF(INDEX('Kế hoạch'!$B$6:$B$305,$O2075)="Đột xuất",INDEX('Kế hoạch'!$AY$6:$AY$305,$O2075),IF(N($P2075)=0,"",IF(INT($B2075)&lt;$P2075,$P2075,IF($Q2075&gt;0,$P2075+ROUND((INT($B2075)-$P2075)/$Q2075,0)*$Q2075,IF($R2075&gt;0,EDATE($P2075,ROUND((DATEDIF($P2075,INT($B2075),"m")+(INT($B2075)-EDATE($P2075,DATEDIF($P2075,INT($B2075),"m")))/(EDATE($P2075,DATEDIF($P2075,INT($B2075),"m")+1)-EDATE($P2075,DATEDIF($P2075,INT($B2075),"m"))))/$R2075,0)*$R2075),$P2075))))),"")))</f>
      </c>
      <c r="M2075" s="223">
        <f>IF(OR($C2075="",N($L2075)=0,N($B2075)=0),"",IF(IF(MOD($L2075,1)=0,INT($B2075),$B2075)&lt;=$L2075,"Đúng hạn","Trễ hạn"))</f>
      </c>
      <c r="N2075" s="225">
        <f>IF($C2075="","",ROW())</f>
      </c>
      <c r="O2075" s="225">
        <f>IF($I2075="Công việc",MATCH($C2075,'Kế hoạch'!$A$6:$A$305,0),"")</f>
      </c>
      <c r="P2075" s="234">
        <f>IF($O2075="","",INDEX('Kế hoạch'!$I$6:$I$305,$O2075))</f>
      </c>
      <c r="Q2075" s="225">
        <f>IF($O2075="","",INDEX('Kế hoạch'!$AJ$6:$AJ$305,$O2075))</f>
      </c>
      <c r="R2075" s="225">
        <f>IF($O2075="","",INDEX('Kế hoạch'!$AK$6:$AK$305,$O2075))</f>
      </c>
    </row>
    <row r="2076">
      <c r="A2076" s="223">
        <f>IF($C2076="","",COUNTIF($C$6:$C2076,"?*"))</f>
      </c>
      <c r="B2076" s="217"/>
      <c r="C2076" s="216"/>
      <c r="D2076" s="240"/>
      <c r="E2076" s="218"/>
      <c r="F2076" s="218"/>
      <c r="G2076" s="218"/>
      <c r="H2076" s="219"/>
      <c r="I2076" s="223">
        <f>IF($C2076="","",IF(ISNUMBER(MATCH($C2076,'Phản ánh'!$A$6:$A$505,0)),"Phản ánh",IF(ISNUMBER(MATCH($C2076,'Kế hoạch'!$A$6:$A$305,0)),"Công việc","Mã chưa có")))</f>
      </c>
      <c r="J2076" s="221">
        <f>IF($I2076="Phản ánh",INDEX('Phản ánh'!$C$6:$C$505,MATCH($C2076,'Phản ánh'!$A$6:$A$505,0)),IF($I2076="Công việc",INDEX('Kế hoạch'!$C$6:$C$305,$O2076),""))</f>
      </c>
      <c r="K2076" s="221">
        <f>IF($I2076="Phản ánh",INDEX('Phản ánh'!$K$6:$K$505,MATCH($C2076,'Phản ánh'!$A$6:$A$505,0))&amp;"",IF($I2076="Công việc",INDEX('Kế hoạch'!$N$6:$N$305,$O2076)&amp;"",""))</f>
      </c>
      <c r="L2076" s="220">
        <f>IF(OR($C2076="",N($B2076)=0),"",IF(AND($I2076="Phản ánh",$E2076="Đã xử lý"),INDEX('Phản ánh'!$U$6:$U$505,MATCH($C2076,'Phản ánh'!$A$6:$A$505,0)),IF(AND($I2076="Công việc",OR($E2076="Hoàn thành",$E2076="Hoàn thành kỳ")),IF(INDEX('Kế hoạch'!$B$6:$B$305,$O2076)="Đột xuất",INDEX('Kế hoạch'!$AY$6:$AY$305,$O2076),IF(N($P2076)=0,"",IF(INT($B2076)&lt;$P2076,$P2076,IF($Q2076&gt;0,$P2076+ROUND((INT($B2076)-$P2076)/$Q2076,0)*$Q2076,IF($R2076&gt;0,EDATE($P2076,ROUND((DATEDIF($P2076,INT($B2076),"m")+(INT($B2076)-EDATE($P2076,DATEDIF($P2076,INT($B2076),"m")))/(EDATE($P2076,DATEDIF($P2076,INT($B2076),"m")+1)-EDATE($P2076,DATEDIF($P2076,INT($B2076),"m"))))/$R2076,0)*$R2076),$P2076))))),"")))</f>
      </c>
      <c r="M2076" s="223">
        <f>IF(OR($C2076="",N($L2076)=0,N($B2076)=0),"",IF(IF(MOD($L2076,1)=0,INT($B2076),$B2076)&lt;=$L2076,"Đúng hạn","Trễ hạn"))</f>
      </c>
      <c r="N2076" s="225">
        <f>IF($C2076="","",ROW())</f>
      </c>
      <c r="O2076" s="225">
        <f>IF($I2076="Công việc",MATCH($C2076,'Kế hoạch'!$A$6:$A$305,0),"")</f>
      </c>
      <c r="P2076" s="234">
        <f>IF($O2076="","",INDEX('Kế hoạch'!$I$6:$I$305,$O2076))</f>
      </c>
      <c r="Q2076" s="225">
        <f>IF($O2076="","",INDEX('Kế hoạch'!$AJ$6:$AJ$305,$O2076))</f>
      </c>
      <c r="R2076" s="225">
        <f>IF($O2076="","",INDEX('Kế hoạch'!$AK$6:$AK$305,$O2076))</f>
      </c>
    </row>
    <row r="2077">
      <c r="A2077" s="223">
        <f>IF($C2077="","",COUNTIF($C$6:$C2077,"?*"))</f>
      </c>
      <c r="B2077" s="217"/>
      <c r="C2077" s="216"/>
      <c r="D2077" s="240"/>
      <c r="E2077" s="218"/>
      <c r="F2077" s="218"/>
      <c r="G2077" s="218"/>
      <c r="H2077" s="219"/>
      <c r="I2077" s="223">
        <f>IF($C2077="","",IF(ISNUMBER(MATCH($C2077,'Phản ánh'!$A$6:$A$505,0)),"Phản ánh",IF(ISNUMBER(MATCH($C2077,'Kế hoạch'!$A$6:$A$305,0)),"Công việc","Mã chưa có")))</f>
      </c>
      <c r="J2077" s="221">
        <f>IF($I2077="Phản ánh",INDEX('Phản ánh'!$C$6:$C$505,MATCH($C2077,'Phản ánh'!$A$6:$A$505,0)),IF($I2077="Công việc",INDEX('Kế hoạch'!$C$6:$C$305,$O2077),""))</f>
      </c>
      <c r="K2077" s="221">
        <f>IF($I2077="Phản ánh",INDEX('Phản ánh'!$K$6:$K$505,MATCH($C2077,'Phản ánh'!$A$6:$A$505,0))&amp;"",IF($I2077="Công việc",INDEX('Kế hoạch'!$N$6:$N$305,$O2077)&amp;"",""))</f>
      </c>
      <c r="L2077" s="220">
        <f>IF(OR($C2077="",N($B2077)=0),"",IF(AND($I2077="Phản ánh",$E2077="Đã xử lý"),INDEX('Phản ánh'!$U$6:$U$505,MATCH($C2077,'Phản ánh'!$A$6:$A$505,0)),IF(AND($I2077="Công việc",OR($E2077="Hoàn thành",$E2077="Hoàn thành kỳ")),IF(INDEX('Kế hoạch'!$B$6:$B$305,$O2077)="Đột xuất",INDEX('Kế hoạch'!$AY$6:$AY$305,$O2077),IF(N($P2077)=0,"",IF(INT($B2077)&lt;$P2077,$P2077,IF($Q2077&gt;0,$P2077+ROUND((INT($B2077)-$P2077)/$Q2077,0)*$Q2077,IF($R2077&gt;0,EDATE($P2077,ROUND((DATEDIF($P2077,INT($B2077),"m")+(INT($B2077)-EDATE($P2077,DATEDIF($P2077,INT($B2077),"m")))/(EDATE($P2077,DATEDIF($P2077,INT($B2077),"m")+1)-EDATE($P2077,DATEDIF($P2077,INT($B2077),"m"))))/$R2077,0)*$R2077),$P2077))))),"")))</f>
      </c>
      <c r="M2077" s="223">
        <f>IF(OR($C2077="",N($L2077)=0,N($B2077)=0),"",IF(IF(MOD($L2077,1)=0,INT($B2077),$B2077)&lt;=$L2077,"Đúng hạn","Trễ hạn"))</f>
      </c>
      <c r="N2077" s="225">
        <f>IF($C2077="","",ROW())</f>
      </c>
      <c r="O2077" s="225">
        <f>IF($I2077="Công việc",MATCH($C2077,'Kế hoạch'!$A$6:$A$305,0),"")</f>
      </c>
      <c r="P2077" s="234">
        <f>IF($O2077="","",INDEX('Kế hoạch'!$I$6:$I$305,$O2077))</f>
      </c>
      <c r="Q2077" s="225">
        <f>IF($O2077="","",INDEX('Kế hoạch'!$AJ$6:$AJ$305,$O2077))</f>
      </c>
      <c r="R2077" s="225">
        <f>IF($O2077="","",INDEX('Kế hoạch'!$AK$6:$AK$305,$O2077))</f>
      </c>
    </row>
    <row r="2078">
      <c r="A2078" s="223">
        <f>IF($C2078="","",COUNTIF($C$6:$C2078,"?*"))</f>
      </c>
      <c r="B2078" s="217"/>
      <c r="C2078" s="216"/>
      <c r="D2078" s="240"/>
      <c r="E2078" s="218"/>
      <c r="F2078" s="218"/>
      <c r="G2078" s="218"/>
      <c r="H2078" s="219"/>
      <c r="I2078" s="223">
        <f>IF($C2078="","",IF(ISNUMBER(MATCH($C2078,'Phản ánh'!$A$6:$A$505,0)),"Phản ánh",IF(ISNUMBER(MATCH($C2078,'Kế hoạch'!$A$6:$A$305,0)),"Công việc","Mã chưa có")))</f>
      </c>
      <c r="J2078" s="221">
        <f>IF($I2078="Phản ánh",INDEX('Phản ánh'!$C$6:$C$505,MATCH($C2078,'Phản ánh'!$A$6:$A$505,0)),IF($I2078="Công việc",INDEX('Kế hoạch'!$C$6:$C$305,$O2078),""))</f>
      </c>
      <c r="K2078" s="221">
        <f>IF($I2078="Phản ánh",INDEX('Phản ánh'!$K$6:$K$505,MATCH($C2078,'Phản ánh'!$A$6:$A$505,0))&amp;"",IF($I2078="Công việc",INDEX('Kế hoạch'!$N$6:$N$305,$O2078)&amp;"",""))</f>
      </c>
      <c r="L2078" s="220">
        <f>IF(OR($C2078="",N($B2078)=0),"",IF(AND($I2078="Phản ánh",$E2078="Đã xử lý"),INDEX('Phản ánh'!$U$6:$U$505,MATCH($C2078,'Phản ánh'!$A$6:$A$505,0)),IF(AND($I2078="Công việc",OR($E2078="Hoàn thành",$E2078="Hoàn thành kỳ")),IF(INDEX('Kế hoạch'!$B$6:$B$305,$O2078)="Đột xuất",INDEX('Kế hoạch'!$AY$6:$AY$305,$O2078),IF(N($P2078)=0,"",IF(INT($B2078)&lt;$P2078,$P2078,IF($Q2078&gt;0,$P2078+ROUND((INT($B2078)-$P2078)/$Q2078,0)*$Q2078,IF($R2078&gt;0,EDATE($P2078,ROUND((DATEDIF($P2078,INT($B2078),"m")+(INT($B2078)-EDATE($P2078,DATEDIF($P2078,INT($B2078),"m")))/(EDATE($P2078,DATEDIF($P2078,INT($B2078),"m")+1)-EDATE($P2078,DATEDIF($P2078,INT($B2078),"m"))))/$R2078,0)*$R2078),$P2078))))),"")))</f>
      </c>
      <c r="M2078" s="223">
        <f>IF(OR($C2078="",N($L2078)=0,N($B2078)=0),"",IF(IF(MOD($L2078,1)=0,INT($B2078),$B2078)&lt;=$L2078,"Đúng hạn","Trễ hạn"))</f>
      </c>
      <c r="N2078" s="225">
        <f>IF($C2078="","",ROW())</f>
      </c>
      <c r="O2078" s="225">
        <f>IF($I2078="Công việc",MATCH($C2078,'Kế hoạch'!$A$6:$A$305,0),"")</f>
      </c>
      <c r="P2078" s="234">
        <f>IF($O2078="","",INDEX('Kế hoạch'!$I$6:$I$305,$O2078))</f>
      </c>
      <c r="Q2078" s="225">
        <f>IF($O2078="","",INDEX('Kế hoạch'!$AJ$6:$AJ$305,$O2078))</f>
      </c>
      <c r="R2078" s="225">
        <f>IF($O2078="","",INDEX('Kế hoạch'!$AK$6:$AK$305,$O2078))</f>
      </c>
    </row>
    <row r="2079">
      <c r="A2079" s="223">
        <f>IF($C2079="","",COUNTIF($C$6:$C2079,"?*"))</f>
      </c>
      <c r="B2079" s="217"/>
      <c r="C2079" s="216"/>
      <c r="D2079" s="240"/>
      <c r="E2079" s="218"/>
      <c r="F2079" s="218"/>
      <c r="G2079" s="218"/>
      <c r="H2079" s="219"/>
      <c r="I2079" s="223">
        <f>IF($C2079="","",IF(ISNUMBER(MATCH($C2079,'Phản ánh'!$A$6:$A$505,0)),"Phản ánh",IF(ISNUMBER(MATCH($C2079,'Kế hoạch'!$A$6:$A$305,0)),"Công việc","Mã chưa có")))</f>
      </c>
      <c r="J2079" s="221">
        <f>IF($I2079="Phản ánh",INDEX('Phản ánh'!$C$6:$C$505,MATCH($C2079,'Phản ánh'!$A$6:$A$505,0)),IF($I2079="Công việc",INDEX('Kế hoạch'!$C$6:$C$305,$O2079),""))</f>
      </c>
      <c r="K2079" s="221">
        <f>IF($I2079="Phản ánh",INDEX('Phản ánh'!$K$6:$K$505,MATCH($C2079,'Phản ánh'!$A$6:$A$505,0))&amp;"",IF($I2079="Công việc",INDEX('Kế hoạch'!$N$6:$N$305,$O2079)&amp;"",""))</f>
      </c>
      <c r="L2079" s="220">
        <f>IF(OR($C2079="",N($B2079)=0),"",IF(AND($I2079="Phản ánh",$E2079="Đã xử lý"),INDEX('Phản ánh'!$U$6:$U$505,MATCH($C2079,'Phản ánh'!$A$6:$A$505,0)),IF(AND($I2079="Công việc",OR($E2079="Hoàn thành",$E2079="Hoàn thành kỳ")),IF(INDEX('Kế hoạch'!$B$6:$B$305,$O2079)="Đột xuất",INDEX('Kế hoạch'!$AY$6:$AY$305,$O2079),IF(N($P2079)=0,"",IF(INT($B2079)&lt;$P2079,$P2079,IF($Q2079&gt;0,$P2079+ROUND((INT($B2079)-$P2079)/$Q2079,0)*$Q2079,IF($R2079&gt;0,EDATE($P2079,ROUND((DATEDIF($P2079,INT($B2079),"m")+(INT($B2079)-EDATE($P2079,DATEDIF($P2079,INT($B2079),"m")))/(EDATE($P2079,DATEDIF($P2079,INT($B2079),"m")+1)-EDATE($P2079,DATEDIF($P2079,INT($B2079),"m"))))/$R2079,0)*$R2079),$P2079))))),"")))</f>
      </c>
      <c r="M2079" s="223">
        <f>IF(OR($C2079="",N($L2079)=0,N($B2079)=0),"",IF(IF(MOD($L2079,1)=0,INT($B2079),$B2079)&lt;=$L2079,"Đúng hạn","Trễ hạn"))</f>
      </c>
      <c r="N2079" s="225">
        <f>IF($C2079="","",ROW())</f>
      </c>
      <c r="O2079" s="225">
        <f>IF($I2079="Công việc",MATCH($C2079,'Kế hoạch'!$A$6:$A$305,0),"")</f>
      </c>
      <c r="P2079" s="234">
        <f>IF($O2079="","",INDEX('Kế hoạch'!$I$6:$I$305,$O2079))</f>
      </c>
      <c r="Q2079" s="225">
        <f>IF($O2079="","",INDEX('Kế hoạch'!$AJ$6:$AJ$305,$O2079))</f>
      </c>
      <c r="R2079" s="225">
        <f>IF($O2079="","",INDEX('Kế hoạch'!$AK$6:$AK$305,$O2079))</f>
      </c>
    </row>
    <row r="2080">
      <c r="A2080" s="223">
        <f>IF($C2080="","",COUNTIF($C$6:$C2080,"?*"))</f>
      </c>
      <c r="B2080" s="217"/>
      <c r="C2080" s="216"/>
      <c r="D2080" s="240"/>
      <c r="E2080" s="218"/>
      <c r="F2080" s="218"/>
      <c r="G2080" s="218"/>
      <c r="H2080" s="219"/>
      <c r="I2080" s="223">
        <f>IF($C2080="","",IF(ISNUMBER(MATCH($C2080,'Phản ánh'!$A$6:$A$505,0)),"Phản ánh",IF(ISNUMBER(MATCH($C2080,'Kế hoạch'!$A$6:$A$305,0)),"Công việc","Mã chưa có")))</f>
      </c>
      <c r="J2080" s="221">
        <f>IF($I2080="Phản ánh",INDEX('Phản ánh'!$C$6:$C$505,MATCH($C2080,'Phản ánh'!$A$6:$A$505,0)),IF($I2080="Công việc",INDEX('Kế hoạch'!$C$6:$C$305,$O2080),""))</f>
      </c>
      <c r="K2080" s="221">
        <f>IF($I2080="Phản ánh",INDEX('Phản ánh'!$K$6:$K$505,MATCH($C2080,'Phản ánh'!$A$6:$A$505,0))&amp;"",IF($I2080="Công việc",INDEX('Kế hoạch'!$N$6:$N$305,$O2080)&amp;"",""))</f>
      </c>
      <c r="L2080" s="220">
        <f>IF(OR($C2080="",N($B2080)=0),"",IF(AND($I2080="Phản ánh",$E2080="Đã xử lý"),INDEX('Phản ánh'!$U$6:$U$505,MATCH($C2080,'Phản ánh'!$A$6:$A$505,0)),IF(AND($I2080="Công việc",OR($E2080="Hoàn thành",$E2080="Hoàn thành kỳ")),IF(INDEX('Kế hoạch'!$B$6:$B$305,$O2080)="Đột xuất",INDEX('Kế hoạch'!$AY$6:$AY$305,$O2080),IF(N($P2080)=0,"",IF(INT($B2080)&lt;$P2080,$P2080,IF($Q2080&gt;0,$P2080+ROUND((INT($B2080)-$P2080)/$Q2080,0)*$Q2080,IF($R2080&gt;0,EDATE($P2080,ROUND((DATEDIF($P2080,INT($B2080),"m")+(INT($B2080)-EDATE($P2080,DATEDIF($P2080,INT($B2080),"m")))/(EDATE($P2080,DATEDIF($P2080,INT($B2080),"m")+1)-EDATE($P2080,DATEDIF($P2080,INT($B2080),"m"))))/$R2080,0)*$R2080),$P2080))))),"")))</f>
      </c>
      <c r="M2080" s="223">
        <f>IF(OR($C2080="",N($L2080)=0,N($B2080)=0),"",IF(IF(MOD($L2080,1)=0,INT($B2080),$B2080)&lt;=$L2080,"Đúng hạn","Trễ hạn"))</f>
      </c>
      <c r="N2080" s="225">
        <f>IF($C2080="","",ROW())</f>
      </c>
      <c r="O2080" s="225">
        <f>IF($I2080="Công việc",MATCH($C2080,'Kế hoạch'!$A$6:$A$305,0),"")</f>
      </c>
      <c r="P2080" s="234">
        <f>IF($O2080="","",INDEX('Kế hoạch'!$I$6:$I$305,$O2080))</f>
      </c>
      <c r="Q2080" s="225">
        <f>IF($O2080="","",INDEX('Kế hoạch'!$AJ$6:$AJ$305,$O2080))</f>
      </c>
      <c r="R2080" s="225">
        <f>IF($O2080="","",INDEX('Kế hoạch'!$AK$6:$AK$305,$O2080))</f>
      </c>
    </row>
    <row r="2081">
      <c r="A2081" s="223">
        <f>IF($C2081="","",COUNTIF($C$6:$C2081,"?*"))</f>
      </c>
      <c r="B2081" s="217"/>
      <c r="C2081" s="216"/>
      <c r="D2081" s="240"/>
      <c r="E2081" s="218"/>
      <c r="F2081" s="218"/>
      <c r="G2081" s="218"/>
      <c r="H2081" s="219"/>
      <c r="I2081" s="223">
        <f>IF($C2081="","",IF(ISNUMBER(MATCH($C2081,'Phản ánh'!$A$6:$A$505,0)),"Phản ánh",IF(ISNUMBER(MATCH($C2081,'Kế hoạch'!$A$6:$A$305,0)),"Công việc","Mã chưa có")))</f>
      </c>
      <c r="J2081" s="221">
        <f>IF($I2081="Phản ánh",INDEX('Phản ánh'!$C$6:$C$505,MATCH($C2081,'Phản ánh'!$A$6:$A$505,0)),IF($I2081="Công việc",INDEX('Kế hoạch'!$C$6:$C$305,$O2081),""))</f>
      </c>
      <c r="K2081" s="221">
        <f>IF($I2081="Phản ánh",INDEX('Phản ánh'!$K$6:$K$505,MATCH($C2081,'Phản ánh'!$A$6:$A$505,0))&amp;"",IF($I2081="Công việc",INDEX('Kế hoạch'!$N$6:$N$305,$O2081)&amp;"",""))</f>
      </c>
      <c r="L2081" s="220">
        <f>IF(OR($C2081="",N($B2081)=0),"",IF(AND($I2081="Phản ánh",$E2081="Đã xử lý"),INDEX('Phản ánh'!$U$6:$U$505,MATCH($C2081,'Phản ánh'!$A$6:$A$505,0)),IF(AND($I2081="Công việc",OR($E2081="Hoàn thành",$E2081="Hoàn thành kỳ")),IF(INDEX('Kế hoạch'!$B$6:$B$305,$O2081)="Đột xuất",INDEX('Kế hoạch'!$AY$6:$AY$305,$O2081),IF(N($P2081)=0,"",IF(INT($B2081)&lt;$P2081,$P2081,IF($Q2081&gt;0,$P2081+ROUND((INT($B2081)-$P2081)/$Q2081,0)*$Q2081,IF($R2081&gt;0,EDATE($P2081,ROUND((DATEDIF($P2081,INT($B2081),"m")+(INT($B2081)-EDATE($P2081,DATEDIF($P2081,INT($B2081),"m")))/(EDATE($P2081,DATEDIF($P2081,INT($B2081),"m")+1)-EDATE($P2081,DATEDIF($P2081,INT($B2081),"m"))))/$R2081,0)*$R2081),$P2081))))),"")))</f>
      </c>
      <c r="M2081" s="223">
        <f>IF(OR($C2081="",N($L2081)=0,N($B2081)=0),"",IF(IF(MOD($L2081,1)=0,INT($B2081),$B2081)&lt;=$L2081,"Đúng hạn","Trễ hạn"))</f>
      </c>
      <c r="N2081" s="225">
        <f>IF($C2081="","",ROW())</f>
      </c>
      <c r="O2081" s="225">
        <f>IF($I2081="Công việc",MATCH($C2081,'Kế hoạch'!$A$6:$A$305,0),"")</f>
      </c>
      <c r="P2081" s="234">
        <f>IF($O2081="","",INDEX('Kế hoạch'!$I$6:$I$305,$O2081))</f>
      </c>
      <c r="Q2081" s="225">
        <f>IF($O2081="","",INDEX('Kế hoạch'!$AJ$6:$AJ$305,$O2081))</f>
      </c>
      <c r="R2081" s="225">
        <f>IF($O2081="","",INDEX('Kế hoạch'!$AK$6:$AK$305,$O2081))</f>
      </c>
    </row>
    <row r="2082">
      <c r="A2082" s="223">
        <f>IF($C2082="","",COUNTIF($C$6:$C2082,"?*"))</f>
      </c>
      <c r="B2082" s="217"/>
      <c r="C2082" s="216"/>
      <c r="D2082" s="240"/>
      <c r="E2082" s="218"/>
      <c r="F2082" s="218"/>
      <c r="G2082" s="218"/>
      <c r="H2082" s="219"/>
      <c r="I2082" s="223">
        <f>IF($C2082="","",IF(ISNUMBER(MATCH($C2082,'Phản ánh'!$A$6:$A$505,0)),"Phản ánh",IF(ISNUMBER(MATCH($C2082,'Kế hoạch'!$A$6:$A$305,0)),"Công việc","Mã chưa có")))</f>
      </c>
      <c r="J2082" s="221">
        <f>IF($I2082="Phản ánh",INDEX('Phản ánh'!$C$6:$C$505,MATCH($C2082,'Phản ánh'!$A$6:$A$505,0)),IF($I2082="Công việc",INDEX('Kế hoạch'!$C$6:$C$305,$O2082),""))</f>
      </c>
      <c r="K2082" s="221">
        <f>IF($I2082="Phản ánh",INDEX('Phản ánh'!$K$6:$K$505,MATCH($C2082,'Phản ánh'!$A$6:$A$505,0))&amp;"",IF($I2082="Công việc",INDEX('Kế hoạch'!$N$6:$N$305,$O2082)&amp;"",""))</f>
      </c>
      <c r="L2082" s="220">
        <f>IF(OR($C2082="",N($B2082)=0),"",IF(AND($I2082="Phản ánh",$E2082="Đã xử lý"),INDEX('Phản ánh'!$U$6:$U$505,MATCH($C2082,'Phản ánh'!$A$6:$A$505,0)),IF(AND($I2082="Công việc",OR($E2082="Hoàn thành",$E2082="Hoàn thành kỳ")),IF(INDEX('Kế hoạch'!$B$6:$B$305,$O2082)="Đột xuất",INDEX('Kế hoạch'!$AY$6:$AY$305,$O2082),IF(N($P2082)=0,"",IF(INT($B2082)&lt;$P2082,$P2082,IF($Q2082&gt;0,$P2082+ROUND((INT($B2082)-$P2082)/$Q2082,0)*$Q2082,IF($R2082&gt;0,EDATE($P2082,ROUND((DATEDIF($P2082,INT($B2082),"m")+(INT($B2082)-EDATE($P2082,DATEDIF($P2082,INT($B2082),"m")))/(EDATE($P2082,DATEDIF($P2082,INT($B2082),"m")+1)-EDATE($P2082,DATEDIF($P2082,INT($B2082),"m"))))/$R2082,0)*$R2082),$P2082))))),"")))</f>
      </c>
      <c r="M2082" s="223">
        <f>IF(OR($C2082="",N($L2082)=0,N($B2082)=0),"",IF(IF(MOD($L2082,1)=0,INT($B2082),$B2082)&lt;=$L2082,"Đúng hạn","Trễ hạn"))</f>
      </c>
      <c r="N2082" s="225">
        <f>IF($C2082="","",ROW())</f>
      </c>
      <c r="O2082" s="225">
        <f>IF($I2082="Công việc",MATCH($C2082,'Kế hoạch'!$A$6:$A$305,0),"")</f>
      </c>
      <c r="P2082" s="234">
        <f>IF($O2082="","",INDEX('Kế hoạch'!$I$6:$I$305,$O2082))</f>
      </c>
      <c r="Q2082" s="225">
        <f>IF($O2082="","",INDEX('Kế hoạch'!$AJ$6:$AJ$305,$O2082))</f>
      </c>
      <c r="R2082" s="225">
        <f>IF($O2082="","",INDEX('Kế hoạch'!$AK$6:$AK$305,$O2082))</f>
      </c>
    </row>
    <row r="2083">
      <c r="A2083" s="223">
        <f>IF($C2083="","",COUNTIF($C$6:$C2083,"?*"))</f>
      </c>
      <c r="B2083" s="217"/>
      <c r="C2083" s="216"/>
      <c r="D2083" s="240"/>
      <c r="E2083" s="218"/>
      <c r="F2083" s="218"/>
      <c r="G2083" s="218"/>
      <c r="H2083" s="219"/>
      <c r="I2083" s="223">
        <f>IF($C2083="","",IF(ISNUMBER(MATCH($C2083,'Phản ánh'!$A$6:$A$505,0)),"Phản ánh",IF(ISNUMBER(MATCH($C2083,'Kế hoạch'!$A$6:$A$305,0)),"Công việc","Mã chưa có")))</f>
      </c>
      <c r="J2083" s="221">
        <f>IF($I2083="Phản ánh",INDEX('Phản ánh'!$C$6:$C$505,MATCH($C2083,'Phản ánh'!$A$6:$A$505,0)),IF($I2083="Công việc",INDEX('Kế hoạch'!$C$6:$C$305,$O2083),""))</f>
      </c>
      <c r="K2083" s="221">
        <f>IF($I2083="Phản ánh",INDEX('Phản ánh'!$K$6:$K$505,MATCH($C2083,'Phản ánh'!$A$6:$A$505,0))&amp;"",IF($I2083="Công việc",INDEX('Kế hoạch'!$N$6:$N$305,$O2083)&amp;"",""))</f>
      </c>
      <c r="L2083" s="220">
        <f>IF(OR($C2083="",N($B2083)=0),"",IF(AND($I2083="Phản ánh",$E2083="Đã xử lý"),INDEX('Phản ánh'!$U$6:$U$505,MATCH($C2083,'Phản ánh'!$A$6:$A$505,0)),IF(AND($I2083="Công việc",OR($E2083="Hoàn thành",$E2083="Hoàn thành kỳ")),IF(INDEX('Kế hoạch'!$B$6:$B$305,$O2083)="Đột xuất",INDEX('Kế hoạch'!$AY$6:$AY$305,$O2083),IF(N($P2083)=0,"",IF(INT($B2083)&lt;$P2083,$P2083,IF($Q2083&gt;0,$P2083+ROUND((INT($B2083)-$P2083)/$Q2083,0)*$Q2083,IF($R2083&gt;0,EDATE($P2083,ROUND((DATEDIF($P2083,INT($B2083),"m")+(INT($B2083)-EDATE($P2083,DATEDIF($P2083,INT($B2083),"m")))/(EDATE($P2083,DATEDIF($P2083,INT($B2083),"m")+1)-EDATE($P2083,DATEDIF($P2083,INT($B2083),"m"))))/$R2083,0)*$R2083),$P2083))))),"")))</f>
      </c>
      <c r="M2083" s="223">
        <f>IF(OR($C2083="",N($L2083)=0,N($B2083)=0),"",IF(IF(MOD($L2083,1)=0,INT($B2083),$B2083)&lt;=$L2083,"Đúng hạn","Trễ hạn"))</f>
      </c>
      <c r="N2083" s="225">
        <f>IF($C2083="","",ROW())</f>
      </c>
      <c r="O2083" s="225">
        <f>IF($I2083="Công việc",MATCH($C2083,'Kế hoạch'!$A$6:$A$305,0),"")</f>
      </c>
      <c r="P2083" s="234">
        <f>IF($O2083="","",INDEX('Kế hoạch'!$I$6:$I$305,$O2083))</f>
      </c>
      <c r="Q2083" s="225">
        <f>IF($O2083="","",INDEX('Kế hoạch'!$AJ$6:$AJ$305,$O2083))</f>
      </c>
      <c r="R2083" s="225">
        <f>IF($O2083="","",INDEX('Kế hoạch'!$AK$6:$AK$305,$O2083))</f>
      </c>
    </row>
    <row r="2084">
      <c r="A2084" s="223">
        <f>IF($C2084="","",COUNTIF($C$6:$C2084,"?*"))</f>
      </c>
      <c r="B2084" s="217"/>
      <c r="C2084" s="216"/>
      <c r="D2084" s="240"/>
      <c r="E2084" s="218"/>
      <c r="F2084" s="218"/>
      <c r="G2084" s="218"/>
      <c r="H2084" s="219"/>
      <c r="I2084" s="223">
        <f>IF($C2084="","",IF(ISNUMBER(MATCH($C2084,'Phản ánh'!$A$6:$A$505,0)),"Phản ánh",IF(ISNUMBER(MATCH($C2084,'Kế hoạch'!$A$6:$A$305,0)),"Công việc","Mã chưa có")))</f>
      </c>
      <c r="J2084" s="221">
        <f>IF($I2084="Phản ánh",INDEX('Phản ánh'!$C$6:$C$505,MATCH($C2084,'Phản ánh'!$A$6:$A$505,0)),IF($I2084="Công việc",INDEX('Kế hoạch'!$C$6:$C$305,$O2084),""))</f>
      </c>
      <c r="K2084" s="221">
        <f>IF($I2084="Phản ánh",INDEX('Phản ánh'!$K$6:$K$505,MATCH($C2084,'Phản ánh'!$A$6:$A$505,0))&amp;"",IF($I2084="Công việc",INDEX('Kế hoạch'!$N$6:$N$305,$O2084)&amp;"",""))</f>
      </c>
      <c r="L2084" s="220">
        <f>IF(OR($C2084="",N($B2084)=0),"",IF(AND($I2084="Phản ánh",$E2084="Đã xử lý"),INDEX('Phản ánh'!$U$6:$U$505,MATCH($C2084,'Phản ánh'!$A$6:$A$505,0)),IF(AND($I2084="Công việc",OR($E2084="Hoàn thành",$E2084="Hoàn thành kỳ")),IF(INDEX('Kế hoạch'!$B$6:$B$305,$O2084)="Đột xuất",INDEX('Kế hoạch'!$AY$6:$AY$305,$O2084),IF(N($P2084)=0,"",IF(INT($B2084)&lt;$P2084,$P2084,IF($Q2084&gt;0,$P2084+ROUND((INT($B2084)-$P2084)/$Q2084,0)*$Q2084,IF($R2084&gt;0,EDATE($P2084,ROUND((DATEDIF($P2084,INT($B2084),"m")+(INT($B2084)-EDATE($P2084,DATEDIF($P2084,INT($B2084),"m")))/(EDATE($P2084,DATEDIF($P2084,INT($B2084),"m")+1)-EDATE($P2084,DATEDIF($P2084,INT($B2084),"m"))))/$R2084,0)*$R2084),$P2084))))),"")))</f>
      </c>
      <c r="M2084" s="223">
        <f>IF(OR($C2084="",N($L2084)=0,N($B2084)=0),"",IF(IF(MOD($L2084,1)=0,INT($B2084),$B2084)&lt;=$L2084,"Đúng hạn","Trễ hạn"))</f>
      </c>
      <c r="N2084" s="225">
        <f>IF($C2084="","",ROW())</f>
      </c>
      <c r="O2084" s="225">
        <f>IF($I2084="Công việc",MATCH($C2084,'Kế hoạch'!$A$6:$A$305,0),"")</f>
      </c>
      <c r="P2084" s="234">
        <f>IF($O2084="","",INDEX('Kế hoạch'!$I$6:$I$305,$O2084))</f>
      </c>
      <c r="Q2084" s="225">
        <f>IF($O2084="","",INDEX('Kế hoạch'!$AJ$6:$AJ$305,$O2084))</f>
      </c>
      <c r="R2084" s="225">
        <f>IF($O2084="","",INDEX('Kế hoạch'!$AK$6:$AK$305,$O2084))</f>
      </c>
    </row>
    <row r="2085">
      <c r="A2085" s="223">
        <f>IF($C2085="","",COUNTIF($C$6:$C2085,"?*"))</f>
      </c>
      <c r="B2085" s="217"/>
      <c r="C2085" s="216"/>
      <c r="D2085" s="240"/>
      <c r="E2085" s="218"/>
      <c r="F2085" s="218"/>
      <c r="G2085" s="218"/>
      <c r="H2085" s="219"/>
      <c r="I2085" s="223">
        <f>IF($C2085="","",IF(ISNUMBER(MATCH($C2085,'Phản ánh'!$A$6:$A$505,0)),"Phản ánh",IF(ISNUMBER(MATCH($C2085,'Kế hoạch'!$A$6:$A$305,0)),"Công việc","Mã chưa có")))</f>
      </c>
      <c r="J2085" s="221">
        <f>IF($I2085="Phản ánh",INDEX('Phản ánh'!$C$6:$C$505,MATCH($C2085,'Phản ánh'!$A$6:$A$505,0)),IF($I2085="Công việc",INDEX('Kế hoạch'!$C$6:$C$305,$O2085),""))</f>
      </c>
      <c r="K2085" s="221">
        <f>IF($I2085="Phản ánh",INDEX('Phản ánh'!$K$6:$K$505,MATCH($C2085,'Phản ánh'!$A$6:$A$505,0))&amp;"",IF($I2085="Công việc",INDEX('Kế hoạch'!$N$6:$N$305,$O2085)&amp;"",""))</f>
      </c>
      <c r="L2085" s="220">
        <f>IF(OR($C2085="",N($B2085)=0),"",IF(AND($I2085="Phản ánh",$E2085="Đã xử lý"),INDEX('Phản ánh'!$U$6:$U$505,MATCH($C2085,'Phản ánh'!$A$6:$A$505,0)),IF(AND($I2085="Công việc",OR($E2085="Hoàn thành",$E2085="Hoàn thành kỳ")),IF(INDEX('Kế hoạch'!$B$6:$B$305,$O2085)="Đột xuất",INDEX('Kế hoạch'!$AY$6:$AY$305,$O2085),IF(N($P2085)=0,"",IF(INT($B2085)&lt;$P2085,$P2085,IF($Q2085&gt;0,$P2085+ROUND((INT($B2085)-$P2085)/$Q2085,0)*$Q2085,IF($R2085&gt;0,EDATE($P2085,ROUND((DATEDIF($P2085,INT($B2085),"m")+(INT($B2085)-EDATE($P2085,DATEDIF($P2085,INT($B2085),"m")))/(EDATE($P2085,DATEDIF($P2085,INT($B2085),"m")+1)-EDATE($P2085,DATEDIF($P2085,INT($B2085),"m"))))/$R2085,0)*$R2085),$P2085))))),"")))</f>
      </c>
      <c r="M2085" s="223">
        <f>IF(OR($C2085="",N($L2085)=0,N($B2085)=0),"",IF(IF(MOD($L2085,1)=0,INT($B2085),$B2085)&lt;=$L2085,"Đúng hạn","Trễ hạn"))</f>
      </c>
      <c r="N2085" s="225">
        <f>IF($C2085="","",ROW())</f>
      </c>
      <c r="O2085" s="225">
        <f>IF($I2085="Công việc",MATCH($C2085,'Kế hoạch'!$A$6:$A$305,0),"")</f>
      </c>
      <c r="P2085" s="234">
        <f>IF($O2085="","",INDEX('Kế hoạch'!$I$6:$I$305,$O2085))</f>
      </c>
      <c r="Q2085" s="225">
        <f>IF($O2085="","",INDEX('Kế hoạch'!$AJ$6:$AJ$305,$O2085))</f>
      </c>
      <c r="R2085" s="225">
        <f>IF($O2085="","",INDEX('Kế hoạch'!$AK$6:$AK$305,$O2085))</f>
      </c>
    </row>
    <row r="2086">
      <c r="A2086" s="223">
        <f>IF($C2086="","",COUNTIF($C$6:$C2086,"?*"))</f>
      </c>
      <c r="B2086" s="217"/>
      <c r="C2086" s="216"/>
      <c r="D2086" s="240"/>
      <c r="E2086" s="218"/>
      <c r="F2086" s="218"/>
      <c r="G2086" s="218"/>
      <c r="H2086" s="219"/>
      <c r="I2086" s="223">
        <f>IF($C2086="","",IF(ISNUMBER(MATCH($C2086,'Phản ánh'!$A$6:$A$505,0)),"Phản ánh",IF(ISNUMBER(MATCH($C2086,'Kế hoạch'!$A$6:$A$305,0)),"Công việc","Mã chưa có")))</f>
      </c>
      <c r="J2086" s="221">
        <f>IF($I2086="Phản ánh",INDEX('Phản ánh'!$C$6:$C$505,MATCH($C2086,'Phản ánh'!$A$6:$A$505,0)),IF($I2086="Công việc",INDEX('Kế hoạch'!$C$6:$C$305,$O2086),""))</f>
      </c>
      <c r="K2086" s="221">
        <f>IF($I2086="Phản ánh",INDEX('Phản ánh'!$K$6:$K$505,MATCH($C2086,'Phản ánh'!$A$6:$A$505,0))&amp;"",IF($I2086="Công việc",INDEX('Kế hoạch'!$N$6:$N$305,$O2086)&amp;"",""))</f>
      </c>
      <c r="L2086" s="220">
        <f>IF(OR($C2086="",N($B2086)=0),"",IF(AND($I2086="Phản ánh",$E2086="Đã xử lý"),INDEX('Phản ánh'!$U$6:$U$505,MATCH($C2086,'Phản ánh'!$A$6:$A$505,0)),IF(AND($I2086="Công việc",OR($E2086="Hoàn thành",$E2086="Hoàn thành kỳ")),IF(INDEX('Kế hoạch'!$B$6:$B$305,$O2086)="Đột xuất",INDEX('Kế hoạch'!$AY$6:$AY$305,$O2086),IF(N($P2086)=0,"",IF(INT($B2086)&lt;$P2086,$P2086,IF($Q2086&gt;0,$P2086+ROUND((INT($B2086)-$P2086)/$Q2086,0)*$Q2086,IF($R2086&gt;0,EDATE($P2086,ROUND((DATEDIF($P2086,INT($B2086),"m")+(INT($B2086)-EDATE($P2086,DATEDIF($P2086,INT($B2086),"m")))/(EDATE($P2086,DATEDIF($P2086,INT($B2086),"m")+1)-EDATE($P2086,DATEDIF($P2086,INT($B2086),"m"))))/$R2086,0)*$R2086),$P2086))))),"")))</f>
      </c>
      <c r="M2086" s="223">
        <f>IF(OR($C2086="",N($L2086)=0,N($B2086)=0),"",IF(IF(MOD($L2086,1)=0,INT($B2086),$B2086)&lt;=$L2086,"Đúng hạn","Trễ hạn"))</f>
      </c>
      <c r="N2086" s="225">
        <f>IF($C2086="","",ROW())</f>
      </c>
      <c r="O2086" s="225">
        <f>IF($I2086="Công việc",MATCH($C2086,'Kế hoạch'!$A$6:$A$305,0),"")</f>
      </c>
      <c r="P2086" s="234">
        <f>IF($O2086="","",INDEX('Kế hoạch'!$I$6:$I$305,$O2086))</f>
      </c>
      <c r="Q2086" s="225">
        <f>IF($O2086="","",INDEX('Kế hoạch'!$AJ$6:$AJ$305,$O2086))</f>
      </c>
      <c r="R2086" s="225">
        <f>IF($O2086="","",INDEX('Kế hoạch'!$AK$6:$AK$305,$O2086))</f>
      </c>
    </row>
    <row r="2087">
      <c r="A2087" s="223">
        <f>IF($C2087="","",COUNTIF($C$6:$C2087,"?*"))</f>
      </c>
      <c r="B2087" s="217"/>
      <c r="C2087" s="216"/>
      <c r="D2087" s="240"/>
      <c r="E2087" s="218"/>
      <c r="F2087" s="218"/>
      <c r="G2087" s="218"/>
      <c r="H2087" s="219"/>
      <c r="I2087" s="223">
        <f>IF($C2087="","",IF(ISNUMBER(MATCH($C2087,'Phản ánh'!$A$6:$A$505,0)),"Phản ánh",IF(ISNUMBER(MATCH($C2087,'Kế hoạch'!$A$6:$A$305,0)),"Công việc","Mã chưa có")))</f>
      </c>
      <c r="J2087" s="221">
        <f>IF($I2087="Phản ánh",INDEX('Phản ánh'!$C$6:$C$505,MATCH($C2087,'Phản ánh'!$A$6:$A$505,0)),IF($I2087="Công việc",INDEX('Kế hoạch'!$C$6:$C$305,$O2087),""))</f>
      </c>
      <c r="K2087" s="221">
        <f>IF($I2087="Phản ánh",INDEX('Phản ánh'!$K$6:$K$505,MATCH($C2087,'Phản ánh'!$A$6:$A$505,0))&amp;"",IF($I2087="Công việc",INDEX('Kế hoạch'!$N$6:$N$305,$O2087)&amp;"",""))</f>
      </c>
      <c r="L2087" s="220">
        <f>IF(OR($C2087="",N($B2087)=0),"",IF(AND($I2087="Phản ánh",$E2087="Đã xử lý"),INDEX('Phản ánh'!$U$6:$U$505,MATCH($C2087,'Phản ánh'!$A$6:$A$505,0)),IF(AND($I2087="Công việc",OR($E2087="Hoàn thành",$E2087="Hoàn thành kỳ")),IF(INDEX('Kế hoạch'!$B$6:$B$305,$O2087)="Đột xuất",INDEX('Kế hoạch'!$AY$6:$AY$305,$O2087),IF(N($P2087)=0,"",IF(INT($B2087)&lt;$P2087,$P2087,IF($Q2087&gt;0,$P2087+ROUND((INT($B2087)-$P2087)/$Q2087,0)*$Q2087,IF($R2087&gt;0,EDATE($P2087,ROUND((DATEDIF($P2087,INT($B2087),"m")+(INT($B2087)-EDATE($P2087,DATEDIF($P2087,INT($B2087),"m")))/(EDATE($P2087,DATEDIF($P2087,INT($B2087),"m")+1)-EDATE($P2087,DATEDIF($P2087,INT($B2087),"m"))))/$R2087,0)*$R2087),$P2087))))),"")))</f>
      </c>
      <c r="M2087" s="223">
        <f>IF(OR($C2087="",N($L2087)=0,N($B2087)=0),"",IF(IF(MOD($L2087,1)=0,INT($B2087),$B2087)&lt;=$L2087,"Đúng hạn","Trễ hạn"))</f>
      </c>
      <c r="N2087" s="225">
        <f>IF($C2087="","",ROW())</f>
      </c>
      <c r="O2087" s="225">
        <f>IF($I2087="Công việc",MATCH($C2087,'Kế hoạch'!$A$6:$A$305,0),"")</f>
      </c>
      <c r="P2087" s="234">
        <f>IF($O2087="","",INDEX('Kế hoạch'!$I$6:$I$305,$O2087))</f>
      </c>
      <c r="Q2087" s="225">
        <f>IF($O2087="","",INDEX('Kế hoạch'!$AJ$6:$AJ$305,$O2087))</f>
      </c>
      <c r="R2087" s="225">
        <f>IF($O2087="","",INDEX('Kế hoạch'!$AK$6:$AK$305,$O2087))</f>
      </c>
    </row>
    <row r="2088">
      <c r="A2088" s="223">
        <f>IF($C2088="","",COUNTIF($C$6:$C2088,"?*"))</f>
      </c>
      <c r="B2088" s="217"/>
      <c r="C2088" s="216"/>
      <c r="D2088" s="240"/>
      <c r="E2088" s="218"/>
      <c r="F2088" s="218"/>
      <c r="G2088" s="218"/>
      <c r="H2088" s="219"/>
      <c r="I2088" s="223">
        <f>IF($C2088="","",IF(ISNUMBER(MATCH($C2088,'Phản ánh'!$A$6:$A$505,0)),"Phản ánh",IF(ISNUMBER(MATCH($C2088,'Kế hoạch'!$A$6:$A$305,0)),"Công việc","Mã chưa có")))</f>
      </c>
      <c r="J2088" s="221">
        <f>IF($I2088="Phản ánh",INDEX('Phản ánh'!$C$6:$C$505,MATCH($C2088,'Phản ánh'!$A$6:$A$505,0)),IF($I2088="Công việc",INDEX('Kế hoạch'!$C$6:$C$305,$O2088),""))</f>
      </c>
      <c r="K2088" s="221">
        <f>IF($I2088="Phản ánh",INDEX('Phản ánh'!$K$6:$K$505,MATCH($C2088,'Phản ánh'!$A$6:$A$505,0))&amp;"",IF($I2088="Công việc",INDEX('Kế hoạch'!$N$6:$N$305,$O2088)&amp;"",""))</f>
      </c>
      <c r="L2088" s="220">
        <f>IF(OR($C2088="",N($B2088)=0),"",IF(AND($I2088="Phản ánh",$E2088="Đã xử lý"),INDEX('Phản ánh'!$U$6:$U$505,MATCH($C2088,'Phản ánh'!$A$6:$A$505,0)),IF(AND($I2088="Công việc",OR($E2088="Hoàn thành",$E2088="Hoàn thành kỳ")),IF(INDEX('Kế hoạch'!$B$6:$B$305,$O2088)="Đột xuất",INDEX('Kế hoạch'!$AY$6:$AY$305,$O2088),IF(N($P2088)=0,"",IF(INT($B2088)&lt;$P2088,$P2088,IF($Q2088&gt;0,$P2088+ROUND((INT($B2088)-$P2088)/$Q2088,0)*$Q2088,IF($R2088&gt;0,EDATE($P2088,ROUND((DATEDIF($P2088,INT($B2088),"m")+(INT($B2088)-EDATE($P2088,DATEDIF($P2088,INT($B2088),"m")))/(EDATE($P2088,DATEDIF($P2088,INT($B2088),"m")+1)-EDATE($P2088,DATEDIF($P2088,INT($B2088),"m"))))/$R2088,0)*$R2088),$P2088))))),"")))</f>
      </c>
      <c r="M2088" s="223">
        <f>IF(OR($C2088="",N($L2088)=0,N($B2088)=0),"",IF(IF(MOD($L2088,1)=0,INT($B2088),$B2088)&lt;=$L2088,"Đúng hạn","Trễ hạn"))</f>
      </c>
      <c r="N2088" s="225">
        <f>IF($C2088="","",ROW())</f>
      </c>
      <c r="O2088" s="225">
        <f>IF($I2088="Công việc",MATCH($C2088,'Kế hoạch'!$A$6:$A$305,0),"")</f>
      </c>
      <c r="P2088" s="234">
        <f>IF($O2088="","",INDEX('Kế hoạch'!$I$6:$I$305,$O2088))</f>
      </c>
      <c r="Q2088" s="225">
        <f>IF($O2088="","",INDEX('Kế hoạch'!$AJ$6:$AJ$305,$O2088))</f>
      </c>
      <c r="R2088" s="225">
        <f>IF($O2088="","",INDEX('Kế hoạch'!$AK$6:$AK$305,$O2088))</f>
      </c>
    </row>
    <row r="2089">
      <c r="A2089" s="223">
        <f>IF($C2089="","",COUNTIF($C$6:$C2089,"?*"))</f>
      </c>
      <c r="B2089" s="217"/>
      <c r="C2089" s="216"/>
      <c r="D2089" s="240"/>
      <c r="E2089" s="218"/>
      <c r="F2089" s="218"/>
      <c r="G2089" s="218"/>
      <c r="H2089" s="219"/>
      <c r="I2089" s="223">
        <f>IF($C2089="","",IF(ISNUMBER(MATCH($C2089,'Phản ánh'!$A$6:$A$505,0)),"Phản ánh",IF(ISNUMBER(MATCH($C2089,'Kế hoạch'!$A$6:$A$305,0)),"Công việc","Mã chưa có")))</f>
      </c>
      <c r="J2089" s="221">
        <f>IF($I2089="Phản ánh",INDEX('Phản ánh'!$C$6:$C$505,MATCH($C2089,'Phản ánh'!$A$6:$A$505,0)),IF($I2089="Công việc",INDEX('Kế hoạch'!$C$6:$C$305,$O2089),""))</f>
      </c>
      <c r="K2089" s="221">
        <f>IF($I2089="Phản ánh",INDEX('Phản ánh'!$K$6:$K$505,MATCH($C2089,'Phản ánh'!$A$6:$A$505,0))&amp;"",IF($I2089="Công việc",INDEX('Kế hoạch'!$N$6:$N$305,$O2089)&amp;"",""))</f>
      </c>
      <c r="L2089" s="220">
        <f>IF(OR($C2089="",N($B2089)=0),"",IF(AND($I2089="Phản ánh",$E2089="Đã xử lý"),INDEX('Phản ánh'!$U$6:$U$505,MATCH($C2089,'Phản ánh'!$A$6:$A$505,0)),IF(AND($I2089="Công việc",OR($E2089="Hoàn thành",$E2089="Hoàn thành kỳ")),IF(INDEX('Kế hoạch'!$B$6:$B$305,$O2089)="Đột xuất",INDEX('Kế hoạch'!$AY$6:$AY$305,$O2089),IF(N($P2089)=0,"",IF(INT($B2089)&lt;$P2089,$P2089,IF($Q2089&gt;0,$P2089+ROUND((INT($B2089)-$P2089)/$Q2089,0)*$Q2089,IF($R2089&gt;0,EDATE($P2089,ROUND((DATEDIF($P2089,INT($B2089),"m")+(INT($B2089)-EDATE($P2089,DATEDIF($P2089,INT($B2089),"m")))/(EDATE($P2089,DATEDIF($P2089,INT($B2089),"m")+1)-EDATE($P2089,DATEDIF($P2089,INT($B2089),"m"))))/$R2089,0)*$R2089),$P2089))))),"")))</f>
      </c>
      <c r="M2089" s="223">
        <f>IF(OR($C2089="",N($L2089)=0,N($B2089)=0),"",IF(IF(MOD($L2089,1)=0,INT($B2089),$B2089)&lt;=$L2089,"Đúng hạn","Trễ hạn"))</f>
      </c>
      <c r="N2089" s="225">
        <f>IF($C2089="","",ROW())</f>
      </c>
      <c r="O2089" s="225">
        <f>IF($I2089="Công việc",MATCH($C2089,'Kế hoạch'!$A$6:$A$305,0),"")</f>
      </c>
      <c r="P2089" s="234">
        <f>IF($O2089="","",INDEX('Kế hoạch'!$I$6:$I$305,$O2089))</f>
      </c>
      <c r="Q2089" s="225">
        <f>IF($O2089="","",INDEX('Kế hoạch'!$AJ$6:$AJ$305,$O2089))</f>
      </c>
      <c r="R2089" s="225">
        <f>IF($O2089="","",INDEX('Kế hoạch'!$AK$6:$AK$305,$O2089))</f>
      </c>
    </row>
    <row r="2090">
      <c r="A2090" s="223">
        <f>IF($C2090="","",COUNTIF($C$6:$C2090,"?*"))</f>
      </c>
      <c r="B2090" s="217"/>
      <c r="C2090" s="216"/>
      <c r="D2090" s="240"/>
      <c r="E2090" s="218"/>
      <c r="F2090" s="218"/>
      <c r="G2090" s="218"/>
      <c r="H2090" s="219"/>
      <c r="I2090" s="223">
        <f>IF($C2090="","",IF(ISNUMBER(MATCH($C2090,'Phản ánh'!$A$6:$A$505,0)),"Phản ánh",IF(ISNUMBER(MATCH($C2090,'Kế hoạch'!$A$6:$A$305,0)),"Công việc","Mã chưa có")))</f>
      </c>
      <c r="J2090" s="221">
        <f>IF($I2090="Phản ánh",INDEX('Phản ánh'!$C$6:$C$505,MATCH($C2090,'Phản ánh'!$A$6:$A$505,0)),IF($I2090="Công việc",INDEX('Kế hoạch'!$C$6:$C$305,$O2090),""))</f>
      </c>
      <c r="K2090" s="221">
        <f>IF($I2090="Phản ánh",INDEX('Phản ánh'!$K$6:$K$505,MATCH($C2090,'Phản ánh'!$A$6:$A$505,0))&amp;"",IF($I2090="Công việc",INDEX('Kế hoạch'!$N$6:$N$305,$O2090)&amp;"",""))</f>
      </c>
      <c r="L2090" s="220">
        <f>IF(OR($C2090="",N($B2090)=0),"",IF(AND($I2090="Phản ánh",$E2090="Đã xử lý"),INDEX('Phản ánh'!$U$6:$U$505,MATCH($C2090,'Phản ánh'!$A$6:$A$505,0)),IF(AND($I2090="Công việc",OR($E2090="Hoàn thành",$E2090="Hoàn thành kỳ")),IF(INDEX('Kế hoạch'!$B$6:$B$305,$O2090)="Đột xuất",INDEX('Kế hoạch'!$AY$6:$AY$305,$O2090),IF(N($P2090)=0,"",IF(INT($B2090)&lt;$P2090,$P2090,IF($Q2090&gt;0,$P2090+ROUND((INT($B2090)-$P2090)/$Q2090,0)*$Q2090,IF($R2090&gt;0,EDATE($P2090,ROUND((DATEDIF($P2090,INT($B2090),"m")+(INT($B2090)-EDATE($P2090,DATEDIF($P2090,INT($B2090),"m")))/(EDATE($P2090,DATEDIF($P2090,INT($B2090),"m")+1)-EDATE($P2090,DATEDIF($P2090,INT($B2090),"m"))))/$R2090,0)*$R2090),$P2090))))),"")))</f>
      </c>
      <c r="M2090" s="223">
        <f>IF(OR($C2090="",N($L2090)=0,N($B2090)=0),"",IF(IF(MOD($L2090,1)=0,INT($B2090),$B2090)&lt;=$L2090,"Đúng hạn","Trễ hạn"))</f>
      </c>
      <c r="N2090" s="225">
        <f>IF($C2090="","",ROW())</f>
      </c>
      <c r="O2090" s="225">
        <f>IF($I2090="Công việc",MATCH($C2090,'Kế hoạch'!$A$6:$A$305,0),"")</f>
      </c>
      <c r="P2090" s="234">
        <f>IF($O2090="","",INDEX('Kế hoạch'!$I$6:$I$305,$O2090))</f>
      </c>
      <c r="Q2090" s="225">
        <f>IF($O2090="","",INDEX('Kế hoạch'!$AJ$6:$AJ$305,$O2090))</f>
      </c>
      <c r="R2090" s="225">
        <f>IF($O2090="","",INDEX('Kế hoạch'!$AK$6:$AK$305,$O2090))</f>
      </c>
    </row>
    <row r="2091">
      <c r="A2091" s="223">
        <f>IF($C2091="","",COUNTIF($C$6:$C2091,"?*"))</f>
      </c>
      <c r="B2091" s="217"/>
      <c r="C2091" s="216"/>
      <c r="D2091" s="240"/>
      <c r="E2091" s="218"/>
      <c r="F2091" s="218"/>
      <c r="G2091" s="218"/>
      <c r="H2091" s="219"/>
      <c r="I2091" s="223">
        <f>IF($C2091="","",IF(ISNUMBER(MATCH($C2091,'Phản ánh'!$A$6:$A$505,0)),"Phản ánh",IF(ISNUMBER(MATCH($C2091,'Kế hoạch'!$A$6:$A$305,0)),"Công việc","Mã chưa có")))</f>
      </c>
      <c r="J2091" s="221">
        <f>IF($I2091="Phản ánh",INDEX('Phản ánh'!$C$6:$C$505,MATCH($C2091,'Phản ánh'!$A$6:$A$505,0)),IF($I2091="Công việc",INDEX('Kế hoạch'!$C$6:$C$305,$O2091),""))</f>
      </c>
      <c r="K2091" s="221">
        <f>IF($I2091="Phản ánh",INDEX('Phản ánh'!$K$6:$K$505,MATCH($C2091,'Phản ánh'!$A$6:$A$505,0))&amp;"",IF($I2091="Công việc",INDEX('Kế hoạch'!$N$6:$N$305,$O2091)&amp;"",""))</f>
      </c>
      <c r="L2091" s="220">
        <f>IF(OR($C2091="",N($B2091)=0),"",IF(AND($I2091="Phản ánh",$E2091="Đã xử lý"),INDEX('Phản ánh'!$U$6:$U$505,MATCH($C2091,'Phản ánh'!$A$6:$A$505,0)),IF(AND($I2091="Công việc",OR($E2091="Hoàn thành",$E2091="Hoàn thành kỳ")),IF(INDEX('Kế hoạch'!$B$6:$B$305,$O2091)="Đột xuất",INDEX('Kế hoạch'!$AY$6:$AY$305,$O2091),IF(N($P2091)=0,"",IF(INT($B2091)&lt;$P2091,$P2091,IF($Q2091&gt;0,$P2091+ROUND((INT($B2091)-$P2091)/$Q2091,0)*$Q2091,IF($R2091&gt;0,EDATE($P2091,ROUND((DATEDIF($P2091,INT($B2091),"m")+(INT($B2091)-EDATE($P2091,DATEDIF($P2091,INT($B2091),"m")))/(EDATE($P2091,DATEDIF($P2091,INT($B2091),"m")+1)-EDATE($P2091,DATEDIF($P2091,INT($B2091),"m"))))/$R2091,0)*$R2091),$P2091))))),"")))</f>
      </c>
      <c r="M2091" s="223">
        <f>IF(OR($C2091="",N($L2091)=0,N($B2091)=0),"",IF(IF(MOD($L2091,1)=0,INT($B2091),$B2091)&lt;=$L2091,"Đúng hạn","Trễ hạn"))</f>
      </c>
      <c r="N2091" s="225">
        <f>IF($C2091="","",ROW())</f>
      </c>
      <c r="O2091" s="225">
        <f>IF($I2091="Công việc",MATCH($C2091,'Kế hoạch'!$A$6:$A$305,0),"")</f>
      </c>
      <c r="P2091" s="234">
        <f>IF($O2091="","",INDEX('Kế hoạch'!$I$6:$I$305,$O2091))</f>
      </c>
      <c r="Q2091" s="225">
        <f>IF($O2091="","",INDEX('Kế hoạch'!$AJ$6:$AJ$305,$O2091))</f>
      </c>
      <c r="R2091" s="225">
        <f>IF($O2091="","",INDEX('Kế hoạch'!$AK$6:$AK$305,$O2091))</f>
      </c>
    </row>
    <row r="2092">
      <c r="A2092" s="223">
        <f>IF($C2092="","",COUNTIF($C$6:$C2092,"?*"))</f>
      </c>
      <c r="B2092" s="217"/>
      <c r="C2092" s="216"/>
      <c r="D2092" s="240"/>
      <c r="E2092" s="218"/>
      <c r="F2092" s="218"/>
      <c r="G2092" s="218"/>
      <c r="H2092" s="219"/>
      <c r="I2092" s="223">
        <f>IF($C2092="","",IF(ISNUMBER(MATCH($C2092,'Phản ánh'!$A$6:$A$505,0)),"Phản ánh",IF(ISNUMBER(MATCH($C2092,'Kế hoạch'!$A$6:$A$305,0)),"Công việc","Mã chưa có")))</f>
      </c>
      <c r="J2092" s="221">
        <f>IF($I2092="Phản ánh",INDEX('Phản ánh'!$C$6:$C$505,MATCH($C2092,'Phản ánh'!$A$6:$A$505,0)),IF($I2092="Công việc",INDEX('Kế hoạch'!$C$6:$C$305,$O2092),""))</f>
      </c>
      <c r="K2092" s="221">
        <f>IF($I2092="Phản ánh",INDEX('Phản ánh'!$K$6:$K$505,MATCH($C2092,'Phản ánh'!$A$6:$A$505,0))&amp;"",IF($I2092="Công việc",INDEX('Kế hoạch'!$N$6:$N$305,$O2092)&amp;"",""))</f>
      </c>
      <c r="L2092" s="220">
        <f>IF(OR($C2092="",N($B2092)=0),"",IF(AND($I2092="Phản ánh",$E2092="Đã xử lý"),INDEX('Phản ánh'!$U$6:$U$505,MATCH($C2092,'Phản ánh'!$A$6:$A$505,0)),IF(AND($I2092="Công việc",OR($E2092="Hoàn thành",$E2092="Hoàn thành kỳ")),IF(INDEX('Kế hoạch'!$B$6:$B$305,$O2092)="Đột xuất",INDEX('Kế hoạch'!$AY$6:$AY$305,$O2092),IF(N($P2092)=0,"",IF(INT($B2092)&lt;$P2092,$P2092,IF($Q2092&gt;0,$P2092+ROUND((INT($B2092)-$P2092)/$Q2092,0)*$Q2092,IF($R2092&gt;0,EDATE($P2092,ROUND((DATEDIF($P2092,INT($B2092),"m")+(INT($B2092)-EDATE($P2092,DATEDIF($P2092,INT($B2092),"m")))/(EDATE($P2092,DATEDIF($P2092,INT($B2092),"m")+1)-EDATE($P2092,DATEDIF($P2092,INT($B2092),"m"))))/$R2092,0)*$R2092),$P2092))))),"")))</f>
      </c>
      <c r="M2092" s="223">
        <f>IF(OR($C2092="",N($L2092)=0,N($B2092)=0),"",IF(IF(MOD($L2092,1)=0,INT($B2092),$B2092)&lt;=$L2092,"Đúng hạn","Trễ hạn"))</f>
      </c>
      <c r="N2092" s="225">
        <f>IF($C2092="","",ROW())</f>
      </c>
      <c r="O2092" s="225">
        <f>IF($I2092="Công việc",MATCH($C2092,'Kế hoạch'!$A$6:$A$305,0),"")</f>
      </c>
      <c r="P2092" s="234">
        <f>IF($O2092="","",INDEX('Kế hoạch'!$I$6:$I$305,$O2092))</f>
      </c>
      <c r="Q2092" s="225">
        <f>IF($O2092="","",INDEX('Kế hoạch'!$AJ$6:$AJ$305,$O2092))</f>
      </c>
      <c r="R2092" s="225">
        <f>IF($O2092="","",INDEX('Kế hoạch'!$AK$6:$AK$305,$O2092))</f>
      </c>
    </row>
    <row r="2093">
      <c r="A2093" s="223">
        <f>IF($C2093="","",COUNTIF($C$6:$C2093,"?*"))</f>
      </c>
      <c r="B2093" s="217"/>
      <c r="C2093" s="216"/>
      <c r="D2093" s="240"/>
      <c r="E2093" s="218"/>
      <c r="F2093" s="218"/>
      <c r="G2093" s="218"/>
      <c r="H2093" s="219"/>
      <c r="I2093" s="223">
        <f>IF($C2093="","",IF(ISNUMBER(MATCH($C2093,'Phản ánh'!$A$6:$A$505,0)),"Phản ánh",IF(ISNUMBER(MATCH($C2093,'Kế hoạch'!$A$6:$A$305,0)),"Công việc","Mã chưa có")))</f>
      </c>
      <c r="J2093" s="221">
        <f>IF($I2093="Phản ánh",INDEX('Phản ánh'!$C$6:$C$505,MATCH($C2093,'Phản ánh'!$A$6:$A$505,0)),IF($I2093="Công việc",INDEX('Kế hoạch'!$C$6:$C$305,$O2093),""))</f>
      </c>
      <c r="K2093" s="221">
        <f>IF($I2093="Phản ánh",INDEX('Phản ánh'!$K$6:$K$505,MATCH($C2093,'Phản ánh'!$A$6:$A$505,0))&amp;"",IF($I2093="Công việc",INDEX('Kế hoạch'!$N$6:$N$305,$O2093)&amp;"",""))</f>
      </c>
      <c r="L2093" s="220">
        <f>IF(OR($C2093="",N($B2093)=0),"",IF(AND($I2093="Phản ánh",$E2093="Đã xử lý"),INDEX('Phản ánh'!$U$6:$U$505,MATCH($C2093,'Phản ánh'!$A$6:$A$505,0)),IF(AND($I2093="Công việc",OR($E2093="Hoàn thành",$E2093="Hoàn thành kỳ")),IF(INDEX('Kế hoạch'!$B$6:$B$305,$O2093)="Đột xuất",INDEX('Kế hoạch'!$AY$6:$AY$305,$O2093),IF(N($P2093)=0,"",IF(INT($B2093)&lt;$P2093,$P2093,IF($Q2093&gt;0,$P2093+ROUND((INT($B2093)-$P2093)/$Q2093,0)*$Q2093,IF($R2093&gt;0,EDATE($P2093,ROUND((DATEDIF($P2093,INT($B2093),"m")+(INT($B2093)-EDATE($P2093,DATEDIF($P2093,INT($B2093),"m")))/(EDATE($P2093,DATEDIF($P2093,INT($B2093),"m")+1)-EDATE($P2093,DATEDIF($P2093,INT($B2093),"m"))))/$R2093,0)*$R2093),$P2093))))),"")))</f>
      </c>
      <c r="M2093" s="223">
        <f>IF(OR($C2093="",N($L2093)=0,N($B2093)=0),"",IF(IF(MOD($L2093,1)=0,INT($B2093),$B2093)&lt;=$L2093,"Đúng hạn","Trễ hạn"))</f>
      </c>
      <c r="N2093" s="225">
        <f>IF($C2093="","",ROW())</f>
      </c>
      <c r="O2093" s="225">
        <f>IF($I2093="Công việc",MATCH($C2093,'Kế hoạch'!$A$6:$A$305,0),"")</f>
      </c>
      <c r="P2093" s="234">
        <f>IF($O2093="","",INDEX('Kế hoạch'!$I$6:$I$305,$O2093))</f>
      </c>
      <c r="Q2093" s="225">
        <f>IF($O2093="","",INDEX('Kế hoạch'!$AJ$6:$AJ$305,$O2093))</f>
      </c>
      <c r="R2093" s="225">
        <f>IF($O2093="","",INDEX('Kế hoạch'!$AK$6:$AK$305,$O2093))</f>
      </c>
    </row>
    <row r="2094">
      <c r="A2094" s="223">
        <f>IF($C2094="","",COUNTIF($C$6:$C2094,"?*"))</f>
      </c>
      <c r="B2094" s="217"/>
      <c r="C2094" s="216"/>
      <c r="D2094" s="240"/>
      <c r="E2094" s="218"/>
      <c r="F2094" s="218"/>
      <c r="G2094" s="218"/>
      <c r="H2094" s="219"/>
      <c r="I2094" s="223">
        <f>IF($C2094="","",IF(ISNUMBER(MATCH($C2094,'Phản ánh'!$A$6:$A$505,0)),"Phản ánh",IF(ISNUMBER(MATCH($C2094,'Kế hoạch'!$A$6:$A$305,0)),"Công việc","Mã chưa có")))</f>
      </c>
      <c r="J2094" s="221">
        <f>IF($I2094="Phản ánh",INDEX('Phản ánh'!$C$6:$C$505,MATCH($C2094,'Phản ánh'!$A$6:$A$505,0)),IF($I2094="Công việc",INDEX('Kế hoạch'!$C$6:$C$305,$O2094),""))</f>
      </c>
      <c r="K2094" s="221">
        <f>IF($I2094="Phản ánh",INDEX('Phản ánh'!$K$6:$K$505,MATCH($C2094,'Phản ánh'!$A$6:$A$505,0))&amp;"",IF($I2094="Công việc",INDEX('Kế hoạch'!$N$6:$N$305,$O2094)&amp;"",""))</f>
      </c>
      <c r="L2094" s="220">
        <f>IF(OR($C2094="",N($B2094)=0),"",IF(AND($I2094="Phản ánh",$E2094="Đã xử lý"),INDEX('Phản ánh'!$U$6:$U$505,MATCH($C2094,'Phản ánh'!$A$6:$A$505,0)),IF(AND($I2094="Công việc",OR($E2094="Hoàn thành",$E2094="Hoàn thành kỳ")),IF(INDEX('Kế hoạch'!$B$6:$B$305,$O2094)="Đột xuất",INDEX('Kế hoạch'!$AY$6:$AY$305,$O2094),IF(N($P2094)=0,"",IF(INT($B2094)&lt;$P2094,$P2094,IF($Q2094&gt;0,$P2094+ROUND((INT($B2094)-$P2094)/$Q2094,0)*$Q2094,IF($R2094&gt;0,EDATE($P2094,ROUND((DATEDIF($P2094,INT($B2094),"m")+(INT($B2094)-EDATE($P2094,DATEDIF($P2094,INT($B2094),"m")))/(EDATE($P2094,DATEDIF($P2094,INT($B2094),"m")+1)-EDATE($P2094,DATEDIF($P2094,INT($B2094),"m"))))/$R2094,0)*$R2094),$P2094))))),"")))</f>
      </c>
      <c r="M2094" s="223">
        <f>IF(OR($C2094="",N($L2094)=0,N($B2094)=0),"",IF(IF(MOD($L2094,1)=0,INT($B2094),$B2094)&lt;=$L2094,"Đúng hạn","Trễ hạn"))</f>
      </c>
      <c r="N2094" s="225">
        <f>IF($C2094="","",ROW())</f>
      </c>
      <c r="O2094" s="225">
        <f>IF($I2094="Công việc",MATCH($C2094,'Kế hoạch'!$A$6:$A$305,0),"")</f>
      </c>
      <c r="P2094" s="234">
        <f>IF($O2094="","",INDEX('Kế hoạch'!$I$6:$I$305,$O2094))</f>
      </c>
      <c r="Q2094" s="225">
        <f>IF($O2094="","",INDEX('Kế hoạch'!$AJ$6:$AJ$305,$O2094))</f>
      </c>
      <c r="R2094" s="225">
        <f>IF($O2094="","",INDEX('Kế hoạch'!$AK$6:$AK$305,$O2094))</f>
      </c>
    </row>
    <row r="2095">
      <c r="A2095" s="223">
        <f>IF($C2095="","",COUNTIF($C$6:$C2095,"?*"))</f>
      </c>
      <c r="B2095" s="217"/>
      <c r="C2095" s="216"/>
      <c r="D2095" s="240"/>
      <c r="E2095" s="218"/>
      <c r="F2095" s="218"/>
      <c r="G2095" s="218"/>
      <c r="H2095" s="219"/>
      <c r="I2095" s="223">
        <f>IF($C2095="","",IF(ISNUMBER(MATCH($C2095,'Phản ánh'!$A$6:$A$505,0)),"Phản ánh",IF(ISNUMBER(MATCH($C2095,'Kế hoạch'!$A$6:$A$305,0)),"Công việc","Mã chưa có")))</f>
      </c>
      <c r="J2095" s="221">
        <f>IF($I2095="Phản ánh",INDEX('Phản ánh'!$C$6:$C$505,MATCH($C2095,'Phản ánh'!$A$6:$A$505,0)),IF($I2095="Công việc",INDEX('Kế hoạch'!$C$6:$C$305,$O2095),""))</f>
      </c>
      <c r="K2095" s="221">
        <f>IF($I2095="Phản ánh",INDEX('Phản ánh'!$K$6:$K$505,MATCH($C2095,'Phản ánh'!$A$6:$A$505,0))&amp;"",IF($I2095="Công việc",INDEX('Kế hoạch'!$N$6:$N$305,$O2095)&amp;"",""))</f>
      </c>
      <c r="L2095" s="220">
        <f>IF(OR($C2095="",N($B2095)=0),"",IF(AND($I2095="Phản ánh",$E2095="Đã xử lý"),INDEX('Phản ánh'!$U$6:$U$505,MATCH($C2095,'Phản ánh'!$A$6:$A$505,0)),IF(AND($I2095="Công việc",OR($E2095="Hoàn thành",$E2095="Hoàn thành kỳ")),IF(INDEX('Kế hoạch'!$B$6:$B$305,$O2095)="Đột xuất",INDEX('Kế hoạch'!$AY$6:$AY$305,$O2095),IF(N($P2095)=0,"",IF(INT($B2095)&lt;$P2095,$P2095,IF($Q2095&gt;0,$P2095+ROUND((INT($B2095)-$P2095)/$Q2095,0)*$Q2095,IF($R2095&gt;0,EDATE($P2095,ROUND((DATEDIF($P2095,INT($B2095),"m")+(INT($B2095)-EDATE($P2095,DATEDIF($P2095,INT($B2095),"m")))/(EDATE($P2095,DATEDIF($P2095,INT($B2095),"m")+1)-EDATE($P2095,DATEDIF($P2095,INT($B2095),"m"))))/$R2095,0)*$R2095),$P2095))))),"")))</f>
      </c>
      <c r="M2095" s="223">
        <f>IF(OR($C2095="",N($L2095)=0,N($B2095)=0),"",IF(IF(MOD($L2095,1)=0,INT($B2095),$B2095)&lt;=$L2095,"Đúng hạn","Trễ hạn"))</f>
      </c>
      <c r="N2095" s="225">
        <f>IF($C2095="","",ROW())</f>
      </c>
      <c r="O2095" s="225">
        <f>IF($I2095="Công việc",MATCH($C2095,'Kế hoạch'!$A$6:$A$305,0),"")</f>
      </c>
      <c r="P2095" s="234">
        <f>IF($O2095="","",INDEX('Kế hoạch'!$I$6:$I$305,$O2095))</f>
      </c>
      <c r="Q2095" s="225">
        <f>IF($O2095="","",INDEX('Kế hoạch'!$AJ$6:$AJ$305,$O2095))</f>
      </c>
      <c r="R2095" s="225">
        <f>IF($O2095="","",INDEX('Kế hoạch'!$AK$6:$AK$305,$O2095))</f>
      </c>
    </row>
    <row r="2096">
      <c r="A2096" s="223">
        <f>IF($C2096="","",COUNTIF($C$6:$C2096,"?*"))</f>
      </c>
      <c r="B2096" s="217"/>
      <c r="C2096" s="216"/>
      <c r="D2096" s="240"/>
      <c r="E2096" s="218"/>
      <c r="F2096" s="218"/>
      <c r="G2096" s="218"/>
      <c r="H2096" s="219"/>
      <c r="I2096" s="223">
        <f>IF($C2096="","",IF(ISNUMBER(MATCH($C2096,'Phản ánh'!$A$6:$A$505,0)),"Phản ánh",IF(ISNUMBER(MATCH($C2096,'Kế hoạch'!$A$6:$A$305,0)),"Công việc","Mã chưa có")))</f>
      </c>
      <c r="J2096" s="221">
        <f>IF($I2096="Phản ánh",INDEX('Phản ánh'!$C$6:$C$505,MATCH($C2096,'Phản ánh'!$A$6:$A$505,0)),IF($I2096="Công việc",INDEX('Kế hoạch'!$C$6:$C$305,$O2096),""))</f>
      </c>
      <c r="K2096" s="221">
        <f>IF($I2096="Phản ánh",INDEX('Phản ánh'!$K$6:$K$505,MATCH($C2096,'Phản ánh'!$A$6:$A$505,0))&amp;"",IF($I2096="Công việc",INDEX('Kế hoạch'!$N$6:$N$305,$O2096)&amp;"",""))</f>
      </c>
      <c r="L2096" s="220">
        <f>IF(OR($C2096="",N($B2096)=0),"",IF(AND($I2096="Phản ánh",$E2096="Đã xử lý"),INDEX('Phản ánh'!$U$6:$U$505,MATCH($C2096,'Phản ánh'!$A$6:$A$505,0)),IF(AND($I2096="Công việc",OR($E2096="Hoàn thành",$E2096="Hoàn thành kỳ")),IF(INDEX('Kế hoạch'!$B$6:$B$305,$O2096)="Đột xuất",INDEX('Kế hoạch'!$AY$6:$AY$305,$O2096),IF(N($P2096)=0,"",IF(INT($B2096)&lt;$P2096,$P2096,IF($Q2096&gt;0,$P2096+ROUND((INT($B2096)-$P2096)/$Q2096,0)*$Q2096,IF($R2096&gt;0,EDATE($P2096,ROUND((DATEDIF($P2096,INT($B2096),"m")+(INT($B2096)-EDATE($P2096,DATEDIF($P2096,INT($B2096),"m")))/(EDATE($P2096,DATEDIF($P2096,INT($B2096),"m")+1)-EDATE($P2096,DATEDIF($P2096,INT($B2096),"m"))))/$R2096,0)*$R2096),$P2096))))),"")))</f>
      </c>
      <c r="M2096" s="223">
        <f>IF(OR($C2096="",N($L2096)=0,N($B2096)=0),"",IF(IF(MOD($L2096,1)=0,INT($B2096),$B2096)&lt;=$L2096,"Đúng hạn","Trễ hạn"))</f>
      </c>
      <c r="N2096" s="225">
        <f>IF($C2096="","",ROW())</f>
      </c>
      <c r="O2096" s="225">
        <f>IF($I2096="Công việc",MATCH($C2096,'Kế hoạch'!$A$6:$A$305,0),"")</f>
      </c>
      <c r="P2096" s="234">
        <f>IF($O2096="","",INDEX('Kế hoạch'!$I$6:$I$305,$O2096))</f>
      </c>
      <c r="Q2096" s="225">
        <f>IF($O2096="","",INDEX('Kế hoạch'!$AJ$6:$AJ$305,$O2096))</f>
      </c>
      <c r="R2096" s="225">
        <f>IF($O2096="","",INDEX('Kế hoạch'!$AK$6:$AK$305,$O2096))</f>
      </c>
    </row>
    <row r="2097">
      <c r="A2097" s="223">
        <f>IF($C2097="","",COUNTIF($C$6:$C2097,"?*"))</f>
      </c>
      <c r="B2097" s="217"/>
      <c r="C2097" s="216"/>
      <c r="D2097" s="240"/>
      <c r="E2097" s="218"/>
      <c r="F2097" s="218"/>
      <c r="G2097" s="218"/>
      <c r="H2097" s="219"/>
      <c r="I2097" s="223">
        <f>IF($C2097="","",IF(ISNUMBER(MATCH($C2097,'Phản ánh'!$A$6:$A$505,0)),"Phản ánh",IF(ISNUMBER(MATCH($C2097,'Kế hoạch'!$A$6:$A$305,0)),"Công việc","Mã chưa có")))</f>
      </c>
      <c r="J2097" s="221">
        <f>IF($I2097="Phản ánh",INDEX('Phản ánh'!$C$6:$C$505,MATCH($C2097,'Phản ánh'!$A$6:$A$505,0)),IF($I2097="Công việc",INDEX('Kế hoạch'!$C$6:$C$305,$O2097),""))</f>
      </c>
      <c r="K2097" s="221">
        <f>IF($I2097="Phản ánh",INDEX('Phản ánh'!$K$6:$K$505,MATCH($C2097,'Phản ánh'!$A$6:$A$505,0))&amp;"",IF($I2097="Công việc",INDEX('Kế hoạch'!$N$6:$N$305,$O2097)&amp;"",""))</f>
      </c>
      <c r="L2097" s="220">
        <f>IF(OR($C2097="",N($B2097)=0),"",IF(AND($I2097="Phản ánh",$E2097="Đã xử lý"),INDEX('Phản ánh'!$U$6:$U$505,MATCH($C2097,'Phản ánh'!$A$6:$A$505,0)),IF(AND($I2097="Công việc",OR($E2097="Hoàn thành",$E2097="Hoàn thành kỳ")),IF(INDEX('Kế hoạch'!$B$6:$B$305,$O2097)="Đột xuất",INDEX('Kế hoạch'!$AY$6:$AY$305,$O2097),IF(N($P2097)=0,"",IF(INT($B2097)&lt;$P2097,$P2097,IF($Q2097&gt;0,$P2097+ROUND((INT($B2097)-$P2097)/$Q2097,0)*$Q2097,IF($R2097&gt;0,EDATE($P2097,ROUND((DATEDIF($P2097,INT($B2097),"m")+(INT($B2097)-EDATE($P2097,DATEDIF($P2097,INT($B2097),"m")))/(EDATE($P2097,DATEDIF($P2097,INT($B2097),"m")+1)-EDATE($P2097,DATEDIF($P2097,INT($B2097),"m"))))/$R2097,0)*$R2097),$P2097))))),"")))</f>
      </c>
      <c r="M2097" s="223">
        <f>IF(OR($C2097="",N($L2097)=0,N($B2097)=0),"",IF(IF(MOD($L2097,1)=0,INT($B2097),$B2097)&lt;=$L2097,"Đúng hạn","Trễ hạn"))</f>
      </c>
      <c r="N2097" s="225">
        <f>IF($C2097="","",ROW())</f>
      </c>
      <c r="O2097" s="225">
        <f>IF($I2097="Công việc",MATCH($C2097,'Kế hoạch'!$A$6:$A$305,0),"")</f>
      </c>
      <c r="P2097" s="234">
        <f>IF($O2097="","",INDEX('Kế hoạch'!$I$6:$I$305,$O2097))</f>
      </c>
      <c r="Q2097" s="225">
        <f>IF($O2097="","",INDEX('Kế hoạch'!$AJ$6:$AJ$305,$O2097))</f>
      </c>
      <c r="R2097" s="225">
        <f>IF($O2097="","",INDEX('Kế hoạch'!$AK$6:$AK$305,$O2097))</f>
      </c>
    </row>
    <row r="2098">
      <c r="A2098" s="223">
        <f>IF($C2098="","",COUNTIF($C$6:$C2098,"?*"))</f>
      </c>
      <c r="B2098" s="217"/>
      <c r="C2098" s="216"/>
      <c r="D2098" s="240"/>
      <c r="E2098" s="218"/>
      <c r="F2098" s="218"/>
      <c r="G2098" s="218"/>
      <c r="H2098" s="219"/>
      <c r="I2098" s="223">
        <f>IF($C2098="","",IF(ISNUMBER(MATCH($C2098,'Phản ánh'!$A$6:$A$505,0)),"Phản ánh",IF(ISNUMBER(MATCH($C2098,'Kế hoạch'!$A$6:$A$305,0)),"Công việc","Mã chưa có")))</f>
      </c>
      <c r="J2098" s="221">
        <f>IF($I2098="Phản ánh",INDEX('Phản ánh'!$C$6:$C$505,MATCH($C2098,'Phản ánh'!$A$6:$A$505,0)),IF($I2098="Công việc",INDEX('Kế hoạch'!$C$6:$C$305,$O2098),""))</f>
      </c>
      <c r="K2098" s="221">
        <f>IF($I2098="Phản ánh",INDEX('Phản ánh'!$K$6:$K$505,MATCH($C2098,'Phản ánh'!$A$6:$A$505,0))&amp;"",IF($I2098="Công việc",INDEX('Kế hoạch'!$N$6:$N$305,$O2098)&amp;"",""))</f>
      </c>
      <c r="L2098" s="220">
        <f>IF(OR($C2098="",N($B2098)=0),"",IF(AND($I2098="Phản ánh",$E2098="Đã xử lý"),INDEX('Phản ánh'!$U$6:$U$505,MATCH($C2098,'Phản ánh'!$A$6:$A$505,0)),IF(AND($I2098="Công việc",OR($E2098="Hoàn thành",$E2098="Hoàn thành kỳ")),IF(INDEX('Kế hoạch'!$B$6:$B$305,$O2098)="Đột xuất",INDEX('Kế hoạch'!$AY$6:$AY$305,$O2098),IF(N($P2098)=0,"",IF(INT($B2098)&lt;$P2098,$P2098,IF($Q2098&gt;0,$P2098+ROUND((INT($B2098)-$P2098)/$Q2098,0)*$Q2098,IF($R2098&gt;0,EDATE($P2098,ROUND((DATEDIF($P2098,INT($B2098),"m")+(INT($B2098)-EDATE($P2098,DATEDIF($P2098,INT($B2098),"m")))/(EDATE($P2098,DATEDIF($P2098,INT($B2098),"m")+1)-EDATE($P2098,DATEDIF($P2098,INT($B2098),"m"))))/$R2098,0)*$R2098),$P2098))))),"")))</f>
      </c>
      <c r="M2098" s="223">
        <f>IF(OR($C2098="",N($L2098)=0,N($B2098)=0),"",IF(IF(MOD($L2098,1)=0,INT($B2098),$B2098)&lt;=$L2098,"Đúng hạn","Trễ hạn"))</f>
      </c>
      <c r="N2098" s="225">
        <f>IF($C2098="","",ROW())</f>
      </c>
      <c r="O2098" s="225">
        <f>IF($I2098="Công việc",MATCH($C2098,'Kế hoạch'!$A$6:$A$305,0),"")</f>
      </c>
      <c r="P2098" s="234">
        <f>IF($O2098="","",INDEX('Kế hoạch'!$I$6:$I$305,$O2098))</f>
      </c>
      <c r="Q2098" s="225">
        <f>IF($O2098="","",INDEX('Kế hoạch'!$AJ$6:$AJ$305,$O2098))</f>
      </c>
      <c r="R2098" s="225">
        <f>IF($O2098="","",INDEX('Kế hoạch'!$AK$6:$AK$305,$O2098))</f>
      </c>
    </row>
    <row r="2099">
      <c r="A2099" s="223">
        <f>IF($C2099="","",COUNTIF($C$6:$C2099,"?*"))</f>
      </c>
      <c r="B2099" s="217"/>
      <c r="C2099" s="216"/>
      <c r="D2099" s="240"/>
      <c r="E2099" s="218"/>
      <c r="F2099" s="218"/>
      <c r="G2099" s="218"/>
      <c r="H2099" s="219"/>
      <c r="I2099" s="223">
        <f>IF($C2099="","",IF(ISNUMBER(MATCH($C2099,'Phản ánh'!$A$6:$A$505,0)),"Phản ánh",IF(ISNUMBER(MATCH($C2099,'Kế hoạch'!$A$6:$A$305,0)),"Công việc","Mã chưa có")))</f>
      </c>
      <c r="J2099" s="221">
        <f>IF($I2099="Phản ánh",INDEX('Phản ánh'!$C$6:$C$505,MATCH($C2099,'Phản ánh'!$A$6:$A$505,0)),IF($I2099="Công việc",INDEX('Kế hoạch'!$C$6:$C$305,$O2099),""))</f>
      </c>
      <c r="K2099" s="221">
        <f>IF($I2099="Phản ánh",INDEX('Phản ánh'!$K$6:$K$505,MATCH($C2099,'Phản ánh'!$A$6:$A$505,0))&amp;"",IF($I2099="Công việc",INDEX('Kế hoạch'!$N$6:$N$305,$O2099)&amp;"",""))</f>
      </c>
      <c r="L2099" s="220">
        <f>IF(OR($C2099="",N($B2099)=0),"",IF(AND($I2099="Phản ánh",$E2099="Đã xử lý"),INDEX('Phản ánh'!$U$6:$U$505,MATCH($C2099,'Phản ánh'!$A$6:$A$505,0)),IF(AND($I2099="Công việc",OR($E2099="Hoàn thành",$E2099="Hoàn thành kỳ")),IF(INDEX('Kế hoạch'!$B$6:$B$305,$O2099)="Đột xuất",INDEX('Kế hoạch'!$AY$6:$AY$305,$O2099),IF(N($P2099)=0,"",IF(INT($B2099)&lt;$P2099,$P2099,IF($Q2099&gt;0,$P2099+ROUND((INT($B2099)-$P2099)/$Q2099,0)*$Q2099,IF($R2099&gt;0,EDATE($P2099,ROUND((DATEDIF($P2099,INT($B2099),"m")+(INT($B2099)-EDATE($P2099,DATEDIF($P2099,INT($B2099),"m")))/(EDATE($P2099,DATEDIF($P2099,INT($B2099),"m")+1)-EDATE($P2099,DATEDIF($P2099,INT($B2099),"m"))))/$R2099,0)*$R2099),$P2099))))),"")))</f>
      </c>
      <c r="M2099" s="223">
        <f>IF(OR($C2099="",N($L2099)=0,N($B2099)=0),"",IF(IF(MOD($L2099,1)=0,INT($B2099),$B2099)&lt;=$L2099,"Đúng hạn","Trễ hạn"))</f>
      </c>
      <c r="N2099" s="225">
        <f>IF($C2099="","",ROW())</f>
      </c>
      <c r="O2099" s="225">
        <f>IF($I2099="Công việc",MATCH($C2099,'Kế hoạch'!$A$6:$A$305,0),"")</f>
      </c>
      <c r="P2099" s="234">
        <f>IF($O2099="","",INDEX('Kế hoạch'!$I$6:$I$305,$O2099))</f>
      </c>
      <c r="Q2099" s="225">
        <f>IF($O2099="","",INDEX('Kế hoạch'!$AJ$6:$AJ$305,$O2099))</f>
      </c>
      <c r="R2099" s="225">
        <f>IF($O2099="","",INDEX('Kế hoạch'!$AK$6:$AK$305,$O2099))</f>
      </c>
    </row>
    <row r="2100">
      <c r="A2100" s="223">
        <f>IF($C2100="","",COUNTIF($C$6:$C2100,"?*"))</f>
      </c>
      <c r="B2100" s="217"/>
      <c r="C2100" s="216"/>
      <c r="D2100" s="240"/>
      <c r="E2100" s="218"/>
      <c r="F2100" s="218"/>
      <c r="G2100" s="218"/>
      <c r="H2100" s="219"/>
      <c r="I2100" s="223">
        <f>IF($C2100="","",IF(ISNUMBER(MATCH($C2100,'Phản ánh'!$A$6:$A$505,0)),"Phản ánh",IF(ISNUMBER(MATCH($C2100,'Kế hoạch'!$A$6:$A$305,0)),"Công việc","Mã chưa có")))</f>
      </c>
      <c r="J2100" s="221">
        <f>IF($I2100="Phản ánh",INDEX('Phản ánh'!$C$6:$C$505,MATCH($C2100,'Phản ánh'!$A$6:$A$505,0)),IF($I2100="Công việc",INDEX('Kế hoạch'!$C$6:$C$305,$O2100),""))</f>
      </c>
      <c r="K2100" s="221">
        <f>IF($I2100="Phản ánh",INDEX('Phản ánh'!$K$6:$K$505,MATCH($C2100,'Phản ánh'!$A$6:$A$505,0))&amp;"",IF($I2100="Công việc",INDEX('Kế hoạch'!$N$6:$N$305,$O2100)&amp;"",""))</f>
      </c>
      <c r="L2100" s="220">
        <f>IF(OR($C2100="",N($B2100)=0),"",IF(AND($I2100="Phản ánh",$E2100="Đã xử lý"),INDEX('Phản ánh'!$U$6:$U$505,MATCH($C2100,'Phản ánh'!$A$6:$A$505,0)),IF(AND($I2100="Công việc",OR($E2100="Hoàn thành",$E2100="Hoàn thành kỳ")),IF(INDEX('Kế hoạch'!$B$6:$B$305,$O2100)="Đột xuất",INDEX('Kế hoạch'!$AY$6:$AY$305,$O2100),IF(N($P2100)=0,"",IF(INT($B2100)&lt;$P2100,$P2100,IF($Q2100&gt;0,$P2100+ROUND((INT($B2100)-$P2100)/$Q2100,0)*$Q2100,IF($R2100&gt;0,EDATE($P2100,ROUND((DATEDIF($P2100,INT($B2100),"m")+(INT($B2100)-EDATE($P2100,DATEDIF($P2100,INT($B2100),"m")))/(EDATE($P2100,DATEDIF($P2100,INT($B2100),"m")+1)-EDATE($P2100,DATEDIF($P2100,INT($B2100),"m"))))/$R2100,0)*$R2100),$P2100))))),"")))</f>
      </c>
      <c r="M2100" s="223">
        <f>IF(OR($C2100="",N($L2100)=0,N($B2100)=0),"",IF(IF(MOD($L2100,1)=0,INT($B2100),$B2100)&lt;=$L2100,"Đúng hạn","Trễ hạn"))</f>
      </c>
      <c r="N2100" s="225">
        <f>IF($C2100="","",ROW())</f>
      </c>
      <c r="O2100" s="225">
        <f>IF($I2100="Công việc",MATCH($C2100,'Kế hoạch'!$A$6:$A$305,0),"")</f>
      </c>
      <c r="P2100" s="234">
        <f>IF($O2100="","",INDEX('Kế hoạch'!$I$6:$I$305,$O2100))</f>
      </c>
      <c r="Q2100" s="225">
        <f>IF($O2100="","",INDEX('Kế hoạch'!$AJ$6:$AJ$305,$O2100))</f>
      </c>
      <c r="R2100" s="225">
        <f>IF($O2100="","",INDEX('Kế hoạch'!$AK$6:$AK$305,$O2100))</f>
      </c>
    </row>
    <row r="2101">
      <c r="A2101" s="223">
        <f>IF($C2101="","",COUNTIF($C$6:$C2101,"?*"))</f>
      </c>
      <c r="B2101" s="217"/>
      <c r="C2101" s="216"/>
      <c r="D2101" s="240"/>
      <c r="E2101" s="218"/>
      <c r="F2101" s="218"/>
      <c r="G2101" s="218"/>
      <c r="H2101" s="219"/>
      <c r="I2101" s="223">
        <f>IF($C2101="","",IF(ISNUMBER(MATCH($C2101,'Phản ánh'!$A$6:$A$505,0)),"Phản ánh",IF(ISNUMBER(MATCH($C2101,'Kế hoạch'!$A$6:$A$305,0)),"Công việc","Mã chưa có")))</f>
      </c>
      <c r="J2101" s="221">
        <f>IF($I2101="Phản ánh",INDEX('Phản ánh'!$C$6:$C$505,MATCH($C2101,'Phản ánh'!$A$6:$A$505,0)),IF($I2101="Công việc",INDEX('Kế hoạch'!$C$6:$C$305,$O2101),""))</f>
      </c>
      <c r="K2101" s="221">
        <f>IF($I2101="Phản ánh",INDEX('Phản ánh'!$K$6:$K$505,MATCH($C2101,'Phản ánh'!$A$6:$A$505,0))&amp;"",IF($I2101="Công việc",INDEX('Kế hoạch'!$N$6:$N$305,$O2101)&amp;"",""))</f>
      </c>
      <c r="L2101" s="220">
        <f>IF(OR($C2101="",N($B2101)=0),"",IF(AND($I2101="Phản ánh",$E2101="Đã xử lý"),INDEX('Phản ánh'!$U$6:$U$505,MATCH($C2101,'Phản ánh'!$A$6:$A$505,0)),IF(AND($I2101="Công việc",OR($E2101="Hoàn thành",$E2101="Hoàn thành kỳ")),IF(INDEX('Kế hoạch'!$B$6:$B$305,$O2101)="Đột xuất",INDEX('Kế hoạch'!$AY$6:$AY$305,$O2101),IF(N($P2101)=0,"",IF(INT($B2101)&lt;$P2101,$P2101,IF($Q2101&gt;0,$P2101+ROUND((INT($B2101)-$P2101)/$Q2101,0)*$Q2101,IF($R2101&gt;0,EDATE($P2101,ROUND((DATEDIF($P2101,INT($B2101),"m")+(INT($B2101)-EDATE($P2101,DATEDIF($P2101,INT($B2101),"m")))/(EDATE($P2101,DATEDIF($P2101,INT($B2101),"m")+1)-EDATE($P2101,DATEDIF($P2101,INT($B2101),"m"))))/$R2101,0)*$R2101),$P2101))))),"")))</f>
      </c>
      <c r="M2101" s="223">
        <f>IF(OR($C2101="",N($L2101)=0,N($B2101)=0),"",IF(IF(MOD($L2101,1)=0,INT($B2101),$B2101)&lt;=$L2101,"Đúng hạn","Trễ hạn"))</f>
      </c>
      <c r="N2101" s="225">
        <f>IF($C2101="","",ROW())</f>
      </c>
      <c r="O2101" s="225">
        <f>IF($I2101="Công việc",MATCH($C2101,'Kế hoạch'!$A$6:$A$305,0),"")</f>
      </c>
      <c r="P2101" s="234">
        <f>IF($O2101="","",INDEX('Kế hoạch'!$I$6:$I$305,$O2101))</f>
      </c>
      <c r="Q2101" s="225">
        <f>IF($O2101="","",INDEX('Kế hoạch'!$AJ$6:$AJ$305,$O2101))</f>
      </c>
      <c r="R2101" s="225">
        <f>IF($O2101="","",INDEX('Kế hoạch'!$AK$6:$AK$305,$O2101))</f>
      </c>
    </row>
    <row r="2102">
      <c r="A2102" s="223">
        <f>IF($C2102="","",COUNTIF($C$6:$C2102,"?*"))</f>
      </c>
      <c r="B2102" s="217"/>
      <c r="C2102" s="216"/>
      <c r="D2102" s="240"/>
      <c r="E2102" s="218"/>
      <c r="F2102" s="218"/>
      <c r="G2102" s="218"/>
      <c r="H2102" s="219"/>
      <c r="I2102" s="223">
        <f>IF($C2102="","",IF(ISNUMBER(MATCH($C2102,'Phản ánh'!$A$6:$A$505,0)),"Phản ánh",IF(ISNUMBER(MATCH($C2102,'Kế hoạch'!$A$6:$A$305,0)),"Công việc","Mã chưa có")))</f>
      </c>
      <c r="J2102" s="221">
        <f>IF($I2102="Phản ánh",INDEX('Phản ánh'!$C$6:$C$505,MATCH($C2102,'Phản ánh'!$A$6:$A$505,0)),IF($I2102="Công việc",INDEX('Kế hoạch'!$C$6:$C$305,$O2102),""))</f>
      </c>
      <c r="K2102" s="221">
        <f>IF($I2102="Phản ánh",INDEX('Phản ánh'!$K$6:$K$505,MATCH($C2102,'Phản ánh'!$A$6:$A$505,0))&amp;"",IF($I2102="Công việc",INDEX('Kế hoạch'!$N$6:$N$305,$O2102)&amp;"",""))</f>
      </c>
      <c r="L2102" s="220">
        <f>IF(OR($C2102="",N($B2102)=0),"",IF(AND($I2102="Phản ánh",$E2102="Đã xử lý"),INDEX('Phản ánh'!$U$6:$U$505,MATCH($C2102,'Phản ánh'!$A$6:$A$505,0)),IF(AND($I2102="Công việc",OR($E2102="Hoàn thành",$E2102="Hoàn thành kỳ")),IF(INDEX('Kế hoạch'!$B$6:$B$305,$O2102)="Đột xuất",INDEX('Kế hoạch'!$AY$6:$AY$305,$O2102),IF(N($P2102)=0,"",IF(INT($B2102)&lt;$P2102,$P2102,IF($Q2102&gt;0,$P2102+ROUND((INT($B2102)-$P2102)/$Q2102,0)*$Q2102,IF($R2102&gt;0,EDATE($P2102,ROUND((DATEDIF($P2102,INT($B2102),"m")+(INT($B2102)-EDATE($P2102,DATEDIF($P2102,INT($B2102),"m")))/(EDATE($P2102,DATEDIF($P2102,INT($B2102),"m")+1)-EDATE($P2102,DATEDIF($P2102,INT($B2102),"m"))))/$R2102,0)*$R2102),$P2102))))),"")))</f>
      </c>
      <c r="M2102" s="223">
        <f>IF(OR($C2102="",N($L2102)=0,N($B2102)=0),"",IF(IF(MOD($L2102,1)=0,INT($B2102),$B2102)&lt;=$L2102,"Đúng hạn","Trễ hạn"))</f>
      </c>
      <c r="N2102" s="225">
        <f>IF($C2102="","",ROW())</f>
      </c>
      <c r="O2102" s="225">
        <f>IF($I2102="Công việc",MATCH($C2102,'Kế hoạch'!$A$6:$A$305,0),"")</f>
      </c>
      <c r="P2102" s="234">
        <f>IF($O2102="","",INDEX('Kế hoạch'!$I$6:$I$305,$O2102))</f>
      </c>
      <c r="Q2102" s="225">
        <f>IF($O2102="","",INDEX('Kế hoạch'!$AJ$6:$AJ$305,$O2102))</f>
      </c>
      <c r="R2102" s="225">
        <f>IF($O2102="","",INDEX('Kế hoạch'!$AK$6:$AK$305,$O2102))</f>
      </c>
    </row>
    <row r="2103">
      <c r="A2103" s="223">
        <f>IF($C2103="","",COUNTIF($C$6:$C2103,"?*"))</f>
      </c>
      <c r="B2103" s="217"/>
      <c r="C2103" s="216"/>
      <c r="D2103" s="240"/>
      <c r="E2103" s="218"/>
      <c r="F2103" s="218"/>
      <c r="G2103" s="218"/>
      <c r="H2103" s="219"/>
      <c r="I2103" s="223">
        <f>IF($C2103="","",IF(ISNUMBER(MATCH($C2103,'Phản ánh'!$A$6:$A$505,0)),"Phản ánh",IF(ISNUMBER(MATCH($C2103,'Kế hoạch'!$A$6:$A$305,0)),"Công việc","Mã chưa có")))</f>
      </c>
      <c r="J2103" s="221">
        <f>IF($I2103="Phản ánh",INDEX('Phản ánh'!$C$6:$C$505,MATCH($C2103,'Phản ánh'!$A$6:$A$505,0)),IF($I2103="Công việc",INDEX('Kế hoạch'!$C$6:$C$305,$O2103),""))</f>
      </c>
      <c r="K2103" s="221">
        <f>IF($I2103="Phản ánh",INDEX('Phản ánh'!$K$6:$K$505,MATCH($C2103,'Phản ánh'!$A$6:$A$505,0))&amp;"",IF($I2103="Công việc",INDEX('Kế hoạch'!$N$6:$N$305,$O2103)&amp;"",""))</f>
      </c>
      <c r="L2103" s="220">
        <f>IF(OR($C2103="",N($B2103)=0),"",IF(AND($I2103="Phản ánh",$E2103="Đã xử lý"),INDEX('Phản ánh'!$U$6:$U$505,MATCH($C2103,'Phản ánh'!$A$6:$A$505,0)),IF(AND($I2103="Công việc",OR($E2103="Hoàn thành",$E2103="Hoàn thành kỳ")),IF(INDEX('Kế hoạch'!$B$6:$B$305,$O2103)="Đột xuất",INDEX('Kế hoạch'!$AY$6:$AY$305,$O2103),IF(N($P2103)=0,"",IF(INT($B2103)&lt;$P2103,$P2103,IF($Q2103&gt;0,$P2103+ROUND((INT($B2103)-$P2103)/$Q2103,0)*$Q2103,IF($R2103&gt;0,EDATE($P2103,ROUND((DATEDIF($P2103,INT($B2103),"m")+(INT($B2103)-EDATE($P2103,DATEDIF($P2103,INT($B2103),"m")))/(EDATE($P2103,DATEDIF($P2103,INT($B2103),"m")+1)-EDATE($P2103,DATEDIF($P2103,INT($B2103),"m"))))/$R2103,0)*$R2103),$P2103))))),"")))</f>
      </c>
      <c r="M2103" s="223">
        <f>IF(OR($C2103="",N($L2103)=0,N($B2103)=0),"",IF(IF(MOD($L2103,1)=0,INT($B2103),$B2103)&lt;=$L2103,"Đúng hạn","Trễ hạn"))</f>
      </c>
      <c r="N2103" s="225">
        <f>IF($C2103="","",ROW())</f>
      </c>
      <c r="O2103" s="225">
        <f>IF($I2103="Công việc",MATCH($C2103,'Kế hoạch'!$A$6:$A$305,0),"")</f>
      </c>
      <c r="P2103" s="234">
        <f>IF($O2103="","",INDEX('Kế hoạch'!$I$6:$I$305,$O2103))</f>
      </c>
      <c r="Q2103" s="225">
        <f>IF($O2103="","",INDEX('Kế hoạch'!$AJ$6:$AJ$305,$O2103))</f>
      </c>
      <c r="R2103" s="225">
        <f>IF($O2103="","",INDEX('Kế hoạch'!$AK$6:$AK$305,$O2103))</f>
      </c>
    </row>
    <row r="2104">
      <c r="A2104" s="223">
        <f>IF($C2104="","",COUNTIF($C$6:$C2104,"?*"))</f>
      </c>
      <c r="B2104" s="217"/>
      <c r="C2104" s="216"/>
      <c r="D2104" s="240"/>
      <c r="E2104" s="218"/>
      <c r="F2104" s="218"/>
      <c r="G2104" s="218"/>
      <c r="H2104" s="219"/>
      <c r="I2104" s="223">
        <f>IF($C2104="","",IF(ISNUMBER(MATCH($C2104,'Phản ánh'!$A$6:$A$505,0)),"Phản ánh",IF(ISNUMBER(MATCH($C2104,'Kế hoạch'!$A$6:$A$305,0)),"Công việc","Mã chưa có")))</f>
      </c>
      <c r="J2104" s="221">
        <f>IF($I2104="Phản ánh",INDEX('Phản ánh'!$C$6:$C$505,MATCH($C2104,'Phản ánh'!$A$6:$A$505,0)),IF($I2104="Công việc",INDEX('Kế hoạch'!$C$6:$C$305,$O2104),""))</f>
      </c>
      <c r="K2104" s="221">
        <f>IF($I2104="Phản ánh",INDEX('Phản ánh'!$K$6:$K$505,MATCH($C2104,'Phản ánh'!$A$6:$A$505,0))&amp;"",IF($I2104="Công việc",INDEX('Kế hoạch'!$N$6:$N$305,$O2104)&amp;"",""))</f>
      </c>
      <c r="L2104" s="220">
        <f>IF(OR($C2104="",N($B2104)=0),"",IF(AND($I2104="Phản ánh",$E2104="Đã xử lý"),INDEX('Phản ánh'!$U$6:$U$505,MATCH($C2104,'Phản ánh'!$A$6:$A$505,0)),IF(AND($I2104="Công việc",OR($E2104="Hoàn thành",$E2104="Hoàn thành kỳ")),IF(INDEX('Kế hoạch'!$B$6:$B$305,$O2104)="Đột xuất",INDEX('Kế hoạch'!$AY$6:$AY$305,$O2104),IF(N($P2104)=0,"",IF(INT($B2104)&lt;$P2104,$P2104,IF($Q2104&gt;0,$P2104+ROUND((INT($B2104)-$P2104)/$Q2104,0)*$Q2104,IF($R2104&gt;0,EDATE($P2104,ROUND((DATEDIF($P2104,INT($B2104),"m")+(INT($B2104)-EDATE($P2104,DATEDIF($P2104,INT($B2104),"m")))/(EDATE($P2104,DATEDIF($P2104,INT($B2104),"m")+1)-EDATE($P2104,DATEDIF($P2104,INT($B2104),"m"))))/$R2104,0)*$R2104),$P2104))))),"")))</f>
      </c>
      <c r="M2104" s="223">
        <f>IF(OR($C2104="",N($L2104)=0,N($B2104)=0),"",IF(IF(MOD($L2104,1)=0,INT($B2104),$B2104)&lt;=$L2104,"Đúng hạn","Trễ hạn"))</f>
      </c>
      <c r="N2104" s="225">
        <f>IF($C2104="","",ROW())</f>
      </c>
      <c r="O2104" s="225">
        <f>IF($I2104="Công việc",MATCH($C2104,'Kế hoạch'!$A$6:$A$305,0),"")</f>
      </c>
      <c r="P2104" s="234">
        <f>IF($O2104="","",INDEX('Kế hoạch'!$I$6:$I$305,$O2104))</f>
      </c>
      <c r="Q2104" s="225">
        <f>IF($O2104="","",INDEX('Kế hoạch'!$AJ$6:$AJ$305,$O2104))</f>
      </c>
      <c r="R2104" s="225">
        <f>IF($O2104="","",INDEX('Kế hoạch'!$AK$6:$AK$305,$O2104))</f>
      </c>
    </row>
    <row r="2105">
      <c r="A2105" s="223">
        <f>IF($C2105="","",COUNTIF($C$6:$C2105,"?*"))</f>
      </c>
      <c r="B2105" s="217"/>
      <c r="C2105" s="216"/>
      <c r="D2105" s="240"/>
      <c r="E2105" s="218"/>
      <c r="F2105" s="218"/>
      <c r="G2105" s="218"/>
      <c r="H2105" s="219"/>
      <c r="I2105" s="223">
        <f>IF($C2105="","",IF(ISNUMBER(MATCH($C2105,'Phản ánh'!$A$6:$A$505,0)),"Phản ánh",IF(ISNUMBER(MATCH($C2105,'Kế hoạch'!$A$6:$A$305,0)),"Công việc","Mã chưa có")))</f>
      </c>
      <c r="J2105" s="221">
        <f>IF($I2105="Phản ánh",INDEX('Phản ánh'!$C$6:$C$505,MATCH($C2105,'Phản ánh'!$A$6:$A$505,0)),IF($I2105="Công việc",INDEX('Kế hoạch'!$C$6:$C$305,$O2105),""))</f>
      </c>
      <c r="K2105" s="221">
        <f>IF($I2105="Phản ánh",INDEX('Phản ánh'!$K$6:$K$505,MATCH($C2105,'Phản ánh'!$A$6:$A$505,0))&amp;"",IF($I2105="Công việc",INDEX('Kế hoạch'!$N$6:$N$305,$O2105)&amp;"",""))</f>
      </c>
      <c r="L2105" s="220">
        <f>IF(OR($C2105="",N($B2105)=0),"",IF(AND($I2105="Phản ánh",$E2105="Đã xử lý"),INDEX('Phản ánh'!$U$6:$U$505,MATCH($C2105,'Phản ánh'!$A$6:$A$505,0)),IF(AND($I2105="Công việc",OR($E2105="Hoàn thành",$E2105="Hoàn thành kỳ")),IF(INDEX('Kế hoạch'!$B$6:$B$305,$O2105)="Đột xuất",INDEX('Kế hoạch'!$AY$6:$AY$305,$O2105),IF(N($P2105)=0,"",IF(INT($B2105)&lt;$P2105,$P2105,IF($Q2105&gt;0,$P2105+ROUND((INT($B2105)-$P2105)/$Q2105,0)*$Q2105,IF($R2105&gt;0,EDATE($P2105,ROUND((DATEDIF($P2105,INT($B2105),"m")+(INT($B2105)-EDATE($P2105,DATEDIF($P2105,INT($B2105),"m")))/(EDATE($P2105,DATEDIF($P2105,INT($B2105),"m")+1)-EDATE($P2105,DATEDIF($P2105,INT($B2105),"m"))))/$R2105,0)*$R2105),$P2105))))),"")))</f>
      </c>
      <c r="M2105" s="223">
        <f>IF(OR($C2105="",N($L2105)=0,N($B2105)=0),"",IF(IF(MOD($L2105,1)=0,INT($B2105),$B2105)&lt;=$L2105,"Đúng hạn","Trễ hạn"))</f>
      </c>
      <c r="N2105" s="225">
        <f>IF($C2105="","",ROW())</f>
      </c>
      <c r="O2105" s="225">
        <f>IF($I2105="Công việc",MATCH($C2105,'Kế hoạch'!$A$6:$A$305,0),"")</f>
      </c>
      <c r="P2105" s="234">
        <f>IF($O2105="","",INDEX('Kế hoạch'!$I$6:$I$305,$O2105))</f>
      </c>
      <c r="Q2105" s="225">
        <f>IF($O2105="","",INDEX('Kế hoạch'!$AJ$6:$AJ$305,$O2105))</f>
      </c>
      <c r="R2105" s="225">
        <f>IF($O2105="","",INDEX('Kế hoạch'!$AK$6:$AK$305,$O2105))</f>
      </c>
    </row>
    <row r="2106">
      <c r="A2106" s="223">
        <f>IF($C2106="","",COUNTIF($C$6:$C2106,"?*"))</f>
      </c>
      <c r="B2106" s="217"/>
      <c r="C2106" s="216"/>
      <c r="D2106" s="240"/>
      <c r="E2106" s="218"/>
      <c r="F2106" s="218"/>
      <c r="G2106" s="218"/>
      <c r="H2106" s="219"/>
      <c r="I2106" s="223">
        <f>IF($C2106="","",IF(ISNUMBER(MATCH($C2106,'Phản ánh'!$A$6:$A$505,0)),"Phản ánh",IF(ISNUMBER(MATCH($C2106,'Kế hoạch'!$A$6:$A$305,0)),"Công việc","Mã chưa có")))</f>
      </c>
      <c r="J2106" s="221">
        <f>IF($I2106="Phản ánh",INDEX('Phản ánh'!$C$6:$C$505,MATCH($C2106,'Phản ánh'!$A$6:$A$505,0)),IF($I2106="Công việc",INDEX('Kế hoạch'!$C$6:$C$305,$O2106),""))</f>
      </c>
      <c r="K2106" s="221">
        <f>IF($I2106="Phản ánh",INDEX('Phản ánh'!$K$6:$K$505,MATCH($C2106,'Phản ánh'!$A$6:$A$505,0))&amp;"",IF($I2106="Công việc",INDEX('Kế hoạch'!$N$6:$N$305,$O2106)&amp;"",""))</f>
      </c>
      <c r="L2106" s="220">
        <f>IF(OR($C2106="",N($B2106)=0),"",IF(AND($I2106="Phản ánh",$E2106="Đã xử lý"),INDEX('Phản ánh'!$U$6:$U$505,MATCH($C2106,'Phản ánh'!$A$6:$A$505,0)),IF(AND($I2106="Công việc",OR($E2106="Hoàn thành",$E2106="Hoàn thành kỳ")),IF(INDEX('Kế hoạch'!$B$6:$B$305,$O2106)="Đột xuất",INDEX('Kế hoạch'!$AY$6:$AY$305,$O2106),IF(N($P2106)=0,"",IF(INT($B2106)&lt;$P2106,$P2106,IF($Q2106&gt;0,$P2106+ROUND((INT($B2106)-$P2106)/$Q2106,0)*$Q2106,IF($R2106&gt;0,EDATE($P2106,ROUND((DATEDIF($P2106,INT($B2106),"m")+(INT($B2106)-EDATE($P2106,DATEDIF($P2106,INT($B2106),"m")))/(EDATE($P2106,DATEDIF($P2106,INT($B2106),"m")+1)-EDATE($P2106,DATEDIF($P2106,INT($B2106),"m"))))/$R2106,0)*$R2106),$P2106))))),"")))</f>
      </c>
      <c r="M2106" s="223">
        <f>IF(OR($C2106="",N($L2106)=0,N($B2106)=0),"",IF(IF(MOD($L2106,1)=0,INT($B2106),$B2106)&lt;=$L2106,"Đúng hạn","Trễ hạn"))</f>
      </c>
      <c r="N2106" s="225">
        <f>IF($C2106="","",ROW())</f>
      </c>
      <c r="O2106" s="225">
        <f>IF($I2106="Công việc",MATCH($C2106,'Kế hoạch'!$A$6:$A$305,0),"")</f>
      </c>
      <c r="P2106" s="234">
        <f>IF($O2106="","",INDEX('Kế hoạch'!$I$6:$I$305,$O2106))</f>
      </c>
      <c r="Q2106" s="225">
        <f>IF($O2106="","",INDEX('Kế hoạch'!$AJ$6:$AJ$305,$O2106))</f>
      </c>
      <c r="R2106" s="225">
        <f>IF($O2106="","",INDEX('Kế hoạch'!$AK$6:$AK$305,$O2106))</f>
      </c>
    </row>
    <row r="2107">
      <c r="A2107" s="223">
        <f>IF($C2107="","",COUNTIF($C$6:$C2107,"?*"))</f>
      </c>
      <c r="B2107" s="217"/>
      <c r="C2107" s="216"/>
      <c r="D2107" s="240"/>
      <c r="E2107" s="218"/>
      <c r="F2107" s="218"/>
      <c r="G2107" s="218"/>
      <c r="H2107" s="219"/>
      <c r="I2107" s="223">
        <f>IF($C2107="","",IF(ISNUMBER(MATCH($C2107,'Phản ánh'!$A$6:$A$505,0)),"Phản ánh",IF(ISNUMBER(MATCH($C2107,'Kế hoạch'!$A$6:$A$305,0)),"Công việc","Mã chưa có")))</f>
      </c>
      <c r="J2107" s="221">
        <f>IF($I2107="Phản ánh",INDEX('Phản ánh'!$C$6:$C$505,MATCH($C2107,'Phản ánh'!$A$6:$A$505,0)),IF($I2107="Công việc",INDEX('Kế hoạch'!$C$6:$C$305,$O2107),""))</f>
      </c>
      <c r="K2107" s="221">
        <f>IF($I2107="Phản ánh",INDEX('Phản ánh'!$K$6:$K$505,MATCH($C2107,'Phản ánh'!$A$6:$A$505,0))&amp;"",IF($I2107="Công việc",INDEX('Kế hoạch'!$N$6:$N$305,$O2107)&amp;"",""))</f>
      </c>
      <c r="L2107" s="220">
        <f>IF(OR($C2107="",N($B2107)=0),"",IF(AND($I2107="Phản ánh",$E2107="Đã xử lý"),INDEX('Phản ánh'!$U$6:$U$505,MATCH($C2107,'Phản ánh'!$A$6:$A$505,0)),IF(AND($I2107="Công việc",OR($E2107="Hoàn thành",$E2107="Hoàn thành kỳ")),IF(INDEX('Kế hoạch'!$B$6:$B$305,$O2107)="Đột xuất",INDEX('Kế hoạch'!$AY$6:$AY$305,$O2107),IF(N($P2107)=0,"",IF(INT($B2107)&lt;$P2107,$P2107,IF($Q2107&gt;0,$P2107+ROUND((INT($B2107)-$P2107)/$Q2107,0)*$Q2107,IF($R2107&gt;0,EDATE($P2107,ROUND((DATEDIF($P2107,INT($B2107),"m")+(INT($B2107)-EDATE($P2107,DATEDIF($P2107,INT($B2107),"m")))/(EDATE($P2107,DATEDIF($P2107,INT($B2107),"m")+1)-EDATE($P2107,DATEDIF($P2107,INT($B2107),"m"))))/$R2107,0)*$R2107),$P2107))))),"")))</f>
      </c>
      <c r="M2107" s="223">
        <f>IF(OR($C2107="",N($L2107)=0,N($B2107)=0),"",IF(IF(MOD($L2107,1)=0,INT($B2107),$B2107)&lt;=$L2107,"Đúng hạn","Trễ hạn"))</f>
      </c>
      <c r="N2107" s="225">
        <f>IF($C2107="","",ROW())</f>
      </c>
      <c r="O2107" s="225">
        <f>IF($I2107="Công việc",MATCH($C2107,'Kế hoạch'!$A$6:$A$305,0),"")</f>
      </c>
      <c r="P2107" s="234">
        <f>IF($O2107="","",INDEX('Kế hoạch'!$I$6:$I$305,$O2107))</f>
      </c>
      <c r="Q2107" s="225">
        <f>IF($O2107="","",INDEX('Kế hoạch'!$AJ$6:$AJ$305,$O2107))</f>
      </c>
      <c r="R2107" s="225">
        <f>IF($O2107="","",INDEX('Kế hoạch'!$AK$6:$AK$305,$O2107))</f>
      </c>
    </row>
    <row r="2108">
      <c r="A2108" s="223">
        <f>IF($C2108="","",COUNTIF($C$6:$C2108,"?*"))</f>
      </c>
      <c r="B2108" s="217"/>
      <c r="C2108" s="216"/>
      <c r="D2108" s="240"/>
      <c r="E2108" s="218"/>
      <c r="F2108" s="218"/>
      <c r="G2108" s="218"/>
      <c r="H2108" s="219"/>
      <c r="I2108" s="223">
        <f>IF($C2108="","",IF(ISNUMBER(MATCH($C2108,'Phản ánh'!$A$6:$A$505,0)),"Phản ánh",IF(ISNUMBER(MATCH($C2108,'Kế hoạch'!$A$6:$A$305,0)),"Công việc","Mã chưa có")))</f>
      </c>
      <c r="J2108" s="221">
        <f>IF($I2108="Phản ánh",INDEX('Phản ánh'!$C$6:$C$505,MATCH($C2108,'Phản ánh'!$A$6:$A$505,0)),IF($I2108="Công việc",INDEX('Kế hoạch'!$C$6:$C$305,$O2108),""))</f>
      </c>
      <c r="K2108" s="221">
        <f>IF($I2108="Phản ánh",INDEX('Phản ánh'!$K$6:$K$505,MATCH($C2108,'Phản ánh'!$A$6:$A$505,0))&amp;"",IF($I2108="Công việc",INDEX('Kế hoạch'!$N$6:$N$305,$O2108)&amp;"",""))</f>
      </c>
      <c r="L2108" s="220">
        <f>IF(OR($C2108="",N($B2108)=0),"",IF(AND($I2108="Phản ánh",$E2108="Đã xử lý"),INDEX('Phản ánh'!$U$6:$U$505,MATCH($C2108,'Phản ánh'!$A$6:$A$505,0)),IF(AND($I2108="Công việc",OR($E2108="Hoàn thành",$E2108="Hoàn thành kỳ")),IF(INDEX('Kế hoạch'!$B$6:$B$305,$O2108)="Đột xuất",INDEX('Kế hoạch'!$AY$6:$AY$305,$O2108),IF(N($P2108)=0,"",IF(INT($B2108)&lt;$P2108,$P2108,IF($Q2108&gt;0,$P2108+ROUND((INT($B2108)-$P2108)/$Q2108,0)*$Q2108,IF($R2108&gt;0,EDATE($P2108,ROUND((DATEDIF($P2108,INT($B2108),"m")+(INT($B2108)-EDATE($P2108,DATEDIF($P2108,INT($B2108),"m")))/(EDATE($P2108,DATEDIF($P2108,INT($B2108),"m")+1)-EDATE($P2108,DATEDIF($P2108,INT($B2108),"m"))))/$R2108,0)*$R2108),$P2108))))),"")))</f>
      </c>
      <c r="M2108" s="223">
        <f>IF(OR($C2108="",N($L2108)=0,N($B2108)=0),"",IF(IF(MOD($L2108,1)=0,INT($B2108),$B2108)&lt;=$L2108,"Đúng hạn","Trễ hạn"))</f>
      </c>
      <c r="N2108" s="225">
        <f>IF($C2108="","",ROW())</f>
      </c>
      <c r="O2108" s="225">
        <f>IF($I2108="Công việc",MATCH($C2108,'Kế hoạch'!$A$6:$A$305,0),"")</f>
      </c>
      <c r="P2108" s="234">
        <f>IF($O2108="","",INDEX('Kế hoạch'!$I$6:$I$305,$O2108))</f>
      </c>
      <c r="Q2108" s="225">
        <f>IF($O2108="","",INDEX('Kế hoạch'!$AJ$6:$AJ$305,$O2108))</f>
      </c>
      <c r="R2108" s="225">
        <f>IF($O2108="","",INDEX('Kế hoạch'!$AK$6:$AK$305,$O2108))</f>
      </c>
    </row>
    <row r="2109">
      <c r="A2109" s="223">
        <f>IF($C2109="","",COUNTIF($C$6:$C2109,"?*"))</f>
      </c>
      <c r="B2109" s="217"/>
      <c r="C2109" s="216"/>
      <c r="D2109" s="240"/>
      <c r="E2109" s="218"/>
      <c r="F2109" s="218"/>
      <c r="G2109" s="218"/>
      <c r="H2109" s="219"/>
      <c r="I2109" s="223">
        <f>IF($C2109="","",IF(ISNUMBER(MATCH($C2109,'Phản ánh'!$A$6:$A$505,0)),"Phản ánh",IF(ISNUMBER(MATCH($C2109,'Kế hoạch'!$A$6:$A$305,0)),"Công việc","Mã chưa có")))</f>
      </c>
      <c r="J2109" s="221">
        <f>IF($I2109="Phản ánh",INDEX('Phản ánh'!$C$6:$C$505,MATCH($C2109,'Phản ánh'!$A$6:$A$505,0)),IF($I2109="Công việc",INDEX('Kế hoạch'!$C$6:$C$305,$O2109),""))</f>
      </c>
      <c r="K2109" s="221">
        <f>IF($I2109="Phản ánh",INDEX('Phản ánh'!$K$6:$K$505,MATCH($C2109,'Phản ánh'!$A$6:$A$505,0))&amp;"",IF($I2109="Công việc",INDEX('Kế hoạch'!$N$6:$N$305,$O2109)&amp;"",""))</f>
      </c>
      <c r="L2109" s="220">
        <f>IF(OR($C2109="",N($B2109)=0),"",IF(AND($I2109="Phản ánh",$E2109="Đã xử lý"),INDEX('Phản ánh'!$U$6:$U$505,MATCH($C2109,'Phản ánh'!$A$6:$A$505,0)),IF(AND($I2109="Công việc",OR($E2109="Hoàn thành",$E2109="Hoàn thành kỳ")),IF(INDEX('Kế hoạch'!$B$6:$B$305,$O2109)="Đột xuất",INDEX('Kế hoạch'!$AY$6:$AY$305,$O2109),IF(N($P2109)=0,"",IF(INT($B2109)&lt;$P2109,$P2109,IF($Q2109&gt;0,$P2109+ROUND((INT($B2109)-$P2109)/$Q2109,0)*$Q2109,IF($R2109&gt;0,EDATE($P2109,ROUND((DATEDIF($P2109,INT($B2109),"m")+(INT($B2109)-EDATE($P2109,DATEDIF($P2109,INT($B2109),"m")))/(EDATE($P2109,DATEDIF($P2109,INT($B2109),"m")+1)-EDATE($P2109,DATEDIF($P2109,INT($B2109),"m"))))/$R2109,0)*$R2109),$P2109))))),"")))</f>
      </c>
      <c r="M2109" s="223">
        <f>IF(OR($C2109="",N($L2109)=0,N($B2109)=0),"",IF(IF(MOD($L2109,1)=0,INT($B2109),$B2109)&lt;=$L2109,"Đúng hạn","Trễ hạn"))</f>
      </c>
      <c r="N2109" s="225">
        <f>IF($C2109="","",ROW())</f>
      </c>
      <c r="O2109" s="225">
        <f>IF($I2109="Công việc",MATCH($C2109,'Kế hoạch'!$A$6:$A$305,0),"")</f>
      </c>
      <c r="P2109" s="234">
        <f>IF($O2109="","",INDEX('Kế hoạch'!$I$6:$I$305,$O2109))</f>
      </c>
      <c r="Q2109" s="225">
        <f>IF($O2109="","",INDEX('Kế hoạch'!$AJ$6:$AJ$305,$O2109))</f>
      </c>
      <c r="R2109" s="225">
        <f>IF($O2109="","",INDEX('Kế hoạch'!$AK$6:$AK$305,$O2109))</f>
      </c>
    </row>
    <row r="2110">
      <c r="A2110" s="223">
        <f>IF($C2110="","",COUNTIF($C$6:$C2110,"?*"))</f>
      </c>
      <c r="B2110" s="217"/>
      <c r="C2110" s="216"/>
      <c r="D2110" s="240"/>
      <c r="E2110" s="218"/>
      <c r="F2110" s="218"/>
      <c r="G2110" s="218"/>
      <c r="H2110" s="219"/>
      <c r="I2110" s="223">
        <f>IF($C2110="","",IF(ISNUMBER(MATCH($C2110,'Phản ánh'!$A$6:$A$505,0)),"Phản ánh",IF(ISNUMBER(MATCH($C2110,'Kế hoạch'!$A$6:$A$305,0)),"Công việc","Mã chưa có")))</f>
      </c>
      <c r="J2110" s="221">
        <f>IF($I2110="Phản ánh",INDEX('Phản ánh'!$C$6:$C$505,MATCH($C2110,'Phản ánh'!$A$6:$A$505,0)),IF($I2110="Công việc",INDEX('Kế hoạch'!$C$6:$C$305,$O2110),""))</f>
      </c>
      <c r="K2110" s="221">
        <f>IF($I2110="Phản ánh",INDEX('Phản ánh'!$K$6:$K$505,MATCH($C2110,'Phản ánh'!$A$6:$A$505,0))&amp;"",IF($I2110="Công việc",INDEX('Kế hoạch'!$N$6:$N$305,$O2110)&amp;"",""))</f>
      </c>
      <c r="L2110" s="220">
        <f>IF(OR($C2110="",N($B2110)=0),"",IF(AND($I2110="Phản ánh",$E2110="Đã xử lý"),INDEX('Phản ánh'!$U$6:$U$505,MATCH($C2110,'Phản ánh'!$A$6:$A$505,0)),IF(AND($I2110="Công việc",OR($E2110="Hoàn thành",$E2110="Hoàn thành kỳ")),IF(INDEX('Kế hoạch'!$B$6:$B$305,$O2110)="Đột xuất",INDEX('Kế hoạch'!$AY$6:$AY$305,$O2110),IF(N($P2110)=0,"",IF(INT($B2110)&lt;$P2110,$P2110,IF($Q2110&gt;0,$P2110+ROUND((INT($B2110)-$P2110)/$Q2110,0)*$Q2110,IF($R2110&gt;0,EDATE($P2110,ROUND((DATEDIF($P2110,INT($B2110),"m")+(INT($B2110)-EDATE($P2110,DATEDIF($P2110,INT($B2110),"m")))/(EDATE($P2110,DATEDIF($P2110,INT($B2110),"m")+1)-EDATE($P2110,DATEDIF($P2110,INT($B2110),"m"))))/$R2110,0)*$R2110),$P2110))))),"")))</f>
      </c>
      <c r="M2110" s="223">
        <f>IF(OR($C2110="",N($L2110)=0,N($B2110)=0),"",IF(IF(MOD($L2110,1)=0,INT($B2110),$B2110)&lt;=$L2110,"Đúng hạn","Trễ hạn"))</f>
      </c>
      <c r="N2110" s="225">
        <f>IF($C2110="","",ROW())</f>
      </c>
      <c r="O2110" s="225">
        <f>IF($I2110="Công việc",MATCH($C2110,'Kế hoạch'!$A$6:$A$305,0),"")</f>
      </c>
      <c r="P2110" s="234">
        <f>IF($O2110="","",INDEX('Kế hoạch'!$I$6:$I$305,$O2110))</f>
      </c>
      <c r="Q2110" s="225">
        <f>IF($O2110="","",INDEX('Kế hoạch'!$AJ$6:$AJ$305,$O2110))</f>
      </c>
      <c r="R2110" s="225">
        <f>IF($O2110="","",INDEX('Kế hoạch'!$AK$6:$AK$305,$O2110))</f>
      </c>
    </row>
    <row r="2111">
      <c r="A2111" s="223">
        <f>IF($C2111="","",COUNTIF($C$6:$C2111,"?*"))</f>
      </c>
      <c r="B2111" s="217"/>
      <c r="C2111" s="216"/>
      <c r="D2111" s="240"/>
      <c r="E2111" s="218"/>
      <c r="F2111" s="218"/>
      <c r="G2111" s="218"/>
      <c r="H2111" s="219"/>
      <c r="I2111" s="223">
        <f>IF($C2111="","",IF(ISNUMBER(MATCH($C2111,'Phản ánh'!$A$6:$A$505,0)),"Phản ánh",IF(ISNUMBER(MATCH($C2111,'Kế hoạch'!$A$6:$A$305,0)),"Công việc","Mã chưa có")))</f>
      </c>
      <c r="J2111" s="221">
        <f>IF($I2111="Phản ánh",INDEX('Phản ánh'!$C$6:$C$505,MATCH($C2111,'Phản ánh'!$A$6:$A$505,0)),IF($I2111="Công việc",INDEX('Kế hoạch'!$C$6:$C$305,$O2111),""))</f>
      </c>
      <c r="K2111" s="221">
        <f>IF($I2111="Phản ánh",INDEX('Phản ánh'!$K$6:$K$505,MATCH($C2111,'Phản ánh'!$A$6:$A$505,0))&amp;"",IF($I2111="Công việc",INDEX('Kế hoạch'!$N$6:$N$305,$O2111)&amp;"",""))</f>
      </c>
      <c r="L2111" s="220">
        <f>IF(OR($C2111="",N($B2111)=0),"",IF(AND($I2111="Phản ánh",$E2111="Đã xử lý"),INDEX('Phản ánh'!$U$6:$U$505,MATCH($C2111,'Phản ánh'!$A$6:$A$505,0)),IF(AND($I2111="Công việc",OR($E2111="Hoàn thành",$E2111="Hoàn thành kỳ")),IF(INDEX('Kế hoạch'!$B$6:$B$305,$O2111)="Đột xuất",INDEX('Kế hoạch'!$AY$6:$AY$305,$O2111),IF(N($P2111)=0,"",IF(INT($B2111)&lt;$P2111,$P2111,IF($Q2111&gt;0,$P2111+ROUND((INT($B2111)-$P2111)/$Q2111,0)*$Q2111,IF($R2111&gt;0,EDATE($P2111,ROUND((DATEDIF($P2111,INT($B2111),"m")+(INT($B2111)-EDATE($P2111,DATEDIF($P2111,INT($B2111),"m")))/(EDATE($P2111,DATEDIF($P2111,INT($B2111),"m")+1)-EDATE($P2111,DATEDIF($P2111,INT($B2111),"m"))))/$R2111,0)*$R2111),$P2111))))),"")))</f>
      </c>
      <c r="M2111" s="223">
        <f>IF(OR($C2111="",N($L2111)=0,N($B2111)=0),"",IF(IF(MOD($L2111,1)=0,INT($B2111),$B2111)&lt;=$L2111,"Đúng hạn","Trễ hạn"))</f>
      </c>
      <c r="N2111" s="225">
        <f>IF($C2111="","",ROW())</f>
      </c>
      <c r="O2111" s="225">
        <f>IF($I2111="Công việc",MATCH($C2111,'Kế hoạch'!$A$6:$A$305,0),"")</f>
      </c>
      <c r="P2111" s="234">
        <f>IF($O2111="","",INDEX('Kế hoạch'!$I$6:$I$305,$O2111))</f>
      </c>
      <c r="Q2111" s="225">
        <f>IF($O2111="","",INDEX('Kế hoạch'!$AJ$6:$AJ$305,$O2111))</f>
      </c>
      <c r="R2111" s="225">
        <f>IF($O2111="","",INDEX('Kế hoạch'!$AK$6:$AK$305,$O2111))</f>
      </c>
    </row>
    <row r="2112">
      <c r="A2112" s="223">
        <f>IF($C2112="","",COUNTIF($C$6:$C2112,"?*"))</f>
      </c>
      <c r="B2112" s="217"/>
      <c r="C2112" s="216"/>
      <c r="D2112" s="240"/>
      <c r="E2112" s="218"/>
      <c r="F2112" s="218"/>
      <c r="G2112" s="218"/>
      <c r="H2112" s="219"/>
      <c r="I2112" s="223">
        <f>IF($C2112="","",IF(ISNUMBER(MATCH($C2112,'Phản ánh'!$A$6:$A$505,0)),"Phản ánh",IF(ISNUMBER(MATCH($C2112,'Kế hoạch'!$A$6:$A$305,0)),"Công việc","Mã chưa có")))</f>
      </c>
      <c r="J2112" s="221">
        <f>IF($I2112="Phản ánh",INDEX('Phản ánh'!$C$6:$C$505,MATCH($C2112,'Phản ánh'!$A$6:$A$505,0)),IF($I2112="Công việc",INDEX('Kế hoạch'!$C$6:$C$305,$O2112),""))</f>
      </c>
      <c r="K2112" s="221">
        <f>IF($I2112="Phản ánh",INDEX('Phản ánh'!$K$6:$K$505,MATCH($C2112,'Phản ánh'!$A$6:$A$505,0))&amp;"",IF($I2112="Công việc",INDEX('Kế hoạch'!$N$6:$N$305,$O2112)&amp;"",""))</f>
      </c>
      <c r="L2112" s="220">
        <f>IF(OR($C2112="",N($B2112)=0),"",IF(AND($I2112="Phản ánh",$E2112="Đã xử lý"),INDEX('Phản ánh'!$U$6:$U$505,MATCH($C2112,'Phản ánh'!$A$6:$A$505,0)),IF(AND($I2112="Công việc",OR($E2112="Hoàn thành",$E2112="Hoàn thành kỳ")),IF(INDEX('Kế hoạch'!$B$6:$B$305,$O2112)="Đột xuất",INDEX('Kế hoạch'!$AY$6:$AY$305,$O2112),IF(N($P2112)=0,"",IF(INT($B2112)&lt;$P2112,$P2112,IF($Q2112&gt;0,$P2112+ROUND((INT($B2112)-$P2112)/$Q2112,0)*$Q2112,IF($R2112&gt;0,EDATE($P2112,ROUND((DATEDIF($P2112,INT($B2112),"m")+(INT($B2112)-EDATE($P2112,DATEDIF($P2112,INT($B2112),"m")))/(EDATE($P2112,DATEDIF($P2112,INT($B2112),"m")+1)-EDATE($P2112,DATEDIF($P2112,INT($B2112),"m"))))/$R2112,0)*$R2112),$P2112))))),"")))</f>
      </c>
      <c r="M2112" s="223">
        <f>IF(OR($C2112="",N($L2112)=0,N($B2112)=0),"",IF(IF(MOD($L2112,1)=0,INT($B2112),$B2112)&lt;=$L2112,"Đúng hạn","Trễ hạn"))</f>
      </c>
      <c r="N2112" s="225">
        <f>IF($C2112="","",ROW())</f>
      </c>
      <c r="O2112" s="225">
        <f>IF($I2112="Công việc",MATCH($C2112,'Kế hoạch'!$A$6:$A$305,0),"")</f>
      </c>
      <c r="P2112" s="234">
        <f>IF($O2112="","",INDEX('Kế hoạch'!$I$6:$I$305,$O2112))</f>
      </c>
      <c r="Q2112" s="225">
        <f>IF($O2112="","",INDEX('Kế hoạch'!$AJ$6:$AJ$305,$O2112))</f>
      </c>
      <c r="R2112" s="225">
        <f>IF($O2112="","",INDEX('Kế hoạch'!$AK$6:$AK$305,$O2112))</f>
      </c>
    </row>
    <row r="2113">
      <c r="A2113" s="223">
        <f>IF($C2113="","",COUNTIF($C$6:$C2113,"?*"))</f>
      </c>
      <c r="B2113" s="217"/>
      <c r="C2113" s="216"/>
      <c r="D2113" s="240"/>
      <c r="E2113" s="218"/>
      <c r="F2113" s="218"/>
      <c r="G2113" s="218"/>
      <c r="H2113" s="219"/>
      <c r="I2113" s="223">
        <f>IF($C2113="","",IF(ISNUMBER(MATCH($C2113,'Phản ánh'!$A$6:$A$505,0)),"Phản ánh",IF(ISNUMBER(MATCH($C2113,'Kế hoạch'!$A$6:$A$305,0)),"Công việc","Mã chưa có")))</f>
      </c>
      <c r="J2113" s="221">
        <f>IF($I2113="Phản ánh",INDEX('Phản ánh'!$C$6:$C$505,MATCH($C2113,'Phản ánh'!$A$6:$A$505,0)),IF($I2113="Công việc",INDEX('Kế hoạch'!$C$6:$C$305,$O2113),""))</f>
      </c>
      <c r="K2113" s="221">
        <f>IF($I2113="Phản ánh",INDEX('Phản ánh'!$K$6:$K$505,MATCH($C2113,'Phản ánh'!$A$6:$A$505,0))&amp;"",IF($I2113="Công việc",INDEX('Kế hoạch'!$N$6:$N$305,$O2113)&amp;"",""))</f>
      </c>
      <c r="L2113" s="220">
        <f>IF(OR($C2113="",N($B2113)=0),"",IF(AND($I2113="Phản ánh",$E2113="Đã xử lý"),INDEX('Phản ánh'!$U$6:$U$505,MATCH($C2113,'Phản ánh'!$A$6:$A$505,0)),IF(AND($I2113="Công việc",OR($E2113="Hoàn thành",$E2113="Hoàn thành kỳ")),IF(INDEX('Kế hoạch'!$B$6:$B$305,$O2113)="Đột xuất",INDEX('Kế hoạch'!$AY$6:$AY$305,$O2113),IF(N($P2113)=0,"",IF(INT($B2113)&lt;$P2113,$P2113,IF($Q2113&gt;0,$P2113+ROUND((INT($B2113)-$P2113)/$Q2113,0)*$Q2113,IF($R2113&gt;0,EDATE($P2113,ROUND((DATEDIF($P2113,INT($B2113),"m")+(INT($B2113)-EDATE($P2113,DATEDIF($P2113,INT($B2113),"m")))/(EDATE($P2113,DATEDIF($P2113,INT($B2113),"m")+1)-EDATE($P2113,DATEDIF($P2113,INT($B2113),"m"))))/$R2113,0)*$R2113),$P2113))))),"")))</f>
      </c>
      <c r="M2113" s="223">
        <f>IF(OR($C2113="",N($L2113)=0,N($B2113)=0),"",IF(IF(MOD($L2113,1)=0,INT($B2113),$B2113)&lt;=$L2113,"Đúng hạn","Trễ hạn"))</f>
      </c>
      <c r="N2113" s="225">
        <f>IF($C2113="","",ROW())</f>
      </c>
      <c r="O2113" s="225">
        <f>IF($I2113="Công việc",MATCH($C2113,'Kế hoạch'!$A$6:$A$305,0),"")</f>
      </c>
      <c r="P2113" s="234">
        <f>IF($O2113="","",INDEX('Kế hoạch'!$I$6:$I$305,$O2113))</f>
      </c>
      <c r="Q2113" s="225">
        <f>IF($O2113="","",INDEX('Kế hoạch'!$AJ$6:$AJ$305,$O2113))</f>
      </c>
      <c r="R2113" s="225">
        <f>IF($O2113="","",INDEX('Kế hoạch'!$AK$6:$AK$305,$O2113))</f>
      </c>
    </row>
    <row r="2114">
      <c r="A2114" s="223">
        <f>IF($C2114="","",COUNTIF($C$6:$C2114,"?*"))</f>
      </c>
      <c r="B2114" s="217"/>
      <c r="C2114" s="216"/>
      <c r="D2114" s="240"/>
      <c r="E2114" s="218"/>
      <c r="F2114" s="218"/>
      <c r="G2114" s="218"/>
      <c r="H2114" s="219"/>
      <c r="I2114" s="223">
        <f>IF($C2114="","",IF(ISNUMBER(MATCH($C2114,'Phản ánh'!$A$6:$A$505,0)),"Phản ánh",IF(ISNUMBER(MATCH($C2114,'Kế hoạch'!$A$6:$A$305,0)),"Công việc","Mã chưa có")))</f>
      </c>
      <c r="J2114" s="221">
        <f>IF($I2114="Phản ánh",INDEX('Phản ánh'!$C$6:$C$505,MATCH($C2114,'Phản ánh'!$A$6:$A$505,0)),IF($I2114="Công việc",INDEX('Kế hoạch'!$C$6:$C$305,$O2114),""))</f>
      </c>
      <c r="K2114" s="221">
        <f>IF($I2114="Phản ánh",INDEX('Phản ánh'!$K$6:$K$505,MATCH($C2114,'Phản ánh'!$A$6:$A$505,0))&amp;"",IF($I2114="Công việc",INDEX('Kế hoạch'!$N$6:$N$305,$O2114)&amp;"",""))</f>
      </c>
      <c r="L2114" s="220">
        <f>IF(OR($C2114="",N($B2114)=0),"",IF(AND($I2114="Phản ánh",$E2114="Đã xử lý"),INDEX('Phản ánh'!$U$6:$U$505,MATCH($C2114,'Phản ánh'!$A$6:$A$505,0)),IF(AND($I2114="Công việc",OR($E2114="Hoàn thành",$E2114="Hoàn thành kỳ")),IF(INDEX('Kế hoạch'!$B$6:$B$305,$O2114)="Đột xuất",INDEX('Kế hoạch'!$AY$6:$AY$305,$O2114),IF(N($P2114)=0,"",IF(INT($B2114)&lt;$P2114,$P2114,IF($Q2114&gt;0,$P2114+ROUND((INT($B2114)-$P2114)/$Q2114,0)*$Q2114,IF($R2114&gt;0,EDATE($P2114,ROUND((DATEDIF($P2114,INT($B2114),"m")+(INT($B2114)-EDATE($P2114,DATEDIF($P2114,INT($B2114),"m")))/(EDATE($P2114,DATEDIF($P2114,INT($B2114),"m")+1)-EDATE($P2114,DATEDIF($P2114,INT($B2114),"m"))))/$R2114,0)*$R2114),$P2114))))),"")))</f>
      </c>
      <c r="M2114" s="223">
        <f>IF(OR($C2114="",N($L2114)=0,N($B2114)=0),"",IF(IF(MOD($L2114,1)=0,INT($B2114),$B2114)&lt;=$L2114,"Đúng hạn","Trễ hạn"))</f>
      </c>
      <c r="N2114" s="225">
        <f>IF($C2114="","",ROW())</f>
      </c>
      <c r="O2114" s="225">
        <f>IF($I2114="Công việc",MATCH($C2114,'Kế hoạch'!$A$6:$A$305,0),"")</f>
      </c>
      <c r="P2114" s="234">
        <f>IF($O2114="","",INDEX('Kế hoạch'!$I$6:$I$305,$O2114))</f>
      </c>
      <c r="Q2114" s="225">
        <f>IF($O2114="","",INDEX('Kế hoạch'!$AJ$6:$AJ$305,$O2114))</f>
      </c>
      <c r="R2114" s="225">
        <f>IF($O2114="","",INDEX('Kế hoạch'!$AK$6:$AK$305,$O2114))</f>
      </c>
    </row>
    <row r="2115">
      <c r="A2115" s="223">
        <f>IF($C2115="","",COUNTIF($C$6:$C2115,"?*"))</f>
      </c>
      <c r="B2115" s="217"/>
      <c r="C2115" s="216"/>
      <c r="D2115" s="240"/>
      <c r="E2115" s="218"/>
      <c r="F2115" s="218"/>
      <c r="G2115" s="218"/>
      <c r="H2115" s="219"/>
      <c r="I2115" s="223">
        <f>IF($C2115="","",IF(ISNUMBER(MATCH($C2115,'Phản ánh'!$A$6:$A$505,0)),"Phản ánh",IF(ISNUMBER(MATCH($C2115,'Kế hoạch'!$A$6:$A$305,0)),"Công việc","Mã chưa có")))</f>
      </c>
      <c r="J2115" s="221">
        <f>IF($I2115="Phản ánh",INDEX('Phản ánh'!$C$6:$C$505,MATCH($C2115,'Phản ánh'!$A$6:$A$505,0)),IF($I2115="Công việc",INDEX('Kế hoạch'!$C$6:$C$305,$O2115),""))</f>
      </c>
      <c r="K2115" s="221">
        <f>IF($I2115="Phản ánh",INDEX('Phản ánh'!$K$6:$K$505,MATCH($C2115,'Phản ánh'!$A$6:$A$505,0))&amp;"",IF($I2115="Công việc",INDEX('Kế hoạch'!$N$6:$N$305,$O2115)&amp;"",""))</f>
      </c>
      <c r="L2115" s="220">
        <f>IF(OR($C2115="",N($B2115)=0),"",IF(AND($I2115="Phản ánh",$E2115="Đã xử lý"),INDEX('Phản ánh'!$U$6:$U$505,MATCH($C2115,'Phản ánh'!$A$6:$A$505,0)),IF(AND($I2115="Công việc",OR($E2115="Hoàn thành",$E2115="Hoàn thành kỳ")),IF(INDEX('Kế hoạch'!$B$6:$B$305,$O2115)="Đột xuất",INDEX('Kế hoạch'!$AY$6:$AY$305,$O2115),IF(N($P2115)=0,"",IF(INT($B2115)&lt;$P2115,$P2115,IF($Q2115&gt;0,$P2115+ROUND((INT($B2115)-$P2115)/$Q2115,0)*$Q2115,IF($R2115&gt;0,EDATE($P2115,ROUND((DATEDIF($P2115,INT($B2115),"m")+(INT($B2115)-EDATE($P2115,DATEDIF($P2115,INT($B2115),"m")))/(EDATE($P2115,DATEDIF($P2115,INT($B2115),"m")+1)-EDATE($P2115,DATEDIF($P2115,INT($B2115),"m"))))/$R2115,0)*$R2115),$P2115))))),"")))</f>
      </c>
      <c r="M2115" s="223">
        <f>IF(OR($C2115="",N($L2115)=0,N($B2115)=0),"",IF(IF(MOD($L2115,1)=0,INT($B2115),$B2115)&lt;=$L2115,"Đúng hạn","Trễ hạn"))</f>
      </c>
      <c r="N2115" s="225">
        <f>IF($C2115="","",ROW())</f>
      </c>
      <c r="O2115" s="225">
        <f>IF($I2115="Công việc",MATCH($C2115,'Kế hoạch'!$A$6:$A$305,0),"")</f>
      </c>
      <c r="P2115" s="234">
        <f>IF($O2115="","",INDEX('Kế hoạch'!$I$6:$I$305,$O2115))</f>
      </c>
      <c r="Q2115" s="225">
        <f>IF($O2115="","",INDEX('Kế hoạch'!$AJ$6:$AJ$305,$O2115))</f>
      </c>
      <c r="R2115" s="225">
        <f>IF($O2115="","",INDEX('Kế hoạch'!$AK$6:$AK$305,$O2115))</f>
      </c>
    </row>
    <row r="2116">
      <c r="A2116" s="223">
        <f>IF($C2116="","",COUNTIF($C$6:$C2116,"?*"))</f>
      </c>
      <c r="B2116" s="217"/>
      <c r="C2116" s="216"/>
      <c r="D2116" s="240"/>
      <c r="E2116" s="218"/>
      <c r="F2116" s="218"/>
      <c r="G2116" s="218"/>
      <c r="H2116" s="219"/>
      <c r="I2116" s="223">
        <f>IF($C2116="","",IF(ISNUMBER(MATCH($C2116,'Phản ánh'!$A$6:$A$505,0)),"Phản ánh",IF(ISNUMBER(MATCH($C2116,'Kế hoạch'!$A$6:$A$305,0)),"Công việc","Mã chưa có")))</f>
      </c>
      <c r="J2116" s="221">
        <f>IF($I2116="Phản ánh",INDEX('Phản ánh'!$C$6:$C$505,MATCH($C2116,'Phản ánh'!$A$6:$A$505,0)),IF($I2116="Công việc",INDEX('Kế hoạch'!$C$6:$C$305,$O2116),""))</f>
      </c>
      <c r="K2116" s="221">
        <f>IF($I2116="Phản ánh",INDEX('Phản ánh'!$K$6:$K$505,MATCH($C2116,'Phản ánh'!$A$6:$A$505,0))&amp;"",IF($I2116="Công việc",INDEX('Kế hoạch'!$N$6:$N$305,$O2116)&amp;"",""))</f>
      </c>
      <c r="L2116" s="220">
        <f>IF(OR($C2116="",N($B2116)=0),"",IF(AND($I2116="Phản ánh",$E2116="Đã xử lý"),INDEX('Phản ánh'!$U$6:$U$505,MATCH($C2116,'Phản ánh'!$A$6:$A$505,0)),IF(AND($I2116="Công việc",OR($E2116="Hoàn thành",$E2116="Hoàn thành kỳ")),IF(INDEX('Kế hoạch'!$B$6:$B$305,$O2116)="Đột xuất",INDEX('Kế hoạch'!$AY$6:$AY$305,$O2116),IF(N($P2116)=0,"",IF(INT($B2116)&lt;$P2116,$P2116,IF($Q2116&gt;0,$P2116+ROUND((INT($B2116)-$P2116)/$Q2116,0)*$Q2116,IF($R2116&gt;0,EDATE($P2116,ROUND((DATEDIF($P2116,INT($B2116),"m")+(INT($B2116)-EDATE($P2116,DATEDIF($P2116,INT($B2116),"m")))/(EDATE($P2116,DATEDIF($P2116,INT($B2116),"m")+1)-EDATE($P2116,DATEDIF($P2116,INT($B2116),"m"))))/$R2116,0)*$R2116),$P2116))))),"")))</f>
      </c>
      <c r="M2116" s="223">
        <f>IF(OR($C2116="",N($L2116)=0,N($B2116)=0),"",IF(IF(MOD($L2116,1)=0,INT($B2116),$B2116)&lt;=$L2116,"Đúng hạn","Trễ hạn"))</f>
      </c>
      <c r="N2116" s="225">
        <f>IF($C2116="","",ROW())</f>
      </c>
      <c r="O2116" s="225">
        <f>IF($I2116="Công việc",MATCH($C2116,'Kế hoạch'!$A$6:$A$305,0),"")</f>
      </c>
      <c r="P2116" s="234">
        <f>IF($O2116="","",INDEX('Kế hoạch'!$I$6:$I$305,$O2116))</f>
      </c>
      <c r="Q2116" s="225">
        <f>IF($O2116="","",INDEX('Kế hoạch'!$AJ$6:$AJ$305,$O2116))</f>
      </c>
      <c r="R2116" s="225">
        <f>IF($O2116="","",INDEX('Kế hoạch'!$AK$6:$AK$305,$O2116))</f>
      </c>
    </row>
    <row r="2117">
      <c r="A2117" s="223">
        <f>IF($C2117="","",COUNTIF($C$6:$C2117,"?*"))</f>
      </c>
      <c r="B2117" s="217"/>
      <c r="C2117" s="216"/>
      <c r="D2117" s="240"/>
      <c r="E2117" s="218"/>
      <c r="F2117" s="218"/>
      <c r="G2117" s="218"/>
      <c r="H2117" s="219"/>
      <c r="I2117" s="223">
        <f>IF($C2117="","",IF(ISNUMBER(MATCH($C2117,'Phản ánh'!$A$6:$A$505,0)),"Phản ánh",IF(ISNUMBER(MATCH($C2117,'Kế hoạch'!$A$6:$A$305,0)),"Công việc","Mã chưa có")))</f>
      </c>
      <c r="J2117" s="221">
        <f>IF($I2117="Phản ánh",INDEX('Phản ánh'!$C$6:$C$505,MATCH($C2117,'Phản ánh'!$A$6:$A$505,0)),IF($I2117="Công việc",INDEX('Kế hoạch'!$C$6:$C$305,$O2117),""))</f>
      </c>
      <c r="K2117" s="221">
        <f>IF($I2117="Phản ánh",INDEX('Phản ánh'!$K$6:$K$505,MATCH($C2117,'Phản ánh'!$A$6:$A$505,0))&amp;"",IF($I2117="Công việc",INDEX('Kế hoạch'!$N$6:$N$305,$O2117)&amp;"",""))</f>
      </c>
      <c r="L2117" s="220">
        <f>IF(OR($C2117="",N($B2117)=0),"",IF(AND($I2117="Phản ánh",$E2117="Đã xử lý"),INDEX('Phản ánh'!$U$6:$U$505,MATCH($C2117,'Phản ánh'!$A$6:$A$505,0)),IF(AND($I2117="Công việc",OR($E2117="Hoàn thành",$E2117="Hoàn thành kỳ")),IF(INDEX('Kế hoạch'!$B$6:$B$305,$O2117)="Đột xuất",INDEX('Kế hoạch'!$AY$6:$AY$305,$O2117),IF(N($P2117)=0,"",IF(INT($B2117)&lt;$P2117,$P2117,IF($Q2117&gt;0,$P2117+ROUND((INT($B2117)-$P2117)/$Q2117,0)*$Q2117,IF($R2117&gt;0,EDATE($P2117,ROUND((DATEDIF($P2117,INT($B2117),"m")+(INT($B2117)-EDATE($P2117,DATEDIF($P2117,INT($B2117),"m")))/(EDATE($P2117,DATEDIF($P2117,INT($B2117),"m")+1)-EDATE($P2117,DATEDIF($P2117,INT($B2117),"m"))))/$R2117,0)*$R2117),$P2117))))),"")))</f>
      </c>
      <c r="M2117" s="223">
        <f>IF(OR($C2117="",N($L2117)=0,N($B2117)=0),"",IF(IF(MOD($L2117,1)=0,INT($B2117),$B2117)&lt;=$L2117,"Đúng hạn","Trễ hạn"))</f>
      </c>
      <c r="N2117" s="225">
        <f>IF($C2117="","",ROW())</f>
      </c>
      <c r="O2117" s="225">
        <f>IF($I2117="Công việc",MATCH($C2117,'Kế hoạch'!$A$6:$A$305,0),"")</f>
      </c>
      <c r="P2117" s="234">
        <f>IF($O2117="","",INDEX('Kế hoạch'!$I$6:$I$305,$O2117))</f>
      </c>
      <c r="Q2117" s="225">
        <f>IF($O2117="","",INDEX('Kế hoạch'!$AJ$6:$AJ$305,$O2117))</f>
      </c>
      <c r="R2117" s="225">
        <f>IF($O2117="","",INDEX('Kế hoạch'!$AK$6:$AK$305,$O2117))</f>
      </c>
    </row>
    <row r="2118">
      <c r="A2118" s="223">
        <f>IF($C2118="","",COUNTIF($C$6:$C2118,"?*"))</f>
      </c>
      <c r="B2118" s="217"/>
      <c r="C2118" s="216"/>
      <c r="D2118" s="240"/>
      <c r="E2118" s="218"/>
      <c r="F2118" s="218"/>
      <c r="G2118" s="218"/>
      <c r="H2118" s="219"/>
      <c r="I2118" s="223">
        <f>IF($C2118="","",IF(ISNUMBER(MATCH($C2118,'Phản ánh'!$A$6:$A$505,0)),"Phản ánh",IF(ISNUMBER(MATCH($C2118,'Kế hoạch'!$A$6:$A$305,0)),"Công việc","Mã chưa có")))</f>
      </c>
      <c r="J2118" s="221">
        <f>IF($I2118="Phản ánh",INDEX('Phản ánh'!$C$6:$C$505,MATCH($C2118,'Phản ánh'!$A$6:$A$505,0)),IF($I2118="Công việc",INDEX('Kế hoạch'!$C$6:$C$305,$O2118),""))</f>
      </c>
      <c r="K2118" s="221">
        <f>IF($I2118="Phản ánh",INDEX('Phản ánh'!$K$6:$K$505,MATCH($C2118,'Phản ánh'!$A$6:$A$505,0))&amp;"",IF($I2118="Công việc",INDEX('Kế hoạch'!$N$6:$N$305,$O2118)&amp;"",""))</f>
      </c>
      <c r="L2118" s="220">
        <f>IF(OR($C2118="",N($B2118)=0),"",IF(AND($I2118="Phản ánh",$E2118="Đã xử lý"),INDEX('Phản ánh'!$U$6:$U$505,MATCH($C2118,'Phản ánh'!$A$6:$A$505,0)),IF(AND($I2118="Công việc",OR($E2118="Hoàn thành",$E2118="Hoàn thành kỳ")),IF(INDEX('Kế hoạch'!$B$6:$B$305,$O2118)="Đột xuất",INDEX('Kế hoạch'!$AY$6:$AY$305,$O2118),IF(N($P2118)=0,"",IF(INT($B2118)&lt;$P2118,$P2118,IF($Q2118&gt;0,$P2118+ROUND((INT($B2118)-$P2118)/$Q2118,0)*$Q2118,IF($R2118&gt;0,EDATE($P2118,ROUND((DATEDIF($P2118,INT($B2118),"m")+(INT($B2118)-EDATE($P2118,DATEDIF($P2118,INT($B2118),"m")))/(EDATE($P2118,DATEDIF($P2118,INT($B2118),"m")+1)-EDATE($P2118,DATEDIF($P2118,INT($B2118),"m"))))/$R2118,0)*$R2118),$P2118))))),"")))</f>
      </c>
      <c r="M2118" s="223">
        <f>IF(OR($C2118="",N($L2118)=0,N($B2118)=0),"",IF(IF(MOD($L2118,1)=0,INT($B2118),$B2118)&lt;=$L2118,"Đúng hạn","Trễ hạn"))</f>
      </c>
      <c r="N2118" s="225">
        <f>IF($C2118="","",ROW())</f>
      </c>
      <c r="O2118" s="225">
        <f>IF($I2118="Công việc",MATCH($C2118,'Kế hoạch'!$A$6:$A$305,0),"")</f>
      </c>
      <c r="P2118" s="234">
        <f>IF($O2118="","",INDEX('Kế hoạch'!$I$6:$I$305,$O2118))</f>
      </c>
      <c r="Q2118" s="225">
        <f>IF($O2118="","",INDEX('Kế hoạch'!$AJ$6:$AJ$305,$O2118))</f>
      </c>
      <c r="R2118" s="225">
        <f>IF($O2118="","",INDEX('Kế hoạch'!$AK$6:$AK$305,$O2118))</f>
      </c>
    </row>
    <row r="2119">
      <c r="A2119" s="223">
        <f>IF($C2119="","",COUNTIF($C$6:$C2119,"?*"))</f>
      </c>
      <c r="B2119" s="217"/>
      <c r="C2119" s="216"/>
      <c r="D2119" s="240"/>
      <c r="E2119" s="218"/>
      <c r="F2119" s="218"/>
      <c r="G2119" s="218"/>
      <c r="H2119" s="219"/>
      <c r="I2119" s="223">
        <f>IF($C2119="","",IF(ISNUMBER(MATCH($C2119,'Phản ánh'!$A$6:$A$505,0)),"Phản ánh",IF(ISNUMBER(MATCH($C2119,'Kế hoạch'!$A$6:$A$305,0)),"Công việc","Mã chưa có")))</f>
      </c>
      <c r="J2119" s="221">
        <f>IF($I2119="Phản ánh",INDEX('Phản ánh'!$C$6:$C$505,MATCH($C2119,'Phản ánh'!$A$6:$A$505,0)),IF($I2119="Công việc",INDEX('Kế hoạch'!$C$6:$C$305,$O2119),""))</f>
      </c>
      <c r="K2119" s="221">
        <f>IF($I2119="Phản ánh",INDEX('Phản ánh'!$K$6:$K$505,MATCH($C2119,'Phản ánh'!$A$6:$A$505,0))&amp;"",IF($I2119="Công việc",INDEX('Kế hoạch'!$N$6:$N$305,$O2119)&amp;"",""))</f>
      </c>
      <c r="L2119" s="220">
        <f>IF(OR($C2119="",N($B2119)=0),"",IF(AND($I2119="Phản ánh",$E2119="Đã xử lý"),INDEX('Phản ánh'!$U$6:$U$505,MATCH($C2119,'Phản ánh'!$A$6:$A$505,0)),IF(AND($I2119="Công việc",OR($E2119="Hoàn thành",$E2119="Hoàn thành kỳ")),IF(INDEX('Kế hoạch'!$B$6:$B$305,$O2119)="Đột xuất",INDEX('Kế hoạch'!$AY$6:$AY$305,$O2119),IF(N($P2119)=0,"",IF(INT($B2119)&lt;$P2119,$P2119,IF($Q2119&gt;0,$P2119+ROUND((INT($B2119)-$P2119)/$Q2119,0)*$Q2119,IF($R2119&gt;0,EDATE($P2119,ROUND((DATEDIF($P2119,INT($B2119),"m")+(INT($B2119)-EDATE($P2119,DATEDIF($P2119,INT($B2119),"m")))/(EDATE($P2119,DATEDIF($P2119,INT($B2119),"m")+1)-EDATE($P2119,DATEDIF($P2119,INT($B2119),"m"))))/$R2119,0)*$R2119),$P2119))))),"")))</f>
      </c>
      <c r="M2119" s="223">
        <f>IF(OR($C2119="",N($L2119)=0,N($B2119)=0),"",IF(IF(MOD($L2119,1)=0,INT($B2119),$B2119)&lt;=$L2119,"Đúng hạn","Trễ hạn"))</f>
      </c>
      <c r="N2119" s="225">
        <f>IF($C2119="","",ROW())</f>
      </c>
      <c r="O2119" s="225">
        <f>IF($I2119="Công việc",MATCH($C2119,'Kế hoạch'!$A$6:$A$305,0),"")</f>
      </c>
      <c r="P2119" s="234">
        <f>IF($O2119="","",INDEX('Kế hoạch'!$I$6:$I$305,$O2119))</f>
      </c>
      <c r="Q2119" s="225">
        <f>IF($O2119="","",INDEX('Kế hoạch'!$AJ$6:$AJ$305,$O2119))</f>
      </c>
      <c r="R2119" s="225">
        <f>IF($O2119="","",INDEX('Kế hoạch'!$AK$6:$AK$305,$O2119))</f>
      </c>
    </row>
    <row r="2120">
      <c r="A2120" s="223">
        <f>IF($C2120="","",COUNTIF($C$6:$C2120,"?*"))</f>
      </c>
      <c r="B2120" s="217"/>
      <c r="C2120" s="216"/>
      <c r="D2120" s="240"/>
      <c r="E2120" s="218"/>
      <c r="F2120" s="218"/>
      <c r="G2120" s="218"/>
      <c r="H2120" s="219"/>
      <c r="I2120" s="223">
        <f>IF($C2120="","",IF(ISNUMBER(MATCH($C2120,'Phản ánh'!$A$6:$A$505,0)),"Phản ánh",IF(ISNUMBER(MATCH($C2120,'Kế hoạch'!$A$6:$A$305,0)),"Công việc","Mã chưa có")))</f>
      </c>
      <c r="J2120" s="221">
        <f>IF($I2120="Phản ánh",INDEX('Phản ánh'!$C$6:$C$505,MATCH($C2120,'Phản ánh'!$A$6:$A$505,0)),IF($I2120="Công việc",INDEX('Kế hoạch'!$C$6:$C$305,$O2120),""))</f>
      </c>
      <c r="K2120" s="221">
        <f>IF($I2120="Phản ánh",INDEX('Phản ánh'!$K$6:$K$505,MATCH($C2120,'Phản ánh'!$A$6:$A$505,0))&amp;"",IF($I2120="Công việc",INDEX('Kế hoạch'!$N$6:$N$305,$O2120)&amp;"",""))</f>
      </c>
      <c r="L2120" s="220">
        <f>IF(OR($C2120="",N($B2120)=0),"",IF(AND($I2120="Phản ánh",$E2120="Đã xử lý"),INDEX('Phản ánh'!$U$6:$U$505,MATCH($C2120,'Phản ánh'!$A$6:$A$505,0)),IF(AND($I2120="Công việc",OR($E2120="Hoàn thành",$E2120="Hoàn thành kỳ")),IF(INDEX('Kế hoạch'!$B$6:$B$305,$O2120)="Đột xuất",INDEX('Kế hoạch'!$AY$6:$AY$305,$O2120),IF(N($P2120)=0,"",IF(INT($B2120)&lt;$P2120,$P2120,IF($Q2120&gt;0,$P2120+ROUND((INT($B2120)-$P2120)/$Q2120,0)*$Q2120,IF($R2120&gt;0,EDATE($P2120,ROUND((DATEDIF($P2120,INT($B2120),"m")+(INT($B2120)-EDATE($P2120,DATEDIF($P2120,INT($B2120),"m")))/(EDATE($P2120,DATEDIF($P2120,INT($B2120),"m")+1)-EDATE($P2120,DATEDIF($P2120,INT($B2120),"m"))))/$R2120,0)*$R2120),$P2120))))),"")))</f>
      </c>
      <c r="M2120" s="223">
        <f>IF(OR($C2120="",N($L2120)=0,N($B2120)=0),"",IF(IF(MOD($L2120,1)=0,INT($B2120),$B2120)&lt;=$L2120,"Đúng hạn","Trễ hạn"))</f>
      </c>
      <c r="N2120" s="225">
        <f>IF($C2120="","",ROW())</f>
      </c>
      <c r="O2120" s="225">
        <f>IF($I2120="Công việc",MATCH($C2120,'Kế hoạch'!$A$6:$A$305,0),"")</f>
      </c>
      <c r="P2120" s="234">
        <f>IF($O2120="","",INDEX('Kế hoạch'!$I$6:$I$305,$O2120))</f>
      </c>
      <c r="Q2120" s="225">
        <f>IF($O2120="","",INDEX('Kế hoạch'!$AJ$6:$AJ$305,$O2120))</f>
      </c>
      <c r="R2120" s="225">
        <f>IF($O2120="","",INDEX('Kế hoạch'!$AK$6:$AK$305,$O2120))</f>
      </c>
    </row>
    <row r="2121">
      <c r="A2121" s="223">
        <f>IF($C2121="","",COUNTIF($C$6:$C2121,"?*"))</f>
      </c>
      <c r="B2121" s="217"/>
      <c r="C2121" s="216"/>
      <c r="D2121" s="240"/>
      <c r="E2121" s="218"/>
      <c r="F2121" s="218"/>
      <c r="G2121" s="218"/>
      <c r="H2121" s="219"/>
      <c r="I2121" s="223">
        <f>IF($C2121="","",IF(ISNUMBER(MATCH($C2121,'Phản ánh'!$A$6:$A$505,0)),"Phản ánh",IF(ISNUMBER(MATCH($C2121,'Kế hoạch'!$A$6:$A$305,0)),"Công việc","Mã chưa có")))</f>
      </c>
      <c r="J2121" s="221">
        <f>IF($I2121="Phản ánh",INDEX('Phản ánh'!$C$6:$C$505,MATCH($C2121,'Phản ánh'!$A$6:$A$505,0)),IF($I2121="Công việc",INDEX('Kế hoạch'!$C$6:$C$305,$O2121),""))</f>
      </c>
      <c r="K2121" s="221">
        <f>IF($I2121="Phản ánh",INDEX('Phản ánh'!$K$6:$K$505,MATCH($C2121,'Phản ánh'!$A$6:$A$505,0))&amp;"",IF($I2121="Công việc",INDEX('Kế hoạch'!$N$6:$N$305,$O2121)&amp;"",""))</f>
      </c>
      <c r="L2121" s="220">
        <f>IF(OR($C2121="",N($B2121)=0),"",IF(AND($I2121="Phản ánh",$E2121="Đã xử lý"),INDEX('Phản ánh'!$U$6:$U$505,MATCH($C2121,'Phản ánh'!$A$6:$A$505,0)),IF(AND($I2121="Công việc",OR($E2121="Hoàn thành",$E2121="Hoàn thành kỳ")),IF(INDEX('Kế hoạch'!$B$6:$B$305,$O2121)="Đột xuất",INDEX('Kế hoạch'!$AY$6:$AY$305,$O2121),IF(N($P2121)=0,"",IF(INT($B2121)&lt;$P2121,$P2121,IF($Q2121&gt;0,$P2121+ROUND((INT($B2121)-$P2121)/$Q2121,0)*$Q2121,IF($R2121&gt;0,EDATE($P2121,ROUND((DATEDIF($P2121,INT($B2121),"m")+(INT($B2121)-EDATE($P2121,DATEDIF($P2121,INT($B2121),"m")))/(EDATE($P2121,DATEDIF($P2121,INT($B2121),"m")+1)-EDATE($P2121,DATEDIF($P2121,INT($B2121),"m"))))/$R2121,0)*$R2121),$P2121))))),"")))</f>
      </c>
      <c r="M2121" s="223">
        <f>IF(OR($C2121="",N($L2121)=0,N($B2121)=0),"",IF(IF(MOD($L2121,1)=0,INT($B2121),$B2121)&lt;=$L2121,"Đúng hạn","Trễ hạn"))</f>
      </c>
      <c r="N2121" s="225">
        <f>IF($C2121="","",ROW())</f>
      </c>
      <c r="O2121" s="225">
        <f>IF($I2121="Công việc",MATCH($C2121,'Kế hoạch'!$A$6:$A$305,0),"")</f>
      </c>
      <c r="P2121" s="234">
        <f>IF($O2121="","",INDEX('Kế hoạch'!$I$6:$I$305,$O2121))</f>
      </c>
      <c r="Q2121" s="225">
        <f>IF($O2121="","",INDEX('Kế hoạch'!$AJ$6:$AJ$305,$O2121))</f>
      </c>
      <c r="R2121" s="225">
        <f>IF($O2121="","",INDEX('Kế hoạch'!$AK$6:$AK$305,$O2121))</f>
      </c>
    </row>
    <row r="2122">
      <c r="A2122" s="223">
        <f>IF($C2122="","",COUNTIF($C$6:$C2122,"?*"))</f>
      </c>
      <c r="B2122" s="217"/>
      <c r="C2122" s="216"/>
      <c r="D2122" s="240"/>
      <c r="E2122" s="218"/>
      <c r="F2122" s="218"/>
      <c r="G2122" s="218"/>
      <c r="H2122" s="219"/>
      <c r="I2122" s="223">
        <f>IF($C2122="","",IF(ISNUMBER(MATCH($C2122,'Phản ánh'!$A$6:$A$505,0)),"Phản ánh",IF(ISNUMBER(MATCH($C2122,'Kế hoạch'!$A$6:$A$305,0)),"Công việc","Mã chưa có")))</f>
      </c>
      <c r="J2122" s="221">
        <f>IF($I2122="Phản ánh",INDEX('Phản ánh'!$C$6:$C$505,MATCH($C2122,'Phản ánh'!$A$6:$A$505,0)),IF($I2122="Công việc",INDEX('Kế hoạch'!$C$6:$C$305,$O2122),""))</f>
      </c>
      <c r="K2122" s="221">
        <f>IF($I2122="Phản ánh",INDEX('Phản ánh'!$K$6:$K$505,MATCH($C2122,'Phản ánh'!$A$6:$A$505,0))&amp;"",IF($I2122="Công việc",INDEX('Kế hoạch'!$N$6:$N$305,$O2122)&amp;"",""))</f>
      </c>
      <c r="L2122" s="220">
        <f>IF(OR($C2122="",N($B2122)=0),"",IF(AND($I2122="Phản ánh",$E2122="Đã xử lý"),INDEX('Phản ánh'!$U$6:$U$505,MATCH($C2122,'Phản ánh'!$A$6:$A$505,0)),IF(AND($I2122="Công việc",OR($E2122="Hoàn thành",$E2122="Hoàn thành kỳ")),IF(INDEX('Kế hoạch'!$B$6:$B$305,$O2122)="Đột xuất",INDEX('Kế hoạch'!$AY$6:$AY$305,$O2122),IF(N($P2122)=0,"",IF(INT($B2122)&lt;$P2122,$P2122,IF($Q2122&gt;0,$P2122+ROUND((INT($B2122)-$P2122)/$Q2122,0)*$Q2122,IF($R2122&gt;0,EDATE($P2122,ROUND((DATEDIF($P2122,INT($B2122),"m")+(INT($B2122)-EDATE($P2122,DATEDIF($P2122,INT($B2122),"m")))/(EDATE($P2122,DATEDIF($P2122,INT($B2122),"m")+1)-EDATE($P2122,DATEDIF($P2122,INT($B2122),"m"))))/$R2122,0)*$R2122),$P2122))))),"")))</f>
      </c>
      <c r="M2122" s="223">
        <f>IF(OR($C2122="",N($L2122)=0,N($B2122)=0),"",IF(IF(MOD($L2122,1)=0,INT($B2122),$B2122)&lt;=$L2122,"Đúng hạn","Trễ hạn"))</f>
      </c>
      <c r="N2122" s="225">
        <f>IF($C2122="","",ROW())</f>
      </c>
      <c r="O2122" s="225">
        <f>IF($I2122="Công việc",MATCH($C2122,'Kế hoạch'!$A$6:$A$305,0),"")</f>
      </c>
      <c r="P2122" s="234">
        <f>IF($O2122="","",INDEX('Kế hoạch'!$I$6:$I$305,$O2122))</f>
      </c>
      <c r="Q2122" s="225">
        <f>IF($O2122="","",INDEX('Kế hoạch'!$AJ$6:$AJ$305,$O2122))</f>
      </c>
      <c r="R2122" s="225">
        <f>IF($O2122="","",INDEX('Kế hoạch'!$AK$6:$AK$305,$O2122))</f>
      </c>
    </row>
    <row r="2123">
      <c r="A2123" s="223">
        <f>IF($C2123="","",COUNTIF($C$6:$C2123,"?*"))</f>
      </c>
      <c r="B2123" s="217"/>
      <c r="C2123" s="216"/>
      <c r="D2123" s="240"/>
      <c r="E2123" s="218"/>
      <c r="F2123" s="218"/>
      <c r="G2123" s="218"/>
      <c r="H2123" s="219"/>
      <c r="I2123" s="223">
        <f>IF($C2123="","",IF(ISNUMBER(MATCH($C2123,'Phản ánh'!$A$6:$A$505,0)),"Phản ánh",IF(ISNUMBER(MATCH($C2123,'Kế hoạch'!$A$6:$A$305,0)),"Công việc","Mã chưa có")))</f>
      </c>
      <c r="J2123" s="221">
        <f>IF($I2123="Phản ánh",INDEX('Phản ánh'!$C$6:$C$505,MATCH($C2123,'Phản ánh'!$A$6:$A$505,0)),IF($I2123="Công việc",INDEX('Kế hoạch'!$C$6:$C$305,$O2123),""))</f>
      </c>
      <c r="K2123" s="221">
        <f>IF($I2123="Phản ánh",INDEX('Phản ánh'!$K$6:$K$505,MATCH($C2123,'Phản ánh'!$A$6:$A$505,0))&amp;"",IF($I2123="Công việc",INDEX('Kế hoạch'!$N$6:$N$305,$O2123)&amp;"",""))</f>
      </c>
      <c r="L2123" s="220">
        <f>IF(OR($C2123="",N($B2123)=0),"",IF(AND($I2123="Phản ánh",$E2123="Đã xử lý"),INDEX('Phản ánh'!$U$6:$U$505,MATCH($C2123,'Phản ánh'!$A$6:$A$505,0)),IF(AND($I2123="Công việc",OR($E2123="Hoàn thành",$E2123="Hoàn thành kỳ")),IF(INDEX('Kế hoạch'!$B$6:$B$305,$O2123)="Đột xuất",INDEX('Kế hoạch'!$AY$6:$AY$305,$O2123),IF(N($P2123)=0,"",IF(INT($B2123)&lt;$P2123,$P2123,IF($Q2123&gt;0,$P2123+ROUND((INT($B2123)-$P2123)/$Q2123,0)*$Q2123,IF($R2123&gt;0,EDATE($P2123,ROUND((DATEDIF($P2123,INT($B2123),"m")+(INT($B2123)-EDATE($P2123,DATEDIF($P2123,INT($B2123),"m")))/(EDATE($P2123,DATEDIF($P2123,INT($B2123),"m")+1)-EDATE($P2123,DATEDIF($P2123,INT($B2123),"m"))))/$R2123,0)*$R2123),$P2123))))),"")))</f>
      </c>
      <c r="M2123" s="223">
        <f>IF(OR($C2123="",N($L2123)=0,N($B2123)=0),"",IF(IF(MOD($L2123,1)=0,INT($B2123),$B2123)&lt;=$L2123,"Đúng hạn","Trễ hạn"))</f>
      </c>
      <c r="N2123" s="225">
        <f>IF($C2123="","",ROW())</f>
      </c>
      <c r="O2123" s="225">
        <f>IF($I2123="Công việc",MATCH($C2123,'Kế hoạch'!$A$6:$A$305,0),"")</f>
      </c>
      <c r="P2123" s="234">
        <f>IF($O2123="","",INDEX('Kế hoạch'!$I$6:$I$305,$O2123))</f>
      </c>
      <c r="Q2123" s="225">
        <f>IF($O2123="","",INDEX('Kế hoạch'!$AJ$6:$AJ$305,$O2123))</f>
      </c>
      <c r="R2123" s="225">
        <f>IF($O2123="","",INDEX('Kế hoạch'!$AK$6:$AK$305,$O2123))</f>
      </c>
    </row>
    <row r="2124">
      <c r="A2124" s="223">
        <f>IF($C2124="","",COUNTIF($C$6:$C2124,"?*"))</f>
      </c>
      <c r="B2124" s="217"/>
      <c r="C2124" s="216"/>
      <c r="D2124" s="240"/>
      <c r="E2124" s="218"/>
      <c r="F2124" s="218"/>
      <c r="G2124" s="218"/>
      <c r="H2124" s="219"/>
      <c r="I2124" s="223">
        <f>IF($C2124="","",IF(ISNUMBER(MATCH($C2124,'Phản ánh'!$A$6:$A$505,0)),"Phản ánh",IF(ISNUMBER(MATCH($C2124,'Kế hoạch'!$A$6:$A$305,0)),"Công việc","Mã chưa có")))</f>
      </c>
      <c r="J2124" s="221">
        <f>IF($I2124="Phản ánh",INDEX('Phản ánh'!$C$6:$C$505,MATCH($C2124,'Phản ánh'!$A$6:$A$505,0)),IF($I2124="Công việc",INDEX('Kế hoạch'!$C$6:$C$305,$O2124),""))</f>
      </c>
      <c r="K2124" s="221">
        <f>IF($I2124="Phản ánh",INDEX('Phản ánh'!$K$6:$K$505,MATCH($C2124,'Phản ánh'!$A$6:$A$505,0))&amp;"",IF($I2124="Công việc",INDEX('Kế hoạch'!$N$6:$N$305,$O2124)&amp;"",""))</f>
      </c>
      <c r="L2124" s="220">
        <f>IF(OR($C2124="",N($B2124)=0),"",IF(AND($I2124="Phản ánh",$E2124="Đã xử lý"),INDEX('Phản ánh'!$U$6:$U$505,MATCH($C2124,'Phản ánh'!$A$6:$A$505,0)),IF(AND($I2124="Công việc",OR($E2124="Hoàn thành",$E2124="Hoàn thành kỳ")),IF(INDEX('Kế hoạch'!$B$6:$B$305,$O2124)="Đột xuất",INDEX('Kế hoạch'!$AY$6:$AY$305,$O2124),IF(N($P2124)=0,"",IF(INT($B2124)&lt;$P2124,$P2124,IF($Q2124&gt;0,$P2124+ROUND((INT($B2124)-$P2124)/$Q2124,0)*$Q2124,IF($R2124&gt;0,EDATE($P2124,ROUND((DATEDIF($P2124,INT($B2124),"m")+(INT($B2124)-EDATE($P2124,DATEDIF($P2124,INT($B2124),"m")))/(EDATE($P2124,DATEDIF($P2124,INT($B2124),"m")+1)-EDATE($P2124,DATEDIF($P2124,INT($B2124),"m"))))/$R2124,0)*$R2124),$P2124))))),"")))</f>
      </c>
      <c r="M2124" s="223">
        <f>IF(OR($C2124="",N($L2124)=0,N($B2124)=0),"",IF(IF(MOD($L2124,1)=0,INT($B2124),$B2124)&lt;=$L2124,"Đúng hạn","Trễ hạn"))</f>
      </c>
      <c r="N2124" s="225">
        <f>IF($C2124="","",ROW())</f>
      </c>
      <c r="O2124" s="225">
        <f>IF($I2124="Công việc",MATCH($C2124,'Kế hoạch'!$A$6:$A$305,0),"")</f>
      </c>
      <c r="P2124" s="234">
        <f>IF($O2124="","",INDEX('Kế hoạch'!$I$6:$I$305,$O2124))</f>
      </c>
      <c r="Q2124" s="225">
        <f>IF($O2124="","",INDEX('Kế hoạch'!$AJ$6:$AJ$305,$O2124))</f>
      </c>
      <c r="R2124" s="225">
        <f>IF($O2124="","",INDEX('Kế hoạch'!$AK$6:$AK$305,$O2124))</f>
      </c>
    </row>
    <row r="2125">
      <c r="A2125" s="223">
        <f>IF($C2125="","",COUNTIF($C$6:$C2125,"?*"))</f>
      </c>
      <c r="B2125" s="217"/>
      <c r="C2125" s="216"/>
      <c r="D2125" s="240"/>
      <c r="E2125" s="218"/>
      <c r="F2125" s="218"/>
      <c r="G2125" s="218"/>
      <c r="H2125" s="219"/>
      <c r="I2125" s="223">
        <f>IF($C2125="","",IF(ISNUMBER(MATCH($C2125,'Phản ánh'!$A$6:$A$505,0)),"Phản ánh",IF(ISNUMBER(MATCH($C2125,'Kế hoạch'!$A$6:$A$305,0)),"Công việc","Mã chưa có")))</f>
      </c>
      <c r="J2125" s="221">
        <f>IF($I2125="Phản ánh",INDEX('Phản ánh'!$C$6:$C$505,MATCH($C2125,'Phản ánh'!$A$6:$A$505,0)),IF($I2125="Công việc",INDEX('Kế hoạch'!$C$6:$C$305,$O2125),""))</f>
      </c>
      <c r="K2125" s="221">
        <f>IF($I2125="Phản ánh",INDEX('Phản ánh'!$K$6:$K$505,MATCH($C2125,'Phản ánh'!$A$6:$A$505,0))&amp;"",IF($I2125="Công việc",INDEX('Kế hoạch'!$N$6:$N$305,$O2125)&amp;"",""))</f>
      </c>
      <c r="L2125" s="220">
        <f>IF(OR($C2125="",N($B2125)=0),"",IF(AND($I2125="Phản ánh",$E2125="Đã xử lý"),INDEX('Phản ánh'!$U$6:$U$505,MATCH($C2125,'Phản ánh'!$A$6:$A$505,0)),IF(AND($I2125="Công việc",OR($E2125="Hoàn thành",$E2125="Hoàn thành kỳ")),IF(INDEX('Kế hoạch'!$B$6:$B$305,$O2125)="Đột xuất",INDEX('Kế hoạch'!$AY$6:$AY$305,$O2125),IF(N($P2125)=0,"",IF(INT($B2125)&lt;$P2125,$P2125,IF($Q2125&gt;0,$P2125+ROUND((INT($B2125)-$P2125)/$Q2125,0)*$Q2125,IF($R2125&gt;0,EDATE($P2125,ROUND((DATEDIF($P2125,INT($B2125),"m")+(INT($B2125)-EDATE($P2125,DATEDIF($P2125,INT($B2125),"m")))/(EDATE($P2125,DATEDIF($P2125,INT($B2125),"m")+1)-EDATE($P2125,DATEDIF($P2125,INT($B2125),"m"))))/$R2125,0)*$R2125),$P2125))))),"")))</f>
      </c>
      <c r="M2125" s="223">
        <f>IF(OR($C2125="",N($L2125)=0,N($B2125)=0),"",IF(IF(MOD($L2125,1)=0,INT($B2125),$B2125)&lt;=$L2125,"Đúng hạn","Trễ hạn"))</f>
      </c>
      <c r="N2125" s="225">
        <f>IF($C2125="","",ROW())</f>
      </c>
      <c r="O2125" s="225">
        <f>IF($I2125="Công việc",MATCH($C2125,'Kế hoạch'!$A$6:$A$305,0),"")</f>
      </c>
      <c r="P2125" s="234">
        <f>IF($O2125="","",INDEX('Kế hoạch'!$I$6:$I$305,$O2125))</f>
      </c>
      <c r="Q2125" s="225">
        <f>IF($O2125="","",INDEX('Kế hoạch'!$AJ$6:$AJ$305,$O2125))</f>
      </c>
      <c r="R2125" s="225">
        <f>IF($O2125="","",INDEX('Kế hoạch'!$AK$6:$AK$305,$O2125))</f>
      </c>
    </row>
    <row r="2126">
      <c r="A2126" s="223">
        <f>IF($C2126="","",COUNTIF($C$6:$C2126,"?*"))</f>
      </c>
      <c r="B2126" s="217"/>
      <c r="C2126" s="216"/>
      <c r="D2126" s="240"/>
      <c r="E2126" s="218"/>
      <c r="F2126" s="218"/>
      <c r="G2126" s="218"/>
      <c r="H2126" s="219"/>
      <c r="I2126" s="223">
        <f>IF($C2126="","",IF(ISNUMBER(MATCH($C2126,'Phản ánh'!$A$6:$A$505,0)),"Phản ánh",IF(ISNUMBER(MATCH($C2126,'Kế hoạch'!$A$6:$A$305,0)),"Công việc","Mã chưa có")))</f>
      </c>
      <c r="J2126" s="221">
        <f>IF($I2126="Phản ánh",INDEX('Phản ánh'!$C$6:$C$505,MATCH($C2126,'Phản ánh'!$A$6:$A$505,0)),IF($I2126="Công việc",INDEX('Kế hoạch'!$C$6:$C$305,$O2126),""))</f>
      </c>
      <c r="K2126" s="221">
        <f>IF($I2126="Phản ánh",INDEX('Phản ánh'!$K$6:$K$505,MATCH($C2126,'Phản ánh'!$A$6:$A$505,0))&amp;"",IF($I2126="Công việc",INDEX('Kế hoạch'!$N$6:$N$305,$O2126)&amp;"",""))</f>
      </c>
      <c r="L2126" s="220">
        <f>IF(OR($C2126="",N($B2126)=0),"",IF(AND($I2126="Phản ánh",$E2126="Đã xử lý"),INDEX('Phản ánh'!$U$6:$U$505,MATCH($C2126,'Phản ánh'!$A$6:$A$505,0)),IF(AND($I2126="Công việc",OR($E2126="Hoàn thành",$E2126="Hoàn thành kỳ")),IF(INDEX('Kế hoạch'!$B$6:$B$305,$O2126)="Đột xuất",INDEX('Kế hoạch'!$AY$6:$AY$305,$O2126),IF(N($P2126)=0,"",IF(INT($B2126)&lt;$P2126,$P2126,IF($Q2126&gt;0,$P2126+ROUND((INT($B2126)-$P2126)/$Q2126,0)*$Q2126,IF($R2126&gt;0,EDATE($P2126,ROUND((DATEDIF($P2126,INT($B2126),"m")+(INT($B2126)-EDATE($P2126,DATEDIF($P2126,INT($B2126),"m")))/(EDATE($P2126,DATEDIF($P2126,INT($B2126),"m")+1)-EDATE($P2126,DATEDIF($P2126,INT($B2126),"m"))))/$R2126,0)*$R2126),$P2126))))),"")))</f>
      </c>
      <c r="M2126" s="223">
        <f>IF(OR($C2126="",N($L2126)=0,N($B2126)=0),"",IF(IF(MOD($L2126,1)=0,INT($B2126),$B2126)&lt;=$L2126,"Đúng hạn","Trễ hạn"))</f>
      </c>
      <c r="N2126" s="225">
        <f>IF($C2126="","",ROW())</f>
      </c>
      <c r="O2126" s="225">
        <f>IF($I2126="Công việc",MATCH($C2126,'Kế hoạch'!$A$6:$A$305,0),"")</f>
      </c>
      <c r="P2126" s="234">
        <f>IF($O2126="","",INDEX('Kế hoạch'!$I$6:$I$305,$O2126))</f>
      </c>
      <c r="Q2126" s="225">
        <f>IF($O2126="","",INDEX('Kế hoạch'!$AJ$6:$AJ$305,$O2126))</f>
      </c>
      <c r="R2126" s="225">
        <f>IF($O2126="","",INDEX('Kế hoạch'!$AK$6:$AK$305,$O2126))</f>
      </c>
    </row>
    <row r="2127">
      <c r="A2127" s="223">
        <f>IF($C2127="","",COUNTIF($C$6:$C2127,"?*"))</f>
      </c>
      <c r="B2127" s="217"/>
      <c r="C2127" s="216"/>
      <c r="D2127" s="240"/>
      <c r="E2127" s="218"/>
      <c r="F2127" s="218"/>
      <c r="G2127" s="218"/>
      <c r="H2127" s="219"/>
      <c r="I2127" s="223">
        <f>IF($C2127="","",IF(ISNUMBER(MATCH($C2127,'Phản ánh'!$A$6:$A$505,0)),"Phản ánh",IF(ISNUMBER(MATCH($C2127,'Kế hoạch'!$A$6:$A$305,0)),"Công việc","Mã chưa có")))</f>
      </c>
      <c r="J2127" s="221">
        <f>IF($I2127="Phản ánh",INDEX('Phản ánh'!$C$6:$C$505,MATCH($C2127,'Phản ánh'!$A$6:$A$505,0)),IF($I2127="Công việc",INDEX('Kế hoạch'!$C$6:$C$305,$O2127),""))</f>
      </c>
      <c r="K2127" s="221">
        <f>IF($I2127="Phản ánh",INDEX('Phản ánh'!$K$6:$K$505,MATCH($C2127,'Phản ánh'!$A$6:$A$505,0))&amp;"",IF($I2127="Công việc",INDEX('Kế hoạch'!$N$6:$N$305,$O2127)&amp;"",""))</f>
      </c>
      <c r="L2127" s="220">
        <f>IF(OR($C2127="",N($B2127)=0),"",IF(AND($I2127="Phản ánh",$E2127="Đã xử lý"),INDEX('Phản ánh'!$U$6:$U$505,MATCH($C2127,'Phản ánh'!$A$6:$A$505,0)),IF(AND($I2127="Công việc",OR($E2127="Hoàn thành",$E2127="Hoàn thành kỳ")),IF(INDEX('Kế hoạch'!$B$6:$B$305,$O2127)="Đột xuất",INDEX('Kế hoạch'!$AY$6:$AY$305,$O2127),IF(N($P2127)=0,"",IF(INT($B2127)&lt;$P2127,$P2127,IF($Q2127&gt;0,$P2127+ROUND((INT($B2127)-$P2127)/$Q2127,0)*$Q2127,IF($R2127&gt;0,EDATE($P2127,ROUND((DATEDIF($P2127,INT($B2127),"m")+(INT($B2127)-EDATE($P2127,DATEDIF($P2127,INT($B2127),"m")))/(EDATE($P2127,DATEDIF($P2127,INT($B2127),"m")+1)-EDATE($P2127,DATEDIF($P2127,INT($B2127),"m"))))/$R2127,0)*$R2127),$P2127))))),"")))</f>
      </c>
      <c r="M2127" s="223">
        <f>IF(OR($C2127="",N($L2127)=0,N($B2127)=0),"",IF(IF(MOD($L2127,1)=0,INT($B2127),$B2127)&lt;=$L2127,"Đúng hạn","Trễ hạn"))</f>
      </c>
      <c r="N2127" s="225">
        <f>IF($C2127="","",ROW())</f>
      </c>
      <c r="O2127" s="225">
        <f>IF($I2127="Công việc",MATCH($C2127,'Kế hoạch'!$A$6:$A$305,0),"")</f>
      </c>
      <c r="P2127" s="234">
        <f>IF($O2127="","",INDEX('Kế hoạch'!$I$6:$I$305,$O2127))</f>
      </c>
      <c r="Q2127" s="225">
        <f>IF($O2127="","",INDEX('Kế hoạch'!$AJ$6:$AJ$305,$O2127))</f>
      </c>
      <c r="R2127" s="225">
        <f>IF($O2127="","",INDEX('Kế hoạch'!$AK$6:$AK$305,$O2127))</f>
      </c>
    </row>
    <row r="2128">
      <c r="A2128" s="223">
        <f>IF($C2128="","",COUNTIF($C$6:$C2128,"?*"))</f>
      </c>
      <c r="B2128" s="217"/>
      <c r="C2128" s="216"/>
      <c r="D2128" s="240"/>
      <c r="E2128" s="218"/>
      <c r="F2128" s="218"/>
      <c r="G2128" s="218"/>
      <c r="H2128" s="219"/>
      <c r="I2128" s="223">
        <f>IF($C2128="","",IF(ISNUMBER(MATCH($C2128,'Phản ánh'!$A$6:$A$505,0)),"Phản ánh",IF(ISNUMBER(MATCH($C2128,'Kế hoạch'!$A$6:$A$305,0)),"Công việc","Mã chưa có")))</f>
      </c>
      <c r="J2128" s="221">
        <f>IF($I2128="Phản ánh",INDEX('Phản ánh'!$C$6:$C$505,MATCH($C2128,'Phản ánh'!$A$6:$A$505,0)),IF($I2128="Công việc",INDEX('Kế hoạch'!$C$6:$C$305,$O2128),""))</f>
      </c>
      <c r="K2128" s="221">
        <f>IF($I2128="Phản ánh",INDEX('Phản ánh'!$K$6:$K$505,MATCH($C2128,'Phản ánh'!$A$6:$A$505,0))&amp;"",IF($I2128="Công việc",INDEX('Kế hoạch'!$N$6:$N$305,$O2128)&amp;"",""))</f>
      </c>
      <c r="L2128" s="220">
        <f>IF(OR($C2128="",N($B2128)=0),"",IF(AND($I2128="Phản ánh",$E2128="Đã xử lý"),INDEX('Phản ánh'!$U$6:$U$505,MATCH($C2128,'Phản ánh'!$A$6:$A$505,0)),IF(AND($I2128="Công việc",OR($E2128="Hoàn thành",$E2128="Hoàn thành kỳ")),IF(INDEX('Kế hoạch'!$B$6:$B$305,$O2128)="Đột xuất",INDEX('Kế hoạch'!$AY$6:$AY$305,$O2128),IF(N($P2128)=0,"",IF(INT($B2128)&lt;$P2128,$P2128,IF($Q2128&gt;0,$P2128+ROUND((INT($B2128)-$P2128)/$Q2128,0)*$Q2128,IF($R2128&gt;0,EDATE($P2128,ROUND((DATEDIF($P2128,INT($B2128),"m")+(INT($B2128)-EDATE($P2128,DATEDIF($P2128,INT($B2128),"m")))/(EDATE($P2128,DATEDIF($P2128,INT($B2128),"m")+1)-EDATE($P2128,DATEDIF($P2128,INT($B2128),"m"))))/$R2128,0)*$R2128),$P2128))))),"")))</f>
      </c>
      <c r="M2128" s="223">
        <f>IF(OR($C2128="",N($L2128)=0,N($B2128)=0),"",IF(IF(MOD($L2128,1)=0,INT($B2128),$B2128)&lt;=$L2128,"Đúng hạn","Trễ hạn"))</f>
      </c>
      <c r="N2128" s="225">
        <f>IF($C2128="","",ROW())</f>
      </c>
      <c r="O2128" s="225">
        <f>IF($I2128="Công việc",MATCH($C2128,'Kế hoạch'!$A$6:$A$305,0),"")</f>
      </c>
      <c r="P2128" s="234">
        <f>IF($O2128="","",INDEX('Kế hoạch'!$I$6:$I$305,$O2128))</f>
      </c>
      <c r="Q2128" s="225">
        <f>IF($O2128="","",INDEX('Kế hoạch'!$AJ$6:$AJ$305,$O2128))</f>
      </c>
      <c r="R2128" s="225">
        <f>IF($O2128="","",INDEX('Kế hoạch'!$AK$6:$AK$305,$O2128))</f>
      </c>
    </row>
    <row r="2129">
      <c r="A2129" s="223">
        <f>IF($C2129="","",COUNTIF($C$6:$C2129,"?*"))</f>
      </c>
      <c r="B2129" s="217"/>
      <c r="C2129" s="216"/>
      <c r="D2129" s="240"/>
      <c r="E2129" s="218"/>
      <c r="F2129" s="218"/>
      <c r="G2129" s="218"/>
      <c r="H2129" s="219"/>
      <c r="I2129" s="223">
        <f>IF($C2129="","",IF(ISNUMBER(MATCH($C2129,'Phản ánh'!$A$6:$A$505,0)),"Phản ánh",IF(ISNUMBER(MATCH($C2129,'Kế hoạch'!$A$6:$A$305,0)),"Công việc","Mã chưa có")))</f>
      </c>
      <c r="J2129" s="221">
        <f>IF($I2129="Phản ánh",INDEX('Phản ánh'!$C$6:$C$505,MATCH($C2129,'Phản ánh'!$A$6:$A$505,0)),IF($I2129="Công việc",INDEX('Kế hoạch'!$C$6:$C$305,$O2129),""))</f>
      </c>
      <c r="K2129" s="221">
        <f>IF($I2129="Phản ánh",INDEX('Phản ánh'!$K$6:$K$505,MATCH($C2129,'Phản ánh'!$A$6:$A$505,0))&amp;"",IF($I2129="Công việc",INDEX('Kế hoạch'!$N$6:$N$305,$O2129)&amp;"",""))</f>
      </c>
      <c r="L2129" s="220">
        <f>IF(OR($C2129="",N($B2129)=0),"",IF(AND($I2129="Phản ánh",$E2129="Đã xử lý"),INDEX('Phản ánh'!$U$6:$U$505,MATCH($C2129,'Phản ánh'!$A$6:$A$505,0)),IF(AND($I2129="Công việc",OR($E2129="Hoàn thành",$E2129="Hoàn thành kỳ")),IF(INDEX('Kế hoạch'!$B$6:$B$305,$O2129)="Đột xuất",INDEX('Kế hoạch'!$AY$6:$AY$305,$O2129),IF(N($P2129)=0,"",IF(INT($B2129)&lt;$P2129,$P2129,IF($Q2129&gt;0,$P2129+ROUND((INT($B2129)-$P2129)/$Q2129,0)*$Q2129,IF($R2129&gt;0,EDATE($P2129,ROUND((DATEDIF($P2129,INT($B2129),"m")+(INT($B2129)-EDATE($P2129,DATEDIF($P2129,INT($B2129),"m")))/(EDATE($P2129,DATEDIF($P2129,INT($B2129),"m")+1)-EDATE($P2129,DATEDIF($P2129,INT($B2129),"m"))))/$R2129,0)*$R2129),$P2129))))),"")))</f>
      </c>
      <c r="M2129" s="223">
        <f>IF(OR($C2129="",N($L2129)=0,N($B2129)=0),"",IF(IF(MOD($L2129,1)=0,INT($B2129),$B2129)&lt;=$L2129,"Đúng hạn","Trễ hạn"))</f>
      </c>
      <c r="N2129" s="225">
        <f>IF($C2129="","",ROW())</f>
      </c>
      <c r="O2129" s="225">
        <f>IF($I2129="Công việc",MATCH($C2129,'Kế hoạch'!$A$6:$A$305,0),"")</f>
      </c>
      <c r="P2129" s="234">
        <f>IF($O2129="","",INDEX('Kế hoạch'!$I$6:$I$305,$O2129))</f>
      </c>
      <c r="Q2129" s="225">
        <f>IF($O2129="","",INDEX('Kế hoạch'!$AJ$6:$AJ$305,$O2129))</f>
      </c>
      <c r="R2129" s="225">
        <f>IF($O2129="","",INDEX('Kế hoạch'!$AK$6:$AK$305,$O2129))</f>
      </c>
    </row>
    <row r="2130">
      <c r="A2130" s="223">
        <f>IF($C2130="","",COUNTIF($C$6:$C2130,"?*"))</f>
      </c>
      <c r="B2130" s="217"/>
      <c r="C2130" s="216"/>
      <c r="D2130" s="240"/>
      <c r="E2130" s="218"/>
      <c r="F2130" s="218"/>
      <c r="G2130" s="218"/>
      <c r="H2130" s="219"/>
      <c r="I2130" s="223">
        <f>IF($C2130="","",IF(ISNUMBER(MATCH($C2130,'Phản ánh'!$A$6:$A$505,0)),"Phản ánh",IF(ISNUMBER(MATCH($C2130,'Kế hoạch'!$A$6:$A$305,0)),"Công việc","Mã chưa có")))</f>
      </c>
      <c r="J2130" s="221">
        <f>IF($I2130="Phản ánh",INDEX('Phản ánh'!$C$6:$C$505,MATCH($C2130,'Phản ánh'!$A$6:$A$505,0)),IF($I2130="Công việc",INDEX('Kế hoạch'!$C$6:$C$305,$O2130),""))</f>
      </c>
      <c r="K2130" s="221">
        <f>IF($I2130="Phản ánh",INDEX('Phản ánh'!$K$6:$K$505,MATCH($C2130,'Phản ánh'!$A$6:$A$505,0))&amp;"",IF($I2130="Công việc",INDEX('Kế hoạch'!$N$6:$N$305,$O2130)&amp;"",""))</f>
      </c>
      <c r="L2130" s="220">
        <f>IF(OR($C2130="",N($B2130)=0),"",IF(AND($I2130="Phản ánh",$E2130="Đã xử lý"),INDEX('Phản ánh'!$U$6:$U$505,MATCH($C2130,'Phản ánh'!$A$6:$A$505,0)),IF(AND($I2130="Công việc",OR($E2130="Hoàn thành",$E2130="Hoàn thành kỳ")),IF(INDEX('Kế hoạch'!$B$6:$B$305,$O2130)="Đột xuất",INDEX('Kế hoạch'!$AY$6:$AY$305,$O2130),IF(N($P2130)=0,"",IF(INT($B2130)&lt;$P2130,$P2130,IF($Q2130&gt;0,$P2130+ROUND((INT($B2130)-$P2130)/$Q2130,0)*$Q2130,IF($R2130&gt;0,EDATE($P2130,ROUND((DATEDIF($P2130,INT($B2130),"m")+(INT($B2130)-EDATE($P2130,DATEDIF($P2130,INT($B2130),"m")))/(EDATE($P2130,DATEDIF($P2130,INT($B2130),"m")+1)-EDATE($P2130,DATEDIF($P2130,INT($B2130),"m"))))/$R2130,0)*$R2130),$P2130))))),"")))</f>
      </c>
      <c r="M2130" s="223">
        <f>IF(OR($C2130="",N($L2130)=0,N($B2130)=0),"",IF(IF(MOD($L2130,1)=0,INT($B2130),$B2130)&lt;=$L2130,"Đúng hạn","Trễ hạn"))</f>
      </c>
      <c r="N2130" s="225">
        <f>IF($C2130="","",ROW())</f>
      </c>
      <c r="O2130" s="225">
        <f>IF($I2130="Công việc",MATCH($C2130,'Kế hoạch'!$A$6:$A$305,0),"")</f>
      </c>
      <c r="P2130" s="234">
        <f>IF($O2130="","",INDEX('Kế hoạch'!$I$6:$I$305,$O2130))</f>
      </c>
      <c r="Q2130" s="225">
        <f>IF($O2130="","",INDEX('Kế hoạch'!$AJ$6:$AJ$305,$O2130))</f>
      </c>
      <c r="R2130" s="225">
        <f>IF($O2130="","",INDEX('Kế hoạch'!$AK$6:$AK$305,$O2130))</f>
      </c>
    </row>
    <row r="2131">
      <c r="A2131" s="223">
        <f>IF($C2131="","",COUNTIF($C$6:$C2131,"?*"))</f>
      </c>
      <c r="B2131" s="217"/>
      <c r="C2131" s="216"/>
      <c r="D2131" s="240"/>
      <c r="E2131" s="218"/>
      <c r="F2131" s="218"/>
      <c r="G2131" s="218"/>
      <c r="H2131" s="219"/>
      <c r="I2131" s="223">
        <f>IF($C2131="","",IF(ISNUMBER(MATCH($C2131,'Phản ánh'!$A$6:$A$505,0)),"Phản ánh",IF(ISNUMBER(MATCH($C2131,'Kế hoạch'!$A$6:$A$305,0)),"Công việc","Mã chưa có")))</f>
      </c>
      <c r="J2131" s="221">
        <f>IF($I2131="Phản ánh",INDEX('Phản ánh'!$C$6:$C$505,MATCH($C2131,'Phản ánh'!$A$6:$A$505,0)),IF($I2131="Công việc",INDEX('Kế hoạch'!$C$6:$C$305,$O2131),""))</f>
      </c>
      <c r="K2131" s="221">
        <f>IF($I2131="Phản ánh",INDEX('Phản ánh'!$K$6:$K$505,MATCH($C2131,'Phản ánh'!$A$6:$A$505,0))&amp;"",IF($I2131="Công việc",INDEX('Kế hoạch'!$N$6:$N$305,$O2131)&amp;"",""))</f>
      </c>
      <c r="L2131" s="220">
        <f>IF(OR($C2131="",N($B2131)=0),"",IF(AND($I2131="Phản ánh",$E2131="Đã xử lý"),INDEX('Phản ánh'!$U$6:$U$505,MATCH($C2131,'Phản ánh'!$A$6:$A$505,0)),IF(AND($I2131="Công việc",OR($E2131="Hoàn thành",$E2131="Hoàn thành kỳ")),IF(INDEX('Kế hoạch'!$B$6:$B$305,$O2131)="Đột xuất",INDEX('Kế hoạch'!$AY$6:$AY$305,$O2131),IF(N($P2131)=0,"",IF(INT($B2131)&lt;$P2131,$P2131,IF($Q2131&gt;0,$P2131+ROUND((INT($B2131)-$P2131)/$Q2131,0)*$Q2131,IF($R2131&gt;0,EDATE($P2131,ROUND((DATEDIF($P2131,INT($B2131),"m")+(INT($B2131)-EDATE($P2131,DATEDIF($P2131,INT($B2131),"m")))/(EDATE($P2131,DATEDIF($P2131,INT($B2131),"m")+1)-EDATE($P2131,DATEDIF($P2131,INT($B2131),"m"))))/$R2131,0)*$R2131),$P2131))))),"")))</f>
      </c>
      <c r="M2131" s="223">
        <f>IF(OR($C2131="",N($L2131)=0,N($B2131)=0),"",IF(IF(MOD($L2131,1)=0,INT($B2131),$B2131)&lt;=$L2131,"Đúng hạn","Trễ hạn"))</f>
      </c>
      <c r="N2131" s="225">
        <f>IF($C2131="","",ROW())</f>
      </c>
      <c r="O2131" s="225">
        <f>IF($I2131="Công việc",MATCH($C2131,'Kế hoạch'!$A$6:$A$305,0),"")</f>
      </c>
      <c r="P2131" s="234">
        <f>IF($O2131="","",INDEX('Kế hoạch'!$I$6:$I$305,$O2131))</f>
      </c>
      <c r="Q2131" s="225">
        <f>IF($O2131="","",INDEX('Kế hoạch'!$AJ$6:$AJ$305,$O2131))</f>
      </c>
      <c r="R2131" s="225">
        <f>IF($O2131="","",INDEX('Kế hoạch'!$AK$6:$AK$305,$O2131))</f>
      </c>
    </row>
    <row r="2132">
      <c r="A2132" s="223">
        <f>IF($C2132="","",COUNTIF($C$6:$C2132,"?*"))</f>
      </c>
      <c r="B2132" s="217"/>
      <c r="C2132" s="216"/>
      <c r="D2132" s="240"/>
      <c r="E2132" s="218"/>
      <c r="F2132" s="218"/>
      <c r="G2132" s="218"/>
      <c r="H2132" s="219"/>
      <c r="I2132" s="223">
        <f>IF($C2132="","",IF(ISNUMBER(MATCH($C2132,'Phản ánh'!$A$6:$A$505,0)),"Phản ánh",IF(ISNUMBER(MATCH($C2132,'Kế hoạch'!$A$6:$A$305,0)),"Công việc","Mã chưa có")))</f>
      </c>
      <c r="J2132" s="221">
        <f>IF($I2132="Phản ánh",INDEX('Phản ánh'!$C$6:$C$505,MATCH($C2132,'Phản ánh'!$A$6:$A$505,0)),IF($I2132="Công việc",INDEX('Kế hoạch'!$C$6:$C$305,$O2132),""))</f>
      </c>
      <c r="K2132" s="221">
        <f>IF($I2132="Phản ánh",INDEX('Phản ánh'!$K$6:$K$505,MATCH($C2132,'Phản ánh'!$A$6:$A$505,0))&amp;"",IF($I2132="Công việc",INDEX('Kế hoạch'!$N$6:$N$305,$O2132)&amp;"",""))</f>
      </c>
      <c r="L2132" s="220">
        <f>IF(OR($C2132="",N($B2132)=0),"",IF(AND($I2132="Phản ánh",$E2132="Đã xử lý"),INDEX('Phản ánh'!$U$6:$U$505,MATCH($C2132,'Phản ánh'!$A$6:$A$505,0)),IF(AND($I2132="Công việc",OR($E2132="Hoàn thành",$E2132="Hoàn thành kỳ")),IF(INDEX('Kế hoạch'!$B$6:$B$305,$O2132)="Đột xuất",INDEX('Kế hoạch'!$AY$6:$AY$305,$O2132),IF(N($P2132)=0,"",IF(INT($B2132)&lt;$P2132,$P2132,IF($Q2132&gt;0,$P2132+ROUND((INT($B2132)-$P2132)/$Q2132,0)*$Q2132,IF($R2132&gt;0,EDATE($P2132,ROUND((DATEDIF($P2132,INT($B2132),"m")+(INT($B2132)-EDATE($P2132,DATEDIF($P2132,INT($B2132),"m")))/(EDATE($P2132,DATEDIF($P2132,INT($B2132),"m")+1)-EDATE($P2132,DATEDIF($P2132,INT($B2132),"m"))))/$R2132,0)*$R2132),$P2132))))),"")))</f>
      </c>
      <c r="M2132" s="223">
        <f>IF(OR($C2132="",N($L2132)=0,N($B2132)=0),"",IF(IF(MOD($L2132,1)=0,INT($B2132),$B2132)&lt;=$L2132,"Đúng hạn","Trễ hạn"))</f>
      </c>
      <c r="N2132" s="225">
        <f>IF($C2132="","",ROW())</f>
      </c>
      <c r="O2132" s="225">
        <f>IF($I2132="Công việc",MATCH($C2132,'Kế hoạch'!$A$6:$A$305,0),"")</f>
      </c>
      <c r="P2132" s="234">
        <f>IF($O2132="","",INDEX('Kế hoạch'!$I$6:$I$305,$O2132))</f>
      </c>
      <c r="Q2132" s="225">
        <f>IF($O2132="","",INDEX('Kế hoạch'!$AJ$6:$AJ$305,$O2132))</f>
      </c>
      <c r="R2132" s="225">
        <f>IF($O2132="","",INDEX('Kế hoạch'!$AK$6:$AK$305,$O2132))</f>
      </c>
    </row>
    <row r="2133">
      <c r="A2133" s="223">
        <f>IF($C2133="","",COUNTIF($C$6:$C2133,"?*"))</f>
      </c>
      <c r="B2133" s="217"/>
      <c r="C2133" s="216"/>
      <c r="D2133" s="240"/>
      <c r="E2133" s="218"/>
      <c r="F2133" s="218"/>
      <c r="G2133" s="218"/>
      <c r="H2133" s="219"/>
      <c r="I2133" s="223">
        <f>IF($C2133="","",IF(ISNUMBER(MATCH($C2133,'Phản ánh'!$A$6:$A$505,0)),"Phản ánh",IF(ISNUMBER(MATCH($C2133,'Kế hoạch'!$A$6:$A$305,0)),"Công việc","Mã chưa có")))</f>
      </c>
      <c r="J2133" s="221">
        <f>IF($I2133="Phản ánh",INDEX('Phản ánh'!$C$6:$C$505,MATCH($C2133,'Phản ánh'!$A$6:$A$505,0)),IF($I2133="Công việc",INDEX('Kế hoạch'!$C$6:$C$305,$O2133),""))</f>
      </c>
      <c r="K2133" s="221">
        <f>IF($I2133="Phản ánh",INDEX('Phản ánh'!$K$6:$K$505,MATCH($C2133,'Phản ánh'!$A$6:$A$505,0))&amp;"",IF($I2133="Công việc",INDEX('Kế hoạch'!$N$6:$N$305,$O2133)&amp;"",""))</f>
      </c>
      <c r="L2133" s="220">
        <f>IF(OR($C2133="",N($B2133)=0),"",IF(AND($I2133="Phản ánh",$E2133="Đã xử lý"),INDEX('Phản ánh'!$U$6:$U$505,MATCH($C2133,'Phản ánh'!$A$6:$A$505,0)),IF(AND($I2133="Công việc",OR($E2133="Hoàn thành",$E2133="Hoàn thành kỳ")),IF(INDEX('Kế hoạch'!$B$6:$B$305,$O2133)="Đột xuất",INDEX('Kế hoạch'!$AY$6:$AY$305,$O2133),IF(N($P2133)=0,"",IF(INT($B2133)&lt;$P2133,$P2133,IF($Q2133&gt;0,$P2133+ROUND((INT($B2133)-$P2133)/$Q2133,0)*$Q2133,IF($R2133&gt;0,EDATE($P2133,ROUND((DATEDIF($P2133,INT($B2133),"m")+(INT($B2133)-EDATE($P2133,DATEDIF($P2133,INT($B2133),"m")))/(EDATE($P2133,DATEDIF($P2133,INT($B2133),"m")+1)-EDATE($P2133,DATEDIF($P2133,INT($B2133),"m"))))/$R2133,0)*$R2133),$P2133))))),"")))</f>
      </c>
      <c r="M2133" s="223">
        <f>IF(OR($C2133="",N($L2133)=0,N($B2133)=0),"",IF(IF(MOD($L2133,1)=0,INT($B2133),$B2133)&lt;=$L2133,"Đúng hạn","Trễ hạn"))</f>
      </c>
      <c r="N2133" s="225">
        <f>IF($C2133="","",ROW())</f>
      </c>
      <c r="O2133" s="225">
        <f>IF($I2133="Công việc",MATCH($C2133,'Kế hoạch'!$A$6:$A$305,0),"")</f>
      </c>
      <c r="P2133" s="234">
        <f>IF($O2133="","",INDEX('Kế hoạch'!$I$6:$I$305,$O2133))</f>
      </c>
      <c r="Q2133" s="225">
        <f>IF($O2133="","",INDEX('Kế hoạch'!$AJ$6:$AJ$305,$O2133))</f>
      </c>
      <c r="R2133" s="225">
        <f>IF($O2133="","",INDEX('Kế hoạch'!$AK$6:$AK$305,$O2133))</f>
      </c>
    </row>
    <row r="2134">
      <c r="A2134" s="223">
        <f>IF($C2134="","",COUNTIF($C$6:$C2134,"?*"))</f>
      </c>
      <c r="B2134" s="217"/>
      <c r="C2134" s="216"/>
      <c r="D2134" s="240"/>
      <c r="E2134" s="218"/>
      <c r="F2134" s="218"/>
      <c r="G2134" s="218"/>
      <c r="H2134" s="219"/>
      <c r="I2134" s="223">
        <f>IF($C2134="","",IF(ISNUMBER(MATCH($C2134,'Phản ánh'!$A$6:$A$505,0)),"Phản ánh",IF(ISNUMBER(MATCH($C2134,'Kế hoạch'!$A$6:$A$305,0)),"Công việc","Mã chưa có")))</f>
      </c>
      <c r="J2134" s="221">
        <f>IF($I2134="Phản ánh",INDEX('Phản ánh'!$C$6:$C$505,MATCH($C2134,'Phản ánh'!$A$6:$A$505,0)),IF($I2134="Công việc",INDEX('Kế hoạch'!$C$6:$C$305,$O2134),""))</f>
      </c>
      <c r="K2134" s="221">
        <f>IF($I2134="Phản ánh",INDEX('Phản ánh'!$K$6:$K$505,MATCH($C2134,'Phản ánh'!$A$6:$A$505,0))&amp;"",IF($I2134="Công việc",INDEX('Kế hoạch'!$N$6:$N$305,$O2134)&amp;"",""))</f>
      </c>
      <c r="L2134" s="220">
        <f>IF(OR($C2134="",N($B2134)=0),"",IF(AND($I2134="Phản ánh",$E2134="Đã xử lý"),INDEX('Phản ánh'!$U$6:$U$505,MATCH($C2134,'Phản ánh'!$A$6:$A$505,0)),IF(AND($I2134="Công việc",OR($E2134="Hoàn thành",$E2134="Hoàn thành kỳ")),IF(INDEX('Kế hoạch'!$B$6:$B$305,$O2134)="Đột xuất",INDEX('Kế hoạch'!$AY$6:$AY$305,$O2134),IF(N($P2134)=0,"",IF(INT($B2134)&lt;$P2134,$P2134,IF($Q2134&gt;0,$P2134+ROUND((INT($B2134)-$P2134)/$Q2134,0)*$Q2134,IF($R2134&gt;0,EDATE($P2134,ROUND((DATEDIF($P2134,INT($B2134),"m")+(INT($B2134)-EDATE($P2134,DATEDIF($P2134,INT($B2134),"m")))/(EDATE($P2134,DATEDIF($P2134,INT($B2134),"m")+1)-EDATE($P2134,DATEDIF($P2134,INT($B2134),"m"))))/$R2134,0)*$R2134),$P2134))))),"")))</f>
      </c>
      <c r="M2134" s="223">
        <f>IF(OR($C2134="",N($L2134)=0,N($B2134)=0),"",IF(IF(MOD($L2134,1)=0,INT($B2134),$B2134)&lt;=$L2134,"Đúng hạn","Trễ hạn"))</f>
      </c>
      <c r="N2134" s="225">
        <f>IF($C2134="","",ROW())</f>
      </c>
      <c r="O2134" s="225">
        <f>IF($I2134="Công việc",MATCH($C2134,'Kế hoạch'!$A$6:$A$305,0),"")</f>
      </c>
      <c r="P2134" s="234">
        <f>IF($O2134="","",INDEX('Kế hoạch'!$I$6:$I$305,$O2134))</f>
      </c>
      <c r="Q2134" s="225">
        <f>IF($O2134="","",INDEX('Kế hoạch'!$AJ$6:$AJ$305,$O2134))</f>
      </c>
      <c r="R2134" s="225">
        <f>IF($O2134="","",INDEX('Kế hoạch'!$AK$6:$AK$305,$O2134))</f>
      </c>
    </row>
    <row r="2135">
      <c r="A2135" s="223">
        <f>IF($C2135="","",COUNTIF($C$6:$C2135,"?*"))</f>
      </c>
      <c r="B2135" s="217"/>
      <c r="C2135" s="216"/>
      <c r="D2135" s="240"/>
      <c r="E2135" s="218"/>
      <c r="F2135" s="218"/>
      <c r="G2135" s="218"/>
      <c r="H2135" s="219"/>
      <c r="I2135" s="223">
        <f>IF($C2135="","",IF(ISNUMBER(MATCH($C2135,'Phản ánh'!$A$6:$A$505,0)),"Phản ánh",IF(ISNUMBER(MATCH($C2135,'Kế hoạch'!$A$6:$A$305,0)),"Công việc","Mã chưa có")))</f>
      </c>
      <c r="J2135" s="221">
        <f>IF($I2135="Phản ánh",INDEX('Phản ánh'!$C$6:$C$505,MATCH($C2135,'Phản ánh'!$A$6:$A$505,0)),IF($I2135="Công việc",INDEX('Kế hoạch'!$C$6:$C$305,$O2135),""))</f>
      </c>
      <c r="K2135" s="221">
        <f>IF($I2135="Phản ánh",INDEX('Phản ánh'!$K$6:$K$505,MATCH($C2135,'Phản ánh'!$A$6:$A$505,0))&amp;"",IF($I2135="Công việc",INDEX('Kế hoạch'!$N$6:$N$305,$O2135)&amp;"",""))</f>
      </c>
      <c r="L2135" s="220">
        <f>IF(OR($C2135="",N($B2135)=0),"",IF(AND($I2135="Phản ánh",$E2135="Đã xử lý"),INDEX('Phản ánh'!$U$6:$U$505,MATCH($C2135,'Phản ánh'!$A$6:$A$505,0)),IF(AND($I2135="Công việc",OR($E2135="Hoàn thành",$E2135="Hoàn thành kỳ")),IF(INDEX('Kế hoạch'!$B$6:$B$305,$O2135)="Đột xuất",INDEX('Kế hoạch'!$AY$6:$AY$305,$O2135),IF(N($P2135)=0,"",IF(INT($B2135)&lt;$P2135,$P2135,IF($Q2135&gt;0,$P2135+ROUND((INT($B2135)-$P2135)/$Q2135,0)*$Q2135,IF($R2135&gt;0,EDATE($P2135,ROUND((DATEDIF($P2135,INT($B2135),"m")+(INT($B2135)-EDATE($P2135,DATEDIF($P2135,INT($B2135),"m")))/(EDATE($P2135,DATEDIF($P2135,INT($B2135),"m")+1)-EDATE($P2135,DATEDIF($P2135,INT($B2135),"m"))))/$R2135,0)*$R2135),$P2135))))),"")))</f>
      </c>
      <c r="M2135" s="223">
        <f>IF(OR($C2135="",N($L2135)=0,N($B2135)=0),"",IF(IF(MOD($L2135,1)=0,INT($B2135),$B2135)&lt;=$L2135,"Đúng hạn","Trễ hạn"))</f>
      </c>
      <c r="N2135" s="225">
        <f>IF($C2135="","",ROW())</f>
      </c>
      <c r="O2135" s="225">
        <f>IF($I2135="Công việc",MATCH($C2135,'Kế hoạch'!$A$6:$A$305,0),"")</f>
      </c>
      <c r="P2135" s="234">
        <f>IF($O2135="","",INDEX('Kế hoạch'!$I$6:$I$305,$O2135))</f>
      </c>
      <c r="Q2135" s="225">
        <f>IF($O2135="","",INDEX('Kế hoạch'!$AJ$6:$AJ$305,$O2135))</f>
      </c>
      <c r="R2135" s="225">
        <f>IF($O2135="","",INDEX('Kế hoạch'!$AK$6:$AK$305,$O2135))</f>
      </c>
    </row>
    <row r="2136">
      <c r="A2136" s="223">
        <f>IF($C2136="","",COUNTIF($C$6:$C2136,"?*"))</f>
      </c>
      <c r="B2136" s="217"/>
      <c r="C2136" s="216"/>
      <c r="D2136" s="240"/>
      <c r="E2136" s="218"/>
      <c r="F2136" s="218"/>
      <c r="G2136" s="218"/>
      <c r="H2136" s="219"/>
      <c r="I2136" s="223">
        <f>IF($C2136="","",IF(ISNUMBER(MATCH($C2136,'Phản ánh'!$A$6:$A$505,0)),"Phản ánh",IF(ISNUMBER(MATCH($C2136,'Kế hoạch'!$A$6:$A$305,0)),"Công việc","Mã chưa có")))</f>
      </c>
      <c r="J2136" s="221">
        <f>IF($I2136="Phản ánh",INDEX('Phản ánh'!$C$6:$C$505,MATCH($C2136,'Phản ánh'!$A$6:$A$505,0)),IF($I2136="Công việc",INDEX('Kế hoạch'!$C$6:$C$305,$O2136),""))</f>
      </c>
      <c r="K2136" s="221">
        <f>IF($I2136="Phản ánh",INDEX('Phản ánh'!$K$6:$K$505,MATCH($C2136,'Phản ánh'!$A$6:$A$505,0))&amp;"",IF($I2136="Công việc",INDEX('Kế hoạch'!$N$6:$N$305,$O2136)&amp;"",""))</f>
      </c>
      <c r="L2136" s="220">
        <f>IF(OR($C2136="",N($B2136)=0),"",IF(AND($I2136="Phản ánh",$E2136="Đã xử lý"),INDEX('Phản ánh'!$U$6:$U$505,MATCH($C2136,'Phản ánh'!$A$6:$A$505,0)),IF(AND($I2136="Công việc",OR($E2136="Hoàn thành",$E2136="Hoàn thành kỳ")),IF(INDEX('Kế hoạch'!$B$6:$B$305,$O2136)="Đột xuất",INDEX('Kế hoạch'!$AY$6:$AY$305,$O2136),IF(N($P2136)=0,"",IF(INT($B2136)&lt;$P2136,$P2136,IF($Q2136&gt;0,$P2136+ROUND((INT($B2136)-$P2136)/$Q2136,0)*$Q2136,IF($R2136&gt;0,EDATE($P2136,ROUND((DATEDIF($P2136,INT($B2136),"m")+(INT($B2136)-EDATE($P2136,DATEDIF($P2136,INT($B2136),"m")))/(EDATE($P2136,DATEDIF($P2136,INT($B2136),"m")+1)-EDATE($P2136,DATEDIF($P2136,INT($B2136),"m"))))/$R2136,0)*$R2136),$P2136))))),"")))</f>
      </c>
      <c r="M2136" s="223">
        <f>IF(OR($C2136="",N($L2136)=0,N($B2136)=0),"",IF(IF(MOD($L2136,1)=0,INT($B2136),$B2136)&lt;=$L2136,"Đúng hạn","Trễ hạn"))</f>
      </c>
      <c r="N2136" s="225">
        <f>IF($C2136="","",ROW())</f>
      </c>
      <c r="O2136" s="225">
        <f>IF($I2136="Công việc",MATCH($C2136,'Kế hoạch'!$A$6:$A$305,0),"")</f>
      </c>
      <c r="P2136" s="234">
        <f>IF($O2136="","",INDEX('Kế hoạch'!$I$6:$I$305,$O2136))</f>
      </c>
      <c r="Q2136" s="225">
        <f>IF($O2136="","",INDEX('Kế hoạch'!$AJ$6:$AJ$305,$O2136))</f>
      </c>
      <c r="R2136" s="225">
        <f>IF($O2136="","",INDEX('Kế hoạch'!$AK$6:$AK$305,$O2136))</f>
      </c>
    </row>
    <row r="2137">
      <c r="A2137" s="223">
        <f>IF($C2137="","",COUNTIF($C$6:$C2137,"?*"))</f>
      </c>
      <c r="B2137" s="217"/>
      <c r="C2137" s="216"/>
      <c r="D2137" s="240"/>
      <c r="E2137" s="218"/>
      <c r="F2137" s="218"/>
      <c r="G2137" s="218"/>
      <c r="H2137" s="219"/>
      <c r="I2137" s="223">
        <f>IF($C2137="","",IF(ISNUMBER(MATCH($C2137,'Phản ánh'!$A$6:$A$505,0)),"Phản ánh",IF(ISNUMBER(MATCH($C2137,'Kế hoạch'!$A$6:$A$305,0)),"Công việc","Mã chưa có")))</f>
      </c>
      <c r="J2137" s="221">
        <f>IF($I2137="Phản ánh",INDEX('Phản ánh'!$C$6:$C$505,MATCH($C2137,'Phản ánh'!$A$6:$A$505,0)),IF($I2137="Công việc",INDEX('Kế hoạch'!$C$6:$C$305,$O2137),""))</f>
      </c>
      <c r="K2137" s="221">
        <f>IF($I2137="Phản ánh",INDEX('Phản ánh'!$K$6:$K$505,MATCH($C2137,'Phản ánh'!$A$6:$A$505,0))&amp;"",IF($I2137="Công việc",INDEX('Kế hoạch'!$N$6:$N$305,$O2137)&amp;"",""))</f>
      </c>
      <c r="L2137" s="220">
        <f>IF(OR($C2137="",N($B2137)=0),"",IF(AND($I2137="Phản ánh",$E2137="Đã xử lý"),INDEX('Phản ánh'!$U$6:$U$505,MATCH($C2137,'Phản ánh'!$A$6:$A$505,0)),IF(AND($I2137="Công việc",OR($E2137="Hoàn thành",$E2137="Hoàn thành kỳ")),IF(INDEX('Kế hoạch'!$B$6:$B$305,$O2137)="Đột xuất",INDEX('Kế hoạch'!$AY$6:$AY$305,$O2137),IF(N($P2137)=0,"",IF(INT($B2137)&lt;$P2137,$P2137,IF($Q2137&gt;0,$P2137+ROUND((INT($B2137)-$P2137)/$Q2137,0)*$Q2137,IF($R2137&gt;0,EDATE($P2137,ROUND((DATEDIF($P2137,INT($B2137),"m")+(INT($B2137)-EDATE($P2137,DATEDIF($P2137,INT($B2137),"m")))/(EDATE($P2137,DATEDIF($P2137,INT($B2137),"m")+1)-EDATE($P2137,DATEDIF($P2137,INT($B2137),"m"))))/$R2137,0)*$R2137),$P2137))))),"")))</f>
      </c>
      <c r="M2137" s="223">
        <f>IF(OR($C2137="",N($L2137)=0,N($B2137)=0),"",IF(IF(MOD($L2137,1)=0,INT($B2137),$B2137)&lt;=$L2137,"Đúng hạn","Trễ hạn"))</f>
      </c>
      <c r="N2137" s="225">
        <f>IF($C2137="","",ROW())</f>
      </c>
      <c r="O2137" s="225">
        <f>IF($I2137="Công việc",MATCH($C2137,'Kế hoạch'!$A$6:$A$305,0),"")</f>
      </c>
      <c r="P2137" s="234">
        <f>IF($O2137="","",INDEX('Kế hoạch'!$I$6:$I$305,$O2137))</f>
      </c>
      <c r="Q2137" s="225">
        <f>IF($O2137="","",INDEX('Kế hoạch'!$AJ$6:$AJ$305,$O2137))</f>
      </c>
      <c r="R2137" s="225">
        <f>IF($O2137="","",INDEX('Kế hoạch'!$AK$6:$AK$305,$O2137))</f>
      </c>
    </row>
    <row r="2138">
      <c r="A2138" s="223">
        <f>IF($C2138="","",COUNTIF($C$6:$C2138,"?*"))</f>
      </c>
      <c r="B2138" s="217"/>
      <c r="C2138" s="216"/>
      <c r="D2138" s="240"/>
      <c r="E2138" s="218"/>
      <c r="F2138" s="218"/>
      <c r="G2138" s="218"/>
      <c r="H2138" s="219"/>
      <c r="I2138" s="223">
        <f>IF($C2138="","",IF(ISNUMBER(MATCH($C2138,'Phản ánh'!$A$6:$A$505,0)),"Phản ánh",IF(ISNUMBER(MATCH($C2138,'Kế hoạch'!$A$6:$A$305,0)),"Công việc","Mã chưa có")))</f>
      </c>
      <c r="J2138" s="221">
        <f>IF($I2138="Phản ánh",INDEX('Phản ánh'!$C$6:$C$505,MATCH($C2138,'Phản ánh'!$A$6:$A$505,0)),IF($I2138="Công việc",INDEX('Kế hoạch'!$C$6:$C$305,$O2138),""))</f>
      </c>
      <c r="K2138" s="221">
        <f>IF($I2138="Phản ánh",INDEX('Phản ánh'!$K$6:$K$505,MATCH($C2138,'Phản ánh'!$A$6:$A$505,0))&amp;"",IF($I2138="Công việc",INDEX('Kế hoạch'!$N$6:$N$305,$O2138)&amp;"",""))</f>
      </c>
      <c r="L2138" s="220">
        <f>IF(OR($C2138="",N($B2138)=0),"",IF(AND($I2138="Phản ánh",$E2138="Đã xử lý"),INDEX('Phản ánh'!$U$6:$U$505,MATCH($C2138,'Phản ánh'!$A$6:$A$505,0)),IF(AND($I2138="Công việc",OR($E2138="Hoàn thành",$E2138="Hoàn thành kỳ")),IF(INDEX('Kế hoạch'!$B$6:$B$305,$O2138)="Đột xuất",INDEX('Kế hoạch'!$AY$6:$AY$305,$O2138),IF(N($P2138)=0,"",IF(INT($B2138)&lt;$P2138,$P2138,IF($Q2138&gt;0,$P2138+ROUND((INT($B2138)-$P2138)/$Q2138,0)*$Q2138,IF($R2138&gt;0,EDATE($P2138,ROUND((DATEDIF($P2138,INT($B2138),"m")+(INT($B2138)-EDATE($P2138,DATEDIF($P2138,INT($B2138),"m")))/(EDATE($P2138,DATEDIF($P2138,INT($B2138),"m")+1)-EDATE($P2138,DATEDIF($P2138,INT($B2138),"m"))))/$R2138,0)*$R2138),$P2138))))),"")))</f>
      </c>
      <c r="M2138" s="223">
        <f>IF(OR($C2138="",N($L2138)=0,N($B2138)=0),"",IF(IF(MOD($L2138,1)=0,INT($B2138),$B2138)&lt;=$L2138,"Đúng hạn","Trễ hạn"))</f>
      </c>
      <c r="N2138" s="225">
        <f>IF($C2138="","",ROW())</f>
      </c>
      <c r="O2138" s="225">
        <f>IF($I2138="Công việc",MATCH($C2138,'Kế hoạch'!$A$6:$A$305,0),"")</f>
      </c>
      <c r="P2138" s="234">
        <f>IF($O2138="","",INDEX('Kế hoạch'!$I$6:$I$305,$O2138))</f>
      </c>
      <c r="Q2138" s="225">
        <f>IF($O2138="","",INDEX('Kế hoạch'!$AJ$6:$AJ$305,$O2138))</f>
      </c>
      <c r="R2138" s="225">
        <f>IF($O2138="","",INDEX('Kế hoạch'!$AK$6:$AK$305,$O2138))</f>
      </c>
    </row>
    <row r="2139">
      <c r="A2139" s="223">
        <f>IF($C2139="","",COUNTIF($C$6:$C2139,"?*"))</f>
      </c>
      <c r="B2139" s="217"/>
      <c r="C2139" s="216"/>
      <c r="D2139" s="240"/>
      <c r="E2139" s="218"/>
      <c r="F2139" s="218"/>
      <c r="G2139" s="218"/>
      <c r="H2139" s="219"/>
      <c r="I2139" s="223">
        <f>IF($C2139="","",IF(ISNUMBER(MATCH($C2139,'Phản ánh'!$A$6:$A$505,0)),"Phản ánh",IF(ISNUMBER(MATCH($C2139,'Kế hoạch'!$A$6:$A$305,0)),"Công việc","Mã chưa có")))</f>
      </c>
      <c r="J2139" s="221">
        <f>IF($I2139="Phản ánh",INDEX('Phản ánh'!$C$6:$C$505,MATCH($C2139,'Phản ánh'!$A$6:$A$505,0)),IF($I2139="Công việc",INDEX('Kế hoạch'!$C$6:$C$305,$O2139),""))</f>
      </c>
      <c r="K2139" s="221">
        <f>IF($I2139="Phản ánh",INDEX('Phản ánh'!$K$6:$K$505,MATCH($C2139,'Phản ánh'!$A$6:$A$505,0))&amp;"",IF($I2139="Công việc",INDEX('Kế hoạch'!$N$6:$N$305,$O2139)&amp;"",""))</f>
      </c>
      <c r="L2139" s="220">
        <f>IF(OR($C2139="",N($B2139)=0),"",IF(AND($I2139="Phản ánh",$E2139="Đã xử lý"),INDEX('Phản ánh'!$U$6:$U$505,MATCH($C2139,'Phản ánh'!$A$6:$A$505,0)),IF(AND($I2139="Công việc",OR($E2139="Hoàn thành",$E2139="Hoàn thành kỳ")),IF(INDEX('Kế hoạch'!$B$6:$B$305,$O2139)="Đột xuất",INDEX('Kế hoạch'!$AY$6:$AY$305,$O2139),IF(N($P2139)=0,"",IF(INT($B2139)&lt;$P2139,$P2139,IF($Q2139&gt;0,$P2139+ROUND((INT($B2139)-$P2139)/$Q2139,0)*$Q2139,IF($R2139&gt;0,EDATE($P2139,ROUND((DATEDIF($P2139,INT($B2139),"m")+(INT($B2139)-EDATE($P2139,DATEDIF($P2139,INT($B2139),"m")))/(EDATE($P2139,DATEDIF($P2139,INT($B2139),"m")+1)-EDATE($P2139,DATEDIF($P2139,INT($B2139),"m"))))/$R2139,0)*$R2139),$P2139))))),"")))</f>
      </c>
      <c r="M2139" s="223">
        <f>IF(OR($C2139="",N($L2139)=0,N($B2139)=0),"",IF(IF(MOD($L2139,1)=0,INT($B2139),$B2139)&lt;=$L2139,"Đúng hạn","Trễ hạn"))</f>
      </c>
      <c r="N2139" s="225">
        <f>IF($C2139="","",ROW())</f>
      </c>
      <c r="O2139" s="225">
        <f>IF($I2139="Công việc",MATCH($C2139,'Kế hoạch'!$A$6:$A$305,0),"")</f>
      </c>
      <c r="P2139" s="234">
        <f>IF($O2139="","",INDEX('Kế hoạch'!$I$6:$I$305,$O2139))</f>
      </c>
      <c r="Q2139" s="225">
        <f>IF($O2139="","",INDEX('Kế hoạch'!$AJ$6:$AJ$305,$O2139))</f>
      </c>
      <c r="R2139" s="225">
        <f>IF($O2139="","",INDEX('Kế hoạch'!$AK$6:$AK$305,$O2139))</f>
      </c>
    </row>
    <row r="2140">
      <c r="A2140" s="223">
        <f>IF($C2140="","",COUNTIF($C$6:$C2140,"?*"))</f>
      </c>
      <c r="B2140" s="217"/>
      <c r="C2140" s="216"/>
      <c r="D2140" s="240"/>
      <c r="E2140" s="218"/>
      <c r="F2140" s="218"/>
      <c r="G2140" s="218"/>
      <c r="H2140" s="219"/>
      <c r="I2140" s="223">
        <f>IF($C2140="","",IF(ISNUMBER(MATCH($C2140,'Phản ánh'!$A$6:$A$505,0)),"Phản ánh",IF(ISNUMBER(MATCH($C2140,'Kế hoạch'!$A$6:$A$305,0)),"Công việc","Mã chưa có")))</f>
      </c>
      <c r="J2140" s="221">
        <f>IF($I2140="Phản ánh",INDEX('Phản ánh'!$C$6:$C$505,MATCH($C2140,'Phản ánh'!$A$6:$A$505,0)),IF($I2140="Công việc",INDEX('Kế hoạch'!$C$6:$C$305,$O2140),""))</f>
      </c>
      <c r="K2140" s="221">
        <f>IF($I2140="Phản ánh",INDEX('Phản ánh'!$K$6:$K$505,MATCH($C2140,'Phản ánh'!$A$6:$A$505,0))&amp;"",IF($I2140="Công việc",INDEX('Kế hoạch'!$N$6:$N$305,$O2140)&amp;"",""))</f>
      </c>
      <c r="L2140" s="220">
        <f>IF(OR($C2140="",N($B2140)=0),"",IF(AND($I2140="Phản ánh",$E2140="Đã xử lý"),INDEX('Phản ánh'!$U$6:$U$505,MATCH($C2140,'Phản ánh'!$A$6:$A$505,0)),IF(AND($I2140="Công việc",OR($E2140="Hoàn thành",$E2140="Hoàn thành kỳ")),IF(INDEX('Kế hoạch'!$B$6:$B$305,$O2140)="Đột xuất",INDEX('Kế hoạch'!$AY$6:$AY$305,$O2140),IF(N($P2140)=0,"",IF(INT($B2140)&lt;$P2140,$P2140,IF($Q2140&gt;0,$P2140+ROUND((INT($B2140)-$P2140)/$Q2140,0)*$Q2140,IF($R2140&gt;0,EDATE($P2140,ROUND((DATEDIF($P2140,INT($B2140),"m")+(INT($B2140)-EDATE($P2140,DATEDIF($P2140,INT($B2140),"m")))/(EDATE($P2140,DATEDIF($P2140,INT($B2140),"m")+1)-EDATE($P2140,DATEDIF($P2140,INT($B2140),"m"))))/$R2140,0)*$R2140),$P2140))))),"")))</f>
      </c>
      <c r="M2140" s="223">
        <f>IF(OR($C2140="",N($L2140)=0,N($B2140)=0),"",IF(IF(MOD($L2140,1)=0,INT($B2140),$B2140)&lt;=$L2140,"Đúng hạn","Trễ hạn"))</f>
      </c>
      <c r="N2140" s="225">
        <f>IF($C2140="","",ROW())</f>
      </c>
      <c r="O2140" s="225">
        <f>IF($I2140="Công việc",MATCH($C2140,'Kế hoạch'!$A$6:$A$305,0),"")</f>
      </c>
      <c r="P2140" s="234">
        <f>IF($O2140="","",INDEX('Kế hoạch'!$I$6:$I$305,$O2140))</f>
      </c>
      <c r="Q2140" s="225">
        <f>IF($O2140="","",INDEX('Kế hoạch'!$AJ$6:$AJ$305,$O2140))</f>
      </c>
      <c r="R2140" s="225">
        <f>IF($O2140="","",INDEX('Kế hoạch'!$AK$6:$AK$305,$O2140))</f>
      </c>
    </row>
    <row r="2141">
      <c r="A2141" s="223">
        <f>IF($C2141="","",COUNTIF($C$6:$C2141,"?*"))</f>
      </c>
      <c r="B2141" s="217"/>
      <c r="C2141" s="216"/>
      <c r="D2141" s="240"/>
      <c r="E2141" s="218"/>
      <c r="F2141" s="218"/>
      <c r="G2141" s="218"/>
      <c r="H2141" s="219"/>
      <c r="I2141" s="223">
        <f>IF($C2141="","",IF(ISNUMBER(MATCH($C2141,'Phản ánh'!$A$6:$A$505,0)),"Phản ánh",IF(ISNUMBER(MATCH($C2141,'Kế hoạch'!$A$6:$A$305,0)),"Công việc","Mã chưa có")))</f>
      </c>
      <c r="J2141" s="221">
        <f>IF($I2141="Phản ánh",INDEX('Phản ánh'!$C$6:$C$505,MATCH($C2141,'Phản ánh'!$A$6:$A$505,0)),IF($I2141="Công việc",INDEX('Kế hoạch'!$C$6:$C$305,$O2141),""))</f>
      </c>
      <c r="K2141" s="221">
        <f>IF($I2141="Phản ánh",INDEX('Phản ánh'!$K$6:$K$505,MATCH($C2141,'Phản ánh'!$A$6:$A$505,0))&amp;"",IF($I2141="Công việc",INDEX('Kế hoạch'!$N$6:$N$305,$O2141)&amp;"",""))</f>
      </c>
      <c r="L2141" s="220">
        <f>IF(OR($C2141="",N($B2141)=0),"",IF(AND($I2141="Phản ánh",$E2141="Đã xử lý"),INDEX('Phản ánh'!$U$6:$U$505,MATCH($C2141,'Phản ánh'!$A$6:$A$505,0)),IF(AND($I2141="Công việc",OR($E2141="Hoàn thành",$E2141="Hoàn thành kỳ")),IF(INDEX('Kế hoạch'!$B$6:$B$305,$O2141)="Đột xuất",INDEX('Kế hoạch'!$AY$6:$AY$305,$O2141),IF(N($P2141)=0,"",IF(INT($B2141)&lt;$P2141,$P2141,IF($Q2141&gt;0,$P2141+ROUND((INT($B2141)-$P2141)/$Q2141,0)*$Q2141,IF($R2141&gt;0,EDATE($P2141,ROUND((DATEDIF($P2141,INT($B2141),"m")+(INT($B2141)-EDATE($P2141,DATEDIF($P2141,INT($B2141),"m")))/(EDATE($P2141,DATEDIF($P2141,INT($B2141),"m")+1)-EDATE($P2141,DATEDIF($P2141,INT($B2141),"m"))))/$R2141,0)*$R2141),$P2141))))),"")))</f>
      </c>
      <c r="M2141" s="223">
        <f>IF(OR($C2141="",N($L2141)=0,N($B2141)=0),"",IF(IF(MOD($L2141,1)=0,INT($B2141),$B2141)&lt;=$L2141,"Đúng hạn","Trễ hạn"))</f>
      </c>
      <c r="N2141" s="225">
        <f>IF($C2141="","",ROW())</f>
      </c>
      <c r="O2141" s="225">
        <f>IF($I2141="Công việc",MATCH($C2141,'Kế hoạch'!$A$6:$A$305,0),"")</f>
      </c>
      <c r="P2141" s="234">
        <f>IF($O2141="","",INDEX('Kế hoạch'!$I$6:$I$305,$O2141))</f>
      </c>
      <c r="Q2141" s="225">
        <f>IF($O2141="","",INDEX('Kế hoạch'!$AJ$6:$AJ$305,$O2141))</f>
      </c>
      <c r="R2141" s="225">
        <f>IF($O2141="","",INDEX('Kế hoạch'!$AK$6:$AK$305,$O2141))</f>
      </c>
    </row>
    <row r="2142">
      <c r="A2142" s="223">
        <f>IF($C2142="","",COUNTIF($C$6:$C2142,"?*"))</f>
      </c>
      <c r="B2142" s="217"/>
      <c r="C2142" s="216"/>
      <c r="D2142" s="240"/>
      <c r="E2142" s="218"/>
      <c r="F2142" s="218"/>
      <c r="G2142" s="218"/>
      <c r="H2142" s="219"/>
      <c r="I2142" s="223">
        <f>IF($C2142="","",IF(ISNUMBER(MATCH($C2142,'Phản ánh'!$A$6:$A$505,0)),"Phản ánh",IF(ISNUMBER(MATCH($C2142,'Kế hoạch'!$A$6:$A$305,0)),"Công việc","Mã chưa có")))</f>
      </c>
      <c r="J2142" s="221">
        <f>IF($I2142="Phản ánh",INDEX('Phản ánh'!$C$6:$C$505,MATCH($C2142,'Phản ánh'!$A$6:$A$505,0)),IF($I2142="Công việc",INDEX('Kế hoạch'!$C$6:$C$305,$O2142),""))</f>
      </c>
      <c r="K2142" s="221">
        <f>IF($I2142="Phản ánh",INDEX('Phản ánh'!$K$6:$K$505,MATCH($C2142,'Phản ánh'!$A$6:$A$505,0))&amp;"",IF($I2142="Công việc",INDEX('Kế hoạch'!$N$6:$N$305,$O2142)&amp;"",""))</f>
      </c>
      <c r="L2142" s="220">
        <f>IF(OR($C2142="",N($B2142)=0),"",IF(AND($I2142="Phản ánh",$E2142="Đã xử lý"),INDEX('Phản ánh'!$U$6:$U$505,MATCH($C2142,'Phản ánh'!$A$6:$A$505,0)),IF(AND($I2142="Công việc",OR($E2142="Hoàn thành",$E2142="Hoàn thành kỳ")),IF(INDEX('Kế hoạch'!$B$6:$B$305,$O2142)="Đột xuất",INDEX('Kế hoạch'!$AY$6:$AY$305,$O2142),IF(N($P2142)=0,"",IF(INT($B2142)&lt;$P2142,$P2142,IF($Q2142&gt;0,$P2142+ROUND((INT($B2142)-$P2142)/$Q2142,0)*$Q2142,IF($R2142&gt;0,EDATE($P2142,ROUND((DATEDIF($P2142,INT($B2142),"m")+(INT($B2142)-EDATE($P2142,DATEDIF($P2142,INT($B2142),"m")))/(EDATE($P2142,DATEDIF($P2142,INT($B2142),"m")+1)-EDATE($P2142,DATEDIF($P2142,INT($B2142),"m"))))/$R2142,0)*$R2142),$P2142))))),"")))</f>
      </c>
      <c r="M2142" s="223">
        <f>IF(OR($C2142="",N($L2142)=0,N($B2142)=0),"",IF(IF(MOD($L2142,1)=0,INT($B2142),$B2142)&lt;=$L2142,"Đúng hạn","Trễ hạn"))</f>
      </c>
      <c r="N2142" s="225">
        <f>IF($C2142="","",ROW())</f>
      </c>
      <c r="O2142" s="225">
        <f>IF($I2142="Công việc",MATCH($C2142,'Kế hoạch'!$A$6:$A$305,0),"")</f>
      </c>
      <c r="P2142" s="234">
        <f>IF($O2142="","",INDEX('Kế hoạch'!$I$6:$I$305,$O2142))</f>
      </c>
      <c r="Q2142" s="225">
        <f>IF($O2142="","",INDEX('Kế hoạch'!$AJ$6:$AJ$305,$O2142))</f>
      </c>
      <c r="R2142" s="225">
        <f>IF($O2142="","",INDEX('Kế hoạch'!$AK$6:$AK$305,$O2142))</f>
      </c>
    </row>
    <row r="2143">
      <c r="A2143" s="223">
        <f>IF($C2143="","",COUNTIF($C$6:$C2143,"?*"))</f>
      </c>
      <c r="B2143" s="217"/>
      <c r="C2143" s="216"/>
      <c r="D2143" s="240"/>
      <c r="E2143" s="218"/>
      <c r="F2143" s="218"/>
      <c r="G2143" s="218"/>
      <c r="H2143" s="219"/>
      <c r="I2143" s="223">
        <f>IF($C2143="","",IF(ISNUMBER(MATCH($C2143,'Phản ánh'!$A$6:$A$505,0)),"Phản ánh",IF(ISNUMBER(MATCH($C2143,'Kế hoạch'!$A$6:$A$305,0)),"Công việc","Mã chưa có")))</f>
      </c>
      <c r="J2143" s="221">
        <f>IF($I2143="Phản ánh",INDEX('Phản ánh'!$C$6:$C$505,MATCH($C2143,'Phản ánh'!$A$6:$A$505,0)),IF($I2143="Công việc",INDEX('Kế hoạch'!$C$6:$C$305,$O2143),""))</f>
      </c>
      <c r="K2143" s="221">
        <f>IF($I2143="Phản ánh",INDEX('Phản ánh'!$K$6:$K$505,MATCH($C2143,'Phản ánh'!$A$6:$A$505,0))&amp;"",IF($I2143="Công việc",INDEX('Kế hoạch'!$N$6:$N$305,$O2143)&amp;"",""))</f>
      </c>
      <c r="L2143" s="220">
        <f>IF(OR($C2143="",N($B2143)=0),"",IF(AND($I2143="Phản ánh",$E2143="Đã xử lý"),INDEX('Phản ánh'!$U$6:$U$505,MATCH($C2143,'Phản ánh'!$A$6:$A$505,0)),IF(AND($I2143="Công việc",OR($E2143="Hoàn thành",$E2143="Hoàn thành kỳ")),IF(INDEX('Kế hoạch'!$B$6:$B$305,$O2143)="Đột xuất",INDEX('Kế hoạch'!$AY$6:$AY$305,$O2143),IF(N($P2143)=0,"",IF(INT($B2143)&lt;$P2143,$P2143,IF($Q2143&gt;0,$P2143+ROUND((INT($B2143)-$P2143)/$Q2143,0)*$Q2143,IF($R2143&gt;0,EDATE($P2143,ROUND((DATEDIF($P2143,INT($B2143),"m")+(INT($B2143)-EDATE($P2143,DATEDIF($P2143,INT($B2143),"m")))/(EDATE($P2143,DATEDIF($P2143,INT($B2143),"m")+1)-EDATE($P2143,DATEDIF($P2143,INT($B2143),"m"))))/$R2143,0)*$R2143),$P2143))))),"")))</f>
      </c>
      <c r="M2143" s="223">
        <f>IF(OR($C2143="",N($L2143)=0,N($B2143)=0),"",IF(IF(MOD($L2143,1)=0,INT($B2143),$B2143)&lt;=$L2143,"Đúng hạn","Trễ hạn"))</f>
      </c>
      <c r="N2143" s="225">
        <f>IF($C2143="","",ROW())</f>
      </c>
      <c r="O2143" s="225">
        <f>IF($I2143="Công việc",MATCH($C2143,'Kế hoạch'!$A$6:$A$305,0),"")</f>
      </c>
      <c r="P2143" s="234">
        <f>IF($O2143="","",INDEX('Kế hoạch'!$I$6:$I$305,$O2143))</f>
      </c>
      <c r="Q2143" s="225">
        <f>IF($O2143="","",INDEX('Kế hoạch'!$AJ$6:$AJ$305,$O2143))</f>
      </c>
      <c r="R2143" s="225">
        <f>IF($O2143="","",INDEX('Kế hoạch'!$AK$6:$AK$305,$O2143))</f>
      </c>
    </row>
    <row r="2144">
      <c r="A2144" s="223">
        <f>IF($C2144="","",COUNTIF($C$6:$C2144,"?*"))</f>
      </c>
      <c r="B2144" s="217"/>
      <c r="C2144" s="216"/>
      <c r="D2144" s="240"/>
      <c r="E2144" s="218"/>
      <c r="F2144" s="218"/>
      <c r="G2144" s="218"/>
      <c r="H2144" s="219"/>
      <c r="I2144" s="223">
        <f>IF($C2144="","",IF(ISNUMBER(MATCH($C2144,'Phản ánh'!$A$6:$A$505,0)),"Phản ánh",IF(ISNUMBER(MATCH($C2144,'Kế hoạch'!$A$6:$A$305,0)),"Công việc","Mã chưa có")))</f>
      </c>
      <c r="J2144" s="221">
        <f>IF($I2144="Phản ánh",INDEX('Phản ánh'!$C$6:$C$505,MATCH($C2144,'Phản ánh'!$A$6:$A$505,0)),IF($I2144="Công việc",INDEX('Kế hoạch'!$C$6:$C$305,$O2144),""))</f>
      </c>
      <c r="K2144" s="221">
        <f>IF($I2144="Phản ánh",INDEX('Phản ánh'!$K$6:$K$505,MATCH($C2144,'Phản ánh'!$A$6:$A$505,0))&amp;"",IF($I2144="Công việc",INDEX('Kế hoạch'!$N$6:$N$305,$O2144)&amp;"",""))</f>
      </c>
      <c r="L2144" s="220">
        <f>IF(OR($C2144="",N($B2144)=0),"",IF(AND($I2144="Phản ánh",$E2144="Đã xử lý"),INDEX('Phản ánh'!$U$6:$U$505,MATCH($C2144,'Phản ánh'!$A$6:$A$505,0)),IF(AND($I2144="Công việc",OR($E2144="Hoàn thành",$E2144="Hoàn thành kỳ")),IF(INDEX('Kế hoạch'!$B$6:$B$305,$O2144)="Đột xuất",INDEX('Kế hoạch'!$AY$6:$AY$305,$O2144),IF(N($P2144)=0,"",IF(INT($B2144)&lt;$P2144,$P2144,IF($Q2144&gt;0,$P2144+ROUND((INT($B2144)-$P2144)/$Q2144,0)*$Q2144,IF($R2144&gt;0,EDATE($P2144,ROUND((DATEDIF($P2144,INT($B2144),"m")+(INT($B2144)-EDATE($P2144,DATEDIF($P2144,INT($B2144),"m")))/(EDATE($P2144,DATEDIF($P2144,INT($B2144),"m")+1)-EDATE($P2144,DATEDIF($P2144,INT($B2144),"m"))))/$R2144,0)*$R2144),$P2144))))),"")))</f>
      </c>
      <c r="M2144" s="223">
        <f>IF(OR($C2144="",N($L2144)=0,N($B2144)=0),"",IF(IF(MOD($L2144,1)=0,INT($B2144),$B2144)&lt;=$L2144,"Đúng hạn","Trễ hạn"))</f>
      </c>
      <c r="N2144" s="225">
        <f>IF($C2144="","",ROW())</f>
      </c>
      <c r="O2144" s="225">
        <f>IF($I2144="Công việc",MATCH($C2144,'Kế hoạch'!$A$6:$A$305,0),"")</f>
      </c>
      <c r="P2144" s="234">
        <f>IF($O2144="","",INDEX('Kế hoạch'!$I$6:$I$305,$O2144))</f>
      </c>
      <c r="Q2144" s="225">
        <f>IF($O2144="","",INDEX('Kế hoạch'!$AJ$6:$AJ$305,$O2144))</f>
      </c>
      <c r="R2144" s="225">
        <f>IF($O2144="","",INDEX('Kế hoạch'!$AK$6:$AK$305,$O2144))</f>
      </c>
    </row>
    <row r="2145">
      <c r="A2145" s="223">
        <f>IF($C2145="","",COUNTIF($C$6:$C2145,"?*"))</f>
      </c>
      <c r="B2145" s="217"/>
      <c r="C2145" s="216"/>
      <c r="D2145" s="240"/>
      <c r="E2145" s="218"/>
      <c r="F2145" s="218"/>
      <c r="G2145" s="218"/>
      <c r="H2145" s="219"/>
      <c r="I2145" s="223">
        <f>IF($C2145="","",IF(ISNUMBER(MATCH($C2145,'Phản ánh'!$A$6:$A$505,0)),"Phản ánh",IF(ISNUMBER(MATCH($C2145,'Kế hoạch'!$A$6:$A$305,0)),"Công việc","Mã chưa có")))</f>
      </c>
      <c r="J2145" s="221">
        <f>IF($I2145="Phản ánh",INDEX('Phản ánh'!$C$6:$C$505,MATCH($C2145,'Phản ánh'!$A$6:$A$505,0)),IF($I2145="Công việc",INDEX('Kế hoạch'!$C$6:$C$305,$O2145),""))</f>
      </c>
      <c r="K2145" s="221">
        <f>IF($I2145="Phản ánh",INDEX('Phản ánh'!$K$6:$K$505,MATCH($C2145,'Phản ánh'!$A$6:$A$505,0))&amp;"",IF($I2145="Công việc",INDEX('Kế hoạch'!$N$6:$N$305,$O2145)&amp;"",""))</f>
      </c>
      <c r="L2145" s="220">
        <f>IF(OR($C2145="",N($B2145)=0),"",IF(AND($I2145="Phản ánh",$E2145="Đã xử lý"),INDEX('Phản ánh'!$U$6:$U$505,MATCH($C2145,'Phản ánh'!$A$6:$A$505,0)),IF(AND($I2145="Công việc",OR($E2145="Hoàn thành",$E2145="Hoàn thành kỳ")),IF(INDEX('Kế hoạch'!$B$6:$B$305,$O2145)="Đột xuất",INDEX('Kế hoạch'!$AY$6:$AY$305,$O2145),IF(N($P2145)=0,"",IF(INT($B2145)&lt;$P2145,$P2145,IF($Q2145&gt;0,$P2145+ROUND((INT($B2145)-$P2145)/$Q2145,0)*$Q2145,IF($R2145&gt;0,EDATE($P2145,ROUND((DATEDIF($P2145,INT($B2145),"m")+(INT($B2145)-EDATE($P2145,DATEDIF($P2145,INT($B2145),"m")))/(EDATE($P2145,DATEDIF($P2145,INT($B2145),"m")+1)-EDATE($P2145,DATEDIF($P2145,INT($B2145),"m"))))/$R2145,0)*$R2145),$P2145))))),"")))</f>
      </c>
      <c r="M2145" s="223">
        <f>IF(OR($C2145="",N($L2145)=0,N($B2145)=0),"",IF(IF(MOD($L2145,1)=0,INT($B2145),$B2145)&lt;=$L2145,"Đúng hạn","Trễ hạn"))</f>
      </c>
      <c r="N2145" s="225">
        <f>IF($C2145="","",ROW())</f>
      </c>
      <c r="O2145" s="225">
        <f>IF($I2145="Công việc",MATCH($C2145,'Kế hoạch'!$A$6:$A$305,0),"")</f>
      </c>
      <c r="P2145" s="234">
        <f>IF($O2145="","",INDEX('Kế hoạch'!$I$6:$I$305,$O2145))</f>
      </c>
      <c r="Q2145" s="225">
        <f>IF($O2145="","",INDEX('Kế hoạch'!$AJ$6:$AJ$305,$O2145))</f>
      </c>
      <c r="R2145" s="225">
        <f>IF($O2145="","",INDEX('Kế hoạch'!$AK$6:$AK$305,$O2145))</f>
      </c>
    </row>
    <row r="2146">
      <c r="A2146" s="223">
        <f>IF($C2146="","",COUNTIF($C$6:$C2146,"?*"))</f>
      </c>
      <c r="B2146" s="217"/>
      <c r="C2146" s="216"/>
      <c r="D2146" s="240"/>
      <c r="E2146" s="218"/>
      <c r="F2146" s="218"/>
      <c r="G2146" s="218"/>
      <c r="H2146" s="219"/>
      <c r="I2146" s="223">
        <f>IF($C2146="","",IF(ISNUMBER(MATCH($C2146,'Phản ánh'!$A$6:$A$505,0)),"Phản ánh",IF(ISNUMBER(MATCH($C2146,'Kế hoạch'!$A$6:$A$305,0)),"Công việc","Mã chưa có")))</f>
      </c>
      <c r="J2146" s="221">
        <f>IF($I2146="Phản ánh",INDEX('Phản ánh'!$C$6:$C$505,MATCH($C2146,'Phản ánh'!$A$6:$A$505,0)),IF($I2146="Công việc",INDEX('Kế hoạch'!$C$6:$C$305,$O2146),""))</f>
      </c>
      <c r="K2146" s="221">
        <f>IF($I2146="Phản ánh",INDEX('Phản ánh'!$K$6:$K$505,MATCH($C2146,'Phản ánh'!$A$6:$A$505,0))&amp;"",IF($I2146="Công việc",INDEX('Kế hoạch'!$N$6:$N$305,$O2146)&amp;"",""))</f>
      </c>
      <c r="L2146" s="220">
        <f>IF(OR($C2146="",N($B2146)=0),"",IF(AND($I2146="Phản ánh",$E2146="Đã xử lý"),INDEX('Phản ánh'!$U$6:$U$505,MATCH($C2146,'Phản ánh'!$A$6:$A$505,0)),IF(AND($I2146="Công việc",OR($E2146="Hoàn thành",$E2146="Hoàn thành kỳ")),IF(INDEX('Kế hoạch'!$B$6:$B$305,$O2146)="Đột xuất",INDEX('Kế hoạch'!$AY$6:$AY$305,$O2146),IF(N($P2146)=0,"",IF(INT($B2146)&lt;$P2146,$P2146,IF($Q2146&gt;0,$P2146+ROUND((INT($B2146)-$P2146)/$Q2146,0)*$Q2146,IF($R2146&gt;0,EDATE($P2146,ROUND((DATEDIF($P2146,INT($B2146),"m")+(INT($B2146)-EDATE($P2146,DATEDIF($P2146,INT($B2146),"m")))/(EDATE($P2146,DATEDIF($P2146,INT($B2146),"m")+1)-EDATE($P2146,DATEDIF($P2146,INT($B2146),"m"))))/$R2146,0)*$R2146),$P2146))))),"")))</f>
      </c>
      <c r="M2146" s="223">
        <f>IF(OR($C2146="",N($L2146)=0,N($B2146)=0),"",IF(IF(MOD($L2146,1)=0,INT($B2146),$B2146)&lt;=$L2146,"Đúng hạn","Trễ hạn"))</f>
      </c>
      <c r="N2146" s="225">
        <f>IF($C2146="","",ROW())</f>
      </c>
      <c r="O2146" s="225">
        <f>IF($I2146="Công việc",MATCH($C2146,'Kế hoạch'!$A$6:$A$305,0),"")</f>
      </c>
      <c r="P2146" s="234">
        <f>IF($O2146="","",INDEX('Kế hoạch'!$I$6:$I$305,$O2146))</f>
      </c>
      <c r="Q2146" s="225">
        <f>IF($O2146="","",INDEX('Kế hoạch'!$AJ$6:$AJ$305,$O2146))</f>
      </c>
      <c r="R2146" s="225">
        <f>IF($O2146="","",INDEX('Kế hoạch'!$AK$6:$AK$305,$O2146))</f>
      </c>
    </row>
    <row r="2147">
      <c r="A2147" s="223">
        <f>IF($C2147="","",COUNTIF($C$6:$C2147,"?*"))</f>
      </c>
      <c r="B2147" s="217"/>
      <c r="C2147" s="216"/>
      <c r="D2147" s="240"/>
      <c r="E2147" s="218"/>
      <c r="F2147" s="218"/>
      <c r="G2147" s="218"/>
      <c r="H2147" s="219"/>
      <c r="I2147" s="223">
        <f>IF($C2147="","",IF(ISNUMBER(MATCH($C2147,'Phản ánh'!$A$6:$A$505,0)),"Phản ánh",IF(ISNUMBER(MATCH($C2147,'Kế hoạch'!$A$6:$A$305,0)),"Công việc","Mã chưa có")))</f>
      </c>
      <c r="J2147" s="221">
        <f>IF($I2147="Phản ánh",INDEX('Phản ánh'!$C$6:$C$505,MATCH($C2147,'Phản ánh'!$A$6:$A$505,0)),IF($I2147="Công việc",INDEX('Kế hoạch'!$C$6:$C$305,$O2147),""))</f>
      </c>
      <c r="K2147" s="221">
        <f>IF($I2147="Phản ánh",INDEX('Phản ánh'!$K$6:$K$505,MATCH($C2147,'Phản ánh'!$A$6:$A$505,0))&amp;"",IF($I2147="Công việc",INDEX('Kế hoạch'!$N$6:$N$305,$O2147)&amp;"",""))</f>
      </c>
      <c r="L2147" s="220">
        <f>IF(OR($C2147="",N($B2147)=0),"",IF(AND($I2147="Phản ánh",$E2147="Đã xử lý"),INDEX('Phản ánh'!$U$6:$U$505,MATCH($C2147,'Phản ánh'!$A$6:$A$505,0)),IF(AND($I2147="Công việc",OR($E2147="Hoàn thành",$E2147="Hoàn thành kỳ")),IF(INDEX('Kế hoạch'!$B$6:$B$305,$O2147)="Đột xuất",INDEX('Kế hoạch'!$AY$6:$AY$305,$O2147),IF(N($P2147)=0,"",IF(INT($B2147)&lt;$P2147,$P2147,IF($Q2147&gt;0,$P2147+ROUND((INT($B2147)-$P2147)/$Q2147,0)*$Q2147,IF($R2147&gt;0,EDATE($P2147,ROUND((DATEDIF($P2147,INT($B2147),"m")+(INT($B2147)-EDATE($P2147,DATEDIF($P2147,INT($B2147),"m")))/(EDATE($P2147,DATEDIF($P2147,INT($B2147),"m")+1)-EDATE($P2147,DATEDIF($P2147,INT($B2147),"m"))))/$R2147,0)*$R2147),$P2147))))),"")))</f>
      </c>
      <c r="M2147" s="223">
        <f>IF(OR($C2147="",N($L2147)=0,N($B2147)=0),"",IF(IF(MOD($L2147,1)=0,INT($B2147),$B2147)&lt;=$L2147,"Đúng hạn","Trễ hạn"))</f>
      </c>
      <c r="N2147" s="225">
        <f>IF($C2147="","",ROW())</f>
      </c>
      <c r="O2147" s="225">
        <f>IF($I2147="Công việc",MATCH($C2147,'Kế hoạch'!$A$6:$A$305,0),"")</f>
      </c>
      <c r="P2147" s="234">
        <f>IF($O2147="","",INDEX('Kế hoạch'!$I$6:$I$305,$O2147))</f>
      </c>
      <c r="Q2147" s="225">
        <f>IF($O2147="","",INDEX('Kế hoạch'!$AJ$6:$AJ$305,$O2147))</f>
      </c>
      <c r="R2147" s="225">
        <f>IF($O2147="","",INDEX('Kế hoạch'!$AK$6:$AK$305,$O2147))</f>
      </c>
    </row>
    <row r="2148">
      <c r="A2148" s="223">
        <f>IF($C2148="","",COUNTIF($C$6:$C2148,"?*"))</f>
      </c>
      <c r="B2148" s="217"/>
      <c r="C2148" s="216"/>
      <c r="D2148" s="240"/>
      <c r="E2148" s="218"/>
      <c r="F2148" s="218"/>
      <c r="G2148" s="218"/>
      <c r="H2148" s="219"/>
      <c r="I2148" s="223">
        <f>IF($C2148="","",IF(ISNUMBER(MATCH($C2148,'Phản ánh'!$A$6:$A$505,0)),"Phản ánh",IF(ISNUMBER(MATCH($C2148,'Kế hoạch'!$A$6:$A$305,0)),"Công việc","Mã chưa có")))</f>
      </c>
      <c r="J2148" s="221">
        <f>IF($I2148="Phản ánh",INDEX('Phản ánh'!$C$6:$C$505,MATCH($C2148,'Phản ánh'!$A$6:$A$505,0)),IF($I2148="Công việc",INDEX('Kế hoạch'!$C$6:$C$305,$O2148),""))</f>
      </c>
      <c r="K2148" s="221">
        <f>IF($I2148="Phản ánh",INDEX('Phản ánh'!$K$6:$K$505,MATCH($C2148,'Phản ánh'!$A$6:$A$505,0))&amp;"",IF($I2148="Công việc",INDEX('Kế hoạch'!$N$6:$N$305,$O2148)&amp;"",""))</f>
      </c>
      <c r="L2148" s="220">
        <f>IF(OR($C2148="",N($B2148)=0),"",IF(AND($I2148="Phản ánh",$E2148="Đã xử lý"),INDEX('Phản ánh'!$U$6:$U$505,MATCH($C2148,'Phản ánh'!$A$6:$A$505,0)),IF(AND($I2148="Công việc",OR($E2148="Hoàn thành",$E2148="Hoàn thành kỳ")),IF(INDEX('Kế hoạch'!$B$6:$B$305,$O2148)="Đột xuất",INDEX('Kế hoạch'!$AY$6:$AY$305,$O2148),IF(N($P2148)=0,"",IF(INT($B2148)&lt;$P2148,$P2148,IF($Q2148&gt;0,$P2148+ROUND((INT($B2148)-$P2148)/$Q2148,0)*$Q2148,IF($R2148&gt;0,EDATE($P2148,ROUND((DATEDIF($P2148,INT($B2148),"m")+(INT($B2148)-EDATE($P2148,DATEDIF($P2148,INT($B2148),"m")))/(EDATE($P2148,DATEDIF($P2148,INT($B2148),"m")+1)-EDATE($P2148,DATEDIF($P2148,INT($B2148),"m"))))/$R2148,0)*$R2148),$P2148))))),"")))</f>
      </c>
      <c r="M2148" s="223">
        <f>IF(OR($C2148="",N($L2148)=0,N($B2148)=0),"",IF(IF(MOD($L2148,1)=0,INT($B2148),$B2148)&lt;=$L2148,"Đúng hạn","Trễ hạn"))</f>
      </c>
      <c r="N2148" s="225">
        <f>IF($C2148="","",ROW())</f>
      </c>
      <c r="O2148" s="225">
        <f>IF($I2148="Công việc",MATCH($C2148,'Kế hoạch'!$A$6:$A$305,0),"")</f>
      </c>
      <c r="P2148" s="234">
        <f>IF($O2148="","",INDEX('Kế hoạch'!$I$6:$I$305,$O2148))</f>
      </c>
      <c r="Q2148" s="225">
        <f>IF($O2148="","",INDEX('Kế hoạch'!$AJ$6:$AJ$305,$O2148))</f>
      </c>
      <c r="R2148" s="225">
        <f>IF($O2148="","",INDEX('Kế hoạch'!$AK$6:$AK$305,$O2148))</f>
      </c>
    </row>
    <row r="2149">
      <c r="A2149" s="223">
        <f>IF($C2149="","",COUNTIF($C$6:$C2149,"?*"))</f>
      </c>
      <c r="B2149" s="217"/>
      <c r="C2149" s="216"/>
      <c r="D2149" s="240"/>
      <c r="E2149" s="218"/>
      <c r="F2149" s="218"/>
      <c r="G2149" s="218"/>
      <c r="H2149" s="219"/>
      <c r="I2149" s="223">
        <f>IF($C2149="","",IF(ISNUMBER(MATCH($C2149,'Phản ánh'!$A$6:$A$505,0)),"Phản ánh",IF(ISNUMBER(MATCH($C2149,'Kế hoạch'!$A$6:$A$305,0)),"Công việc","Mã chưa có")))</f>
      </c>
      <c r="J2149" s="221">
        <f>IF($I2149="Phản ánh",INDEX('Phản ánh'!$C$6:$C$505,MATCH($C2149,'Phản ánh'!$A$6:$A$505,0)),IF($I2149="Công việc",INDEX('Kế hoạch'!$C$6:$C$305,$O2149),""))</f>
      </c>
      <c r="K2149" s="221">
        <f>IF($I2149="Phản ánh",INDEX('Phản ánh'!$K$6:$K$505,MATCH($C2149,'Phản ánh'!$A$6:$A$505,0))&amp;"",IF($I2149="Công việc",INDEX('Kế hoạch'!$N$6:$N$305,$O2149)&amp;"",""))</f>
      </c>
      <c r="L2149" s="220">
        <f>IF(OR($C2149="",N($B2149)=0),"",IF(AND($I2149="Phản ánh",$E2149="Đã xử lý"),INDEX('Phản ánh'!$U$6:$U$505,MATCH($C2149,'Phản ánh'!$A$6:$A$505,0)),IF(AND($I2149="Công việc",OR($E2149="Hoàn thành",$E2149="Hoàn thành kỳ")),IF(INDEX('Kế hoạch'!$B$6:$B$305,$O2149)="Đột xuất",INDEX('Kế hoạch'!$AY$6:$AY$305,$O2149),IF(N($P2149)=0,"",IF(INT($B2149)&lt;$P2149,$P2149,IF($Q2149&gt;0,$P2149+ROUND((INT($B2149)-$P2149)/$Q2149,0)*$Q2149,IF($R2149&gt;0,EDATE($P2149,ROUND((DATEDIF($P2149,INT($B2149),"m")+(INT($B2149)-EDATE($P2149,DATEDIF($P2149,INT($B2149),"m")))/(EDATE($P2149,DATEDIF($P2149,INT($B2149),"m")+1)-EDATE($P2149,DATEDIF($P2149,INT($B2149),"m"))))/$R2149,0)*$R2149),$P2149))))),"")))</f>
      </c>
      <c r="M2149" s="223">
        <f>IF(OR($C2149="",N($L2149)=0,N($B2149)=0),"",IF(IF(MOD($L2149,1)=0,INT($B2149),$B2149)&lt;=$L2149,"Đúng hạn","Trễ hạn"))</f>
      </c>
      <c r="N2149" s="225">
        <f>IF($C2149="","",ROW())</f>
      </c>
      <c r="O2149" s="225">
        <f>IF($I2149="Công việc",MATCH($C2149,'Kế hoạch'!$A$6:$A$305,0),"")</f>
      </c>
      <c r="P2149" s="234">
        <f>IF($O2149="","",INDEX('Kế hoạch'!$I$6:$I$305,$O2149))</f>
      </c>
      <c r="Q2149" s="225">
        <f>IF($O2149="","",INDEX('Kế hoạch'!$AJ$6:$AJ$305,$O2149))</f>
      </c>
      <c r="R2149" s="225">
        <f>IF($O2149="","",INDEX('Kế hoạch'!$AK$6:$AK$305,$O2149))</f>
      </c>
    </row>
    <row r="2150">
      <c r="A2150" s="223">
        <f>IF($C2150="","",COUNTIF($C$6:$C2150,"?*"))</f>
      </c>
      <c r="B2150" s="217"/>
      <c r="C2150" s="216"/>
      <c r="D2150" s="240"/>
      <c r="E2150" s="218"/>
      <c r="F2150" s="218"/>
      <c r="G2150" s="218"/>
      <c r="H2150" s="219"/>
      <c r="I2150" s="223">
        <f>IF($C2150="","",IF(ISNUMBER(MATCH($C2150,'Phản ánh'!$A$6:$A$505,0)),"Phản ánh",IF(ISNUMBER(MATCH($C2150,'Kế hoạch'!$A$6:$A$305,0)),"Công việc","Mã chưa có")))</f>
      </c>
      <c r="J2150" s="221">
        <f>IF($I2150="Phản ánh",INDEX('Phản ánh'!$C$6:$C$505,MATCH($C2150,'Phản ánh'!$A$6:$A$505,0)),IF($I2150="Công việc",INDEX('Kế hoạch'!$C$6:$C$305,$O2150),""))</f>
      </c>
      <c r="K2150" s="221">
        <f>IF($I2150="Phản ánh",INDEX('Phản ánh'!$K$6:$K$505,MATCH($C2150,'Phản ánh'!$A$6:$A$505,0))&amp;"",IF($I2150="Công việc",INDEX('Kế hoạch'!$N$6:$N$305,$O2150)&amp;"",""))</f>
      </c>
      <c r="L2150" s="220">
        <f>IF(OR($C2150="",N($B2150)=0),"",IF(AND($I2150="Phản ánh",$E2150="Đã xử lý"),INDEX('Phản ánh'!$U$6:$U$505,MATCH($C2150,'Phản ánh'!$A$6:$A$505,0)),IF(AND($I2150="Công việc",OR($E2150="Hoàn thành",$E2150="Hoàn thành kỳ")),IF(INDEX('Kế hoạch'!$B$6:$B$305,$O2150)="Đột xuất",INDEX('Kế hoạch'!$AY$6:$AY$305,$O2150),IF(N($P2150)=0,"",IF(INT($B2150)&lt;$P2150,$P2150,IF($Q2150&gt;0,$P2150+ROUND((INT($B2150)-$P2150)/$Q2150,0)*$Q2150,IF($R2150&gt;0,EDATE($P2150,ROUND((DATEDIF($P2150,INT($B2150),"m")+(INT($B2150)-EDATE($P2150,DATEDIF($P2150,INT($B2150),"m")))/(EDATE($P2150,DATEDIF($P2150,INT($B2150),"m")+1)-EDATE($P2150,DATEDIF($P2150,INT($B2150),"m"))))/$R2150,0)*$R2150),$P2150))))),"")))</f>
      </c>
      <c r="M2150" s="223">
        <f>IF(OR($C2150="",N($L2150)=0,N($B2150)=0),"",IF(IF(MOD($L2150,1)=0,INT($B2150),$B2150)&lt;=$L2150,"Đúng hạn","Trễ hạn"))</f>
      </c>
      <c r="N2150" s="225">
        <f>IF($C2150="","",ROW())</f>
      </c>
      <c r="O2150" s="225">
        <f>IF($I2150="Công việc",MATCH($C2150,'Kế hoạch'!$A$6:$A$305,0),"")</f>
      </c>
      <c r="P2150" s="234">
        <f>IF($O2150="","",INDEX('Kế hoạch'!$I$6:$I$305,$O2150))</f>
      </c>
      <c r="Q2150" s="225">
        <f>IF($O2150="","",INDEX('Kế hoạch'!$AJ$6:$AJ$305,$O2150))</f>
      </c>
      <c r="R2150" s="225">
        <f>IF($O2150="","",INDEX('Kế hoạch'!$AK$6:$AK$305,$O2150))</f>
      </c>
    </row>
    <row r="2151">
      <c r="A2151" s="223">
        <f>IF($C2151="","",COUNTIF($C$6:$C2151,"?*"))</f>
      </c>
      <c r="B2151" s="217"/>
      <c r="C2151" s="216"/>
      <c r="D2151" s="240"/>
      <c r="E2151" s="218"/>
      <c r="F2151" s="218"/>
      <c r="G2151" s="218"/>
      <c r="H2151" s="219"/>
      <c r="I2151" s="223">
        <f>IF($C2151="","",IF(ISNUMBER(MATCH($C2151,'Phản ánh'!$A$6:$A$505,0)),"Phản ánh",IF(ISNUMBER(MATCH($C2151,'Kế hoạch'!$A$6:$A$305,0)),"Công việc","Mã chưa có")))</f>
      </c>
      <c r="J2151" s="221">
        <f>IF($I2151="Phản ánh",INDEX('Phản ánh'!$C$6:$C$505,MATCH($C2151,'Phản ánh'!$A$6:$A$505,0)),IF($I2151="Công việc",INDEX('Kế hoạch'!$C$6:$C$305,$O2151),""))</f>
      </c>
      <c r="K2151" s="221">
        <f>IF($I2151="Phản ánh",INDEX('Phản ánh'!$K$6:$K$505,MATCH($C2151,'Phản ánh'!$A$6:$A$505,0))&amp;"",IF($I2151="Công việc",INDEX('Kế hoạch'!$N$6:$N$305,$O2151)&amp;"",""))</f>
      </c>
      <c r="L2151" s="220">
        <f>IF(OR($C2151="",N($B2151)=0),"",IF(AND($I2151="Phản ánh",$E2151="Đã xử lý"),INDEX('Phản ánh'!$U$6:$U$505,MATCH($C2151,'Phản ánh'!$A$6:$A$505,0)),IF(AND($I2151="Công việc",OR($E2151="Hoàn thành",$E2151="Hoàn thành kỳ")),IF(INDEX('Kế hoạch'!$B$6:$B$305,$O2151)="Đột xuất",INDEX('Kế hoạch'!$AY$6:$AY$305,$O2151),IF(N($P2151)=0,"",IF(INT($B2151)&lt;$P2151,$P2151,IF($Q2151&gt;0,$P2151+ROUND((INT($B2151)-$P2151)/$Q2151,0)*$Q2151,IF($R2151&gt;0,EDATE($P2151,ROUND((DATEDIF($P2151,INT($B2151),"m")+(INT($B2151)-EDATE($P2151,DATEDIF($P2151,INT($B2151),"m")))/(EDATE($P2151,DATEDIF($P2151,INT($B2151),"m")+1)-EDATE($P2151,DATEDIF($P2151,INT($B2151),"m"))))/$R2151,0)*$R2151),$P2151))))),"")))</f>
      </c>
      <c r="M2151" s="223">
        <f>IF(OR($C2151="",N($L2151)=0,N($B2151)=0),"",IF(IF(MOD($L2151,1)=0,INT($B2151),$B2151)&lt;=$L2151,"Đúng hạn","Trễ hạn"))</f>
      </c>
      <c r="N2151" s="225">
        <f>IF($C2151="","",ROW())</f>
      </c>
      <c r="O2151" s="225">
        <f>IF($I2151="Công việc",MATCH($C2151,'Kế hoạch'!$A$6:$A$305,0),"")</f>
      </c>
      <c r="P2151" s="234">
        <f>IF($O2151="","",INDEX('Kế hoạch'!$I$6:$I$305,$O2151))</f>
      </c>
      <c r="Q2151" s="225">
        <f>IF($O2151="","",INDEX('Kế hoạch'!$AJ$6:$AJ$305,$O2151))</f>
      </c>
      <c r="R2151" s="225">
        <f>IF($O2151="","",INDEX('Kế hoạch'!$AK$6:$AK$305,$O2151))</f>
      </c>
    </row>
    <row r="2152">
      <c r="A2152" s="223">
        <f>IF($C2152="","",COUNTIF($C$6:$C2152,"?*"))</f>
      </c>
      <c r="B2152" s="217"/>
      <c r="C2152" s="216"/>
      <c r="D2152" s="240"/>
      <c r="E2152" s="218"/>
      <c r="F2152" s="218"/>
      <c r="G2152" s="218"/>
      <c r="H2152" s="219"/>
      <c r="I2152" s="223">
        <f>IF($C2152="","",IF(ISNUMBER(MATCH($C2152,'Phản ánh'!$A$6:$A$505,0)),"Phản ánh",IF(ISNUMBER(MATCH($C2152,'Kế hoạch'!$A$6:$A$305,0)),"Công việc","Mã chưa có")))</f>
      </c>
      <c r="J2152" s="221">
        <f>IF($I2152="Phản ánh",INDEX('Phản ánh'!$C$6:$C$505,MATCH($C2152,'Phản ánh'!$A$6:$A$505,0)),IF($I2152="Công việc",INDEX('Kế hoạch'!$C$6:$C$305,$O2152),""))</f>
      </c>
      <c r="K2152" s="221">
        <f>IF($I2152="Phản ánh",INDEX('Phản ánh'!$K$6:$K$505,MATCH($C2152,'Phản ánh'!$A$6:$A$505,0))&amp;"",IF($I2152="Công việc",INDEX('Kế hoạch'!$N$6:$N$305,$O2152)&amp;"",""))</f>
      </c>
      <c r="L2152" s="220">
        <f>IF(OR($C2152="",N($B2152)=0),"",IF(AND($I2152="Phản ánh",$E2152="Đã xử lý"),INDEX('Phản ánh'!$U$6:$U$505,MATCH($C2152,'Phản ánh'!$A$6:$A$505,0)),IF(AND($I2152="Công việc",OR($E2152="Hoàn thành",$E2152="Hoàn thành kỳ")),IF(INDEX('Kế hoạch'!$B$6:$B$305,$O2152)="Đột xuất",INDEX('Kế hoạch'!$AY$6:$AY$305,$O2152),IF(N($P2152)=0,"",IF(INT($B2152)&lt;$P2152,$P2152,IF($Q2152&gt;0,$P2152+ROUND((INT($B2152)-$P2152)/$Q2152,0)*$Q2152,IF($R2152&gt;0,EDATE($P2152,ROUND((DATEDIF($P2152,INT($B2152),"m")+(INT($B2152)-EDATE($P2152,DATEDIF($P2152,INT($B2152),"m")))/(EDATE($P2152,DATEDIF($P2152,INT($B2152),"m")+1)-EDATE($P2152,DATEDIF($P2152,INT($B2152),"m"))))/$R2152,0)*$R2152),$P2152))))),"")))</f>
      </c>
      <c r="M2152" s="223">
        <f>IF(OR($C2152="",N($L2152)=0,N($B2152)=0),"",IF(IF(MOD($L2152,1)=0,INT($B2152),$B2152)&lt;=$L2152,"Đúng hạn","Trễ hạn"))</f>
      </c>
      <c r="N2152" s="225">
        <f>IF($C2152="","",ROW())</f>
      </c>
      <c r="O2152" s="225">
        <f>IF($I2152="Công việc",MATCH($C2152,'Kế hoạch'!$A$6:$A$305,0),"")</f>
      </c>
      <c r="P2152" s="234">
        <f>IF($O2152="","",INDEX('Kế hoạch'!$I$6:$I$305,$O2152))</f>
      </c>
      <c r="Q2152" s="225">
        <f>IF($O2152="","",INDEX('Kế hoạch'!$AJ$6:$AJ$305,$O2152))</f>
      </c>
      <c r="R2152" s="225">
        <f>IF($O2152="","",INDEX('Kế hoạch'!$AK$6:$AK$305,$O2152))</f>
      </c>
    </row>
    <row r="2153">
      <c r="A2153" s="223">
        <f>IF($C2153="","",COUNTIF($C$6:$C2153,"?*"))</f>
      </c>
      <c r="B2153" s="217"/>
      <c r="C2153" s="216"/>
      <c r="D2153" s="240"/>
      <c r="E2153" s="218"/>
      <c r="F2153" s="218"/>
      <c r="G2153" s="218"/>
      <c r="H2153" s="219"/>
      <c r="I2153" s="223">
        <f>IF($C2153="","",IF(ISNUMBER(MATCH($C2153,'Phản ánh'!$A$6:$A$505,0)),"Phản ánh",IF(ISNUMBER(MATCH($C2153,'Kế hoạch'!$A$6:$A$305,0)),"Công việc","Mã chưa có")))</f>
      </c>
      <c r="J2153" s="221">
        <f>IF($I2153="Phản ánh",INDEX('Phản ánh'!$C$6:$C$505,MATCH($C2153,'Phản ánh'!$A$6:$A$505,0)),IF($I2153="Công việc",INDEX('Kế hoạch'!$C$6:$C$305,$O2153),""))</f>
      </c>
      <c r="K2153" s="221">
        <f>IF($I2153="Phản ánh",INDEX('Phản ánh'!$K$6:$K$505,MATCH($C2153,'Phản ánh'!$A$6:$A$505,0))&amp;"",IF($I2153="Công việc",INDEX('Kế hoạch'!$N$6:$N$305,$O2153)&amp;"",""))</f>
      </c>
      <c r="L2153" s="220">
        <f>IF(OR($C2153="",N($B2153)=0),"",IF(AND($I2153="Phản ánh",$E2153="Đã xử lý"),INDEX('Phản ánh'!$U$6:$U$505,MATCH($C2153,'Phản ánh'!$A$6:$A$505,0)),IF(AND($I2153="Công việc",OR($E2153="Hoàn thành",$E2153="Hoàn thành kỳ")),IF(INDEX('Kế hoạch'!$B$6:$B$305,$O2153)="Đột xuất",INDEX('Kế hoạch'!$AY$6:$AY$305,$O2153),IF(N($P2153)=0,"",IF(INT($B2153)&lt;$P2153,$P2153,IF($Q2153&gt;0,$P2153+ROUND((INT($B2153)-$P2153)/$Q2153,0)*$Q2153,IF($R2153&gt;0,EDATE($P2153,ROUND((DATEDIF($P2153,INT($B2153),"m")+(INT($B2153)-EDATE($P2153,DATEDIF($P2153,INT($B2153),"m")))/(EDATE($P2153,DATEDIF($P2153,INT($B2153),"m")+1)-EDATE($P2153,DATEDIF($P2153,INT($B2153),"m"))))/$R2153,0)*$R2153),$P2153))))),"")))</f>
      </c>
      <c r="M2153" s="223">
        <f>IF(OR($C2153="",N($L2153)=0,N($B2153)=0),"",IF(IF(MOD($L2153,1)=0,INT($B2153),$B2153)&lt;=$L2153,"Đúng hạn","Trễ hạn"))</f>
      </c>
      <c r="N2153" s="225">
        <f>IF($C2153="","",ROW())</f>
      </c>
      <c r="O2153" s="225">
        <f>IF($I2153="Công việc",MATCH($C2153,'Kế hoạch'!$A$6:$A$305,0),"")</f>
      </c>
      <c r="P2153" s="234">
        <f>IF($O2153="","",INDEX('Kế hoạch'!$I$6:$I$305,$O2153))</f>
      </c>
      <c r="Q2153" s="225">
        <f>IF($O2153="","",INDEX('Kế hoạch'!$AJ$6:$AJ$305,$O2153))</f>
      </c>
      <c r="R2153" s="225">
        <f>IF($O2153="","",INDEX('Kế hoạch'!$AK$6:$AK$305,$O2153))</f>
      </c>
    </row>
    <row r="2154">
      <c r="A2154" s="223">
        <f>IF($C2154="","",COUNTIF($C$6:$C2154,"?*"))</f>
      </c>
      <c r="B2154" s="217"/>
      <c r="C2154" s="216"/>
      <c r="D2154" s="240"/>
      <c r="E2154" s="218"/>
      <c r="F2154" s="218"/>
      <c r="G2154" s="218"/>
      <c r="H2154" s="219"/>
      <c r="I2154" s="223">
        <f>IF($C2154="","",IF(ISNUMBER(MATCH($C2154,'Phản ánh'!$A$6:$A$505,0)),"Phản ánh",IF(ISNUMBER(MATCH($C2154,'Kế hoạch'!$A$6:$A$305,0)),"Công việc","Mã chưa có")))</f>
      </c>
      <c r="J2154" s="221">
        <f>IF($I2154="Phản ánh",INDEX('Phản ánh'!$C$6:$C$505,MATCH($C2154,'Phản ánh'!$A$6:$A$505,0)),IF($I2154="Công việc",INDEX('Kế hoạch'!$C$6:$C$305,$O2154),""))</f>
      </c>
      <c r="K2154" s="221">
        <f>IF($I2154="Phản ánh",INDEX('Phản ánh'!$K$6:$K$505,MATCH($C2154,'Phản ánh'!$A$6:$A$505,0))&amp;"",IF($I2154="Công việc",INDEX('Kế hoạch'!$N$6:$N$305,$O2154)&amp;"",""))</f>
      </c>
      <c r="L2154" s="220">
        <f>IF(OR($C2154="",N($B2154)=0),"",IF(AND($I2154="Phản ánh",$E2154="Đã xử lý"),INDEX('Phản ánh'!$U$6:$U$505,MATCH($C2154,'Phản ánh'!$A$6:$A$505,0)),IF(AND($I2154="Công việc",OR($E2154="Hoàn thành",$E2154="Hoàn thành kỳ")),IF(INDEX('Kế hoạch'!$B$6:$B$305,$O2154)="Đột xuất",INDEX('Kế hoạch'!$AY$6:$AY$305,$O2154),IF(N($P2154)=0,"",IF(INT($B2154)&lt;$P2154,$P2154,IF($Q2154&gt;0,$P2154+ROUND((INT($B2154)-$P2154)/$Q2154,0)*$Q2154,IF($R2154&gt;0,EDATE($P2154,ROUND((DATEDIF($P2154,INT($B2154),"m")+(INT($B2154)-EDATE($P2154,DATEDIF($P2154,INT($B2154),"m")))/(EDATE($P2154,DATEDIF($P2154,INT($B2154),"m")+1)-EDATE($P2154,DATEDIF($P2154,INT($B2154),"m"))))/$R2154,0)*$R2154),$P2154))))),"")))</f>
      </c>
      <c r="M2154" s="223">
        <f>IF(OR($C2154="",N($L2154)=0,N($B2154)=0),"",IF(IF(MOD($L2154,1)=0,INT($B2154),$B2154)&lt;=$L2154,"Đúng hạn","Trễ hạn"))</f>
      </c>
      <c r="N2154" s="225">
        <f>IF($C2154="","",ROW())</f>
      </c>
      <c r="O2154" s="225">
        <f>IF($I2154="Công việc",MATCH($C2154,'Kế hoạch'!$A$6:$A$305,0),"")</f>
      </c>
      <c r="P2154" s="234">
        <f>IF($O2154="","",INDEX('Kế hoạch'!$I$6:$I$305,$O2154))</f>
      </c>
      <c r="Q2154" s="225">
        <f>IF($O2154="","",INDEX('Kế hoạch'!$AJ$6:$AJ$305,$O2154))</f>
      </c>
      <c r="R2154" s="225">
        <f>IF($O2154="","",INDEX('Kế hoạch'!$AK$6:$AK$305,$O2154))</f>
      </c>
    </row>
    <row r="2155">
      <c r="A2155" s="223">
        <f>IF($C2155="","",COUNTIF($C$6:$C2155,"?*"))</f>
      </c>
      <c r="B2155" s="217"/>
      <c r="C2155" s="216"/>
      <c r="D2155" s="240"/>
      <c r="E2155" s="218"/>
      <c r="F2155" s="218"/>
      <c r="G2155" s="218"/>
      <c r="H2155" s="219"/>
      <c r="I2155" s="223">
        <f>IF($C2155="","",IF(ISNUMBER(MATCH($C2155,'Phản ánh'!$A$6:$A$505,0)),"Phản ánh",IF(ISNUMBER(MATCH($C2155,'Kế hoạch'!$A$6:$A$305,0)),"Công việc","Mã chưa có")))</f>
      </c>
      <c r="J2155" s="221">
        <f>IF($I2155="Phản ánh",INDEX('Phản ánh'!$C$6:$C$505,MATCH($C2155,'Phản ánh'!$A$6:$A$505,0)),IF($I2155="Công việc",INDEX('Kế hoạch'!$C$6:$C$305,$O2155),""))</f>
      </c>
      <c r="K2155" s="221">
        <f>IF($I2155="Phản ánh",INDEX('Phản ánh'!$K$6:$K$505,MATCH($C2155,'Phản ánh'!$A$6:$A$505,0))&amp;"",IF($I2155="Công việc",INDEX('Kế hoạch'!$N$6:$N$305,$O2155)&amp;"",""))</f>
      </c>
      <c r="L2155" s="220">
        <f>IF(OR($C2155="",N($B2155)=0),"",IF(AND($I2155="Phản ánh",$E2155="Đã xử lý"),INDEX('Phản ánh'!$U$6:$U$505,MATCH($C2155,'Phản ánh'!$A$6:$A$505,0)),IF(AND($I2155="Công việc",OR($E2155="Hoàn thành",$E2155="Hoàn thành kỳ")),IF(INDEX('Kế hoạch'!$B$6:$B$305,$O2155)="Đột xuất",INDEX('Kế hoạch'!$AY$6:$AY$305,$O2155),IF(N($P2155)=0,"",IF(INT($B2155)&lt;$P2155,$P2155,IF($Q2155&gt;0,$P2155+ROUND((INT($B2155)-$P2155)/$Q2155,0)*$Q2155,IF($R2155&gt;0,EDATE($P2155,ROUND((DATEDIF($P2155,INT($B2155),"m")+(INT($B2155)-EDATE($P2155,DATEDIF($P2155,INT($B2155),"m")))/(EDATE($P2155,DATEDIF($P2155,INT($B2155),"m")+1)-EDATE($P2155,DATEDIF($P2155,INT($B2155),"m"))))/$R2155,0)*$R2155),$P2155))))),"")))</f>
      </c>
      <c r="M2155" s="223">
        <f>IF(OR($C2155="",N($L2155)=0,N($B2155)=0),"",IF(IF(MOD($L2155,1)=0,INT($B2155),$B2155)&lt;=$L2155,"Đúng hạn","Trễ hạn"))</f>
      </c>
      <c r="N2155" s="225">
        <f>IF($C2155="","",ROW())</f>
      </c>
      <c r="O2155" s="225">
        <f>IF($I2155="Công việc",MATCH($C2155,'Kế hoạch'!$A$6:$A$305,0),"")</f>
      </c>
      <c r="P2155" s="234">
        <f>IF($O2155="","",INDEX('Kế hoạch'!$I$6:$I$305,$O2155))</f>
      </c>
      <c r="Q2155" s="225">
        <f>IF($O2155="","",INDEX('Kế hoạch'!$AJ$6:$AJ$305,$O2155))</f>
      </c>
      <c r="R2155" s="225">
        <f>IF($O2155="","",INDEX('Kế hoạch'!$AK$6:$AK$305,$O2155))</f>
      </c>
    </row>
    <row r="2156">
      <c r="A2156" s="223">
        <f>IF($C2156="","",COUNTIF($C$6:$C2156,"?*"))</f>
      </c>
      <c r="B2156" s="217"/>
      <c r="C2156" s="216"/>
      <c r="D2156" s="240"/>
      <c r="E2156" s="218"/>
      <c r="F2156" s="218"/>
      <c r="G2156" s="218"/>
      <c r="H2156" s="219"/>
      <c r="I2156" s="223">
        <f>IF($C2156="","",IF(ISNUMBER(MATCH($C2156,'Phản ánh'!$A$6:$A$505,0)),"Phản ánh",IF(ISNUMBER(MATCH($C2156,'Kế hoạch'!$A$6:$A$305,0)),"Công việc","Mã chưa có")))</f>
      </c>
      <c r="J2156" s="221">
        <f>IF($I2156="Phản ánh",INDEX('Phản ánh'!$C$6:$C$505,MATCH($C2156,'Phản ánh'!$A$6:$A$505,0)),IF($I2156="Công việc",INDEX('Kế hoạch'!$C$6:$C$305,$O2156),""))</f>
      </c>
      <c r="K2156" s="221">
        <f>IF($I2156="Phản ánh",INDEX('Phản ánh'!$K$6:$K$505,MATCH($C2156,'Phản ánh'!$A$6:$A$505,0))&amp;"",IF($I2156="Công việc",INDEX('Kế hoạch'!$N$6:$N$305,$O2156)&amp;"",""))</f>
      </c>
      <c r="L2156" s="220">
        <f>IF(OR($C2156="",N($B2156)=0),"",IF(AND($I2156="Phản ánh",$E2156="Đã xử lý"),INDEX('Phản ánh'!$U$6:$U$505,MATCH($C2156,'Phản ánh'!$A$6:$A$505,0)),IF(AND($I2156="Công việc",OR($E2156="Hoàn thành",$E2156="Hoàn thành kỳ")),IF(INDEX('Kế hoạch'!$B$6:$B$305,$O2156)="Đột xuất",INDEX('Kế hoạch'!$AY$6:$AY$305,$O2156),IF(N($P2156)=0,"",IF(INT($B2156)&lt;$P2156,$P2156,IF($Q2156&gt;0,$P2156+ROUND((INT($B2156)-$P2156)/$Q2156,0)*$Q2156,IF($R2156&gt;0,EDATE($P2156,ROUND((DATEDIF($P2156,INT($B2156),"m")+(INT($B2156)-EDATE($P2156,DATEDIF($P2156,INT($B2156),"m")))/(EDATE($P2156,DATEDIF($P2156,INT($B2156),"m")+1)-EDATE($P2156,DATEDIF($P2156,INT($B2156),"m"))))/$R2156,0)*$R2156),$P2156))))),"")))</f>
      </c>
      <c r="M2156" s="223">
        <f>IF(OR($C2156="",N($L2156)=0,N($B2156)=0),"",IF(IF(MOD($L2156,1)=0,INT($B2156),$B2156)&lt;=$L2156,"Đúng hạn","Trễ hạn"))</f>
      </c>
      <c r="N2156" s="225">
        <f>IF($C2156="","",ROW())</f>
      </c>
      <c r="O2156" s="225">
        <f>IF($I2156="Công việc",MATCH($C2156,'Kế hoạch'!$A$6:$A$305,0),"")</f>
      </c>
      <c r="P2156" s="234">
        <f>IF($O2156="","",INDEX('Kế hoạch'!$I$6:$I$305,$O2156))</f>
      </c>
      <c r="Q2156" s="225">
        <f>IF($O2156="","",INDEX('Kế hoạch'!$AJ$6:$AJ$305,$O2156))</f>
      </c>
      <c r="R2156" s="225">
        <f>IF($O2156="","",INDEX('Kế hoạch'!$AK$6:$AK$305,$O2156))</f>
      </c>
    </row>
    <row r="2157">
      <c r="A2157" s="223">
        <f>IF($C2157="","",COUNTIF($C$6:$C2157,"?*"))</f>
      </c>
      <c r="B2157" s="217"/>
      <c r="C2157" s="216"/>
      <c r="D2157" s="240"/>
      <c r="E2157" s="218"/>
      <c r="F2157" s="218"/>
      <c r="G2157" s="218"/>
      <c r="H2157" s="219"/>
      <c r="I2157" s="223">
        <f>IF($C2157="","",IF(ISNUMBER(MATCH($C2157,'Phản ánh'!$A$6:$A$505,0)),"Phản ánh",IF(ISNUMBER(MATCH($C2157,'Kế hoạch'!$A$6:$A$305,0)),"Công việc","Mã chưa có")))</f>
      </c>
      <c r="J2157" s="221">
        <f>IF($I2157="Phản ánh",INDEX('Phản ánh'!$C$6:$C$505,MATCH($C2157,'Phản ánh'!$A$6:$A$505,0)),IF($I2157="Công việc",INDEX('Kế hoạch'!$C$6:$C$305,$O2157),""))</f>
      </c>
      <c r="K2157" s="221">
        <f>IF($I2157="Phản ánh",INDEX('Phản ánh'!$K$6:$K$505,MATCH($C2157,'Phản ánh'!$A$6:$A$505,0))&amp;"",IF($I2157="Công việc",INDEX('Kế hoạch'!$N$6:$N$305,$O2157)&amp;"",""))</f>
      </c>
      <c r="L2157" s="220">
        <f>IF(OR($C2157="",N($B2157)=0),"",IF(AND($I2157="Phản ánh",$E2157="Đã xử lý"),INDEX('Phản ánh'!$U$6:$U$505,MATCH($C2157,'Phản ánh'!$A$6:$A$505,0)),IF(AND($I2157="Công việc",OR($E2157="Hoàn thành",$E2157="Hoàn thành kỳ")),IF(INDEX('Kế hoạch'!$B$6:$B$305,$O2157)="Đột xuất",INDEX('Kế hoạch'!$AY$6:$AY$305,$O2157),IF(N($P2157)=0,"",IF(INT($B2157)&lt;$P2157,$P2157,IF($Q2157&gt;0,$P2157+ROUND((INT($B2157)-$P2157)/$Q2157,0)*$Q2157,IF($R2157&gt;0,EDATE($P2157,ROUND((DATEDIF($P2157,INT($B2157),"m")+(INT($B2157)-EDATE($P2157,DATEDIF($P2157,INT($B2157),"m")))/(EDATE($P2157,DATEDIF($P2157,INT($B2157),"m")+1)-EDATE($P2157,DATEDIF($P2157,INT($B2157),"m"))))/$R2157,0)*$R2157),$P2157))))),"")))</f>
      </c>
      <c r="M2157" s="223">
        <f>IF(OR($C2157="",N($L2157)=0,N($B2157)=0),"",IF(IF(MOD($L2157,1)=0,INT($B2157),$B2157)&lt;=$L2157,"Đúng hạn","Trễ hạn"))</f>
      </c>
      <c r="N2157" s="225">
        <f>IF($C2157="","",ROW())</f>
      </c>
      <c r="O2157" s="225">
        <f>IF($I2157="Công việc",MATCH($C2157,'Kế hoạch'!$A$6:$A$305,0),"")</f>
      </c>
      <c r="P2157" s="234">
        <f>IF($O2157="","",INDEX('Kế hoạch'!$I$6:$I$305,$O2157))</f>
      </c>
      <c r="Q2157" s="225">
        <f>IF($O2157="","",INDEX('Kế hoạch'!$AJ$6:$AJ$305,$O2157))</f>
      </c>
      <c r="R2157" s="225">
        <f>IF($O2157="","",INDEX('Kế hoạch'!$AK$6:$AK$305,$O2157))</f>
      </c>
    </row>
    <row r="2158">
      <c r="A2158" s="223">
        <f>IF($C2158="","",COUNTIF($C$6:$C2158,"?*"))</f>
      </c>
      <c r="B2158" s="217"/>
      <c r="C2158" s="216"/>
      <c r="D2158" s="240"/>
      <c r="E2158" s="218"/>
      <c r="F2158" s="218"/>
      <c r="G2158" s="218"/>
      <c r="H2158" s="219"/>
      <c r="I2158" s="223">
        <f>IF($C2158="","",IF(ISNUMBER(MATCH($C2158,'Phản ánh'!$A$6:$A$505,0)),"Phản ánh",IF(ISNUMBER(MATCH($C2158,'Kế hoạch'!$A$6:$A$305,0)),"Công việc","Mã chưa có")))</f>
      </c>
      <c r="J2158" s="221">
        <f>IF($I2158="Phản ánh",INDEX('Phản ánh'!$C$6:$C$505,MATCH($C2158,'Phản ánh'!$A$6:$A$505,0)),IF($I2158="Công việc",INDEX('Kế hoạch'!$C$6:$C$305,$O2158),""))</f>
      </c>
      <c r="K2158" s="221">
        <f>IF($I2158="Phản ánh",INDEX('Phản ánh'!$K$6:$K$505,MATCH($C2158,'Phản ánh'!$A$6:$A$505,0))&amp;"",IF($I2158="Công việc",INDEX('Kế hoạch'!$N$6:$N$305,$O2158)&amp;"",""))</f>
      </c>
      <c r="L2158" s="220">
        <f>IF(OR($C2158="",N($B2158)=0),"",IF(AND($I2158="Phản ánh",$E2158="Đã xử lý"),INDEX('Phản ánh'!$U$6:$U$505,MATCH($C2158,'Phản ánh'!$A$6:$A$505,0)),IF(AND($I2158="Công việc",OR($E2158="Hoàn thành",$E2158="Hoàn thành kỳ")),IF(INDEX('Kế hoạch'!$B$6:$B$305,$O2158)="Đột xuất",INDEX('Kế hoạch'!$AY$6:$AY$305,$O2158),IF(N($P2158)=0,"",IF(INT($B2158)&lt;$P2158,$P2158,IF($Q2158&gt;0,$P2158+ROUND((INT($B2158)-$P2158)/$Q2158,0)*$Q2158,IF($R2158&gt;0,EDATE($P2158,ROUND((DATEDIF($P2158,INT($B2158),"m")+(INT($B2158)-EDATE($P2158,DATEDIF($P2158,INT($B2158),"m")))/(EDATE($P2158,DATEDIF($P2158,INT($B2158),"m")+1)-EDATE($P2158,DATEDIF($P2158,INT($B2158),"m"))))/$R2158,0)*$R2158),$P2158))))),"")))</f>
      </c>
      <c r="M2158" s="223">
        <f>IF(OR($C2158="",N($L2158)=0,N($B2158)=0),"",IF(IF(MOD($L2158,1)=0,INT($B2158),$B2158)&lt;=$L2158,"Đúng hạn","Trễ hạn"))</f>
      </c>
      <c r="N2158" s="225">
        <f>IF($C2158="","",ROW())</f>
      </c>
      <c r="O2158" s="225">
        <f>IF($I2158="Công việc",MATCH($C2158,'Kế hoạch'!$A$6:$A$305,0),"")</f>
      </c>
      <c r="P2158" s="234">
        <f>IF($O2158="","",INDEX('Kế hoạch'!$I$6:$I$305,$O2158))</f>
      </c>
      <c r="Q2158" s="225">
        <f>IF($O2158="","",INDEX('Kế hoạch'!$AJ$6:$AJ$305,$O2158))</f>
      </c>
      <c r="R2158" s="225">
        <f>IF($O2158="","",INDEX('Kế hoạch'!$AK$6:$AK$305,$O2158))</f>
      </c>
    </row>
    <row r="2159">
      <c r="A2159" s="223">
        <f>IF($C2159="","",COUNTIF($C$6:$C2159,"?*"))</f>
      </c>
      <c r="B2159" s="217"/>
      <c r="C2159" s="216"/>
      <c r="D2159" s="240"/>
      <c r="E2159" s="218"/>
      <c r="F2159" s="218"/>
      <c r="G2159" s="218"/>
      <c r="H2159" s="219"/>
      <c r="I2159" s="223">
        <f>IF($C2159="","",IF(ISNUMBER(MATCH($C2159,'Phản ánh'!$A$6:$A$505,0)),"Phản ánh",IF(ISNUMBER(MATCH($C2159,'Kế hoạch'!$A$6:$A$305,0)),"Công việc","Mã chưa có")))</f>
      </c>
      <c r="J2159" s="221">
        <f>IF($I2159="Phản ánh",INDEX('Phản ánh'!$C$6:$C$505,MATCH($C2159,'Phản ánh'!$A$6:$A$505,0)),IF($I2159="Công việc",INDEX('Kế hoạch'!$C$6:$C$305,$O2159),""))</f>
      </c>
      <c r="K2159" s="221">
        <f>IF($I2159="Phản ánh",INDEX('Phản ánh'!$K$6:$K$505,MATCH($C2159,'Phản ánh'!$A$6:$A$505,0))&amp;"",IF($I2159="Công việc",INDEX('Kế hoạch'!$N$6:$N$305,$O2159)&amp;"",""))</f>
      </c>
      <c r="L2159" s="220">
        <f>IF(OR($C2159="",N($B2159)=0),"",IF(AND($I2159="Phản ánh",$E2159="Đã xử lý"),INDEX('Phản ánh'!$U$6:$U$505,MATCH($C2159,'Phản ánh'!$A$6:$A$505,0)),IF(AND($I2159="Công việc",OR($E2159="Hoàn thành",$E2159="Hoàn thành kỳ")),IF(INDEX('Kế hoạch'!$B$6:$B$305,$O2159)="Đột xuất",INDEX('Kế hoạch'!$AY$6:$AY$305,$O2159),IF(N($P2159)=0,"",IF(INT($B2159)&lt;$P2159,$P2159,IF($Q2159&gt;0,$P2159+ROUND((INT($B2159)-$P2159)/$Q2159,0)*$Q2159,IF($R2159&gt;0,EDATE($P2159,ROUND((DATEDIF($P2159,INT($B2159),"m")+(INT($B2159)-EDATE($P2159,DATEDIF($P2159,INT($B2159),"m")))/(EDATE($P2159,DATEDIF($P2159,INT($B2159),"m")+1)-EDATE($P2159,DATEDIF($P2159,INT($B2159),"m"))))/$R2159,0)*$R2159),$P2159))))),"")))</f>
      </c>
      <c r="M2159" s="223">
        <f>IF(OR($C2159="",N($L2159)=0,N($B2159)=0),"",IF(IF(MOD($L2159,1)=0,INT($B2159),$B2159)&lt;=$L2159,"Đúng hạn","Trễ hạn"))</f>
      </c>
      <c r="N2159" s="225">
        <f>IF($C2159="","",ROW())</f>
      </c>
      <c r="O2159" s="225">
        <f>IF($I2159="Công việc",MATCH($C2159,'Kế hoạch'!$A$6:$A$305,0),"")</f>
      </c>
      <c r="P2159" s="234">
        <f>IF($O2159="","",INDEX('Kế hoạch'!$I$6:$I$305,$O2159))</f>
      </c>
      <c r="Q2159" s="225">
        <f>IF($O2159="","",INDEX('Kế hoạch'!$AJ$6:$AJ$305,$O2159))</f>
      </c>
      <c r="R2159" s="225">
        <f>IF($O2159="","",INDEX('Kế hoạch'!$AK$6:$AK$305,$O2159))</f>
      </c>
    </row>
    <row r="2160">
      <c r="A2160" s="223">
        <f>IF($C2160="","",COUNTIF($C$6:$C2160,"?*"))</f>
      </c>
      <c r="B2160" s="217"/>
      <c r="C2160" s="216"/>
      <c r="D2160" s="240"/>
      <c r="E2160" s="218"/>
      <c r="F2160" s="218"/>
      <c r="G2160" s="218"/>
      <c r="H2160" s="219"/>
      <c r="I2160" s="223">
        <f>IF($C2160="","",IF(ISNUMBER(MATCH($C2160,'Phản ánh'!$A$6:$A$505,0)),"Phản ánh",IF(ISNUMBER(MATCH($C2160,'Kế hoạch'!$A$6:$A$305,0)),"Công việc","Mã chưa có")))</f>
      </c>
      <c r="J2160" s="221">
        <f>IF($I2160="Phản ánh",INDEX('Phản ánh'!$C$6:$C$505,MATCH($C2160,'Phản ánh'!$A$6:$A$505,0)),IF($I2160="Công việc",INDEX('Kế hoạch'!$C$6:$C$305,$O2160),""))</f>
      </c>
      <c r="K2160" s="221">
        <f>IF($I2160="Phản ánh",INDEX('Phản ánh'!$K$6:$K$505,MATCH($C2160,'Phản ánh'!$A$6:$A$505,0))&amp;"",IF($I2160="Công việc",INDEX('Kế hoạch'!$N$6:$N$305,$O2160)&amp;"",""))</f>
      </c>
      <c r="L2160" s="220">
        <f>IF(OR($C2160="",N($B2160)=0),"",IF(AND($I2160="Phản ánh",$E2160="Đã xử lý"),INDEX('Phản ánh'!$U$6:$U$505,MATCH($C2160,'Phản ánh'!$A$6:$A$505,0)),IF(AND($I2160="Công việc",OR($E2160="Hoàn thành",$E2160="Hoàn thành kỳ")),IF(INDEX('Kế hoạch'!$B$6:$B$305,$O2160)="Đột xuất",INDEX('Kế hoạch'!$AY$6:$AY$305,$O2160),IF(N($P2160)=0,"",IF(INT($B2160)&lt;$P2160,$P2160,IF($Q2160&gt;0,$P2160+ROUND((INT($B2160)-$P2160)/$Q2160,0)*$Q2160,IF($R2160&gt;0,EDATE($P2160,ROUND((DATEDIF($P2160,INT($B2160),"m")+(INT($B2160)-EDATE($P2160,DATEDIF($P2160,INT($B2160),"m")))/(EDATE($P2160,DATEDIF($P2160,INT($B2160),"m")+1)-EDATE($P2160,DATEDIF($P2160,INT($B2160),"m"))))/$R2160,0)*$R2160),$P2160))))),"")))</f>
      </c>
      <c r="M2160" s="223">
        <f>IF(OR($C2160="",N($L2160)=0,N($B2160)=0),"",IF(IF(MOD($L2160,1)=0,INT($B2160),$B2160)&lt;=$L2160,"Đúng hạn","Trễ hạn"))</f>
      </c>
      <c r="N2160" s="225">
        <f>IF($C2160="","",ROW())</f>
      </c>
      <c r="O2160" s="225">
        <f>IF($I2160="Công việc",MATCH($C2160,'Kế hoạch'!$A$6:$A$305,0),"")</f>
      </c>
      <c r="P2160" s="234">
        <f>IF($O2160="","",INDEX('Kế hoạch'!$I$6:$I$305,$O2160))</f>
      </c>
      <c r="Q2160" s="225">
        <f>IF($O2160="","",INDEX('Kế hoạch'!$AJ$6:$AJ$305,$O2160))</f>
      </c>
      <c r="R2160" s="225">
        <f>IF($O2160="","",INDEX('Kế hoạch'!$AK$6:$AK$305,$O2160))</f>
      </c>
    </row>
    <row r="2161">
      <c r="A2161" s="223">
        <f>IF($C2161="","",COUNTIF($C$6:$C2161,"?*"))</f>
      </c>
      <c r="B2161" s="217"/>
      <c r="C2161" s="216"/>
      <c r="D2161" s="240"/>
      <c r="E2161" s="218"/>
      <c r="F2161" s="218"/>
      <c r="G2161" s="218"/>
      <c r="H2161" s="219"/>
      <c r="I2161" s="223">
        <f>IF($C2161="","",IF(ISNUMBER(MATCH($C2161,'Phản ánh'!$A$6:$A$505,0)),"Phản ánh",IF(ISNUMBER(MATCH($C2161,'Kế hoạch'!$A$6:$A$305,0)),"Công việc","Mã chưa có")))</f>
      </c>
      <c r="J2161" s="221">
        <f>IF($I2161="Phản ánh",INDEX('Phản ánh'!$C$6:$C$505,MATCH($C2161,'Phản ánh'!$A$6:$A$505,0)),IF($I2161="Công việc",INDEX('Kế hoạch'!$C$6:$C$305,$O2161),""))</f>
      </c>
      <c r="K2161" s="221">
        <f>IF($I2161="Phản ánh",INDEX('Phản ánh'!$K$6:$K$505,MATCH($C2161,'Phản ánh'!$A$6:$A$505,0))&amp;"",IF($I2161="Công việc",INDEX('Kế hoạch'!$N$6:$N$305,$O2161)&amp;"",""))</f>
      </c>
      <c r="L2161" s="220">
        <f>IF(OR($C2161="",N($B2161)=0),"",IF(AND($I2161="Phản ánh",$E2161="Đã xử lý"),INDEX('Phản ánh'!$U$6:$U$505,MATCH($C2161,'Phản ánh'!$A$6:$A$505,0)),IF(AND($I2161="Công việc",OR($E2161="Hoàn thành",$E2161="Hoàn thành kỳ")),IF(INDEX('Kế hoạch'!$B$6:$B$305,$O2161)="Đột xuất",INDEX('Kế hoạch'!$AY$6:$AY$305,$O2161),IF(N($P2161)=0,"",IF(INT($B2161)&lt;$P2161,$P2161,IF($Q2161&gt;0,$P2161+ROUND((INT($B2161)-$P2161)/$Q2161,0)*$Q2161,IF($R2161&gt;0,EDATE($P2161,ROUND((DATEDIF($P2161,INT($B2161),"m")+(INT($B2161)-EDATE($P2161,DATEDIF($P2161,INT($B2161),"m")))/(EDATE($P2161,DATEDIF($P2161,INT($B2161),"m")+1)-EDATE($P2161,DATEDIF($P2161,INT($B2161),"m"))))/$R2161,0)*$R2161),$P2161))))),"")))</f>
      </c>
      <c r="M2161" s="223">
        <f>IF(OR($C2161="",N($L2161)=0,N($B2161)=0),"",IF(IF(MOD($L2161,1)=0,INT($B2161),$B2161)&lt;=$L2161,"Đúng hạn","Trễ hạn"))</f>
      </c>
      <c r="N2161" s="225">
        <f>IF($C2161="","",ROW())</f>
      </c>
      <c r="O2161" s="225">
        <f>IF($I2161="Công việc",MATCH($C2161,'Kế hoạch'!$A$6:$A$305,0),"")</f>
      </c>
      <c r="P2161" s="234">
        <f>IF($O2161="","",INDEX('Kế hoạch'!$I$6:$I$305,$O2161))</f>
      </c>
      <c r="Q2161" s="225">
        <f>IF($O2161="","",INDEX('Kế hoạch'!$AJ$6:$AJ$305,$O2161))</f>
      </c>
      <c r="R2161" s="225">
        <f>IF($O2161="","",INDEX('Kế hoạch'!$AK$6:$AK$305,$O2161))</f>
      </c>
    </row>
    <row r="2162">
      <c r="A2162" s="223">
        <f>IF($C2162="","",COUNTIF($C$6:$C2162,"?*"))</f>
      </c>
      <c r="B2162" s="217"/>
      <c r="C2162" s="216"/>
      <c r="D2162" s="240"/>
      <c r="E2162" s="218"/>
      <c r="F2162" s="218"/>
      <c r="G2162" s="218"/>
      <c r="H2162" s="219"/>
      <c r="I2162" s="223">
        <f>IF($C2162="","",IF(ISNUMBER(MATCH($C2162,'Phản ánh'!$A$6:$A$505,0)),"Phản ánh",IF(ISNUMBER(MATCH($C2162,'Kế hoạch'!$A$6:$A$305,0)),"Công việc","Mã chưa có")))</f>
      </c>
      <c r="J2162" s="221">
        <f>IF($I2162="Phản ánh",INDEX('Phản ánh'!$C$6:$C$505,MATCH($C2162,'Phản ánh'!$A$6:$A$505,0)),IF($I2162="Công việc",INDEX('Kế hoạch'!$C$6:$C$305,$O2162),""))</f>
      </c>
      <c r="K2162" s="221">
        <f>IF($I2162="Phản ánh",INDEX('Phản ánh'!$K$6:$K$505,MATCH($C2162,'Phản ánh'!$A$6:$A$505,0))&amp;"",IF($I2162="Công việc",INDEX('Kế hoạch'!$N$6:$N$305,$O2162)&amp;"",""))</f>
      </c>
      <c r="L2162" s="220">
        <f>IF(OR($C2162="",N($B2162)=0),"",IF(AND($I2162="Phản ánh",$E2162="Đã xử lý"),INDEX('Phản ánh'!$U$6:$U$505,MATCH($C2162,'Phản ánh'!$A$6:$A$505,0)),IF(AND($I2162="Công việc",OR($E2162="Hoàn thành",$E2162="Hoàn thành kỳ")),IF(INDEX('Kế hoạch'!$B$6:$B$305,$O2162)="Đột xuất",INDEX('Kế hoạch'!$AY$6:$AY$305,$O2162),IF(N($P2162)=0,"",IF(INT($B2162)&lt;$P2162,$P2162,IF($Q2162&gt;0,$P2162+ROUND((INT($B2162)-$P2162)/$Q2162,0)*$Q2162,IF($R2162&gt;0,EDATE($P2162,ROUND((DATEDIF($P2162,INT($B2162),"m")+(INT($B2162)-EDATE($P2162,DATEDIF($P2162,INT($B2162),"m")))/(EDATE($P2162,DATEDIF($P2162,INT($B2162),"m")+1)-EDATE($P2162,DATEDIF($P2162,INT($B2162),"m"))))/$R2162,0)*$R2162),$P2162))))),"")))</f>
      </c>
      <c r="M2162" s="223">
        <f>IF(OR($C2162="",N($L2162)=0,N($B2162)=0),"",IF(IF(MOD($L2162,1)=0,INT($B2162),$B2162)&lt;=$L2162,"Đúng hạn","Trễ hạn"))</f>
      </c>
      <c r="N2162" s="225">
        <f>IF($C2162="","",ROW())</f>
      </c>
      <c r="O2162" s="225">
        <f>IF($I2162="Công việc",MATCH($C2162,'Kế hoạch'!$A$6:$A$305,0),"")</f>
      </c>
      <c r="P2162" s="234">
        <f>IF($O2162="","",INDEX('Kế hoạch'!$I$6:$I$305,$O2162))</f>
      </c>
      <c r="Q2162" s="225">
        <f>IF($O2162="","",INDEX('Kế hoạch'!$AJ$6:$AJ$305,$O2162))</f>
      </c>
      <c r="R2162" s="225">
        <f>IF($O2162="","",INDEX('Kế hoạch'!$AK$6:$AK$305,$O2162))</f>
      </c>
    </row>
    <row r="2163">
      <c r="A2163" s="223">
        <f>IF($C2163="","",COUNTIF($C$6:$C2163,"?*"))</f>
      </c>
      <c r="B2163" s="217"/>
      <c r="C2163" s="216"/>
      <c r="D2163" s="240"/>
      <c r="E2163" s="218"/>
      <c r="F2163" s="218"/>
      <c r="G2163" s="218"/>
      <c r="H2163" s="219"/>
      <c r="I2163" s="223">
        <f>IF($C2163="","",IF(ISNUMBER(MATCH($C2163,'Phản ánh'!$A$6:$A$505,0)),"Phản ánh",IF(ISNUMBER(MATCH($C2163,'Kế hoạch'!$A$6:$A$305,0)),"Công việc","Mã chưa có")))</f>
      </c>
      <c r="J2163" s="221">
        <f>IF($I2163="Phản ánh",INDEX('Phản ánh'!$C$6:$C$505,MATCH($C2163,'Phản ánh'!$A$6:$A$505,0)),IF($I2163="Công việc",INDEX('Kế hoạch'!$C$6:$C$305,$O2163),""))</f>
      </c>
      <c r="K2163" s="221">
        <f>IF($I2163="Phản ánh",INDEX('Phản ánh'!$K$6:$K$505,MATCH($C2163,'Phản ánh'!$A$6:$A$505,0))&amp;"",IF($I2163="Công việc",INDEX('Kế hoạch'!$N$6:$N$305,$O2163)&amp;"",""))</f>
      </c>
      <c r="L2163" s="220">
        <f>IF(OR($C2163="",N($B2163)=0),"",IF(AND($I2163="Phản ánh",$E2163="Đã xử lý"),INDEX('Phản ánh'!$U$6:$U$505,MATCH($C2163,'Phản ánh'!$A$6:$A$505,0)),IF(AND($I2163="Công việc",OR($E2163="Hoàn thành",$E2163="Hoàn thành kỳ")),IF(INDEX('Kế hoạch'!$B$6:$B$305,$O2163)="Đột xuất",INDEX('Kế hoạch'!$AY$6:$AY$305,$O2163),IF(N($P2163)=0,"",IF(INT($B2163)&lt;$P2163,$P2163,IF($Q2163&gt;0,$P2163+ROUND((INT($B2163)-$P2163)/$Q2163,0)*$Q2163,IF($R2163&gt;0,EDATE($P2163,ROUND((DATEDIF($P2163,INT($B2163),"m")+(INT($B2163)-EDATE($P2163,DATEDIF($P2163,INT($B2163),"m")))/(EDATE($P2163,DATEDIF($P2163,INT($B2163),"m")+1)-EDATE($P2163,DATEDIF($P2163,INT($B2163),"m"))))/$R2163,0)*$R2163),$P2163))))),"")))</f>
      </c>
      <c r="M2163" s="223">
        <f>IF(OR($C2163="",N($L2163)=0,N($B2163)=0),"",IF(IF(MOD($L2163,1)=0,INT($B2163),$B2163)&lt;=$L2163,"Đúng hạn","Trễ hạn"))</f>
      </c>
      <c r="N2163" s="225">
        <f>IF($C2163="","",ROW())</f>
      </c>
      <c r="O2163" s="225">
        <f>IF($I2163="Công việc",MATCH($C2163,'Kế hoạch'!$A$6:$A$305,0),"")</f>
      </c>
      <c r="P2163" s="234">
        <f>IF($O2163="","",INDEX('Kế hoạch'!$I$6:$I$305,$O2163))</f>
      </c>
      <c r="Q2163" s="225">
        <f>IF($O2163="","",INDEX('Kế hoạch'!$AJ$6:$AJ$305,$O2163))</f>
      </c>
      <c r="R2163" s="225">
        <f>IF($O2163="","",INDEX('Kế hoạch'!$AK$6:$AK$305,$O2163))</f>
      </c>
    </row>
    <row r="2164">
      <c r="A2164" s="223">
        <f>IF($C2164="","",COUNTIF($C$6:$C2164,"?*"))</f>
      </c>
      <c r="B2164" s="217"/>
      <c r="C2164" s="216"/>
      <c r="D2164" s="240"/>
      <c r="E2164" s="218"/>
      <c r="F2164" s="218"/>
      <c r="G2164" s="218"/>
      <c r="H2164" s="219"/>
      <c r="I2164" s="223">
        <f>IF($C2164="","",IF(ISNUMBER(MATCH($C2164,'Phản ánh'!$A$6:$A$505,0)),"Phản ánh",IF(ISNUMBER(MATCH($C2164,'Kế hoạch'!$A$6:$A$305,0)),"Công việc","Mã chưa có")))</f>
      </c>
      <c r="J2164" s="221">
        <f>IF($I2164="Phản ánh",INDEX('Phản ánh'!$C$6:$C$505,MATCH($C2164,'Phản ánh'!$A$6:$A$505,0)),IF($I2164="Công việc",INDEX('Kế hoạch'!$C$6:$C$305,$O2164),""))</f>
      </c>
      <c r="K2164" s="221">
        <f>IF($I2164="Phản ánh",INDEX('Phản ánh'!$K$6:$K$505,MATCH($C2164,'Phản ánh'!$A$6:$A$505,0))&amp;"",IF($I2164="Công việc",INDEX('Kế hoạch'!$N$6:$N$305,$O2164)&amp;"",""))</f>
      </c>
      <c r="L2164" s="220">
        <f>IF(OR($C2164="",N($B2164)=0),"",IF(AND($I2164="Phản ánh",$E2164="Đã xử lý"),INDEX('Phản ánh'!$U$6:$U$505,MATCH($C2164,'Phản ánh'!$A$6:$A$505,0)),IF(AND($I2164="Công việc",OR($E2164="Hoàn thành",$E2164="Hoàn thành kỳ")),IF(INDEX('Kế hoạch'!$B$6:$B$305,$O2164)="Đột xuất",INDEX('Kế hoạch'!$AY$6:$AY$305,$O2164),IF(N($P2164)=0,"",IF(INT($B2164)&lt;$P2164,$P2164,IF($Q2164&gt;0,$P2164+ROUND((INT($B2164)-$P2164)/$Q2164,0)*$Q2164,IF($R2164&gt;0,EDATE($P2164,ROUND((DATEDIF($P2164,INT($B2164),"m")+(INT($B2164)-EDATE($P2164,DATEDIF($P2164,INT($B2164),"m")))/(EDATE($P2164,DATEDIF($P2164,INT($B2164),"m")+1)-EDATE($P2164,DATEDIF($P2164,INT($B2164),"m"))))/$R2164,0)*$R2164),$P2164))))),"")))</f>
      </c>
      <c r="M2164" s="223">
        <f>IF(OR($C2164="",N($L2164)=0,N($B2164)=0),"",IF(IF(MOD($L2164,1)=0,INT($B2164),$B2164)&lt;=$L2164,"Đúng hạn","Trễ hạn"))</f>
      </c>
      <c r="N2164" s="225">
        <f>IF($C2164="","",ROW())</f>
      </c>
      <c r="O2164" s="225">
        <f>IF($I2164="Công việc",MATCH($C2164,'Kế hoạch'!$A$6:$A$305,0),"")</f>
      </c>
      <c r="P2164" s="234">
        <f>IF($O2164="","",INDEX('Kế hoạch'!$I$6:$I$305,$O2164))</f>
      </c>
      <c r="Q2164" s="225">
        <f>IF($O2164="","",INDEX('Kế hoạch'!$AJ$6:$AJ$305,$O2164))</f>
      </c>
      <c r="R2164" s="225">
        <f>IF($O2164="","",INDEX('Kế hoạch'!$AK$6:$AK$305,$O2164))</f>
      </c>
    </row>
    <row r="2165">
      <c r="A2165" s="223">
        <f>IF($C2165="","",COUNTIF($C$6:$C2165,"?*"))</f>
      </c>
      <c r="B2165" s="217"/>
      <c r="C2165" s="216"/>
      <c r="D2165" s="240"/>
      <c r="E2165" s="218"/>
      <c r="F2165" s="218"/>
      <c r="G2165" s="218"/>
      <c r="H2165" s="219"/>
      <c r="I2165" s="223">
        <f>IF($C2165="","",IF(ISNUMBER(MATCH($C2165,'Phản ánh'!$A$6:$A$505,0)),"Phản ánh",IF(ISNUMBER(MATCH($C2165,'Kế hoạch'!$A$6:$A$305,0)),"Công việc","Mã chưa có")))</f>
      </c>
      <c r="J2165" s="221">
        <f>IF($I2165="Phản ánh",INDEX('Phản ánh'!$C$6:$C$505,MATCH($C2165,'Phản ánh'!$A$6:$A$505,0)),IF($I2165="Công việc",INDEX('Kế hoạch'!$C$6:$C$305,$O2165),""))</f>
      </c>
      <c r="K2165" s="221">
        <f>IF($I2165="Phản ánh",INDEX('Phản ánh'!$K$6:$K$505,MATCH($C2165,'Phản ánh'!$A$6:$A$505,0))&amp;"",IF($I2165="Công việc",INDEX('Kế hoạch'!$N$6:$N$305,$O2165)&amp;"",""))</f>
      </c>
      <c r="L2165" s="220">
        <f>IF(OR($C2165="",N($B2165)=0),"",IF(AND($I2165="Phản ánh",$E2165="Đã xử lý"),INDEX('Phản ánh'!$U$6:$U$505,MATCH($C2165,'Phản ánh'!$A$6:$A$505,0)),IF(AND($I2165="Công việc",OR($E2165="Hoàn thành",$E2165="Hoàn thành kỳ")),IF(INDEX('Kế hoạch'!$B$6:$B$305,$O2165)="Đột xuất",INDEX('Kế hoạch'!$AY$6:$AY$305,$O2165),IF(N($P2165)=0,"",IF(INT($B2165)&lt;$P2165,$P2165,IF($Q2165&gt;0,$P2165+ROUND((INT($B2165)-$P2165)/$Q2165,0)*$Q2165,IF($R2165&gt;0,EDATE($P2165,ROUND((DATEDIF($P2165,INT($B2165),"m")+(INT($B2165)-EDATE($P2165,DATEDIF($P2165,INT($B2165),"m")))/(EDATE($P2165,DATEDIF($P2165,INT($B2165),"m")+1)-EDATE($P2165,DATEDIF($P2165,INT($B2165),"m"))))/$R2165,0)*$R2165),$P2165))))),"")))</f>
      </c>
      <c r="M2165" s="223">
        <f>IF(OR($C2165="",N($L2165)=0,N($B2165)=0),"",IF(IF(MOD($L2165,1)=0,INT($B2165),$B2165)&lt;=$L2165,"Đúng hạn","Trễ hạn"))</f>
      </c>
      <c r="N2165" s="225">
        <f>IF($C2165="","",ROW())</f>
      </c>
      <c r="O2165" s="225">
        <f>IF($I2165="Công việc",MATCH($C2165,'Kế hoạch'!$A$6:$A$305,0),"")</f>
      </c>
      <c r="P2165" s="234">
        <f>IF($O2165="","",INDEX('Kế hoạch'!$I$6:$I$305,$O2165))</f>
      </c>
      <c r="Q2165" s="225">
        <f>IF($O2165="","",INDEX('Kế hoạch'!$AJ$6:$AJ$305,$O2165))</f>
      </c>
      <c r="R2165" s="225">
        <f>IF($O2165="","",INDEX('Kế hoạch'!$AK$6:$AK$305,$O2165))</f>
      </c>
    </row>
    <row r="2166">
      <c r="A2166" s="223">
        <f>IF($C2166="","",COUNTIF($C$6:$C2166,"?*"))</f>
      </c>
      <c r="B2166" s="217"/>
      <c r="C2166" s="216"/>
      <c r="D2166" s="240"/>
      <c r="E2166" s="218"/>
      <c r="F2166" s="218"/>
      <c r="G2166" s="218"/>
      <c r="H2166" s="219"/>
      <c r="I2166" s="223">
        <f>IF($C2166="","",IF(ISNUMBER(MATCH($C2166,'Phản ánh'!$A$6:$A$505,0)),"Phản ánh",IF(ISNUMBER(MATCH($C2166,'Kế hoạch'!$A$6:$A$305,0)),"Công việc","Mã chưa có")))</f>
      </c>
      <c r="J2166" s="221">
        <f>IF($I2166="Phản ánh",INDEX('Phản ánh'!$C$6:$C$505,MATCH($C2166,'Phản ánh'!$A$6:$A$505,0)),IF($I2166="Công việc",INDEX('Kế hoạch'!$C$6:$C$305,$O2166),""))</f>
      </c>
      <c r="K2166" s="221">
        <f>IF($I2166="Phản ánh",INDEX('Phản ánh'!$K$6:$K$505,MATCH($C2166,'Phản ánh'!$A$6:$A$505,0))&amp;"",IF($I2166="Công việc",INDEX('Kế hoạch'!$N$6:$N$305,$O2166)&amp;"",""))</f>
      </c>
      <c r="L2166" s="220">
        <f>IF(OR($C2166="",N($B2166)=0),"",IF(AND($I2166="Phản ánh",$E2166="Đã xử lý"),INDEX('Phản ánh'!$U$6:$U$505,MATCH($C2166,'Phản ánh'!$A$6:$A$505,0)),IF(AND($I2166="Công việc",OR($E2166="Hoàn thành",$E2166="Hoàn thành kỳ")),IF(INDEX('Kế hoạch'!$B$6:$B$305,$O2166)="Đột xuất",INDEX('Kế hoạch'!$AY$6:$AY$305,$O2166),IF(N($P2166)=0,"",IF(INT($B2166)&lt;$P2166,$P2166,IF($Q2166&gt;0,$P2166+ROUND((INT($B2166)-$P2166)/$Q2166,0)*$Q2166,IF($R2166&gt;0,EDATE($P2166,ROUND((DATEDIF($P2166,INT($B2166),"m")+(INT($B2166)-EDATE($P2166,DATEDIF($P2166,INT($B2166),"m")))/(EDATE($P2166,DATEDIF($P2166,INT($B2166),"m")+1)-EDATE($P2166,DATEDIF($P2166,INT($B2166),"m"))))/$R2166,0)*$R2166),$P2166))))),"")))</f>
      </c>
      <c r="M2166" s="223">
        <f>IF(OR($C2166="",N($L2166)=0,N($B2166)=0),"",IF(IF(MOD($L2166,1)=0,INT($B2166),$B2166)&lt;=$L2166,"Đúng hạn","Trễ hạn"))</f>
      </c>
      <c r="N2166" s="225">
        <f>IF($C2166="","",ROW())</f>
      </c>
      <c r="O2166" s="225">
        <f>IF($I2166="Công việc",MATCH($C2166,'Kế hoạch'!$A$6:$A$305,0),"")</f>
      </c>
      <c r="P2166" s="234">
        <f>IF($O2166="","",INDEX('Kế hoạch'!$I$6:$I$305,$O2166))</f>
      </c>
      <c r="Q2166" s="225">
        <f>IF($O2166="","",INDEX('Kế hoạch'!$AJ$6:$AJ$305,$O2166))</f>
      </c>
      <c r="R2166" s="225">
        <f>IF($O2166="","",INDEX('Kế hoạch'!$AK$6:$AK$305,$O2166))</f>
      </c>
    </row>
    <row r="2167">
      <c r="A2167" s="223">
        <f>IF($C2167="","",COUNTIF($C$6:$C2167,"?*"))</f>
      </c>
      <c r="B2167" s="217"/>
      <c r="C2167" s="216"/>
      <c r="D2167" s="240"/>
      <c r="E2167" s="218"/>
      <c r="F2167" s="218"/>
      <c r="G2167" s="218"/>
      <c r="H2167" s="219"/>
      <c r="I2167" s="223">
        <f>IF($C2167="","",IF(ISNUMBER(MATCH($C2167,'Phản ánh'!$A$6:$A$505,0)),"Phản ánh",IF(ISNUMBER(MATCH($C2167,'Kế hoạch'!$A$6:$A$305,0)),"Công việc","Mã chưa có")))</f>
      </c>
      <c r="J2167" s="221">
        <f>IF($I2167="Phản ánh",INDEX('Phản ánh'!$C$6:$C$505,MATCH($C2167,'Phản ánh'!$A$6:$A$505,0)),IF($I2167="Công việc",INDEX('Kế hoạch'!$C$6:$C$305,$O2167),""))</f>
      </c>
      <c r="K2167" s="221">
        <f>IF($I2167="Phản ánh",INDEX('Phản ánh'!$K$6:$K$505,MATCH($C2167,'Phản ánh'!$A$6:$A$505,0))&amp;"",IF($I2167="Công việc",INDEX('Kế hoạch'!$N$6:$N$305,$O2167)&amp;"",""))</f>
      </c>
      <c r="L2167" s="220">
        <f>IF(OR($C2167="",N($B2167)=0),"",IF(AND($I2167="Phản ánh",$E2167="Đã xử lý"),INDEX('Phản ánh'!$U$6:$U$505,MATCH($C2167,'Phản ánh'!$A$6:$A$505,0)),IF(AND($I2167="Công việc",OR($E2167="Hoàn thành",$E2167="Hoàn thành kỳ")),IF(INDEX('Kế hoạch'!$B$6:$B$305,$O2167)="Đột xuất",INDEX('Kế hoạch'!$AY$6:$AY$305,$O2167),IF(N($P2167)=0,"",IF(INT($B2167)&lt;$P2167,$P2167,IF($Q2167&gt;0,$P2167+ROUND((INT($B2167)-$P2167)/$Q2167,0)*$Q2167,IF($R2167&gt;0,EDATE($P2167,ROUND((DATEDIF($P2167,INT($B2167),"m")+(INT($B2167)-EDATE($P2167,DATEDIF($P2167,INT($B2167),"m")))/(EDATE($P2167,DATEDIF($P2167,INT($B2167),"m")+1)-EDATE($P2167,DATEDIF($P2167,INT($B2167),"m"))))/$R2167,0)*$R2167),$P2167))))),"")))</f>
      </c>
      <c r="M2167" s="223">
        <f>IF(OR($C2167="",N($L2167)=0,N($B2167)=0),"",IF(IF(MOD($L2167,1)=0,INT($B2167),$B2167)&lt;=$L2167,"Đúng hạn","Trễ hạn"))</f>
      </c>
      <c r="N2167" s="225">
        <f>IF($C2167="","",ROW())</f>
      </c>
      <c r="O2167" s="225">
        <f>IF($I2167="Công việc",MATCH($C2167,'Kế hoạch'!$A$6:$A$305,0),"")</f>
      </c>
      <c r="P2167" s="234">
        <f>IF($O2167="","",INDEX('Kế hoạch'!$I$6:$I$305,$O2167))</f>
      </c>
      <c r="Q2167" s="225">
        <f>IF($O2167="","",INDEX('Kế hoạch'!$AJ$6:$AJ$305,$O2167))</f>
      </c>
      <c r="R2167" s="225">
        <f>IF($O2167="","",INDEX('Kế hoạch'!$AK$6:$AK$305,$O2167))</f>
      </c>
    </row>
    <row r="2168">
      <c r="A2168" s="223">
        <f>IF($C2168="","",COUNTIF($C$6:$C2168,"?*"))</f>
      </c>
      <c r="B2168" s="217"/>
      <c r="C2168" s="216"/>
      <c r="D2168" s="240"/>
      <c r="E2168" s="218"/>
      <c r="F2168" s="218"/>
      <c r="G2168" s="218"/>
      <c r="H2168" s="219"/>
      <c r="I2168" s="223">
        <f>IF($C2168="","",IF(ISNUMBER(MATCH($C2168,'Phản ánh'!$A$6:$A$505,0)),"Phản ánh",IF(ISNUMBER(MATCH($C2168,'Kế hoạch'!$A$6:$A$305,0)),"Công việc","Mã chưa có")))</f>
      </c>
      <c r="J2168" s="221">
        <f>IF($I2168="Phản ánh",INDEX('Phản ánh'!$C$6:$C$505,MATCH($C2168,'Phản ánh'!$A$6:$A$505,0)),IF($I2168="Công việc",INDEX('Kế hoạch'!$C$6:$C$305,$O2168),""))</f>
      </c>
      <c r="K2168" s="221">
        <f>IF($I2168="Phản ánh",INDEX('Phản ánh'!$K$6:$K$505,MATCH($C2168,'Phản ánh'!$A$6:$A$505,0))&amp;"",IF($I2168="Công việc",INDEX('Kế hoạch'!$N$6:$N$305,$O2168)&amp;"",""))</f>
      </c>
      <c r="L2168" s="220">
        <f>IF(OR($C2168="",N($B2168)=0),"",IF(AND($I2168="Phản ánh",$E2168="Đã xử lý"),INDEX('Phản ánh'!$U$6:$U$505,MATCH($C2168,'Phản ánh'!$A$6:$A$505,0)),IF(AND($I2168="Công việc",OR($E2168="Hoàn thành",$E2168="Hoàn thành kỳ")),IF(INDEX('Kế hoạch'!$B$6:$B$305,$O2168)="Đột xuất",INDEX('Kế hoạch'!$AY$6:$AY$305,$O2168),IF(N($P2168)=0,"",IF(INT($B2168)&lt;$P2168,$P2168,IF($Q2168&gt;0,$P2168+ROUND((INT($B2168)-$P2168)/$Q2168,0)*$Q2168,IF($R2168&gt;0,EDATE($P2168,ROUND((DATEDIF($P2168,INT($B2168),"m")+(INT($B2168)-EDATE($P2168,DATEDIF($P2168,INT($B2168),"m")))/(EDATE($P2168,DATEDIF($P2168,INT($B2168),"m")+1)-EDATE($P2168,DATEDIF($P2168,INT($B2168),"m"))))/$R2168,0)*$R2168),$P2168))))),"")))</f>
      </c>
      <c r="M2168" s="223">
        <f>IF(OR($C2168="",N($L2168)=0,N($B2168)=0),"",IF(IF(MOD($L2168,1)=0,INT($B2168),$B2168)&lt;=$L2168,"Đúng hạn","Trễ hạn"))</f>
      </c>
      <c r="N2168" s="225">
        <f>IF($C2168="","",ROW())</f>
      </c>
      <c r="O2168" s="225">
        <f>IF($I2168="Công việc",MATCH($C2168,'Kế hoạch'!$A$6:$A$305,0),"")</f>
      </c>
      <c r="P2168" s="234">
        <f>IF($O2168="","",INDEX('Kế hoạch'!$I$6:$I$305,$O2168))</f>
      </c>
      <c r="Q2168" s="225">
        <f>IF($O2168="","",INDEX('Kế hoạch'!$AJ$6:$AJ$305,$O2168))</f>
      </c>
      <c r="R2168" s="225">
        <f>IF($O2168="","",INDEX('Kế hoạch'!$AK$6:$AK$305,$O2168))</f>
      </c>
    </row>
    <row r="2169">
      <c r="A2169" s="223">
        <f>IF($C2169="","",COUNTIF($C$6:$C2169,"?*"))</f>
      </c>
      <c r="B2169" s="217"/>
      <c r="C2169" s="216"/>
      <c r="D2169" s="240"/>
      <c r="E2169" s="218"/>
      <c r="F2169" s="218"/>
      <c r="G2169" s="218"/>
      <c r="H2169" s="219"/>
      <c r="I2169" s="223">
        <f>IF($C2169="","",IF(ISNUMBER(MATCH($C2169,'Phản ánh'!$A$6:$A$505,0)),"Phản ánh",IF(ISNUMBER(MATCH($C2169,'Kế hoạch'!$A$6:$A$305,0)),"Công việc","Mã chưa có")))</f>
      </c>
      <c r="J2169" s="221">
        <f>IF($I2169="Phản ánh",INDEX('Phản ánh'!$C$6:$C$505,MATCH($C2169,'Phản ánh'!$A$6:$A$505,0)),IF($I2169="Công việc",INDEX('Kế hoạch'!$C$6:$C$305,$O2169),""))</f>
      </c>
      <c r="K2169" s="221">
        <f>IF($I2169="Phản ánh",INDEX('Phản ánh'!$K$6:$K$505,MATCH($C2169,'Phản ánh'!$A$6:$A$505,0))&amp;"",IF($I2169="Công việc",INDEX('Kế hoạch'!$N$6:$N$305,$O2169)&amp;"",""))</f>
      </c>
      <c r="L2169" s="220">
        <f>IF(OR($C2169="",N($B2169)=0),"",IF(AND($I2169="Phản ánh",$E2169="Đã xử lý"),INDEX('Phản ánh'!$U$6:$U$505,MATCH($C2169,'Phản ánh'!$A$6:$A$505,0)),IF(AND($I2169="Công việc",OR($E2169="Hoàn thành",$E2169="Hoàn thành kỳ")),IF(INDEX('Kế hoạch'!$B$6:$B$305,$O2169)="Đột xuất",INDEX('Kế hoạch'!$AY$6:$AY$305,$O2169),IF(N($P2169)=0,"",IF(INT($B2169)&lt;$P2169,$P2169,IF($Q2169&gt;0,$P2169+ROUND((INT($B2169)-$P2169)/$Q2169,0)*$Q2169,IF($R2169&gt;0,EDATE($P2169,ROUND((DATEDIF($P2169,INT($B2169),"m")+(INT($B2169)-EDATE($P2169,DATEDIF($P2169,INT($B2169),"m")))/(EDATE($P2169,DATEDIF($P2169,INT($B2169),"m")+1)-EDATE($P2169,DATEDIF($P2169,INT($B2169),"m"))))/$R2169,0)*$R2169),$P2169))))),"")))</f>
      </c>
      <c r="M2169" s="223">
        <f>IF(OR($C2169="",N($L2169)=0,N($B2169)=0),"",IF(IF(MOD($L2169,1)=0,INT($B2169),$B2169)&lt;=$L2169,"Đúng hạn","Trễ hạn"))</f>
      </c>
      <c r="N2169" s="225">
        <f>IF($C2169="","",ROW())</f>
      </c>
      <c r="O2169" s="225">
        <f>IF($I2169="Công việc",MATCH($C2169,'Kế hoạch'!$A$6:$A$305,0),"")</f>
      </c>
      <c r="P2169" s="234">
        <f>IF($O2169="","",INDEX('Kế hoạch'!$I$6:$I$305,$O2169))</f>
      </c>
      <c r="Q2169" s="225">
        <f>IF($O2169="","",INDEX('Kế hoạch'!$AJ$6:$AJ$305,$O2169))</f>
      </c>
      <c r="R2169" s="225">
        <f>IF($O2169="","",INDEX('Kế hoạch'!$AK$6:$AK$305,$O2169))</f>
      </c>
    </row>
    <row r="2170">
      <c r="A2170" s="223">
        <f>IF($C2170="","",COUNTIF($C$6:$C2170,"?*"))</f>
      </c>
      <c r="B2170" s="217"/>
      <c r="C2170" s="216"/>
      <c r="D2170" s="240"/>
      <c r="E2170" s="218"/>
      <c r="F2170" s="218"/>
      <c r="G2170" s="218"/>
      <c r="H2170" s="219"/>
      <c r="I2170" s="223">
        <f>IF($C2170="","",IF(ISNUMBER(MATCH($C2170,'Phản ánh'!$A$6:$A$505,0)),"Phản ánh",IF(ISNUMBER(MATCH($C2170,'Kế hoạch'!$A$6:$A$305,0)),"Công việc","Mã chưa có")))</f>
      </c>
      <c r="J2170" s="221">
        <f>IF($I2170="Phản ánh",INDEX('Phản ánh'!$C$6:$C$505,MATCH($C2170,'Phản ánh'!$A$6:$A$505,0)),IF($I2170="Công việc",INDEX('Kế hoạch'!$C$6:$C$305,$O2170),""))</f>
      </c>
      <c r="K2170" s="221">
        <f>IF($I2170="Phản ánh",INDEX('Phản ánh'!$K$6:$K$505,MATCH($C2170,'Phản ánh'!$A$6:$A$505,0))&amp;"",IF($I2170="Công việc",INDEX('Kế hoạch'!$N$6:$N$305,$O2170)&amp;"",""))</f>
      </c>
      <c r="L2170" s="220">
        <f>IF(OR($C2170="",N($B2170)=0),"",IF(AND($I2170="Phản ánh",$E2170="Đã xử lý"),INDEX('Phản ánh'!$U$6:$U$505,MATCH($C2170,'Phản ánh'!$A$6:$A$505,0)),IF(AND($I2170="Công việc",OR($E2170="Hoàn thành",$E2170="Hoàn thành kỳ")),IF(INDEX('Kế hoạch'!$B$6:$B$305,$O2170)="Đột xuất",INDEX('Kế hoạch'!$AY$6:$AY$305,$O2170),IF(N($P2170)=0,"",IF(INT($B2170)&lt;$P2170,$P2170,IF($Q2170&gt;0,$P2170+ROUND((INT($B2170)-$P2170)/$Q2170,0)*$Q2170,IF($R2170&gt;0,EDATE($P2170,ROUND((DATEDIF($P2170,INT($B2170),"m")+(INT($B2170)-EDATE($P2170,DATEDIF($P2170,INT($B2170),"m")))/(EDATE($P2170,DATEDIF($P2170,INT($B2170),"m")+1)-EDATE($P2170,DATEDIF($P2170,INT($B2170),"m"))))/$R2170,0)*$R2170),$P2170))))),"")))</f>
      </c>
      <c r="M2170" s="223">
        <f>IF(OR($C2170="",N($L2170)=0,N($B2170)=0),"",IF(IF(MOD($L2170,1)=0,INT($B2170),$B2170)&lt;=$L2170,"Đúng hạn","Trễ hạn"))</f>
      </c>
      <c r="N2170" s="225">
        <f>IF($C2170="","",ROW())</f>
      </c>
      <c r="O2170" s="225">
        <f>IF($I2170="Công việc",MATCH($C2170,'Kế hoạch'!$A$6:$A$305,0),"")</f>
      </c>
      <c r="P2170" s="234">
        <f>IF($O2170="","",INDEX('Kế hoạch'!$I$6:$I$305,$O2170))</f>
      </c>
      <c r="Q2170" s="225">
        <f>IF($O2170="","",INDEX('Kế hoạch'!$AJ$6:$AJ$305,$O2170))</f>
      </c>
      <c r="R2170" s="225">
        <f>IF($O2170="","",INDEX('Kế hoạch'!$AK$6:$AK$305,$O2170))</f>
      </c>
    </row>
    <row r="2171">
      <c r="A2171" s="223">
        <f>IF($C2171="","",COUNTIF($C$6:$C2171,"?*"))</f>
      </c>
      <c r="B2171" s="217"/>
      <c r="C2171" s="216"/>
      <c r="D2171" s="240"/>
      <c r="E2171" s="218"/>
      <c r="F2171" s="218"/>
      <c r="G2171" s="218"/>
      <c r="H2171" s="219"/>
      <c r="I2171" s="223">
        <f>IF($C2171="","",IF(ISNUMBER(MATCH($C2171,'Phản ánh'!$A$6:$A$505,0)),"Phản ánh",IF(ISNUMBER(MATCH($C2171,'Kế hoạch'!$A$6:$A$305,0)),"Công việc","Mã chưa có")))</f>
      </c>
      <c r="J2171" s="221">
        <f>IF($I2171="Phản ánh",INDEX('Phản ánh'!$C$6:$C$505,MATCH($C2171,'Phản ánh'!$A$6:$A$505,0)),IF($I2171="Công việc",INDEX('Kế hoạch'!$C$6:$C$305,$O2171),""))</f>
      </c>
      <c r="K2171" s="221">
        <f>IF($I2171="Phản ánh",INDEX('Phản ánh'!$K$6:$K$505,MATCH($C2171,'Phản ánh'!$A$6:$A$505,0))&amp;"",IF($I2171="Công việc",INDEX('Kế hoạch'!$N$6:$N$305,$O2171)&amp;"",""))</f>
      </c>
      <c r="L2171" s="220">
        <f>IF(OR($C2171="",N($B2171)=0),"",IF(AND($I2171="Phản ánh",$E2171="Đã xử lý"),INDEX('Phản ánh'!$U$6:$U$505,MATCH($C2171,'Phản ánh'!$A$6:$A$505,0)),IF(AND($I2171="Công việc",OR($E2171="Hoàn thành",$E2171="Hoàn thành kỳ")),IF(INDEX('Kế hoạch'!$B$6:$B$305,$O2171)="Đột xuất",INDEX('Kế hoạch'!$AY$6:$AY$305,$O2171),IF(N($P2171)=0,"",IF(INT($B2171)&lt;$P2171,$P2171,IF($Q2171&gt;0,$P2171+ROUND((INT($B2171)-$P2171)/$Q2171,0)*$Q2171,IF($R2171&gt;0,EDATE($P2171,ROUND((DATEDIF($P2171,INT($B2171),"m")+(INT($B2171)-EDATE($P2171,DATEDIF($P2171,INT($B2171),"m")))/(EDATE($P2171,DATEDIF($P2171,INT($B2171),"m")+1)-EDATE($P2171,DATEDIF($P2171,INT($B2171),"m"))))/$R2171,0)*$R2171),$P2171))))),"")))</f>
      </c>
      <c r="M2171" s="223">
        <f>IF(OR($C2171="",N($L2171)=0,N($B2171)=0),"",IF(IF(MOD($L2171,1)=0,INT($B2171),$B2171)&lt;=$L2171,"Đúng hạn","Trễ hạn"))</f>
      </c>
      <c r="N2171" s="225">
        <f>IF($C2171="","",ROW())</f>
      </c>
      <c r="O2171" s="225">
        <f>IF($I2171="Công việc",MATCH($C2171,'Kế hoạch'!$A$6:$A$305,0),"")</f>
      </c>
      <c r="P2171" s="234">
        <f>IF($O2171="","",INDEX('Kế hoạch'!$I$6:$I$305,$O2171))</f>
      </c>
      <c r="Q2171" s="225">
        <f>IF($O2171="","",INDEX('Kế hoạch'!$AJ$6:$AJ$305,$O2171))</f>
      </c>
      <c r="R2171" s="225">
        <f>IF($O2171="","",INDEX('Kế hoạch'!$AK$6:$AK$305,$O2171))</f>
      </c>
    </row>
    <row r="2172">
      <c r="A2172" s="223">
        <f>IF($C2172="","",COUNTIF($C$6:$C2172,"?*"))</f>
      </c>
      <c r="B2172" s="217"/>
      <c r="C2172" s="216"/>
      <c r="D2172" s="240"/>
      <c r="E2172" s="218"/>
      <c r="F2172" s="218"/>
      <c r="G2172" s="218"/>
      <c r="H2172" s="219"/>
      <c r="I2172" s="223">
        <f>IF($C2172="","",IF(ISNUMBER(MATCH($C2172,'Phản ánh'!$A$6:$A$505,0)),"Phản ánh",IF(ISNUMBER(MATCH($C2172,'Kế hoạch'!$A$6:$A$305,0)),"Công việc","Mã chưa có")))</f>
      </c>
      <c r="J2172" s="221">
        <f>IF($I2172="Phản ánh",INDEX('Phản ánh'!$C$6:$C$505,MATCH($C2172,'Phản ánh'!$A$6:$A$505,0)),IF($I2172="Công việc",INDEX('Kế hoạch'!$C$6:$C$305,$O2172),""))</f>
      </c>
      <c r="K2172" s="221">
        <f>IF($I2172="Phản ánh",INDEX('Phản ánh'!$K$6:$K$505,MATCH($C2172,'Phản ánh'!$A$6:$A$505,0))&amp;"",IF($I2172="Công việc",INDEX('Kế hoạch'!$N$6:$N$305,$O2172)&amp;"",""))</f>
      </c>
      <c r="L2172" s="220">
        <f>IF(OR($C2172="",N($B2172)=0),"",IF(AND($I2172="Phản ánh",$E2172="Đã xử lý"),INDEX('Phản ánh'!$U$6:$U$505,MATCH($C2172,'Phản ánh'!$A$6:$A$505,0)),IF(AND($I2172="Công việc",OR($E2172="Hoàn thành",$E2172="Hoàn thành kỳ")),IF(INDEX('Kế hoạch'!$B$6:$B$305,$O2172)="Đột xuất",INDEX('Kế hoạch'!$AY$6:$AY$305,$O2172),IF(N($P2172)=0,"",IF(INT($B2172)&lt;$P2172,$P2172,IF($Q2172&gt;0,$P2172+ROUND((INT($B2172)-$P2172)/$Q2172,0)*$Q2172,IF($R2172&gt;0,EDATE($P2172,ROUND((DATEDIF($P2172,INT($B2172),"m")+(INT($B2172)-EDATE($P2172,DATEDIF($P2172,INT($B2172),"m")))/(EDATE($P2172,DATEDIF($P2172,INT($B2172),"m")+1)-EDATE($P2172,DATEDIF($P2172,INT($B2172),"m"))))/$R2172,0)*$R2172),$P2172))))),"")))</f>
      </c>
      <c r="M2172" s="223">
        <f>IF(OR($C2172="",N($L2172)=0,N($B2172)=0),"",IF(IF(MOD($L2172,1)=0,INT($B2172),$B2172)&lt;=$L2172,"Đúng hạn","Trễ hạn"))</f>
      </c>
      <c r="N2172" s="225">
        <f>IF($C2172="","",ROW())</f>
      </c>
      <c r="O2172" s="225">
        <f>IF($I2172="Công việc",MATCH($C2172,'Kế hoạch'!$A$6:$A$305,0),"")</f>
      </c>
      <c r="P2172" s="234">
        <f>IF($O2172="","",INDEX('Kế hoạch'!$I$6:$I$305,$O2172))</f>
      </c>
      <c r="Q2172" s="225">
        <f>IF($O2172="","",INDEX('Kế hoạch'!$AJ$6:$AJ$305,$O2172))</f>
      </c>
      <c r="R2172" s="225">
        <f>IF($O2172="","",INDEX('Kế hoạch'!$AK$6:$AK$305,$O2172))</f>
      </c>
    </row>
    <row r="2173">
      <c r="A2173" s="223">
        <f>IF($C2173="","",COUNTIF($C$6:$C2173,"?*"))</f>
      </c>
      <c r="B2173" s="217"/>
      <c r="C2173" s="216"/>
      <c r="D2173" s="240"/>
      <c r="E2173" s="218"/>
      <c r="F2173" s="218"/>
      <c r="G2173" s="218"/>
      <c r="H2173" s="219"/>
      <c r="I2173" s="223">
        <f>IF($C2173="","",IF(ISNUMBER(MATCH($C2173,'Phản ánh'!$A$6:$A$505,0)),"Phản ánh",IF(ISNUMBER(MATCH($C2173,'Kế hoạch'!$A$6:$A$305,0)),"Công việc","Mã chưa có")))</f>
      </c>
      <c r="J2173" s="221">
        <f>IF($I2173="Phản ánh",INDEX('Phản ánh'!$C$6:$C$505,MATCH($C2173,'Phản ánh'!$A$6:$A$505,0)),IF($I2173="Công việc",INDEX('Kế hoạch'!$C$6:$C$305,$O2173),""))</f>
      </c>
      <c r="K2173" s="221">
        <f>IF($I2173="Phản ánh",INDEX('Phản ánh'!$K$6:$K$505,MATCH($C2173,'Phản ánh'!$A$6:$A$505,0))&amp;"",IF($I2173="Công việc",INDEX('Kế hoạch'!$N$6:$N$305,$O2173)&amp;"",""))</f>
      </c>
      <c r="L2173" s="220">
        <f>IF(OR($C2173="",N($B2173)=0),"",IF(AND($I2173="Phản ánh",$E2173="Đã xử lý"),INDEX('Phản ánh'!$U$6:$U$505,MATCH($C2173,'Phản ánh'!$A$6:$A$505,0)),IF(AND($I2173="Công việc",OR($E2173="Hoàn thành",$E2173="Hoàn thành kỳ")),IF(INDEX('Kế hoạch'!$B$6:$B$305,$O2173)="Đột xuất",INDEX('Kế hoạch'!$AY$6:$AY$305,$O2173),IF(N($P2173)=0,"",IF(INT($B2173)&lt;$P2173,$P2173,IF($Q2173&gt;0,$P2173+ROUND((INT($B2173)-$P2173)/$Q2173,0)*$Q2173,IF($R2173&gt;0,EDATE($P2173,ROUND((DATEDIF($P2173,INT($B2173),"m")+(INT($B2173)-EDATE($P2173,DATEDIF($P2173,INT($B2173),"m")))/(EDATE($P2173,DATEDIF($P2173,INT($B2173),"m")+1)-EDATE($P2173,DATEDIF($P2173,INT($B2173),"m"))))/$R2173,0)*$R2173),$P2173))))),"")))</f>
      </c>
      <c r="M2173" s="223">
        <f>IF(OR($C2173="",N($L2173)=0,N($B2173)=0),"",IF(IF(MOD($L2173,1)=0,INT($B2173),$B2173)&lt;=$L2173,"Đúng hạn","Trễ hạn"))</f>
      </c>
      <c r="N2173" s="225">
        <f>IF($C2173="","",ROW())</f>
      </c>
      <c r="O2173" s="225">
        <f>IF($I2173="Công việc",MATCH($C2173,'Kế hoạch'!$A$6:$A$305,0),"")</f>
      </c>
      <c r="P2173" s="234">
        <f>IF($O2173="","",INDEX('Kế hoạch'!$I$6:$I$305,$O2173))</f>
      </c>
      <c r="Q2173" s="225">
        <f>IF($O2173="","",INDEX('Kế hoạch'!$AJ$6:$AJ$305,$O2173))</f>
      </c>
      <c r="R2173" s="225">
        <f>IF($O2173="","",INDEX('Kế hoạch'!$AK$6:$AK$305,$O2173))</f>
      </c>
    </row>
    <row r="2174">
      <c r="A2174" s="223">
        <f>IF($C2174="","",COUNTIF($C$6:$C2174,"?*"))</f>
      </c>
      <c r="B2174" s="217"/>
      <c r="C2174" s="216"/>
      <c r="D2174" s="240"/>
      <c r="E2174" s="218"/>
      <c r="F2174" s="218"/>
      <c r="G2174" s="218"/>
      <c r="H2174" s="219"/>
      <c r="I2174" s="223">
        <f>IF($C2174="","",IF(ISNUMBER(MATCH($C2174,'Phản ánh'!$A$6:$A$505,0)),"Phản ánh",IF(ISNUMBER(MATCH($C2174,'Kế hoạch'!$A$6:$A$305,0)),"Công việc","Mã chưa có")))</f>
      </c>
      <c r="J2174" s="221">
        <f>IF($I2174="Phản ánh",INDEX('Phản ánh'!$C$6:$C$505,MATCH($C2174,'Phản ánh'!$A$6:$A$505,0)),IF($I2174="Công việc",INDEX('Kế hoạch'!$C$6:$C$305,$O2174),""))</f>
      </c>
      <c r="K2174" s="221">
        <f>IF($I2174="Phản ánh",INDEX('Phản ánh'!$K$6:$K$505,MATCH($C2174,'Phản ánh'!$A$6:$A$505,0))&amp;"",IF($I2174="Công việc",INDEX('Kế hoạch'!$N$6:$N$305,$O2174)&amp;"",""))</f>
      </c>
      <c r="L2174" s="220">
        <f>IF(OR($C2174="",N($B2174)=0),"",IF(AND($I2174="Phản ánh",$E2174="Đã xử lý"),INDEX('Phản ánh'!$U$6:$U$505,MATCH($C2174,'Phản ánh'!$A$6:$A$505,0)),IF(AND($I2174="Công việc",OR($E2174="Hoàn thành",$E2174="Hoàn thành kỳ")),IF(INDEX('Kế hoạch'!$B$6:$B$305,$O2174)="Đột xuất",INDEX('Kế hoạch'!$AY$6:$AY$305,$O2174),IF(N($P2174)=0,"",IF(INT($B2174)&lt;$P2174,$P2174,IF($Q2174&gt;0,$P2174+ROUND((INT($B2174)-$P2174)/$Q2174,0)*$Q2174,IF($R2174&gt;0,EDATE($P2174,ROUND((DATEDIF($P2174,INT($B2174),"m")+(INT($B2174)-EDATE($P2174,DATEDIF($P2174,INT($B2174),"m")))/(EDATE($P2174,DATEDIF($P2174,INT($B2174),"m")+1)-EDATE($P2174,DATEDIF($P2174,INT($B2174),"m"))))/$R2174,0)*$R2174),$P2174))))),"")))</f>
      </c>
      <c r="M2174" s="223">
        <f>IF(OR($C2174="",N($L2174)=0,N($B2174)=0),"",IF(IF(MOD($L2174,1)=0,INT($B2174),$B2174)&lt;=$L2174,"Đúng hạn","Trễ hạn"))</f>
      </c>
      <c r="N2174" s="225">
        <f>IF($C2174="","",ROW())</f>
      </c>
      <c r="O2174" s="225">
        <f>IF($I2174="Công việc",MATCH($C2174,'Kế hoạch'!$A$6:$A$305,0),"")</f>
      </c>
      <c r="P2174" s="234">
        <f>IF($O2174="","",INDEX('Kế hoạch'!$I$6:$I$305,$O2174))</f>
      </c>
      <c r="Q2174" s="225">
        <f>IF($O2174="","",INDEX('Kế hoạch'!$AJ$6:$AJ$305,$O2174))</f>
      </c>
      <c r="R2174" s="225">
        <f>IF($O2174="","",INDEX('Kế hoạch'!$AK$6:$AK$305,$O2174))</f>
      </c>
    </row>
    <row r="2175">
      <c r="A2175" s="223">
        <f>IF($C2175="","",COUNTIF($C$6:$C2175,"?*"))</f>
      </c>
      <c r="B2175" s="217"/>
      <c r="C2175" s="216"/>
      <c r="D2175" s="240"/>
      <c r="E2175" s="218"/>
      <c r="F2175" s="218"/>
      <c r="G2175" s="218"/>
      <c r="H2175" s="219"/>
      <c r="I2175" s="223">
        <f>IF($C2175="","",IF(ISNUMBER(MATCH($C2175,'Phản ánh'!$A$6:$A$505,0)),"Phản ánh",IF(ISNUMBER(MATCH($C2175,'Kế hoạch'!$A$6:$A$305,0)),"Công việc","Mã chưa có")))</f>
      </c>
      <c r="J2175" s="221">
        <f>IF($I2175="Phản ánh",INDEX('Phản ánh'!$C$6:$C$505,MATCH($C2175,'Phản ánh'!$A$6:$A$505,0)),IF($I2175="Công việc",INDEX('Kế hoạch'!$C$6:$C$305,$O2175),""))</f>
      </c>
      <c r="K2175" s="221">
        <f>IF($I2175="Phản ánh",INDEX('Phản ánh'!$K$6:$K$505,MATCH($C2175,'Phản ánh'!$A$6:$A$505,0))&amp;"",IF($I2175="Công việc",INDEX('Kế hoạch'!$N$6:$N$305,$O2175)&amp;"",""))</f>
      </c>
      <c r="L2175" s="220">
        <f>IF(OR($C2175="",N($B2175)=0),"",IF(AND($I2175="Phản ánh",$E2175="Đã xử lý"),INDEX('Phản ánh'!$U$6:$U$505,MATCH($C2175,'Phản ánh'!$A$6:$A$505,0)),IF(AND($I2175="Công việc",OR($E2175="Hoàn thành",$E2175="Hoàn thành kỳ")),IF(INDEX('Kế hoạch'!$B$6:$B$305,$O2175)="Đột xuất",INDEX('Kế hoạch'!$AY$6:$AY$305,$O2175),IF(N($P2175)=0,"",IF(INT($B2175)&lt;$P2175,$P2175,IF($Q2175&gt;0,$P2175+ROUND((INT($B2175)-$P2175)/$Q2175,0)*$Q2175,IF($R2175&gt;0,EDATE($P2175,ROUND((DATEDIF($P2175,INT($B2175),"m")+(INT($B2175)-EDATE($P2175,DATEDIF($P2175,INT($B2175),"m")))/(EDATE($P2175,DATEDIF($P2175,INT($B2175),"m")+1)-EDATE($P2175,DATEDIF($P2175,INT($B2175),"m"))))/$R2175,0)*$R2175),$P2175))))),"")))</f>
      </c>
      <c r="M2175" s="223">
        <f>IF(OR($C2175="",N($L2175)=0,N($B2175)=0),"",IF(IF(MOD($L2175,1)=0,INT($B2175),$B2175)&lt;=$L2175,"Đúng hạn","Trễ hạn"))</f>
      </c>
      <c r="N2175" s="225">
        <f>IF($C2175="","",ROW())</f>
      </c>
      <c r="O2175" s="225">
        <f>IF($I2175="Công việc",MATCH($C2175,'Kế hoạch'!$A$6:$A$305,0),"")</f>
      </c>
      <c r="P2175" s="234">
        <f>IF($O2175="","",INDEX('Kế hoạch'!$I$6:$I$305,$O2175))</f>
      </c>
      <c r="Q2175" s="225">
        <f>IF($O2175="","",INDEX('Kế hoạch'!$AJ$6:$AJ$305,$O2175))</f>
      </c>
      <c r="R2175" s="225">
        <f>IF($O2175="","",INDEX('Kế hoạch'!$AK$6:$AK$305,$O2175))</f>
      </c>
    </row>
    <row r="2176">
      <c r="A2176" s="223">
        <f>IF($C2176="","",COUNTIF($C$6:$C2176,"?*"))</f>
      </c>
      <c r="B2176" s="217"/>
      <c r="C2176" s="216"/>
      <c r="D2176" s="240"/>
      <c r="E2176" s="218"/>
      <c r="F2176" s="218"/>
      <c r="G2176" s="218"/>
      <c r="H2176" s="219"/>
      <c r="I2176" s="223">
        <f>IF($C2176="","",IF(ISNUMBER(MATCH($C2176,'Phản ánh'!$A$6:$A$505,0)),"Phản ánh",IF(ISNUMBER(MATCH($C2176,'Kế hoạch'!$A$6:$A$305,0)),"Công việc","Mã chưa có")))</f>
      </c>
      <c r="J2176" s="221">
        <f>IF($I2176="Phản ánh",INDEX('Phản ánh'!$C$6:$C$505,MATCH($C2176,'Phản ánh'!$A$6:$A$505,0)),IF($I2176="Công việc",INDEX('Kế hoạch'!$C$6:$C$305,$O2176),""))</f>
      </c>
      <c r="K2176" s="221">
        <f>IF($I2176="Phản ánh",INDEX('Phản ánh'!$K$6:$K$505,MATCH($C2176,'Phản ánh'!$A$6:$A$505,0))&amp;"",IF($I2176="Công việc",INDEX('Kế hoạch'!$N$6:$N$305,$O2176)&amp;"",""))</f>
      </c>
      <c r="L2176" s="220">
        <f>IF(OR($C2176="",N($B2176)=0),"",IF(AND($I2176="Phản ánh",$E2176="Đã xử lý"),INDEX('Phản ánh'!$U$6:$U$505,MATCH($C2176,'Phản ánh'!$A$6:$A$505,0)),IF(AND($I2176="Công việc",OR($E2176="Hoàn thành",$E2176="Hoàn thành kỳ")),IF(INDEX('Kế hoạch'!$B$6:$B$305,$O2176)="Đột xuất",INDEX('Kế hoạch'!$AY$6:$AY$305,$O2176),IF(N($P2176)=0,"",IF(INT($B2176)&lt;$P2176,$P2176,IF($Q2176&gt;0,$P2176+ROUND((INT($B2176)-$P2176)/$Q2176,0)*$Q2176,IF($R2176&gt;0,EDATE($P2176,ROUND((DATEDIF($P2176,INT($B2176),"m")+(INT($B2176)-EDATE($P2176,DATEDIF($P2176,INT($B2176),"m")))/(EDATE($P2176,DATEDIF($P2176,INT($B2176),"m")+1)-EDATE($P2176,DATEDIF($P2176,INT($B2176),"m"))))/$R2176,0)*$R2176),$P2176))))),"")))</f>
      </c>
      <c r="M2176" s="223">
        <f>IF(OR($C2176="",N($L2176)=0,N($B2176)=0),"",IF(IF(MOD($L2176,1)=0,INT($B2176),$B2176)&lt;=$L2176,"Đúng hạn","Trễ hạn"))</f>
      </c>
      <c r="N2176" s="225">
        <f>IF($C2176="","",ROW())</f>
      </c>
      <c r="O2176" s="225">
        <f>IF($I2176="Công việc",MATCH($C2176,'Kế hoạch'!$A$6:$A$305,0),"")</f>
      </c>
      <c r="P2176" s="234">
        <f>IF($O2176="","",INDEX('Kế hoạch'!$I$6:$I$305,$O2176))</f>
      </c>
      <c r="Q2176" s="225">
        <f>IF($O2176="","",INDEX('Kế hoạch'!$AJ$6:$AJ$305,$O2176))</f>
      </c>
      <c r="R2176" s="225">
        <f>IF($O2176="","",INDEX('Kế hoạch'!$AK$6:$AK$305,$O2176))</f>
      </c>
    </row>
    <row r="2177">
      <c r="A2177" s="223">
        <f>IF($C2177="","",COUNTIF($C$6:$C2177,"?*"))</f>
      </c>
      <c r="B2177" s="217"/>
      <c r="C2177" s="216"/>
      <c r="D2177" s="240"/>
      <c r="E2177" s="218"/>
      <c r="F2177" s="218"/>
      <c r="G2177" s="218"/>
      <c r="H2177" s="219"/>
      <c r="I2177" s="223">
        <f>IF($C2177="","",IF(ISNUMBER(MATCH($C2177,'Phản ánh'!$A$6:$A$505,0)),"Phản ánh",IF(ISNUMBER(MATCH($C2177,'Kế hoạch'!$A$6:$A$305,0)),"Công việc","Mã chưa có")))</f>
      </c>
      <c r="J2177" s="221">
        <f>IF($I2177="Phản ánh",INDEX('Phản ánh'!$C$6:$C$505,MATCH($C2177,'Phản ánh'!$A$6:$A$505,0)),IF($I2177="Công việc",INDEX('Kế hoạch'!$C$6:$C$305,$O2177),""))</f>
      </c>
      <c r="K2177" s="221">
        <f>IF($I2177="Phản ánh",INDEX('Phản ánh'!$K$6:$K$505,MATCH($C2177,'Phản ánh'!$A$6:$A$505,0))&amp;"",IF($I2177="Công việc",INDEX('Kế hoạch'!$N$6:$N$305,$O2177)&amp;"",""))</f>
      </c>
      <c r="L2177" s="220">
        <f>IF(OR($C2177="",N($B2177)=0),"",IF(AND($I2177="Phản ánh",$E2177="Đã xử lý"),INDEX('Phản ánh'!$U$6:$U$505,MATCH($C2177,'Phản ánh'!$A$6:$A$505,0)),IF(AND($I2177="Công việc",OR($E2177="Hoàn thành",$E2177="Hoàn thành kỳ")),IF(INDEX('Kế hoạch'!$B$6:$B$305,$O2177)="Đột xuất",INDEX('Kế hoạch'!$AY$6:$AY$305,$O2177),IF(N($P2177)=0,"",IF(INT($B2177)&lt;$P2177,$P2177,IF($Q2177&gt;0,$P2177+ROUND((INT($B2177)-$P2177)/$Q2177,0)*$Q2177,IF($R2177&gt;0,EDATE($P2177,ROUND((DATEDIF($P2177,INT($B2177),"m")+(INT($B2177)-EDATE($P2177,DATEDIF($P2177,INT($B2177),"m")))/(EDATE($P2177,DATEDIF($P2177,INT($B2177),"m")+1)-EDATE($P2177,DATEDIF($P2177,INT($B2177),"m"))))/$R2177,0)*$R2177),$P2177))))),"")))</f>
      </c>
      <c r="M2177" s="223">
        <f>IF(OR($C2177="",N($L2177)=0,N($B2177)=0),"",IF(IF(MOD($L2177,1)=0,INT($B2177),$B2177)&lt;=$L2177,"Đúng hạn","Trễ hạn"))</f>
      </c>
      <c r="N2177" s="225">
        <f>IF($C2177="","",ROW())</f>
      </c>
      <c r="O2177" s="225">
        <f>IF($I2177="Công việc",MATCH($C2177,'Kế hoạch'!$A$6:$A$305,0),"")</f>
      </c>
      <c r="P2177" s="234">
        <f>IF($O2177="","",INDEX('Kế hoạch'!$I$6:$I$305,$O2177))</f>
      </c>
      <c r="Q2177" s="225">
        <f>IF($O2177="","",INDEX('Kế hoạch'!$AJ$6:$AJ$305,$O2177))</f>
      </c>
      <c r="R2177" s="225">
        <f>IF($O2177="","",INDEX('Kế hoạch'!$AK$6:$AK$305,$O2177))</f>
      </c>
    </row>
    <row r="2178">
      <c r="A2178" s="223">
        <f>IF($C2178="","",COUNTIF($C$6:$C2178,"?*"))</f>
      </c>
      <c r="B2178" s="217"/>
      <c r="C2178" s="216"/>
      <c r="D2178" s="240"/>
      <c r="E2178" s="218"/>
      <c r="F2178" s="218"/>
      <c r="G2178" s="218"/>
      <c r="H2178" s="219"/>
      <c r="I2178" s="223">
        <f>IF($C2178="","",IF(ISNUMBER(MATCH($C2178,'Phản ánh'!$A$6:$A$505,0)),"Phản ánh",IF(ISNUMBER(MATCH($C2178,'Kế hoạch'!$A$6:$A$305,0)),"Công việc","Mã chưa có")))</f>
      </c>
      <c r="J2178" s="221">
        <f>IF($I2178="Phản ánh",INDEX('Phản ánh'!$C$6:$C$505,MATCH($C2178,'Phản ánh'!$A$6:$A$505,0)),IF($I2178="Công việc",INDEX('Kế hoạch'!$C$6:$C$305,$O2178),""))</f>
      </c>
      <c r="K2178" s="221">
        <f>IF($I2178="Phản ánh",INDEX('Phản ánh'!$K$6:$K$505,MATCH($C2178,'Phản ánh'!$A$6:$A$505,0))&amp;"",IF($I2178="Công việc",INDEX('Kế hoạch'!$N$6:$N$305,$O2178)&amp;"",""))</f>
      </c>
      <c r="L2178" s="220">
        <f>IF(OR($C2178="",N($B2178)=0),"",IF(AND($I2178="Phản ánh",$E2178="Đã xử lý"),INDEX('Phản ánh'!$U$6:$U$505,MATCH($C2178,'Phản ánh'!$A$6:$A$505,0)),IF(AND($I2178="Công việc",OR($E2178="Hoàn thành",$E2178="Hoàn thành kỳ")),IF(INDEX('Kế hoạch'!$B$6:$B$305,$O2178)="Đột xuất",INDEX('Kế hoạch'!$AY$6:$AY$305,$O2178),IF(N($P2178)=0,"",IF(INT($B2178)&lt;$P2178,$P2178,IF($Q2178&gt;0,$P2178+ROUND((INT($B2178)-$P2178)/$Q2178,0)*$Q2178,IF($R2178&gt;0,EDATE($P2178,ROUND((DATEDIF($P2178,INT($B2178),"m")+(INT($B2178)-EDATE($P2178,DATEDIF($P2178,INT($B2178),"m")))/(EDATE($P2178,DATEDIF($P2178,INT($B2178),"m")+1)-EDATE($P2178,DATEDIF($P2178,INT($B2178),"m"))))/$R2178,0)*$R2178),$P2178))))),"")))</f>
      </c>
      <c r="M2178" s="223">
        <f>IF(OR($C2178="",N($L2178)=0,N($B2178)=0),"",IF(IF(MOD($L2178,1)=0,INT($B2178),$B2178)&lt;=$L2178,"Đúng hạn","Trễ hạn"))</f>
      </c>
      <c r="N2178" s="225">
        <f>IF($C2178="","",ROW())</f>
      </c>
      <c r="O2178" s="225">
        <f>IF($I2178="Công việc",MATCH($C2178,'Kế hoạch'!$A$6:$A$305,0),"")</f>
      </c>
      <c r="P2178" s="234">
        <f>IF($O2178="","",INDEX('Kế hoạch'!$I$6:$I$305,$O2178))</f>
      </c>
      <c r="Q2178" s="225">
        <f>IF($O2178="","",INDEX('Kế hoạch'!$AJ$6:$AJ$305,$O2178))</f>
      </c>
      <c r="R2178" s="225">
        <f>IF($O2178="","",INDEX('Kế hoạch'!$AK$6:$AK$305,$O2178))</f>
      </c>
    </row>
    <row r="2179">
      <c r="A2179" s="223">
        <f>IF($C2179="","",COUNTIF($C$6:$C2179,"?*"))</f>
      </c>
      <c r="B2179" s="217"/>
      <c r="C2179" s="216"/>
      <c r="D2179" s="240"/>
      <c r="E2179" s="218"/>
      <c r="F2179" s="218"/>
      <c r="G2179" s="218"/>
      <c r="H2179" s="219"/>
      <c r="I2179" s="223">
        <f>IF($C2179="","",IF(ISNUMBER(MATCH($C2179,'Phản ánh'!$A$6:$A$505,0)),"Phản ánh",IF(ISNUMBER(MATCH($C2179,'Kế hoạch'!$A$6:$A$305,0)),"Công việc","Mã chưa có")))</f>
      </c>
      <c r="J2179" s="221">
        <f>IF($I2179="Phản ánh",INDEX('Phản ánh'!$C$6:$C$505,MATCH($C2179,'Phản ánh'!$A$6:$A$505,0)),IF($I2179="Công việc",INDEX('Kế hoạch'!$C$6:$C$305,$O2179),""))</f>
      </c>
      <c r="K2179" s="221">
        <f>IF($I2179="Phản ánh",INDEX('Phản ánh'!$K$6:$K$505,MATCH($C2179,'Phản ánh'!$A$6:$A$505,0))&amp;"",IF($I2179="Công việc",INDEX('Kế hoạch'!$N$6:$N$305,$O2179)&amp;"",""))</f>
      </c>
      <c r="L2179" s="220">
        <f>IF(OR($C2179="",N($B2179)=0),"",IF(AND($I2179="Phản ánh",$E2179="Đã xử lý"),INDEX('Phản ánh'!$U$6:$U$505,MATCH($C2179,'Phản ánh'!$A$6:$A$505,0)),IF(AND($I2179="Công việc",OR($E2179="Hoàn thành",$E2179="Hoàn thành kỳ")),IF(INDEX('Kế hoạch'!$B$6:$B$305,$O2179)="Đột xuất",INDEX('Kế hoạch'!$AY$6:$AY$305,$O2179),IF(N($P2179)=0,"",IF(INT($B2179)&lt;$P2179,$P2179,IF($Q2179&gt;0,$P2179+ROUND((INT($B2179)-$P2179)/$Q2179,0)*$Q2179,IF($R2179&gt;0,EDATE($P2179,ROUND((DATEDIF($P2179,INT($B2179),"m")+(INT($B2179)-EDATE($P2179,DATEDIF($P2179,INT($B2179),"m")))/(EDATE($P2179,DATEDIF($P2179,INT($B2179),"m")+1)-EDATE($P2179,DATEDIF($P2179,INT($B2179),"m"))))/$R2179,0)*$R2179),$P2179))))),"")))</f>
      </c>
      <c r="M2179" s="223">
        <f>IF(OR($C2179="",N($L2179)=0,N($B2179)=0),"",IF(IF(MOD($L2179,1)=0,INT($B2179),$B2179)&lt;=$L2179,"Đúng hạn","Trễ hạn"))</f>
      </c>
      <c r="N2179" s="225">
        <f>IF($C2179="","",ROW())</f>
      </c>
      <c r="O2179" s="225">
        <f>IF($I2179="Công việc",MATCH($C2179,'Kế hoạch'!$A$6:$A$305,0),"")</f>
      </c>
      <c r="P2179" s="234">
        <f>IF($O2179="","",INDEX('Kế hoạch'!$I$6:$I$305,$O2179))</f>
      </c>
      <c r="Q2179" s="225">
        <f>IF($O2179="","",INDEX('Kế hoạch'!$AJ$6:$AJ$305,$O2179))</f>
      </c>
      <c r="R2179" s="225">
        <f>IF($O2179="","",INDEX('Kế hoạch'!$AK$6:$AK$305,$O2179))</f>
      </c>
    </row>
    <row r="2180">
      <c r="A2180" s="223">
        <f>IF($C2180="","",COUNTIF($C$6:$C2180,"?*"))</f>
      </c>
      <c r="B2180" s="217"/>
      <c r="C2180" s="216"/>
      <c r="D2180" s="240"/>
      <c r="E2180" s="218"/>
      <c r="F2180" s="218"/>
      <c r="G2180" s="218"/>
      <c r="H2180" s="219"/>
      <c r="I2180" s="223">
        <f>IF($C2180="","",IF(ISNUMBER(MATCH($C2180,'Phản ánh'!$A$6:$A$505,0)),"Phản ánh",IF(ISNUMBER(MATCH($C2180,'Kế hoạch'!$A$6:$A$305,0)),"Công việc","Mã chưa có")))</f>
      </c>
      <c r="J2180" s="221">
        <f>IF($I2180="Phản ánh",INDEX('Phản ánh'!$C$6:$C$505,MATCH($C2180,'Phản ánh'!$A$6:$A$505,0)),IF($I2180="Công việc",INDEX('Kế hoạch'!$C$6:$C$305,$O2180),""))</f>
      </c>
      <c r="K2180" s="221">
        <f>IF($I2180="Phản ánh",INDEX('Phản ánh'!$K$6:$K$505,MATCH($C2180,'Phản ánh'!$A$6:$A$505,0))&amp;"",IF($I2180="Công việc",INDEX('Kế hoạch'!$N$6:$N$305,$O2180)&amp;"",""))</f>
      </c>
      <c r="L2180" s="220">
        <f>IF(OR($C2180="",N($B2180)=0),"",IF(AND($I2180="Phản ánh",$E2180="Đã xử lý"),INDEX('Phản ánh'!$U$6:$U$505,MATCH($C2180,'Phản ánh'!$A$6:$A$505,0)),IF(AND($I2180="Công việc",OR($E2180="Hoàn thành",$E2180="Hoàn thành kỳ")),IF(INDEX('Kế hoạch'!$B$6:$B$305,$O2180)="Đột xuất",INDEX('Kế hoạch'!$AY$6:$AY$305,$O2180),IF(N($P2180)=0,"",IF(INT($B2180)&lt;$P2180,$P2180,IF($Q2180&gt;0,$P2180+ROUND((INT($B2180)-$P2180)/$Q2180,0)*$Q2180,IF($R2180&gt;0,EDATE($P2180,ROUND((DATEDIF($P2180,INT($B2180),"m")+(INT($B2180)-EDATE($P2180,DATEDIF($P2180,INT($B2180),"m")))/(EDATE($P2180,DATEDIF($P2180,INT($B2180),"m")+1)-EDATE($P2180,DATEDIF($P2180,INT($B2180),"m"))))/$R2180,0)*$R2180),$P2180))))),"")))</f>
      </c>
      <c r="M2180" s="223">
        <f>IF(OR($C2180="",N($L2180)=0,N($B2180)=0),"",IF(IF(MOD($L2180,1)=0,INT($B2180),$B2180)&lt;=$L2180,"Đúng hạn","Trễ hạn"))</f>
      </c>
      <c r="N2180" s="225">
        <f>IF($C2180="","",ROW())</f>
      </c>
      <c r="O2180" s="225">
        <f>IF($I2180="Công việc",MATCH($C2180,'Kế hoạch'!$A$6:$A$305,0),"")</f>
      </c>
      <c r="P2180" s="234">
        <f>IF($O2180="","",INDEX('Kế hoạch'!$I$6:$I$305,$O2180))</f>
      </c>
      <c r="Q2180" s="225">
        <f>IF($O2180="","",INDEX('Kế hoạch'!$AJ$6:$AJ$305,$O2180))</f>
      </c>
      <c r="R2180" s="225">
        <f>IF($O2180="","",INDEX('Kế hoạch'!$AK$6:$AK$305,$O2180))</f>
      </c>
    </row>
    <row r="2181">
      <c r="A2181" s="223">
        <f>IF($C2181="","",COUNTIF($C$6:$C2181,"?*"))</f>
      </c>
      <c r="B2181" s="217"/>
      <c r="C2181" s="216"/>
      <c r="D2181" s="240"/>
      <c r="E2181" s="218"/>
      <c r="F2181" s="218"/>
      <c r="G2181" s="218"/>
      <c r="H2181" s="219"/>
      <c r="I2181" s="223">
        <f>IF($C2181="","",IF(ISNUMBER(MATCH($C2181,'Phản ánh'!$A$6:$A$505,0)),"Phản ánh",IF(ISNUMBER(MATCH($C2181,'Kế hoạch'!$A$6:$A$305,0)),"Công việc","Mã chưa có")))</f>
      </c>
      <c r="J2181" s="221">
        <f>IF($I2181="Phản ánh",INDEX('Phản ánh'!$C$6:$C$505,MATCH($C2181,'Phản ánh'!$A$6:$A$505,0)),IF($I2181="Công việc",INDEX('Kế hoạch'!$C$6:$C$305,$O2181),""))</f>
      </c>
      <c r="K2181" s="221">
        <f>IF($I2181="Phản ánh",INDEX('Phản ánh'!$K$6:$K$505,MATCH($C2181,'Phản ánh'!$A$6:$A$505,0))&amp;"",IF($I2181="Công việc",INDEX('Kế hoạch'!$N$6:$N$305,$O2181)&amp;"",""))</f>
      </c>
      <c r="L2181" s="220">
        <f>IF(OR($C2181="",N($B2181)=0),"",IF(AND($I2181="Phản ánh",$E2181="Đã xử lý"),INDEX('Phản ánh'!$U$6:$U$505,MATCH($C2181,'Phản ánh'!$A$6:$A$505,0)),IF(AND($I2181="Công việc",OR($E2181="Hoàn thành",$E2181="Hoàn thành kỳ")),IF(INDEX('Kế hoạch'!$B$6:$B$305,$O2181)="Đột xuất",INDEX('Kế hoạch'!$AY$6:$AY$305,$O2181),IF(N($P2181)=0,"",IF(INT($B2181)&lt;$P2181,$P2181,IF($Q2181&gt;0,$P2181+ROUND((INT($B2181)-$P2181)/$Q2181,0)*$Q2181,IF($R2181&gt;0,EDATE($P2181,ROUND((DATEDIF($P2181,INT($B2181),"m")+(INT($B2181)-EDATE($P2181,DATEDIF($P2181,INT($B2181),"m")))/(EDATE($P2181,DATEDIF($P2181,INT($B2181),"m")+1)-EDATE($P2181,DATEDIF($P2181,INT($B2181),"m"))))/$R2181,0)*$R2181),$P2181))))),"")))</f>
      </c>
      <c r="M2181" s="223">
        <f>IF(OR($C2181="",N($L2181)=0,N($B2181)=0),"",IF(IF(MOD($L2181,1)=0,INT($B2181),$B2181)&lt;=$L2181,"Đúng hạn","Trễ hạn"))</f>
      </c>
      <c r="N2181" s="225">
        <f>IF($C2181="","",ROW())</f>
      </c>
      <c r="O2181" s="225">
        <f>IF($I2181="Công việc",MATCH($C2181,'Kế hoạch'!$A$6:$A$305,0),"")</f>
      </c>
      <c r="P2181" s="234">
        <f>IF($O2181="","",INDEX('Kế hoạch'!$I$6:$I$305,$O2181))</f>
      </c>
      <c r="Q2181" s="225">
        <f>IF($O2181="","",INDEX('Kế hoạch'!$AJ$6:$AJ$305,$O2181))</f>
      </c>
      <c r="R2181" s="225">
        <f>IF($O2181="","",INDEX('Kế hoạch'!$AK$6:$AK$305,$O2181))</f>
      </c>
    </row>
    <row r="2182">
      <c r="A2182" s="223">
        <f>IF($C2182="","",COUNTIF($C$6:$C2182,"?*"))</f>
      </c>
      <c r="B2182" s="217"/>
      <c r="C2182" s="216"/>
      <c r="D2182" s="240"/>
      <c r="E2182" s="218"/>
      <c r="F2182" s="218"/>
      <c r="G2182" s="218"/>
      <c r="H2182" s="219"/>
      <c r="I2182" s="223">
        <f>IF($C2182="","",IF(ISNUMBER(MATCH($C2182,'Phản ánh'!$A$6:$A$505,0)),"Phản ánh",IF(ISNUMBER(MATCH($C2182,'Kế hoạch'!$A$6:$A$305,0)),"Công việc","Mã chưa có")))</f>
      </c>
      <c r="J2182" s="221">
        <f>IF($I2182="Phản ánh",INDEX('Phản ánh'!$C$6:$C$505,MATCH($C2182,'Phản ánh'!$A$6:$A$505,0)),IF($I2182="Công việc",INDEX('Kế hoạch'!$C$6:$C$305,$O2182),""))</f>
      </c>
      <c r="K2182" s="221">
        <f>IF($I2182="Phản ánh",INDEX('Phản ánh'!$K$6:$K$505,MATCH($C2182,'Phản ánh'!$A$6:$A$505,0))&amp;"",IF($I2182="Công việc",INDEX('Kế hoạch'!$N$6:$N$305,$O2182)&amp;"",""))</f>
      </c>
      <c r="L2182" s="220">
        <f>IF(OR($C2182="",N($B2182)=0),"",IF(AND($I2182="Phản ánh",$E2182="Đã xử lý"),INDEX('Phản ánh'!$U$6:$U$505,MATCH($C2182,'Phản ánh'!$A$6:$A$505,0)),IF(AND($I2182="Công việc",OR($E2182="Hoàn thành",$E2182="Hoàn thành kỳ")),IF(INDEX('Kế hoạch'!$B$6:$B$305,$O2182)="Đột xuất",INDEX('Kế hoạch'!$AY$6:$AY$305,$O2182),IF(N($P2182)=0,"",IF(INT($B2182)&lt;$P2182,$P2182,IF($Q2182&gt;0,$P2182+ROUND((INT($B2182)-$P2182)/$Q2182,0)*$Q2182,IF($R2182&gt;0,EDATE($P2182,ROUND((DATEDIF($P2182,INT($B2182),"m")+(INT($B2182)-EDATE($P2182,DATEDIF($P2182,INT($B2182),"m")))/(EDATE($P2182,DATEDIF($P2182,INT($B2182),"m")+1)-EDATE($P2182,DATEDIF($P2182,INT($B2182),"m"))))/$R2182,0)*$R2182),$P2182))))),"")))</f>
      </c>
      <c r="M2182" s="223">
        <f>IF(OR($C2182="",N($L2182)=0,N($B2182)=0),"",IF(IF(MOD($L2182,1)=0,INT($B2182),$B2182)&lt;=$L2182,"Đúng hạn","Trễ hạn"))</f>
      </c>
      <c r="N2182" s="225">
        <f>IF($C2182="","",ROW())</f>
      </c>
      <c r="O2182" s="225">
        <f>IF($I2182="Công việc",MATCH($C2182,'Kế hoạch'!$A$6:$A$305,0),"")</f>
      </c>
      <c r="P2182" s="234">
        <f>IF($O2182="","",INDEX('Kế hoạch'!$I$6:$I$305,$O2182))</f>
      </c>
      <c r="Q2182" s="225">
        <f>IF($O2182="","",INDEX('Kế hoạch'!$AJ$6:$AJ$305,$O2182))</f>
      </c>
      <c r="R2182" s="225">
        <f>IF($O2182="","",INDEX('Kế hoạch'!$AK$6:$AK$305,$O2182))</f>
      </c>
    </row>
    <row r="2183">
      <c r="A2183" s="223">
        <f>IF($C2183="","",COUNTIF($C$6:$C2183,"?*"))</f>
      </c>
      <c r="B2183" s="217"/>
      <c r="C2183" s="216"/>
      <c r="D2183" s="240"/>
      <c r="E2183" s="218"/>
      <c r="F2183" s="218"/>
      <c r="G2183" s="218"/>
      <c r="H2183" s="219"/>
      <c r="I2183" s="223">
        <f>IF($C2183="","",IF(ISNUMBER(MATCH($C2183,'Phản ánh'!$A$6:$A$505,0)),"Phản ánh",IF(ISNUMBER(MATCH($C2183,'Kế hoạch'!$A$6:$A$305,0)),"Công việc","Mã chưa có")))</f>
      </c>
      <c r="J2183" s="221">
        <f>IF($I2183="Phản ánh",INDEX('Phản ánh'!$C$6:$C$505,MATCH($C2183,'Phản ánh'!$A$6:$A$505,0)),IF($I2183="Công việc",INDEX('Kế hoạch'!$C$6:$C$305,$O2183),""))</f>
      </c>
      <c r="K2183" s="221">
        <f>IF($I2183="Phản ánh",INDEX('Phản ánh'!$K$6:$K$505,MATCH($C2183,'Phản ánh'!$A$6:$A$505,0))&amp;"",IF($I2183="Công việc",INDEX('Kế hoạch'!$N$6:$N$305,$O2183)&amp;"",""))</f>
      </c>
      <c r="L2183" s="220">
        <f>IF(OR($C2183="",N($B2183)=0),"",IF(AND($I2183="Phản ánh",$E2183="Đã xử lý"),INDEX('Phản ánh'!$U$6:$U$505,MATCH($C2183,'Phản ánh'!$A$6:$A$505,0)),IF(AND($I2183="Công việc",OR($E2183="Hoàn thành",$E2183="Hoàn thành kỳ")),IF(INDEX('Kế hoạch'!$B$6:$B$305,$O2183)="Đột xuất",INDEX('Kế hoạch'!$AY$6:$AY$305,$O2183),IF(N($P2183)=0,"",IF(INT($B2183)&lt;$P2183,$P2183,IF($Q2183&gt;0,$P2183+ROUND((INT($B2183)-$P2183)/$Q2183,0)*$Q2183,IF($R2183&gt;0,EDATE($P2183,ROUND((DATEDIF($P2183,INT($B2183),"m")+(INT($B2183)-EDATE($P2183,DATEDIF($P2183,INT($B2183),"m")))/(EDATE($P2183,DATEDIF($P2183,INT($B2183),"m")+1)-EDATE($P2183,DATEDIF($P2183,INT($B2183),"m"))))/$R2183,0)*$R2183),$P2183))))),"")))</f>
      </c>
      <c r="M2183" s="223">
        <f>IF(OR($C2183="",N($L2183)=0,N($B2183)=0),"",IF(IF(MOD($L2183,1)=0,INT($B2183),$B2183)&lt;=$L2183,"Đúng hạn","Trễ hạn"))</f>
      </c>
      <c r="N2183" s="225">
        <f>IF($C2183="","",ROW())</f>
      </c>
      <c r="O2183" s="225">
        <f>IF($I2183="Công việc",MATCH($C2183,'Kế hoạch'!$A$6:$A$305,0),"")</f>
      </c>
      <c r="P2183" s="234">
        <f>IF($O2183="","",INDEX('Kế hoạch'!$I$6:$I$305,$O2183))</f>
      </c>
      <c r="Q2183" s="225">
        <f>IF($O2183="","",INDEX('Kế hoạch'!$AJ$6:$AJ$305,$O2183))</f>
      </c>
      <c r="R2183" s="225">
        <f>IF($O2183="","",INDEX('Kế hoạch'!$AK$6:$AK$305,$O2183))</f>
      </c>
    </row>
    <row r="2184">
      <c r="A2184" s="223">
        <f>IF($C2184="","",COUNTIF($C$6:$C2184,"?*"))</f>
      </c>
      <c r="B2184" s="217"/>
      <c r="C2184" s="216"/>
      <c r="D2184" s="240"/>
      <c r="E2184" s="218"/>
      <c r="F2184" s="218"/>
      <c r="G2184" s="218"/>
      <c r="H2184" s="219"/>
      <c r="I2184" s="223">
        <f>IF($C2184="","",IF(ISNUMBER(MATCH($C2184,'Phản ánh'!$A$6:$A$505,0)),"Phản ánh",IF(ISNUMBER(MATCH($C2184,'Kế hoạch'!$A$6:$A$305,0)),"Công việc","Mã chưa có")))</f>
      </c>
      <c r="J2184" s="221">
        <f>IF($I2184="Phản ánh",INDEX('Phản ánh'!$C$6:$C$505,MATCH($C2184,'Phản ánh'!$A$6:$A$505,0)),IF($I2184="Công việc",INDEX('Kế hoạch'!$C$6:$C$305,$O2184),""))</f>
      </c>
      <c r="K2184" s="221">
        <f>IF($I2184="Phản ánh",INDEX('Phản ánh'!$K$6:$K$505,MATCH($C2184,'Phản ánh'!$A$6:$A$505,0))&amp;"",IF($I2184="Công việc",INDEX('Kế hoạch'!$N$6:$N$305,$O2184)&amp;"",""))</f>
      </c>
      <c r="L2184" s="220">
        <f>IF(OR($C2184="",N($B2184)=0),"",IF(AND($I2184="Phản ánh",$E2184="Đã xử lý"),INDEX('Phản ánh'!$U$6:$U$505,MATCH($C2184,'Phản ánh'!$A$6:$A$505,0)),IF(AND($I2184="Công việc",OR($E2184="Hoàn thành",$E2184="Hoàn thành kỳ")),IF(INDEX('Kế hoạch'!$B$6:$B$305,$O2184)="Đột xuất",INDEX('Kế hoạch'!$AY$6:$AY$305,$O2184),IF(N($P2184)=0,"",IF(INT($B2184)&lt;$P2184,$P2184,IF($Q2184&gt;0,$P2184+ROUND((INT($B2184)-$P2184)/$Q2184,0)*$Q2184,IF($R2184&gt;0,EDATE($P2184,ROUND((DATEDIF($P2184,INT($B2184),"m")+(INT($B2184)-EDATE($P2184,DATEDIF($P2184,INT($B2184),"m")))/(EDATE($P2184,DATEDIF($P2184,INT($B2184),"m")+1)-EDATE($P2184,DATEDIF($P2184,INT($B2184),"m"))))/$R2184,0)*$R2184),$P2184))))),"")))</f>
      </c>
      <c r="M2184" s="223">
        <f>IF(OR($C2184="",N($L2184)=0,N($B2184)=0),"",IF(IF(MOD($L2184,1)=0,INT($B2184),$B2184)&lt;=$L2184,"Đúng hạn","Trễ hạn"))</f>
      </c>
      <c r="N2184" s="225">
        <f>IF($C2184="","",ROW())</f>
      </c>
      <c r="O2184" s="225">
        <f>IF($I2184="Công việc",MATCH($C2184,'Kế hoạch'!$A$6:$A$305,0),"")</f>
      </c>
      <c r="P2184" s="234">
        <f>IF($O2184="","",INDEX('Kế hoạch'!$I$6:$I$305,$O2184))</f>
      </c>
      <c r="Q2184" s="225">
        <f>IF($O2184="","",INDEX('Kế hoạch'!$AJ$6:$AJ$305,$O2184))</f>
      </c>
      <c r="R2184" s="225">
        <f>IF($O2184="","",INDEX('Kế hoạch'!$AK$6:$AK$305,$O2184))</f>
      </c>
    </row>
    <row r="2185">
      <c r="A2185" s="223">
        <f>IF($C2185="","",COUNTIF($C$6:$C2185,"?*"))</f>
      </c>
      <c r="B2185" s="217"/>
      <c r="C2185" s="216"/>
      <c r="D2185" s="240"/>
      <c r="E2185" s="218"/>
      <c r="F2185" s="218"/>
      <c r="G2185" s="218"/>
      <c r="H2185" s="219"/>
      <c r="I2185" s="223">
        <f>IF($C2185="","",IF(ISNUMBER(MATCH($C2185,'Phản ánh'!$A$6:$A$505,0)),"Phản ánh",IF(ISNUMBER(MATCH($C2185,'Kế hoạch'!$A$6:$A$305,0)),"Công việc","Mã chưa có")))</f>
      </c>
      <c r="J2185" s="221">
        <f>IF($I2185="Phản ánh",INDEX('Phản ánh'!$C$6:$C$505,MATCH($C2185,'Phản ánh'!$A$6:$A$505,0)),IF($I2185="Công việc",INDEX('Kế hoạch'!$C$6:$C$305,$O2185),""))</f>
      </c>
      <c r="K2185" s="221">
        <f>IF($I2185="Phản ánh",INDEX('Phản ánh'!$K$6:$K$505,MATCH($C2185,'Phản ánh'!$A$6:$A$505,0))&amp;"",IF($I2185="Công việc",INDEX('Kế hoạch'!$N$6:$N$305,$O2185)&amp;"",""))</f>
      </c>
      <c r="L2185" s="220">
        <f>IF(OR($C2185="",N($B2185)=0),"",IF(AND($I2185="Phản ánh",$E2185="Đã xử lý"),INDEX('Phản ánh'!$U$6:$U$505,MATCH($C2185,'Phản ánh'!$A$6:$A$505,0)),IF(AND($I2185="Công việc",OR($E2185="Hoàn thành",$E2185="Hoàn thành kỳ")),IF(INDEX('Kế hoạch'!$B$6:$B$305,$O2185)="Đột xuất",INDEX('Kế hoạch'!$AY$6:$AY$305,$O2185),IF(N($P2185)=0,"",IF(INT($B2185)&lt;$P2185,$P2185,IF($Q2185&gt;0,$P2185+ROUND((INT($B2185)-$P2185)/$Q2185,0)*$Q2185,IF($R2185&gt;0,EDATE($P2185,ROUND((DATEDIF($P2185,INT($B2185),"m")+(INT($B2185)-EDATE($P2185,DATEDIF($P2185,INT($B2185),"m")))/(EDATE($P2185,DATEDIF($P2185,INT($B2185),"m")+1)-EDATE($P2185,DATEDIF($P2185,INT($B2185),"m"))))/$R2185,0)*$R2185),$P2185))))),"")))</f>
      </c>
      <c r="M2185" s="223">
        <f>IF(OR($C2185="",N($L2185)=0,N($B2185)=0),"",IF(IF(MOD($L2185,1)=0,INT($B2185),$B2185)&lt;=$L2185,"Đúng hạn","Trễ hạn"))</f>
      </c>
      <c r="N2185" s="225">
        <f>IF($C2185="","",ROW())</f>
      </c>
      <c r="O2185" s="225">
        <f>IF($I2185="Công việc",MATCH($C2185,'Kế hoạch'!$A$6:$A$305,0),"")</f>
      </c>
      <c r="P2185" s="234">
        <f>IF($O2185="","",INDEX('Kế hoạch'!$I$6:$I$305,$O2185))</f>
      </c>
      <c r="Q2185" s="225">
        <f>IF($O2185="","",INDEX('Kế hoạch'!$AJ$6:$AJ$305,$O2185))</f>
      </c>
      <c r="R2185" s="225">
        <f>IF($O2185="","",INDEX('Kế hoạch'!$AK$6:$AK$305,$O2185))</f>
      </c>
    </row>
    <row r="2186">
      <c r="A2186" s="223">
        <f>IF($C2186="","",COUNTIF($C$6:$C2186,"?*"))</f>
      </c>
      <c r="B2186" s="217"/>
      <c r="C2186" s="216"/>
      <c r="D2186" s="240"/>
      <c r="E2186" s="218"/>
      <c r="F2186" s="218"/>
      <c r="G2186" s="218"/>
      <c r="H2186" s="219"/>
      <c r="I2186" s="223">
        <f>IF($C2186="","",IF(ISNUMBER(MATCH($C2186,'Phản ánh'!$A$6:$A$505,0)),"Phản ánh",IF(ISNUMBER(MATCH($C2186,'Kế hoạch'!$A$6:$A$305,0)),"Công việc","Mã chưa có")))</f>
      </c>
      <c r="J2186" s="221">
        <f>IF($I2186="Phản ánh",INDEX('Phản ánh'!$C$6:$C$505,MATCH($C2186,'Phản ánh'!$A$6:$A$505,0)),IF($I2186="Công việc",INDEX('Kế hoạch'!$C$6:$C$305,$O2186),""))</f>
      </c>
      <c r="K2186" s="221">
        <f>IF($I2186="Phản ánh",INDEX('Phản ánh'!$K$6:$K$505,MATCH($C2186,'Phản ánh'!$A$6:$A$505,0))&amp;"",IF($I2186="Công việc",INDEX('Kế hoạch'!$N$6:$N$305,$O2186)&amp;"",""))</f>
      </c>
      <c r="L2186" s="220">
        <f>IF(OR($C2186="",N($B2186)=0),"",IF(AND($I2186="Phản ánh",$E2186="Đã xử lý"),INDEX('Phản ánh'!$U$6:$U$505,MATCH($C2186,'Phản ánh'!$A$6:$A$505,0)),IF(AND($I2186="Công việc",OR($E2186="Hoàn thành",$E2186="Hoàn thành kỳ")),IF(INDEX('Kế hoạch'!$B$6:$B$305,$O2186)="Đột xuất",INDEX('Kế hoạch'!$AY$6:$AY$305,$O2186),IF(N($P2186)=0,"",IF(INT($B2186)&lt;$P2186,$P2186,IF($Q2186&gt;0,$P2186+ROUND((INT($B2186)-$P2186)/$Q2186,0)*$Q2186,IF($R2186&gt;0,EDATE($P2186,ROUND((DATEDIF($P2186,INT($B2186),"m")+(INT($B2186)-EDATE($P2186,DATEDIF($P2186,INT($B2186),"m")))/(EDATE($P2186,DATEDIF($P2186,INT($B2186),"m")+1)-EDATE($P2186,DATEDIF($P2186,INT($B2186),"m"))))/$R2186,0)*$R2186),$P2186))))),"")))</f>
      </c>
      <c r="M2186" s="223">
        <f>IF(OR($C2186="",N($L2186)=0,N($B2186)=0),"",IF(IF(MOD($L2186,1)=0,INT($B2186),$B2186)&lt;=$L2186,"Đúng hạn","Trễ hạn"))</f>
      </c>
      <c r="N2186" s="225">
        <f>IF($C2186="","",ROW())</f>
      </c>
      <c r="O2186" s="225">
        <f>IF($I2186="Công việc",MATCH($C2186,'Kế hoạch'!$A$6:$A$305,0),"")</f>
      </c>
      <c r="P2186" s="234">
        <f>IF($O2186="","",INDEX('Kế hoạch'!$I$6:$I$305,$O2186))</f>
      </c>
      <c r="Q2186" s="225">
        <f>IF($O2186="","",INDEX('Kế hoạch'!$AJ$6:$AJ$305,$O2186))</f>
      </c>
      <c r="R2186" s="225">
        <f>IF($O2186="","",INDEX('Kế hoạch'!$AK$6:$AK$305,$O2186))</f>
      </c>
    </row>
    <row r="2187">
      <c r="A2187" s="223">
        <f>IF($C2187="","",COUNTIF($C$6:$C2187,"?*"))</f>
      </c>
      <c r="B2187" s="217"/>
      <c r="C2187" s="216"/>
      <c r="D2187" s="240"/>
      <c r="E2187" s="218"/>
      <c r="F2187" s="218"/>
      <c r="G2187" s="218"/>
      <c r="H2187" s="219"/>
      <c r="I2187" s="223">
        <f>IF($C2187="","",IF(ISNUMBER(MATCH($C2187,'Phản ánh'!$A$6:$A$505,0)),"Phản ánh",IF(ISNUMBER(MATCH($C2187,'Kế hoạch'!$A$6:$A$305,0)),"Công việc","Mã chưa có")))</f>
      </c>
      <c r="J2187" s="221">
        <f>IF($I2187="Phản ánh",INDEX('Phản ánh'!$C$6:$C$505,MATCH($C2187,'Phản ánh'!$A$6:$A$505,0)),IF($I2187="Công việc",INDEX('Kế hoạch'!$C$6:$C$305,$O2187),""))</f>
      </c>
      <c r="K2187" s="221">
        <f>IF($I2187="Phản ánh",INDEX('Phản ánh'!$K$6:$K$505,MATCH($C2187,'Phản ánh'!$A$6:$A$505,0))&amp;"",IF($I2187="Công việc",INDEX('Kế hoạch'!$N$6:$N$305,$O2187)&amp;"",""))</f>
      </c>
      <c r="L2187" s="220">
        <f>IF(OR($C2187="",N($B2187)=0),"",IF(AND($I2187="Phản ánh",$E2187="Đã xử lý"),INDEX('Phản ánh'!$U$6:$U$505,MATCH($C2187,'Phản ánh'!$A$6:$A$505,0)),IF(AND($I2187="Công việc",OR($E2187="Hoàn thành",$E2187="Hoàn thành kỳ")),IF(INDEX('Kế hoạch'!$B$6:$B$305,$O2187)="Đột xuất",INDEX('Kế hoạch'!$AY$6:$AY$305,$O2187),IF(N($P2187)=0,"",IF(INT($B2187)&lt;$P2187,$P2187,IF($Q2187&gt;0,$P2187+ROUND((INT($B2187)-$P2187)/$Q2187,0)*$Q2187,IF($R2187&gt;0,EDATE($P2187,ROUND((DATEDIF($P2187,INT($B2187),"m")+(INT($B2187)-EDATE($P2187,DATEDIF($P2187,INT($B2187),"m")))/(EDATE($P2187,DATEDIF($P2187,INT($B2187),"m")+1)-EDATE($P2187,DATEDIF($P2187,INT($B2187),"m"))))/$R2187,0)*$R2187),$P2187))))),"")))</f>
      </c>
      <c r="M2187" s="223">
        <f>IF(OR($C2187="",N($L2187)=0,N($B2187)=0),"",IF(IF(MOD($L2187,1)=0,INT($B2187),$B2187)&lt;=$L2187,"Đúng hạn","Trễ hạn"))</f>
      </c>
      <c r="N2187" s="225">
        <f>IF($C2187="","",ROW())</f>
      </c>
      <c r="O2187" s="225">
        <f>IF($I2187="Công việc",MATCH($C2187,'Kế hoạch'!$A$6:$A$305,0),"")</f>
      </c>
      <c r="P2187" s="234">
        <f>IF($O2187="","",INDEX('Kế hoạch'!$I$6:$I$305,$O2187))</f>
      </c>
      <c r="Q2187" s="225">
        <f>IF($O2187="","",INDEX('Kế hoạch'!$AJ$6:$AJ$305,$O2187))</f>
      </c>
      <c r="R2187" s="225">
        <f>IF($O2187="","",INDEX('Kế hoạch'!$AK$6:$AK$305,$O2187))</f>
      </c>
    </row>
    <row r="2188">
      <c r="A2188" s="223">
        <f>IF($C2188="","",COUNTIF($C$6:$C2188,"?*"))</f>
      </c>
      <c r="B2188" s="217"/>
      <c r="C2188" s="216"/>
      <c r="D2188" s="240"/>
      <c r="E2188" s="218"/>
      <c r="F2188" s="218"/>
      <c r="G2188" s="218"/>
      <c r="H2188" s="219"/>
      <c r="I2188" s="223">
        <f>IF($C2188="","",IF(ISNUMBER(MATCH($C2188,'Phản ánh'!$A$6:$A$505,0)),"Phản ánh",IF(ISNUMBER(MATCH($C2188,'Kế hoạch'!$A$6:$A$305,0)),"Công việc","Mã chưa có")))</f>
      </c>
      <c r="J2188" s="221">
        <f>IF($I2188="Phản ánh",INDEX('Phản ánh'!$C$6:$C$505,MATCH($C2188,'Phản ánh'!$A$6:$A$505,0)),IF($I2188="Công việc",INDEX('Kế hoạch'!$C$6:$C$305,$O2188),""))</f>
      </c>
      <c r="K2188" s="221">
        <f>IF($I2188="Phản ánh",INDEX('Phản ánh'!$K$6:$K$505,MATCH($C2188,'Phản ánh'!$A$6:$A$505,0))&amp;"",IF($I2188="Công việc",INDEX('Kế hoạch'!$N$6:$N$305,$O2188)&amp;"",""))</f>
      </c>
      <c r="L2188" s="220">
        <f>IF(OR($C2188="",N($B2188)=0),"",IF(AND($I2188="Phản ánh",$E2188="Đã xử lý"),INDEX('Phản ánh'!$U$6:$U$505,MATCH($C2188,'Phản ánh'!$A$6:$A$505,0)),IF(AND($I2188="Công việc",OR($E2188="Hoàn thành",$E2188="Hoàn thành kỳ")),IF(INDEX('Kế hoạch'!$B$6:$B$305,$O2188)="Đột xuất",INDEX('Kế hoạch'!$AY$6:$AY$305,$O2188),IF(N($P2188)=0,"",IF(INT($B2188)&lt;$P2188,$P2188,IF($Q2188&gt;0,$P2188+ROUND((INT($B2188)-$P2188)/$Q2188,0)*$Q2188,IF($R2188&gt;0,EDATE($P2188,ROUND((DATEDIF($P2188,INT($B2188),"m")+(INT($B2188)-EDATE($P2188,DATEDIF($P2188,INT($B2188),"m")))/(EDATE($P2188,DATEDIF($P2188,INT($B2188),"m")+1)-EDATE($P2188,DATEDIF($P2188,INT($B2188),"m"))))/$R2188,0)*$R2188),$P2188))))),"")))</f>
      </c>
      <c r="M2188" s="223">
        <f>IF(OR($C2188="",N($L2188)=0,N($B2188)=0),"",IF(IF(MOD($L2188,1)=0,INT($B2188),$B2188)&lt;=$L2188,"Đúng hạn","Trễ hạn"))</f>
      </c>
      <c r="N2188" s="225">
        <f>IF($C2188="","",ROW())</f>
      </c>
      <c r="O2188" s="225">
        <f>IF($I2188="Công việc",MATCH($C2188,'Kế hoạch'!$A$6:$A$305,0),"")</f>
      </c>
      <c r="P2188" s="234">
        <f>IF($O2188="","",INDEX('Kế hoạch'!$I$6:$I$305,$O2188))</f>
      </c>
      <c r="Q2188" s="225">
        <f>IF($O2188="","",INDEX('Kế hoạch'!$AJ$6:$AJ$305,$O2188))</f>
      </c>
      <c r="R2188" s="225">
        <f>IF($O2188="","",INDEX('Kế hoạch'!$AK$6:$AK$305,$O2188))</f>
      </c>
    </row>
    <row r="2189">
      <c r="A2189" s="223">
        <f>IF($C2189="","",COUNTIF($C$6:$C2189,"?*"))</f>
      </c>
      <c r="B2189" s="217"/>
      <c r="C2189" s="216"/>
      <c r="D2189" s="240"/>
      <c r="E2189" s="218"/>
      <c r="F2189" s="218"/>
      <c r="G2189" s="218"/>
      <c r="H2189" s="219"/>
      <c r="I2189" s="223">
        <f>IF($C2189="","",IF(ISNUMBER(MATCH($C2189,'Phản ánh'!$A$6:$A$505,0)),"Phản ánh",IF(ISNUMBER(MATCH($C2189,'Kế hoạch'!$A$6:$A$305,0)),"Công việc","Mã chưa có")))</f>
      </c>
      <c r="J2189" s="221">
        <f>IF($I2189="Phản ánh",INDEX('Phản ánh'!$C$6:$C$505,MATCH($C2189,'Phản ánh'!$A$6:$A$505,0)),IF($I2189="Công việc",INDEX('Kế hoạch'!$C$6:$C$305,$O2189),""))</f>
      </c>
      <c r="K2189" s="221">
        <f>IF($I2189="Phản ánh",INDEX('Phản ánh'!$K$6:$K$505,MATCH($C2189,'Phản ánh'!$A$6:$A$505,0))&amp;"",IF($I2189="Công việc",INDEX('Kế hoạch'!$N$6:$N$305,$O2189)&amp;"",""))</f>
      </c>
      <c r="L2189" s="220">
        <f>IF(OR($C2189="",N($B2189)=0),"",IF(AND($I2189="Phản ánh",$E2189="Đã xử lý"),INDEX('Phản ánh'!$U$6:$U$505,MATCH($C2189,'Phản ánh'!$A$6:$A$505,0)),IF(AND($I2189="Công việc",OR($E2189="Hoàn thành",$E2189="Hoàn thành kỳ")),IF(INDEX('Kế hoạch'!$B$6:$B$305,$O2189)="Đột xuất",INDEX('Kế hoạch'!$AY$6:$AY$305,$O2189),IF(N($P2189)=0,"",IF(INT($B2189)&lt;$P2189,$P2189,IF($Q2189&gt;0,$P2189+ROUND((INT($B2189)-$P2189)/$Q2189,0)*$Q2189,IF($R2189&gt;0,EDATE($P2189,ROUND((DATEDIF($P2189,INT($B2189),"m")+(INT($B2189)-EDATE($P2189,DATEDIF($P2189,INT($B2189),"m")))/(EDATE($P2189,DATEDIF($P2189,INT($B2189),"m")+1)-EDATE($P2189,DATEDIF($P2189,INT($B2189),"m"))))/$R2189,0)*$R2189),$P2189))))),"")))</f>
      </c>
      <c r="M2189" s="223">
        <f>IF(OR($C2189="",N($L2189)=0,N($B2189)=0),"",IF(IF(MOD($L2189,1)=0,INT($B2189),$B2189)&lt;=$L2189,"Đúng hạn","Trễ hạn"))</f>
      </c>
      <c r="N2189" s="225">
        <f>IF($C2189="","",ROW())</f>
      </c>
      <c r="O2189" s="225">
        <f>IF($I2189="Công việc",MATCH($C2189,'Kế hoạch'!$A$6:$A$305,0),"")</f>
      </c>
      <c r="P2189" s="234">
        <f>IF($O2189="","",INDEX('Kế hoạch'!$I$6:$I$305,$O2189))</f>
      </c>
      <c r="Q2189" s="225">
        <f>IF($O2189="","",INDEX('Kế hoạch'!$AJ$6:$AJ$305,$O2189))</f>
      </c>
      <c r="R2189" s="225">
        <f>IF($O2189="","",INDEX('Kế hoạch'!$AK$6:$AK$305,$O2189))</f>
      </c>
    </row>
    <row r="2190">
      <c r="A2190" s="223">
        <f>IF($C2190="","",COUNTIF($C$6:$C2190,"?*"))</f>
      </c>
      <c r="B2190" s="217"/>
      <c r="C2190" s="216"/>
      <c r="D2190" s="240"/>
      <c r="E2190" s="218"/>
      <c r="F2190" s="218"/>
      <c r="G2190" s="218"/>
      <c r="H2190" s="219"/>
      <c r="I2190" s="223">
        <f>IF($C2190="","",IF(ISNUMBER(MATCH($C2190,'Phản ánh'!$A$6:$A$505,0)),"Phản ánh",IF(ISNUMBER(MATCH($C2190,'Kế hoạch'!$A$6:$A$305,0)),"Công việc","Mã chưa có")))</f>
      </c>
      <c r="J2190" s="221">
        <f>IF($I2190="Phản ánh",INDEX('Phản ánh'!$C$6:$C$505,MATCH($C2190,'Phản ánh'!$A$6:$A$505,0)),IF($I2190="Công việc",INDEX('Kế hoạch'!$C$6:$C$305,$O2190),""))</f>
      </c>
      <c r="K2190" s="221">
        <f>IF($I2190="Phản ánh",INDEX('Phản ánh'!$K$6:$K$505,MATCH($C2190,'Phản ánh'!$A$6:$A$505,0))&amp;"",IF($I2190="Công việc",INDEX('Kế hoạch'!$N$6:$N$305,$O2190)&amp;"",""))</f>
      </c>
      <c r="L2190" s="220">
        <f>IF(OR($C2190="",N($B2190)=0),"",IF(AND($I2190="Phản ánh",$E2190="Đã xử lý"),INDEX('Phản ánh'!$U$6:$U$505,MATCH($C2190,'Phản ánh'!$A$6:$A$505,0)),IF(AND($I2190="Công việc",OR($E2190="Hoàn thành",$E2190="Hoàn thành kỳ")),IF(INDEX('Kế hoạch'!$B$6:$B$305,$O2190)="Đột xuất",INDEX('Kế hoạch'!$AY$6:$AY$305,$O2190),IF(N($P2190)=0,"",IF(INT($B2190)&lt;$P2190,$P2190,IF($Q2190&gt;0,$P2190+ROUND((INT($B2190)-$P2190)/$Q2190,0)*$Q2190,IF($R2190&gt;0,EDATE($P2190,ROUND((DATEDIF($P2190,INT($B2190),"m")+(INT($B2190)-EDATE($P2190,DATEDIF($P2190,INT($B2190),"m")))/(EDATE($P2190,DATEDIF($P2190,INT($B2190),"m")+1)-EDATE($P2190,DATEDIF($P2190,INT($B2190),"m"))))/$R2190,0)*$R2190),$P2190))))),"")))</f>
      </c>
      <c r="M2190" s="223">
        <f>IF(OR($C2190="",N($L2190)=0,N($B2190)=0),"",IF(IF(MOD($L2190,1)=0,INT($B2190),$B2190)&lt;=$L2190,"Đúng hạn","Trễ hạn"))</f>
      </c>
      <c r="N2190" s="225">
        <f>IF($C2190="","",ROW())</f>
      </c>
      <c r="O2190" s="225">
        <f>IF($I2190="Công việc",MATCH($C2190,'Kế hoạch'!$A$6:$A$305,0),"")</f>
      </c>
      <c r="P2190" s="234">
        <f>IF($O2190="","",INDEX('Kế hoạch'!$I$6:$I$305,$O2190))</f>
      </c>
      <c r="Q2190" s="225">
        <f>IF($O2190="","",INDEX('Kế hoạch'!$AJ$6:$AJ$305,$O2190))</f>
      </c>
      <c r="R2190" s="225">
        <f>IF($O2190="","",INDEX('Kế hoạch'!$AK$6:$AK$305,$O2190))</f>
      </c>
    </row>
    <row r="2191">
      <c r="A2191" s="223">
        <f>IF($C2191="","",COUNTIF($C$6:$C2191,"?*"))</f>
      </c>
      <c r="B2191" s="217"/>
      <c r="C2191" s="216"/>
      <c r="D2191" s="240"/>
      <c r="E2191" s="218"/>
      <c r="F2191" s="218"/>
      <c r="G2191" s="218"/>
      <c r="H2191" s="219"/>
      <c r="I2191" s="223">
        <f>IF($C2191="","",IF(ISNUMBER(MATCH($C2191,'Phản ánh'!$A$6:$A$505,0)),"Phản ánh",IF(ISNUMBER(MATCH($C2191,'Kế hoạch'!$A$6:$A$305,0)),"Công việc","Mã chưa có")))</f>
      </c>
      <c r="J2191" s="221">
        <f>IF($I2191="Phản ánh",INDEX('Phản ánh'!$C$6:$C$505,MATCH($C2191,'Phản ánh'!$A$6:$A$505,0)),IF($I2191="Công việc",INDEX('Kế hoạch'!$C$6:$C$305,$O2191),""))</f>
      </c>
      <c r="K2191" s="221">
        <f>IF($I2191="Phản ánh",INDEX('Phản ánh'!$K$6:$K$505,MATCH($C2191,'Phản ánh'!$A$6:$A$505,0))&amp;"",IF($I2191="Công việc",INDEX('Kế hoạch'!$N$6:$N$305,$O2191)&amp;"",""))</f>
      </c>
      <c r="L2191" s="220">
        <f>IF(OR($C2191="",N($B2191)=0),"",IF(AND($I2191="Phản ánh",$E2191="Đã xử lý"),INDEX('Phản ánh'!$U$6:$U$505,MATCH($C2191,'Phản ánh'!$A$6:$A$505,0)),IF(AND($I2191="Công việc",OR($E2191="Hoàn thành",$E2191="Hoàn thành kỳ")),IF(INDEX('Kế hoạch'!$B$6:$B$305,$O2191)="Đột xuất",INDEX('Kế hoạch'!$AY$6:$AY$305,$O2191),IF(N($P2191)=0,"",IF(INT($B2191)&lt;$P2191,$P2191,IF($Q2191&gt;0,$P2191+ROUND((INT($B2191)-$P2191)/$Q2191,0)*$Q2191,IF($R2191&gt;0,EDATE($P2191,ROUND((DATEDIF($P2191,INT($B2191),"m")+(INT($B2191)-EDATE($P2191,DATEDIF($P2191,INT($B2191),"m")))/(EDATE($P2191,DATEDIF($P2191,INT($B2191),"m")+1)-EDATE($P2191,DATEDIF($P2191,INT($B2191),"m"))))/$R2191,0)*$R2191),$P2191))))),"")))</f>
      </c>
      <c r="M2191" s="223">
        <f>IF(OR($C2191="",N($L2191)=0,N($B2191)=0),"",IF(IF(MOD($L2191,1)=0,INT($B2191),$B2191)&lt;=$L2191,"Đúng hạn","Trễ hạn"))</f>
      </c>
      <c r="N2191" s="225">
        <f>IF($C2191="","",ROW())</f>
      </c>
      <c r="O2191" s="225">
        <f>IF($I2191="Công việc",MATCH($C2191,'Kế hoạch'!$A$6:$A$305,0),"")</f>
      </c>
      <c r="P2191" s="234">
        <f>IF($O2191="","",INDEX('Kế hoạch'!$I$6:$I$305,$O2191))</f>
      </c>
      <c r="Q2191" s="225">
        <f>IF($O2191="","",INDEX('Kế hoạch'!$AJ$6:$AJ$305,$O2191))</f>
      </c>
      <c r="R2191" s="225">
        <f>IF($O2191="","",INDEX('Kế hoạch'!$AK$6:$AK$305,$O2191))</f>
      </c>
    </row>
    <row r="2192">
      <c r="A2192" s="223">
        <f>IF($C2192="","",COUNTIF($C$6:$C2192,"?*"))</f>
      </c>
      <c r="B2192" s="217"/>
      <c r="C2192" s="216"/>
      <c r="D2192" s="240"/>
      <c r="E2192" s="218"/>
      <c r="F2192" s="218"/>
      <c r="G2192" s="218"/>
      <c r="H2192" s="219"/>
      <c r="I2192" s="223">
        <f>IF($C2192="","",IF(ISNUMBER(MATCH($C2192,'Phản ánh'!$A$6:$A$505,0)),"Phản ánh",IF(ISNUMBER(MATCH($C2192,'Kế hoạch'!$A$6:$A$305,0)),"Công việc","Mã chưa có")))</f>
      </c>
      <c r="J2192" s="221">
        <f>IF($I2192="Phản ánh",INDEX('Phản ánh'!$C$6:$C$505,MATCH($C2192,'Phản ánh'!$A$6:$A$505,0)),IF($I2192="Công việc",INDEX('Kế hoạch'!$C$6:$C$305,$O2192),""))</f>
      </c>
      <c r="K2192" s="221">
        <f>IF($I2192="Phản ánh",INDEX('Phản ánh'!$K$6:$K$505,MATCH($C2192,'Phản ánh'!$A$6:$A$505,0))&amp;"",IF($I2192="Công việc",INDEX('Kế hoạch'!$N$6:$N$305,$O2192)&amp;"",""))</f>
      </c>
      <c r="L2192" s="220">
        <f>IF(OR($C2192="",N($B2192)=0),"",IF(AND($I2192="Phản ánh",$E2192="Đã xử lý"),INDEX('Phản ánh'!$U$6:$U$505,MATCH($C2192,'Phản ánh'!$A$6:$A$505,0)),IF(AND($I2192="Công việc",OR($E2192="Hoàn thành",$E2192="Hoàn thành kỳ")),IF(INDEX('Kế hoạch'!$B$6:$B$305,$O2192)="Đột xuất",INDEX('Kế hoạch'!$AY$6:$AY$305,$O2192),IF(N($P2192)=0,"",IF(INT($B2192)&lt;$P2192,$P2192,IF($Q2192&gt;0,$P2192+ROUND((INT($B2192)-$P2192)/$Q2192,0)*$Q2192,IF($R2192&gt;0,EDATE($P2192,ROUND((DATEDIF($P2192,INT($B2192),"m")+(INT($B2192)-EDATE($P2192,DATEDIF($P2192,INT($B2192),"m")))/(EDATE($P2192,DATEDIF($P2192,INT($B2192),"m")+1)-EDATE($P2192,DATEDIF($P2192,INT($B2192),"m"))))/$R2192,0)*$R2192),$P2192))))),"")))</f>
      </c>
      <c r="M2192" s="223">
        <f>IF(OR($C2192="",N($L2192)=0,N($B2192)=0),"",IF(IF(MOD($L2192,1)=0,INT($B2192),$B2192)&lt;=$L2192,"Đúng hạn","Trễ hạn"))</f>
      </c>
      <c r="N2192" s="225">
        <f>IF($C2192="","",ROW())</f>
      </c>
      <c r="O2192" s="225">
        <f>IF($I2192="Công việc",MATCH($C2192,'Kế hoạch'!$A$6:$A$305,0),"")</f>
      </c>
      <c r="P2192" s="234">
        <f>IF($O2192="","",INDEX('Kế hoạch'!$I$6:$I$305,$O2192))</f>
      </c>
      <c r="Q2192" s="225">
        <f>IF($O2192="","",INDEX('Kế hoạch'!$AJ$6:$AJ$305,$O2192))</f>
      </c>
      <c r="R2192" s="225">
        <f>IF($O2192="","",INDEX('Kế hoạch'!$AK$6:$AK$305,$O2192))</f>
      </c>
    </row>
    <row r="2193">
      <c r="A2193" s="223">
        <f>IF($C2193="","",COUNTIF($C$6:$C2193,"?*"))</f>
      </c>
      <c r="B2193" s="217"/>
      <c r="C2193" s="216"/>
      <c r="D2193" s="240"/>
      <c r="E2193" s="218"/>
      <c r="F2193" s="218"/>
      <c r="G2193" s="218"/>
      <c r="H2193" s="219"/>
      <c r="I2193" s="223">
        <f>IF($C2193="","",IF(ISNUMBER(MATCH($C2193,'Phản ánh'!$A$6:$A$505,0)),"Phản ánh",IF(ISNUMBER(MATCH($C2193,'Kế hoạch'!$A$6:$A$305,0)),"Công việc","Mã chưa có")))</f>
      </c>
      <c r="J2193" s="221">
        <f>IF($I2193="Phản ánh",INDEX('Phản ánh'!$C$6:$C$505,MATCH($C2193,'Phản ánh'!$A$6:$A$505,0)),IF($I2193="Công việc",INDEX('Kế hoạch'!$C$6:$C$305,$O2193),""))</f>
      </c>
      <c r="K2193" s="221">
        <f>IF($I2193="Phản ánh",INDEX('Phản ánh'!$K$6:$K$505,MATCH($C2193,'Phản ánh'!$A$6:$A$505,0))&amp;"",IF($I2193="Công việc",INDEX('Kế hoạch'!$N$6:$N$305,$O2193)&amp;"",""))</f>
      </c>
      <c r="L2193" s="220">
        <f>IF(OR($C2193="",N($B2193)=0),"",IF(AND($I2193="Phản ánh",$E2193="Đã xử lý"),INDEX('Phản ánh'!$U$6:$U$505,MATCH($C2193,'Phản ánh'!$A$6:$A$505,0)),IF(AND($I2193="Công việc",OR($E2193="Hoàn thành",$E2193="Hoàn thành kỳ")),IF(INDEX('Kế hoạch'!$B$6:$B$305,$O2193)="Đột xuất",INDEX('Kế hoạch'!$AY$6:$AY$305,$O2193),IF(N($P2193)=0,"",IF(INT($B2193)&lt;$P2193,$P2193,IF($Q2193&gt;0,$P2193+ROUND((INT($B2193)-$P2193)/$Q2193,0)*$Q2193,IF($R2193&gt;0,EDATE($P2193,ROUND((DATEDIF($P2193,INT($B2193),"m")+(INT($B2193)-EDATE($P2193,DATEDIF($P2193,INT($B2193),"m")))/(EDATE($P2193,DATEDIF($P2193,INT($B2193),"m")+1)-EDATE($P2193,DATEDIF($P2193,INT($B2193),"m"))))/$R2193,0)*$R2193),$P2193))))),"")))</f>
      </c>
      <c r="M2193" s="223">
        <f>IF(OR($C2193="",N($L2193)=0,N($B2193)=0),"",IF(IF(MOD($L2193,1)=0,INT($B2193),$B2193)&lt;=$L2193,"Đúng hạn","Trễ hạn"))</f>
      </c>
      <c r="N2193" s="225">
        <f>IF($C2193="","",ROW())</f>
      </c>
      <c r="O2193" s="225">
        <f>IF($I2193="Công việc",MATCH($C2193,'Kế hoạch'!$A$6:$A$305,0),"")</f>
      </c>
      <c r="P2193" s="234">
        <f>IF($O2193="","",INDEX('Kế hoạch'!$I$6:$I$305,$O2193))</f>
      </c>
      <c r="Q2193" s="225">
        <f>IF($O2193="","",INDEX('Kế hoạch'!$AJ$6:$AJ$305,$O2193))</f>
      </c>
      <c r="R2193" s="225">
        <f>IF($O2193="","",INDEX('Kế hoạch'!$AK$6:$AK$305,$O2193))</f>
      </c>
    </row>
    <row r="2194">
      <c r="A2194" s="223">
        <f>IF($C2194="","",COUNTIF($C$6:$C2194,"?*"))</f>
      </c>
      <c r="B2194" s="217"/>
      <c r="C2194" s="216"/>
      <c r="D2194" s="240"/>
      <c r="E2194" s="218"/>
      <c r="F2194" s="218"/>
      <c r="G2194" s="218"/>
      <c r="H2194" s="219"/>
      <c r="I2194" s="223">
        <f>IF($C2194="","",IF(ISNUMBER(MATCH($C2194,'Phản ánh'!$A$6:$A$505,0)),"Phản ánh",IF(ISNUMBER(MATCH($C2194,'Kế hoạch'!$A$6:$A$305,0)),"Công việc","Mã chưa có")))</f>
      </c>
      <c r="J2194" s="221">
        <f>IF($I2194="Phản ánh",INDEX('Phản ánh'!$C$6:$C$505,MATCH($C2194,'Phản ánh'!$A$6:$A$505,0)),IF($I2194="Công việc",INDEX('Kế hoạch'!$C$6:$C$305,$O2194),""))</f>
      </c>
      <c r="K2194" s="221">
        <f>IF($I2194="Phản ánh",INDEX('Phản ánh'!$K$6:$K$505,MATCH($C2194,'Phản ánh'!$A$6:$A$505,0))&amp;"",IF($I2194="Công việc",INDEX('Kế hoạch'!$N$6:$N$305,$O2194)&amp;"",""))</f>
      </c>
      <c r="L2194" s="220">
        <f>IF(OR($C2194="",N($B2194)=0),"",IF(AND($I2194="Phản ánh",$E2194="Đã xử lý"),INDEX('Phản ánh'!$U$6:$U$505,MATCH($C2194,'Phản ánh'!$A$6:$A$505,0)),IF(AND($I2194="Công việc",OR($E2194="Hoàn thành",$E2194="Hoàn thành kỳ")),IF(INDEX('Kế hoạch'!$B$6:$B$305,$O2194)="Đột xuất",INDEX('Kế hoạch'!$AY$6:$AY$305,$O2194),IF(N($P2194)=0,"",IF(INT($B2194)&lt;$P2194,$P2194,IF($Q2194&gt;0,$P2194+ROUND((INT($B2194)-$P2194)/$Q2194,0)*$Q2194,IF($R2194&gt;0,EDATE($P2194,ROUND((DATEDIF($P2194,INT($B2194),"m")+(INT($B2194)-EDATE($P2194,DATEDIF($P2194,INT($B2194),"m")))/(EDATE($P2194,DATEDIF($P2194,INT($B2194),"m")+1)-EDATE($P2194,DATEDIF($P2194,INT($B2194),"m"))))/$R2194,0)*$R2194),$P2194))))),"")))</f>
      </c>
      <c r="M2194" s="223">
        <f>IF(OR($C2194="",N($L2194)=0,N($B2194)=0),"",IF(IF(MOD($L2194,1)=0,INT($B2194),$B2194)&lt;=$L2194,"Đúng hạn","Trễ hạn"))</f>
      </c>
      <c r="N2194" s="225">
        <f>IF($C2194="","",ROW())</f>
      </c>
      <c r="O2194" s="225">
        <f>IF($I2194="Công việc",MATCH($C2194,'Kế hoạch'!$A$6:$A$305,0),"")</f>
      </c>
      <c r="P2194" s="234">
        <f>IF($O2194="","",INDEX('Kế hoạch'!$I$6:$I$305,$O2194))</f>
      </c>
      <c r="Q2194" s="225">
        <f>IF($O2194="","",INDEX('Kế hoạch'!$AJ$6:$AJ$305,$O2194))</f>
      </c>
      <c r="R2194" s="225">
        <f>IF($O2194="","",INDEX('Kế hoạch'!$AK$6:$AK$305,$O2194))</f>
      </c>
    </row>
    <row r="2195">
      <c r="A2195" s="223">
        <f>IF($C2195="","",COUNTIF($C$6:$C2195,"?*"))</f>
      </c>
      <c r="B2195" s="217"/>
      <c r="C2195" s="216"/>
      <c r="D2195" s="240"/>
      <c r="E2195" s="218"/>
      <c r="F2195" s="218"/>
      <c r="G2195" s="218"/>
      <c r="H2195" s="219"/>
      <c r="I2195" s="223">
        <f>IF($C2195="","",IF(ISNUMBER(MATCH($C2195,'Phản ánh'!$A$6:$A$505,0)),"Phản ánh",IF(ISNUMBER(MATCH($C2195,'Kế hoạch'!$A$6:$A$305,0)),"Công việc","Mã chưa có")))</f>
      </c>
      <c r="J2195" s="221">
        <f>IF($I2195="Phản ánh",INDEX('Phản ánh'!$C$6:$C$505,MATCH($C2195,'Phản ánh'!$A$6:$A$505,0)),IF($I2195="Công việc",INDEX('Kế hoạch'!$C$6:$C$305,$O2195),""))</f>
      </c>
      <c r="K2195" s="221">
        <f>IF($I2195="Phản ánh",INDEX('Phản ánh'!$K$6:$K$505,MATCH($C2195,'Phản ánh'!$A$6:$A$505,0))&amp;"",IF($I2195="Công việc",INDEX('Kế hoạch'!$N$6:$N$305,$O2195)&amp;"",""))</f>
      </c>
      <c r="L2195" s="220">
        <f>IF(OR($C2195="",N($B2195)=0),"",IF(AND($I2195="Phản ánh",$E2195="Đã xử lý"),INDEX('Phản ánh'!$U$6:$U$505,MATCH($C2195,'Phản ánh'!$A$6:$A$505,0)),IF(AND($I2195="Công việc",OR($E2195="Hoàn thành",$E2195="Hoàn thành kỳ")),IF(INDEX('Kế hoạch'!$B$6:$B$305,$O2195)="Đột xuất",INDEX('Kế hoạch'!$AY$6:$AY$305,$O2195),IF(N($P2195)=0,"",IF(INT($B2195)&lt;$P2195,$P2195,IF($Q2195&gt;0,$P2195+ROUND((INT($B2195)-$P2195)/$Q2195,0)*$Q2195,IF($R2195&gt;0,EDATE($P2195,ROUND((DATEDIF($P2195,INT($B2195),"m")+(INT($B2195)-EDATE($P2195,DATEDIF($P2195,INT($B2195),"m")))/(EDATE($P2195,DATEDIF($P2195,INT($B2195),"m")+1)-EDATE($P2195,DATEDIF($P2195,INT($B2195),"m"))))/$R2195,0)*$R2195),$P2195))))),"")))</f>
      </c>
      <c r="M2195" s="223">
        <f>IF(OR($C2195="",N($L2195)=0,N($B2195)=0),"",IF(IF(MOD($L2195,1)=0,INT($B2195),$B2195)&lt;=$L2195,"Đúng hạn","Trễ hạn"))</f>
      </c>
      <c r="N2195" s="225">
        <f>IF($C2195="","",ROW())</f>
      </c>
      <c r="O2195" s="225">
        <f>IF($I2195="Công việc",MATCH($C2195,'Kế hoạch'!$A$6:$A$305,0),"")</f>
      </c>
      <c r="P2195" s="234">
        <f>IF($O2195="","",INDEX('Kế hoạch'!$I$6:$I$305,$O2195))</f>
      </c>
      <c r="Q2195" s="225">
        <f>IF($O2195="","",INDEX('Kế hoạch'!$AJ$6:$AJ$305,$O2195))</f>
      </c>
      <c r="R2195" s="225">
        <f>IF($O2195="","",INDEX('Kế hoạch'!$AK$6:$AK$305,$O2195))</f>
      </c>
    </row>
    <row r="2196">
      <c r="A2196" s="223">
        <f>IF($C2196="","",COUNTIF($C$6:$C2196,"?*"))</f>
      </c>
      <c r="B2196" s="217"/>
      <c r="C2196" s="216"/>
      <c r="D2196" s="240"/>
      <c r="E2196" s="218"/>
      <c r="F2196" s="218"/>
      <c r="G2196" s="218"/>
      <c r="H2196" s="219"/>
      <c r="I2196" s="223">
        <f>IF($C2196="","",IF(ISNUMBER(MATCH($C2196,'Phản ánh'!$A$6:$A$505,0)),"Phản ánh",IF(ISNUMBER(MATCH($C2196,'Kế hoạch'!$A$6:$A$305,0)),"Công việc","Mã chưa có")))</f>
      </c>
      <c r="J2196" s="221">
        <f>IF($I2196="Phản ánh",INDEX('Phản ánh'!$C$6:$C$505,MATCH($C2196,'Phản ánh'!$A$6:$A$505,0)),IF($I2196="Công việc",INDEX('Kế hoạch'!$C$6:$C$305,$O2196),""))</f>
      </c>
      <c r="K2196" s="221">
        <f>IF($I2196="Phản ánh",INDEX('Phản ánh'!$K$6:$K$505,MATCH($C2196,'Phản ánh'!$A$6:$A$505,0))&amp;"",IF($I2196="Công việc",INDEX('Kế hoạch'!$N$6:$N$305,$O2196)&amp;"",""))</f>
      </c>
      <c r="L2196" s="220">
        <f>IF(OR($C2196="",N($B2196)=0),"",IF(AND($I2196="Phản ánh",$E2196="Đã xử lý"),INDEX('Phản ánh'!$U$6:$U$505,MATCH($C2196,'Phản ánh'!$A$6:$A$505,0)),IF(AND($I2196="Công việc",OR($E2196="Hoàn thành",$E2196="Hoàn thành kỳ")),IF(INDEX('Kế hoạch'!$B$6:$B$305,$O2196)="Đột xuất",INDEX('Kế hoạch'!$AY$6:$AY$305,$O2196),IF(N($P2196)=0,"",IF(INT($B2196)&lt;$P2196,$P2196,IF($Q2196&gt;0,$P2196+ROUND((INT($B2196)-$P2196)/$Q2196,0)*$Q2196,IF($R2196&gt;0,EDATE($P2196,ROUND((DATEDIF($P2196,INT($B2196),"m")+(INT($B2196)-EDATE($P2196,DATEDIF($P2196,INT($B2196),"m")))/(EDATE($P2196,DATEDIF($P2196,INT($B2196),"m")+1)-EDATE($P2196,DATEDIF($P2196,INT($B2196),"m"))))/$R2196,0)*$R2196),$P2196))))),"")))</f>
      </c>
      <c r="M2196" s="223">
        <f>IF(OR($C2196="",N($L2196)=0,N($B2196)=0),"",IF(IF(MOD($L2196,1)=0,INT($B2196),$B2196)&lt;=$L2196,"Đúng hạn","Trễ hạn"))</f>
      </c>
      <c r="N2196" s="225">
        <f>IF($C2196="","",ROW())</f>
      </c>
      <c r="O2196" s="225">
        <f>IF($I2196="Công việc",MATCH($C2196,'Kế hoạch'!$A$6:$A$305,0),"")</f>
      </c>
      <c r="P2196" s="234">
        <f>IF($O2196="","",INDEX('Kế hoạch'!$I$6:$I$305,$O2196))</f>
      </c>
      <c r="Q2196" s="225">
        <f>IF($O2196="","",INDEX('Kế hoạch'!$AJ$6:$AJ$305,$O2196))</f>
      </c>
      <c r="R2196" s="225">
        <f>IF($O2196="","",INDEX('Kế hoạch'!$AK$6:$AK$305,$O2196))</f>
      </c>
    </row>
    <row r="2197">
      <c r="A2197" s="223">
        <f>IF($C2197="","",COUNTIF($C$6:$C2197,"?*"))</f>
      </c>
      <c r="B2197" s="217"/>
      <c r="C2197" s="216"/>
      <c r="D2197" s="240"/>
      <c r="E2197" s="218"/>
      <c r="F2197" s="218"/>
      <c r="G2197" s="218"/>
      <c r="H2197" s="219"/>
      <c r="I2197" s="223">
        <f>IF($C2197="","",IF(ISNUMBER(MATCH($C2197,'Phản ánh'!$A$6:$A$505,0)),"Phản ánh",IF(ISNUMBER(MATCH($C2197,'Kế hoạch'!$A$6:$A$305,0)),"Công việc","Mã chưa có")))</f>
      </c>
      <c r="J2197" s="221">
        <f>IF($I2197="Phản ánh",INDEX('Phản ánh'!$C$6:$C$505,MATCH($C2197,'Phản ánh'!$A$6:$A$505,0)),IF($I2197="Công việc",INDEX('Kế hoạch'!$C$6:$C$305,$O2197),""))</f>
      </c>
      <c r="K2197" s="221">
        <f>IF($I2197="Phản ánh",INDEX('Phản ánh'!$K$6:$K$505,MATCH($C2197,'Phản ánh'!$A$6:$A$505,0))&amp;"",IF($I2197="Công việc",INDEX('Kế hoạch'!$N$6:$N$305,$O2197)&amp;"",""))</f>
      </c>
      <c r="L2197" s="220">
        <f>IF(OR($C2197="",N($B2197)=0),"",IF(AND($I2197="Phản ánh",$E2197="Đã xử lý"),INDEX('Phản ánh'!$U$6:$U$505,MATCH($C2197,'Phản ánh'!$A$6:$A$505,0)),IF(AND($I2197="Công việc",OR($E2197="Hoàn thành",$E2197="Hoàn thành kỳ")),IF(INDEX('Kế hoạch'!$B$6:$B$305,$O2197)="Đột xuất",INDEX('Kế hoạch'!$AY$6:$AY$305,$O2197),IF(N($P2197)=0,"",IF(INT($B2197)&lt;$P2197,$P2197,IF($Q2197&gt;0,$P2197+ROUND((INT($B2197)-$P2197)/$Q2197,0)*$Q2197,IF($R2197&gt;0,EDATE($P2197,ROUND((DATEDIF($P2197,INT($B2197),"m")+(INT($B2197)-EDATE($P2197,DATEDIF($P2197,INT($B2197),"m")))/(EDATE($P2197,DATEDIF($P2197,INT($B2197),"m")+1)-EDATE($P2197,DATEDIF($P2197,INT($B2197),"m"))))/$R2197,0)*$R2197),$P2197))))),"")))</f>
      </c>
      <c r="M2197" s="223">
        <f>IF(OR($C2197="",N($L2197)=0,N($B2197)=0),"",IF(IF(MOD($L2197,1)=0,INT($B2197),$B2197)&lt;=$L2197,"Đúng hạn","Trễ hạn"))</f>
      </c>
      <c r="N2197" s="225">
        <f>IF($C2197="","",ROW())</f>
      </c>
      <c r="O2197" s="225">
        <f>IF($I2197="Công việc",MATCH($C2197,'Kế hoạch'!$A$6:$A$305,0),"")</f>
      </c>
      <c r="P2197" s="234">
        <f>IF($O2197="","",INDEX('Kế hoạch'!$I$6:$I$305,$O2197))</f>
      </c>
      <c r="Q2197" s="225">
        <f>IF($O2197="","",INDEX('Kế hoạch'!$AJ$6:$AJ$305,$O2197))</f>
      </c>
      <c r="R2197" s="225">
        <f>IF($O2197="","",INDEX('Kế hoạch'!$AK$6:$AK$305,$O2197))</f>
      </c>
    </row>
    <row r="2198">
      <c r="A2198" s="223">
        <f>IF($C2198="","",COUNTIF($C$6:$C2198,"?*"))</f>
      </c>
      <c r="B2198" s="217"/>
      <c r="C2198" s="216"/>
      <c r="D2198" s="240"/>
      <c r="E2198" s="218"/>
      <c r="F2198" s="218"/>
      <c r="G2198" s="218"/>
      <c r="H2198" s="219"/>
      <c r="I2198" s="223">
        <f>IF($C2198="","",IF(ISNUMBER(MATCH($C2198,'Phản ánh'!$A$6:$A$505,0)),"Phản ánh",IF(ISNUMBER(MATCH($C2198,'Kế hoạch'!$A$6:$A$305,0)),"Công việc","Mã chưa có")))</f>
      </c>
      <c r="J2198" s="221">
        <f>IF($I2198="Phản ánh",INDEX('Phản ánh'!$C$6:$C$505,MATCH($C2198,'Phản ánh'!$A$6:$A$505,0)),IF($I2198="Công việc",INDEX('Kế hoạch'!$C$6:$C$305,$O2198),""))</f>
      </c>
      <c r="K2198" s="221">
        <f>IF($I2198="Phản ánh",INDEX('Phản ánh'!$K$6:$K$505,MATCH($C2198,'Phản ánh'!$A$6:$A$505,0))&amp;"",IF($I2198="Công việc",INDEX('Kế hoạch'!$N$6:$N$305,$O2198)&amp;"",""))</f>
      </c>
      <c r="L2198" s="220">
        <f>IF(OR($C2198="",N($B2198)=0),"",IF(AND($I2198="Phản ánh",$E2198="Đã xử lý"),INDEX('Phản ánh'!$U$6:$U$505,MATCH($C2198,'Phản ánh'!$A$6:$A$505,0)),IF(AND($I2198="Công việc",OR($E2198="Hoàn thành",$E2198="Hoàn thành kỳ")),IF(INDEX('Kế hoạch'!$B$6:$B$305,$O2198)="Đột xuất",INDEX('Kế hoạch'!$AY$6:$AY$305,$O2198),IF(N($P2198)=0,"",IF(INT($B2198)&lt;$P2198,$P2198,IF($Q2198&gt;0,$P2198+ROUND((INT($B2198)-$P2198)/$Q2198,0)*$Q2198,IF($R2198&gt;0,EDATE($P2198,ROUND((DATEDIF($P2198,INT($B2198),"m")+(INT($B2198)-EDATE($P2198,DATEDIF($P2198,INT($B2198),"m")))/(EDATE($P2198,DATEDIF($P2198,INT($B2198),"m")+1)-EDATE($P2198,DATEDIF($P2198,INT($B2198),"m"))))/$R2198,0)*$R2198),$P2198))))),"")))</f>
      </c>
      <c r="M2198" s="223">
        <f>IF(OR($C2198="",N($L2198)=0,N($B2198)=0),"",IF(IF(MOD($L2198,1)=0,INT($B2198),$B2198)&lt;=$L2198,"Đúng hạn","Trễ hạn"))</f>
      </c>
      <c r="N2198" s="225">
        <f>IF($C2198="","",ROW())</f>
      </c>
      <c r="O2198" s="225">
        <f>IF($I2198="Công việc",MATCH($C2198,'Kế hoạch'!$A$6:$A$305,0),"")</f>
      </c>
      <c r="P2198" s="234">
        <f>IF($O2198="","",INDEX('Kế hoạch'!$I$6:$I$305,$O2198))</f>
      </c>
      <c r="Q2198" s="225">
        <f>IF($O2198="","",INDEX('Kế hoạch'!$AJ$6:$AJ$305,$O2198))</f>
      </c>
      <c r="R2198" s="225">
        <f>IF($O2198="","",INDEX('Kế hoạch'!$AK$6:$AK$305,$O2198))</f>
      </c>
    </row>
    <row r="2199">
      <c r="A2199" s="223">
        <f>IF($C2199="","",COUNTIF($C$6:$C2199,"?*"))</f>
      </c>
      <c r="B2199" s="217"/>
      <c r="C2199" s="216"/>
      <c r="D2199" s="240"/>
      <c r="E2199" s="218"/>
      <c r="F2199" s="218"/>
      <c r="G2199" s="218"/>
      <c r="H2199" s="219"/>
      <c r="I2199" s="223">
        <f>IF($C2199="","",IF(ISNUMBER(MATCH($C2199,'Phản ánh'!$A$6:$A$505,0)),"Phản ánh",IF(ISNUMBER(MATCH($C2199,'Kế hoạch'!$A$6:$A$305,0)),"Công việc","Mã chưa có")))</f>
      </c>
      <c r="J2199" s="221">
        <f>IF($I2199="Phản ánh",INDEX('Phản ánh'!$C$6:$C$505,MATCH($C2199,'Phản ánh'!$A$6:$A$505,0)),IF($I2199="Công việc",INDEX('Kế hoạch'!$C$6:$C$305,$O2199),""))</f>
      </c>
      <c r="K2199" s="221">
        <f>IF($I2199="Phản ánh",INDEX('Phản ánh'!$K$6:$K$505,MATCH($C2199,'Phản ánh'!$A$6:$A$505,0))&amp;"",IF($I2199="Công việc",INDEX('Kế hoạch'!$N$6:$N$305,$O2199)&amp;"",""))</f>
      </c>
      <c r="L2199" s="220">
        <f>IF(OR($C2199="",N($B2199)=0),"",IF(AND($I2199="Phản ánh",$E2199="Đã xử lý"),INDEX('Phản ánh'!$U$6:$U$505,MATCH($C2199,'Phản ánh'!$A$6:$A$505,0)),IF(AND($I2199="Công việc",OR($E2199="Hoàn thành",$E2199="Hoàn thành kỳ")),IF(INDEX('Kế hoạch'!$B$6:$B$305,$O2199)="Đột xuất",INDEX('Kế hoạch'!$AY$6:$AY$305,$O2199),IF(N($P2199)=0,"",IF(INT($B2199)&lt;$P2199,$P2199,IF($Q2199&gt;0,$P2199+ROUND((INT($B2199)-$P2199)/$Q2199,0)*$Q2199,IF($R2199&gt;0,EDATE($P2199,ROUND((DATEDIF($P2199,INT($B2199),"m")+(INT($B2199)-EDATE($P2199,DATEDIF($P2199,INT($B2199),"m")))/(EDATE($P2199,DATEDIF($P2199,INT($B2199),"m")+1)-EDATE($P2199,DATEDIF($P2199,INT($B2199),"m"))))/$R2199,0)*$R2199),$P2199))))),"")))</f>
      </c>
      <c r="M2199" s="223">
        <f>IF(OR($C2199="",N($L2199)=0,N($B2199)=0),"",IF(IF(MOD($L2199,1)=0,INT($B2199),$B2199)&lt;=$L2199,"Đúng hạn","Trễ hạn"))</f>
      </c>
      <c r="N2199" s="225">
        <f>IF($C2199="","",ROW())</f>
      </c>
      <c r="O2199" s="225">
        <f>IF($I2199="Công việc",MATCH($C2199,'Kế hoạch'!$A$6:$A$305,0),"")</f>
      </c>
      <c r="P2199" s="234">
        <f>IF($O2199="","",INDEX('Kế hoạch'!$I$6:$I$305,$O2199))</f>
      </c>
      <c r="Q2199" s="225">
        <f>IF($O2199="","",INDEX('Kế hoạch'!$AJ$6:$AJ$305,$O2199))</f>
      </c>
      <c r="R2199" s="225">
        <f>IF($O2199="","",INDEX('Kế hoạch'!$AK$6:$AK$305,$O2199))</f>
      </c>
    </row>
    <row r="2200">
      <c r="A2200" s="223">
        <f>IF($C2200="","",COUNTIF($C$6:$C2200,"?*"))</f>
      </c>
      <c r="B2200" s="217"/>
      <c r="C2200" s="216"/>
      <c r="D2200" s="240"/>
      <c r="E2200" s="218"/>
      <c r="F2200" s="218"/>
      <c r="G2200" s="218"/>
      <c r="H2200" s="219"/>
      <c r="I2200" s="223">
        <f>IF($C2200="","",IF(ISNUMBER(MATCH($C2200,'Phản ánh'!$A$6:$A$505,0)),"Phản ánh",IF(ISNUMBER(MATCH($C2200,'Kế hoạch'!$A$6:$A$305,0)),"Công việc","Mã chưa có")))</f>
      </c>
      <c r="J2200" s="221">
        <f>IF($I2200="Phản ánh",INDEX('Phản ánh'!$C$6:$C$505,MATCH($C2200,'Phản ánh'!$A$6:$A$505,0)),IF($I2200="Công việc",INDEX('Kế hoạch'!$C$6:$C$305,$O2200),""))</f>
      </c>
      <c r="K2200" s="221">
        <f>IF($I2200="Phản ánh",INDEX('Phản ánh'!$K$6:$K$505,MATCH($C2200,'Phản ánh'!$A$6:$A$505,0))&amp;"",IF($I2200="Công việc",INDEX('Kế hoạch'!$N$6:$N$305,$O2200)&amp;"",""))</f>
      </c>
      <c r="L2200" s="220">
        <f>IF(OR($C2200="",N($B2200)=0),"",IF(AND($I2200="Phản ánh",$E2200="Đã xử lý"),INDEX('Phản ánh'!$U$6:$U$505,MATCH($C2200,'Phản ánh'!$A$6:$A$505,0)),IF(AND($I2200="Công việc",OR($E2200="Hoàn thành",$E2200="Hoàn thành kỳ")),IF(INDEX('Kế hoạch'!$B$6:$B$305,$O2200)="Đột xuất",INDEX('Kế hoạch'!$AY$6:$AY$305,$O2200),IF(N($P2200)=0,"",IF(INT($B2200)&lt;$P2200,$P2200,IF($Q2200&gt;0,$P2200+ROUND((INT($B2200)-$P2200)/$Q2200,0)*$Q2200,IF($R2200&gt;0,EDATE($P2200,ROUND((DATEDIF($P2200,INT($B2200),"m")+(INT($B2200)-EDATE($P2200,DATEDIF($P2200,INT($B2200),"m")))/(EDATE($P2200,DATEDIF($P2200,INT($B2200),"m")+1)-EDATE($P2200,DATEDIF($P2200,INT($B2200),"m"))))/$R2200,0)*$R2200),$P2200))))),"")))</f>
      </c>
      <c r="M2200" s="223">
        <f>IF(OR($C2200="",N($L2200)=0,N($B2200)=0),"",IF(IF(MOD($L2200,1)=0,INT($B2200),$B2200)&lt;=$L2200,"Đúng hạn","Trễ hạn"))</f>
      </c>
      <c r="N2200" s="225">
        <f>IF($C2200="","",ROW())</f>
      </c>
      <c r="O2200" s="225">
        <f>IF($I2200="Công việc",MATCH($C2200,'Kế hoạch'!$A$6:$A$305,0),"")</f>
      </c>
      <c r="P2200" s="234">
        <f>IF($O2200="","",INDEX('Kế hoạch'!$I$6:$I$305,$O2200))</f>
      </c>
      <c r="Q2200" s="225">
        <f>IF($O2200="","",INDEX('Kế hoạch'!$AJ$6:$AJ$305,$O2200))</f>
      </c>
      <c r="R2200" s="225">
        <f>IF($O2200="","",INDEX('Kế hoạch'!$AK$6:$AK$305,$O2200))</f>
      </c>
    </row>
    <row r="2201">
      <c r="A2201" s="223">
        <f>IF($C2201="","",COUNTIF($C$6:$C2201,"?*"))</f>
      </c>
      <c r="B2201" s="217"/>
      <c r="C2201" s="216"/>
      <c r="D2201" s="240"/>
      <c r="E2201" s="218"/>
      <c r="F2201" s="218"/>
      <c r="G2201" s="218"/>
      <c r="H2201" s="219"/>
      <c r="I2201" s="223">
        <f>IF($C2201="","",IF(ISNUMBER(MATCH($C2201,'Phản ánh'!$A$6:$A$505,0)),"Phản ánh",IF(ISNUMBER(MATCH($C2201,'Kế hoạch'!$A$6:$A$305,0)),"Công việc","Mã chưa có")))</f>
      </c>
      <c r="J2201" s="221">
        <f>IF($I2201="Phản ánh",INDEX('Phản ánh'!$C$6:$C$505,MATCH($C2201,'Phản ánh'!$A$6:$A$505,0)),IF($I2201="Công việc",INDEX('Kế hoạch'!$C$6:$C$305,$O2201),""))</f>
      </c>
      <c r="K2201" s="221">
        <f>IF($I2201="Phản ánh",INDEX('Phản ánh'!$K$6:$K$505,MATCH($C2201,'Phản ánh'!$A$6:$A$505,0))&amp;"",IF($I2201="Công việc",INDEX('Kế hoạch'!$N$6:$N$305,$O2201)&amp;"",""))</f>
      </c>
      <c r="L2201" s="220">
        <f>IF(OR($C2201="",N($B2201)=0),"",IF(AND($I2201="Phản ánh",$E2201="Đã xử lý"),INDEX('Phản ánh'!$U$6:$U$505,MATCH($C2201,'Phản ánh'!$A$6:$A$505,0)),IF(AND($I2201="Công việc",OR($E2201="Hoàn thành",$E2201="Hoàn thành kỳ")),IF(INDEX('Kế hoạch'!$B$6:$B$305,$O2201)="Đột xuất",INDEX('Kế hoạch'!$AY$6:$AY$305,$O2201),IF(N($P2201)=0,"",IF(INT($B2201)&lt;$P2201,$P2201,IF($Q2201&gt;0,$P2201+ROUND((INT($B2201)-$P2201)/$Q2201,0)*$Q2201,IF($R2201&gt;0,EDATE($P2201,ROUND((DATEDIF($P2201,INT($B2201),"m")+(INT($B2201)-EDATE($P2201,DATEDIF($P2201,INT($B2201),"m")))/(EDATE($P2201,DATEDIF($P2201,INT($B2201),"m")+1)-EDATE($P2201,DATEDIF($P2201,INT($B2201),"m"))))/$R2201,0)*$R2201),$P2201))))),"")))</f>
      </c>
      <c r="M2201" s="223">
        <f>IF(OR($C2201="",N($L2201)=0,N($B2201)=0),"",IF(IF(MOD($L2201,1)=0,INT($B2201),$B2201)&lt;=$L2201,"Đúng hạn","Trễ hạn"))</f>
      </c>
      <c r="N2201" s="225">
        <f>IF($C2201="","",ROW())</f>
      </c>
      <c r="O2201" s="225">
        <f>IF($I2201="Công việc",MATCH($C2201,'Kế hoạch'!$A$6:$A$305,0),"")</f>
      </c>
      <c r="P2201" s="234">
        <f>IF($O2201="","",INDEX('Kế hoạch'!$I$6:$I$305,$O2201))</f>
      </c>
      <c r="Q2201" s="225">
        <f>IF($O2201="","",INDEX('Kế hoạch'!$AJ$6:$AJ$305,$O2201))</f>
      </c>
      <c r="R2201" s="225">
        <f>IF($O2201="","",INDEX('Kế hoạch'!$AK$6:$AK$305,$O2201))</f>
      </c>
    </row>
    <row r="2202">
      <c r="A2202" s="223">
        <f>IF($C2202="","",COUNTIF($C$6:$C2202,"?*"))</f>
      </c>
      <c r="B2202" s="217"/>
      <c r="C2202" s="216"/>
      <c r="D2202" s="240"/>
      <c r="E2202" s="218"/>
      <c r="F2202" s="218"/>
      <c r="G2202" s="218"/>
      <c r="H2202" s="219"/>
      <c r="I2202" s="223">
        <f>IF($C2202="","",IF(ISNUMBER(MATCH($C2202,'Phản ánh'!$A$6:$A$505,0)),"Phản ánh",IF(ISNUMBER(MATCH($C2202,'Kế hoạch'!$A$6:$A$305,0)),"Công việc","Mã chưa có")))</f>
      </c>
      <c r="J2202" s="221">
        <f>IF($I2202="Phản ánh",INDEX('Phản ánh'!$C$6:$C$505,MATCH($C2202,'Phản ánh'!$A$6:$A$505,0)),IF($I2202="Công việc",INDEX('Kế hoạch'!$C$6:$C$305,$O2202),""))</f>
      </c>
      <c r="K2202" s="221">
        <f>IF($I2202="Phản ánh",INDEX('Phản ánh'!$K$6:$K$505,MATCH($C2202,'Phản ánh'!$A$6:$A$505,0))&amp;"",IF($I2202="Công việc",INDEX('Kế hoạch'!$N$6:$N$305,$O2202)&amp;"",""))</f>
      </c>
      <c r="L2202" s="220">
        <f>IF(OR($C2202="",N($B2202)=0),"",IF(AND($I2202="Phản ánh",$E2202="Đã xử lý"),INDEX('Phản ánh'!$U$6:$U$505,MATCH($C2202,'Phản ánh'!$A$6:$A$505,0)),IF(AND($I2202="Công việc",OR($E2202="Hoàn thành",$E2202="Hoàn thành kỳ")),IF(INDEX('Kế hoạch'!$B$6:$B$305,$O2202)="Đột xuất",INDEX('Kế hoạch'!$AY$6:$AY$305,$O2202),IF(N($P2202)=0,"",IF(INT($B2202)&lt;$P2202,$P2202,IF($Q2202&gt;0,$P2202+ROUND((INT($B2202)-$P2202)/$Q2202,0)*$Q2202,IF($R2202&gt;0,EDATE($P2202,ROUND((DATEDIF($P2202,INT($B2202),"m")+(INT($B2202)-EDATE($P2202,DATEDIF($P2202,INT($B2202),"m")))/(EDATE($P2202,DATEDIF($P2202,INT($B2202),"m")+1)-EDATE($P2202,DATEDIF($P2202,INT($B2202),"m"))))/$R2202,0)*$R2202),$P2202))))),"")))</f>
      </c>
      <c r="M2202" s="223">
        <f>IF(OR($C2202="",N($L2202)=0,N($B2202)=0),"",IF(IF(MOD($L2202,1)=0,INT($B2202),$B2202)&lt;=$L2202,"Đúng hạn","Trễ hạn"))</f>
      </c>
      <c r="N2202" s="225">
        <f>IF($C2202="","",ROW())</f>
      </c>
      <c r="O2202" s="225">
        <f>IF($I2202="Công việc",MATCH($C2202,'Kế hoạch'!$A$6:$A$305,0),"")</f>
      </c>
      <c r="P2202" s="234">
        <f>IF($O2202="","",INDEX('Kế hoạch'!$I$6:$I$305,$O2202))</f>
      </c>
      <c r="Q2202" s="225">
        <f>IF($O2202="","",INDEX('Kế hoạch'!$AJ$6:$AJ$305,$O2202))</f>
      </c>
      <c r="R2202" s="225">
        <f>IF($O2202="","",INDEX('Kế hoạch'!$AK$6:$AK$305,$O2202))</f>
      </c>
    </row>
    <row r="2203">
      <c r="A2203" s="223">
        <f>IF($C2203="","",COUNTIF($C$6:$C2203,"?*"))</f>
      </c>
      <c r="B2203" s="217"/>
      <c r="C2203" s="216"/>
      <c r="D2203" s="240"/>
      <c r="E2203" s="218"/>
      <c r="F2203" s="218"/>
      <c r="G2203" s="218"/>
      <c r="H2203" s="219"/>
      <c r="I2203" s="223">
        <f>IF($C2203="","",IF(ISNUMBER(MATCH($C2203,'Phản ánh'!$A$6:$A$505,0)),"Phản ánh",IF(ISNUMBER(MATCH($C2203,'Kế hoạch'!$A$6:$A$305,0)),"Công việc","Mã chưa có")))</f>
      </c>
      <c r="J2203" s="221">
        <f>IF($I2203="Phản ánh",INDEX('Phản ánh'!$C$6:$C$505,MATCH($C2203,'Phản ánh'!$A$6:$A$505,0)),IF($I2203="Công việc",INDEX('Kế hoạch'!$C$6:$C$305,$O2203),""))</f>
      </c>
      <c r="K2203" s="221">
        <f>IF($I2203="Phản ánh",INDEX('Phản ánh'!$K$6:$K$505,MATCH($C2203,'Phản ánh'!$A$6:$A$505,0))&amp;"",IF($I2203="Công việc",INDEX('Kế hoạch'!$N$6:$N$305,$O2203)&amp;"",""))</f>
      </c>
      <c r="L2203" s="220">
        <f>IF(OR($C2203="",N($B2203)=0),"",IF(AND($I2203="Phản ánh",$E2203="Đã xử lý"),INDEX('Phản ánh'!$U$6:$U$505,MATCH($C2203,'Phản ánh'!$A$6:$A$505,0)),IF(AND($I2203="Công việc",OR($E2203="Hoàn thành",$E2203="Hoàn thành kỳ")),IF(INDEX('Kế hoạch'!$B$6:$B$305,$O2203)="Đột xuất",INDEX('Kế hoạch'!$AY$6:$AY$305,$O2203),IF(N($P2203)=0,"",IF(INT($B2203)&lt;$P2203,$P2203,IF($Q2203&gt;0,$P2203+ROUND((INT($B2203)-$P2203)/$Q2203,0)*$Q2203,IF($R2203&gt;0,EDATE($P2203,ROUND((DATEDIF($P2203,INT($B2203),"m")+(INT($B2203)-EDATE($P2203,DATEDIF($P2203,INT($B2203),"m")))/(EDATE($P2203,DATEDIF($P2203,INT($B2203),"m")+1)-EDATE($P2203,DATEDIF($P2203,INT($B2203),"m"))))/$R2203,0)*$R2203),$P2203))))),"")))</f>
      </c>
      <c r="M2203" s="223">
        <f>IF(OR($C2203="",N($L2203)=0,N($B2203)=0),"",IF(IF(MOD($L2203,1)=0,INT($B2203),$B2203)&lt;=$L2203,"Đúng hạn","Trễ hạn"))</f>
      </c>
      <c r="N2203" s="225">
        <f>IF($C2203="","",ROW())</f>
      </c>
      <c r="O2203" s="225">
        <f>IF($I2203="Công việc",MATCH($C2203,'Kế hoạch'!$A$6:$A$305,0),"")</f>
      </c>
      <c r="P2203" s="234">
        <f>IF($O2203="","",INDEX('Kế hoạch'!$I$6:$I$305,$O2203))</f>
      </c>
      <c r="Q2203" s="225">
        <f>IF($O2203="","",INDEX('Kế hoạch'!$AJ$6:$AJ$305,$O2203))</f>
      </c>
      <c r="R2203" s="225">
        <f>IF($O2203="","",INDEX('Kế hoạch'!$AK$6:$AK$305,$O2203))</f>
      </c>
    </row>
    <row r="2204">
      <c r="A2204" s="223">
        <f>IF($C2204="","",COUNTIF($C$6:$C2204,"?*"))</f>
      </c>
      <c r="B2204" s="217"/>
      <c r="C2204" s="216"/>
      <c r="D2204" s="240"/>
      <c r="E2204" s="218"/>
      <c r="F2204" s="218"/>
      <c r="G2204" s="218"/>
      <c r="H2204" s="219"/>
      <c r="I2204" s="223">
        <f>IF($C2204="","",IF(ISNUMBER(MATCH($C2204,'Phản ánh'!$A$6:$A$505,0)),"Phản ánh",IF(ISNUMBER(MATCH($C2204,'Kế hoạch'!$A$6:$A$305,0)),"Công việc","Mã chưa có")))</f>
      </c>
      <c r="J2204" s="221">
        <f>IF($I2204="Phản ánh",INDEX('Phản ánh'!$C$6:$C$505,MATCH($C2204,'Phản ánh'!$A$6:$A$505,0)),IF($I2204="Công việc",INDEX('Kế hoạch'!$C$6:$C$305,$O2204),""))</f>
      </c>
      <c r="K2204" s="221">
        <f>IF($I2204="Phản ánh",INDEX('Phản ánh'!$K$6:$K$505,MATCH($C2204,'Phản ánh'!$A$6:$A$505,0))&amp;"",IF($I2204="Công việc",INDEX('Kế hoạch'!$N$6:$N$305,$O2204)&amp;"",""))</f>
      </c>
      <c r="L2204" s="220">
        <f>IF(OR($C2204="",N($B2204)=0),"",IF(AND($I2204="Phản ánh",$E2204="Đã xử lý"),INDEX('Phản ánh'!$U$6:$U$505,MATCH($C2204,'Phản ánh'!$A$6:$A$505,0)),IF(AND($I2204="Công việc",OR($E2204="Hoàn thành",$E2204="Hoàn thành kỳ")),IF(INDEX('Kế hoạch'!$B$6:$B$305,$O2204)="Đột xuất",INDEX('Kế hoạch'!$AY$6:$AY$305,$O2204),IF(N($P2204)=0,"",IF(INT($B2204)&lt;$P2204,$P2204,IF($Q2204&gt;0,$P2204+ROUND((INT($B2204)-$P2204)/$Q2204,0)*$Q2204,IF($R2204&gt;0,EDATE($P2204,ROUND((DATEDIF($P2204,INT($B2204),"m")+(INT($B2204)-EDATE($P2204,DATEDIF($P2204,INT($B2204),"m")))/(EDATE($P2204,DATEDIF($P2204,INT($B2204),"m")+1)-EDATE($P2204,DATEDIF($P2204,INT($B2204),"m"))))/$R2204,0)*$R2204),$P2204))))),"")))</f>
      </c>
      <c r="M2204" s="223">
        <f>IF(OR($C2204="",N($L2204)=0,N($B2204)=0),"",IF(IF(MOD($L2204,1)=0,INT($B2204),$B2204)&lt;=$L2204,"Đúng hạn","Trễ hạn"))</f>
      </c>
      <c r="N2204" s="225">
        <f>IF($C2204="","",ROW())</f>
      </c>
      <c r="O2204" s="225">
        <f>IF($I2204="Công việc",MATCH($C2204,'Kế hoạch'!$A$6:$A$305,0),"")</f>
      </c>
      <c r="P2204" s="234">
        <f>IF($O2204="","",INDEX('Kế hoạch'!$I$6:$I$305,$O2204))</f>
      </c>
      <c r="Q2204" s="225">
        <f>IF($O2204="","",INDEX('Kế hoạch'!$AJ$6:$AJ$305,$O2204))</f>
      </c>
      <c r="R2204" s="225">
        <f>IF($O2204="","",INDEX('Kế hoạch'!$AK$6:$AK$305,$O2204))</f>
      </c>
    </row>
    <row r="2205">
      <c r="A2205" s="223">
        <f>IF($C2205="","",COUNTIF($C$6:$C2205,"?*"))</f>
      </c>
      <c r="B2205" s="217"/>
      <c r="C2205" s="216"/>
      <c r="D2205" s="240"/>
      <c r="E2205" s="218"/>
      <c r="F2205" s="218"/>
      <c r="G2205" s="218"/>
      <c r="H2205" s="219"/>
      <c r="I2205" s="223">
        <f>IF($C2205="","",IF(ISNUMBER(MATCH($C2205,'Phản ánh'!$A$6:$A$505,0)),"Phản ánh",IF(ISNUMBER(MATCH($C2205,'Kế hoạch'!$A$6:$A$305,0)),"Công việc","Mã chưa có")))</f>
      </c>
      <c r="J2205" s="221">
        <f>IF($I2205="Phản ánh",INDEX('Phản ánh'!$C$6:$C$505,MATCH($C2205,'Phản ánh'!$A$6:$A$505,0)),IF($I2205="Công việc",INDEX('Kế hoạch'!$C$6:$C$305,$O2205),""))</f>
      </c>
      <c r="K2205" s="221">
        <f>IF($I2205="Phản ánh",INDEX('Phản ánh'!$K$6:$K$505,MATCH($C2205,'Phản ánh'!$A$6:$A$505,0))&amp;"",IF($I2205="Công việc",INDEX('Kế hoạch'!$N$6:$N$305,$O2205)&amp;"",""))</f>
      </c>
      <c r="L2205" s="220">
        <f>IF(OR($C2205="",N($B2205)=0),"",IF(AND($I2205="Phản ánh",$E2205="Đã xử lý"),INDEX('Phản ánh'!$U$6:$U$505,MATCH($C2205,'Phản ánh'!$A$6:$A$505,0)),IF(AND($I2205="Công việc",OR($E2205="Hoàn thành",$E2205="Hoàn thành kỳ")),IF(INDEX('Kế hoạch'!$B$6:$B$305,$O2205)="Đột xuất",INDEX('Kế hoạch'!$AY$6:$AY$305,$O2205),IF(N($P2205)=0,"",IF(INT($B2205)&lt;$P2205,$P2205,IF($Q2205&gt;0,$P2205+ROUND((INT($B2205)-$P2205)/$Q2205,0)*$Q2205,IF($R2205&gt;0,EDATE($P2205,ROUND((DATEDIF($P2205,INT($B2205),"m")+(INT($B2205)-EDATE($P2205,DATEDIF($P2205,INT($B2205),"m")))/(EDATE($P2205,DATEDIF($P2205,INT($B2205),"m")+1)-EDATE($P2205,DATEDIF($P2205,INT($B2205),"m"))))/$R2205,0)*$R2205),$P2205))))),"")))</f>
      </c>
      <c r="M2205" s="223">
        <f>IF(OR($C2205="",N($L2205)=0,N($B2205)=0),"",IF(IF(MOD($L2205,1)=0,INT($B2205),$B2205)&lt;=$L2205,"Đúng hạn","Trễ hạn"))</f>
      </c>
      <c r="N2205" s="225">
        <f>IF($C2205="","",ROW())</f>
      </c>
      <c r="O2205" s="225">
        <f>IF($I2205="Công việc",MATCH($C2205,'Kế hoạch'!$A$6:$A$305,0),"")</f>
      </c>
      <c r="P2205" s="234">
        <f>IF($O2205="","",INDEX('Kế hoạch'!$I$6:$I$305,$O2205))</f>
      </c>
      <c r="Q2205" s="225">
        <f>IF($O2205="","",INDEX('Kế hoạch'!$AJ$6:$AJ$305,$O2205))</f>
      </c>
      <c r="R2205" s="225">
        <f>IF($O2205="","",INDEX('Kế hoạch'!$AK$6:$AK$305,$O2205))</f>
      </c>
    </row>
    <row r="2206">
      <c r="A2206" s="223">
        <f>IF($C2206="","",COUNTIF($C$6:$C2206,"?*"))</f>
      </c>
      <c r="B2206" s="217"/>
      <c r="C2206" s="216"/>
      <c r="D2206" s="240"/>
      <c r="E2206" s="218"/>
      <c r="F2206" s="218"/>
      <c r="G2206" s="218"/>
      <c r="H2206" s="219"/>
      <c r="I2206" s="223">
        <f>IF($C2206="","",IF(ISNUMBER(MATCH($C2206,'Phản ánh'!$A$6:$A$505,0)),"Phản ánh",IF(ISNUMBER(MATCH($C2206,'Kế hoạch'!$A$6:$A$305,0)),"Công việc","Mã chưa có")))</f>
      </c>
      <c r="J2206" s="221">
        <f>IF($I2206="Phản ánh",INDEX('Phản ánh'!$C$6:$C$505,MATCH($C2206,'Phản ánh'!$A$6:$A$505,0)),IF($I2206="Công việc",INDEX('Kế hoạch'!$C$6:$C$305,$O2206),""))</f>
      </c>
      <c r="K2206" s="221">
        <f>IF($I2206="Phản ánh",INDEX('Phản ánh'!$K$6:$K$505,MATCH($C2206,'Phản ánh'!$A$6:$A$505,0))&amp;"",IF($I2206="Công việc",INDEX('Kế hoạch'!$N$6:$N$305,$O2206)&amp;"",""))</f>
      </c>
      <c r="L2206" s="220">
        <f>IF(OR($C2206="",N($B2206)=0),"",IF(AND($I2206="Phản ánh",$E2206="Đã xử lý"),INDEX('Phản ánh'!$U$6:$U$505,MATCH($C2206,'Phản ánh'!$A$6:$A$505,0)),IF(AND($I2206="Công việc",OR($E2206="Hoàn thành",$E2206="Hoàn thành kỳ")),IF(INDEX('Kế hoạch'!$B$6:$B$305,$O2206)="Đột xuất",INDEX('Kế hoạch'!$AY$6:$AY$305,$O2206),IF(N($P2206)=0,"",IF(INT($B2206)&lt;$P2206,$P2206,IF($Q2206&gt;0,$P2206+ROUND((INT($B2206)-$P2206)/$Q2206,0)*$Q2206,IF($R2206&gt;0,EDATE($P2206,ROUND((DATEDIF($P2206,INT($B2206),"m")+(INT($B2206)-EDATE($P2206,DATEDIF($P2206,INT($B2206),"m")))/(EDATE($P2206,DATEDIF($P2206,INT($B2206),"m")+1)-EDATE($P2206,DATEDIF($P2206,INT($B2206),"m"))))/$R2206,0)*$R2206),$P2206))))),"")))</f>
      </c>
      <c r="M2206" s="223">
        <f>IF(OR($C2206="",N($L2206)=0,N($B2206)=0),"",IF(IF(MOD($L2206,1)=0,INT($B2206),$B2206)&lt;=$L2206,"Đúng hạn","Trễ hạn"))</f>
      </c>
      <c r="N2206" s="225">
        <f>IF($C2206="","",ROW())</f>
      </c>
      <c r="O2206" s="225">
        <f>IF($I2206="Công việc",MATCH($C2206,'Kế hoạch'!$A$6:$A$305,0),"")</f>
      </c>
      <c r="P2206" s="234">
        <f>IF($O2206="","",INDEX('Kế hoạch'!$I$6:$I$305,$O2206))</f>
      </c>
      <c r="Q2206" s="225">
        <f>IF($O2206="","",INDEX('Kế hoạch'!$AJ$6:$AJ$305,$O2206))</f>
      </c>
      <c r="R2206" s="225">
        <f>IF($O2206="","",INDEX('Kế hoạch'!$AK$6:$AK$305,$O2206))</f>
      </c>
    </row>
    <row r="2207">
      <c r="A2207" s="223">
        <f>IF($C2207="","",COUNTIF($C$6:$C2207,"?*"))</f>
      </c>
      <c r="B2207" s="217"/>
      <c r="C2207" s="216"/>
      <c r="D2207" s="240"/>
      <c r="E2207" s="218"/>
      <c r="F2207" s="218"/>
      <c r="G2207" s="218"/>
      <c r="H2207" s="219"/>
      <c r="I2207" s="223">
        <f>IF($C2207="","",IF(ISNUMBER(MATCH($C2207,'Phản ánh'!$A$6:$A$505,0)),"Phản ánh",IF(ISNUMBER(MATCH($C2207,'Kế hoạch'!$A$6:$A$305,0)),"Công việc","Mã chưa có")))</f>
      </c>
      <c r="J2207" s="221">
        <f>IF($I2207="Phản ánh",INDEX('Phản ánh'!$C$6:$C$505,MATCH($C2207,'Phản ánh'!$A$6:$A$505,0)),IF($I2207="Công việc",INDEX('Kế hoạch'!$C$6:$C$305,$O2207),""))</f>
      </c>
      <c r="K2207" s="221">
        <f>IF($I2207="Phản ánh",INDEX('Phản ánh'!$K$6:$K$505,MATCH($C2207,'Phản ánh'!$A$6:$A$505,0))&amp;"",IF($I2207="Công việc",INDEX('Kế hoạch'!$N$6:$N$305,$O2207)&amp;"",""))</f>
      </c>
      <c r="L2207" s="220">
        <f>IF(OR($C2207="",N($B2207)=0),"",IF(AND($I2207="Phản ánh",$E2207="Đã xử lý"),INDEX('Phản ánh'!$U$6:$U$505,MATCH($C2207,'Phản ánh'!$A$6:$A$505,0)),IF(AND($I2207="Công việc",OR($E2207="Hoàn thành",$E2207="Hoàn thành kỳ")),IF(INDEX('Kế hoạch'!$B$6:$B$305,$O2207)="Đột xuất",INDEX('Kế hoạch'!$AY$6:$AY$305,$O2207),IF(N($P2207)=0,"",IF(INT($B2207)&lt;$P2207,$P2207,IF($Q2207&gt;0,$P2207+ROUND((INT($B2207)-$P2207)/$Q2207,0)*$Q2207,IF($R2207&gt;0,EDATE($P2207,ROUND((DATEDIF($P2207,INT($B2207),"m")+(INT($B2207)-EDATE($P2207,DATEDIF($P2207,INT($B2207),"m")))/(EDATE($P2207,DATEDIF($P2207,INT($B2207),"m")+1)-EDATE($P2207,DATEDIF($P2207,INT($B2207),"m"))))/$R2207,0)*$R2207),$P2207))))),"")))</f>
      </c>
      <c r="M2207" s="223">
        <f>IF(OR($C2207="",N($L2207)=0,N($B2207)=0),"",IF(IF(MOD($L2207,1)=0,INT($B2207),$B2207)&lt;=$L2207,"Đúng hạn","Trễ hạn"))</f>
      </c>
      <c r="N2207" s="225">
        <f>IF($C2207="","",ROW())</f>
      </c>
      <c r="O2207" s="225">
        <f>IF($I2207="Công việc",MATCH($C2207,'Kế hoạch'!$A$6:$A$305,0),"")</f>
      </c>
      <c r="P2207" s="234">
        <f>IF($O2207="","",INDEX('Kế hoạch'!$I$6:$I$305,$O2207))</f>
      </c>
      <c r="Q2207" s="225">
        <f>IF($O2207="","",INDEX('Kế hoạch'!$AJ$6:$AJ$305,$O2207))</f>
      </c>
      <c r="R2207" s="225">
        <f>IF($O2207="","",INDEX('Kế hoạch'!$AK$6:$AK$305,$O2207))</f>
      </c>
    </row>
    <row r="2208">
      <c r="A2208" s="223">
        <f>IF($C2208="","",COUNTIF($C$6:$C2208,"?*"))</f>
      </c>
      <c r="B2208" s="217"/>
      <c r="C2208" s="216"/>
      <c r="D2208" s="240"/>
      <c r="E2208" s="218"/>
      <c r="F2208" s="218"/>
      <c r="G2208" s="218"/>
      <c r="H2208" s="219"/>
      <c r="I2208" s="223">
        <f>IF($C2208="","",IF(ISNUMBER(MATCH($C2208,'Phản ánh'!$A$6:$A$505,0)),"Phản ánh",IF(ISNUMBER(MATCH($C2208,'Kế hoạch'!$A$6:$A$305,0)),"Công việc","Mã chưa có")))</f>
      </c>
      <c r="J2208" s="221">
        <f>IF($I2208="Phản ánh",INDEX('Phản ánh'!$C$6:$C$505,MATCH($C2208,'Phản ánh'!$A$6:$A$505,0)),IF($I2208="Công việc",INDEX('Kế hoạch'!$C$6:$C$305,$O2208),""))</f>
      </c>
      <c r="K2208" s="221">
        <f>IF($I2208="Phản ánh",INDEX('Phản ánh'!$K$6:$K$505,MATCH($C2208,'Phản ánh'!$A$6:$A$505,0))&amp;"",IF($I2208="Công việc",INDEX('Kế hoạch'!$N$6:$N$305,$O2208)&amp;"",""))</f>
      </c>
      <c r="L2208" s="220">
        <f>IF(OR($C2208="",N($B2208)=0),"",IF(AND($I2208="Phản ánh",$E2208="Đã xử lý"),INDEX('Phản ánh'!$U$6:$U$505,MATCH($C2208,'Phản ánh'!$A$6:$A$505,0)),IF(AND($I2208="Công việc",OR($E2208="Hoàn thành",$E2208="Hoàn thành kỳ")),IF(INDEX('Kế hoạch'!$B$6:$B$305,$O2208)="Đột xuất",INDEX('Kế hoạch'!$AY$6:$AY$305,$O2208),IF(N($P2208)=0,"",IF(INT($B2208)&lt;$P2208,$P2208,IF($Q2208&gt;0,$P2208+ROUND((INT($B2208)-$P2208)/$Q2208,0)*$Q2208,IF($R2208&gt;0,EDATE($P2208,ROUND((DATEDIF($P2208,INT($B2208),"m")+(INT($B2208)-EDATE($P2208,DATEDIF($P2208,INT($B2208),"m")))/(EDATE($P2208,DATEDIF($P2208,INT($B2208),"m")+1)-EDATE($P2208,DATEDIF($P2208,INT($B2208),"m"))))/$R2208,0)*$R2208),$P2208))))),"")))</f>
      </c>
      <c r="M2208" s="223">
        <f>IF(OR($C2208="",N($L2208)=0,N($B2208)=0),"",IF(IF(MOD($L2208,1)=0,INT($B2208),$B2208)&lt;=$L2208,"Đúng hạn","Trễ hạn"))</f>
      </c>
      <c r="N2208" s="225">
        <f>IF($C2208="","",ROW())</f>
      </c>
      <c r="O2208" s="225">
        <f>IF($I2208="Công việc",MATCH($C2208,'Kế hoạch'!$A$6:$A$305,0),"")</f>
      </c>
      <c r="P2208" s="234">
        <f>IF($O2208="","",INDEX('Kế hoạch'!$I$6:$I$305,$O2208))</f>
      </c>
      <c r="Q2208" s="225">
        <f>IF($O2208="","",INDEX('Kế hoạch'!$AJ$6:$AJ$305,$O2208))</f>
      </c>
      <c r="R2208" s="225">
        <f>IF($O2208="","",INDEX('Kế hoạch'!$AK$6:$AK$305,$O2208))</f>
      </c>
    </row>
    <row r="2209">
      <c r="A2209" s="223">
        <f>IF($C2209="","",COUNTIF($C$6:$C2209,"?*"))</f>
      </c>
      <c r="B2209" s="217"/>
      <c r="C2209" s="216"/>
      <c r="D2209" s="240"/>
      <c r="E2209" s="218"/>
      <c r="F2209" s="218"/>
      <c r="G2209" s="218"/>
      <c r="H2209" s="219"/>
      <c r="I2209" s="223">
        <f>IF($C2209="","",IF(ISNUMBER(MATCH($C2209,'Phản ánh'!$A$6:$A$505,0)),"Phản ánh",IF(ISNUMBER(MATCH($C2209,'Kế hoạch'!$A$6:$A$305,0)),"Công việc","Mã chưa có")))</f>
      </c>
      <c r="J2209" s="221">
        <f>IF($I2209="Phản ánh",INDEX('Phản ánh'!$C$6:$C$505,MATCH($C2209,'Phản ánh'!$A$6:$A$505,0)),IF($I2209="Công việc",INDEX('Kế hoạch'!$C$6:$C$305,$O2209),""))</f>
      </c>
      <c r="K2209" s="221">
        <f>IF($I2209="Phản ánh",INDEX('Phản ánh'!$K$6:$K$505,MATCH($C2209,'Phản ánh'!$A$6:$A$505,0))&amp;"",IF($I2209="Công việc",INDEX('Kế hoạch'!$N$6:$N$305,$O2209)&amp;"",""))</f>
      </c>
      <c r="L2209" s="220">
        <f>IF(OR($C2209="",N($B2209)=0),"",IF(AND($I2209="Phản ánh",$E2209="Đã xử lý"),INDEX('Phản ánh'!$U$6:$U$505,MATCH($C2209,'Phản ánh'!$A$6:$A$505,0)),IF(AND($I2209="Công việc",OR($E2209="Hoàn thành",$E2209="Hoàn thành kỳ")),IF(INDEX('Kế hoạch'!$B$6:$B$305,$O2209)="Đột xuất",INDEX('Kế hoạch'!$AY$6:$AY$305,$O2209),IF(N($P2209)=0,"",IF(INT($B2209)&lt;$P2209,$P2209,IF($Q2209&gt;0,$P2209+ROUND((INT($B2209)-$P2209)/$Q2209,0)*$Q2209,IF($R2209&gt;0,EDATE($P2209,ROUND((DATEDIF($P2209,INT($B2209),"m")+(INT($B2209)-EDATE($P2209,DATEDIF($P2209,INT($B2209),"m")))/(EDATE($P2209,DATEDIF($P2209,INT($B2209),"m")+1)-EDATE($P2209,DATEDIF($P2209,INT($B2209),"m"))))/$R2209,0)*$R2209),$P2209))))),"")))</f>
      </c>
      <c r="M2209" s="223">
        <f>IF(OR($C2209="",N($L2209)=0,N($B2209)=0),"",IF(IF(MOD($L2209,1)=0,INT($B2209),$B2209)&lt;=$L2209,"Đúng hạn","Trễ hạn"))</f>
      </c>
      <c r="N2209" s="225">
        <f>IF($C2209="","",ROW())</f>
      </c>
      <c r="O2209" s="225">
        <f>IF($I2209="Công việc",MATCH($C2209,'Kế hoạch'!$A$6:$A$305,0),"")</f>
      </c>
      <c r="P2209" s="234">
        <f>IF($O2209="","",INDEX('Kế hoạch'!$I$6:$I$305,$O2209))</f>
      </c>
      <c r="Q2209" s="225">
        <f>IF($O2209="","",INDEX('Kế hoạch'!$AJ$6:$AJ$305,$O2209))</f>
      </c>
      <c r="R2209" s="225">
        <f>IF($O2209="","",INDEX('Kế hoạch'!$AK$6:$AK$305,$O2209))</f>
      </c>
    </row>
    <row r="2210">
      <c r="A2210" s="223">
        <f>IF($C2210="","",COUNTIF($C$6:$C2210,"?*"))</f>
      </c>
      <c r="B2210" s="217"/>
      <c r="C2210" s="216"/>
      <c r="D2210" s="240"/>
      <c r="E2210" s="218"/>
      <c r="F2210" s="218"/>
      <c r="G2210" s="218"/>
      <c r="H2210" s="219"/>
      <c r="I2210" s="223">
        <f>IF($C2210="","",IF(ISNUMBER(MATCH($C2210,'Phản ánh'!$A$6:$A$505,0)),"Phản ánh",IF(ISNUMBER(MATCH($C2210,'Kế hoạch'!$A$6:$A$305,0)),"Công việc","Mã chưa có")))</f>
      </c>
      <c r="J2210" s="221">
        <f>IF($I2210="Phản ánh",INDEX('Phản ánh'!$C$6:$C$505,MATCH($C2210,'Phản ánh'!$A$6:$A$505,0)),IF($I2210="Công việc",INDEX('Kế hoạch'!$C$6:$C$305,$O2210),""))</f>
      </c>
      <c r="K2210" s="221">
        <f>IF($I2210="Phản ánh",INDEX('Phản ánh'!$K$6:$K$505,MATCH($C2210,'Phản ánh'!$A$6:$A$505,0))&amp;"",IF($I2210="Công việc",INDEX('Kế hoạch'!$N$6:$N$305,$O2210)&amp;"",""))</f>
      </c>
      <c r="L2210" s="220">
        <f>IF(OR($C2210="",N($B2210)=0),"",IF(AND($I2210="Phản ánh",$E2210="Đã xử lý"),INDEX('Phản ánh'!$U$6:$U$505,MATCH($C2210,'Phản ánh'!$A$6:$A$505,0)),IF(AND($I2210="Công việc",OR($E2210="Hoàn thành",$E2210="Hoàn thành kỳ")),IF(INDEX('Kế hoạch'!$B$6:$B$305,$O2210)="Đột xuất",INDEX('Kế hoạch'!$AY$6:$AY$305,$O2210),IF(N($P2210)=0,"",IF(INT($B2210)&lt;$P2210,$P2210,IF($Q2210&gt;0,$P2210+ROUND((INT($B2210)-$P2210)/$Q2210,0)*$Q2210,IF($R2210&gt;0,EDATE($P2210,ROUND((DATEDIF($P2210,INT($B2210),"m")+(INT($B2210)-EDATE($P2210,DATEDIF($P2210,INT($B2210),"m")))/(EDATE($P2210,DATEDIF($P2210,INT($B2210),"m")+1)-EDATE($P2210,DATEDIF($P2210,INT($B2210),"m"))))/$R2210,0)*$R2210),$P2210))))),"")))</f>
      </c>
      <c r="M2210" s="223">
        <f>IF(OR($C2210="",N($L2210)=0,N($B2210)=0),"",IF(IF(MOD($L2210,1)=0,INT($B2210),$B2210)&lt;=$L2210,"Đúng hạn","Trễ hạn"))</f>
      </c>
      <c r="N2210" s="225">
        <f>IF($C2210="","",ROW())</f>
      </c>
      <c r="O2210" s="225">
        <f>IF($I2210="Công việc",MATCH($C2210,'Kế hoạch'!$A$6:$A$305,0),"")</f>
      </c>
      <c r="P2210" s="234">
        <f>IF($O2210="","",INDEX('Kế hoạch'!$I$6:$I$305,$O2210))</f>
      </c>
      <c r="Q2210" s="225">
        <f>IF($O2210="","",INDEX('Kế hoạch'!$AJ$6:$AJ$305,$O2210))</f>
      </c>
      <c r="R2210" s="225">
        <f>IF($O2210="","",INDEX('Kế hoạch'!$AK$6:$AK$305,$O2210))</f>
      </c>
    </row>
    <row r="2211">
      <c r="A2211" s="223">
        <f>IF($C2211="","",COUNTIF($C$6:$C2211,"?*"))</f>
      </c>
      <c r="B2211" s="217"/>
      <c r="C2211" s="216"/>
      <c r="D2211" s="240"/>
      <c r="E2211" s="218"/>
      <c r="F2211" s="218"/>
      <c r="G2211" s="218"/>
      <c r="H2211" s="219"/>
      <c r="I2211" s="223">
        <f>IF($C2211="","",IF(ISNUMBER(MATCH($C2211,'Phản ánh'!$A$6:$A$505,0)),"Phản ánh",IF(ISNUMBER(MATCH($C2211,'Kế hoạch'!$A$6:$A$305,0)),"Công việc","Mã chưa có")))</f>
      </c>
      <c r="J2211" s="221">
        <f>IF($I2211="Phản ánh",INDEX('Phản ánh'!$C$6:$C$505,MATCH($C2211,'Phản ánh'!$A$6:$A$505,0)),IF($I2211="Công việc",INDEX('Kế hoạch'!$C$6:$C$305,$O2211),""))</f>
      </c>
      <c r="K2211" s="221">
        <f>IF($I2211="Phản ánh",INDEX('Phản ánh'!$K$6:$K$505,MATCH($C2211,'Phản ánh'!$A$6:$A$505,0))&amp;"",IF($I2211="Công việc",INDEX('Kế hoạch'!$N$6:$N$305,$O2211)&amp;"",""))</f>
      </c>
      <c r="L2211" s="220">
        <f>IF(OR($C2211="",N($B2211)=0),"",IF(AND($I2211="Phản ánh",$E2211="Đã xử lý"),INDEX('Phản ánh'!$U$6:$U$505,MATCH($C2211,'Phản ánh'!$A$6:$A$505,0)),IF(AND($I2211="Công việc",OR($E2211="Hoàn thành",$E2211="Hoàn thành kỳ")),IF(INDEX('Kế hoạch'!$B$6:$B$305,$O2211)="Đột xuất",INDEX('Kế hoạch'!$AY$6:$AY$305,$O2211),IF(N($P2211)=0,"",IF(INT($B2211)&lt;$P2211,$P2211,IF($Q2211&gt;0,$P2211+ROUND((INT($B2211)-$P2211)/$Q2211,0)*$Q2211,IF($R2211&gt;0,EDATE($P2211,ROUND((DATEDIF($P2211,INT($B2211),"m")+(INT($B2211)-EDATE($P2211,DATEDIF($P2211,INT($B2211),"m")))/(EDATE($P2211,DATEDIF($P2211,INT($B2211),"m")+1)-EDATE($P2211,DATEDIF($P2211,INT($B2211),"m"))))/$R2211,0)*$R2211),$P2211))))),"")))</f>
      </c>
      <c r="M2211" s="223">
        <f>IF(OR($C2211="",N($L2211)=0,N($B2211)=0),"",IF(IF(MOD($L2211,1)=0,INT($B2211),$B2211)&lt;=$L2211,"Đúng hạn","Trễ hạn"))</f>
      </c>
      <c r="N2211" s="225">
        <f>IF($C2211="","",ROW())</f>
      </c>
      <c r="O2211" s="225">
        <f>IF($I2211="Công việc",MATCH($C2211,'Kế hoạch'!$A$6:$A$305,0),"")</f>
      </c>
      <c r="P2211" s="234">
        <f>IF($O2211="","",INDEX('Kế hoạch'!$I$6:$I$305,$O2211))</f>
      </c>
      <c r="Q2211" s="225">
        <f>IF($O2211="","",INDEX('Kế hoạch'!$AJ$6:$AJ$305,$O2211))</f>
      </c>
      <c r="R2211" s="225">
        <f>IF($O2211="","",INDEX('Kế hoạch'!$AK$6:$AK$305,$O2211))</f>
      </c>
    </row>
    <row r="2212">
      <c r="A2212" s="223">
        <f>IF($C2212="","",COUNTIF($C$6:$C2212,"?*"))</f>
      </c>
      <c r="B2212" s="217"/>
      <c r="C2212" s="216"/>
      <c r="D2212" s="240"/>
      <c r="E2212" s="218"/>
      <c r="F2212" s="218"/>
      <c r="G2212" s="218"/>
      <c r="H2212" s="219"/>
      <c r="I2212" s="223">
        <f>IF($C2212="","",IF(ISNUMBER(MATCH($C2212,'Phản ánh'!$A$6:$A$505,0)),"Phản ánh",IF(ISNUMBER(MATCH($C2212,'Kế hoạch'!$A$6:$A$305,0)),"Công việc","Mã chưa có")))</f>
      </c>
      <c r="J2212" s="221">
        <f>IF($I2212="Phản ánh",INDEX('Phản ánh'!$C$6:$C$505,MATCH($C2212,'Phản ánh'!$A$6:$A$505,0)),IF($I2212="Công việc",INDEX('Kế hoạch'!$C$6:$C$305,$O2212),""))</f>
      </c>
      <c r="K2212" s="221">
        <f>IF($I2212="Phản ánh",INDEX('Phản ánh'!$K$6:$K$505,MATCH($C2212,'Phản ánh'!$A$6:$A$505,0))&amp;"",IF($I2212="Công việc",INDEX('Kế hoạch'!$N$6:$N$305,$O2212)&amp;"",""))</f>
      </c>
      <c r="L2212" s="220">
        <f>IF(OR($C2212="",N($B2212)=0),"",IF(AND($I2212="Phản ánh",$E2212="Đã xử lý"),INDEX('Phản ánh'!$U$6:$U$505,MATCH($C2212,'Phản ánh'!$A$6:$A$505,0)),IF(AND($I2212="Công việc",OR($E2212="Hoàn thành",$E2212="Hoàn thành kỳ")),IF(INDEX('Kế hoạch'!$B$6:$B$305,$O2212)="Đột xuất",INDEX('Kế hoạch'!$AY$6:$AY$305,$O2212),IF(N($P2212)=0,"",IF(INT($B2212)&lt;$P2212,$P2212,IF($Q2212&gt;0,$P2212+ROUND((INT($B2212)-$P2212)/$Q2212,0)*$Q2212,IF($R2212&gt;0,EDATE($P2212,ROUND((DATEDIF($P2212,INT($B2212),"m")+(INT($B2212)-EDATE($P2212,DATEDIF($P2212,INT($B2212),"m")))/(EDATE($P2212,DATEDIF($P2212,INT($B2212),"m")+1)-EDATE($P2212,DATEDIF($P2212,INT($B2212),"m"))))/$R2212,0)*$R2212),$P2212))))),"")))</f>
      </c>
      <c r="M2212" s="223">
        <f>IF(OR($C2212="",N($L2212)=0,N($B2212)=0),"",IF(IF(MOD($L2212,1)=0,INT($B2212),$B2212)&lt;=$L2212,"Đúng hạn","Trễ hạn"))</f>
      </c>
      <c r="N2212" s="225">
        <f>IF($C2212="","",ROW())</f>
      </c>
      <c r="O2212" s="225">
        <f>IF($I2212="Công việc",MATCH($C2212,'Kế hoạch'!$A$6:$A$305,0),"")</f>
      </c>
      <c r="P2212" s="234">
        <f>IF($O2212="","",INDEX('Kế hoạch'!$I$6:$I$305,$O2212))</f>
      </c>
      <c r="Q2212" s="225">
        <f>IF($O2212="","",INDEX('Kế hoạch'!$AJ$6:$AJ$305,$O2212))</f>
      </c>
      <c r="R2212" s="225">
        <f>IF($O2212="","",INDEX('Kế hoạch'!$AK$6:$AK$305,$O2212))</f>
      </c>
    </row>
    <row r="2213">
      <c r="A2213" s="223">
        <f>IF($C2213="","",COUNTIF($C$6:$C2213,"?*"))</f>
      </c>
      <c r="B2213" s="217"/>
      <c r="C2213" s="216"/>
      <c r="D2213" s="240"/>
      <c r="E2213" s="218"/>
      <c r="F2213" s="218"/>
      <c r="G2213" s="218"/>
      <c r="H2213" s="219"/>
      <c r="I2213" s="223">
        <f>IF($C2213="","",IF(ISNUMBER(MATCH($C2213,'Phản ánh'!$A$6:$A$505,0)),"Phản ánh",IF(ISNUMBER(MATCH($C2213,'Kế hoạch'!$A$6:$A$305,0)),"Công việc","Mã chưa có")))</f>
      </c>
      <c r="J2213" s="221">
        <f>IF($I2213="Phản ánh",INDEX('Phản ánh'!$C$6:$C$505,MATCH($C2213,'Phản ánh'!$A$6:$A$505,0)),IF($I2213="Công việc",INDEX('Kế hoạch'!$C$6:$C$305,$O2213),""))</f>
      </c>
      <c r="K2213" s="221">
        <f>IF($I2213="Phản ánh",INDEX('Phản ánh'!$K$6:$K$505,MATCH($C2213,'Phản ánh'!$A$6:$A$505,0))&amp;"",IF($I2213="Công việc",INDEX('Kế hoạch'!$N$6:$N$305,$O2213)&amp;"",""))</f>
      </c>
      <c r="L2213" s="220">
        <f>IF(OR($C2213="",N($B2213)=0),"",IF(AND($I2213="Phản ánh",$E2213="Đã xử lý"),INDEX('Phản ánh'!$U$6:$U$505,MATCH($C2213,'Phản ánh'!$A$6:$A$505,0)),IF(AND($I2213="Công việc",OR($E2213="Hoàn thành",$E2213="Hoàn thành kỳ")),IF(INDEX('Kế hoạch'!$B$6:$B$305,$O2213)="Đột xuất",INDEX('Kế hoạch'!$AY$6:$AY$305,$O2213),IF(N($P2213)=0,"",IF(INT($B2213)&lt;$P2213,$P2213,IF($Q2213&gt;0,$P2213+ROUND((INT($B2213)-$P2213)/$Q2213,0)*$Q2213,IF($R2213&gt;0,EDATE($P2213,ROUND((DATEDIF($P2213,INT($B2213),"m")+(INT($B2213)-EDATE($P2213,DATEDIF($P2213,INT($B2213),"m")))/(EDATE($P2213,DATEDIF($P2213,INT($B2213),"m")+1)-EDATE($P2213,DATEDIF($P2213,INT($B2213),"m"))))/$R2213,0)*$R2213),$P2213))))),"")))</f>
      </c>
      <c r="M2213" s="223">
        <f>IF(OR($C2213="",N($L2213)=0,N($B2213)=0),"",IF(IF(MOD($L2213,1)=0,INT($B2213),$B2213)&lt;=$L2213,"Đúng hạn","Trễ hạn"))</f>
      </c>
      <c r="N2213" s="225">
        <f>IF($C2213="","",ROW())</f>
      </c>
      <c r="O2213" s="225">
        <f>IF($I2213="Công việc",MATCH($C2213,'Kế hoạch'!$A$6:$A$305,0),"")</f>
      </c>
      <c r="P2213" s="234">
        <f>IF($O2213="","",INDEX('Kế hoạch'!$I$6:$I$305,$O2213))</f>
      </c>
      <c r="Q2213" s="225">
        <f>IF($O2213="","",INDEX('Kế hoạch'!$AJ$6:$AJ$305,$O2213))</f>
      </c>
      <c r="R2213" s="225">
        <f>IF($O2213="","",INDEX('Kế hoạch'!$AK$6:$AK$305,$O2213))</f>
      </c>
    </row>
    <row r="2214">
      <c r="A2214" s="223">
        <f>IF($C2214="","",COUNTIF($C$6:$C2214,"?*"))</f>
      </c>
      <c r="B2214" s="217"/>
      <c r="C2214" s="216"/>
      <c r="D2214" s="240"/>
      <c r="E2214" s="218"/>
      <c r="F2214" s="218"/>
      <c r="G2214" s="218"/>
      <c r="H2214" s="219"/>
      <c r="I2214" s="223">
        <f>IF($C2214="","",IF(ISNUMBER(MATCH($C2214,'Phản ánh'!$A$6:$A$505,0)),"Phản ánh",IF(ISNUMBER(MATCH($C2214,'Kế hoạch'!$A$6:$A$305,0)),"Công việc","Mã chưa có")))</f>
      </c>
      <c r="J2214" s="221">
        <f>IF($I2214="Phản ánh",INDEX('Phản ánh'!$C$6:$C$505,MATCH($C2214,'Phản ánh'!$A$6:$A$505,0)),IF($I2214="Công việc",INDEX('Kế hoạch'!$C$6:$C$305,$O2214),""))</f>
      </c>
      <c r="K2214" s="221">
        <f>IF($I2214="Phản ánh",INDEX('Phản ánh'!$K$6:$K$505,MATCH($C2214,'Phản ánh'!$A$6:$A$505,0))&amp;"",IF($I2214="Công việc",INDEX('Kế hoạch'!$N$6:$N$305,$O2214)&amp;"",""))</f>
      </c>
      <c r="L2214" s="220">
        <f>IF(OR($C2214="",N($B2214)=0),"",IF(AND($I2214="Phản ánh",$E2214="Đã xử lý"),INDEX('Phản ánh'!$U$6:$U$505,MATCH($C2214,'Phản ánh'!$A$6:$A$505,0)),IF(AND($I2214="Công việc",OR($E2214="Hoàn thành",$E2214="Hoàn thành kỳ")),IF(INDEX('Kế hoạch'!$B$6:$B$305,$O2214)="Đột xuất",INDEX('Kế hoạch'!$AY$6:$AY$305,$O2214),IF(N($P2214)=0,"",IF(INT($B2214)&lt;$P2214,$P2214,IF($Q2214&gt;0,$P2214+ROUND((INT($B2214)-$P2214)/$Q2214,0)*$Q2214,IF($R2214&gt;0,EDATE($P2214,ROUND((DATEDIF($P2214,INT($B2214),"m")+(INT($B2214)-EDATE($P2214,DATEDIF($P2214,INT($B2214),"m")))/(EDATE($P2214,DATEDIF($P2214,INT($B2214),"m")+1)-EDATE($P2214,DATEDIF($P2214,INT($B2214),"m"))))/$R2214,0)*$R2214),$P2214))))),"")))</f>
      </c>
      <c r="M2214" s="223">
        <f>IF(OR($C2214="",N($L2214)=0,N($B2214)=0),"",IF(IF(MOD($L2214,1)=0,INT($B2214),$B2214)&lt;=$L2214,"Đúng hạn","Trễ hạn"))</f>
      </c>
      <c r="N2214" s="225">
        <f>IF($C2214="","",ROW())</f>
      </c>
      <c r="O2214" s="225">
        <f>IF($I2214="Công việc",MATCH($C2214,'Kế hoạch'!$A$6:$A$305,0),"")</f>
      </c>
      <c r="P2214" s="234">
        <f>IF($O2214="","",INDEX('Kế hoạch'!$I$6:$I$305,$O2214))</f>
      </c>
      <c r="Q2214" s="225">
        <f>IF($O2214="","",INDEX('Kế hoạch'!$AJ$6:$AJ$305,$O2214))</f>
      </c>
      <c r="R2214" s="225">
        <f>IF($O2214="","",INDEX('Kế hoạch'!$AK$6:$AK$305,$O2214))</f>
      </c>
    </row>
    <row r="2215">
      <c r="A2215" s="223">
        <f>IF($C2215="","",COUNTIF($C$6:$C2215,"?*"))</f>
      </c>
      <c r="B2215" s="217"/>
      <c r="C2215" s="216"/>
      <c r="D2215" s="240"/>
      <c r="E2215" s="218"/>
      <c r="F2215" s="218"/>
      <c r="G2215" s="218"/>
      <c r="H2215" s="219"/>
      <c r="I2215" s="223">
        <f>IF($C2215="","",IF(ISNUMBER(MATCH($C2215,'Phản ánh'!$A$6:$A$505,0)),"Phản ánh",IF(ISNUMBER(MATCH($C2215,'Kế hoạch'!$A$6:$A$305,0)),"Công việc","Mã chưa có")))</f>
      </c>
      <c r="J2215" s="221">
        <f>IF($I2215="Phản ánh",INDEX('Phản ánh'!$C$6:$C$505,MATCH($C2215,'Phản ánh'!$A$6:$A$505,0)),IF($I2215="Công việc",INDEX('Kế hoạch'!$C$6:$C$305,$O2215),""))</f>
      </c>
      <c r="K2215" s="221">
        <f>IF($I2215="Phản ánh",INDEX('Phản ánh'!$K$6:$K$505,MATCH($C2215,'Phản ánh'!$A$6:$A$505,0))&amp;"",IF($I2215="Công việc",INDEX('Kế hoạch'!$N$6:$N$305,$O2215)&amp;"",""))</f>
      </c>
      <c r="L2215" s="220">
        <f>IF(OR($C2215="",N($B2215)=0),"",IF(AND($I2215="Phản ánh",$E2215="Đã xử lý"),INDEX('Phản ánh'!$U$6:$U$505,MATCH($C2215,'Phản ánh'!$A$6:$A$505,0)),IF(AND($I2215="Công việc",OR($E2215="Hoàn thành",$E2215="Hoàn thành kỳ")),IF(INDEX('Kế hoạch'!$B$6:$B$305,$O2215)="Đột xuất",INDEX('Kế hoạch'!$AY$6:$AY$305,$O2215),IF(N($P2215)=0,"",IF(INT($B2215)&lt;$P2215,$P2215,IF($Q2215&gt;0,$P2215+ROUND((INT($B2215)-$P2215)/$Q2215,0)*$Q2215,IF($R2215&gt;0,EDATE($P2215,ROUND((DATEDIF($P2215,INT($B2215),"m")+(INT($B2215)-EDATE($P2215,DATEDIF($P2215,INT($B2215),"m")))/(EDATE($P2215,DATEDIF($P2215,INT($B2215),"m")+1)-EDATE($P2215,DATEDIF($P2215,INT($B2215),"m"))))/$R2215,0)*$R2215),$P2215))))),"")))</f>
      </c>
      <c r="M2215" s="223">
        <f>IF(OR($C2215="",N($L2215)=0,N($B2215)=0),"",IF(IF(MOD($L2215,1)=0,INT($B2215),$B2215)&lt;=$L2215,"Đúng hạn","Trễ hạn"))</f>
      </c>
      <c r="N2215" s="225">
        <f>IF($C2215="","",ROW())</f>
      </c>
      <c r="O2215" s="225">
        <f>IF($I2215="Công việc",MATCH($C2215,'Kế hoạch'!$A$6:$A$305,0),"")</f>
      </c>
      <c r="P2215" s="234">
        <f>IF($O2215="","",INDEX('Kế hoạch'!$I$6:$I$305,$O2215))</f>
      </c>
      <c r="Q2215" s="225">
        <f>IF($O2215="","",INDEX('Kế hoạch'!$AJ$6:$AJ$305,$O2215))</f>
      </c>
      <c r="R2215" s="225">
        <f>IF($O2215="","",INDEX('Kế hoạch'!$AK$6:$AK$305,$O2215))</f>
      </c>
    </row>
    <row r="2216">
      <c r="A2216" s="223">
        <f>IF($C2216="","",COUNTIF($C$6:$C2216,"?*"))</f>
      </c>
      <c r="B2216" s="217"/>
      <c r="C2216" s="216"/>
      <c r="D2216" s="240"/>
      <c r="E2216" s="218"/>
      <c r="F2216" s="218"/>
      <c r="G2216" s="218"/>
      <c r="H2216" s="219"/>
      <c r="I2216" s="223">
        <f>IF($C2216="","",IF(ISNUMBER(MATCH($C2216,'Phản ánh'!$A$6:$A$505,0)),"Phản ánh",IF(ISNUMBER(MATCH($C2216,'Kế hoạch'!$A$6:$A$305,0)),"Công việc","Mã chưa có")))</f>
      </c>
      <c r="J2216" s="221">
        <f>IF($I2216="Phản ánh",INDEX('Phản ánh'!$C$6:$C$505,MATCH($C2216,'Phản ánh'!$A$6:$A$505,0)),IF($I2216="Công việc",INDEX('Kế hoạch'!$C$6:$C$305,$O2216),""))</f>
      </c>
      <c r="K2216" s="221">
        <f>IF($I2216="Phản ánh",INDEX('Phản ánh'!$K$6:$K$505,MATCH($C2216,'Phản ánh'!$A$6:$A$505,0))&amp;"",IF($I2216="Công việc",INDEX('Kế hoạch'!$N$6:$N$305,$O2216)&amp;"",""))</f>
      </c>
      <c r="L2216" s="220">
        <f>IF(OR($C2216="",N($B2216)=0),"",IF(AND($I2216="Phản ánh",$E2216="Đã xử lý"),INDEX('Phản ánh'!$U$6:$U$505,MATCH($C2216,'Phản ánh'!$A$6:$A$505,0)),IF(AND($I2216="Công việc",OR($E2216="Hoàn thành",$E2216="Hoàn thành kỳ")),IF(INDEX('Kế hoạch'!$B$6:$B$305,$O2216)="Đột xuất",INDEX('Kế hoạch'!$AY$6:$AY$305,$O2216),IF(N($P2216)=0,"",IF(INT($B2216)&lt;$P2216,$P2216,IF($Q2216&gt;0,$P2216+ROUND((INT($B2216)-$P2216)/$Q2216,0)*$Q2216,IF($R2216&gt;0,EDATE($P2216,ROUND((DATEDIF($P2216,INT($B2216),"m")+(INT($B2216)-EDATE($P2216,DATEDIF($P2216,INT($B2216),"m")))/(EDATE($P2216,DATEDIF($P2216,INT($B2216),"m")+1)-EDATE($P2216,DATEDIF($P2216,INT($B2216),"m"))))/$R2216,0)*$R2216),$P2216))))),"")))</f>
      </c>
      <c r="M2216" s="223">
        <f>IF(OR($C2216="",N($L2216)=0,N($B2216)=0),"",IF(IF(MOD($L2216,1)=0,INT($B2216),$B2216)&lt;=$L2216,"Đúng hạn","Trễ hạn"))</f>
      </c>
      <c r="N2216" s="225">
        <f>IF($C2216="","",ROW())</f>
      </c>
      <c r="O2216" s="225">
        <f>IF($I2216="Công việc",MATCH($C2216,'Kế hoạch'!$A$6:$A$305,0),"")</f>
      </c>
      <c r="P2216" s="234">
        <f>IF($O2216="","",INDEX('Kế hoạch'!$I$6:$I$305,$O2216))</f>
      </c>
      <c r="Q2216" s="225">
        <f>IF($O2216="","",INDEX('Kế hoạch'!$AJ$6:$AJ$305,$O2216))</f>
      </c>
      <c r="R2216" s="225">
        <f>IF($O2216="","",INDEX('Kế hoạch'!$AK$6:$AK$305,$O2216))</f>
      </c>
    </row>
    <row r="2217">
      <c r="A2217" s="223">
        <f>IF($C2217="","",COUNTIF($C$6:$C2217,"?*"))</f>
      </c>
      <c r="B2217" s="217"/>
      <c r="C2217" s="216"/>
      <c r="D2217" s="240"/>
      <c r="E2217" s="218"/>
      <c r="F2217" s="218"/>
      <c r="G2217" s="218"/>
      <c r="H2217" s="219"/>
      <c r="I2217" s="223">
        <f>IF($C2217="","",IF(ISNUMBER(MATCH($C2217,'Phản ánh'!$A$6:$A$505,0)),"Phản ánh",IF(ISNUMBER(MATCH($C2217,'Kế hoạch'!$A$6:$A$305,0)),"Công việc","Mã chưa có")))</f>
      </c>
      <c r="J2217" s="221">
        <f>IF($I2217="Phản ánh",INDEX('Phản ánh'!$C$6:$C$505,MATCH($C2217,'Phản ánh'!$A$6:$A$505,0)),IF($I2217="Công việc",INDEX('Kế hoạch'!$C$6:$C$305,$O2217),""))</f>
      </c>
      <c r="K2217" s="221">
        <f>IF($I2217="Phản ánh",INDEX('Phản ánh'!$K$6:$K$505,MATCH($C2217,'Phản ánh'!$A$6:$A$505,0))&amp;"",IF($I2217="Công việc",INDEX('Kế hoạch'!$N$6:$N$305,$O2217)&amp;"",""))</f>
      </c>
      <c r="L2217" s="220">
        <f>IF(OR($C2217="",N($B2217)=0),"",IF(AND($I2217="Phản ánh",$E2217="Đã xử lý"),INDEX('Phản ánh'!$U$6:$U$505,MATCH($C2217,'Phản ánh'!$A$6:$A$505,0)),IF(AND($I2217="Công việc",OR($E2217="Hoàn thành",$E2217="Hoàn thành kỳ")),IF(INDEX('Kế hoạch'!$B$6:$B$305,$O2217)="Đột xuất",INDEX('Kế hoạch'!$AY$6:$AY$305,$O2217),IF(N($P2217)=0,"",IF(INT($B2217)&lt;$P2217,$P2217,IF($Q2217&gt;0,$P2217+ROUND((INT($B2217)-$P2217)/$Q2217,0)*$Q2217,IF($R2217&gt;0,EDATE($P2217,ROUND((DATEDIF($P2217,INT($B2217),"m")+(INT($B2217)-EDATE($P2217,DATEDIF($P2217,INT($B2217),"m")))/(EDATE($P2217,DATEDIF($P2217,INT($B2217),"m")+1)-EDATE($P2217,DATEDIF($P2217,INT($B2217),"m"))))/$R2217,0)*$R2217),$P2217))))),"")))</f>
      </c>
      <c r="M2217" s="223">
        <f>IF(OR($C2217="",N($L2217)=0,N($B2217)=0),"",IF(IF(MOD($L2217,1)=0,INT($B2217),$B2217)&lt;=$L2217,"Đúng hạn","Trễ hạn"))</f>
      </c>
      <c r="N2217" s="225">
        <f>IF($C2217="","",ROW())</f>
      </c>
      <c r="O2217" s="225">
        <f>IF($I2217="Công việc",MATCH($C2217,'Kế hoạch'!$A$6:$A$305,0),"")</f>
      </c>
      <c r="P2217" s="234">
        <f>IF($O2217="","",INDEX('Kế hoạch'!$I$6:$I$305,$O2217))</f>
      </c>
      <c r="Q2217" s="225">
        <f>IF($O2217="","",INDEX('Kế hoạch'!$AJ$6:$AJ$305,$O2217))</f>
      </c>
      <c r="R2217" s="225">
        <f>IF($O2217="","",INDEX('Kế hoạch'!$AK$6:$AK$305,$O2217))</f>
      </c>
    </row>
    <row r="2218">
      <c r="A2218" s="223">
        <f>IF($C2218="","",COUNTIF($C$6:$C2218,"?*"))</f>
      </c>
      <c r="B2218" s="217"/>
      <c r="C2218" s="216"/>
      <c r="D2218" s="240"/>
      <c r="E2218" s="218"/>
      <c r="F2218" s="218"/>
      <c r="G2218" s="218"/>
      <c r="H2218" s="219"/>
      <c r="I2218" s="223">
        <f>IF($C2218="","",IF(ISNUMBER(MATCH($C2218,'Phản ánh'!$A$6:$A$505,0)),"Phản ánh",IF(ISNUMBER(MATCH($C2218,'Kế hoạch'!$A$6:$A$305,0)),"Công việc","Mã chưa có")))</f>
      </c>
      <c r="J2218" s="221">
        <f>IF($I2218="Phản ánh",INDEX('Phản ánh'!$C$6:$C$505,MATCH($C2218,'Phản ánh'!$A$6:$A$505,0)),IF($I2218="Công việc",INDEX('Kế hoạch'!$C$6:$C$305,$O2218),""))</f>
      </c>
      <c r="K2218" s="221">
        <f>IF($I2218="Phản ánh",INDEX('Phản ánh'!$K$6:$K$505,MATCH($C2218,'Phản ánh'!$A$6:$A$505,0))&amp;"",IF($I2218="Công việc",INDEX('Kế hoạch'!$N$6:$N$305,$O2218)&amp;"",""))</f>
      </c>
      <c r="L2218" s="220">
        <f>IF(OR($C2218="",N($B2218)=0),"",IF(AND($I2218="Phản ánh",$E2218="Đã xử lý"),INDEX('Phản ánh'!$U$6:$U$505,MATCH($C2218,'Phản ánh'!$A$6:$A$505,0)),IF(AND($I2218="Công việc",OR($E2218="Hoàn thành",$E2218="Hoàn thành kỳ")),IF(INDEX('Kế hoạch'!$B$6:$B$305,$O2218)="Đột xuất",INDEX('Kế hoạch'!$AY$6:$AY$305,$O2218),IF(N($P2218)=0,"",IF(INT($B2218)&lt;$P2218,$P2218,IF($Q2218&gt;0,$P2218+ROUND((INT($B2218)-$P2218)/$Q2218,0)*$Q2218,IF($R2218&gt;0,EDATE($P2218,ROUND((DATEDIF($P2218,INT($B2218),"m")+(INT($B2218)-EDATE($P2218,DATEDIF($P2218,INT($B2218),"m")))/(EDATE($P2218,DATEDIF($P2218,INT($B2218),"m")+1)-EDATE($P2218,DATEDIF($P2218,INT($B2218),"m"))))/$R2218,0)*$R2218),$P2218))))),"")))</f>
      </c>
      <c r="M2218" s="223">
        <f>IF(OR($C2218="",N($L2218)=0,N($B2218)=0),"",IF(IF(MOD($L2218,1)=0,INT($B2218),$B2218)&lt;=$L2218,"Đúng hạn","Trễ hạn"))</f>
      </c>
      <c r="N2218" s="225">
        <f>IF($C2218="","",ROW())</f>
      </c>
      <c r="O2218" s="225">
        <f>IF($I2218="Công việc",MATCH($C2218,'Kế hoạch'!$A$6:$A$305,0),"")</f>
      </c>
      <c r="P2218" s="234">
        <f>IF($O2218="","",INDEX('Kế hoạch'!$I$6:$I$305,$O2218))</f>
      </c>
      <c r="Q2218" s="225">
        <f>IF($O2218="","",INDEX('Kế hoạch'!$AJ$6:$AJ$305,$O2218))</f>
      </c>
      <c r="R2218" s="225">
        <f>IF($O2218="","",INDEX('Kế hoạch'!$AK$6:$AK$305,$O2218))</f>
      </c>
    </row>
    <row r="2219">
      <c r="A2219" s="223">
        <f>IF($C2219="","",COUNTIF($C$6:$C2219,"?*"))</f>
      </c>
      <c r="B2219" s="217"/>
      <c r="C2219" s="216"/>
      <c r="D2219" s="240"/>
      <c r="E2219" s="218"/>
      <c r="F2219" s="218"/>
      <c r="G2219" s="218"/>
      <c r="H2219" s="219"/>
      <c r="I2219" s="223">
        <f>IF($C2219="","",IF(ISNUMBER(MATCH($C2219,'Phản ánh'!$A$6:$A$505,0)),"Phản ánh",IF(ISNUMBER(MATCH($C2219,'Kế hoạch'!$A$6:$A$305,0)),"Công việc","Mã chưa có")))</f>
      </c>
      <c r="J2219" s="221">
        <f>IF($I2219="Phản ánh",INDEX('Phản ánh'!$C$6:$C$505,MATCH($C2219,'Phản ánh'!$A$6:$A$505,0)),IF($I2219="Công việc",INDEX('Kế hoạch'!$C$6:$C$305,$O2219),""))</f>
      </c>
      <c r="K2219" s="221">
        <f>IF($I2219="Phản ánh",INDEX('Phản ánh'!$K$6:$K$505,MATCH($C2219,'Phản ánh'!$A$6:$A$505,0))&amp;"",IF($I2219="Công việc",INDEX('Kế hoạch'!$N$6:$N$305,$O2219)&amp;"",""))</f>
      </c>
      <c r="L2219" s="220">
        <f>IF(OR($C2219="",N($B2219)=0),"",IF(AND($I2219="Phản ánh",$E2219="Đã xử lý"),INDEX('Phản ánh'!$U$6:$U$505,MATCH($C2219,'Phản ánh'!$A$6:$A$505,0)),IF(AND($I2219="Công việc",OR($E2219="Hoàn thành",$E2219="Hoàn thành kỳ")),IF(INDEX('Kế hoạch'!$B$6:$B$305,$O2219)="Đột xuất",INDEX('Kế hoạch'!$AY$6:$AY$305,$O2219),IF(N($P2219)=0,"",IF(INT($B2219)&lt;$P2219,$P2219,IF($Q2219&gt;0,$P2219+ROUND((INT($B2219)-$P2219)/$Q2219,0)*$Q2219,IF($R2219&gt;0,EDATE($P2219,ROUND((DATEDIF($P2219,INT($B2219),"m")+(INT($B2219)-EDATE($P2219,DATEDIF($P2219,INT($B2219),"m")))/(EDATE($P2219,DATEDIF($P2219,INT($B2219),"m")+1)-EDATE($P2219,DATEDIF($P2219,INT($B2219),"m"))))/$R2219,0)*$R2219),$P2219))))),"")))</f>
      </c>
      <c r="M2219" s="223">
        <f>IF(OR($C2219="",N($L2219)=0,N($B2219)=0),"",IF(IF(MOD($L2219,1)=0,INT($B2219),$B2219)&lt;=$L2219,"Đúng hạn","Trễ hạn"))</f>
      </c>
      <c r="N2219" s="225">
        <f>IF($C2219="","",ROW())</f>
      </c>
      <c r="O2219" s="225">
        <f>IF($I2219="Công việc",MATCH($C2219,'Kế hoạch'!$A$6:$A$305,0),"")</f>
      </c>
      <c r="P2219" s="234">
        <f>IF($O2219="","",INDEX('Kế hoạch'!$I$6:$I$305,$O2219))</f>
      </c>
      <c r="Q2219" s="225">
        <f>IF($O2219="","",INDEX('Kế hoạch'!$AJ$6:$AJ$305,$O2219))</f>
      </c>
      <c r="R2219" s="225">
        <f>IF($O2219="","",INDEX('Kế hoạch'!$AK$6:$AK$305,$O2219))</f>
      </c>
    </row>
    <row r="2220">
      <c r="A2220" s="223">
        <f>IF($C2220="","",COUNTIF($C$6:$C2220,"?*"))</f>
      </c>
      <c r="B2220" s="217"/>
      <c r="C2220" s="216"/>
      <c r="D2220" s="240"/>
      <c r="E2220" s="218"/>
      <c r="F2220" s="218"/>
      <c r="G2220" s="218"/>
      <c r="H2220" s="219"/>
      <c r="I2220" s="223">
        <f>IF($C2220="","",IF(ISNUMBER(MATCH($C2220,'Phản ánh'!$A$6:$A$505,0)),"Phản ánh",IF(ISNUMBER(MATCH($C2220,'Kế hoạch'!$A$6:$A$305,0)),"Công việc","Mã chưa có")))</f>
      </c>
      <c r="J2220" s="221">
        <f>IF($I2220="Phản ánh",INDEX('Phản ánh'!$C$6:$C$505,MATCH($C2220,'Phản ánh'!$A$6:$A$505,0)),IF($I2220="Công việc",INDEX('Kế hoạch'!$C$6:$C$305,$O2220),""))</f>
      </c>
      <c r="K2220" s="221">
        <f>IF($I2220="Phản ánh",INDEX('Phản ánh'!$K$6:$K$505,MATCH($C2220,'Phản ánh'!$A$6:$A$505,0))&amp;"",IF($I2220="Công việc",INDEX('Kế hoạch'!$N$6:$N$305,$O2220)&amp;"",""))</f>
      </c>
      <c r="L2220" s="220">
        <f>IF(OR($C2220="",N($B2220)=0),"",IF(AND($I2220="Phản ánh",$E2220="Đã xử lý"),INDEX('Phản ánh'!$U$6:$U$505,MATCH($C2220,'Phản ánh'!$A$6:$A$505,0)),IF(AND($I2220="Công việc",OR($E2220="Hoàn thành",$E2220="Hoàn thành kỳ")),IF(INDEX('Kế hoạch'!$B$6:$B$305,$O2220)="Đột xuất",INDEX('Kế hoạch'!$AY$6:$AY$305,$O2220),IF(N($P2220)=0,"",IF(INT($B2220)&lt;$P2220,$P2220,IF($Q2220&gt;0,$P2220+ROUND((INT($B2220)-$P2220)/$Q2220,0)*$Q2220,IF($R2220&gt;0,EDATE($P2220,ROUND((DATEDIF($P2220,INT($B2220),"m")+(INT($B2220)-EDATE($P2220,DATEDIF($P2220,INT($B2220),"m")))/(EDATE($P2220,DATEDIF($P2220,INT($B2220),"m")+1)-EDATE($P2220,DATEDIF($P2220,INT($B2220),"m"))))/$R2220,0)*$R2220),$P2220))))),"")))</f>
      </c>
      <c r="M2220" s="223">
        <f>IF(OR($C2220="",N($L2220)=0,N($B2220)=0),"",IF(IF(MOD($L2220,1)=0,INT($B2220),$B2220)&lt;=$L2220,"Đúng hạn","Trễ hạn"))</f>
      </c>
      <c r="N2220" s="225">
        <f>IF($C2220="","",ROW())</f>
      </c>
      <c r="O2220" s="225">
        <f>IF($I2220="Công việc",MATCH($C2220,'Kế hoạch'!$A$6:$A$305,0),"")</f>
      </c>
      <c r="P2220" s="234">
        <f>IF($O2220="","",INDEX('Kế hoạch'!$I$6:$I$305,$O2220))</f>
      </c>
      <c r="Q2220" s="225">
        <f>IF($O2220="","",INDEX('Kế hoạch'!$AJ$6:$AJ$305,$O2220))</f>
      </c>
      <c r="R2220" s="225">
        <f>IF($O2220="","",INDEX('Kế hoạch'!$AK$6:$AK$305,$O2220))</f>
      </c>
    </row>
    <row r="2221">
      <c r="A2221" s="223">
        <f>IF($C2221="","",COUNTIF($C$6:$C2221,"?*"))</f>
      </c>
      <c r="B2221" s="217"/>
      <c r="C2221" s="216"/>
      <c r="D2221" s="240"/>
      <c r="E2221" s="218"/>
      <c r="F2221" s="218"/>
      <c r="G2221" s="218"/>
      <c r="H2221" s="219"/>
      <c r="I2221" s="223">
        <f>IF($C2221="","",IF(ISNUMBER(MATCH($C2221,'Phản ánh'!$A$6:$A$505,0)),"Phản ánh",IF(ISNUMBER(MATCH($C2221,'Kế hoạch'!$A$6:$A$305,0)),"Công việc","Mã chưa có")))</f>
      </c>
      <c r="J2221" s="221">
        <f>IF($I2221="Phản ánh",INDEX('Phản ánh'!$C$6:$C$505,MATCH($C2221,'Phản ánh'!$A$6:$A$505,0)),IF($I2221="Công việc",INDEX('Kế hoạch'!$C$6:$C$305,$O2221),""))</f>
      </c>
      <c r="K2221" s="221">
        <f>IF($I2221="Phản ánh",INDEX('Phản ánh'!$K$6:$K$505,MATCH($C2221,'Phản ánh'!$A$6:$A$505,0))&amp;"",IF($I2221="Công việc",INDEX('Kế hoạch'!$N$6:$N$305,$O2221)&amp;"",""))</f>
      </c>
      <c r="L2221" s="220">
        <f>IF(OR($C2221="",N($B2221)=0),"",IF(AND($I2221="Phản ánh",$E2221="Đã xử lý"),INDEX('Phản ánh'!$U$6:$U$505,MATCH($C2221,'Phản ánh'!$A$6:$A$505,0)),IF(AND($I2221="Công việc",OR($E2221="Hoàn thành",$E2221="Hoàn thành kỳ")),IF(INDEX('Kế hoạch'!$B$6:$B$305,$O2221)="Đột xuất",INDEX('Kế hoạch'!$AY$6:$AY$305,$O2221),IF(N($P2221)=0,"",IF(INT($B2221)&lt;$P2221,$P2221,IF($Q2221&gt;0,$P2221+ROUND((INT($B2221)-$P2221)/$Q2221,0)*$Q2221,IF($R2221&gt;0,EDATE($P2221,ROUND((DATEDIF($P2221,INT($B2221),"m")+(INT($B2221)-EDATE($P2221,DATEDIF($P2221,INT($B2221),"m")))/(EDATE($P2221,DATEDIF($P2221,INT($B2221),"m")+1)-EDATE($P2221,DATEDIF($P2221,INT($B2221),"m"))))/$R2221,0)*$R2221),$P2221))))),"")))</f>
      </c>
      <c r="M2221" s="223">
        <f>IF(OR($C2221="",N($L2221)=0,N($B2221)=0),"",IF(IF(MOD($L2221,1)=0,INT($B2221),$B2221)&lt;=$L2221,"Đúng hạn","Trễ hạn"))</f>
      </c>
      <c r="N2221" s="225">
        <f>IF($C2221="","",ROW())</f>
      </c>
      <c r="O2221" s="225">
        <f>IF($I2221="Công việc",MATCH($C2221,'Kế hoạch'!$A$6:$A$305,0),"")</f>
      </c>
      <c r="P2221" s="234">
        <f>IF($O2221="","",INDEX('Kế hoạch'!$I$6:$I$305,$O2221))</f>
      </c>
      <c r="Q2221" s="225">
        <f>IF($O2221="","",INDEX('Kế hoạch'!$AJ$6:$AJ$305,$O2221))</f>
      </c>
      <c r="R2221" s="225">
        <f>IF($O2221="","",INDEX('Kế hoạch'!$AK$6:$AK$305,$O2221))</f>
      </c>
    </row>
    <row r="2222">
      <c r="A2222" s="223">
        <f>IF($C2222="","",COUNTIF($C$6:$C2222,"?*"))</f>
      </c>
      <c r="B2222" s="217"/>
      <c r="C2222" s="216"/>
      <c r="D2222" s="240"/>
      <c r="E2222" s="218"/>
      <c r="F2222" s="218"/>
      <c r="G2222" s="218"/>
      <c r="H2222" s="219"/>
      <c r="I2222" s="223">
        <f>IF($C2222="","",IF(ISNUMBER(MATCH($C2222,'Phản ánh'!$A$6:$A$505,0)),"Phản ánh",IF(ISNUMBER(MATCH($C2222,'Kế hoạch'!$A$6:$A$305,0)),"Công việc","Mã chưa có")))</f>
      </c>
      <c r="J2222" s="221">
        <f>IF($I2222="Phản ánh",INDEX('Phản ánh'!$C$6:$C$505,MATCH($C2222,'Phản ánh'!$A$6:$A$505,0)),IF($I2222="Công việc",INDEX('Kế hoạch'!$C$6:$C$305,$O2222),""))</f>
      </c>
      <c r="K2222" s="221">
        <f>IF($I2222="Phản ánh",INDEX('Phản ánh'!$K$6:$K$505,MATCH($C2222,'Phản ánh'!$A$6:$A$505,0))&amp;"",IF($I2222="Công việc",INDEX('Kế hoạch'!$N$6:$N$305,$O2222)&amp;"",""))</f>
      </c>
      <c r="L2222" s="220">
        <f>IF(OR($C2222="",N($B2222)=0),"",IF(AND($I2222="Phản ánh",$E2222="Đã xử lý"),INDEX('Phản ánh'!$U$6:$U$505,MATCH($C2222,'Phản ánh'!$A$6:$A$505,0)),IF(AND($I2222="Công việc",OR($E2222="Hoàn thành",$E2222="Hoàn thành kỳ")),IF(INDEX('Kế hoạch'!$B$6:$B$305,$O2222)="Đột xuất",INDEX('Kế hoạch'!$AY$6:$AY$305,$O2222),IF(N($P2222)=0,"",IF(INT($B2222)&lt;$P2222,$P2222,IF($Q2222&gt;0,$P2222+ROUND((INT($B2222)-$P2222)/$Q2222,0)*$Q2222,IF($R2222&gt;0,EDATE($P2222,ROUND((DATEDIF($P2222,INT($B2222),"m")+(INT($B2222)-EDATE($P2222,DATEDIF($P2222,INT($B2222),"m")))/(EDATE($P2222,DATEDIF($P2222,INT($B2222),"m")+1)-EDATE($P2222,DATEDIF($P2222,INT($B2222),"m"))))/$R2222,0)*$R2222),$P2222))))),"")))</f>
      </c>
      <c r="M2222" s="223">
        <f>IF(OR($C2222="",N($L2222)=0,N($B2222)=0),"",IF(IF(MOD($L2222,1)=0,INT($B2222),$B2222)&lt;=$L2222,"Đúng hạn","Trễ hạn"))</f>
      </c>
      <c r="N2222" s="225">
        <f>IF($C2222="","",ROW())</f>
      </c>
      <c r="O2222" s="225">
        <f>IF($I2222="Công việc",MATCH($C2222,'Kế hoạch'!$A$6:$A$305,0),"")</f>
      </c>
      <c r="P2222" s="234">
        <f>IF($O2222="","",INDEX('Kế hoạch'!$I$6:$I$305,$O2222))</f>
      </c>
      <c r="Q2222" s="225">
        <f>IF($O2222="","",INDEX('Kế hoạch'!$AJ$6:$AJ$305,$O2222))</f>
      </c>
      <c r="R2222" s="225">
        <f>IF($O2222="","",INDEX('Kế hoạch'!$AK$6:$AK$305,$O2222))</f>
      </c>
    </row>
    <row r="2223">
      <c r="A2223" s="223">
        <f>IF($C2223="","",COUNTIF($C$6:$C2223,"?*"))</f>
      </c>
      <c r="B2223" s="217"/>
      <c r="C2223" s="216"/>
      <c r="D2223" s="240"/>
      <c r="E2223" s="218"/>
      <c r="F2223" s="218"/>
      <c r="G2223" s="218"/>
      <c r="H2223" s="219"/>
      <c r="I2223" s="223">
        <f>IF($C2223="","",IF(ISNUMBER(MATCH($C2223,'Phản ánh'!$A$6:$A$505,0)),"Phản ánh",IF(ISNUMBER(MATCH($C2223,'Kế hoạch'!$A$6:$A$305,0)),"Công việc","Mã chưa có")))</f>
      </c>
      <c r="J2223" s="221">
        <f>IF($I2223="Phản ánh",INDEX('Phản ánh'!$C$6:$C$505,MATCH($C2223,'Phản ánh'!$A$6:$A$505,0)),IF($I2223="Công việc",INDEX('Kế hoạch'!$C$6:$C$305,$O2223),""))</f>
      </c>
      <c r="K2223" s="221">
        <f>IF($I2223="Phản ánh",INDEX('Phản ánh'!$K$6:$K$505,MATCH($C2223,'Phản ánh'!$A$6:$A$505,0))&amp;"",IF($I2223="Công việc",INDEX('Kế hoạch'!$N$6:$N$305,$O2223)&amp;"",""))</f>
      </c>
      <c r="L2223" s="220">
        <f>IF(OR($C2223="",N($B2223)=0),"",IF(AND($I2223="Phản ánh",$E2223="Đã xử lý"),INDEX('Phản ánh'!$U$6:$U$505,MATCH($C2223,'Phản ánh'!$A$6:$A$505,0)),IF(AND($I2223="Công việc",OR($E2223="Hoàn thành",$E2223="Hoàn thành kỳ")),IF(INDEX('Kế hoạch'!$B$6:$B$305,$O2223)="Đột xuất",INDEX('Kế hoạch'!$AY$6:$AY$305,$O2223),IF(N($P2223)=0,"",IF(INT($B2223)&lt;$P2223,$P2223,IF($Q2223&gt;0,$P2223+ROUND((INT($B2223)-$P2223)/$Q2223,0)*$Q2223,IF($R2223&gt;0,EDATE($P2223,ROUND((DATEDIF($P2223,INT($B2223),"m")+(INT($B2223)-EDATE($P2223,DATEDIF($P2223,INT($B2223),"m")))/(EDATE($P2223,DATEDIF($P2223,INT($B2223),"m")+1)-EDATE($P2223,DATEDIF($P2223,INT($B2223),"m"))))/$R2223,0)*$R2223),$P2223))))),"")))</f>
      </c>
      <c r="M2223" s="223">
        <f>IF(OR($C2223="",N($L2223)=0,N($B2223)=0),"",IF(IF(MOD($L2223,1)=0,INT($B2223),$B2223)&lt;=$L2223,"Đúng hạn","Trễ hạn"))</f>
      </c>
      <c r="N2223" s="225">
        <f>IF($C2223="","",ROW())</f>
      </c>
      <c r="O2223" s="225">
        <f>IF($I2223="Công việc",MATCH($C2223,'Kế hoạch'!$A$6:$A$305,0),"")</f>
      </c>
      <c r="P2223" s="234">
        <f>IF($O2223="","",INDEX('Kế hoạch'!$I$6:$I$305,$O2223))</f>
      </c>
      <c r="Q2223" s="225">
        <f>IF($O2223="","",INDEX('Kế hoạch'!$AJ$6:$AJ$305,$O2223))</f>
      </c>
      <c r="R2223" s="225">
        <f>IF($O2223="","",INDEX('Kế hoạch'!$AK$6:$AK$305,$O2223))</f>
      </c>
    </row>
    <row r="2224">
      <c r="A2224" s="223">
        <f>IF($C2224="","",COUNTIF($C$6:$C2224,"?*"))</f>
      </c>
      <c r="B2224" s="217"/>
      <c r="C2224" s="216"/>
      <c r="D2224" s="240"/>
      <c r="E2224" s="218"/>
      <c r="F2224" s="218"/>
      <c r="G2224" s="218"/>
      <c r="H2224" s="219"/>
      <c r="I2224" s="223">
        <f>IF($C2224="","",IF(ISNUMBER(MATCH($C2224,'Phản ánh'!$A$6:$A$505,0)),"Phản ánh",IF(ISNUMBER(MATCH($C2224,'Kế hoạch'!$A$6:$A$305,0)),"Công việc","Mã chưa có")))</f>
      </c>
      <c r="J2224" s="221">
        <f>IF($I2224="Phản ánh",INDEX('Phản ánh'!$C$6:$C$505,MATCH($C2224,'Phản ánh'!$A$6:$A$505,0)),IF($I2224="Công việc",INDEX('Kế hoạch'!$C$6:$C$305,$O2224),""))</f>
      </c>
      <c r="K2224" s="221">
        <f>IF($I2224="Phản ánh",INDEX('Phản ánh'!$K$6:$K$505,MATCH($C2224,'Phản ánh'!$A$6:$A$505,0))&amp;"",IF($I2224="Công việc",INDEX('Kế hoạch'!$N$6:$N$305,$O2224)&amp;"",""))</f>
      </c>
      <c r="L2224" s="220">
        <f>IF(OR($C2224="",N($B2224)=0),"",IF(AND($I2224="Phản ánh",$E2224="Đã xử lý"),INDEX('Phản ánh'!$U$6:$U$505,MATCH($C2224,'Phản ánh'!$A$6:$A$505,0)),IF(AND($I2224="Công việc",OR($E2224="Hoàn thành",$E2224="Hoàn thành kỳ")),IF(INDEX('Kế hoạch'!$B$6:$B$305,$O2224)="Đột xuất",INDEX('Kế hoạch'!$AY$6:$AY$305,$O2224),IF(N($P2224)=0,"",IF(INT($B2224)&lt;$P2224,$P2224,IF($Q2224&gt;0,$P2224+ROUND((INT($B2224)-$P2224)/$Q2224,0)*$Q2224,IF($R2224&gt;0,EDATE($P2224,ROUND((DATEDIF($P2224,INT($B2224),"m")+(INT($B2224)-EDATE($P2224,DATEDIF($P2224,INT($B2224),"m")))/(EDATE($P2224,DATEDIF($P2224,INT($B2224),"m")+1)-EDATE($P2224,DATEDIF($P2224,INT($B2224),"m"))))/$R2224,0)*$R2224),$P2224))))),"")))</f>
      </c>
      <c r="M2224" s="223">
        <f>IF(OR($C2224="",N($L2224)=0,N($B2224)=0),"",IF(IF(MOD($L2224,1)=0,INT($B2224),$B2224)&lt;=$L2224,"Đúng hạn","Trễ hạn"))</f>
      </c>
      <c r="N2224" s="225">
        <f>IF($C2224="","",ROW())</f>
      </c>
      <c r="O2224" s="225">
        <f>IF($I2224="Công việc",MATCH($C2224,'Kế hoạch'!$A$6:$A$305,0),"")</f>
      </c>
      <c r="P2224" s="234">
        <f>IF($O2224="","",INDEX('Kế hoạch'!$I$6:$I$305,$O2224))</f>
      </c>
      <c r="Q2224" s="225">
        <f>IF($O2224="","",INDEX('Kế hoạch'!$AJ$6:$AJ$305,$O2224))</f>
      </c>
      <c r="R2224" s="225">
        <f>IF($O2224="","",INDEX('Kế hoạch'!$AK$6:$AK$305,$O2224))</f>
      </c>
    </row>
    <row r="2225">
      <c r="A2225" s="223">
        <f>IF($C2225="","",COUNTIF($C$6:$C2225,"?*"))</f>
      </c>
      <c r="B2225" s="217"/>
      <c r="C2225" s="216"/>
      <c r="D2225" s="240"/>
      <c r="E2225" s="218"/>
      <c r="F2225" s="218"/>
      <c r="G2225" s="218"/>
      <c r="H2225" s="219"/>
      <c r="I2225" s="223">
        <f>IF($C2225="","",IF(ISNUMBER(MATCH($C2225,'Phản ánh'!$A$6:$A$505,0)),"Phản ánh",IF(ISNUMBER(MATCH($C2225,'Kế hoạch'!$A$6:$A$305,0)),"Công việc","Mã chưa có")))</f>
      </c>
      <c r="J2225" s="221">
        <f>IF($I2225="Phản ánh",INDEX('Phản ánh'!$C$6:$C$505,MATCH($C2225,'Phản ánh'!$A$6:$A$505,0)),IF($I2225="Công việc",INDEX('Kế hoạch'!$C$6:$C$305,$O2225),""))</f>
      </c>
      <c r="K2225" s="221">
        <f>IF($I2225="Phản ánh",INDEX('Phản ánh'!$K$6:$K$505,MATCH($C2225,'Phản ánh'!$A$6:$A$505,0))&amp;"",IF($I2225="Công việc",INDEX('Kế hoạch'!$N$6:$N$305,$O2225)&amp;"",""))</f>
      </c>
      <c r="L2225" s="220">
        <f>IF(OR($C2225="",N($B2225)=0),"",IF(AND($I2225="Phản ánh",$E2225="Đã xử lý"),INDEX('Phản ánh'!$U$6:$U$505,MATCH($C2225,'Phản ánh'!$A$6:$A$505,0)),IF(AND($I2225="Công việc",OR($E2225="Hoàn thành",$E2225="Hoàn thành kỳ")),IF(INDEX('Kế hoạch'!$B$6:$B$305,$O2225)="Đột xuất",INDEX('Kế hoạch'!$AY$6:$AY$305,$O2225),IF(N($P2225)=0,"",IF(INT($B2225)&lt;$P2225,$P2225,IF($Q2225&gt;0,$P2225+ROUND((INT($B2225)-$P2225)/$Q2225,0)*$Q2225,IF($R2225&gt;0,EDATE($P2225,ROUND((DATEDIF($P2225,INT($B2225),"m")+(INT($B2225)-EDATE($P2225,DATEDIF($P2225,INT($B2225),"m")))/(EDATE($P2225,DATEDIF($P2225,INT($B2225),"m")+1)-EDATE($P2225,DATEDIF($P2225,INT($B2225),"m"))))/$R2225,0)*$R2225),$P2225))))),"")))</f>
      </c>
      <c r="M2225" s="223">
        <f>IF(OR($C2225="",N($L2225)=0,N($B2225)=0),"",IF(IF(MOD($L2225,1)=0,INT($B2225),$B2225)&lt;=$L2225,"Đúng hạn","Trễ hạn"))</f>
      </c>
      <c r="N2225" s="225">
        <f>IF($C2225="","",ROW())</f>
      </c>
      <c r="O2225" s="225">
        <f>IF($I2225="Công việc",MATCH($C2225,'Kế hoạch'!$A$6:$A$305,0),"")</f>
      </c>
      <c r="P2225" s="234">
        <f>IF($O2225="","",INDEX('Kế hoạch'!$I$6:$I$305,$O2225))</f>
      </c>
      <c r="Q2225" s="225">
        <f>IF($O2225="","",INDEX('Kế hoạch'!$AJ$6:$AJ$305,$O2225))</f>
      </c>
      <c r="R2225" s="225">
        <f>IF($O2225="","",INDEX('Kế hoạch'!$AK$6:$AK$305,$O2225))</f>
      </c>
    </row>
    <row r="2226">
      <c r="A2226" s="223">
        <f>IF($C2226="","",COUNTIF($C$6:$C2226,"?*"))</f>
      </c>
      <c r="B2226" s="217"/>
      <c r="C2226" s="216"/>
      <c r="D2226" s="240"/>
      <c r="E2226" s="218"/>
      <c r="F2226" s="218"/>
      <c r="G2226" s="218"/>
      <c r="H2226" s="219"/>
      <c r="I2226" s="223">
        <f>IF($C2226="","",IF(ISNUMBER(MATCH($C2226,'Phản ánh'!$A$6:$A$505,0)),"Phản ánh",IF(ISNUMBER(MATCH($C2226,'Kế hoạch'!$A$6:$A$305,0)),"Công việc","Mã chưa có")))</f>
      </c>
      <c r="J2226" s="221">
        <f>IF($I2226="Phản ánh",INDEX('Phản ánh'!$C$6:$C$505,MATCH($C2226,'Phản ánh'!$A$6:$A$505,0)),IF($I2226="Công việc",INDEX('Kế hoạch'!$C$6:$C$305,$O2226),""))</f>
      </c>
      <c r="K2226" s="221">
        <f>IF($I2226="Phản ánh",INDEX('Phản ánh'!$K$6:$K$505,MATCH($C2226,'Phản ánh'!$A$6:$A$505,0))&amp;"",IF($I2226="Công việc",INDEX('Kế hoạch'!$N$6:$N$305,$O2226)&amp;"",""))</f>
      </c>
      <c r="L2226" s="220">
        <f>IF(OR($C2226="",N($B2226)=0),"",IF(AND($I2226="Phản ánh",$E2226="Đã xử lý"),INDEX('Phản ánh'!$U$6:$U$505,MATCH($C2226,'Phản ánh'!$A$6:$A$505,0)),IF(AND($I2226="Công việc",OR($E2226="Hoàn thành",$E2226="Hoàn thành kỳ")),IF(INDEX('Kế hoạch'!$B$6:$B$305,$O2226)="Đột xuất",INDEX('Kế hoạch'!$AY$6:$AY$305,$O2226),IF(N($P2226)=0,"",IF(INT($B2226)&lt;$P2226,$P2226,IF($Q2226&gt;0,$P2226+ROUND((INT($B2226)-$P2226)/$Q2226,0)*$Q2226,IF($R2226&gt;0,EDATE($P2226,ROUND((DATEDIF($P2226,INT($B2226),"m")+(INT($B2226)-EDATE($P2226,DATEDIF($P2226,INT($B2226),"m")))/(EDATE($P2226,DATEDIF($P2226,INT($B2226),"m")+1)-EDATE($P2226,DATEDIF($P2226,INT($B2226),"m"))))/$R2226,0)*$R2226),$P2226))))),"")))</f>
      </c>
      <c r="M2226" s="223">
        <f>IF(OR($C2226="",N($L2226)=0,N($B2226)=0),"",IF(IF(MOD($L2226,1)=0,INT($B2226),$B2226)&lt;=$L2226,"Đúng hạn","Trễ hạn"))</f>
      </c>
      <c r="N2226" s="225">
        <f>IF($C2226="","",ROW())</f>
      </c>
      <c r="O2226" s="225">
        <f>IF($I2226="Công việc",MATCH($C2226,'Kế hoạch'!$A$6:$A$305,0),"")</f>
      </c>
      <c r="P2226" s="234">
        <f>IF($O2226="","",INDEX('Kế hoạch'!$I$6:$I$305,$O2226))</f>
      </c>
      <c r="Q2226" s="225">
        <f>IF($O2226="","",INDEX('Kế hoạch'!$AJ$6:$AJ$305,$O2226))</f>
      </c>
      <c r="R2226" s="225">
        <f>IF($O2226="","",INDEX('Kế hoạch'!$AK$6:$AK$305,$O2226))</f>
      </c>
    </row>
    <row r="2227">
      <c r="A2227" s="223">
        <f>IF($C2227="","",COUNTIF($C$6:$C2227,"?*"))</f>
      </c>
      <c r="B2227" s="217"/>
      <c r="C2227" s="216"/>
      <c r="D2227" s="240"/>
      <c r="E2227" s="218"/>
      <c r="F2227" s="218"/>
      <c r="G2227" s="218"/>
      <c r="H2227" s="219"/>
      <c r="I2227" s="223">
        <f>IF($C2227="","",IF(ISNUMBER(MATCH($C2227,'Phản ánh'!$A$6:$A$505,0)),"Phản ánh",IF(ISNUMBER(MATCH($C2227,'Kế hoạch'!$A$6:$A$305,0)),"Công việc","Mã chưa có")))</f>
      </c>
      <c r="J2227" s="221">
        <f>IF($I2227="Phản ánh",INDEX('Phản ánh'!$C$6:$C$505,MATCH($C2227,'Phản ánh'!$A$6:$A$505,0)),IF($I2227="Công việc",INDEX('Kế hoạch'!$C$6:$C$305,$O2227),""))</f>
      </c>
      <c r="K2227" s="221">
        <f>IF($I2227="Phản ánh",INDEX('Phản ánh'!$K$6:$K$505,MATCH($C2227,'Phản ánh'!$A$6:$A$505,0))&amp;"",IF($I2227="Công việc",INDEX('Kế hoạch'!$N$6:$N$305,$O2227)&amp;"",""))</f>
      </c>
      <c r="L2227" s="220">
        <f>IF(OR($C2227="",N($B2227)=0),"",IF(AND($I2227="Phản ánh",$E2227="Đã xử lý"),INDEX('Phản ánh'!$U$6:$U$505,MATCH($C2227,'Phản ánh'!$A$6:$A$505,0)),IF(AND($I2227="Công việc",OR($E2227="Hoàn thành",$E2227="Hoàn thành kỳ")),IF(INDEX('Kế hoạch'!$B$6:$B$305,$O2227)="Đột xuất",INDEX('Kế hoạch'!$AY$6:$AY$305,$O2227),IF(N($P2227)=0,"",IF(INT($B2227)&lt;$P2227,$P2227,IF($Q2227&gt;0,$P2227+ROUND((INT($B2227)-$P2227)/$Q2227,0)*$Q2227,IF($R2227&gt;0,EDATE($P2227,ROUND((DATEDIF($P2227,INT($B2227),"m")+(INT($B2227)-EDATE($P2227,DATEDIF($P2227,INT($B2227),"m")))/(EDATE($P2227,DATEDIF($P2227,INT($B2227),"m")+1)-EDATE($P2227,DATEDIF($P2227,INT($B2227),"m"))))/$R2227,0)*$R2227),$P2227))))),"")))</f>
      </c>
      <c r="M2227" s="223">
        <f>IF(OR($C2227="",N($L2227)=0,N($B2227)=0),"",IF(IF(MOD($L2227,1)=0,INT($B2227),$B2227)&lt;=$L2227,"Đúng hạn","Trễ hạn"))</f>
      </c>
      <c r="N2227" s="225">
        <f>IF($C2227="","",ROW())</f>
      </c>
      <c r="O2227" s="225">
        <f>IF($I2227="Công việc",MATCH($C2227,'Kế hoạch'!$A$6:$A$305,0),"")</f>
      </c>
      <c r="P2227" s="234">
        <f>IF($O2227="","",INDEX('Kế hoạch'!$I$6:$I$305,$O2227))</f>
      </c>
      <c r="Q2227" s="225">
        <f>IF($O2227="","",INDEX('Kế hoạch'!$AJ$6:$AJ$305,$O2227))</f>
      </c>
      <c r="R2227" s="225">
        <f>IF($O2227="","",INDEX('Kế hoạch'!$AK$6:$AK$305,$O2227))</f>
      </c>
    </row>
    <row r="2228">
      <c r="A2228" s="223">
        <f>IF($C2228="","",COUNTIF($C$6:$C2228,"?*"))</f>
      </c>
      <c r="B2228" s="217"/>
      <c r="C2228" s="216"/>
      <c r="D2228" s="240"/>
      <c r="E2228" s="218"/>
      <c r="F2228" s="218"/>
      <c r="G2228" s="218"/>
      <c r="H2228" s="219"/>
      <c r="I2228" s="223">
        <f>IF($C2228="","",IF(ISNUMBER(MATCH($C2228,'Phản ánh'!$A$6:$A$505,0)),"Phản ánh",IF(ISNUMBER(MATCH($C2228,'Kế hoạch'!$A$6:$A$305,0)),"Công việc","Mã chưa có")))</f>
      </c>
      <c r="J2228" s="221">
        <f>IF($I2228="Phản ánh",INDEX('Phản ánh'!$C$6:$C$505,MATCH($C2228,'Phản ánh'!$A$6:$A$505,0)),IF($I2228="Công việc",INDEX('Kế hoạch'!$C$6:$C$305,$O2228),""))</f>
      </c>
      <c r="K2228" s="221">
        <f>IF($I2228="Phản ánh",INDEX('Phản ánh'!$K$6:$K$505,MATCH($C2228,'Phản ánh'!$A$6:$A$505,0))&amp;"",IF($I2228="Công việc",INDEX('Kế hoạch'!$N$6:$N$305,$O2228)&amp;"",""))</f>
      </c>
      <c r="L2228" s="220">
        <f>IF(OR($C2228="",N($B2228)=0),"",IF(AND($I2228="Phản ánh",$E2228="Đã xử lý"),INDEX('Phản ánh'!$U$6:$U$505,MATCH($C2228,'Phản ánh'!$A$6:$A$505,0)),IF(AND($I2228="Công việc",OR($E2228="Hoàn thành",$E2228="Hoàn thành kỳ")),IF(INDEX('Kế hoạch'!$B$6:$B$305,$O2228)="Đột xuất",INDEX('Kế hoạch'!$AY$6:$AY$305,$O2228),IF(N($P2228)=0,"",IF(INT($B2228)&lt;$P2228,$P2228,IF($Q2228&gt;0,$P2228+ROUND((INT($B2228)-$P2228)/$Q2228,0)*$Q2228,IF($R2228&gt;0,EDATE($P2228,ROUND((DATEDIF($P2228,INT($B2228),"m")+(INT($B2228)-EDATE($P2228,DATEDIF($P2228,INT($B2228),"m")))/(EDATE($P2228,DATEDIF($P2228,INT($B2228),"m")+1)-EDATE($P2228,DATEDIF($P2228,INT($B2228),"m"))))/$R2228,0)*$R2228),$P2228))))),"")))</f>
      </c>
      <c r="M2228" s="223">
        <f>IF(OR($C2228="",N($L2228)=0,N($B2228)=0),"",IF(IF(MOD($L2228,1)=0,INT($B2228),$B2228)&lt;=$L2228,"Đúng hạn","Trễ hạn"))</f>
      </c>
      <c r="N2228" s="225">
        <f>IF($C2228="","",ROW())</f>
      </c>
      <c r="O2228" s="225">
        <f>IF($I2228="Công việc",MATCH($C2228,'Kế hoạch'!$A$6:$A$305,0),"")</f>
      </c>
      <c r="P2228" s="234">
        <f>IF($O2228="","",INDEX('Kế hoạch'!$I$6:$I$305,$O2228))</f>
      </c>
      <c r="Q2228" s="225">
        <f>IF($O2228="","",INDEX('Kế hoạch'!$AJ$6:$AJ$305,$O2228))</f>
      </c>
      <c r="R2228" s="225">
        <f>IF($O2228="","",INDEX('Kế hoạch'!$AK$6:$AK$305,$O2228))</f>
      </c>
    </row>
    <row r="2229">
      <c r="A2229" s="223">
        <f>IF($C2229="","",COUNTIF($C$6:$C2229,"?*"))</f>
      </c>
      <c r="B2229" s="217"/>
      <c r="C2229" s="216"/>
      <c r="D2229" s="240"/>
      <c r="E2229" s="218"/>
      <c r="F2229" s="218"/>
      <c r="G2229" s="218"/>
      <c r="H2229" s="219"/>
      <c r="I2229" s="223">
        <f>IF($C2229="","",IF(ISNUMBER(MATCH($C2229,'Phản ánh'!$A$6:$A$505,0)),"Phản ánh",IF(ISNUMBER(MATCH($C2229,'Kế hoạch'!$A$6:$A$305,0)),"Công việc","Mã chưa có")))</f>
      </c>
      <c r="J2229" s="221">
        <f>IF($I2229="Phản ánh",INDEX('Phản ánh'!$C$6:$C$505,MATCH($C2229,'Phản ánh'!$A$6:$A$505,0)),IF($I2229="Công việc",INDEX('Kế hoạch'!$C$6:$C$305,$O2229),""))</f>
      </c>
      <c r="K2229" s="221">
        <f>IF($I2229="Phản ánh",INDEX('Phản ánh'!$K$6:$K$505,MATCH($C2229,'Phản ánh'!$A$6:$A$505,0))&amp;"",IF($I2229="Công việc",INDEX('Kế hoạch'!$N$6:$N$305,$O2229)&amp;"",""))</f>
      </c>
      <c r="L2229" s="220">
        <f>IF(OR($C2229="",N($B2229)=0),"",IF(AND($I2229="Phản ánh",$E2229="Đã xử lý"),INDEX('Phản ánh'!$U$6:$U$505,MATCH($C2229,'Phản ánh'!$A$6:$A$505,0)),IF(AND($I2229="Công việc",OR($E2229="Hoàn thành",$E2229="Hoàn thành kỳ")),IF(INDEX('Kế hoạch'!$B$6:$B$305,$O2229)="Đột xuất",INDEX('Kế hoạch'!$AY$6:$AY$305,$O2229),IF(N($P2229)=0,"",IF(INT($B2229)&lt;$P2229,$P2229,IF($Q2229&gt;0,$P2229+ROUND((INT($B2229)-$P2229)/$Q2229,0)*$Q2229,IF($R2229&gt;0,EDATE($P2229,ROUND((DATEDIF($P2229,INT($B2229),"m")+(INT($B2229)-EDATE($P2229,DATEDIF($P2229,INT($B2229),"m")))/(EDATE($P2229,DATEDIF($P2229,INT($B2229),"m")+1)-EDATE($P2229,DATEDIF($P2229,INT($B2229),"m"))))/$R2229,0)*$R2229),$P2229))))),"")))</f>
      </c>
      <c r="M2229" s="223">
        <f>IF(OR($C2229="",N($L2229)=0,N($B2229)=0),"",IF(IF(MOD($L2229,1)=0,INT($B2229),$B2229)&lt;=$L2229,"Đúng hạn","Trễ hạn"))</f>
      </c>
      <c r="N2229" s="225">
        <f>IF($C2229="","",ROW())</f>
      </c>
      <c r="O2229" s="225">
        <f>IF($I2229="Công việc",MATCH($C2229,'Kế hoạch'!$A$6:$A$305,0),"")</f>
      </c>
      <c r="P2229" s="234">
        <f>IF($O2229="","",INDEX('Kế hoạch'!$I$6:$I$305,$O2229))</f>
      </c>
      <c r="Q2229" s="225">
        <f>IF($O2229="","",INDEX('Kế hoạch'!$AJ$6:$AJ$305,$O2229))</f>
      </c>
      <c r="R2229" s="225">
        <f>IF($O2229="","",INDEX('Kế hoạch'!$AK$6:$AK$305,$O2229))</f>
      </c>
    </row>
    <row r="2230">
      <c r="A2230" s="223">
        <f>IF($C2230="","",COUNTIF($C$6:$C2230,"?*"))</f>
      </c>
      <c r="B2230" s="217"/>
      <c r="C2230" s="216"/>
      <c r="D2230" s="240"/>
      <c r="E2230" s="218"/>
      <c r="F2230" s="218"/>
      <c r="G2230" s="218"/>
      <c r="H2230" s="219"/>
      <c r="I2230" s="223">
        <f>IF($C2230="","",IF(ISNUMBER(MATCH($C2230,'Phản ánh'!$A$6:$A$505,0)),"Phản ánh",IF(ISNUMBER(MATCH($C2230,'Kế hoạch'!$A$6:$A$305,0)),"Công việc","Mã chưa có")))</f>
      </c>
      <c r="J2230" s="221">
        <f>IF($I2230="Phản ánh",INDEX('Phản ánh'!$C$6:$C$505,MATCH($C2230,'Phản ánh'!$A$6:$A$505,0)),IF($I2230="Công việc",INDEX('Kế hoạch'!$C$6:$C$305,$O2230),""))</f>
      </c>
      <c r="K2230" s="221">
        <f>IF($I2230="Phản ánh",INDEX('Phản ánh'!$K$6:$K$505,MATCH($C2230,'Phản ánh'!$A$6:$A$505,0))&amp;"",IF($I2230="Công việc",INDEX('Kế hoạch'!$N$6:$N$305,$O2230)&amp;"",""))</f>
      </c>
      <c r="L2230" s="220">
        <f>IF(OR($C2230="",N($B2230)=0),"",IF(AND($I2230="Phản ánh",$E2230="Đã xử lý"),INDEX('Phản ánh'!$U$6:$U$505,MATCH($C2230,'Phản ánh'!$A$6:$A$505,0)),IF(AND($I2230="Công việc",OR($E2230="Hoàn thành",$E2230="Hoàn thành kỳ")),IF(INDEX('Kế hoạch'!$B$6:$B$305,$O2230)="Đột xuất",INDEX('Kế hoạch'!$AY$6:$AY$305,$O2230),IF(N($P2230)=0,"",IF(INT($B2230)&lt;$P2230,$P2230,IF($Q2230&gt;0,$P2230+ROUND((INT($B2230)-$P2230)/$Q2230,0)*$Q2230,IF($R2230&gt;0,EDATE($P2230,ROUND((DATEDIF($P2230,INT($B2230),"m")+(INT($B2230)-EDATE($P2230,DATEDIF($P2230,INT($B2230),"m")))/(EDATE($P2230,DATEDIF($P2230,INT($B2230),"m")+1)-EDATE($P2230,DATEDIF($P2230,INT($B2230),"m"))))/$R2230,0)*$R2230),$P2230))))),"")))</f>
      </c>
      <c r="M2230" s="223">
        <f>IF(OR($C2230="",N($L2230)=0,N($B2230)=0),"",IF(IF(MOD($L2230,1)=0,INT($B2230),$B2230)&lt;=$L2230,"Đúng hạn","Trễ hạn"))</f>
      </c>
      <c r="N2230" s="225">
        <f>IF($C2230="","",ROW())</f>
      </c>
      <c r="O2230" s="225">
        <f>IF($I2230="Công việc",MATCH($C2230,'Kế hoạch'!$A$6:$A$305,0),"")</f>
      </c>
      <c r="P2230" s="234">
        <f>IF($O2230="","",INDEX('Kế hoạch'!$I$6:$I$305,$O2230))</f>
      </c>
      <c r="Q2230" s="225">
        <f>IF($O2230="","",INDEX('Kế hoạch'!$AJ$6:$AJ$305,$O2230))</f>
      </c>
      <c r="R2230" s="225">
        <f>IF($O2230="","",INDEX('Kế hoạch'!$AK$6:$AK$305,$O2230))</f>
      </c>
    </row>
    <row r="2231">
      <c r="A2231" s="223">
        <f>IF($C2231="","",COUNTIF($C$6:$C2231,"?*"))</f>
      </c>
      <c r="B2231" s="217"/>
      <c r="C2231" s="216"/>
      <c r="D2231" s="240"/>
      <c r="E2231" s="218"/>
      <c r="F2231" s="218"/>
      <c r="G2231" s="218"/>
      <c r="H2231" s="219"/>
      <c r="I2231" s="223">
        <f>IF($C2231="","",IF(ISNUMBER(MATCH($C2231,'Phản ánh'!$A$6:$A$505,0)),"Phản ánh",IF(ISNUMBER(MATCH($C2231,'Kế hoạch'!$A$6:$A$305,0)),"Công việc","Mã chưa có")))</f>
      </c>
      <c r="J2231" s="221">
        <f>IF($I2231="Phản ánh",INDEX('Phản ánh'!$C$6:$C$505,MATCH($C2231,'Phản ánh'!$A$6:$A$505,0)),IF($I2231="Công việc",INDEX('Kế hoạch'!$C$6:$C$305,$O2231),""))</f>
      </c>
      <c r="K2231" s="221">
        <f>IF($I2231="Phản ánh",INDEX('Phản ánh'!$K$6:$K$505,MATCH($C2231,'Phản ánh'!$A$6:$A$505,0))&amp;"",IF($I2231="Công việc",INDEX('Kế hoạch'!$N$6:$N$305,$O2231)&amp;"",""))</f>
      </c>
      <c r="L2231" s="220">
        <f>IF(OR($C2231="",N($B2231)=0),"",IF(AND($I2231="Phản ánh",$E2231="Đã xử lý"),INDEX('Phản ánh'!$U$6:$U$505,MATCH($C2231,'Phản ánh'!$A$6:$A$505,0)),IF(AND($I2231="Công việc",OR($E2231="Hoàn thành",$E2231="Hoàn thành kỳ")),IF(INDEX('Kế hoạch'!$B$6:$B$305,$O2231)="Đột xuất",INDEX('Kế hoạch'!$AY$6:$AY$305,$O2231),IF(N($P2231)=0,"",IF(INT($B2231)&lt;$P2231,$P2231,IF($Q2231&gt;0,$P2231+ROUND((INT($B2231)-$P2231)/$Q2231,0)*$Q2231,IF($R2231&gt;0,EDATE($P2231,ROUND((DATEDIF($P2231,INT($B2231),"m")+(INT($B2231)-EDATE($P2231,DATEDIF($P2231,INT($B2231),"m")))/(EDATE($P2231,DATEDIF($P2231,INT($B2231),"m")+1)-EDATE($P2231,DATEDIF($P2231,INT($B2231),"m"))))/$R2231,0)*$R2231),$P2231))))),"")))</f>
      </c>
      <c r="M2231" s="223">
        <f>IF(OR($C2231="",N($L2231)=0,N($B2231)=0),"",IF(IF(MOD($L2231,1)=0,INT($B2231),$B2231)&lt;=$L2231,"Đúng hạn","Trễ hạn"))</f>
      </c>
      <c r="N2231" s="225">
        <f>IF($C2231="","",ROW())</f>
      </c>
      <c r="O2231" s="225">
        <f>IF($I2231="Công việc",MATCH($C2231,'Kế hoạch'!$A$6:$A$305,0),"")</f>
      </c>
      <c r="P2231" s="234">
        <f>IF($O2231="","",INDEX('Kế hoạch'!$I$6:$I$305,$O2231))</f>
      </c>
      <c r="Q2231" s="225">
        <f>IF($O2231="","",INDEX('Kế hoạch'!$AJ$6:$AJ$305,$O2231))</f>
      </c>
      <c r="R2231" s="225">
        <f>IF($O2231="","",INDEX('Kế hoạch'!$AK$6:$AK$305,$O2231))</f>
      </c>
    </row>
    <row r="2232">
      <c r="A2232" s="223">
        <f>IF($C2232="","",COUNTIF($C$6:$C2232,"?*"))</f>
      </c>
      <c r="B2232" s="217"/>
      <c r="C2232" s="216"/>
      <c r="D2232" s="240"/>
      <c r="E2232" s="218"/>
      <c r="F2232" s="218"/>
      <c r="G2232" s="218"/>
      <c r="H2232" s="219"/>
      <c r="I2232" s="223">
        <f>IF($C2232="","",IF(ISNUMBER(MATCH($C2232,'Phản ánh'!$A$6:$A$505,0)),"Phản ánh",IF(ISNUMBER(MATCH($C2232,'Kế hoạch'!$A$6:$A$305,0)),"Công việc","Mã chưa có")))</f>
      </c>
      <c r="J2232" s="221">
        <f>IF($I2232="Phản ánh",INDEX('Phản ánh'!$C$6:$C$505,MATCH($C2232,'Phản ánh'!$A$6:$A$505,0)),IF($I2232="Công việc",INDEX('Kế hoạch'!$C$6:$C$305,$O2232),""))</f>
      </c>
      <c r="K2232" s="221">
        <f>IF($I2232="Phản ánh",INDEX('Phản ánh'!$K$6:$K$505,MATCH($C2232,'Phản ánh'!$A$6:$A$505,0))&amp;"",IF($I2232="Công việc",INDEX('Kế hoạch'!$N$6:$N$305,$O2232)&amp;"",""))</f>
      </c>
      <c r="L2232" s="220">
        <f>IF(OR($C2232="",N($B2232)=0),"",IF(AND($I2232="Phản ánh",$E2232="Đã xử lý"),INDEX('Phản ánh'!$U$6:$U$505,MATCH($C2232,'Phản ánh'!$A$6:$A$505,0)),IF(AND($I2232="Công việc",OR($E2232="Hoàn thành",$E2232="Hoàn thành kỳ")),IF(INDEX('Kế hoạch'!$B$6:$B$305,$O2232)="Đột xuất",INDEX('Kế hoạch'!$AY$6:$AY$305,$O2232),IF(N($P2232)=0,"",IF(INT($B2232)&lt;$P2232,$P2232,IF($Q2232&gt;0,$P2232+ROUND((INT($B2232)-$P2232)/$Q2232,0)*$Q2232,IF($R2232&gt;0,EDATE($P2232,ROUND((DATEDIF($P2232,INT($B2232),"m")+(INT($B2232)-EDATE($P2232,DATEDIF($P2232,INT($B2232),"m")))/(EDATE($P2232,DATEDIF($P2232,INT($B2232),"m")+1)-EDATE($P2232,DATEDIF($P2232,INT($B2232),"m"))))/$R2232,0)*$R2232),$P2232))))),"")))</f>
      </c>
      <c r="M2232" s="223">
        <f>IF(OR($C2232="",N($L2232)=0,N($B2232)=0),"",IF(IF(MOD($L2232,1)=0,INT($B2232),$B2232)&lt;=$L2232,"Đúng hạn","Trễ hạn"))</f>
      </c>
      <c r="N2232" s="225">
        <f>IF($C2232="","",ROW())</f>
      </c>
      <c r="O2232" s="225">
        <f>IF($I2232="Công việc",MATCH($C2232,'Kế hoạch'!$A$6:$A$305,0),"")</f>
      </c>
      <c r="P2232" s="234">
        <f>IF($O2232="","",INDEX('Kế hoạch'!$I$6:$I$305,$O2232))</f>
      </c>
      <c r="Q2232" s="225">
        <f>IF($O2232="","",INDEX('Kế hoạch'!$AJ$6:$AJ$305,$O2232))</f>
      </c>
      <c r="R2232" s="225">
        <f>IF($O2232="","",INDEX('Kế hoạch'!$AK$6:$AK$305,$O2232))</f>
      </c>
    </row>
    <row r="2233">
      <c r="A2233" s="223">
        <f>IF($C2233="","",COUNTIF($C$6:$C2233,"?*"))</f>
      </c>
      <c r="B2233" s="217"/>
      <c r="C2233" s="216"/>
      <c r="D2233" s="240"/>
      <c r="E2233" s="218"/>
      <c r="F2233" s="218"/>
      <c r="G2233" s="218"/>
      <c r="H2233" s="219"/>
      <c r="I2233" s="223">
        <f>IF($C2233="","",IF(ISNUMBER(MATCH($C2233,'Phản ánh'!$A$6:$A$505,0)),"Phản ánh",IF(ISNUMBER(MATCH($C2233,'Kế hoạch'!$A$6:$A$305,0)),"Công việc","Mã chưa có")))</f>
      </c>
      <c r="J2233" s="221">
        <f>IF($I2233="Phản ánh",INDEX('Phản ánh'!$C$6:$C$505,MATCH($C2233,'Phản ánh'!$A$6:$A$505,0)),IF($I2233="Công việc",INDEX('Kế hoạch'!$C$6:$C$305,$O2233),""))</f>
      </c>
      <c r="K2233" s="221">
        <f>IF($I2233="Phản ánh",INDEX('Phản ánh'!$K$6:$K$505,MATCH($C2233,'Phản ánh'!$A$6:$A$505,0))&amp;"",IF($I2233="Công việc",INDEX('Kế hoạch'!$N$6:$N$305,$O2233)&amp;"",""))</f>
      </c>
      <c r="L2233" s="220">
        <f>IF(OR($C2233="",N($B2233)=0),"",IF(AND($I2233="Phản ánh",$E2233="Đã xử lý"),INDEX('Phản ánh'!$U$6:$U$505,MATCH($C2233,'Phản ánh'!$A$6:$A$505,0)),IF(AND($I2233="Công việc",OR($E2233="Hoàn thành",$E2233="Hoàn thành kỳ")),IF(INDEX('Kế hoạch'!$B$6:$B$305,$O2233)="Đột xuất",INDEX('Kế hoạch'!$AY$6:$AY$305,$O2233),IF(N($P2233)=0,"",IF(INT($B2233)&lt;$P2233,$P2233,IF($Q2233&gt;0,$P2233+ROUND((INT($B2233)-$P2233)/$Q2233,0)*$Q2233,IF($R2233&gt;0,EDATE($P2233,ROUND((DATEDIF($P2233,INT($B2233),"m")+(INT($B2233)-EDATE($P2233,DATEDIF($P2233,INT($B2233),"m")))/(EDATE($P2233,DATEDIF($P2233,INT($B2233),"m")+1)-EDATE($P2233,DATEDIF($P2233,INT($B2233),"m"))))/$R2233,0)*$R2233),$P2233))))),"")))</f>
      </c>
      <c r="M2233" s="223">
        <f>IF(OR($C2233="",N($L2233)=0,N($B2233)=0),"",IF(IF(MOD($L2233,1)=0,INT($B2233),$B2233)&lt;=$L2233,"Đúng hạn","Trễ hạn"))</f>
      </c>
      <c r="N2233" s="225">
        <f>IF($C2233="","",ROW())</f>
      </c>
      <c r="O2233" s="225">
        <f>IF($I2233="Công việc",MATCH($C2233,'Kế hoạch'!$A$6:$A$305,0),"")</f>
      </c>
      <c r="P2233" s="234">
        <f>IF($O2233="","",INDEX('Kế hoạch'!$I$6:$I$305,$O2233))</f>
      </c>
      <c r="Q2233" s="225">
        <f>IF($O2233="","",INDEX('Kế hoạch'!$AJ$6:$AJ$305,$O2233))</f>
      </c>
      <c r="R2233" s="225">
        <f>IF($O2233="","",INDEX('Kế hoạch'!$AK$6:$AK$305,$O2233))</f>
      </c>
    </row>
    <row r="2234">
      <c r="A2234" s="223">
        <f>IF($C2234="","",COUNTIF($C$6:$C2234,"?*"))</f>
      </c>
      <c r="B2234" s="217"/>
      <c r="C2234" s="216"/>
      <c r="D2234" s="240"/>
      <c r="E2234" s="218"/>
      <c r="F2234" s="218"/>
      <c r="G2234" s="218"/>
      <c r="H2234" s="219"/>
      <c r="I2234" s="223">
        <f>IF($C2234="","",IF(ISNUMBER(MATCH($C2234,'Phản ánh'!$A$6:$A$505,0)),"Phản ánh",IF(ISNUMBER(MATCH($C2234,'Kế hoạch'!$A$6:$A$305,0)),"Công việc","Mã chưa có")))</f>
      </c>
      <c r="J2234" s="221">
        <f>IF($I2234="Phản ánh",INDEX('Phản ánh'!$C$6:$C$505,MATCH($C2234,'Phản ánh'!$A$6:$A$505,0)),IF($I2234="Công việc",INDEX('Kế hoạch'!$C$6:$C$305,$O2234),""))</f>
      </c>
      <c r="K2234" s="221">
        <f>IF($I2234="Phản ánh",INDEX('Phản ánh'!$K$6:$K$505,MATCH($C2234,'Phản ánh'!$A$6:$A$505,0))&amp;"",IF($I2234="Công việc",INDEX('Kế hoạch'!$N$6:$N$305,$O2234)&amp;"",""))</f>
      </c>
      <c r="L2234" s="220">
        <f>IF(OR($C2234="",N($B2234)=0),"",IF(AND($I2234="Phản ánh",$E2234="Đã xử lý"),INDEX('Phản ánh'!$U$6:$U$505,MATCH($C2234,'Phản ánh'!$A$6:$A$505,0)),IF(AND($I2234="Công việc",OR($E2234="Hoàn thành",$E2234="Hoàn thành kỳ")),IF(INDEX('Kế hoạch'!$B$6:$B$305,$O2234)="Đột xuất",INDEX('Kế hoạch'!$AY$6:$AY$305,$O2234),IF(N($P2234)=0,"",IF(INT($B2234)&lt;$P2234,$P2234,IF($Q2234&gt;0,$P2234+ROUND((INT($B2234)-$P2234)/$Q2234,0)*$Q2234,IF($R2234&gt;0,EDATE($P2234,ROUND((DATEDIF($P2234,INT($B2234),"m")+(INT($B2234)-EDATE($P2234,DATEDIF($P2234,INT($B2234),"m")))/(EDATE($P2234,DATEDIF($P2234,INT($B2234),"m")+1)-EDATE($P2234,DATEDIF($P2234,INT($B2234),"m"))))/$R2234,0)*$R2234),$P2234))))),"")))</f>
      </c>
      <c r="M2234" s="223">
        <f>IF(OR($C2234="",N($L2234)=0,N($B2234)=0),"",IF(IF(MOD($L2234,1)=0,INT($B2234),$B2234)&lt;=$L2234,"Đúng hạn","Trễ hạn"))</f>
      </c>
      <c r="N2234" s="225">
        <f>IF($C2234="","",ROW())</f>
      </c>
      <c r="O2234" s="225">
        <f>IF($I2234="Công việc",MATCH($C2234,'Kế hoạch'!$A$6:$A$305,0),"")</f>
      </c>
      <c r="P2234" s="234">
        <f>IF($O2234="","",INDEX('Kế hoạch'!$I$6:$I$305,$O2234))</f>
      </c>
      <c r="Q2234" s="225">
        <f>IF($O2234="","",INDEX('Kế hoạch'!$AJ$6:$AJ$305,$O2234))</f>
      </c>
      <c r="R2234" s="225">
        <f>IF($O2234="","",INDEX('Kế hoạch'!$AK$6:$AK$305,$O2234))</f>
      </c>
    </row>
    <row r="2235">
      <c r="A2235" s="223">
        <f>IF($C2235="","",COUNTIF($C$6:$C2235,"?*"))</f>
      </c>
      <c r="B2235" s="217"/>
      <c r="C2235" s="216"/>
      <c r="D2235" s="240"/>
      <c r="E2235" s="218"/>
      <c r="F2235" s="218"/>
      <c r="G2235" s="218"/>
      <c r="H2235" s="219"/>
      <c r="I2235" s="223">
        <f>IF($C2235="","",IF(ISNUMBER(MATCH($C2235,'Phản ánh'!$A$6:$A$505,0)),"Phản ánh",IF(ISNUMBER(MATCH($C2235,'Kế hoạch'!$A$6:$A$305,0)),"Công việc","Mã chưa có")))</f>
      </c>
      <c r="J2235" s="221">
        <f>IF($I2235="Phản ánh",INDEX('Phản ánh'!$C$6:$C$505,MATCH($C2235,'Phản ánh'!$A$6:$A$505,0)),IF($I2235="Công việc",INDEX('Kế hoạch'!$C$6:$C$305,$O2235),""))</f>
      </c>
      <c r="K2235" s="221">
        <f>IF($I2235="Phản ánh",INDEX('Phản ánh'!$K$6:$K$505,MATCH($C2235,'Phản ánh'!$A$6:$A$505,0))&amp;"",IF($I2235="Công việc",INDEX('Kế hoạch'!$N$6:$N$305,$O2235)&amp;"",""))</f>
      </c>
      <c r="L2235" s="220">
        <f>IF(OR($C2235="",N($B2235)=0),"",IF(AND($I2235="Phản ánh",$E2235="Đã xử lý"),INDEX('Phản ánh'!$U$6:$U$505,MATCH($C2235,'Phản ánh'!$A$6:$A$505,0)),IF(AND($I2235="Công việc",OR($E2235="Hoàn thành",$E2235="Hoàn thành kỳ")),IF(INDEX('Kế hoạch'!$B$6:$B$305,$O2235)="Đột xuất",INDEX('Kế hoạch'!$AY$6:$AY$305,$O2235),IF(N($P2235)=0,"",IF(INT($B2235)&lt;$P2235,$P2235,IF($Q2235&gt;0,$P2235+ROUND((INT($B2235)-$P2235)/$Q2235,0)*$Q2235,IF($R2235&gt;0,EDATE($P2235,ROUND((DATEDIF($P2235,INT($B2235),"m")+(INT($B2235)-EDATE($P2235,DATEDIF($P2235,INT($B2235),"m")))/(EDATE($P2235,DATEDIF($P2235,INT($B2235),"m")+1)-EDATE($P2235,DATEDIF($P2235,INT($B2235),"m"))))/$R2235,0)*$R2235),$P2235))))),"")))</f>
      </c>
      <c r="M2235" s="223">
        <f>IF(OR($C2235="",N($L2235)=0,N($B2235)=0),"",IF(IF(MOD($L2235,1)=0,INT($B2235),$B2235)&lt;=$L2235,"Đúng hạn","Trễ hạn"))</f>
      </c>
      <c r="N2235" s="225">
        <f>IF($C2235="","",ROW())</f>
      </c>
      <c r="O2235" s="225">
        <f>IF($I2235="Công việc",MATCH($C2235,'Kế hoạch'!$A$6:$A$305,0),"")</f>
      </c>
      <c r="P2235" s="234">
        <f>IF($O2235="","",INDEX('Kế hoạch'!$I$6:$I$305,$O2235))</f>
      </c>
      <c r="Q2235" s="225">
        <f>IF($O2235="","",INDEX('Kế hoạch'!$AJ$6:$AJ$305,$O2235))</f>
      </c>
      <c r="R2235" s="225">
        <f>IF($O2235="","",INDEX('Kế hoạch'!$AK$6:$AK$305,$O2235))</f>
      </c>
    </row>
    <row r="2236">
      <c r="A2236" s="223">
        <f>IF($C2236="","",COUNTIF($C$6:$C2236,"?*"))</f>
      </c>
      <c r="B2236" s="217"/>
      <c r="C2236" s="216"/>
      <c r="D2236" s="240"/>
      <c r="E2236" s="218"/>
      <c r="F2236" s="218"/>
      <c r="G2236" s="218"/>
      <c r="H2236" s="219"/>
      <c r="I2236" s="223">
        <f>IF($C2236="","",IF(ISNUMBER(MATCH($C2236,'Phản ánh'!$A$6:$A$505,0)),"Phản ánh",IF(ISNUMBER(MATCH($C2236,'Kế hoạch'!$A$6:$A$305,0)),"Công việc","Mã chưa có")))</f>
      </c>
      <c r="J2236" s="221">
        <f>IF($I2236="Phản ánh",INDEX('Phản ánh'!$C$6:$C$505,MATCH($C2236,'Phản ánh'!$A$6:$A$505,0)),IF($I2236="Công việc",INDEX('Kế hoạch'!$C$6:$C$305,$O2236),""))</f>
      </c>
      <c r="K2236" s="221">
        <f>IF($I2236="Phản ánh",INDEX('Phản ánh'!$K$6:$K$505,MATCH($C2236,'Phản ánh'!$A$6:$A$505,0))&amp;"",IF($I2236="Công việc",INDEX('Kế hoạch'!$N$6:$N$305,$O2236)&amp;"",""))</f>
      </c>
      <c r="L2236" s="220">
        <f>IF(OR($C2236="",N($B2236)=0),"",IF(AND($I2236="Phản ánh",$E2236="Đã xử lý"),INDEX('Phản ánh'!$U$6:$U$505,MATCH($C2236,'Phản ánh'!$A$6:$A$505,0)),IF(AND($I2236="Công việc",OR($E2236="Hoàn thành",$E2236="Hoàn thành kỳ")),IF(INDEX('Kế hoạch'!$B$6:$B$305,$O2236)="Đột xuất",INDEX('Kế hoạch'!$AY$6:$AY$305,$O2236),IF(N($P2236)=0,"",IF(INT($B2236)&lt;$P2236,$P2236,IF($Q2236&gt;0,$P2236+ROUND((INT($B2236)-$P2236)/$Q2236,0)*$Q2236,IF($R2236&gt;0,EDATE($P2236,ROUND((DATEDIF($P2236,INT($B2236),"m")+(INT($B2236)-EDATE($P2236,DATEDIF($P2236,INT($B2236),"m")))/(EDATE($P2236,DATEDIF($P2236,INT($B2236),"m")+1)-EDATE($P2236,DATEDIF($P2236,INT($B2236),"m"))))/$R2236,0)*$R2236),$P2236))))),"")))</f>
      </c>
      <c r="M2236" s="223">
        <f>IF(OR($C2236="",N($L2236)=0,N($B2236)=0),"",IF(IF(MOD($L2236,1)=0,INT($B2236),$B2236)&lt;=$L2236,"Đúng hạn","Trễ hạn"))</f>
      </c>
      <c r="N2236" s="225">
        <f>IF($C2236="","",ROW())</f>
      </c>
      <c r="O2236" s="225">
        <f>IF($I2236="Công việc",MATCH($C2236,'Kế hoạch'!$A$6:$A$305,0),"")</f>
      </c>
      <c r="P2236" s="234">
        <f>IF($O2236="","",INDEX('Kế hoạch'!$I$6:$I$305,$O2236))</f>
      </c>
      <c r="Q2236" s="225">
        <f>IF($O2236="","",INDEX('Kế hoạch'!$AJ$6:$AJ$305,$O2236))</f>
      </c>
      <c r="R2236" s="225">
        <f>IF($O2236="","",INDEX('Kế hoạch'!$AK$6:$AK$305,$O2236))</f>
      </c>
    </row>
    <row r="2237">
      <c r="A2237" s="223">
        <f>IF($C2237="","",COUNTIF($C$6:$C2237,"?*"))</f>
      </c>
      <c r="B2237" s="217"/>
      <c r="C2237" s="216"/>
      <c r="D2237" s="240"/>
      <c r="E2237" s="218"/>
      <c r="F2237" s="218"/>
      <c r="G2237" s="218"/>
      <c r="H2237" s="219"/>
      <c r="I2237" s="223">
        <f>IF($C2237="","",IF(ISNUMBER(MATCH($C2237,'Phản ánh'!$A$6:$A$505,0)),"Phản ánh",IF(ISNUMBER(MATCH($C2237,'Kế hoạch'!$A$6:$A$305,0)),"Công việc","Mã chưa có")))</f>
      </c>
      <c r="J2237" s="221">
        <f>IF($I2237="Phản ánh",INDEX('Phản ánh'!$C$6:$C$505,MATCH($C2237,'Phản ánh'!$A$6:$A$505,0)),IF($I2237="Công việc",INDEX('Kế hoạch'!$C$6:$C$305,$O2237),""))</f>
      </c>
      <c r="K2237" s="221">
        <f>IF($I2237="Phản ánh",INDEX('Phản ánh'!$K$6:$K$505,MATCH($C2237,'Phản ánh'!$A$6:$A$505,0))&amp;"",IF($I2237="Công việc",INDEX('Kế hoạch'!$N$6:$N$305,$O2237)&amp;"",""))</f>
      </c>
      <c r="L2237" s="220">
        <f>IF(OR($C2237="",N($B2237)=0),"",IF(AND($I2237="Phản ánh",$E2237="Đã xử lý"),INDEX('Phản ánh'!$U$6:$U$505,MATCH($C2237,'Phản ánh'!$A$6:$A$505,0)),IF(AND($I2237="Công việc",OR($E2237="Hoàn thành",$E2237="Hoàn thành kỳ")),IF(INDEX('Kế hoạch'!$B$6:$B$305,$O2237)="Đột xuất",INDEX('Kế hoạch'!$AY$6:$AY$305,$O2237),IF(N($P2237)=0,"",IF(INT($B2237)&lt;$P2237,$P2237,IF($Q2237&gt;0,$P2237+ROUND((INT($B2237)-$P2237)/$Q2237,0)*$Q2237,IF($R2237&gt;0,EDATE($P2237,ROUND((DATEDIF($P2237,INT($B2237),"m")+(INT($B2237)-EDATE($P2237,DATEDIF($P2237,INT($B2237),"m")))/(EDATE($P2237,DATEDIF($P2237,INT($B2237),"m")+1)-EDATE($P2237,DATEDIF($P2237,INT($B2237),"m"))))/$R2237,0)*$R2237),$P2237))))),"")))</f>
      </c>
      <c r="M2237" s="223">
        <f>IF(OR($C2237="",N($L2237)=0,N($B2237)=0),"",IF(IF(MOD($L2237,1)=0,INT($B2237),$B2237)&lt;=$L2237,"Đúng hạn","Trễ hạn"))</f>
      </c>
      <c r="N2237" s="225">
        <f>IF($C2237="","",ROW())</f>
      </c>
      <c r="O2237" s="225">
        <f>IF($I2237="Công việc",MATCH($C2237,'Kế hoạch'!$A$6:$A$305,0),"")</f>
      </c>
      <c r="P2237" s="234">
        <f>IF($O2237="","",INDEX('Kế hoạch'!$I$6:$I$305,$O2237))</f>
      </c>
      <c r="Q2237" s="225">
        <f>IF($O2237="","",INDEX('Kế hoạch'!$AJ$6:$AJ$305,$O2237))</f>
      </c>
      <c r="R2237" s="225">
        <f>IF($O2237="","",INDEX('Kế hoạch'!$AK$6:$AK$305,$O2237))</f>
      </c>
    </row>
    <row r="2238">
      <c r="A2238" s="223">
        <f>IF($C2238="","",COUNTIF($C$6:$C2238,"?*"))</f>
      </c>
      <c r="B2238" s="217"/>
      <c r="C2238" s="216"/>
      <c r="D2238" s="240"/>
      <c r="E2238" s="218"/>
      <c r="F2238" s="218"/>
      <c r="G2238" s="218"/>
      <c r="H2238" s="219"/>
      <c r="I2238" s="223">
        <f>IF($C2238="","",IF(ISNUMBER(MATCH($C2238,'Phản ánh'!$A$6:$A$505,0)),"Phản ánh",IF(ISNUMBER(MATCH($C2238,'Kế hoạch'!$A$6:$A$305,0)),"Công việc","Mã chưa có")))</f>
      </c>
      <c r="J2238" s="221">
        <f>IF($I2238="Phản ánh",INDEX('Phản ánh'!$C$6:$C$505,MATCH($C2238,'Phản ánh'!$A$6:$A$505,0)),IF($I2238="Công việc",INDEX('Kế hoạch'!$C$6:$C$305,$O2238),""))</f>
      </c>
      <c r="K2238" s="221">
        <f>IF($I2238="Phản ánh",INDEX('Phản ánh'!$K$6:$K$505,MATCH($C2238,'Phản ánh'!$A$6:$A$505,0))&amp;"",IF($I2238="Công việc",INDEX('Kế hoạch'!$N$6:$N$305,$O2238)&amp;"",""))</f>
      </c>
      <c r="L2238" s="220">
        <f>IF(OR($C2238="",N($B2238)=0),"",IF(AND($I2238="Phản ánh",$E2238="Đã xử lý"),INDEX('Phản ánh'!$U$6:$U$505,MATCH($C2238,'Phản ánh'!$A$6:$A$505,0)),IF(AND($I2238="Công việc",OR($E2238="Hoàn thành",$E2238="Hoàn thành kỳ")),IF(INDEX('Kế hoạch'!$B$6:$B$305,$O2238)="Đột xuất",INDEX('Kế hoạch'!$AY$6:$AY$305,$O2238),IF(N($P2238)=0,"",IF(INT($B2238)&lt;$P2238,$P2238,IF($Q2238&gt;0,$P2238+ROUND((INT($B2238)-$P2238)/$Q2238,0)*$Q2238,IF($R2238&gt;0,EDATE($P2238,ROUND((DATEDIF($P2238,INT($B2238),"m")+(INT($B2238)-EDATE($P2238,DATEDIF($P2238,INT($B2238),"m")))/(EDATE($P2238,DATEDIF($P2238,INT($B2238),"m")+1)-EDATE($P2238,DATEDIF($P2238,INT($B2238),"m"))))/$R2238,0)*$R2238),$P2238))))),"")))</f>
      </c>
      <c r="M2238" s="223">
        <f>IF(OR($C2238="",N($L2238)=0,N($B2238)=0),"",IF(IF(MOD($L2238,1)=0,INT($B2238),$B2238)&lt;=$L2238,"Đúng hạn","Trễ hạn"))</f>
      </c>
      <c r="N2238" s="225">
        <f>IF($C2238="","",ROW())</f>
      </c>
      <c r="O2238" s="225">
        <f>IF($I2238="Công việc",MATCH($C2238,'Kế hoạch'!$A$6:$A$305,0),"")</f>
      </c>
      <c r="P2238" s="234">
        <f>IF($O2238="","",INDEX('Kế hoạch'!$I$6:$I$305,$O2238))</f>
      </c>
      <c r="Q2238" s="225">
        <f>IF($O2238="","",INDEX('Kế hoạch'!$AJ$6:$AJ$305,$O2238))</f>
      </c>
      <c r="R2238" s="225">
        <f>IF($O2238="","",INDEX('Kế hoạch'!$AK$6:$AK$305,$O2238))</f>
      </c>
    </row>
    <row r="2239">
      <c r="A2239" s="223">
        <f>IF($C2239="","",COUNTIF($C$6:$C2239,"?*"))</f>
      </c>
      <c r="B2239" s="217"/>
      <c r="C2239" s="216"/>
      <c r="D2239" s="240"/>
      <c r="E2239" s="218"/>
      <c r="F2239" s="218"/>
      <c r="G2239" s="218"/>
      <c r="H2239" s="219"/>
      <c r="I2239" s="223">
        <f>IF($C2239="","",IF(ISNUMBER(MATCH($C2239,'Phản ánh'!$A$6:$A$505,0)),"Phản ánh",IF(ISNUMBER(MATCH($C2239,'Kế hoạch'!$A$6:$A$305,0)),"Công việc","Mã chưa có")))</f>
      </c>
      <c r="J2239" s="221">
        <f>IF($I2239="Phản ánh",INDEX('Phản ánh'!$C$6:$C$505,MATCH($C2239,'Phản ánh'!$A$6:$A$505,0)),IF($I2239="Công việc",INDEX('Kế hoạch'!$C$6:$C$305,$O2239),""))</f>
      </c>
      <c r="K2239" s="221">
        <f>IF($I2239="Phản ánh",INDEX('Phản ánh'!$K$6:$K$505,MATCH($C2239,'Phản ánh'!$A$6:$A$505,0))&amp;"",IF($I2239="Công việc",INDEX('Kế hoạch'!$N$6:$N$305,$O2239)&amp;"",""))</f>
      </c>
      <c r="L2239" s="220">
        <f>IF(OR($C2239="",N($B2239)=0),"",IF(AND($I2239="Phản ánh",$E2239="Đã xử lý"),INDEX('Phản ánh'!$U$6:$U$505,MATCH($C2239,'Phản ánh'!$A$6:$A$505,0)),IF(AND($I2239="Công việc",OR($E2239="Hoàn thành",$E2239="Hoàn thành kỳ")),IF(INDEX('Kế hoạch'!$B$6:$B$305,$O2239)="Đột xuất",INDEX('Kế hoạch'!$AY$6:$AY$305,$O2239),IF(N($P2239)=0,"",IF(INT($B2239)&lt;$P2239,$P2239,IF($Q2239&gt;0,$P2239+ROUND((INT($B2239)-$P2239)/$Q2239,0)*$Q2239,IF($R2239&gt;0,EDATE($P2239,ROUND((DATEDIF($P2239,INT($B2239),"m")+(INT($B2239)-EDATE($P2239,DATEDIF($P2239,INT($B2239),"m")))/(EDATE($P2239,DATEDIF($P2239,INT($B2239),"m")+1)-EDATE($P2239,DATEDIF($P2239,INT($B2239),"m"))))/$R2239,0)*$R2239),$P2239))))),"")))</f>
      </c>
      <c r="M2239" s="223">
        <f>IF(OR($C2239="",N($L2239)=0,N($B2239)=0),"",IF(IF(MOD($L2239,1)=0,INT($B2239),$B2239)&lt;=$L2239,"Đúng hạn","Trễ hạn"))</f>
      </c>
      <c r="N2239" s="225">
        <f>IF($C2239="","",ROW())</f>
      </c>
      <c r="O2239" s="225">
        <f>IF($I2239="Công việc",MATCH($C2239,'Kế hoạch'!$A$6:$A$305,0),"")</f>
      </c>
      <c r="P2239" s="234">
        <f>IF($O2239="","",INDEX('Kế hoạch'!$I$6:$I$305,$O2239))</f>
      </c>
      <c r="Q2239" s="225">
        <f>IF($O2239="","",INDEX('Kế hoạch'!$AJ$6:$AJ$305,$O2239))</f>
      </c>
      <c r="R2239" s="225">
        <f>IF($O2239="","",INDEX('Kế hoạch'!$AK$6:$AK$305,$O2239))</f>
      </c>
    </row>
    <row r="2240">
      <c r="A2240" s="223">
        <f>IF($C2240="","",COUNTIF($C$6:$C2240,"?*"))</f>
      </c>
      <c r="B2240" s="217"/>
      <c r="C2240" s="216"/>
      <c r="D2240" s="240"/>
      <c r="E2240" s="218"/>
      <c r="F2240" s="218"/>
      <c r="G2240" s="218"/>
      <c r="H2240" s="219"/>
      <c r="I2240" s="223">
        <f>IF($C2240="","",IF(ISNUMBER(MATCH($C2240,'Phản ánh'!$A$6:$A$505,0)),"Phản ánh",IF(ISNUMBER(MATCH($C2240,'Kế hoạch'!$A$6:$A$305,0)),"Công việc","Mã chưa có")))</f>
      </c>
      <c r="J2240" s="221">
        <f>IF($I2240="Phản ánh",INDEX('Phản ánh'!$C$6:$C$505,MATCH($C2240,'Phản ánh'!$A$6:$A$505,0)),IF($I2240="Công việc",INDEX('Kế hoạch'!$C$6:$C$305,$O2240),""))</f>
      </c>
      <c r="K2240" s="221">
        <f>IF($I2240="Phản ánh",INDEX('Phản ánh'!$K$6:$K$505,MATCH($C2240,'Phản ánh'!$A$6:$A$505,0))&amp;"",IF($I2240="Công việc",INDEX('Kế hoạch'!$N$6:$N$305,$O2240)&amp;"",""))</f>
      </c>
      <c r="L2240" s="220">
        <f>IF(OR($C2240="",N($B2240)=0),"",IF(AND($I2240="Phản ánh",$E2240="Đã xử lý"),INDEX('Phản ánh'!$U$6:$U$505,MATCH($C2240,'Phản ánh'!$A$6:$A$505,0)),IF(AND($I2240="Công việc",OR($E2240="Hoàn thành",$E2240="Hoàn thành kỳ")),IF(INDEX('Kế hoạch'!$B$6:$B$305,$O2240)="Đột xuất",INDEX('Kế hoạch'!$AY$6:$AY$305,$O2240),IF(N($P2240)=0,"",IF(INT($B2240)&lt;$P2240,$P2240,IF($Q2240&gt;0,$P2240+ROUND((INT($B2240)-$P2240)/$Q2240,0)*$Q2240,IF($R2240&gt;0,EDATE($P2240,ROUND((DATEDIF($P2240,INT($B2240),"m")+(INT($B2240)-EDATE($P2240,DATEDIF($P2240,INT($B2240),"m")))/(EDATE($P2240,DATEDIF($P2240,INT($B2240),"m")+1)-EDATE($P2240,DATEDIF($P2240,INT($B2240),"m"))))/$R2240,0)*$R2240),$P2240))))),"")))</f>
      </c>
      <c r="M2240" s="223">
        <f>IF(OR($C2240="",N($L2240)=0,N($B2240)=0),"",IF(IF(MOD($L2240,1)=0,INT($B2240),$B2240)&lt;=$L2240,"Đúng hạn","Trễ hạn"))</f>
      </c>
      <c r="N2240" s="225">
        <f>IF($C2240="","",ROW())</f>
      </c>
      <c r="O2240" s="225">
        <f>IF($I2240="Công việc",MATCH($C2240,'Kế hoạch'!$A$6:$A$305,0),"")</f>
      </c>
      <c r="P2240" s="234">
        <f>IF($O2240="","",INDEX('Kế hoạch'!$I$6:$I$305,$O2240))</f>
      </c>
      <c r="Q2240" s="225">
        <f>IF($O2240="","",INDEX('Kế hoạch'!$AJ$6:$AJ$305,$O2240))</f>
      </c>
      <c r="R2240" s="225">
        <f>IF($O2240="","",INDEX('Kế hoạch'!$AK$6:$AK$305,$O2240))</f>
      </c>
    </row>
    <row r="2241">
      <c r="A2241" s="223">
        <f>IF($C2241="","",COUNTIF($C$6:$C2241,"?*"))</f>
      </c>
      <c r="B2241" s="217"/>
      <c r="C2241" s="216"/>
      <c r="D2241" s="240"/>
      <c r="E2241" s="218"/>
      <c r="F2241" s="218"/>
      <c r="G2241" s="218"/>
      <c r="H2241" s="219"/>
      <c r="I2241" s="223">
        <f>IF($C2241="","",IF(ISNUMBER(MATCH($C2241,'Phản ánh'!$A$6:$A$505,0)),"Phản ánh",IF(ISNUMBER(MATCH($C2241,'Kế hoạch'!$A$6:$A$305,0)),"Công việc","Mã chưa có")))</f>
      </c>
      <c r="J2241" s="221">
        <f>IF($I2241="Phản ánh",INDEX('Phản ánh'!$C$6:$C$505,MATCH($C2241,'Phản ánh'!$A$6:$A$505,0)),IF($I2241="Công việc",INDEX('Kế hoạch'!$C$6:$C$305,$O2241),""))</f>
      </c>
      <c r="K2241" s="221">
        <f>IF($I2241="Phản ánh",INDEX('Phản ánh'!$K$6:$K$505,MATCH($C2241,'Phản ánh'!$A$6:$A$505,0))&amp;"",IF($I2241="Công việc",INDEX('Kế hoạch'!$N$6:$N$305,$O2241)&amp;"",""))</f>
      </c>
      <c r="L2241" s="220">
        <f>IF(OR($C2241="",N($B2241)=0),"",IF(AND($I2241="Phản ánh",$E2241="Đã xử lý"),INDEX('Phản ánh'!$U$6:$U$505,MATCH($C2241,'Phản ánh'!$A$6:$A$505,0)),IF(AND($I2241="Công việc",OR($E2241="Hoàn thành",$E2241="Hoàn thành kỳ")),IF(INDEX('Kế hoạch'!$B$6:$B$305,$O2241)="Đột xuất",INDEX('Kế hoạch'!$AY$6:$AY$305,$O2241),IF(N($P2241)=0,"",IF(INT($B2241)&lt;$P2241,$P2241,IF($Q2241&gt;0,$P2241+ROUND((INT($B2241)-$P2241)/$Q2241,0)*$Q2241,IF($R2241&gt;0,EDATE($P2241,ROUND((DATEDIF($P2241,INT($B2241),"m")+(INT($B2241)-EDATE($P2241,DATEDIF($P2241,INT($B2241),"m")))/(EDATE($P2241,DATEDIF($P2241,INT($B2241),"m")+1)-EDATE($P2241,DATEDIF($P2241,INT($B2241),"m"))))/$R2241,0)*$R2241),$P2241))))),"")))</f>
      </c>
      <c r="M2241" s="223">
        <f>IF(OR($C2241="",N($L2241)=0,N($B2241)=0),"",IF(IF(MOD($L2241,1)=0,INT($B2241),$B2241)&lt;=$L2241,"Đúng hạn","Trễ hạn"))</f>
      </c>
      <c r="N2241" s="225">
        <f>IF($C2241="","",ROW())</f>
      </c>
      <c r="O2241" s="225">
        <f>IF($I2241="Công việc",MATCH($C2241,'Kế hoạch'!$A$6:$A$305,0),"")</f>
      </c>
      <c r="P2241" s="234">
        <f>IF($O2241="","",INDEX('Kế hoạch'!$I$6:$I$305,$O2241))</f>
      </c>
      <c r="Q2241" s="225">
        <f>IF($O2241="","",INDEX('Kế hoạch'!$AJ$6:$AJ$305,$O2241))</f>
      </c>
      <c r="R2241" s="225">
        <f>IF($O2241="","",INDEX('Kế hoạch'!$AK$6:$AK$305,$O2241))</f>
      </c>
    </row>
    <row r="2242">
      <c r="A2242" s="223">
        <f>IF($C2242="","",COUNTIF($C$6:$C2242,"?*"))</f>
      </c>
      <c r="B2242" s="217"/>
      <c r="C2242" s="216"/>
      <c r="D2242" s="240"/>
      <c r="E2242" s="218"/>
      <c r="F2242" s="218"/>
      <c r="G2242" s="218"/>
      <c r="H2242" s="219"/>
      <c r="I2242" s="223">
        <f>IF($C2242="","",IF(ISNUMBER(MATCH($C2242,'Phản ánh'!$A$6:$A$505,0)),"Phản ánh",IF(ISNUMBER(MATCH($C2242,'Kế hoạch'!$A$6:$A$305,0)),"Công việc","Mã chưa có")))</f>
      </c>
      <c r="J2242" s="221">
        <f>IF($I2242="Phản ánh",INDEX('Phản ánh'!$C$6:$C$505,MATCH($C2242,'Phản ánh'!$A$6:$A$505,0)),IF($I2242="Công việc",INDEX('Kế hoạch'!$C$6:$C$305,$O2242),""))</f>
      </c>
      <c r="K2242" s="221">
        <f>IF($I2242="Phản ánh",INDEX('Phản ánh'!$K$6:$K$505,MATCH($C2242,'Phản ánh'!$A$6:$A$505,0))&amp;"",IF($I2242="Công việc",INDEX('Kế hoạch'!$N$6:$N$305,$O2242)&amp;"",""))</f>
      </c>
      <c r="L2242" s="220">
        <f>IF(OR($C2242="",N($B2242)=0),"",IF(AND($I2242="Phản ánh",$E2242="Đã xử lý"),INDEX('Phản ánh'!$U$6:$U$505,MATCH($C2242,'Phản ánh'!$A$6:$A$505,0)),IF(AND($I2242="Công việc",OR($E2242="Hoàn thành",$E2242="Hoàn thành kỳ")),IF(INDEX('Kế hoạch'!$B$6:$B$305,$O2242)="Đột xuất",INDEX('Kế hoạch'!$AY$6:$AY$305,$O2242),IF(N($P2242)=0,"",IF(INT($B2242)&lt;$P2242,$P2242,IF($Q2242&gt;0,$P2242+ROUND((INT($B2242)-$P2242)/$Q2242,0)*$Q2242,IF($R2242&gt;0,EDATE($P2242,ROUND((DATEDIF($P2242,INT($B2242),"m")+(INT($B2242)-EDATE($P2242,DATEDIF($P2242,INT($B2242),"m")))/(EDATE($P2242,DATEDIF($P2242,INT($B2242),"m")+1)-EDATE($P2242,DATEDIF($P2242,INT($B2242),"m"))))/$R2242,0)*$R2242),$P2242))))),"")))</f>
      </c>
      <c r="M2242" s="223">
        <f>IF(OR($C2242="",N($L2242)=0,N($B2242)=0),"",IF(IF(MOD($L2242,1)=0,INT($B2242),$B2242)&lt;=$L2242,"Đúng hạn","Trễ hạn"))</f>
      </c>
      <c r="N2242" s="225">
        <f>IF($C2242="","",ROW())</f>
      </c>
      <c r="O2242" s="225">
        <f>IF($I2242="Công việc",MATCH($C2242,'Kế hoạch'!$A$6:$A$305,0),"")</f>
      </c>
      <c r="P2242" s="234">
        <f>IF($O2242="","",INDEX('Kế hoạch'!$I$6:$I$305,$O2242))</f>
      </c>
      <c r="Q2242" s="225">
        <f>IF($O2242="","",INDEX('Kế hoạch'!$AJ$6:$AJ$305,$O2242))</f>
      </c>
      <c r="R2242" s="225">
        <f>IF($O2242="","",INDEX('Kế hoạch'!$AK$6:$AK$305,$O2242))</f>
      </c>
    </row>
    <row r="2243">
      <c r="A2243" s="223">
        <f>IF($C2243="","",COUNTIF($C$6:$C2243,"?*"))</f>
      </c>
      <c r="B2243" s="217"/>
      <c r="C2243" s="216"/>
      <c r="D2243" s="240"/>
      <c r="E2243" s="218"/>
      <c r="F2243" s="218"/>
      <c r="G2243" s="218"/>
      <c r="H2243" s="219"/>
      <c r="I2243" s="223">
        <f>IF($C2243="","",IF(ISNUMBER(MATCH($C2243,'Phản ánh'!$A$6:$A$505,0)),"Phản ánh",IF(ISNUMBER(MATCH($C2243,'Kế hoạch'!$A$6:$A$305,0)),"Công việc","Mã chưa có")))</f>
      </c>
      <c r="J2243" s="221">
        <f>IF($I2243="Phản ánh",INDEX('Phản ánh'!$C$6:$C$505,MATCH($C2243,'Phản ánh'!$A$6:$A$505,0)),IF($I2243="Công việc",INDEX('Kế hoạch'!$C$6:$C$305,$O2243),""))</f>
      </c>
      <c r="K2243" s="221">
        <f>IF($I2243="Phản ánh",INDEX('Phản ánh'!$K$6:$K$505,MATCH($C2243,'Phản ánh'!$A$6:$A$505,0))&amp;"",IF($I2243="Công việc",INDEX('Kế hoạch'!$N$6:$N$305,$O2243)&amp;"",""))</f>
      </c>
      <c r="L2243" s="220">
        <f>IF(OR($C2243="",N($B2243)=0),"",IF(AND($I2243="Phản ánh",$E2243="Đã xử lý"),INDEX('Phản ánh'!$U$6:$U$505,MATCH($C2243,'Phản ánh'!$A$6:$A$505,0)),IF(AND($I2243="Công việc",OR($E2243="Hoàn thành",$E2243="Hoàn thành kỳ")),IF(INDEX('Kế hoạch'!$B$6:$B$305,$O2243)="Đột xuất",INDEX('Kế hoạch'!$AY$6:$AY$305,$O2243),IF(N($P2243)=0,"",IF(INT($B2243)&lt;$P2243,$P2243,IF($Q2243&gt;0,$P2243+ROUND((INT($B2243)-$P2243)/$Q2243,0)*$Q2243,IF($R2243&gt;0,EDATE($P2243,ROUND((DATEDIF($P2243,INT($B2243),"m")+(INT($B2243)-EDATE($P2243,DATEDIF($P2243,INT($B2243),"m")))/(EDATE($P2243,DATEDIF($P2243,INT($B2243),"m")+1)-EDATE($P2243,DATEDIF($P2243,INT($B2243),"m"))))/$R2243,0)*$R2243),$P2243))))),"")))</f>
      </c>
      <c r="M2243" s="223">
        <f>IF(OR($C2243="",N($L2243)=0,N($B2243)=0),"",IF(IF(MOD($L2243,1)=0,INT($B2243),$B2243)&lt;=$L2243,"Đúng hạn","Trễ hạn"))</f>
      </c>
      <c r="N2243" s="225">
        <f>IF($C2243="","",ROW())</f>
      </c>
      <c r="O2243" s="225">
        <f>IF($I2243="Công việc",MATCH($C2243,'Kế hoạch'!$A$6:$A$305,0),"")</f>
      </c>
      <c r="P2243" s="234">
        <f>IF($O2243="","",INDEX('Kế hoạch'!$I$6:$I$305,$O2243))</f>
      </c>
      <c r="Q2243" s="225">
        <f>IF($O2243="","",INDEX('Kế hoạch'!$AJ$6:$AJ$305,$O2243))</f>
      </c>
      <c r="R2243" s="225">
        <f>IF($O2243="","",INDEX('Kế hoạch'!$AK$6:$AK$305,$O2243))</f>
      </c>
    </row>
    <row r="2244">
      <c r="A2244" s="223">
        <f>IF($C2244="","",COUNTIF($C$6:$C2244,"?*"))</f>
      </c>
      <c r="B2244" s="217"/>
      <c r="C2244" s="216"/>
      <c r="D2244" s="240"/>
      <c r="E2244" s="218"/>
      <c r="F2244" s="218"/>
      <c r="G2244" s="218"/>
      <c r="H2244" s="219"/>
      <c r="I2244" s="223">
        <f>IF($C2244="","",IF(ISNUMBER(MATCH($C2244,'Phản ánh'!$A$6:$A$505,0)),"Phản ánh",IF(ISNUMBER(MATCH($C2244,'Kế hoạch'!$A$6:$A$305,0)),"Công việc","Mã chưa có")))</f>
      </c>
      <c r="J2244" s="221">
        <f>IF($I2244="Phản ánh",INDEX('Phản ánh'!$C$6:$C$505,MATCH($C2244,'Phản ánh'!$A$6:$A$505,0)),IF($I2244="Công việc",INDEX('Kế hoạch'!$C$6:$C$305,$O2244),""))</f>
      </c>
      <c r="K2244" s="221">
        <f>IF($I2244="Phản ánh",INDEX('Phản ánh'!$K$6:$K$505,MATCH($C2244,'Phản ánh'!$A$6:$A$505,0))&amp;"",IF($I2244="Công việc",INDEX('Kế hoạch'!$N$6:$N$305,$O2244)&amp;"",""))</f>
      </c>
      <c r="L2244" s="220">
        <f>IF(OR($C2244="",N($B2244)=0),"",IF(AND($I2244="Phản ánh",$E2244="Đã xử lý"),INDEX('Phản ánh'!$U$6:$U$505,MATCH($C2244,'Phản ánh'!$A$6:$A$505,0)),IF(AND($I2244="Công việc",OR($E2244="Hoàn thành",$E2244="Hoàn thành kỳ")),IF(INDEX('Kế hoạch'!$B$6:$B$305,$O2244)="Đột xuất",INDEX('Kế hoạch'!$AY$6:$AY$305,$O2244),IF(N($P2244)=0,"",IF(INT($B2244)&lt;$P2244,$P2244,IF($Q2244&gt;0,$P2244+ROUND((INT($B2244)-$P2244)/$Q2244,0)*$Q2244,IF($R2244&gt;0,EDATE($P2244,ROUND((DATEDIF($P2244,INT($B2244),"m")+(INT($B2244)-EDATE($P2244,DATEDIF($P2244,INT($B2244),"m")))/(EDATE($P2244,DATEDIF($P2244,INT($B2244),"m")+1)-EDATE($P2244,DATEDIF($P2244,INT($B2244),"m"))))/$R2244,0)*$R2244),$P2244))))),"")))</f>
      </c>
      <c r="M2244" s="223">
        <f>IF(OR($C2244="",N($L2244)=0,N($B2244)=0),"",IF(IF(MOD($L2244,1)=0,INT($B2244),$B2244)&lt;=$L2244,"Đúng hạn","Trễ hạn"))</f>
      </c>
      <c r="N2244" s="225">
        <f>IF($C2244="","",ROW())</f>
      </c>
      <c r="O2244" s="225">
        <f>IF($I2244="Công việc",MATCH($C2244,'Kế hoạch'!$A$6:$A$305,0),"")</f>
      </c>
      <c r="P2244" s="234">
        <f>IF($O2244="","",INDEX('Kế hoạch'!$I$6:$I$305,$O2244))</f>
      </c>
      <c r="Q2244" s="225">
        <f>IF($O2244="","",INDEX('Kế hoạch'!$AJ$6:$AJ$305,$O2244))</f>
      </c>
      <c r="R2244" s="225">
        <f>IF($O2244="","",INDEX('Kế hoạch'!$AK$6:$AK$305,$O2244))</f>
      </c>
    </row>
    <row r="2245">
      <c r="A2245" s="223">
        <f>IF($C2245="","",COUNTIF($C$6:$C2245,"?*"))</f>
      </c>
      <c r="B2245" s="217"/>
      <c r="C2245" s="216"/>
      <c r="D2245" s="240"/>
      <c r="E2245" s="218"/>
      <c r="F2245" s="218"/>
      <c r="G2245" s="218"/>
      <c r="H2245" s="219"/>
      <c r="I2245" s="223">
        <f>IF($C2245="","",IF(ISNUMBER(MATCH($C2245,'Phản ánh'!$A$6:$A$505,0)),"Phản ánh",IF(ISNUMBER(MATCH($C2245,'Kế hoạch'!$A$6:$A$305,0)),"Công việc","Mã chưa có")))</f>
      </c>
      <c r="J2245" s="221">
        <f>IF($I2245="Phản ánh",INDEX('Phản ánh'!$C$6:$C$505,MATCH($C2245,'Phản ánh'!$A$6:$A$505,0)),IF($I2245="Công việc",INDEX('Kế hoạch'!$C$6:$C$305,$O2245),""))</f>
      </c>
      <c r="K2245" s="221">
        <f>IF($I2245="Phản ánh",INDEX('Phản ánh'!$K$6:$K$505,MATCH($C2245,'Phản ánh'!$A$6:$A$505,0))&amp;"",IF($I2245="Công việc",INDEX('Kế hoạch'!$N$6:$N$305,$O2245)&amp;"",""))</f>
      </c>
      <c r="L2245" s="220">
        <f>IF(OR($C2245="",N($B2245)=0),"",IF(AND($I2245="Phản ánh",$E2245="Đã xử lý"),INDEX('Phản ánh'!$U$6:$U$505,MATCH($C2245,'Phản ánh'!$A$6:$A$505,0)),IF(AND($I2245="Công việc",OR($E2245="Hoàn thành",$E2245="Hoàn thành kỳ")),IF(INDEX('Kế hoạch'!$B$6:$B$305,$O2245)="Đột xuất",INDEX('Kế hoạch'!$AY$6:$AY$305,$O2245),IF(N($P2245)=0,"",IF(INT($B2245)&lt;$P2245,$P2245,IF($Q2245&gt;0,$P2245+ROUND((INT($B2245)-$P2245)/$Q2245,0)*$Q2245,IF($R2245&gt;0,EDATE($P2245,ROUND((DATEDIF($P2245,INT($B2245),"m")+(INT($B2245)-EDATE($P2245,DATEDIF($P2245,INT($B2245),"m")))/(EDATE($P2245,DATEDIF($P2245,INT($B2245),"m")+1)-EDATE($P2245,DATEDIF($P2245,INT($B2245),"m"))))/$R2245,0)*$R2245),$P2245))))),"")))</f>
      </c>
      <c r="M2245" s="223">
        <f>IF(OR($C2245="",N($L2245)=0,N($B2245)=0),"",IF(IF(MOD($L2245,1)=0,INT($B2245),$B2245)&lt;=$L2245,"Đúng hạn","Trễ hạn"))</f>
      </c>
      <c r="N2245" s="225">
        <f>IF($C2245="","",ROW())</f>
      </c>
      <c r="O2245" s="225">
        <f>IF($I2245="Công việc",MATCH($C2245,'Kế hoạch'!$A$6:$A$305,0),"")</f>
      </c>
      <c r="P2245" s="234">
        <f>IF($O2245="","",INDEX('Kế hoạch'!$I$6:$I$305,$O2245))</f>
      </c>
      <c r="Q2245" s="225">
        <f>IF($O2245="","",INDEX('Kế hoạch'!$AJ$6:$AJ$305,$O2245))</f>
      </c>
      <c r="R2245" s="225">
        <f>IF($O2245="","",INDEX('Kế hoạch'!$AK$6:$AK$305,$O2245))</f>
      </c>
    </row>
    <row r="2246">
      <c r="A2246" s="223">
        <f>IF($C2246="","",COUNTIF($C$6:$C2246,"?*"))</f>
      </c>
      <c r="B2246" s="217"/>
      <c r="C2246" s="216"/>
      <c r="D2246" s="240"/>
      <c r="E2246" s="218"/>
      <c r="F2246" s="218"/>
      <c r="G2246" s="218"/>
      <c r="H2246" s="219"/>
      <c r="I2246" s="223">
        <f>IF($C2246="","",IF(ISNUMBER(MATCH($C2246,'Phản ánh'!$A$6:$A$505,0)),"Phản ánh",IF(ISNUMBER(MATCH($C2246,'Kế hoạch'!$A$6:$A$305,0)),"Công việc","Mã chưa có")))</f>
      </c>
      <c r="J2246" s="221">
        <f>IF($I2246="Phản ánh",INDEX('Phản ánh'!$C$6:$C$505,MATCH($C2246,'Phản ánh'!$A$6:$A$505,0)),IF($I2246="Công việc",INDEX('Kế hoạch'!$C$6:$C$305,$O2246),""))</f>
      </c>
      <c r="K2246" s="221">
        <f>IF($I2246="Phản ánh",INDEX('Phản ánh'!$K$6:$K$505,MATCH($C2246,'Phản ánh'!$A$6:$A$505,0))&amp;"",IF($I2246="Công việc",INDEX('Kế hoạch'!$N$6:$N$305,$O2246)&amp;"",""))</f>
      </c>
      <c r="L2246" s="220">
        <f>IF(OR($C2246="",N($B2246)=0),"",IF(AND($I2246="Phản ánh",$E2246="Đã xử lý"),INDEX('Phản ánh'!$U$6:$U$505,MATCH($C2246,'Phản ánh'!$A$6:$A$505,0)),IF(AND($I2246="Công việc",OR($E2246="Hoàn thành",$E2246="Hoàn thành kỳ")),IF(INDEX('Kế hoạch'!$B$6:$B$305,$O2246)="Đột xuất",INDEX('Kế hoạch'!$AY$6:$AY$305,$O2246),IF(N($P2246)=0,"",IF(INT($B2246)&lt;$P2246,$P2246,IF($Q2246&gt;0,$P2246+ROUND((INT($B2246)-$P2246)/$Q2246,0)*$Q2246,IF($R2246&gt;0,EDATE($P2246,ROUND((DATEDIF($P2246,INT($B2246),"m")+(INT($B2246)-EDATE($P2246,DATEDIF($P2246,INT($B2246),"m")))/(EDATE($P2246,DATEDIF($P2246,INT($B2246),"m")+1)-EDATE($P2246,DATEDIF($P2246,INT($B2246),"m"))))/$R2246,0)*$R2246),$P2246))))),"")))</f>
      </c>
      <c r="M2246" s="223">
        <f>IF(OR($C2246="",N($L2246)=0,N($B2246)=0),"",IF(IF(MOD($L2246,1)=0,INT($B2246),$B2246)&lt;=$L2246,"Đúng hạn","Trễ hạn"))</f>
      </c>
      <c r="N2246" s="225">
        <f>IF($C2246="","",ROW())</f>
      </c>
      <c r="O2246" s="225">
        <f>IF($I2246="Công việc",MATCH($C2246,'Kế hoạch'!$A$6:$A$305,0),"")</f>
      </c>
      <c r="P2246" s="234">
        <f>IF($O2246="","",INDEX('Kế hoạch'!$I$6:$I$305,$O2246))</f>
      </c>
      <c r="Q2246" s="225">
        <f>IF($O2246="","",INDEX('Kế hoạch'!$AJ$6:$AJ$305,$O2246))</f>
      </c>
      <c r="R2246" s="225">
        <f>IF($O2246="","",INDEX('Kế hoạch'!$AK$6:$AK$305,$O2246))</f>
      </c>
    </row>
    <row r="2247">
      <c r="A2247" s="223">
        <f>IF($C2247="","",COUNTIF($C$6:$C2247,"?*"))</f>
      </c>
      <c r="B2247" s="217"/>
      <c r="C2247" s="216"/>
      <c r="D2247" s="240"/>
      <c r="E2247" s="218"/>
      <c r="F2247" s="218"/>
      <c r="G2247" s="218"/>
      <c r="H2247" s="219"/>
      <c r="I2247" s="223">
        <f>IF($C2247="","",IF(ISNUMBER(MATCH($C2247,'Phản ánh'!$A$6:$A$505,0)),"Phản ánh",IF(ISNUMBER(MATCH($C2247,'Kế hoạch'!$A$6:$A$305,0)),"Công việc","Mã chưa có")))</f>
      </c>
      <c r="J2247" s="221">
        <f>IF($I2247="Phản ánh",INDEX('Phản ánh'!$C$6:$C$505,MATCH($C2247,'Phản ánh'!$A$6:$A$505,0)),IF($I2247="Công việc",INDEX('Kế hoạch'!$C$6:$C$305,$O2247),""))</f>
      </c>
      <c r="K2247" s="221">
        <f>IF($I2247="Phản ánh",INDEX('Phản ánh'!$K$6:$K$505,MATCH($C2247,'Phản ánh'!$A$6:$A$505,0))&amp;"",IF($I2247="Công việc",INDEX('Kế hoạch'!$N$6:$N$305,$O2247)&amp;"",""))</f>
      </c>
      <c r="L2247" s="220">
        <f>IF(OR($C2247="",N($B2247)=0),"",IF(AND($I2247="Phản ánh",$E2247="Đã xử lý"),INDEX('Phản ánh'!$U$6:$U$505,MATCH($C2247,'Phản ánh'!$A$6:$A$505,0)),IF(AND($I2247="Công việc",OR($E2247="Hoàn thành",$E2247="Hoàn thành kỳ")),IF(INDEX('Kế hoạch'!$B$6:$B$305,$O2247)="Đột xuất",INDEX('Kế hoạch'!$AY$6:$AY$305,$O2247),IF(N($P2247)=0,"",IF(INT($B2247)&lt;$P2247,$P2247,IF($Q2247&gt;0,$P2247+ROUND((INT($B2247)-$P2247)/$Q2247,0)*$Q2247,IF($R2247&gt;0,EDATE($P2247,ROUND((DATEDIF($P2247,INT($B2247),"m")+(INT($B2247)-EDATE($P2247,DATEDIF($P2247,INT($B2247),"m")))/(EDATE($P2247,DATEDIF($P2247,INT($B2247),"m")+1)-EDATE($P2247,DATEDIF($P2247,INT($B2247),"m"))))/$R2247,0)*$R2247),$P2247))))),"")))</f>
      </c>
      <c r="M2247" s="223">
        <f>IF(OR($C2247="",N($L2247)=0,N($B2247)=0),"",IF(IF(MOD($L2247,1)=0,INT($B2247),$B2247)&lt;=$L2247,"Đúng hạn","Trễ hạn"))</f>
      </c>
      <c r="N2247" s="225">
        <f>IF($C2247="","",ROW())</f>
      </c>
      <c r="O2247" s="225">
        <f>IF($I2247="Công việc",MATCH($C2247,'Kế hoạch'!$A$6:$A$305,0),"")</f>
      </c>
      <c r="P2247" s="234">
        <f>IF($O2247="","",INDEX('Kế hoạch'!$I$6:$I$305,$O2247))</f>
      </c>
      <c r="Q2247" s="225">
        <f>IF($O2247="","",INDEX('Kế hoạch'!$AJ$6:$AJ$305,$O2247))</f>
      </c>
      <c r="R2247" s="225">
        <f>IF($O2247="","",INDEX('Kế hoạch'!$AK$6:$AK$305,$O2247))</f>
      </c>
    </row>
    <row r="2248">
      <c r="A2248" s="223">
        <f>IF($C2248="","",COUNTIF($C$6:$C2248,"?*"))</f>
      </c>
      <c r="B2248" s="217"/>
      <c r="C2248" s="216"/>
      <c r="D2248" s="240"/>
      <c r="E2248" s="218"/>
      <c r="F2248" s="218"/>
      <c r="G2248" s="218"/>
      <c r="H2248" s="219"/>
      <c r="I2248" s="223">
        <f>IF($C2248="","",IF(ISNUMBER(MATCH($C2248,'Phản ánh'!$A$6:$A$505,0)),"Phản ánh",IF(ISNUMBER(MATCH($C2248,'Kế hoạch'!$A$6:$A$305,0)),"Công việc","Mã chưa có")))</f>
      </c>
      <c r="J2248" s="221">
        <f>IF($I2248="Phản ánh",INDEX('Phản ánh'!$C$6:$C$505,MATCH($C2248,'Phản ánh'!$A$6:$A$505,0)),IF($I2248="Công việc",INDEX('Kế hoạch'!$C$6:$C$305,$O2248),""))</f>
      </c>
      <c r="K2248" s="221">
        <f>IF($I2248="Phản ánh",INDEX('Phản ánh'!$K$6:$K$505,MATCH($C2248,'Phản ánh'!$A$6:$A$505,0))&amp;"",IF($I2248="Công việc",INDEX('Kế hoạch'!$N$6:$N$305,$O2248)&amp;"",""))</f>
      </c>
      <c r="L2248" s="220">
        <f>IF(OR($C2248="",N($B2248)=0),"",IF(AND($I2248="Phản ánh",$E2248="Đã xử lý"),INDEX('Phản ánh'!$U$6:$U$505,MATCH($C2248,'Phản ánh'!$A$6:$A$505,0)),IF(AND($I2248="Công việc",OR($E2248="Hoàn thành",$E2248="Hoàn thành kỳ")),IF(INDEX('Kế hoạch'!$B$6:$B$305,$O2248)="Đột xuất",INDEX('Kế hoạch'!$AY$6:$AY$305,$O2248),IF(N($P2248)=0,"",IF(INT($B2248)&lt;$P2248,$P2248,IF($Q2248&gt;0,$P2248+ROUND((INT($B2248)-$P2248)/$Q2248,0)*$Q2248,IF($R2248&gt;0,EDATE($P2248,ROUND((DATEDIF($P2248,INT($B2248),"m")+(INT($B2248)-EDATE($P2248,DATEDIF($P2248,INT($B2248),"m")))/(EDATE($P2248,DATEDIF($P2248,INT($B2248),"m")+1)-EDATE($P2248,DATEDIF($P2248,INT($B2248),"m"))))/$R2248,0)*$R2248),$P2248))))),"")))</f>
      </c>
      <c r="M2248" s="223">
        <f>IF(OR($C2248="",N($L2248)=0,N($B2248)=0),"",IF(IF(MOD($L2248,1)=0,INT($B2248),$B2248)&lt;=$L2248,"Đúng hạn","Trễ hạn"))</f>
      </c>
      <c r="N2248" s="225">
        <f>IF($C2248="","",ROW())</f>
      </c>
      <c r="O2248" s="225">
        <f>IF($I2248="Công việc",MATCH($C2248,'Kế hoạch'!$A$6:$A$305,0),"")</f>
      </c>
      <c r="P2248" s="234">
        <f>IF($O2248="","",INDEX('Kế hoạch'!$I$6:$I$305,$O2248))</f>
      </c>
      <c r="Q2248" s="225">
        <f>IF($O2248="","",INDEX('Kế hoạch'!$AJ$6:$AJ$305,$O2248))</f>
      </c>
      <c r="R2248" s="225">
        <f>IF($O2248="","",INDEX('Kế hoạch'!$AK$6:$AK$305,$O2248))</f>
      </c>
    </row>
    <row r="2249">
      <c r="A2249" s="223">
        <f>IF($C2249="","",COUNTIF($C$6:$C2249,"?*"))</f>
      </c>
      <c r="B2249" s="217"/>
      <c r="C2249" s="216"/>
      <c r="D2249" s="240"/>
      <c r="E2249" s="218"/>
      <c r="F2249" s="218"/>
      <c r="G2249" s="218"/>
      <c r="H2249" s="219"/>
      <c r="I2249" s="223">
        <f>IF($C2249="","",IF(ISNUMBER(MATCH($C2249,'Phản ánh'!$A$6:$A$505,0)),"Phản ánh",IF(ISNUMBER(MATCH($C2249,'Kế hoạch'!$A$6:$A$305,0)),"Công việc","Mã chưa có")))</f>
      </c>
      <c r="J2249" s="221">
        <f>IF($I2249="Phản ánh",INDEX('Phản ánh'!$C$6:$C$505,MATCH($C2249,'Phản ánh'!$A$6:$A$505,0)),IF($I2249="Công việc",INDEX('Kế hoạch'!$C$6:$C$305,$O2249),""))</f>
      </c>
      <c r="K2249" s="221">
        <f>IF($I2249="Phản ánh",INDEX('Phản ánh'!$K$6:$K$505,MATCH($C2249,'Phản ánh'!$A$6:$A$505,0))&amp;"",IF($I2249="Công việc",INDEX('Kế hoạch'!$N$6:$N$305,$O2249)&amp;"",""))</f>
      </c>
      <c r="L2249" s="220">
        <f>IF(OR($C2249="",N($B2249)=0),"",IF(AND($I2249="Phản ánh",$E2249="Đã xử lý"),INDEX('Phản ánh'!$U$6:$U$505,MATCH($C2249,'Phản ánh'!$A$6:$A$505,0)),IF(AND($I2249="Công việc",OR($E2249="Hoàn thành",$E2249="Hoàn thành kỳ")),IF(INDEX('Kế hoạch'!$B$6:$B$305,$O2249)="Đột xuất",INDEX('Kế hoạch'!$AY$6:$AY$305,$O2249),IF(N($P2249)=0,"",IF(INT($B2249)&lt;$P2249,$P2249,IF($Q2249&gt;0,$P2249+ROUND((INT($B2249)-$P2249)/$Q2249,0)*$Q2249,IF($R2249&gt;0,EDATE($P2249,ROUND((DATEDIF($P2249,INT($B2249),"m")+(INT($B2249)-EDATE($P2249,DATEDIF($P2249,INT($B2249),"m")))/(EDATE($P2249,DATEDIF($P2249,INT($B2249),"m")+1)-EDATE($P2249,DATEDIF($P2249,INT($B2249),"m"))))/$R2249,0)*$R2249),$P2249))))),"")))</f>
      </c>
      <c r="M2249" s="223">
        <f>IF(OR($C2249="",N($L2249)=0,N($B2249)=0),"",IF(IF(MOD($L2249,1)=0,INT($B2249),$B2249)&lt;=$L2249,"Đúng hạn","Trễ hạn"))</f>
      </c>
      <c r="N2249" s="225">
        <f>IF($C2249="","",ROW())</f>
      </c>
      <c r="O2249" s="225">
        <f>IF($I2249="Công việc",MATCH($C2249,'Kế hoạch'!$A$6:$A$305,0),"")</f>
      </c>
      <c r="P2249" s="234">
        <f>IF($O2249="","",INDEX('Kế hoạch'!$I$6:$I$305,$O2249))</f>
      </c>
      <c r="Q2249" s="225">
        <f>IF($O2249="","",INDEX('Kế hoạch'!$AJ$6:$AJ$305,$O2249))</f>
      </c>
      <c r="R2249" s="225">
        <f>IF($O2249="","",INDEX('Kế hoạch'!$AK$6:$AK$305,$O2249))</f>
      </c>
    </row>
    <row r="2250">
      <c r="A2250" s="223">
        <f>IF($C2250="","",COUNTIF($C$6:$C2250,"?*"))</f>
      </c>
      <c r="B2250" s="217"/>
      <c r="C2250" s="216"/>
      <c r="D2250" s="240"/>
      <c r="E2250" s="218"/>
      <c r="F2250" s="218"/>
      <c r="G2250" s="218"/>
      <c r="H2250" s="219"/>
      <c r="I2250" s="223">
        <f>IF($C2250="","",IF(ISNUMBER(MATCH($C2250,'Phản ánh'!$A$6:$A$505,0)),"Phản ánh",IF(ISNUMBER(MATCH($C2250,'Kế hoạch'!$A$6:$A$305,0)),"Công việc","Mã chưa có")))</f>
      </c>
      <c r="J2250" s="221">
        <f>IF($I2250="Phản ánh",INDEX('Phản ánh'!$C$6:$C$505,MATCH($C2250,'Phản ánh'!$A$6:$A$505,0)),IF($I2250="Công việc",INDEX('Kế hoạch'!$C$6:$C$305,$O2250),""))</f>
      </c>
      <c r="K2250" s="221">
        <f>IF($I2250="Phản ánh",INDEX('Phản ánh'!$K$6:$K$505,MATCH($C2250,'Phản ánh'!$A$6:$A$505,0))&amp;"",IF($I2250="Công việc",INDEX('Kế hoạch'!$N$6:$N$305,$O2250)&amp;"",""))</f>
      </c>
      <c r="L2250" s="220">
        <f>IF(OR($C2250="",N($B2250)=0),"",IF(AND($I2250="Phản ánh",$E2250="Đã xử lý"),INDEX('Phản ánh'!$U$6:$U$505,MATCH($C2250,'Phản ánh'!$A$6:$A$505,0)),IF(AND($I2250="Công việc",OR($E2250="Hoàn thành",$E2250="Hoàn thành kỳ")),IF(INDEX('Kế hoạch'!$B$6:$B$305,$O2250)="Đột xuất",INDEX('Kế hoạch'!$AY$6:$AY$305,$O2250),IF(N($P2250)=0,"",IF(INT($B2250)&lt;$P2250,$P2250,IF($Q2250&gt;0,$P2250+ROUND((INT($B2250)-$P2250)/$Q2250,0)*$Q2250,IF($R2250&gt;0,EDATE($P2250,ROUND((DATEDIF($P2250,INT($B2250),"m")+(INT($B2250)-EDATE($P2250,DATEDIF($P2250,INT($B2250),"m")))/(EDATE($P2250,DATEDIF($P2250,INT($B2250),"m")+1)-EDATE($P2250,DATEDIF($P2250,INT($B2250),"m"))))/$R2250,0)*$R2250),$P2250))))),"")))</f>
      </c>
      <c r="M2250" s="223">
        <f>IF(OR($C2250="",N($L2250)=0,N($B2250)=0),"",IF(IF(MOD($L2250,1)=0,INT($B2250),$B2250)&lt;=$L2250,"Đúng hạn","Trễ hạn"))</f>
      </c>
      <c r="N2250" s="225">
        <f>IF($C2250="","",ROW())</f>
      </c>
      <c r="O2250" s="225">
        <f>IF($I2250="Công việc",MATCH($C2250,'Kế hoạch'!$A$6:$A$305,0),"")</f>
      </c>
      <c r="P2250" s="234">
        <f>IF($O2250="","",INDEX('Kế hoạch'!$I$6:$I$305,$O2250))</f>
      </c>
      <c r="Q2250" s="225">
        <f>IF($O2250="","",INDEX('Kế hoạch'!$AJ$6:$AJ$305,$O2250))</f>
      </c>
      <c r="R2250" s="225">
        <f>IF($O2250="","",INDEX('Kế hoạch'!$AK$6:$AK$305,$O2250))</f>
      </c>
    </row>
    <row r="2251">
      <c r="A2251" s="223">
        <f>IF($C2251="","",COUNTIF($C$6:$C2251,"?*"))</f>
      </c>
      <c r="B2251" s="217"/>
      <c r="C2251" s="216"/>
      <c r="D2251" s="240"/>
      <c r="E2251" s="218"/>
      <c r="F2251" s="218"/>
      <c r="G2251" s="218"/>
      <c r="H2251" s="219"/>
      <c r="I2251" s="223">
        <f>IF($C2251="","",IF(ISNUMBER(MATCH($C2251,'Phản ánh'!$A$6:$A$505,0)),"Phản ánh",IF(ISNUMBER(MATCH($C2251,'Kế hoạch'!$A$6:$A$305,0)),"Công việc","Mã chưa có")))</f>
      </c>
      <c r="J2251" s="221">
        <f>IF($I2251="Phản ánh",INDEX('Phản ánh'!$C$6:$C$505,MATCH($C2251,'Phản ánh'!$A$6:$A$505,0)),IF($I2251="Công việc",INDEX('Kế hoạch'!$C$6:$C$305,$O2251),""))</f>
      </c>
      <c r="K2251" s="221">
        <f>IF($I2251="Phản ánh",INDEX('Phản ánh'!$K$6:$K$505,MATCH($C2251,'Phản ánh'!$A$6:$A$505,0))&amp;"",IF($I2251="Công việc",INDEX('Kế hoạch'!$N$6:$N$305,$O2251)&amp;"",""))</f>
      </c>
      <c r="L2251" s="220">
        <f>IF(OR($C2251="",N($B2251)=0),"",IF(AND($I2251="Phản ánh",$E2251="Đã xử lý"),INDEX('Phản ánh'!$U$6:$U$505,MATCH($C2251,'Phản ánh'!$A$6:$A$505,0)),IF(AND($I2251="Công việc",OR($E2251="Hoàn thành",$E2251="Hoàn thành kỳ")),IF(INDEX('Kế hoạch'!$B$6:$B$305,$O2251)="Đột xuất",INDEX('Kế hoạch'!$AY$6:$AY$305,$O2251),IF(N($P2251)=0,"",IF(INT($B2251)&lt;$P2251,$P2251,IF($Q2251&gt;0,$P2251+ROUND((INT($B2251)-$P2251)/$Q2251,0)*$Q2251,IF($R2251&gt;0,EDATE($P2251,ROUND((DATEDIF($P2251,INT($B2251),"m")+(INT($B2251)-EDATE($P2251,DATEDIF($P2251,INT($B2251),"m")))/(EDATE($P2251,DATEDIF($P2251,INT($B2251),"m")+1)-EDATE($P2251,DATEDIF($P2251,INT($B2251),"m"))))/$R2251,0)*$R2251),$P2251))))),"")))</f>
      </c>
      <c r="M2251" s="223">
        <f>IF(OR($C2251="",N($L2251)=0,N($B2251)=0),"",IF(IF(MOD($L2251,1)=0,INT($B2251),$B2251)&lt;=$L2251,"Đúng hạn","Trễ hạn"))</f>
      </c>
      <c r="N2251" s="225">
        <f>IF($C2251="","",ROW())</f>
      </c>
      <c r="O2251" s="225">
        <f>IF($I2251="Công việc",MATCH($C2251,'Kế hoạch'!$A$6:$A$305,0),"")</f>
      </c>
      <c r="P2251" s="234">
        <f>IF($O2251="","",INDEX('Kế hoạch'!$I$6:$I$305,$O2251))</f>
      </c>
      <c r="Q2251" s="225">
        <f>IF($O2251="","",INDEX('Kế hoạch'!$AJ$6:$AJ$305,$O2251))</f>
      </c>
      <c r="R2251" s="225">
        <f>IF($O2251="","",INDEX('Kế hoạch'!$AK$6:$AK$305,$O2251))</f>
      </c>
    </row>
    <row r="2252">
      <c r="A2252" s="223">
        <f>IF($C2252="","",COUNTIF($C$6:$C2252,"?*"))</f>
      </c>
      <c r="B2252" s="217"/>
      <c r="C2252" s="216"/>
      <c r="D2252" s="240"/>
      <c r="E2252" s="218"/>
      <c r="F2252" s="218"/>
      <c r="G2252" s="218"/>
      <c r="H2252" s="219"/>
      <c r="I2252" s="223">
        <f>IF($C2252="","",IF(ISNUMBER(MATCH($C2252,'Phản ánh'!$A$6:$A$505,0)),"Phản ánh",IF(ISNUMBER(MATCH($C2252,'Kế hoạch'!$A$6:$A$305,0)),"Công việc","Mã chưa có")))</f>
      </c>
      <c r="J2252" s="221">
        <f>IF($I2252="Phản ánh",INDEX('Phản ánh'!$C$6:$C$505,MATCH($C2252,'Phản ánh'!$A$6:$A$505,0)),IF($I2252="Công việc",INDEX('Kế hoạch'!$C$6:$C$305,$O2252),""))</f>
      </c>
      <c r="K2252" s="221">
        <f>IF($I2252="Phản ánh",INDEX('Phản ánh'!$K$6:$K$505,MATCH($C2252,'Phản ánh'!$A$6:$A$505,0))&amp;"",IF($I2252="Công việc",INDEX('Kế hoạch'!$N$6:$N$305,$O2252)&amp;"",""))</f>
      </c>
      <c r="L2252" s="220">
        <f>IF(OR($C2252="",N($B2252)=0),"",IF(AND($I2252="Phản ánh",$E2252="Đã xử lý"),INDEX('Phản ánh'!$U$6:$U$505,MATCH($C2252,'Phản ánh'!$A$6:$A$505,0)),IF(AND($I2252="Công việc",OR($E2252="Hoàn thành",$E2252="Hoàn thành kỳ")),IF(INDEX('Kế hoạch'!$B$6:$B$305,$O2252)="Đột xuất",INDEX('Kế hoạch'!$AY$6:$AY$305,$O2252),IF(N($P2252)=0,"",IF(INT($B2252)&lt;$P2252,$P2252,IF($Q2252&gt;0,$P2252+ROUND((INT($B2252)-$P2252)/$Q2252,0)*$Q2252,IF($R2252&gt;0,EDATE($P2252,ROUND((DATEDIF($P2252,INT($B2252),"m")+(INT($B2252)-EDATE($P2252,DATEDIF($P2252,INT($B2252),"m")))/(EDATE($P2252,DATEDIF($P2252,INT($B2252),"m")+1)-EDATE($P2252,DATEDIF($P2252,INT($B2252),"m"))))/$R2252,0)*$R2252),$P2252))))),"")))</f>
      </c>
      <c r="M2252" s="223">
        <f>IF(OR($C2252="",N($L2252)=0,N($B2252)=0),"",IF(IF(MOD($L2252,1)=0,INT($B2252),$B2252)&lt;=$L2252,"Đúng hạn","Trễ hạn"))</f>
      </c>
      <c r="N2252" s="225">
        <f>IF($C2252="","",ROW())</f>
      </c>
      <c r="O2252" s="225">
        <f>IF($I2252="Công việc",MATCH($C2252,'Kế hoạch'!$A$6:$A$305,0),"")</f>
      </c>
      <c r="P2252" s="234">
        <f>IF($O2252="","",INDEX('Kế hoạch'!$I$6:$I$305,$O2252))</f>
      </c>
      <c r="Q2252" s="225">
        <f>IF($O2252="","",INDEX('Kế hoạch'!$AJ$6:$AJ$305,$O2252))</f>
      </c>
      <c r="R2252" s="225">
        <f>IF($O2252="","",INDEX('Kế hoạch'!$AK$6:$AK$305,$O2252))</f>
      </c>
    </row>
    <row r="2253">
      <c r="A2253" s="223">
        <f>IF($C2253="","",COUNTIF($C$6:$C2253,"?*"))</f>
      </c>
      <c r="B2253" s="217"/>
      <c r="C2253" s="216"/>
      <c r="D2253" s="240"/>
      <c r="E2253" s="218"/>
      <c r="F2253" s="218"/>
      <c r="G2253" s="218"/>
      <c r="H2253" s="219"/>
      <c r="I2253" s="223">
        <f>IF($C2253="","",IF(ISNUMBER(MATCH($C2253,'Phản ánh'!$A$6:$A$505,0)),"Phản ánh",IF(ISNUMBER(MATCH($C2253,'Kế hoạch'!$A$6:$A$305,0)),"Công việc","Mã chưa có")))</f>
      </c>
      <c r="J2253" s="221">
        <f>IF($I2253="Phản ánh",INDEX('Phản ánh'!$C$6:$C$505,MATCH($C2253,'Phản ánh'!$A$6:$A$505,0)),IF($I2253="Công việc",INDEX('Kế hoạch'!$C$6:$C$305,$O2253),""))</f>
      </c>
      <c r="K2253" s="221">
        <f>IF($I2253="Phản ánh",INDEX('Phản ánh'!$K$6:$K$505,MATCH($C2253,'Phản ánh'!$A$6:$A$505,0))&amp;"",IF($I2253="Công việc",INDEX('Kế hoạch'!$N$6:$N$305,$O2253)&amp;"",""))</f>
      </c>
      <c r="L2253" s="220">
        <f>IF(OR($C2253="",N($B2253)=0),"",IF(AND($I2253="Phản ánh",$E2253="Đã xử lý"),INDEX('Phản ánh'!$U$6:$U$505,MATCH($C2253,'Phản ánh'!$A$6:$A$505,0)),IF(AND($I2253="Công việc",OR($E2253="Hoàn thành",$E2253="Hoàn thành kỳ")),IF(INDEX('Kế hoạch'!$B$6:$B$305,$O2253)="Đột xuất",INDEX('Kế hoạch'!$AY$6:$AY$305,$O2253),IF(N($P2253)=0,"",IF(INT($B2253)&lt;$P2253,$P2253,IF($Q2253&gt;0,$P2253+ROUND((INT($B2253)-$P2253)/$Q2253,0)*$Q2253,IF($R2253&gt;0,EDATE($P2253,ROUND((DATEDIF($P2253,INT($B2253),"m")+(INT($B2253)-EDATE($P2253,DATEDIF($P2253,INT($B2253),"m")))/(EDATE($P2253,DATEDIF($P2253,INT($B2253),"m")+1)-EDATE($P2253,DATEDIF($P2253,INT($B2253),"m"))))/$R2253,0)*$R2253),$P2253))))),"")))</f>
      </c>
      <c r="M2253" s="223">
        <f>IF(OR($C2253="",N($L2253)=0,N($B2253)=0),"",IF(IF(MOD($L2253,1)=0,INT($B2253),$B2253)&lt;=$L2253,"Đúng hạn","Trễ hạn"))</f>
      </c>
      <c r="N2253" s="225">
        <f>IF($C2253="","",ROW())</f>
      </c>
      <c r="O2253" s="225">
        <f>IF($I2253="Công việc",MATCH($C2253,'Kế hoạch'!$A$6:$A$305,0),"")</f>
      </c>
      <c r="P2253" s="234">
        <f>IF($O2253="","",INDEX('Kế hoạch'!$I$6:$I$305,$O2253))</f>
      </c>
      <c r="Q2253" s="225">
        <f>IF($O2253="","",INDEX('Kế hoạch'!$AJ$6:$AJ$305,$O2253))</f>
      </c>
      <c r="R2253" s="225">
        <f>IF($O2253="","",INDEX('Kế hoạch'!$AK$6:$AK$305,$O2253))</f>
      </c>
    </row>
    <row r="2254">
      <c r="A2254" s="223">
        <f>IF($C2254="","",COUNTIF($C$6:$C2254,"?*"))</f>
      </c>
      <c r="B2254" s="217"/>
      <c r="C2254" s="216"/>
      <c r="D2254" s="240"/>
      <c r="E2254" s="218"/>
      <c r="F2254" s="218"/>
      <c r="G2254" s="218"/>
      <c r="H2254" s="219"/>
      <c r="I2254" s="223">
        <f>IF($C2254="","",IF(ISNUMBER(MATCH($C2254,'Phản ánh'!$A$6:$A$505,0)),"Phản ánh",IF(ISNUMBER(MATCH($C2254,'Kế hoạch'!$A$6:$A$305,0)),"Công việc","Mã chưa có")))</f>
      </c>
      <c r="J2254" s="221">
        <f>IF($I2254="Phản ánh",INDEX('Phản ánh'!$C$6:$C$505,MATCH($C2254,'Phản ánh'!$A$6:$A$505,0)),IF($I2254="Công việc",INDEX('Kế hoạch'!$C$6:$C$305,$O2254),""))</f>
      </c>
      <c r="K2254" s="221">
        <f>IF($I2254="Phản ánh",INDEX('Phản ánh'!$K$6:$K$505,MATCH($C2254,'Phản ánh'!$A$6:$A$505,0))&amp;"",IF($I2254="Công việc",INDEX('Kế hoạch'!$N$6:$N$305,$O2254)&amp;"",""))</f>
      </c>
      <c r="L2254" s="220">
        <f>IF(OR($C2254="",N($B2254)=0),"",IF(AND($I2254="Phản ánh",$E2254="Đã xử lý"),INDEX('Phản ánh'!$U$6:$U$505,MATCH($C2254,'Phản ánh'!$A$6:$A$505,0)),IF(AND($I2254="Công việc",OR($E2254="Hoàn thành",$E2254="Hoàn thành kỳ")),IF(INDEX('Kế hoạch'!$B$6:$B$305,$O2254)="Đột xuất",INDEX('Kế hoạch'!$AY$6:$AY$305,$O2254),IF(N($P2254)=0,"",IF(INT($B2254)&lt;$P2254,$P2254,IF($Q2254&gt;0,$P2254+ROUND((INT($B2254)-$P2254)/$Q2254,0)*$Q2254,IF($R2254&gt;0,EDATE($P2254,ROUND((DATEDIF($P2254,INT($B2254),"m")+(INT($B2254)-EDATE($P2254,DATEDIF($P2254,INT($B2254),"m")))/(EDATE($P2254,DATEDIF($P2254,INT($B2254),"m")+1)-EDATE($P2254,DATEDIF($P2254,INT($B2254),"m"))))/$R2254,0)*$R2254),$P2254))))),"")))</f>
      </c>
      <c r="M2254" s="223">
        <f>IF(OR($C2254="",N($L2254)=0,N($B2254)=0),"",IF(IF(MOD($L2254,1)=0,INT($B2254),$B2254)&lt;=$L2254,"Đúng hạn","Trễ hạn"))</f>
      </c>
      <c r="N2254" s="225">
        <f>IF($C2254="","",ROW())</f>
      </c>
      <c r="O2254" s="225">
        <f>IF($I2254="Công việc",MATCH($C2254,'Kế hoạch'!$A$6:$A$305,0),"")</f>
      </c>
      <c r="P2254" s="234">
        <f>IF($O2254="","",INDEX('Kế hoạch'!$I$6:$I$305,$O2254))</f>
      </c>
      <c r="Q2254" s="225">
        <f>IF($O2254="","",INDEX('Kế hoạch'!$AJ$6:$AJ$305,$O2254))</f>
      </c>
      <c r="R2254" s="225">
        <f>IF($O2254="","",INDEX('Kế hoạch'!$AK$6:$AK$305,$O2254))</f>
      </c>
    </row>
    <row r="2255">
      <c r="A2255" s="223">
        <f>IF($C2255="","",COUNTIF($C$6:$C2255,"?*"))</f>
      </c>
      <c r="B2255" s="217"/>
      <c r="C2255" s="216"/>
      <c r="D2255" s="240"/>
      <c r="E2255" s="218"/>
      <c r="F2255" s="218"/>
      <c r="G2255" s="218"/>
      <c r="H2255" s="219"/>
      <c r="I2255" s="223">
        <f>IF($C2255="","",IF(ISNUMBER(MATCH($C2255,'Phản ánh'!$A$6:$A$505,0)),"Phản ánh",IF(ISNUMBER(MATCH($C2255,'Kế hoạch'!$A$6:$A$305,0)),"Công việc","Mã chưa có")))</f>
      </c>
      <c r="J2255" s="221">
        <f>IF($I2255="Phản ánh",INDEX('Phản ánh'!$C$6:$C$505,MATCH($C2255,'Phản ánh'!$A$6:$A$505,0)),IF($I2255="Công việc",INDEX('Kế hoạch'!$C$6:$C$305,$O2255),""))</f>
      </c>
      <c r="K2255" s="221">
        <f>IF($I2255="Phản ánh",INDEX('Phản ánh'!$K$6:$K$505,MATCH($C2255,'Phản ánh'!$A$6:$A$505,0))&amp;"",IF($I2255="Công việc",INDEX('Kế hoạch'!$N$6:$N$305,$O2255)&amp;"",""))</f>
      </c>
      <c r="L2255" s="220">
        <f>IF(OR($C2255="",N($B2255)=0),"",IF(AND($I2255="Phản ánh",$E2255="Đã xử lý"),INDEX('Phản ánh'!$U$6:$U$505,MATCH($C2255,'Phản ánh'!$A$6:$A$505,0)),IF(AND($I2255="Công việc",OR($E2255="Hoàn thành",$E2255="Hoàn thành kỳ")),IF(INDEX('Kế hoạch'!$B$6:$B$305,$O2255)="Đột xuất",INDEX('Kế hoạch'!$AY$6:$AY$305,$O2255),IF(N($P2255)=0,"",IF(INT($B2255)&lt;$P2255,$P2255,IF($Q2255&gt;0,$P2255+ROUND((INT($B2255)-$P2255)/$Q2255,0)*$Q2255,IF($R2255&gt;0,EDATE($P2255,ROUND((DATEDIF($P2255,INT($B2255),"m")+(INT($B2255)-EDATE($P2255,DATEDIF($P2255,INT($B2255),"m")))/(EDATE($P2255,DATEDIF($P2255,INT($B2255),"m")+1)-EDATE($P2255,DATEDIF($P2255,INT($B2255),"m"))))/$R2255,0)*$R2255),$P2255))))),"")))</f>
      </c>
      <c r="M2255" s="223">
        <f>IF(OR($C2255="",N($L2255)=0,N($B2255)=0),"",IF(IF(MOD($L2255,1)=0,INT($B2255),$B2255)&lt;=$L2255,"Đúng hạn","Trễ hạn"))</f>
      </c>
      <c r="N2255" s="225">
        <f>IF($C2255="","",ROW())</f>
      </c>
      <c r="O2255" s="225">
        <f>IF($I2255="Công việc",MATCH($C2255,'Kế hoạch'!$A$6:$A$305,0),"")</f>
      </c>
      <c r="P2255" s="234">
        <f>IF($O2255="","",INDEX('Kế hoạch'!$I$6:$I$305,$O2255))</f>
      </c>
      <c r="Q2255" s="225">
        <f>IF($O2255="","",INDEX('Kế hoạch'!$AJ$6:$AJ$305,$O2255))</f>
      </c>
      <c r="R2255" s="225">
        <f>IF($O2255="","",INDEX('Kế hoạch'!$AK$6:$AK$305,$O2255))</f>
      </c>
    </row>
    <row r="2256">
      <c r="A2256" s="223">
        <f>IF($C2256="","",COUNTIF($C$6:$C2256,"?*"))</f>
      </c>
      <c r="B2256" s="217"/>
      <c r="C2256" s="216"/>
      <c r="D2256" s="240"/>
      <c r="E2256" s="218"/>
      <c r="F2256" s="218"/>
      <c r="G2256" s="218"/>
      <c r="H2256" s="219"/>
      <c r="I2256" s="223">
        <f>IF($C2256="","",IF(ISNUMBER(MATCH($C2256,'Phản ánh'!$A$6:$A$505,0)),"Phản ánh",IF(ISNUMBER(MATCH($C2256,'Kế hoạch'!$A$6:$A$305,0)),"Công việc","Mã chưa có")))</f>
      </c>
      <c r="J2256" s="221">
        <f>IF($I2256="Phản ánh",INDEX('Phản ánh'!$C$6:$C$505,MATCH($C2256,'Phản ánh'!$A$6:$A$505,0)),IF($I2256="Công việc",INDEX('Kế hoạch'!$C$6:$C$305,$O2256),""))</f>
      </c>
      <c r="K2256" s="221">
        <f>IF($I2256="Phản ánh",INDEX('Phản ánh'!$K$6:$K$505,MATCH($C2256,'Phản ánh'!$A$6:$A$505,0))&amp;"",IF($I2256="Công việc",INDEX('Kế hoạch'!$N$6:$N$305,$O2256)&amp;"",""))</f>
      </c>
      <c r="L2256" s="220">
        <f>IF(OR($C2256="",N($B2256)=0),"",IF(AND($I2256="Phản ánh",$E2256="Đã xử lý"),INDEX('Phản ánh'!$U$6:$U$505,MATCH($C2256,'Phản ánh'!$A$6:$A$505,0)),IF(AND($I2256="Công việc",OR($E2256="Hoàn thành",$E2256="Hoàn thành kỳ")),IF(INDEX('Kế hoạch'!$B$6:$B$305,$O2256)="Đột xuất",INDEX('Kế hoạch'!$AY$6:$AY$305,$O2256),IF(N($P2256)=0,"",IF(INT($B2256)&lt;$P2256,$P2256,IF($Q2256&gt;0,$P2256+ROUND((INT($B2256)-$P2256)/$Q2256,0)*$Q2256,IF($R2256&gt;0,EDATE($P2256,ROUND((DATEDIF($P2256,INT($B2256),"m")+(INT($B2256)-EDATE($P2256,DATEDIF($P2256,INT($B2256),"m")))/(EDATE($P2256,DATEDIF($P2256,INT($B2256),"m")+1)-EDATE($P2256,DATEDIF($P2256,INT($B2256),"m"))))/$R2256,0)*$R2256),$P2256))))),"")))</f>
      </c>
      <c r="M2256" s="223">
        <f>IF(OR($C2256="",N($L2256)=0,N($B2256)=0),"",IF(IF(MOD($L2256,1)=0,INT($B2256),$B2256)&lt;=$L2256,"Đúng hạn","Trễ hạn"))</f>
      </c>
      <c r="N2256" s="225">
        <f>IF($C2256="","",ROW())</f>
      </c>
      <c r="O2256" s="225">
        <f>IF($I2256="Công việc",MATCH($C2256,'Kế hoạch'!$A$6:$A$305,0),"")</f>
      </c>
      <c r="P2256" s="234">
        <f>IF($O2256="","",INDEX('Kế hoạch'!$I$6:$I$305,$O2256))</f>
      </c>
      <c r="Q2256" s="225">
        <f>IF($O2256="","",INDEX('Kế hoạch'!$AJ$6:$AJ$305,$O2256))</f>
      </c>
      <c r="R2256" s="225">
        <f>IF($O2256="","",INDEX('Kế hoạch'!$AK$6:$AK$305,$O2256))</f>
      </c>
    </row>
    <row r="2257">
      <c r="A2257" s="223">
        <f>IF($C2257="","",COUNTIF($C$6:$C2257,"?*"))</f>
      </c>
      <c r="B2257" s="217"/>
      <c r="C2257" s="216"/>
      <c r="D2257" s="240"/>
      <c r="E2257" s="218"/>
      <c r="F2257" s="218"/>
      <c r="G2257" s="218"/>
      <c r="H2257" s="219"/>
      <c r="I2257" s="223">
        <f>IF($C2257="","",IF(ISNUMBER(MATCH($C2257,'Phản ánh'!$A$6:$A$505,0)),"Phản ánh",IF(ISNUMBER(MATCH($C2257,'Kế hoạch'!$A$6:$A$305,0)),"Công việc","Mã chưa có")))</f>
      </c>
      <c r="J2257" s="221">
        <f>IF($I2257="Phản ánh",INDEX('Phản ánh'!$C$6:$C$505,MATCH($C2257,'Phản ánh'!$A$6:$A$505,0)),IF($I2257="Công việc",INDEX('Kế hoạch'!$C$6:$C$305,$O2257),""))</f>
      </c>
      <c r="K2257" s="221">
        <f>IF($I2257="Phản ánh",INDEX('Phản ánh'!$K$6:$K$505,MATCH($C2257,'Phản ánh'!$A$6:$A$505,0))&amp;"",IF($I2257="Công việc",INDEX('Kế hoạch'!$N$6:$N$305,$O2257)&amp;"",""))</f>
      </c>
      <c r="L2257" s="220">
        <f>IF(OR($C2257="",N($B2257)=0),"",IF(AND($I2257="Phản ánh",$E2257="Đã xử lý"),INDEX('Phản ánh'!$U$6:$U$505,MATCH($C2257,'Phản ánh'!$A$6:$A$505,0)),IF(AND($I2257="Công việc",OR($E2257="Hoàn thành",$E2257="Hoàn thành kỳ")),IF(INDEX('Kế hoạch'!$B$6:$B$305,$O2257)="Đột xuất",INDEX('Kế hoạch'!$AY$6:$AY$305,$O2257),IF(N($P2257)=0,"",IF(INT($B2257)&lt;$P2257,$P2257,IF($Q2257&gt;0,$P2257+ROUND((INT($B2257)-$P2257)/$Q2257,0)*$Q2257,IF($R2257&gt;0,EDATE($P2257,ROUND((DATEDIF($P2257,INT($B2257),"m")+(INT($B2257)-EDATE($P2257,DATEDIF($P2257,INT($B2257),"m")))/(EDATE($P2257,DATEDIF($P2257,INT($B2257),"m")+1)-EDATE($P2257,DATEDIF($P2257,INT($B2257),"m"))))/$R2257,0)*$R2257),$P2257))))),"")))</f>
      </c>
      <c r="M2257" s="223">
        <f>IF(OR($C2257="",N($L2257)=0,N($B2257)=0),"",IF(IF(MOD($L2257,1)=0,INT($B2257),$B2257)&lt;=$L2257,"Đúng hạn","Trễ hạn"))</f>
      </c>
      <c r="N2257" s="225">
        <f>IF($C2257="","",ROW())</f>
      </c>
      <c r="O2257" s="225">
        <f>IF($I2257="Công việc",MATCH($C2257,'Kế hoạch'!$A$6:$A$305,0),"")</f>
      </c>
      <c r="P2257" s="234">
        <f>IF($O2257="","",INDEX('Kế hoạch'!$I$6:$I$305,$O2257))</f>
      </c>
      <c r="Q2257" s="225">
        <f>IF($O2257="","",INDEX('Kế hoạch'!$AJ$6:$AJ$305,$O2257))</f>
      </c>
      <c r="R2257" s="225">
        <f>IF($O2257="","",INDEX('Kế hoạch'!$AK$6:$AK$305,$O2257))</f>
      </c>
    </row>
    <row r="2258">
      <c r="A2258" s="223">
        <f>IF($C2258="","",COUNTIF($C$6:$C2258,"?*"))</f>
      </c>
      <c r="B2258" s="217"/>
      <c r="C2258" s="216"/>
      <c r="D2258" s="240"/>
      <c r="E2258" s="218"/>
      <c r="F2258" s="218"/>
      <c r="G2258" s="218"/>
      <c r="H2258" s="219"/>
      <c r="I2258" s="223">
        <f>IF($C2258="","",IF(ISNUMBER(MATCH($C2258,'Phản ánh'!$A$6:$A$505,0)),"Phản ánh",IF(ISNUMBER(MATCH($C2258,'Kế hoạch'!$A$6:$A$305,0)),"Công việc","Mã chưa có")))</f>
      </c>
      <c r="J2258" s="221">
        <f>IF($I2258="Phản ánh",INDEX('Phản ánh'!$C$6:$C$505,MATCH($C2258,'Phản ánh'!$A$6:$A$505,0)),IF($I2258="Công việc",INDEX('Kế hoạch'!$C$6:$C$305,$O2258),""))</f>
      </c>
      <c r="K2258" s="221">
        <f>IF($I2258="Phản ánh",INDEX('Phản ánh'!$K$6:$K$505,MATCH($C2258,'Phản ánh'!$A$6:$A$505,0))&amp;"",IF($I2258="Công việc",INDEX('Kế hoạch'!$N$6:$N$305,$O2258)&amp;"",""))</f>
      </c>
      <c r="L2258" s="220">
        <f>IF(OR($C2258="",N($B2258)=0),"",IF(AND($I2258="Phản ánh",$E2258="Đã xử lý"),INDEX('Phản ánh'!$U$6:$U$505,MATCH($C2258,'Phản ánh'!$A$6:$A$505,0)),IF(AND($I2258="Công việc",OR($E2258="Hoàn thành",$E2258="Hoàn thành kỳ")),IF(INDEX('Kế hoạch'!$B$6:$B$305,$O2258)="Đột xuất",INDEX('Kế hoạch'!$AY$6:$AY$305,$O2258),IF(N($P2258)=0,"",IF(INT($B2258)&lt;$P2258,$P2258,IF($Q2258&gt;0,$P2258+ROUND((INT($B2258)-$P2258)/$Q2258,0)*$Q2258,IF($R2258&gt;0,EDATE($P2258,ROUND((DATEDIF($P2258,INT($B2258),"m")+(INT($B2258)-EDATE($P2258,DATEDIF($P2258,INT($B2258),"m")))/(EDATE($P2258,DATEDIF($P2258,INT($B2258),"m")+1)-EDATE($P2258,DATEDIF($P2258,INT($B2258),"m"))))/$R2258,0)*$R2258),$P2258))))),"")))</f>
      </c>
      <c r="M2258" s="223">
        <f>IF(OR($C2258="",N($L2258)=0,N($B2258)=0),"",IF(IF(MOD($L2258,1)=0,INT($B2258),$B2258)&lt;=$L2258,"Đúng hạn","Trễ hạn"))</f>
      </c>
      <c r="N2258" s="225">
        <f>IF($C2258="","",ROW())</f>
      </c>
      <c r="O2258" s="225">
        <f>IF($I2258="Công việc",MATCH($C2258,'Kế hoạch'!$A$6:$A$305,0),"")</f>
      </c>
      <c r="P2258" s="234">
        <f>IF($O2258="","",INDEX('Kế hoạch'!$I$6:$I$305,$O2258))</f>
      </c>
      <c r="Q2258" s="225">
        <f>IF($O2258="","",INDEX('Kế hoạch'!$AJ$6:$AJ$305,$O2258))</f>
      </c>
      <c r="R2258" s="225">
        <f>IF($O2258="","",INDEX('Kế hoạch'!$AK$6:$AK$305,$O2258))</f>
      </c>
    </row>
    <row r="2259">
      <c r="A2259" s="223">
        <f>IF($C2259="","",COUNTIF($C$6:$C2259,"?*"))</f>
      </c>
      <c r="B2259" s="217"/>
      <c r="C2259" s="216"/>
      <c r="D2259" s="240"/>
      <c r="E2259" s="218"/>
      <c r="F2259" s="218"/>
      <c r="G2259" s="218"/>
      <c r="H2259" s="219"/>
      <c r="I2259" s="223">
        <f>IF($C2259="","",IF(ISNUMBER(MATCH($C2259,'Phản ánh'!$A$6:$A$505,0)),"Phản ánh",IF(ISNUMBER(MATCH($C2259,'Kế hoạch'!$A$6:$A$305,0)),"Công việc","Mã chưa có")))</f>
      </c>
      <c r="J2259" s="221">
        <f>IF($I2259="Phản ánh",INDEX('Phản ánh'!$C$6:$C$505,MATCH($C2259,'Phản ánh'!$A$6:$A$505,0)),IF($I2259="Công việc",INDEX('Kế hoạch'!$C$6:$C$305,$O2259),""))</f>
      </c>
      <c r="K2259" s="221">
        <f>IF($I2259="Phản ánh",INDEX('Phản ánh'!$K$6:$K$505,MATCH($C2259,'Phản ánh'!$A$6:$A$505,0))&amp;"",IF($I2259="Công việc",INDEX('Kế hoạch'!$N$6:$N$305,$O2259)&amp;"",""))</f>
      </c>
      <c r="L2259" s="220">
        <f>IF(OR($C2259="",N($B2259)=0),"",IF(AND($I2259="Phản ánh",$E2259="Đã xử lý"),INDEX('Phản ánh'!$U$6:$U$505,MATCH($C2259,'Phản ánh'!$A$6:$A$505,0)),IF(AND($I2259="Công việc",OR($E2259="Hoàn thành",$E2259="Hoàn thành kỳ")),IF(INDEX('Kế hoạch'!$B$6:$B$305,$O2259)="Đột xuất",INDEX('Kế hoạch'!$AY$6:$AY$305,$O2259),IF(N($P2259)=0,"",IF(INT($B2259)&lt;$P2259,$P2259,IF($Q2259&gt;0,$P2259+ROUND((INT($B2259)-$P2259)/$Q2259,0)*$Q2259,IF($R2259&gt;0,EDATE($P2259,ROUND((DATEDIF($P2259,INT($B2259),"m")+(INT($B2259)-EDATE($P2259,DATEDIF($P2259,INT($B2259),"m")))/(EDATE($P2259,DATEDIF($P2259,INT($B2259),"m")+1)-EDATE($P2259,DATEDIF($P2259,INT($B2259),"m"))))/$R2259,0)*$R2259),$P2259))))),"")))</f>
      </c>
      <c r="M2259" s="223">
        <f>IF(OR($C2259="",N($L2259)=0,N($B2259)=0),"",IF(IF(MOD($L2259,1)=0,INT($B2259),$B2259)&lt;=$L2259,"Đúng hạn","Trễ hạn"))</f>
      </c>
      <c r="N2259" s="225">
        <f>IF($C2259="","",ROW())</f>
      </c>
      <c r="O2259" s="225">
        <f>IF($I2259="Công việc",MATCH($C2259,'Kế hoạch'!$A$6:$A$305,0),"")</f>
      </c>
      <c r="P2259" s="234">
        <f>IF($O2259="","",INDEX('Kế hoạch'!$I$6:$I$305,$O2259))</f>
      </c>
      <c r="Q2259" s="225">
        <f>IF($O2259="","",INDEX('Kế hoạch'!$AJ$6:$AJ$305,$O2259))</f>
      </c>
      <c r="R2259" s="225">
        <f>IF($O2259="","",INDEX('Kế hoạch'!$AK$6:$AK$305,$O2259))</f>
      </c>
    </row>
    <row r="2260">
      <c r="A2260" s="223">
        <f>IF($C2260="","",COUNTIF($C$6:$C2260,"?*"))</f>
      </c>
      <c r="B2260" s="217"/>
      <c r="C2260" s="216"/>
      <c r="D2260" s="240"/>
      <c r="E2260" s="218"/>
      <c r="F2260" s="218"/>
      <c r="G2260" s="218"/>
      <c r="H2260" s="219"/>
      <c r="I2260" s="223">
        <f>IF($C2260="","",IF(ISNUMBER(MATCH($C2260,'Phản ánh'!$A$6:$A$505,0)),"Phản ánh",IF(ISNUMBER(MATCH($C2260,'Kế hoạch'!$A$6:$A$305,0)),"Công việc","Mã chưa có")))</f>
      </c>
      <c r="J2260" s="221">
        <f>IF($I2260="Phản ánh",INDEX('Phản ánh'!$C$6:$C$505,MATCH($C2260,'Phản ánh'!$A$6:$A$505,0)),IF($I2260="Công việc",INDEX('Kế hoạch'!$C$6:$C$305,$O2260),""))</f>
      </c>
      <c r="K2260" s="221">
        <f>IF($I2260="Phản ánh",INDEX('Phản ánh'!$K$6:$K$505,MATCH($C2260,'Phản ánh'!$A$6:$A$505,0))&amp;"",IF($I2260="Công việc",INDEX('Kế hoạch'!$N$6:$N$305,$O2260)&amp;"",""))</f>
      </c>
      <c r="L2260" s="220">
        <f>IF(OR($C2260="",N($B2260)=0),"",IF(AND($I2260="Phản ánh",$E2260="Đã xử lý"),INDEX('Phản ánh'!$U$6:$U$505,MATCH($C2260,'Phản ánh'!$A$6:$A$505,0)),IF(AND($I2260="Công việc",OR($E2260="Hoàn thành",$E2260="Hoàn thành kỳ")),IF(INDEX('Kế hoạch'!$B$6:$B$305,$O2260)="Đột xuất",INDEX('Kế hoạch'!$AY$6:$AY$305,$O2260),IF(N($P2260)=0,"",IF(INT($B2260)&lt;$P2260,$P2260,IF($Q2260&gt;0,$P2260+ROUND((INT($B2260)-$P2260)/$Q2260,0)*$Q2260,IF($R2260&gt;0,EDATE($P2260,ROUND((DATEDIF($P2260,INT($B2260),"m")+(INT($B2260)-EDATE($P2260,DATEDIF($P2260,INT($B2260),"m")))/(EDATE($P2260,DATEDIF($P2260,INT($B2260),"m")+1)-EDATE($P2260,DATEDIF($P2260,INT($B2260),"m"))))/$R2260,0)*$R2260),$P2260))))),"")))</f>
      </c>
      <c r="M2260" s="223">
        <f>IF(OR($C2260="",N($L2260)=0,N($B2260)=0),"",IF(IF(MOD($L2260,1)=0,INT($B2260),$B2260)&lt;=$L2260,"Đúng hạn","Trễ hạn"))</f>
      </c>
      <c r="N2260" s="225">
        <f>IF($C2260="","",ROW())</f>
      </c>
      <c r="O2260" s="225">
        <f>IF($I2260="Công việc",MATCH($C2260,'Kế hoạch'!$A$6:$A$305,0),"")</f>
      </c>
      <c r="P2260" s="234">
        <f>IF($O2260="","",INDEX('Kế hoạch'!$I$6:$I$305,$O2260))</f>
      </c>
      <c r="Q2260" s="225">
        <f>IF($O2260="","",INDEX('Kế hoạch'!$AJ$6:$AJ$305,$O2260))</f>
      </c>
      <c r="R2260" s="225">
        <f>IF($O2260="","",INDEX('Kế hoạch'!$AK$6:$AK$305,$O2260))</f>
      </c>
    </row>
    <row r="2261">
      <c r="A2261" s="223">
        <f>IF($C2261="","",COUNTIF($C$6:$C2261,"?*"))</f>
      </c>
      <c r="B2261" s="217"/>
      <c r="C2261" s="216"/>
      <c r="D2261" s="240"/>
      <c r="E2261" s="218"/>
      <c r="F2261" s="218"/>
      <c r="G2261" s="218"/>
      <c r="H2261" s="219"/>
      <c r="I2261" s="223">
        <f>IF($C2261="","",IF(ISNUMBER(MATCH($C2261,'Phản ánh'!$A$6:$A$505,0)),"Phản ánh",IF(ISNUMBER(MATCH($C2261,'Kế hoạch'!$A$6:$A$305,0)),"Công việc","Mã chưa có")))</f>
      </c>
      <c r="J2261" s="221">
        <f>IF($I2261="Phản ánh",INDEX('Phản ánh'!$C$6:$C$505,MATCH($C2261,'Phản ánh'!$A$6:$A$505,0)),IF($I2261="Công việc",INDEX('Kế hoạch'!$C$6:$C$305,$O2261),""))</f>
      </c>
      <c r="K2261" s="221">
        <f>IF($I2261="Phản ánh",INDEX('Phản ánh'!$K$6:$K$505,MATCH($C2261,'Phản ánh'!$A$6:$A$505,0))&amp;"",IF($I2261="Công việc",INDEX('Kế hoạch'!$N$6:$N$305,$O2261)&amp;"",""))</f>
      </c>
      <c r="L2261" s="220">
        <f>IF(OR($C2261="",N($B2261)=0),"",IF(AND($I2261="Phản ánh",$E2261="Đã xử lý"),INDEX('Phản ánh'!$U$6:$U$505,MATCH($C2261,'Phản ánh'!$A$6:$A$505,0)),IF(AND($I2261="Công việc",OR($E2261="Hoàn thành",$E2261="Hoàn thành kỳ")),IF(INDEX('Kế hoạch'!$B$6:$B$305,$O2261)="Đột xuất",INDEX('Kế hoạch'!$AY$6:$AY$305,$O2261),IF(N($P2261)=0,"",IF(INT($B2261)&lt;$P2261,$P2261,IF($Q2261&gt;0,$P2261+ROUND((INT($B2261)-$P2261)/$Q2261,0)*$Q2261,IF($R2261&gt;0,EDATE($P2261,ROUND((DATEDIF($P2261,INT($B2261),"m")+(INT($B2261)-EDATE($P2261,DATEDIF($P2261,INT($B2261),"m")))/(EDATE($P2261,DATEDIF($P2261,INT($B2261),"m")+1)-EDATE($P2261,DATEDIF($P2261,INT($B2261),"m"))))/$R2261,0)*$R2261),$P2261))))),"")))</f>
      </c>
      <c r="M2261" s="223">
        <f>IF(OR($C2261="",N($L2261)=0,N($B2261)=0),"",IF(IF(MOD($L2261,1)=0,INT($B2261),$B2261)&lt;=$L2261,"Đúng hạn","Trễ hạn"))</f>
      </c>
      <c r="N2261" s="225">
        <f>IF($C2261="","",ROW())</f>
      </c>
      <c r="O2261" s="225">
        <f>IF($I2261="Công việc",MATCH($C2261,'Kế hoạch'!$A$6:$A$305,0),"")</f>
      </c>
      <c r="P2261" s="234">
        <f>IF($O2261="","",INDEX('Kế hoạch'!$I$6:$I$305,$O2261))</f>
      </c>
      <c r="Q2261" s="225">
        <f>IF($O2261="","",INDEX('Kế hoạch'!$AJ$6:$AJ$305,$O2261))</f>
      </c>
      <c r="R2261" s="225">
        <f>IF($O2261="","",INDEX('Kế hoạch'!$AK$6:$AK$305,$O2261))</f>
      </c>
    </row>
    <row r="2262">
      <c r="A2262" s="223">
        <f>IF($C2262="","",COUNTIF($C$6:$C2262,"?*"))</f>
      </c>
      <c r="B2262" s="217"/>
      <c r="C2262" s="216"/>
      <c r="D2262" s="240"/>
      <c r="E2262" s="218"/>
      <c r="F2262" s="218"/>
      <c r="G2262" s="218"/>
      <c r="H2262" s="219"/>
      <c r="I2262" s="223">
        <f>IF($C2262="","",IF(ISNUMBER(MATCH($C2262,'Phản ánh'!$A$6:$A$505,0)),"Phản ánh",IF(ISNUMBER(MATCH($C2262,'Kế hoạch'!$A$6:$A$305,0)),"Công việc","Mã chưa có")))</f>
      </c>
      <c r="J2262" s="221">
        <f>IF($I2262="Phản ánh",INDEX('Phản ánh'!$C$6:$C$505,MATCH($C2262,'Phản ánh'!$A$6:$A$505,0)),IF($I2262="Công việc",INDEX('Kế hoạch'!$C$6:$C$305,$O2262),""))</f>
      </c>
      <c r="K2262" s="221">
        <f>IF($I2262="Phản ánh",INDEX('Phản ánh'!$K$6:$K$505,MATCH($C2262,'Phản ánh'!$A$6:$A$505,0))&amp;"",IF($I2262="Công việc",INDEX('Kế hoạch'!$N$6:$N$305,$O2262)&amp;"",""))</f>
      </c>
      <c r="L2262" s="220">
        <f>IF(OR($C2262="",N($B2262)=0),"",IF(AND($I2262="Phản ánh",$E2262="Đã xử lý"),INDEX('Phản ánh'!$U$6:$U$505,MATCH($C2262,'Phản ánh'!$A$6:$A$505,0)),IF(AND($I2262="Công việc",OR($E2262="Hoàn thành",$E2262="Hoàn thành kỳ")),IF(INDEX('Kế hoạch'!$B$6:$B$305,$O2262)="Đột xuất",INDEX('Kế hoạch'!$AY$6:$AY$305,$O2262),IF(N($P2262)=0,"",IF(INT($B2262)&lt;$P2262,$P2262,IF($Q2262&gt;0,$P2262+ROUND((INT($B2262)-$P2262)/$Q2262,0)*$Q2262,IF($R2262&gt;0,EDATE($P2262,ROUND((DATEDIF($P2262,INT($B2262),"m")+(INT($B2262)-EDATE($P2262,DATEDIF($P2262,INT($B2262),"m")))/(EDATE($P2262,DATEDIF($P2262,INT($B2262),"m")+1)-EDATE($P2262,DATEDIF($P2262,INT($B2262),"m"))))/$R2262,0)*$R2262),$P2262))))),"")))</f>
      </c>
      <c r="M2262" s="223">
        <f>IF(OR($C2262="",N($L2262)=0,N($B2262)=0),"",IF(IF(MOD($L2262,1)=0,INT($B2262),$B2262)&lt;=$L2262,"Đúng hạn","Trễ hạn"))</f>
      </c>
      <c r="N2262" s="225">
        <f>IF($C2262="","",ROW())</f>
      </c>
      <c r="O2262" s="225">
        <f>IF($I2262="Công việc",MATCH($C2262,'Kế hoạch'!$A$6:$A$305,0),"")</f>
      </c>
      <c r="P2262" s="234">
        <f>IF($O2262="","",INDEX('Kế hoạch'!$I$6:$I$305,$O2262))</f>
      </c>
      <c r="Q2262" s="225">
        <f>IF($O2262="","",INDEX('Kế hoạch'!$AJ$6:$AJ$305,$O2262))</f>
      </c>
      <c r="R2262" s="225">
        <f>IF($O2262="","",INDEX('Kế hoạch'!$AK$6:$AK$305,$O2262))</f>
      </c>
    </row>
    <row r="2263">
      <c r="A2263" s="223">
        <f>IF($C2263="","",COUNTIF($C$6:$C2263,"?*"))</f>
      </c>
      <c r="B2263" s="217"/>
      <c r="C2263" s="216"/>
      <c r="D2263" s="240"/>
      <c r="E2263" s="218"/>
      <c r="F2263" s="218"/>
      <c r="G2263" s="218"/>
      <c r="H2263" s="219"/>
      <c r="I2263" s="223">
        <f>IF($C2263="","",IF(ISNUMBER(MATCH($C2263,'Phản ánh'!$A$6:$A$505,0)),"Phản ánh",IF(ISNUMBER(MATCH($C2263,'Kế hoạch'!$A$6:$A$305,0)),"Công việc","Mã chưa có")))</f>
      </c>
      <c r="J2263" s="221">
        <f>IF($I2263="Phản ánh",INDEX('Phản ánh'!$C$6:$C$505,MATCH($C2263,'Phản ánh'!$A$6:$A$505,0)),IF($I2263="Công việc",INDEX('Kế hoạch'!$C$6:$C$305,$O2263),""))</f>
      </c>
      <c r="K2263" s="221">
        <f>IF($I2263="Phản ánh",INDEX('Phản ánh'!$K$6:$K$505,MATCH($C2263,'Phản ánh'!$A$6:$A$505,0))&amp;"",IF($I2263="Công việc",INDEX('Kế hoạch'!$N$6:$N$305,$O2263)&amp;"",""))</f>
      </c>
      <c r="L2263" s="220">
        <f>IF(OR($C2263="",N($B2263)=0),"",IF(AND($I2263="Phản ánh",$E2263="Đã xử lý"),INDEX('Phản ánh'!$U$6:$U$505,MATCH($C2263,'Phản ánh'!$A$6:$A$505,0)),IF(AND($I2263="Công việc",OR($E2263="Hoàn thành",$E2263="Hoàn thành kỳ")),IF(INDEX('Kế hoạch'!$B$6:$B$305,$O2263)="Đột xuất",INDEX('Kế hoạch'!$AY$6:$AY$305,$O2263),IF(N($P2263)=0,"",IF(INT($B2263)&lt;$P2263,$P2263,IF($Q2263&gt;0,$P2263+ROUND((INT($B2263)-$P2263)/$Q2263,0)*$Q2263,IF($R2263&gt;0,EDATE($P2263,ROUND((DATEDIF($P2263,INT($B2263),"m")+(INT($B2263)-EDATE($P2263,DATEDIF($P2263,INT($B2263),"m")))/(EDATE($P2263,DATEDIF($P2263,INT($B2263),"m")+1)-EDATE($P2263,DATEDIF($P2263,INT($B2263),"m"))))/$R2263,0)*$R2263),$P2263))))),"")))</f>
      </c>
      <c r="M2263" s="223">
        <f>IF(OR($C2263="",N($L2263)=0,N($B2263)=0),"",IF(IF(MOD($L2263,1)=0,INT($B2263),$B2263)&lt;=$L2263,"Đúng hạn","Trễ hạn"))</f>
      </c>
      <c r="N2263" s="225">
        <f>IF($C2263="","",ROW())</f>
      </c>
      <c r="O2263" s="225">
        <f>IF($I2263="Công việc",MATCH($C2263,'Kế hoạch'!$A$6:$A$305,0),"")</f>
      </c>
      <c r="P2263" s="234">
        <f>IF($O2263="","",INDEX('Kế hoạch'!$I$6:$I$305,$O2263))</f>
      </c>
      <c r="Q2263" s="225">
        <f>IF($O2263="","",INDEX('Kế hoạch'!$AJ$6:$AJ$305,$O2263))</f>
      </c>
      <c r="R2263" s="225">
        <f>IF($O2263="","",INDEX('Kế hoạch'!$AK$6:$AK$305,$O2263))</f>
      </c>
    </row>
    <row r="2264">
      <c r="A2264" s="223">
        <f>IF($C2264="","",COUNTIF($C$6:$C2264,"?*"))</f>
      </c>
      <c r="B2264" s="217"/>
      <c r="C2264" s="216"/>
      <c r="D2264" s="240"/>
      <c r="E2264" s="218"/>
      <c r="F2264" s="218"/>
      <c r="G2264" s="218"/>
      <c r="H2264" s="219"/>
      <c r="I2264" s="223">
        <f>IF($C2264="","",IF(ISNUMBER(MATCH($C2264,'Phản ánh'!$A$6:$A$505,0)),"Phản ánh",IF(ISNUMBER(MATCH($C2264,'Kế hoạch'!$A$6:$A$305,0)),"Công việc","Mã chưa có")))</f>
      </c>
      <c r="J2264" s="221">
        <f>IF($I2264="Phản ánh",INDEX('Phản ánh'!$C$6:$C$505,MATCH($C2264,'Phản ánh'!$A$6:$A$505,0)),IF($I2264="Công việc",INDEX('Kế hoạch'!$C$6:$C$305,$O2264),""))</f>
      </c>
      <c r="K2264" s="221">
        <f>IF($I2264="Phản ánh",INDEX('Phản ánh'!$K$6:$K$505,MATCH($C2264,'Phản ánh'!$A$6:$A$505,0))&amp;"",IF($I2264="Công việc",INDEX('Kế hoạch'!$N$6:$N$305,$O2264)&amp;"",""))</f>
      </c>
      <c r="L2264" s="220">
        <f>IF(OR($C2264="",N($B2264)=0),"",IF(AND($I2264="Phản ánh",$E2264="Đã xử lý"),INDEX('Phản ánh'!$U$6:$U$505,MATCH($C2264,'Phản ánh'!$A$6:$A$505,0)),IF(AND($I2264="Công việc",OR($E2264="Hoàn thành",$E2264="Hoàn thành kỳ")),IF(INDEX('Kế hoạch'!$B$6:$B$305,$O2264)="Đột xuất",INDEX('Kế hoạch'!$AY$6:$AY$305,$O2264),IF(N($P2264)=0,"",IF(INT($B2264)&lt;$P2264,$P2264,IF($Q2264&gt;0,$P2264+ROUND((INT($B2264)-$P2264)/$Q2264,0)*$Q2264,IF($R2264&gt;0,EDATE($P2264,ROUND((DATEDIF($P2264,INT($B2264),"m")+(INT($B2264)-EDATE($P2264,DATEDIF($P2264,INT($B2264),"m")))/(EDATE($P2264,DATEDIF($P2264,INT($B2264),"m")+1)-EDATE($P2264,DATEDIF($P2264,INT($B2264),"m"))))/$R2264,0)*$R2264),$P2264))))),"")))</f>
      </c>
      <c r="M2264" s="223">
        <f>IF(OR($C2264="",N($L2264)=0,N($B2264)=0),"",IF(IF(MOD($L2264,1)=0,INT($B2264),$B2264)&lt;=$L2264,"Đúng hạn","Trễ hạn"))</f>
      </c>
      <c r="N2264" s="225">
        <f>IF($C2264="","",ROW())</f>
      </c>
      <c r="O2264" s="225">
        <f>IF($I2264="Công việc",MATCH($C2264,'Kế hoạch'!$A$6:$A$305,0),"")</f>
      </c>
      <c r="P2264" s="234">
        <f>IF($O2264="","",INDEX('Kế hoạch'!$I$6:$I$305,$O2264))</f>
      </c>
      <c r="Q2264" s="225">
        <f>IF($O2264="","",INDEX('Kế hoạch'!$AJ$6:$AJ$305,$O2264))</f>
      </c>
      <c r="R2264" s="225">
        <f>IF($O2264="","",INDEX('Kế hoạch'!$AK$6:$AK$305,$O2264))</f>
      </c>
    </row>
    <row r="2265">
      <c r="A2265" s="223">
        <f>IF($C2265="","",COUNTIF($C$6:$C2265,"?*"))</f>
      </c>
      <c r="B2265" s="217"/>
      <c r="C2265" s="216"/>
      <c r="D2265" s="240"/>
      <c r="E2265" s="218"/>
      <c r="F2265" s="218"/>
      <c r="G2265" s="218"/>
      <c r="H2265" s="219"/>
      <c r="I2265" s="223">
        <f>IF($C2265="","",IF(ISNUMBER(MATCH($C2265,'Phản ánh'!$A$6:$A$505,0)),"Phản ánh",IF(ISNUMBER(MATCH($C2265,'Kế hoạch'!$A$6:$A$305,0)),"Công việc","Mã chưa có")))</f>
      </c>
      <c r="J2265" s="221">
        <f>IF($I2265="Phản ánh",INDEX('Phản ánh'!$C$6:$C$505,MATCH($C2265,'Phản ánh'!$A$6:$A$505,0)),IF($I2265="Công việc",INDEX('Kế hoạch'!$C$6:$C$305,$O2265),""))</f>
      </c>
      <c r="K2265" s="221">
        <f>IF($I2265="Phản ánh",INDEX('Phản ánh'!$K$6:$K$505,MATCH($C2265,'Phản ánh'!$A$6:$A$505,0))&amp;"",IF($I2265="Công việc",INDEX('Kế hoạch'!$N$6:$N$305,$O2265)&amp;"",""))</f>
      </c>
      <c r="L2265" s="220">
        <f>IF(OR($C2265="",N($B2265)=0),"",IF(AND($I2265="Phản ánh",$E2265="Đã xử lý"),INDEX('Phản ánh'!$U$6:$U$505,MATCH($C2265,'Phản ánh'!$A$6:$A$505,0)),IF(AND($I2265="Công việc",OR($E2265="Hoàn thành",$E2265="Hoàn thành kỳ")),IF(INDEX('Kế hoạch'!$B$6:$B$305,$O2265)="Đột xuất",INDEX('Kế hoạch'!$AY$6:$AY$305,$O2265),IF(N($P2265)=0,"",IF(INT($B2265)&lt;$P2265,$P2265,IF($Q2265&gt;0,$P2265+ROUND((INT($B2265)-$P2265)/$Q2265,0)*$Q2265,IF($R2265&gt;0,EDATE($P2265,ROUND((DATEDIF($P2265,INT($B2265),"m")+(INT($B2265)-EDATE($P2265,DATEDIF($P2265,INT($B2265),"m")))/(EDATE($P2265,DATEDIF($P2265,INT($B2265),"m")+1)-EDATE($P2265,DATEDIF($P2265,INT($B2265),"m"))))/$R2265,0)*$R2265),$P2265))))),"")))</f>
      </c>
      <c r="M2265" s="223">
        <f>IF(OR($C2265="",N($L2265)=0,N($B2265)=0),"",IF(IF(MOD($L2265,1)=0,INT($B2265),$B2265)&lt;=$L2265,"Đúng hạn","Trễ hạn"))</f>
      </c>
      <c r="N2265" s="225">
        <f>IF($C2265="","",ROW())</f>
      </c>
      <c r="O2265" s="225">
        <f>IF($I2265="Công việc",MATCH($C2265,'Kế hoạch'!$A$6:$A$305,0),"")</f>
      </c>
      <c r="P2265" s="234">
        <f>IF($O2265="","",INDEX('Kế hoạch'!$I$6:$I$305,$O2265))</f>
      </c>
      <c r="Q2265" s="225">
        <f>IF($O2265="","",INDEX('Kế hoạch'!$AJ$6:$AJ$305,$O2265))</f>
      </c>
      <c r="R2265" s="225">
        <f>IF($O2265="","",INDEX('Kế hoạch'!$AK$6:$AK$305,$O2265))</f>
      </c>
    </row>
    <row r="2266">
      <c r="A2266" s="223">
        <f>IF($C2266="","",COUNTIF($C$6:$C2266,"?*"))</f>
      </c>
      <c r="B2266" s="217"/>
      <c r="C2266" s="216"/>
      <c r="D2266" s="240"/>
      <c r="E2266" s="218"/>
      <c r="F2266" s="218"/>
      <c r="G2266" s="218"/>
      <c r="H2266" s="219"/>
      <c r="I2266" s="223">
        <f>IF($C2266="","",IF(ISNUMBER(MATCH($C2266,'Phản ánh'!$A$6:$A$505,0)),"Phản ánh",IF(ISNUMBER(MATCH($C2266,'Kế hoạch'!$A$6:$A$305,0)),"Công việc","Mã chưa có")))</f>
      </c>
      <c r="J2266" s="221">
        <f>IF($I2266="Phản ánh",INDEX('Phản ánh'!$C$6:$C$505,MATCH($C2266,'Phản ánh'!$A$6:$A$505,0)),IF($I2266="Công việc",INDEX('Kế hoạch'!$C$6:$C$305,$O2266),""))</f>
      </c>
      <c r="K2266" s="221">
        <f>IF($I2266="Phản ánh",INDEX('Phản ánh'!$K$6:$K$505,MATCH($C2266,'Phản ánh'!$A$6:$A$505,0))&amp;"",IF($I2266="Công việc",INDEX('Kế hoạch'!$N$6:$N$305,$O2266)&amp;"",""))</f>
      </c>
      <c r="L2266" s="220">
        <f>IF(OR($C2266="",N($B2266)=0),"",IF(AND($I2266="Phản ánh",$E2266="Đã xử lý"),INDEX('Phản ánh'!$U$6:$U$505,MATCH($C2266,'Phản ánh'!$A$6:$A$505,0)),IF(AND($I2266="Công việc",OR($E2266="Hoàn thành",$E2266="Hoàn thành kỳ")),IF(INDEX('Kế hoạch'!$B$6:$B$305,$O2266)="Đột xuất",INDEX('Kế hoạch'!$AY$6:$AY$305,$O2266),IF(N($P2266)=0,"",IF(INT($B2266)&lt;$P2266,$P2266,IF($Q2266&gt;0,$P2266+ROUND((INT($B2266)-$P2266)/$Q2266,0)*$Q2266,IF($R2266&gt;0,EDATE($P2266,ROUND((DATEDIF($P2266,INT($B2266),"m")+(INT($B2266)-EDATE($P2266,DATEDIF($P2266,INT($B2266),"m")))/(EDATE($P2266,DATEDIF($P2266,INT($B2266),"m")+1)-EDATE($P2266,DATEDIF($P2266,INT($B2266),"m"))))/$R2266,0)*$R2266),$P2266))))),"")))</f>
      </c>
      <c r="M2266" s="223">
        <f>IF(OR($C2266="",N($L2266)=0,N($B2266)=0),"",IF(IF(MOD($L2266,1)=0,INT($B2266),$B2266)&lt;=$L2266,"Đúng hạn","Trễ hạn"))</f>
      </c>
      <c r="N2266" s="225">
        <f>IF($C2266="","",ROW())</f>
      </c>
      <c r="O2266" s="225">
        <f>IF($I2266="Công việc",MATCH($C2266,'Kế hoạch'!$A$6:$A$305,0),"")</f>
      </c>
      <c r="P2266" s="234">
        <f>IF($O2266="","",INDEX('Kế hoạch'!$I$6:$I$305,$O2266))</f>
      </c>
      <c r="Q2266" s="225">
        <f>IF($O2266="","",INDEX('Kế hoạch'!$AJ$6:$AJ$305,$O2266))</f>
      </c>
      <c r="R2266" s="225">
        <f>IF($O2266="","",INDEX('Kế hoạch'!$AK$6:$AK$305,$O2266))</f>
      </c>
    </row>
    <row r="2267">
      <c r="A2267" s="223">
        <f>IF($C2267="","",COUNTIF($C$6:$C2267,"?*"))</f>
      </c>
      <c r="B2267" s="217"/>
      <c r="C2267" s="216"/>
      <c r="D2267" s="240"/>
      <c r="E2267" s="218"/>
      <c r="F2267" s="218"/>
      <c r="G2267" s="218"/>
      <c r="H2267" s="219"/>
      <c r="I2267" s="223">
        <f>IF($C2267="","",IF(ISNUMBER(MATCH($C2267,'Phản ánh'!$A$6:$A$505,0)),"Phản ánh",IF(ISNUMBER(MATCH($C2267,'Kế hoạch'!$A$6:$A$305,0)),"Công việc","Mã chưa có")))</f>
      </c>
      <c r="J2267" s="221">
        <f>IF($I2267="Phản ánh",INDEX('Phản ánh'!$C$6:$C$505,MATCH($C2267,'Phản ánh'!$A$6:$A$505,0)),IF($I2267="Công việc",INDEX('Kế hoạch'!$C$6:$C$305,$O2267),""))</f>
      </c>
      <c r="K2267" s="221">
        <f>IF($I2267="Phản ánh",INDEX('Phản ánh'!$K$6:$K$505,MATCH($C2267,'Phản ánh'!$A$6:$A$505,0))&amp;"",IF($I2267="Công việc",INDEX('Kế hoạch'!$N$6:$N$305,$O2267)&amp;"",""))</f>
      </c>
      <c r="L2267" s="220">
        <f>IF(OR($C2267="",N($B2267)=0),"",IF(AND($I2267="Phản ánh",$E2267="Đã xử lý"),INDEX('Phản ánh'!$U$6:$U$505,MATCH($C2267,'Phản ánh'!$A$6:$A$505,0)),IF(AND($I2267="Công việc",OR($E2267="Hoàn thành",$E2267="Hoàn thành kỳ")),IF(INDEX('Kế hoạch'!$B$6:$B$305,$O2267)="Đột xuất",INDEX('Kế hoạch'!$AY$6:$AY$305,$O2267),IF(N($P2267)=0,"",IF(INT($B2267)&lt;$P2267,$P2267,IF($Q2267&gt;0,$P2267+ROUND((INT($B2267)-$P2267)/$Q2267,0)*$Q2267,IF($R2267&gt;0,EDATE($P2267,ROUND((DATEDIF($P2267,INT($B2267),"m")+(INT($B2267)-EDATE($P2267,DATEDIF($P2267,INT($B2267),"m")))/(EDATE($P2267,DATEDIF($P2267,INT($B2267),"m")+1)-EDATE($P2267,DATEDIF($P2267,INT($B2267),"m"))))/$R2267,0)*$R2267),$P2267))))),"")))</f>
      </c>
      <c r="M2267" s="223">
        <f>IF(OR($C2267="",N($L2267)=0,N($B2267)=0),"",IF(IF(MOD($L2267,1)=0,INT($B2267),$B2267)&lt;=$L2267,"Đúng hạn","Trễ hạn"))</f>
      </c>
      <c r="N2267" s="225">
        <f>IF($C2267="","",ROW())</f>
      </c>
      <c r="O2267" s="225">
        <f>IF($I2267="Công việc",MATCH($C2267,'Kế hoạch'!$A$6:$A$305,0),"")</f>
      </c>
      <c r="P2267" s="234">
        <f>IF($O2267="","",INDEX('Kế hoạch'!$I$6:$I$305,$O2267))</f>
      </c>
      <c r="Q2267" s="225">
        <f>IF($O2267="","",INDEX('Kế hoạch'!$AJ$6:$AJ$305,$O2267))</f>
      </c>
      <c r="R2267" s="225">
        <f>IF($O2267="","",INDEX('Kế hoạch'!$AK$6:$AK$305,$O2267))</f>
      </c>
    </row>
    <row r="2268">
      <c r="A2268" s="223">
        <f>IF($C2268="","",COUNTIF($C$6:$C2268,"?*"))</f>
      </c>
      <c r="B2268" s="217"/>
      <c r="C2268" s="216"/>
      <c r="D2268" s="240"/>
      <c r="E2268" s="218"/>
      <c r="F2268" s="218"/>
      <c r="G2268" s="218"/>
      <c r="H2268" s="219"/>
      <c r="I2268" s="223">
        <f>IF($C2268="","",IF(ISNUMBER(MATCH($C2268,'Phản ánh'!$A$6:$A$505,0)),"Phản ánh",IF(ISNUMBER(MATCH($C2268,'Kế hoạch'!$A$6:$A$305,0)),"Công việc","Mã chưa có")))</f>
      </c>
      <c r="J2268" s="221">
        <f>IF($I2268="Phản ánh",INDEX('Phản ánh'!$C$6:$C$505,MATCH($C2268,'Phản ánh'!$A$6:$A$505,0)),IF($I2268="Công việc",INDEX('Kế hoạch'!$C$6:$C$305,$O2268),""))</f>
      </c>
      <c r="K2268" s="221">
        <f>IF($I2268="Phản ánh",INDEX('Phản ánh'!$K$6:$K$505,MATCH($C2268,'Phản ánh'!$A$6:$A$505,0))&amp;"",IF($I2268="Công việc",INDEX('Kế hoạch'!$N$6:$N$305,$O2268)&amp;"",""))</f>
      </c>
      <c r="L2268" s="220">
        <f>IF(OR($C2268="",N($B2268)=0),"",IF(AND($I2268="Phản ánh",$E2268="Đã xử lý"),INDEX('Phản ánh'!$U$6:$U$505,MATCH($C2268,'Phản ánh'!$A$6:$A$505,0)),IF(AND($I2268="Công việc",OR($E2268="Hoàn thành",$E2268="Hoàn thành kỳ")),IF(INDEX('Kế hoạch'!$B$6:$B$305,$O2268)="Đột xuất",INDEX('Kế hoạch'!$AY$6:$AY$305,$O2268),IF(N($P2268)=0,"",IF(INT($B2268)&lt;$P2268,$P2268,IF($Q2268&gt;0,$P2268+ROUND((INT($B2268)-$P2268)/$Q2268,0)*$Q2268,IF($R2268&gt;0,EDATE($P2268,ROUND((DATEDIF($P2268,INT($B2268),"m")+(INT($B2268)-EDATE($P2268,DATEDIF($P2268,INT($B2268),"m")))/(EDATE($P2268,DATEDIF($P2268,INT($B2268),"m")+1)-EDATE($P2268,DATEDIF($P2268,INT($B2268),"m"))))/$R2268,0)*$R2268),$P2268))))),"")))</f>
      </c>
      <c r="M2268" s="223">
        <f>IF(OR($C2268="",N($L2268)=0,N($B2268)=0),"",IF(IF(MOD($L2268,1)=0,INT($B2268),$B2268)&lt;=$L2268,"Đúng hạn","Trễ hạn"))</f>
      </c>
      <c r="N2268" s="225">
        <f>IF($C2268="","",ROW())</f>
      </c>
      <c r="O2268" s="225">
        <f>IF($I2268="Công việc",MATCH($C2268,'Kế hoạch'!$A$6:$A$305,0),"")</f>
      </c>
      <c r="P2268" s="234">
        <f>IF($O2268="","",INDEX('Kế hoạch'!$I$6:$I$305,$O2268))</f>
      </c>
      <c r="Q2268" s="225">
        <f>IF($O2268="","",INDEX('Kế hoạch'!$AJ$6:$AJ$305,$O2268))</f>
      </c>
      <c r="R2268" s="225">
        <f>IF($O2268="","",INDEX('Kế hoạch'!$AK$6:$AK$305,$O2268))</f>
      </c>
    </row>
    <row r="2269">
      <c r="A2269" s="223">
        <f>IF($C2269="","",COUNTIF($C$6:$C2269,"?*"))</f>
      </c>
      <c r="B2269" s="217"/>
      <c r="C2269" s="216"/>
      <c r="D2269" s="240"/>
      <c r="E2269" s="218"/>
      <c r="F2269" s="218"/>
      <c r="G2269" s="218"/>
      <c r="H2269" s="219"/>
      <c r="I2269" s="223">
        <f>IF($C2269="","",IF(ISNUMBER(MATCH($C2269,'Phản ánh'!$A$6:$A$505,0)),"Phản ánh",IF(ISNUMBER(MATCH($C2269,'Kế hoạch'!$A$6:$A$305,0)),"Công việc","Mã chưa có")))</f>
      </c>
      <c r="J2269" s="221">
        <f>IF($I2269="Phản ánh",INDEX('Phản ánh'!$C$6:$C$505,MATCH($C2269,'Phản ánh'!$A$6:$A$505,0)),IF($I2269="Công việc",INDEX('Kế hoạch'!$C$6:$C$305,$O2269),""))</f>
      </c>
      <c r="K2269" s="221">
        <f>IF($I2269="Phản ánh",INDEX('Phản ánh'!$K$6:$K$505,MATCH($C2269,'Phản ánh'!$A$6:$A$505,0))&amp;"",IF($I2269="Công việc",INDEX('Kế hoạch'!$N$6:$N$305,$O2269)&amp;"",""))</f>
      </c>
      <c r="L2269" s="220">
        <f>IF(OR($C2269="",N($B2269)=0),"",IF(AND($I2269="Phản ánh",$E2269="Đã xử lý"),INDEX('Phản ánh'!$U$6:$U$505,MATCH($C2269,'Phản ánh'!$A$6:$A$505,0)),IF(AND($I2269="Công việc",OR($E2269="Hoàn thành",$E2269="Hoàn thành kỳ")),IF(INDEX('Kế hoạch'!$B$6:$B$305,$O2269)="Đột xuất",INDEX('Kế hoạch'!$AY$6:$AY$305,$O2269),IF(N($P2269)=0,"",IF(INT($B2269)&lt;$P2269,$P2269,IF($Q2269&gt;0,$P2269+ROUND((INT($B2269)-$P2269)/$Q2269,0)*$Q2269,IF($R2269&gt;0,EDATE($P2269,ROUND((DATEDIF($P2269,INT($B2269),"m")+(INT($B2269)-EDATE($P2269,DATEDIF($P2269,INT($B2269),"m")))/(EDATE($P2269,DATEDIF($P2269,INT($B2269),"m")+1)-EDATE($P2269,DATEDIF($P2269,INT($B2269),"m"))))/$R2269,0)*$R2269),$P2269))))),"")))</f>
      </c>
      <c r="M2269" s="223">
        <f>IF(OR($C2269="",N($L2269)=0,N($B2269)=0),"",IF(IF(MOD($L2269,1)=0,INT($B2269),$B2269)&lt;=$L2269,"Đúng hạn","Trễ hạn"))</f>
      </c>
      <c r="N2269" s="225">
        <f>IF($C2269="","",ROW())</f>
      </c>
      <c r="O2269" s="225">
        <f>IF($I2269="Công việc",MATCH($C2269,'Kế hoạch'!$A$6:$A$305,0),"")</f>
      </c>
      <c r="P2269" s="234">
        <f>IF($O2269="","",INDEX('Kế hoạch'!$I$6:$I$305,$O2269))</f>
      </c>
      <c r="Q2269" s="225">
        <f>IF($O2269="","",INDEX('Kế hoạch'!$AJ$6:$AJ$305,$O2269))</f>
      </c>
      <c r="R2269" s="225">
        <f>IF($O2269="","",INDEX('Kế hoạch'!$AK$6:$AK$305,$O2269))</f>
      </c>
    </row>
    <row r="2270">
      <c r="A2270" s="223">
        <f>IF($C2270="","",COUNTIF($C$6:$C2270,"?*"))</f>
      </c>
      <c r="B2270" s="217"/>
      <c r="C2270" s="216"/>
      <c r="D2270" s="240"/>
      <c r="E2270" s="218"/>
      <c r="F2270" s="218"/>
      <c r="G2270" s="218"/>
      <c r="H2270" s="219"/>
      <c r="I2270" s="223">
        <f>IF($C2270="","",IF(ISNUMBER(MATCH($C2270,'Phản ánh'!$A$6:$A$505,0)),"Phản ánh",IF(ISNUMBER(MATCH($C2270,'Kế hoạch'!$A$6:$A$305,0)),"Công việc","Mã chưa có")))</f>
      </c>
      <c r="J2270" s="221">
        <f>IF($I2270="Phản ánh",INDEX('Phản ánh'!$C$6:$C$505,MATCH($C2270,'Phản ánh'!$A$6:$A$505,0)),IF($I2270="Công việc",INDEX('Kế hoạch'!$C$6:$C$305,$O2270),""))</f>
      </c>
      <c r="K2270" s="221">
        <f>IF($I2270="Phản ánh",INDEX('Phản ánh'!$K$6:$K$505,MATCH($C2270,'Phản ánh'!$A$6:$A$505,0))&amp;"",IF($I2270="Công việc",INDEX('Kế hoạch'!$N$6:$N$305,$O2270)&amp;"",""))</f>
      </c>
      <c r="L2270" s="220">
        <f>IF(OR($C2270="",N($B2270)=0),"",IF(AND($I2270="Phản ánh",$E2270="Đã xử lý"),INDEX('Phản ánh'!$U$6:$U$505,MATCH($C2270,'Phản ánh'!$A$6:$A$505,0)),IF(AND($I2270="Công việc",OR($E2270="Hoàn thành",$E2270="Hoàn thành kỳ")),IF(INDEX('Kế hoạch'!$B$6:$B$305,$O2270)="Đột xuất",INDEX('Kế hoạch'!$AY$6:$AY$305,$O2270),IF(N($P2270)=0,"",IF(INT($B2270)&lt;$P2270,$P2270,IF($Q2270&gt;0,$P2270+ROUND((INT($B2270)-$P2270)/$Q2270,0)*$Q2270,IF($R2270&gt;0,EDATE($P2270,ROUND((DATEDIF($P2270,INT($B2270),"m")+(INT($B2270)-EDATE($P2270,DATEDIF($P2270,INT($B2270),"m")))/(EDATE($P2270,DATEDIF($P2270,INT($B2270),"m")+1)-EDATE($P2270,DATEDIF($P2270,INT($B2270),"m"))))/$R2270,0)*$R2270),$P2270))))),"")))</f>
      </c>
      <c r="M2270" s="223">
        <f>IF(OR($C2270="",N($L2270)=0,N($B2270)=0),"",IF(IF(MOD($L2270,1)=0,INT($B2270),$B2270)&lt;=$L2270,"Đúng hạn","Trễ hạn"))</f>
      </c>
      <c r="N2270" s="225">
        <f>IF($C2270="","",ROW())</f>
      </c>
      <c r="O2270" s="225">
        <f>IF($I2270="Công việc",MATCH($C2270,'Kế hoạch'!$A$6:$A$305,0),"")</f>
      </c>
      <c r="P2270" s="234">
        <f>IF($O2270="","",INDEX('Kế hoạch'!$I$6:$I$305,$O2270))</f>
      </c>
      <c r="Q2270" s="225">
        <f>IF($O2270="","",INDEX('Kế hoạch'!$AJ$6:$AJ$305,$O2270))</f>
      </c>
      <c r="R2270" s="225">
        <f>IF($O2270="","",INDEX('Kế hoạch'!$AK$6:$AK$305,$O2270))</f>
      </c>
    </row>
    <row r="2271">
      <c r="A2271" s="223">
        <f>IF($C2271="","",COUNTIF($C$6:$C2271,"?*"))</f>
      </c>
      <c r="B2271" s="217"/>
      <c r="C2271" s="216"/>
      <c r="D2271" s="240"/>
      <c r="E2271" s="218"/>
      <c r="F2271" s="218"/>
      <c r="G2271" s="218"/>
      <c r="H2271" s="219"/>
      <c r="I2271" s="223">
        <f>IF($C2271="","",IF(ISNUMBER(MATCH($C2271,'Phản ánh'!$A$6:$A$505,0)),"Phản ánh",IF(ISNUMBER(MATCH($C2271,'Kế hoạch'!$A$6:$A$305,0)),"Công việc","Mã chưa có")))</f>
      </c>
      <c r="J2271" s="221">
        <f>IF($I2271="Phản ánh",INDEX('Phản ánh'!$C$6:$C$505,MATCH($C2271,'Phản ánh'!$A$6:$A$505,0)),IF($I2271="Công việc",INDEX('Kế hoạch'!$C$6:$C$305,$O2271),""))</f>
      </c>
      <c r="K2271" s="221">
        <f>IF($I2271="Phản ánh",INDEX('Phản ánh'!$K$6:$K$505,MATCH($C2271,'Phản ánh'!$A$6:$A$505,0))&amp;"",IF($I2271="Công việc",INDEX('Kế hoạch'!$N$6:$N$305,$O2271)&amp;"",""))</f>
      </c>
      <c r="L2271" s="220">
        <f>IF(OR($C2271="",N($B2271)=0),"",IF(AND($I2271="Phản ánh",$E2271="Đã xử lý"),INDEX('Phản ánh'!$U$6:$U$505,MATCH($C2271,'Phản ánh'!$A$6:$A$505,0)),IF(AND($I2271="Công việc",OR($E2271="Hoàn thành",$E2271="Hoàn thành kỳ")),IF(INDEX('Kế hoạch'!$B$6:$B$305,$O2271)="Đột xuất",INDEX('Kế hoạch'!$AY$6:$AY$305,$O2271),IF(N($P2271)=0,"",IF(INT($B2271)&lt;$P2271,$P2271,IF($Q2271&gt;0,$P2271+ROUND((INT($B2271)-$P2271)/$Q2271,0)*$Q2271,IF($R2271&gt;0,EDATE($P2271,ROUND((DATEDIF($P2271,INT($B2271),"m")+(INT($B2271)-EDATE($P2271,DATEDIF($P2271,INT($B2271),"m")))/(EDATE($P2271,DATEDIF($P2271,INT($B2271),"m")+1)-EDATE($P2271,DATEDIF($P2271,INT($B2271),"m"))))/$R2271,0)*$R2271),$P2271))))),"")))</f>
      </c>
      <c r="M2271" s="223">
        <f>IF(OR($C2271="",N($L2271)=0,N($B2271)=0),"",IF(IF(MOD($L2271,1)=0,INT($B2271),$B2271)&lt;=$L2271,"Đúng hạn","Trễ hạn"))</f>
      </c>
      <c r="N2271" s="225">
        <f>IF($C2271="","",ROW())</f>
      </c>
      <c r="O2271" s="225">
        <f>IF($I2271="Công việc",MATCH($C2271,'Kế hoạch'!$A$6:$A$305,0),"")</f>
      </c>
      <c r="P2271" s="234">
        <f>IF($O2271="","",INDEX('Kế hoạch'!$I$6:$I$305,$O2271))</f>
      </c>
      <c r="Q2271" s="225">
        <f>IF($O2271="","",INDEX('Kế hoạch'!$AJ$6:$AJ$305,$O2271))</f>
      </c>
      <c r="R2271" s="225">
        <f>IF($O2271="","",INDEX('Kế hoạch'!$AK$6:$AK$305,$O2271))</f>
      </c>
    </row>
    <row r="2272">
      <c r="A2272" s="223">
        <f>IF($C2272="","",COUNTIF($C$6:$C2272,"?*"))</f>
      </c>
      <c r="B2272" s="217"/>
      <c r="C2272" s="216"/>
      <c r="D2272" s="240"/>
      <c r="E2272" s="218"/>
      <c r="F2272" s="218"/>
      <c r="G2272" s="218"/>
      <c r="H2272" s="219"/>
      <c r="I2272" s="223">
        <f>IF($C2272="","",IF(ISNUMBER(MATCH($C2272,'Phản ánh'!$A$6:$A$505,0)),"Phản ánh",IF(ISNUMBER(MATCH($C2272,'Kế hoạch'!$A$6:$A$305,0)),"Công việc","Mã chưa có")))</f>
      </c>
      <c r="J2272" s="221">
        <f>IF($I2272="Phản ánh",INDEX('Phản ánh'!$C$6:$C$505,MATCH($C2272,'Phản ánh'!$A$6:$A$505,0)),IF($I2272="Công việc",INDEX('Kế hoạch'!$C$6:$C$305,$O2272),""))</f>
      </c>
      <c r="K2272" s="221">
        <f>IF($I2272="Phản ánh",INDEX('Phản ánh'!$K$6:$K$505,MATCH($C2272,'Phản ánh'!$A$6:$A$505,0))&amp;"",IF($I2272="Công việc",INDEX('Kế hoạch'!$N$6:$N$305,$O2272)&amp;"",""))</f>
      </c>
      <c r="L2272" s="220">
        <f>IF(OR($C2272="",N($B2272)=0),"",IF(AND($I2272="Phản ánh",$E2272="Đã xử lý"),INDEX('Phản ánh'!$U$6:$U$505,MATCH($C2272,'Phản ánh'!$A$6:$A$505,0)),IF(AND($I2272="Công việc",OR($E2272="Hoàn thành",$E2272="Hoàn thành kỳ")),IF(INDEX('Kế hoạch'!$B$6:$B$305,$O2272)="Đột xuất",INDEX('Kế hoạch'!$AY$6:$AY$305,$O2272),IF(N($P2272)=0,"",IF(INT($B2272)&lt;$P2272,$P2272,IF($Q2272&gt;0,$P2272+ROUND((INT($B2272)-$P2272)/$Q2272,0)*$Q2272,IF($R2272&gt;0,EDATE($P2272,ROUND((DATEDIF($P2272,INT($B2272),"m")+(INT($B2272)-EDATE($P2272,DATEDIF($P2272,INT($B2272),"m")))/(EDATE($P2272,DATEDIF($P2272,INT($B2272),"m")+1)-EDATE($P2272,DATEDIF($P2272,INT($B2272),"m"))))/$R2272,0)*$R2272),$P2272))))),"")))</f>
      </c>
      <c r="M2272" s="223">
        <f>IF(OR($C2272="",N($L2272)=0,N($B2272)=0),"",IF(IF(MOD($L2272,1)=0,INT($B2272),$B2272)&lt;=$L2272,"Đúng hạn","Trễ hạn"))</f>
      </c>
      <c r="N2272" s="225">
        <f>IF($C2272="","",ROW())</f>
      </c>
      <c r="O2272" s="225">
        <f>IF($I2272="Công việc",MATCH($C2272,'Kế hoạch'!$A$6:$A$305,0),"")</f>
      </c>
      <c r="P2272" s="234">
        <f>IF($O2272="","",INDEX('Kế hoạch'!$I$6:$I$305,$O2272))</f>
      </c>
      <c r="Q2272" s="225">
        <f>IF($O2272="","",INDEX('Kế hoạch'!$AJ$6:$AJ$305,$O2272))</f>
      </c>
      <c r="R2272" s="225">
        <f>IF($O2272="","",INDEX('Kế hoạch'!$AK$6:$AK$305,$O2272))</f>
      </c>
    </row>
    <row r="2273">
      <c r="A2273" s="223">
        <f>IF($C2273="","",COUNTIF($C$6:$C2273,"?*"))</f>
      </c>
      <c r="B2273" s="217"/>
      <c r="C2273" s="216"/>
      <c r="D2273" s="240"/>
      <c r="E2273" s="218"/>
      <c r="F2273" s="218"/>
      <c r="G2273" s="218"/>
      <c r="H2273" s="219"/>
      <c r="I2273" s="223">
        <f>IF($C2273="","",IF(ISNUMBER(MATCH($C2273,'Phản ánh'!$A$6:$A$505,0)),"Phản ánh",IF(ISNUMBER(MATCH($C2273,'Kế hoạch'!$A$6:$A$305,0)),"Công việc","Mã chưa có")))</f>
      </c>
      <c r="J2273" s="221">
        <f>IF($I2273="Phản ánh",INDEX('Phản ánh'!$C$6:$C$505,MATCH($C2273,'Phản ánh'!$A$6:$A$505,0)),IF($I2273="Công việc",INDEX('Kế hoạch'!$C$6:$C$305,$O2273),""))</f>
      </c>
      <c r="K2273" s="221">
        <f>IF($I2273="Phản ánh",INDEX('Phản ánh'!$K$6:$K$505,MATCH($C2273,'Phản ánh'!$A$6:$A$505,0))&amp;"",IF($I2273="Công việc",INDEX('Kế hoạch'!$N$6:$N$305,$O2273)&amp;"",""))</f>
      </c>
      <c r="L2273" s="220">
        <f>IF(OR($C2273="",N($B2273)=0),"",IF(AND($I2273="Phản ánh",$E2273="Đã xử lý"),INDEX('Phản ánh'!$U$6:$U$505,MATCH($C2273,'Phản ánh'!$A$6:$A$505,0)),IF(AND($I2273="Công việc",OR($E2273="Hoàn thành",$E2273="Hoàn thành kỳ")),IF(INDEX('Kế hoạch'!$B$6:$B$305,$O2273)="Đột xuất",INDEX('Kế hoạch'!$AY$6:$AY$305,$O2273),IF(N($P2273)=0,"",IF(INT($B2273)&lt;$P2273,$P2273,IF($Q2273&gt;0,$P2273+ROUND((INT($B2273)-$P2273)/$Q2273,0)*$Q2273,IF($R2273&gt;0,EDATE($P2273,ROUND((DATEDIF($P2273,INT($B2273),"m")+(INT($B2273)-EDATE($P2273,DATEDIF($P2273,INT($B2273),"m")))/(EDATE($P2273,DATEDIF($P2273,INT($B2273),"m")+1)-EDATE($P2273,DATEDIF($P2273,INT($B2273),"m"))))/$R2273,0)*$R2273),$P2273))))),"")))</f>
      </c>
      <c r="M2273" s="223">
        <f>IF(OR($C2273="",N($L2273)=0,N($B2273)=0),"",IF(IF(MOD($L2273,1)=0,INT($B2273),$B2273)&lt;=$L2273,"Đúng hạn","Trễ hạn"))</f>
      </c>
      <c r="N2273" s="225">
        <f>IF($C2273="","",ROW())</f>
      </c>
      <c r="O2273" s="225">
        <f>IF($I2273="Công việc",MATCH($C2273,'Kế hoạch'!$A$6:$A$305,0),"")</f>
      </c>
      <c r="P2273" s="234">
        <f>IF($O2273="","",INDEX('Kế hoạch'!$I$6:$I$305,$O2273))</f>
      </c>
      <c r="Q2273" s="225">
        <f>IF($O2273="","",INDEX('Kế hoạch'!$AJ$6:$AJ$305,$O2273))</f>
      </c>
      <c r="R2273" s="225">
        <f>IF($O2273="","",INDEX('Kế hoạch'!$AK$6:$AK$305,$O2273))</f>
      </c>
    </row>
    <row r="2274">
      <c r="A2274" s="223">
        <f>IF($C2274="","",COUNTIF($C$6:$C2274,"?*"))</f>
      </c>
      <c r="B2274" s="217"/>
      <c r="C2274" s="216"/>
      <c r="D2274" s="240"/>
      <c r="E2274" s="218"/>
      <c r="F2274" s="218"/>
      <c r="G2274" s="218"/>
      <c r="H2274" s="219"/>
      <c r="I2274" s="223">
        <f>IF($C2274="","",IF(ISNUMBER(MATCH($C2274,'Phản ánh'!$A$6:$A$505,0)),"Phản ánh",IF(ISNUMBER(MATCH($C2274,'Kế hoạch'!$A$6:$A$305,0)),"Công việc","Mã chưa có")))</f>
      </c>
      <c r="J2274" s="221">
        <f>IF($I2274="Phản ánh",INDEX('Phản ánh'!$C$6:$C$505,MATCH($C2274,'Phản ánh'!$A$6:$A$505,0)),IF($I2274="Công việc",INDEX('Kế hoạch'!$C$6:$C$305,$O2274),""))</f>
      </c>
      <c r="K2274" s="221">
        <f>IF($I2274="Phản ánh",INDEX('Phản ánh'!$K$6:$K$505,MATCH($C2274,'Phản ánh'!$A$6:$A$505,0))&amp;"",IF($I2274="Công việc",INDEX('Kế hoạch'!$N$6:$N$305,$O2274)&amp;"",""))</f>
      </c>
      <c r="L2274" s="220">
        <f>IF(OR($C2274="",N($B2274)=0),"",IF(AND($I2274="Phản ánh",$E2274="Đã xử lý"),INDEX('Phản ánh'!$U$6:$U$505,MATCH($C2274,'Phản ánh'!$A$6:$A$505,0)),IF(AND($I2274="Công việc",OR($E2274="Hoàn thành",$E2274="Hoàn thành kỳ")),IF(INDEX('Kế hoạch'!$B$6:$B$305,$O2274)="Đột xuất",INDEX('Kế hoạch'!$AY$6:$AY$305,$O2274),IF(N($P2274)=0,"",IF(INT($B2274)&lt;$P2274,$P2274,IF($Q2274&gt;0,$P2274+ROUND((INT($B2274)-$P2274)/$Q2274,0)*$Q2274,IF($R2274&gt;0,EDATE($P2274,ROUND((DATEDIF($P2274,INT($B2274),"m")+(INT($B2274)-EDATE($P2274,DATEDIF($P2274,INT($B2274),"m")))/(EDATE($P2274,DATEDIF($P2274,INT($B2274),"m")+1)-EDATE($P2274,DATEDIF($P2274,INT($B2274),"m"))))/$R2274,0)*$R2274),$P2274))))),"")))</f>
      </c>
      <c r="M2274" s="223">
        <f>IF(OR($C2274="",N($L2274)=0,N($B2274)=0),"",IF(IF(MOD($L2274,1)=0,INT($B2274),$B2274)&lt;=$L2274,"Đúng hạn","Trễ hạn"))</f>
      </c>
      <c r="N2274" s="225">
        <f>IF($C2274="","",ROW())</f>
      </c>
      <c r="O2274" s="225">
        <f>IF($I2274="Công việc",MATCH($C2274,'Kế hoạch'!$A$6:$A$305,0),"")</f>
      </c>
      <c r="P2274" s="234">
        <f>IF($O2274="","",INDEX('Kế hoạch'!$I$6:$I$305,$O2274))</f>
      </c>
      <c r="Q2274" s="225">
        <f>IF($O2274="","",INDEX('Kế hoạch'!$AJ$6:$AJ$305,$O2274))</f>
      </c>
      <c r="R2274" s="225">
        <f>IF($O2274="","",INDEX('Kế hoạch'!$AK$6:$AK$305,$O2274))</f>
      </c>
    </row>
    <row r="2275">
      <c r="A2275" s="223">
        <f>IF($C2275="","",COUNTIF($C$6:$C2275,"?*"))</f>
      </c>
      <c r="B2275" s="217"/>
      <c r="C2275" s="216"/>
      <c r="D2275" s="240"/>
      <c r="E2275" s="218"/>
      <c r="F2275" s="218"/>
      <c r="G2275" s="218"/>
      <c r="H2275" s="219"/>
      <c r="I2275" s="223">
        <f>IF($C2275="","",IF(ISNUMBER(MATCH($C2275,'Phản ánh'!$A$6:$A$505,0)),"Phản ánh",IF(ISNUMBER(MATCH($C2275,'Kế hoạch'!$A$6:$A$305,0)),"Công việc","Mã chưa có")))</f>
      </c>
      <c r="J2275" s="221">
        <f>IF($I2275="Phản ánh",INDEX('Phản ánh'!$C$6:$C$505,MATCH($C2275,'Phản ánh'!$A$6:$A$505,0)),IF($I2275="Công việc",INDEX('Kế hoạch'!$C$6:$C$305,$O2275),""))</f>
      </c>
      <c r="K2275" s="221">
        <f>IF($I2275="Phản ánh",INDEX('Phản ánh'!$K$6:$K$505,MATCH($C2275,'Phản ánh'!$A$6:$A$505,0))&amp;"",IF($I2275="Công việc",INDEX('Kế hoạch'!$N$6:$N$305,$O2275)&amp;"",""))</f>
      </c>
      <c r="L2275" s="220">
        <f>IF(OR($C2275="",N($B2275)=0),"",IF(AND($I2275="Phản ánh",$E2275="Đã xử lý"),INDEX('Phản ánh'!$U$6:$U$505,MATCH($C2275,'Phản ánh'!$A$6:$A$505,0)),IF(AND($I2275="Công việc",OR($E2275="Hoàn thành",$E2275="Hoàn thành kỳ")),IF(INDEX('Kế hoạch'!$B$6:$B$305,$O2275)="Đột xuất",INDEX('Kế hoạch'!$AY$6:$AY$305,$O2275),IF(N($P2275)=0,"",IF(INT($B2275)&lt;$P2275,$P2275,IF($Q2275&gt;0,$P2275+ROUND((INT($B2275)-$P2275)/$Q2275,0)*$Q2275,IF($R2275&gt;0,EDATE($P2275,ROUND((DATEDIF($P2275,INT($B2275),"m")+(INT($B2275)-EDATE($P2275,DATEDIF($P2275,INT($B2275),"m")))/(EDATE($P2275,DATEDIF($P2275,INT($B2275),"m")+1)-EDATE($P2275,DATEDIF($P2275,INT($B2275),"m"))))/$R2275,0)*$R2275),$P2275))))),"")))</f>
      </c>
      <c r="M2275" s="223">
        <f>IF(OR($C2275="",N($L2275)=0,N($B2275)=0),"",IF(IF(MOD($L2275,1)=0,INT($B2275),$B2275)&lt;=$L2275,"Đúng hạn","Trễ hạn"))</f>
      </c>
      <c r="N2275" s="225">
        <f>IF($C2275="","",ROW())</f>
      </c>
      <c r="O2275" s="225">
        <f>IF($I2275="Công việc",MATCH($C2275,'Kế hoạch'!$A$6:$A$305,0),"")</f>
      </c>
      <c r="P2275" s="234">
        <f>IF($O2275="","",INDEX('Kế hoạch'!$I$6:$I$305,$O2275))</f>
      </c>
      <c r="Q2275" s="225">
        <f>IF($O2275="","",INDEX('Kế hoạch'!$AJ$6:$AJ$305,$O2275))</f>
      </c>
      <c r="R2275" s="225">
        <f>IF($O2275="","",INDEX('Kế hoạch'!$AK$6:$AK$305,$O2275))</f>
      </c>
    </row>
    <row r="2276">
      <c r="A2276" s="223">
        <f>IF($C2276="","",COUNTIF($C$6:$C2276,"?*"))</f>
      </c>
      <c r="B2276" s="217"/>
      <c r="C2276" s="216"/>
      <c r="D2276" s="240"/>
      <c r="E2276" s="218"/>
      <c r="F2276" s="218"/>
      <c r="G2276" s="218"/>
      <c r="H2276" s="219"/>
      <c r="I2276" s="223">
        <f>IF($C2276="","",IF(ISNUMBER(MATCH($C2276,'Phản ánh'!$A$6:$A$505,0)),"Phản ánh",IF(ISNUMBER(MATCH($C2276,'Kế hoạch'!$A$6:$A$305,0)),"Công việc","Mã chưa có")))</f>
      </c>
      <c r="J2276" s="221">
        <f>IF($I2276="Phản ánh",INDEX('Phản ánh'!$C$6:$C$505,MATCH($C2276,'Phản ánh'!$A$6:$A$505,0)),IF($I2276="Công việc",INDEX('Kế hoạch'!$C$6:$C$305,$O2276),""))</f>
      </c>
      <c r="K2276" s="221">
        <f>IF($I2276="Phản ánh",INDEX('Phản ánh'!$K$6:$K$505,MATCH($C2276,'Phản ánh'!$A$6:$A$505,0))&amp;"",IF($I2276="Công việc",INDEX('Kế hoạch'!$N$6:$N$305,$O2276)&amp;"",""))</f>
      </c>
      <c r="L2276" s="220">
        <f>IF(OR($C2276="",N($B2276)=0),"",IF(AND($I2276="Phản ánh",$E2276="Đã xử lý"),INDEX('Phản ánh'!$U$6:$U$505,MATCH($C2276,'Phản ánh'!$A$6:$A$505,0)),IF(AND($I2276="Công việc",OR($E2276="Hoàn thành",$E2276="Hoàn thành kỳ")),IF(INDEX('Kế hoạch'!$B$6:$B$305,$O2276)="Đột xuất",INDEX('Kế hoạch'!$AY$6:$AY$305,$O2276),IF(N($P2276)=0,"",IF(INT($B2276)&lt;$P2276,$P2276,IF($Q2276&gt;0,$P2276+ROUND((INT($B2276)-$P2276)/$Q2276,0)*$Q2276,IF($R2276&gt;0,EDATE($P2276,ROUND((DATEDIF($P2276,INT($B2276),"m")+(INT($B2276)-EDATE($P2276,DATEDIF($P2276,INT($B2276),"m")))/(EDATE($P2276,DATEDIF($P2276,INT($B2276),"m")+1)-EDATE($P2276,DATEDIF($P2276,INT($B2276),"m"))))/$R2276,0)*$R2276),$P2276))))),"")))</f>
      </c>
      <c r="M2276" s="223">
        <f>IF(OR($C2276="",N($L2276)=0,N($B2276)=0),"",IF(IF(MOD($L2276,1)=0,INT($B2276),$B2276)&lt;=$L2276,"Đúng hạn","Trễ hạn"))</f>
      </c>
      <c r="N2276" s="225">
        <f>IF($C2276="","",ROW())</f>
      </c>
      <c r="O2276" s="225">
        <f>IF($I2276="Công việc",MATCH($C2276,'Kế hoạch'!$A$6:$A$305,0),"")</f>
      </c>
      <c r="P2276" s="234">
        <f>IF($O2276="","",INDEX('Kế hoạch'!$I$6:$I$305,$O2276))</f>
      </c>
      <c r="Q2276" s="225">
        <f>IF($O2276="","",INDEX('Kế hoạch'!$AJ$6:$AJ$305,$O2276))</f>
      </c>
      <c r="R2276" s="225">
        <f>IF($O2276="","",INDEX('Kế hoạch'!$AK$6:$AK$305,$O2276))</f>
      </c>
    </row>
    <row r="2277">
      <c r="A2277" s="223">
        <f>IF($C2277="","",COUNTIF($C$6:$C2277,"?*"))</f>
      </c>
      <c r="B2277" s="217"/>
      <c r="C2277" s="216"/>
      <c r="D2277" s="240"/>
      <c r="E2277" s="218"/>
      <c r="F2277" s="218"/>
      <c r="G2277" s="218"/>
      <c r="H2277" s="219"/>
      <c r="I2277" s="223">
        <f>IF($C2277="","",IF(ISNUMBER(MATCH($C2277,'Phản ánh'!$A$6:$A$505,0)),"Phản ánh",IF(ISNUMBER(MATCH($C2277,'Kế hoạch'!$A$6:$A$305,0)),"Công việc","Mã chưa có")))</f>
      </c>
      <c r="J2277" s="221">
        <f>IF($I2277="Phản ánh",INDEX('Phản ánh'!$C$6:$C$505,MATCH($C2277,'Phản ánh'!$A$6:$A$505,0)),IF($I2277="Công việc",INDEX('Kế hoạch'!$C$6:$C$305,$O2277),""))</f>
      </c>
      <c r="K2277" s="221">
        <f>IF($I2277="Phản ánh",INDEX('Phản ánh'!$K$6:$K$505,MATCH($C2277,'Phản ánh'!$A$6:$A$505,0))&amp;"",IF($I2277="Công việc",INDEX('Kế hoạch'!$N$6:$N$305,$O2277)&amp;"",""))</f>
      </c>
      <c r="L2277" s="220">
        <f>IF(OR($C2277="",N($B2277)=0),"",IF(AND($I2277="Phản ánh",$E2277="Đã xử lý"),INDEX('Phản ánh'!$U$6:$U$505,MATCH($C2277,'Phản ánh'!$A$6:$A$505,0)),IF(AND($I2277="Công việc",OR($E2277="Hoàn thành",$E2277="Hoàn thành kỳ")),IF(INDEX('Kế hoạch'!$B$6:$B$305,$O2277)="Đột xuất",INDEX('Kế hoạch'!$AY$6:$AY$305,$O2277),IF(N($P2277)=0,"",IF(INT($B2277)&lt;$P2277,$P2277,IF($Q2277&gt;0,$P2277+ROUND((INT($B2277)-$P2277)/$Q2277,0)*$Q2277,IF($R2277&gt;0,EDATE($P2277,ROUND((DATEDIF($P2277,INT($B2277),"m")+(INT($B2277)-EDATE($P2277,DATEDIF($P2277,INT($B2277),"m")))/(EDATE($P2277,DATEDIF($P2277,INT($B2277),"m")+1)-EDATE($P2277,DATEDIF($P2277,INT($B2277),"m"))))/$R2277,0)*$R2277),$P2277))))),"")))</f>
      </c>
      <c r="M2277" s="223">
        <f>IF(OR($C2277="",N($L2277)=0,N($B2277)=0),"",IF(IF(MOD($L2277,1)=0,INT($B2277),$B2277)&lt;=$L2277,"Đúng hạn","Trễ hạn"))</f>
      </c>
      <c r="N2277" s="225">
        <f>IF($C2277="","",ROW())</f>
      </c>
      <c r="O2277" s="225">
        <f>IF($I2277="Công việc",MATCH($C2277,'Kế hoạch'!$A$6:$A$305,0),"")</f>
      </c>
      <c r="P2277" s="234">
        <f>IF($O2277="","",INDEX('Kế hoạch'!$I$6:$I$305,$O2277))</f>
      </c>
      <c r="Q2277" s="225">
        <f>IF($O2277="","",INDEX('Kế hoạch'!$AJ$6:$AJ$305,$O2277))</f>
      </c>
      <c r="R2277" s="225">
        <f>IF($O2277="","",INDEX('Kế hoạch'!$AK$6:$AK$305,$O2277))</f>
      </c>
    </row>
    <row r="2278">
      <c r="A2278" s="223">
        <f>IF($C2278="","",COUNTIF($C$6:$C2278,"?*"))</f>
      </c>
      <c r="B2278" s="217"/>
      <c r="C2278" s="216"/>
      <c r="D2278" s="240"/>
      <c r="E2278" s="218"/>
      <c r="F2278" s="218"/>
      <c r="G2278" s="218"/>
      <c r="H2278" s="219"/>
      <c r="I2278" s="223">
        <f>IF($C2278="","",IF(ISNUMBER(MATCH($C2278,'Phản ánh'!$A$6:$A$505,0)),"Phản ánh",IF(ISNUMBER(MATCH($C2278,'Kế hoạch'!$A$6:$A$305,0)),"Công việc","Mã chưa có")))</f>
      </c>
      <c r="J2278" s="221">
        <f>IF($I2278="Phản ánh",INDEX('Phản ánh'!$C$6:$C$505,MATCH($C2278,'Phản ánh'!$A$6:$A$505,0)),IF($I2278="Công việc",INDEX('Kế hoạch'!$C$6:$C$305,$O2278),""))</f>
      </c>
      <c r="K2278" s="221">
        <f>IF($I2278="Phản ánh",INDEX('Phản ánh'!$K$6:$K$505,MATCH($C2278,'Phản ánh'!$A$6:$A$505,0))&amp;"",IF($I2278="Công việc",INDEX('Kế hoạch'!$N$6:$N$305,$O2278)&amp;"",""))</f>
      </c>
      <c r="L2278" s="220">
        <f>IF(OR($C2278="",N($B2278)=0),"",IF(AND($I2278="Phản ánh",$E2278="Đã xử lý"),INDEX('Phản ánh'!$U$6:$U$505,MATCH($C2278,'Phản ánh'!$A$6:$A$505,0)),IF(AND($I2278="Công việc",OR($E2278="Hoàn thành",$E2278="Hoàn thành kỳ")),IF(INDEX('Kế hoạch'!$B$6:$B$305,$O2278)="Đột xuất",INDEX('Kế hoạch'!$AY$6:$AY$305,$O2278),IF(N($P2278)=0,"",IF(INT($B2278)&lt;$P2278,$P2278,IF($Q2278&gt;0,$P2278+ROUND((INT($B2278)-$P2278)/$Q2278,0)*$Q2278,IF($R2278&gt;0,EDATE($P2278,ROUND((DATEDIF($P2278,INT($B2278),"m")+(INT($B2278)-EDATE($P2278,DATEDIF($P2278,INT($B2278),"m")))/(EDATE($P2278,DATEDIF($P2278,INT($B2278),"m")+1)-EDATE($P2278,DATEDIF($P2278,INT($B2278),"m"))))/$R2278,0)*$R2278),$P2278))))),"")))</f>
      </c>
      <c r="M2278" s="223">
        <f>IF(OR($C2278="",N($L2278)=0,N($B2278)=0),"",IF(IF(MOD($L2278,1)=0,INT($B2278),$B2278)&lt;=$L2278,"Đúng hạn","Trễ hạn"))</f>
      </c>
      <c r="N2278" s="225">
        <f>IF($C2278="","",ROW())</f>
      </c>
      <c r="O2278" s="225">
        <f>IF($I2278="Công việc",MATCH($C2278,'Kế hoạch'!$A$6:$A$305,0),"")</f>
      </c>
      <c r="P2278" s="234">
        <f>IF($O2278="","",INDEX('Kế hoạch'!$I$6:$I$305,$O2278))</f>
      </c>
      <c r="Q2278" s="225">
        <f>IF($O2278="","",INDEX('Kế hoạch'!$AJ$6:$AJ$305,$O2278))</f>
      </c>
      <c r="R2278" s="225">
        <f>IF($O2278="","",INDEX('Kế hoạch'!$AK$6:$AK$305,$O2278))</f>
      </c>
    </row>
    <row r="2279">
      <c r="A2279" s="223">
        <f>IF($C2279="","",COUNTIF($C$6:$C2279,"?*"))</f>
      </c>
      <c r="B2279" s="217"/>
      <c r="C2279" s="216"/>
      <c r="D2279" s="240"/>
      <c r="E2279" s="218"/>
      <c r="F2279" s="218"/>
      <c r="G2279" s="218"/>
      <c r="H2279" s="219"/>
      <c r="I2279" s="223">
        <f>IF($C2279="","",IF(ISNUMBER(MATCH($C2279,'Phản ánh'!$A$6:$A$505,0)),"Phản ánh",IF(ISNUMBER(MATCH($C2279,'Kế hoạch'!$A$6:$A$305,0)),"Công việc","Mã chưa có")))</f>
      </c>
      <c r="J2279" s="221">
        <f>IF($I2279="Phản ánh",INDEX('Phản ánh'!$C$6:$C$505,MATCH($C2279,'Phản ánh'!$A$6:$A$505,0)),IF($I2279="Công việc",INDEX('Kế hoạch'!$C$6:$C$305,$O2279),""))</f>
      </c>
      <c r="K2279" s="221">
        <f>IF($I2279="Phản ánh",INDEX('Phản ánh'!$K$6:$K$505,MATCH($C2279,'Phản ánh'!$A$6:$A$505,0))&amp;"",IF($I2279="Công việc",INDEX('Kế hoạch'!$N$6:$N$305,$O2279)&amp;"",""))</f>
      </c>
      <c r="L2279" s="220">
        <f>IF(OR($C2279="",N($B2279)=0),"",IF(AND($I2279="Phản ánh",$E2279="Đã xử lý"),INDEX('Phản ánh'!$U$6:$U$505,MATCH($C2279,'Phản ánh'!$A$6:$A$505,0)),IF(AND($I2279="Công việc",OR($E2279="Hoàn thành",$E2279="Hoàn thành kỳ")),IF(INDEX('Kế hoạch'!$B$6:$B$305,$O2279)="Đột xuất",INDEX('Kế hoạch'!$AY$6:$AY$305,$O2279),IF(N($P2279)=0,"",IF(INT($B2279)&lt;$P2279,$P2279,IF($Q2279&gt;0,$P2279+ROUND((INT($B2279)-$P2279)/$Q2279,0)*$Q2279,IF($R2279&gt;0,EDATE($P2279,ROUND((DATEDIF($P2279,INT($B2279),"m")+(INT($B2279)-EDATE($P2279,DATEDIF($P2279,INT($B2279),"m")))/(EDATE($P2279,DATEDIF($P2279,INT($B2279),"m")+1)-EDATE($P2279,DATEDIF($P2279,INT($B2279),"m"))))/$R2279,0)*$R2279),$P2279))))),"")))</f>
      </c>
      <c r="M2279" s="223">
        <f>IF(OR($C2279="",N($L2279)=0,N($B2279)=0),"",IF(IF(MOD($L2279,1)=0,INT($B2279),$B2279)&lt;=$L2279,"Đúng hạn","Trễ hạn"))</f>
      </c>
      <c r="N2279" s="225">
        <f>IF($C2279="","",ROW())</f>
      </c>
      <c r="O2279" s="225">
        <f>IF($I2279="Công việc",MATCH($C2279,'Kế hoạch'!$A$6:$A$305,0),"")</f>
      </c>
      <c r="P2279" s="234">
        <f>IF($O2279="","",INDEX('Kế hoạch'!$I$6:$I$305,$O2279))</f>
      </c>
      <c r="Q2279" s="225">
        <f>IF($O2279="","",INDEX('Kế hoạch'!$AJ$6:$AJ$305,$O2279))</f>
      </c>
      <c r="R2279" s="225">
        <f>IF($O2279="","",INDEX('Kế hoạch'!$AK$6:$AK$305,$O2279))</f>
      </c>
    </row>
    <row r="2280">
      <c r="A2280" s="223">
        <f>IF($C2280="","",COUNTIF($C$6:$C2280,"?*"))</f>
      </c>
      <c r="B2280" s="217"/>
      <c r="C2280" s="216"/>
      <c r="D2280" s="240"/>
      <c r="E2280" s="218"/>
      <c r="F2280" s="218"/>
      <c r="G2280" s="218"/>
      <c r="H2280" s="219"/>
      <c r="I2280" s="223">
        <f>IF($C2280="","",IF(ISNUMBER(MATCH($C2280,'Phản ánh'!$A$6:$A$505,0)),"Phản ánh",IF(ISNUMBER(MATCH($C2280,'Kế hoạch'!$A$6:$A$305,0)),"Công việc","Mã chưa có")))</f>
      </c>
      <c r="J2280" s="221">
        <f>IF($I2280="Phản ánh",INDEX('Phản ánh'!$C$6:$C$505,MATCH($C2280,'Phản ánh'!$A$6:$A$505,0)),IF($I2280="Công việc",INDEX('Kế hoạch'!$C$6:$C$305,$O2280),""))</f>
      </c>
      <c r="K2280" s="221">
        <f>IF($I2280="Phản ánh",INDEX('Phản ánh'!$K$6:$K$505,MATCH($C2280,'Phản ánh'!$A$6:$A$505,0))&amp;"",IF($I2280="Công việc",INDEX('Kế hoạch'!$N$6:$N$305,$O2280)&amp;"",""))</f>
      </c>
      <c r="L2280" s="220">
        <f>IF(OR($C2280="",N($B2280)=0),"",IF(AND($I2280="Phản ánh",$E2280="Đã xử lý"),INDEX('Phản ánh'!$U$6:$U$505,MATCH($C2280,'Phản ánh'!$A$6:$A$505,0)),IF(AND($I2280="Công việc",OR($E2280="Hoàn thành",$E2280="Hoàn thành kỳ")),IF(INDEX('Kế hoạch'!$B$6:$B$305,$O2280)="Đột xuất",INDEX('Kế hoạch'!$AY$6:$AY$305,$O2280),IF(N($P2280)=0,"",IF(INT($B2280)&lt;$P2280,$P2280,IF($Q2280&gt;0,$P2280+ROUND((INT($B2280)-$P2280)/$Q2280,0)*$Q2280,IF($R2280&gt;0,EDATE($P2280,ROUND((DATEDIF($P2280,INT($B2280),"m")+(INT($B2280)-EDATE($P2280,DATEDIF($P2280,INT($B2280),"m")))/(EDATE($P2280,DATEDIF($P2280,INT($B2280),"m")+1)-EDATE($P2280,DATEDIF($P2280,INT($B2280),"m"))))/$R2280,0)*$R2280),$P2280))))),"")))</f>
      </c>
      <c r="M2280" s="223">
        <f>IF(OR($C2280="",N($L2280)=0,N($B2280)=0),"",IF(IF(MOD($L2280,1)=0,INT($B2280),$B2280)&lt;=$L2280,"Đúng hạn","Trễ hạn"))</f>
      </c>
      <c r="N2280" s="225">
        <f>IF($C2280="","",ROW())</f>
      </c>
      <c r="O2280" s="225">
        <f>IF($I2280="Công việc",MATCH($C2280,'Kế hoạch'!$A$6:$A$305,0),"")</f>
      </c>
      <c r="P2280" s="234">
        <f>IF($O2280="","",INDEX('Kế hoạch'!$I$6:$I$305,$O2280))</f>
      </c>
      <c r="Q2280" s="225">
        <f>IF($O2280="","",INDEX('Kế hoạch'!$AJ$6:$AJ$305,$O2280))</f>
      </c>
      <c r="R2280" s="225">
        <f>IF($O2280="","",INDEX('Kế hoạch'!$AK$6:$AK$305,$O2280))</f>
      </c>
    </row>
    <row r="2281">
      <c r="A2281" s="223">
        <f>IF($C2281="","",COUNTIF($C$6:$C2281,"?*"))</f>
      </c>
      <c r="B2281" s="217"/>
      <c r="C2281" s="216"/>
      <c r="D2281" s="240"/>
      <c r="E2281" s="218"/>
      <c r="F2281" s="218"/>
      <c r="G2281" s="218"/>
      <c r="H2281" s="219"/>
      <c r="I2281" s="223">
        <f>IF($C2281="","",IF(ISNUMBER(MATCH($C2281,'Phản ánh'!$A$6:$A$505,0)),"Phản ánh",IF(ISNUMBER(MATCH($C2281,'Kế hoạch'!$A$6:$A$305,0)),"Công việc","Mã chưa có")))</f>
      </c>
      <c r="J2281" s="221">
        <f>IF($I2281="Phản ánh",INDEX('Phản ánh'!$C$6:$C$505,MATCH($C2281,'Phản ánh'!$A$6:$A$505,0)),IF($I2281="Công việc",INDEX('Kế hoạch'!$C$6:$C$305,$O2281),""))</f>
      </c>
      <c r="K2281" s="221">
        <f>IF($I2281="Phản ánh",INDEX('Phản ánh'!$K$6:$K$505,MATCH($C2281,'Phản ánh'!$A$6:$A$505,0))&amp;"",IF($I2281="Công việc",INDEX('Kế hoạch'!$N$6:$N$305,$O2281)&amp;"",""))</f>
      </c>
      <c r="L2281" s="220">
        <f>IF(OR($C2281="",N($B2281)=0),"",IF(AND($I2281="Phản ánh",$E2281="Đã xử lý"),INDEX('Phản ánh'!$U$6:$U$505,MATCH($C2281,'Phản ánh'!$A$6:$A$505,0)),IF(AND($I2281="Công việc",OR($E2281="Hoàn thành",$E2281="Hoàn thành kỳ")),IF(INDEX('Kế hoạch'!$B$6:$B$305,$O2281)="Đột xuất",INDEX('Kế hoạch'!$AY$6:$AY$305,$O2281),IF(N($P2281)=0,"",IF(INT($B2281)&lt;$P2281,$P2281,IF($Q2281&gt;0,$P2281+ROUND((INT($B2281)-$P2281)/$Q2281,0)*$Q2281,IF($R2281&gt;0,EDATE($P2281,ROUND((DATEDIF($P2281,INT($B2281),"m")+(INT($B2281)-EDATE($P2281,DATEDIF($P2281,INT($B2281),"m")))/(EDATE($P2281,DATEDIF($P2281,INT($B2281),"m")+1)-EDATE($P2281,DATEDIF($P2281,INT($B2281),"m"))))/$R2281,0)*$R2281),$P2281))))),"")))</f>
      </c>
      <c r="M2281" s="223">
        <f>IF(OR($C2281="",N($L2281)=0,N($B2281)=0),"",IF(IF(MOD($L2281,1)=0,INT($B2281),$B2281)&lt;=$L2281,"Đúng hạn","Trễ hạn"))</f>
      </c>
      <c r="N2281" s="225">
        <f>IF($C2281="","",ROW())</f>
      </c>
      <c r="O2281" s="225">
        <f>IF($I2281="Công việc",MATCH($C2281,'Kế hoạch'!$A$6:$A$305,0),"")</f>
      </c>
      <c r="P2281" s="234">
        <f>IF($O2281="","",INDEX('Kế hoạch'!$I$6:$I$305,$O2281))</f>
      </c>
      <c r="Q2281" s="225">
        <f>IF($O2281="","",INDEX('Kế hoạch'!$AJ$6:$AJ$305,$O2281))</f>
      </c>
      <c r="R2281" s="225">
        <f>IF($O2281="","",INDEX('Kế hoạch'!$AK$6:$AK$305,$O2281))</f>
      </c>
    </row>
    <row r="2282">
      <c r="A2282" s="223">
        <f>IF($C2282="","",COUNTIF($C$6:$C2282,"?*"))</f>
      </c>
      <c r="B2282" s="217"/>
      <c r="C2282" s="216"/>
      <c r="D2282" s="240"/>
      <c r="E2282" s="218"/>
      <c r="F2282" s="218"/>
      <c r="G2282" s="218"/>
      <c r="H2282" s="219"/>
      <c r="I2282" s="223">
        <f>IF($C2282="","",IF(ISNUMBER(MATCH($C2282,'Phản ánh'!$A$6:$A$505,0)),"Phản ánh",IF(ISNUMBER(MATCH($C2282,'Kế hoạch'!$A$6:$A$305,0)),"Công việc","Mã chưa có")))</f>
      </c>
      <c r="J2282" s="221">
        <f>IF($I2282="Phản ánh",INDEX('Phản ánh'!$C$6:$C$505,MATCH($C2282,'Phản ánh'!$A$6:$A$505,0)),IF($I2282="Công việc",INDEX('Kế hoạch'!$C$6:$C$305,$O2282),""))</f>
      </c>
      <c r="K2282" s="221">
        <f>IF($I2282="Phản ánh",INDEX('Phản ánh'!$K$6:$K$505,MATCH($C2282,'Phản ánh'!$A$6:$A$505,0))&amp;"",IF($I2282="Công việc",INDEX('Kế hoạch'!$N$6:$N$305,$O2282)&amp;"",""))</f>
      </c>
      <c r="L2282" s="220">
        <f>IF(OR($C2282="",N($B2282)=0),"",IF(AND($I2282="Phản ánh",$E2282="Đã xử lý"),INDEX('Phản ánh'!$U$6:$U$505,MATCH($C2282,'Phản ánh'!$A$6:$A$505,0)),IF(AND($I2282="Công việc",OR($E2282="Hoàn thành",$E2282="Hoàn thành kỳ")),IF(INDEX('Kế hoạch'!$B$6:$B$305,$O2282)="Đột xuất",INDEX('Kế hoạch'!$AY$6:$AY$305,$O2282),IF(N($P2282)=0,"",IF(INT($B2282)&lt;$P2282,$P2282,IF($Q2282&gt;0,$P2282+ROUND((INT($B2282)-$P2282)/$Q2282,0)*$Q2282,IF($R2282&gt;0,EDATE($P2282,ROUND((DATEDIF($P2282,INT($B2282),"m")+(INT($B2282)-EDATE($P2282,DATEDIF($P2282,INT($B2282),"m")))/(EDATE($P2282,DATEDIF($P2282,INT($B2282),"m")+1)-EDATE($P2282,DATEDIF($P2282,INT($B2282),"m"))))/$R2282,0)*$R2282),$P2282))))),"")))</f>
      </c>
      <c r="M2282" s="223">
        <f>IF(OR($C2282="",N($L2282)=0,N($B2282)=0),"",IF(IF(MOD($L2282,1)=0,INT($B2282),$B2282)&lt;=$L2282,"Đúng hạn","Trễ hạn"))</f>
      </c>
      <c r="N2282" s="225">
        <f>IF($C2282="","",ROW())</f>
      </c>
      <c r="O2282" s="225">
        <f>IF($I2282="Công việc",MATCH($C2282,'Kế hoạch'!$A$6:$A$305,0),"")</f>
      </c>
      <c r="P2282" s="234">
        <f>IF($O2282="","",INDEX('Kế hoạch'!$I$6:$I$305,$O2282))</f>
      </c>
      <c r="Q2282" s="225">
        <f>IF($O2282="","",INDEX('Kế hoạch'!$AJ$6:$AJ$305,$O2282))</f>
      </c>
      <c r="R2282" s="225">
        <f>IF($O2282="","",INDEX('Kế hoạch'!$AK$6:$AK$305,$O2282))</f>
      </c>
    </row>
    <row r="2283">
      <c r="A2283" s="223">
        <f>IF($C2283="","",COUNTIF($C$6:$C2283,"?*"))</f>
      </c>
      <c r="B2283" s="217"/>
      <c r="C2283" s="216"/>
      <c r="D2283" s="240"/>
      <c r="E2283" s="218"/>
      <c r="F2283" s="218"/>
      <c r="G2283" s="218"/>
      <c r="H2283" s="219"/>
      <c r="I2283" s="223">
        <f>IF($C2283="","",IF(ISNUMBER(MATCH($C2283,'Phản ánh'!$A$6:$A$505,0)),"Phản ánh",IF(ISNUMBER(MATCH($C2283,'Kế hoạch'!$A$6:$A$305,0)),"Công việc","Mã chưa có")))</f>
      </c>
      <c r="J2283" s="221">
        <f>IF($I2283="Phản ánh",INDEX('Phản ánh'!$C$6:$C$505,MATCH($C2283,'Phản ánh'!$A$6:$A$505,0)),IF($I2283="Công việc",INDEX('Kế hoạch'!$C$6:$C$305,$O2283),""))</f>
      </c>
      <c r="K2283" s="221">
        <f>IF($I2283="Phản ánh",INDEX('Phản ánh'!$K$6:$K$505,MATCH($C2283,'Phản ánh'!$A$6:$A$505,0))&amp;"",IF($I2283="Công việc",INDEX('Kế hoạch'!$N$6:$N$305,$O2283)&amp;"",""))</f>
      </c>
      <c r="L2283" s="220">
        <f>IF(OR($C2283="",N($B2283)=0),"",IF(AND($I2283="Phản ánh",$E2283="Đã xử lý"),INDEX('Phản ánh'!$U$6:$U$505,MATCH($C2283,'Phản ánh'!$A$6:$A$505,0)),IF(AND($I2283="Công việc",OR($E2283="Hoàn thành",$E2283="Hoàn thành kỳ")),IF(INDEX('Kế hoạch'!$B$6:$B$305,$O2283)="Đột xuất",INDEX('Kế hoạch'!$AY$6:$AY$305,$O2283),IF(N($P2283)=0,"",IF(INT($B2283)&lt;$P2283,$P2283,IF($Q2283&gt;0,$P2283+ROUND((INT($B2283)-$P2283)/$Q2283,0)*$Q2283,IF($R2283&gt;0,EDATE($P2283,ROUND((DATEDIF($P2283,INT($B2283),"m")+(INT($B2283)-EDATE($P2283,DATEDIF($P2283,INT($B2283),"m")))/(EDATE($P2283,DATEDIF($P2283,INT($B2283),"m")+1)-EDATE($P2283,DATEDIF($P2283,INT($B2283),"m"))))/$R2283,0)*$R2283),$P2283))))),"")))</f>
      </c>
      <c r="M2283" s="223">
        <f>IF(OR($C2283="",N($L2283)=0,N($B2283)=0),"",IF(IF(MOD($L2283,1)=0,INT($B2283),$B2283)&lt;=$L2283,"Đúng hạn","Trễ hạn"))</f>
      </c>
      <c r="N2283" s="225">
        <f>IF($C2283="","",ROW())</f>
      </c>
      <c r="O2283" s="225">
        <f>IF($I2283="Công việc",MATCH($C2283,'Kế hoạch'!$A$6:$A$305,0),"")</f>
      </c>
      <c r="P2283" s="234">
        <f>IF($O2283="","",INDEX('Kế hoạch'!$I$6:$I$305,$O2283))</f>
      </c>
      <c r="Q2283" s="225">
        <f>IF($O2283="","",INDEX('Kế hoạch'!$AJ$6:$AJ$305,$O2283))</f>
      </c>
      <c r="R2283" s="225">
        <f>IF($O2283="","",INDEX('Kế hoạch'!$AK$6:$AK$305,$O2283))</f>
      </c>
    </row>
    <row r="2284">
      <c r="A2284" s="223">
        <f>IF($C2284="","",COUNTIF($C$6:$C2284,"?*"))</f>
      </c>
      <c r="B2284" s="217"/>
      <c r="C2284" s="216"/>
      <c r="D2284" s="240"/>
      <c r="E2284" s="218"/>
      <c r="F2284" s="218"/>
      <c r="G2284" s="218"/>
      <c r="H2284" s="219"/>
      <c r="I2284" s="223">
        <f>IF($C2284="","",IF(ISNUMBER(MATCH($C2284,'Phản ánh'!$A$6:$A$505,0)),"Phản ánh",IF(ISNUMBER(MATCH($C2284,'Kế hoạch'!$A$6:$A$305,0)),"Công việc","Mã chưa có")))</f>
      </c>
      <c r="J2284" s="221">
        <f>IF($I2284="Phản ánh",INDEX('Phản ánh'!$C$6:$C$505,MATCH($C2284,'Phản ánh'!$A$6:$A$505,0)),IF($I2284="Công việc",INDEX('Kế hoạch'!$C$6:$C$305,$O2284),""))</f>
      </c>
      <c r="K2284" s="221">
        <f>IF($I2284="Phản ánh",INDEX('Phản ánh'!$K$6:$K$505,MATCH($C2284,'Phản ánh'!$A$6:$A$505,0))&amp;"",IF($I2284="Công việc",INDEX('Kế hoạch'!$N$6:$N$305,$O2284)&amp;"",""))</f>
      </c>
      <c r="L2284" s="220">
        <f>IF(OR($C2284="",N($B2284)=0),"",IF(AND($I2284="Phản ánh",$E2284="Đã xử lý"),INDEX('Phản ánh'!$U$6:$U$505,MATCH($C2284,'Phản ánh'!$A$6:$A$505,0)),IF(AND($I2284="Công việc",OR($E2284="Hoàn thành",$E2284="Hoàn thành kỳ")),IF(INDEX('Kế hoạch'!$B$6:$B$305,$O2284)="Đột xuất",INDEX('Kế hoạch'!$AY$6:$AY$305,$O2284),IF(N($P2284)=0,"",IF(INT($B2284)&lt;$P2284,$P2284,IF($Q2284&gt;0,$P2284+ROUND((INT($B2284)-$P2284)/$Q2284,0)*$Q2284,IF($R2284&gt;0,EDATE($P2284,ROUND((DATEDIF($P2284,INT($B2284),"m")+(INT($B2284)-EDATE($P2284,DATEDIF($P2284,INT($B2284),"m")))/(EDATE($P2284,DATEDIF($P2284,INT($B2284),"m")+1)-EDATE($P2284,DATEDIF($P2284,INT($B2284),"m"))))/$R2284,0)*$R2284),$P2284))))),"")))</f>
      </c>
      <c r="M2284" s="223">
        <f>IF(OR($C2284="",N($L2284)=0,N($B2284)=0),"",IF(IF(MOD($L2284,1)=0,INT($B2284),$B2284)&lt;=$L2284,"Đúng hạn","Trễ hạn"))</f>
      </c>
      <c r="N2284" s="225">
        <f>IF($C2284="","",ROW())</f>
      </c>
      <c r="O2284" s="225">
        <f>IF($I2284="Công việc",MATCH($C2284,'Kế hoạch'!$A$6:$A$305,0),"")</f>
      </c>
      <c r="P2284" s="234">
        <f>IF($O2284="","",INDEX('Kế hoạch'!$I$6:$I$305,$O2284))</f>
      </c>
      <c r="Q2284" s="225">
        <f>IF($O2284="","",INDEX('Kế hoạch'!$AJ$6:$AJ$305,$O2284))</f>
      </c>
      <c r="R2284" s="225">
        <f>IF($O2284="","",INDEX('Kế hoạch'!$AK$6:$AK$305,$O2284))</f>
      </c>
    </row>
    <row r="2285">
      <c r="A2285" s="223">
        <f>IF($C2285="","",COUNTIF($C$6:$C2285,"?*"))</f>
      </c>
      <c r="B2285" s="217"/>
      <c r="C2285" s="216"/>
      <c r="D2285" s="240"/>
      <c r="E2285" s="218"/>
      <c r="F2285" s="218"/>
      <c r="G2285" s="218"/>
      <c r="H2285" s="219"/>
      <c r="I2285" s="223">
        <f>IF($C2285="","",IF(ISNUMBER(MATCH($C2285,'Phản ánh'!$A$6:$A$505,0)),"Phản ánh",IF(ISNUMBER(MATCH($C2285,'Kế hoạch'!$A$6:$A$305,0)),"Công việc","Mã chưa có")))</f>
      </c>
      <c r="J2285" s="221">
        <f>IF($I2285="Phản ánh",INDEX('Phản ánh'!$C$6:$C$505,MATCH($C2285,'Phản ánh'!$A$6:$A$505,0)),IF($I2285="Công việc",INDEX('Kế hoạch'!$C$6:$C$305,$O2285),""))</f>
      </c>
      <c r="K2285" s="221">
        <f>IF($I2285="Phản ánh",INDEX('Phản ánh'!$K$6:$K$505,MATCH($C2285,'Phản ánh'!$A$6:$A$505,0))&amp;"",IF($I2285="Công việc",INDEX('Kế hoạch'!$N$6:$N$305,$O2285)&amp;"",""))</f>
      </c>
      <c r="L2285" s="220">
        <f>IF(OR($C2285="",N($B2285)=0),"",IF(AND($I2285="Phản ánh",$E2285="Đã xử lý"),INDEX('Phản ánh'!$U$6:$U$505,MATCH($C2285,'Phản ánh'!$A$6:$A$505,0)),IF(AND($I2285="Công việc",OR($E2285="Hoàn thành",$E2285="Hoàn thành kỳ")),IF(INDEX('Kế hoạch'!$B$6:$B$305,$O2285)="Đột xuất",INDEX('Kế hoạch'!$AY$6:$AY$305,$O2285),IF(N($P2285)=0,"",IF(INT($B2285)&lt;$P2285,$P2285,IF($Q2285&gt;0,$P2285+ROUND((INT($B2285)-$P2285)/$Q2285,0)*$Q2285,IF($R2285&gt;0,EDATE($P2285,ROUND((DATEDIF($P2285,INT($B2285),"m")+(INT($B2285)-EDATE($P2285,DATEDIF($P2285,INT($B2285),"m")))/(EDATE($P2285,DATEDIF($P2285,INT($B2285),"m")+1)-EDATE($P2285,DATEDIF($P2285,INT($B2285),"m"))))/$R2285,0)*$R2285),$P2285))))),"")))</f>
      </c>
      <c r="M2285" s="223">
        <f>IF(OR($C2285="",N($L2285)=0,N($B2285)=0),"",IF(IF(MOD($L2285,1)=0,INT($B2285),$B2285)&lt;=$L2285,"Đúng hạn","Trễ hạn"))</f>
      </c>
      <c r="N2285" s="225">
        <f>IF($C2285="","",ROW())</f>
      </c>
      <c r="O2285" s="225">
        <f>IF($I2285="Công việc",MATCH($C2285,'Kế hoạch'!$A$6:$A$305,0),"")</f>
      </c>
      <c r="P2285" s="234">
        <f>IF($O2285="","",INDEX('Kế hoạch'!$I$6:$I$305,$O2285))</f>
      </c>
      <c r="Q2285" s="225">
        <f>IF($O2285="","",INDEX('Kế hoạch'!$AJ$6:$AJ$305,$O2285))</f>
      </c>
      <c r="R2285" s="225">
        <f>IF($O2285="","",INDEX('Kế hoạch'!$AK$6:$AK$305,$O2285))</f>
      </c>
    </row>
    <row r="2286">
      <c r="A2286" s="223">
        <f>IF($C2286="","",COUNTIF($C$6:$C2286,"?*"))</f>
      </c>
      <c r="B2286" s="217"/>
      <c r="C2286" s="216"/>
      <c r="D2286" s="240"/>
      <c r="E2286" s="218"/>
      <c r="F2286" s="218"/>
      <c r="G2286" s="218"/>
      <c r="H2286" s="219"/>
      <c r="I2286" s="223">
        <f>IF($C2286="","",IF(ISNUMBER(MATCH($C2286,'Phản ánh'!$A$6:$A$505,0)),"Phản ánh",IF(ISNUMBER(MATCH($C2286,'Kế hoạch'!$A$6:$A$305,0)),"Công việc","Mã chưa có")))</f>
      </c>
      <c r="J2286" s="221">
        <f>IF($I2286="Phản ánh",INDEX('Phản ánh'!$C$6:$C$505,MATCH($C2286,'Phản ánh'!$A$6:$A$505,0)),IF($I2286="Công việc",INDEX('Kế hoạch'!$C$6:$C$305,$O2286),""))</f>
      </c>
      <c r="K2286" s="221">
        <f>IF($I2286="Phản ánh",INDEX('Phản ánh'!$K$6:$K$505,MATCH($C2286,'Phản ánh'!$A$6:$A$505,0))&amp;"",IF($I2286="Công việc",INDEX('Kế hoạch'!$N$6:$N$305,$O2286)&amp;"",""))</f>
      </c>
      <c r="L2286" s="220">
        <f>IF(OR($C2286="",N($B2286)=0),"",IF(AND($I2286="Phản ánh",$E2286="Đã xử lý"),INDEX('Phản ánh'!$U$6:$U$505,MATCH($C2286,'Phản ánh'!$A$6:$A$505,0)),IF(AND($I2286="Công việc",OR($E2286="Hoàn thành",$E2286="Hoàn thành kỳ")),IF(INDEX('Kế hoạch'!$B$6:$B$305,$O2286)="Đột xuất",INDEX('Kế hoạch'!$AY$6:$AY$305,$O2286),IF(N($P2286)=0,"",IF(INT($B2286)&lt;$P2286,$P2286,IF($Q2286&gt;0,$P2286+ROUND((INT($B2286)-$P2286)/$Q2286,0)*$Q2286,IF($R2286&gt;0,EDATE($P2286,ROUND((DATEDIF($P2286,INT($B2286),"m")+(INT($B2286)-EDATE($P2286,DATEDIF($P2286,INT($B2286),"m")))/(EDATE($P2286,DATEDIF($P2286,INT($B2286),"m")+1)-EDATE($P2286,DATEDIF($P2286,INT($B2286),"m"))))/$R2286,0)*$R2286),$P2286))))),"")))</f>
      </c>
      <c r="M2286" s="223">
        <f>IF(OR($C2286="",N($L2286)=0,N($B2286)=0),"",IF(IF(MOD($L2286,1)=0,INT($B2286),$B2286)&lt;=$L2286,"Đúng hạn","Trễ hạn"))</f>
      </c>
      <c r="N2286" s="225">
        <f>IF($C2286="","",ROW())</f>
      </c>
      <c r="O2286" s="225">
        <f>IF($I2286="Công việc",MATCH($C2286,'Kế hoạch'!$A$6:$A$305,0),"")</f>
      </c>
      <c r="P2286" s="234">
        <f>IF($O2286="","",INDEX('Kế hoạch'!$I$6:$I$305,$O2286))</f>
      </c>
      <c r="Q2286" s="225">
        <f>IF($O2286="","",INDEX('Kế hoạch'!$AJ$6:$AJ$305,$O2286))</f>
      </c>
      <c r="R2286" s="225">
        <f>IF($O2286="","",INDEX('Kế hoạch'!$AK$6:$AK$305,$O2286))</f>
      </c>
    </row>
    <row r="2287">
      <c r="A2287" s="223">
        <f>IF($C2287="","",COUNTIF($C$6:$C2287,"?*"))</f>
      </c>
      <c r="B2287" s="217"/>
      <c r="C2287" s="216"/>
      <c r="D2287" s="240"/>
      <c r="E2287" s="218"/>
      <c r="F2287" s="218"/>
      <c r="G2287" s="218"/>
      <c r="H2287" s="219"/>
      <c r="I2287" s="223">
        <f>IF($C2287="","",IF(ISNUMBER(MATCH($C2287,'Phản ánh'!$A$6:$A$505,0)),"Phản ánh",IF(ISNUMBER(MATCH($C2287,'Kế hoạch'!$A$6:$A$305,0)),"Công việc","Mã chưa có")))</f>
      </c>
      <c r="J2287" s="221">
        <f>IF($I2287="Phản ánh",INDEX('Phản ánh'!$C$6:$C$505,MATCH($C2287,'Phản ánh'!$A$6:$A$505,0)),IF($I2287="Công việc",INDEX('Kế hoạch'!$C$6:$C$305,$O2287),""))</f>
      </c>
      <c r="K2287" s="221">
        <f>IF($I2287="Phản ánh",INDEX('Phản ánh'!$K$6:$K$505,MATCH($C2287,'Phản ánh'!$A$6:$A$505,0))&amp;"",IF($I2287="Công việc",INDEX('Kế hoạch'!$N$6:$N$305,$O2287)&amp;"",""))</f>
      </c>
      <c r="L2287" s="220">
        <f>IF(OR($C2287="",N($B2287)=0),"",IF(AND($I2287="Phản ánh",$E2287="Đã xử lý"),INDEX('Phản ánh'!$U$6:$U$505,MATCH($C2287,'Phản ánh'!$A$6:$A$505,0)),IF(AND($I2287="Công việc",OR($E2287="Hoàn thành",$E2287="Hoàn thành kỳ")),IF(INDEX('Kế hoạch'!$B$6:$B$305,$O2287)="Đột xuất",INDEX('Kế hoạch'!$AY$6:$AY$305,$O2287),IF(N($P2287)=0,"",IF(INT($B2287)&lt;$P2287,$P2287,IF($Q2287&gt;0,$P2287+ROUND((INT($B2287)-$P2287)/$Q2287,0)*$Q2287,IF($R2287&gt;0,EDATE($P2287,ROUND((DATEDIF($P2287,INT($B2287),"m")+(INT($B2287)-EDATE($P2287,DATEDIF($P2287,INT($B2287),"m")))/(EDATE($P2287,DATEDIF($P2287,INT($B2287),"m")+1)-EDATE($P2287,DATEDIF($P2287,INT($B2287),"m"))))/$R2287,0)*$R2287),$P2287))))),"")))</f>
      </c>
      <c r="M2287" s="223">
        <f>IF(OR($C2287="",N($L2287)=0,N($B2287)=0),"",IF(IF(MOD($L2287,1)=0,INT($B2287),$B2287)&lt;=$L2287,"Đúng hạn","Trễ hạn"))</f>
      </c>
      <c r="N2287" s="225">
        <f>IF($C2287="","",ROW())</f>
      </c>
      <c r="O2287" s="225">
        <f>IF($I2287="Công việc",MATCH($C2287,'Kế hoạch'!$A$6:$A$305,0),"")</f>
      </c>
      <c r="P2287" s="234">
        <f>IF($O2287="","",INDEX('Kế hoạch'!$I$6:$I$305,$O2287))</f>
      </c>
      <c r="Q2287" s="225">
        <f>IF($O2287="","",INDEX('Kế hoạch'!$AJ$6:$AJ$305,$O2287))</f>
      </c>
      <c r="R2287" s="225">
        <f>IF($O2287="","",INDEX('Kế hoạch'!$AK$6:$AK$305,$O2287))</f>
      </c>
    </row>
    <row r="2288">
      <c r="A2288" s="223">
        <f>IF($C2288="","",COUNTIF($C$6:$C2288,"?*"))</f>
      </c>
      <c r="B2288" s="217"/>
      <c r="C2288" s="216"/>
      <c r="D2288" s="240"/>
      <c r="E2288" s="218"/>
      <c r="F2288" s="218"/>
      <c r="G2288" s="218"/>
      <c r="H2288" s="219"/>
      <c r="I2288" s="223">
        <f>IF($C2288="","",IF(ISNUMBER(MATCH($C2288,'Phản ánh'!$A$6:$A$505,0)),"Phản ánh",IF(ISNUMBER(MATCH($C2288,'Kế hoạch'!$A$6:$A$305,0)),"Công việc","Mã chưa có")))</f>
      </c>
      <c r="J2288" s="221">
        <f>IF($I2288="Phản ánh",INDEX('Phản ánh'!$C$6:$C$505,MATCH($C2288,'Phản ánh'!$A$6:$A$505,0)),IF($I2288="Công việc",INDEX('Kế hoạch'!$C$6:$C$305,$O2288),""))</f>
      </c>
      <c r="K2288" s="221">
        <f>IF($I2288="Phản ánh",INDEX('Phản ánh'!$K$6:$K$505,MATCH($C2288,'Phản ánh'!$A$6:$A$505,0))&amp;"",IF($I2288="Công việc",INDEX('Kế hoạch'!$N$6:$N$305,$O2288)&amp;"",""))</f>
      </c>
      <c r="L2288" s="220">
        <f>IF(OR($C2288="",N($B2288)=0),"",IF(AND($I2288="Phản ánh",$E2288="Đã xử lý"),INDEX('Phản ánh'!$U$6:$U$505,MATCH($C2288,'Phản ánh'!$A$6:$A$505,0)),IF(AND($I2288="Công việc",OR($E2288="Hoàn thành",$E2288="Hoàn thành kỳ")),IF(INDEX('Kế hoạch'!$B$6:$B$305,$O2288)="Đột xuất",INDEX('Kế hoạch'!$AY$6:$AY$305,$O2288),IF(N($P2288)=0,"",IF(INT($B2288)&lt;$P2288,$P2288,IF($Q2288&gt;0,$P2288+ROUND((INT($B2288)-$P2288)/$Q2288,0)*$Q2288,IF($R2288&gt;0,EDATE($P2288,ROUND((DATEDIF($P2288,INT($B2288),"m")+(INT($B2288)-EDATE($P2288,DATEDIF($P2288,INT($B2288),"m")))/(EDATE($P2288,DATEDIF($P2288,INT($B2288),"m")+1)-EDATE($P2288,DATEDIF($P2288,INT($B2288),"m"))))/$R2288,0)*$R2288),$P2288))))),"")))</f>
      </c>
      <c r="M2288" s="223">
        <f>IF(OR($C2288="",N($L2288)=0,N($B2288)=0),"",IF(IF(MOD($L2288,1)=0,INT($B2288),$B2288)&lt;=$L2288,"Đúng hạn","Trễ hạn"))</f>
      </c>
      <c r="N2288" s="225">
        <f>IF($C2288="","",ROW())</f>
      </c>
      <c r="O2288" s="225">
        <f>IF($I2288="Công việc",MATCH($C2288,'Kế hoạch'!$A$6:$A$305,0),"")</f>
      </c>
      <c r="P2288" s="234">
        <f>IF($O2288="","",INDEX('Kế hoạch'!$I$6:$I$305,$O2288))</f>
      </c>
      <c r="Q2288" s="225">
        <f>IF($O2288="","",INDEX('Kế hoạch'!$AJ$6:$AJ$305,$O2288))</f>
      </c>
      <c r="R2288" s="225">
        <f>IF($O2288="","",INDEX('Kế hoạch'!$AK$6:$AK$305,$O2288))</f>
      </c>
    </row>
    <row r="2289">
      <c r="A2289" s="223">
        <f>IF($C2289="","",COUNTIF($C$6:$C2289,"?*"))</f>
      </c>
      <c r="B2289" s="217"/>
      <c r="C2289" s="216"/>
      <c r="D2289" s="240"/>
      <c r="E2289" s="218"/>
      <c r="F2289" s="218"/>
      <c r="G2289" s="218"/>
      <c r="H2289" s="219"/>
      <c r="I2289" s="223">
        <f>IF($C2289="","",IF(ISNUMBER(MATCH($C2289,'Phản ánh'!$A$6:$A$505,0)),"Phản ánh",IF(ISNUMBER(MATCH($C2289,'Kế hoạch'!$A$6:$A$305,0)),"Công việc","Mã chưa có")))</f>
      </c>
      <c r="J2289" s="221">
        <f>IF($I2289="Phản ánh",INDEX('Phản ánh'!$C$6:$C$505,MATCH($C2289,'Phản ánh'!$A$6:$A$505,0)),IF($I2289="Công việc",INDEX('Kế hoạch'!$C$6:$C$305,$O2289),""))</f>
      </c>
      <c r="K2289" s="221">
        <f>IF($I2289="Phản ánh",INDEX('Phản ánh'!$K$6:$K$505,MATCH($C2289,'Phản ánh'!$A$6:$A$505,0))&amp;"",IF($I2289="Công việc",INDEX('Kế hoạch'!$N$6:$N$305,$O2289)&amp;"",""))</f>
      </c>
      <c r="L2289" s="220">
        <f>IF(OR($C2289="",N($B2289)=0),"",IF(AND($I2289="Phản ánh",$E2289="Đã xử lý"),INDEX('Phản ánh'!$U$6:$U$505,MATCH($C2289,'Phản ánh'!$A$6:$A$505,0)),IF(AND($I2289="Công việc",OR($E2289="Hoàn thành",$E2289="Hoàn thành kỳ")),IF(INDEX('Kế hoạch'!$B$6:$B$305,$O2289)="Đột xuất",INDEX('Kế hoạch'!$AY$6:$AY$305,$O2289),IF(N($P2289)=0,"",IF(INT($B2289)&lt;$P2289,$P2289,IF($Q2289&gt;0,$P2289+ROUND((INT($B2289)-$P2289)/$Q2289,0)*$Q2289,IF($R2289&gt;0,EDATE($P2289,ROUND((DATEDIF($P2289,INT($B2289),"m")+(INT($B2289)-EDATE($P2289,DATEDIF($P2289,INT($B2289),"m")))/(EDATE($P2289,DATEDIF($P2289,INT($B2289),"m")+1)-EDATE($P2289,DATEDIF($P2289,INT($B2289),"m"))))/$R2289,0)*$R2289),$P2289))))),"")))</f>
      </c>
      <c r="M2289" s="223">
        <f>IF(OR($C2289="",N($L2289)=0,N($B2289)=0),"",IF(IF(MOD($L2289,1)=0,INT($B2289),$B2289)&lt;=$L2289,"Đúng hạn","Trễ hạn"))</f>
      </c>
      <c r="N2289" s="225">
        <f>IF($C2289="","",ROW())</f>
      </c>
      <c r="O2289" s="225">
        <f>IF($I2289="Công việc",MATCH($C2289,'Kế hoạch'!$A$6:$A$305,0),"")</f>
      </c>
      <c r="P2289" s="234">
        <f>IF($O2289="","",INDEX('Kế hoạch'!$I$6:$I$305,$O2289))</f>
      </c>
      <c r="Q2289" s="225">
        <f>IF($O2289="","",INDEX('Kế hoạch'!$AJ$6:$AJ$305,$O2289))</f>
      </c>
      <c r="R2289" s="225">
        <f>IF($O2289="","",INDEX('Kế hoạch'!$AK$6:$AK$305,$O2289))</f>
      </c>
    </row>
    <row r="2290">
      <c r="A2290" s="223">
        <f>IF($C2290="","",COUNTIF($C$6:$C2290,"?*"))</f>
      </c>
      <c r="B2290" s="217"/>
      <c r="C2290" s="216"/>
      <c r="D2290" s="240"/>
      <c r="E2290" s="218"/>
      <c r="F2290" s="218"/>
      <c r="G2290" s="218"/>
      <c r="H2290" s="219"/>
      <c r="I2290" s="223">
        <f>IF($C2290="","",IF(ISNUMBER(MATCH($C2290,'Phản ánh'!$A$6:$A$505,0)),"Phản ánh",IF(ISNUMBER(MATCH($C2290,'Kế hoạch'!$A$6:$A$305,0)),"Công việc","Mã chưa có")))</f>
      </c>
      <c r="J2290" s="221">
        <f>IF($I2290="Phản ánh",INDEX('Phản ánh'!$C$6:$C$505,MATCH($C2290,'Phản ánh'!$A$6:$A$505,0)),IF($I2290="Công việc",INDEX('Kế hoạch'!$C$6:$C$305,$O2290),""))</f>
      </c>
      <c r="K2290" s="221">
        <f>IF($I2290="Phản ánh",INDEX('Phản ánh'!$K$6:$K$505,MATCH($C2290,'Phản ánh'!$A$6:$A$505,0))&amp;"",IF($I2290="Công việc",INDEX('Kế hoạch'!$N$6:$N$305,$O2290)&amp;"",""))</f>
      </c>
      <c r="L2290" s="220">
        <f>IF(OR($C2290="",N($B2290)=0),"",IF(AND($I2290="Phản ánh",$E2290="Đã xử lý"),INDEX('Phản ánh'!$U$6:$U$505,MATCH($C2290,'Phản ánh'!$A$6:$A$505,0)),IF(AND($I2290="Công việc",OR($E2290="Hoàn thành",$E2290="Hoàn thành kỳ")),IF(INDEX('Kế hoạch'!$B$6:$B$305,$O2290)="Đột xuất",INDEX('Kế hoạch'!$AY$6:$AY$305,$O2290),IF(N($P2290)=0,"",IF(INT($B2290)&lt;$P2290,$P2290,IF($Q2290&gt;0,$P2290+ROUND((INT($B2290)-$P2290)/$Q2290,0)*$Q2290,IF($R2290&gt;0,EDATE($P2290,ROUND((DATEDIF($P2290,INT($B2290),"m")+(INT($B2290)-EDATE($P2290,DATEDIF($P2290,INT($B2290),"m")))/(EDATE($P2290,DATEDIF($P2290,INT($B2290),"m")+1)-EDATE($P2290,DATEDIF($P2290,INT($B2290),"m"))))/$R2290,0)*$R2290),$P2290))))),"")))</f>
      </c>
      <c r="M2290" s="223">
        <f>IF(OR($C2290="",N($L2290)=0,N($B2290)=0),"",IF(IF(MOD($L2290,1)=0,INT($B2290),$B2290)&lt;=$L2290,"Đúng hạn","Trễ hạn"))</f>
      </c>
      <c r="N2290" s="225">
        <f>IF($C2290="","",ROW())</f>
      </c>
      <c r="O2290" s="225">
        <f>IF($I2290="Công việc",MATCH($C2290,'Kế hoạch'!$A$6:$A$305,0),"")</f>
      </c>
      <c r="P2290" s="234">
        <f>IF($O2290="","",INDEX('Kế hoạch'!$I$6:$I$305,$O2290))</f>
      </c>
      <c r="Q2290" s="225">
        <f>IF($O2290="","",INDEX('Kế hoạch'!$AJ$6:$AJ$305,$O2290))</f>
      </c>
      <c r="R2290" s="225">
        <f>IF($O2290="","",INDEX('Kế hoạch'!$AK$6:$AK$305,$O2290))</f>
      </c>
    </row>
    <row r="2291">
      <c r="A2291" s="223">
        <f>IF($C2291="","",COUNTIF($C$6:$C2291,"?*"))</f>
      </c>
      <c r="B2291" s="217"/>
      <c r="C2291" s="216"/>
      <c r="D2291" s="240"/>
      <c r="E2291" s="218"/>
      <c r="F2291" s="218"/>
      <c r="G2291" s="218"/>
      <c r="H2291" s="219"/>
      <c r="I2291" s="223">
        <f>IF($C2291="","",IF(ISNUMBER(MATCH($C2291,'Phản ánh'!$A$6:$A$505,0)),"Phản ánh",IF(ISNUMBER(MATCH($C2291,'Kế hoạch'!$A$6:$A$305,0)),"Công việc","Mã chưa có")))</f>
      </c>
      <c r="J2291" s="221">
        <f>IF($I2291="Phản ánh",INDEX('Phản ánh'!$C$6:$C$505,MATCH($C2291,'Phản ánh'!$A$6:$A$505,0)),IF($I2291="Công việc",INDEX('Kế hoạch'!$C$6:$C$305,$O2291),""))</f>
      </c>
      <c r="K2291" s="221">
        <f>IF($I2291="Phản ánh",INDEX('Phản ánh'!$K$6:$K$505,MATCH($C2291,'Phản ánh'!$A$6:$A$505,0))&amp;"",IF($I2291="Công việc",INDEX('Kế hoạch'!$N$6:$N$305,$O2291)&amp;"",""))</f>
      </c>
      <c r="L2291" s="220">
        <f>IF(OR($C2291="",N($B2291)=0),"",IF(AND($I2291="Phản ánh",$E2291="Đã xử lý"),INDEX('Phản ánh'!$U$6:$U$505,MATCH($C2291,'Phản ánh'!$A$6:$A$505,0)),IF(AND($I2291="Công việc",OR($E2291="Hoàn thành",$E2291="Hoàn thành kỳ")),IF(INDEX('Kế hoạch'!$B$6:$B$305,$O2291)="Đột xuất",INDEX('Kế hoạch'!$AY$6:$AY$305,$O2291),IF(N($P2291)=0,"",IF(INT($B2291)&lt;$P2291,$P2291,IF($Q2291&gt;0,$P2291+ROUND((INT($B2291)-$P2291)/$Q2291,0)*$Q2291,IF($R2291&gt;0,EDATE($P2291,ROUND((DATEDIF($P2291,INT($B2291),"m")+(INT($B2291)-EDATE($P2291,DATEDIF($P2291,INT($B2291),"m")))/(EDATE($P2291,DATEDIF($P2291,INT($B2291),"m")+1)-EDATE($P2291,DATEDIF($P2291,INT($B2291),"m"))))/$R2291,0)*$R2291),$P2291))))),"")))</f>
      </c>
      <c r="M2291" s="223">
        <f>IF(OR($C2291="",N($L2291)=0,N($B2291)=0),"",IF(IF(MOD($L2291,1)=0,INT($B2291),$B2291)&lt;=$L2291,"Đúng hạn","Trễ hạn"))</f>
      </c>
      <c r="N2291" s="225">
        <f>IF($C2291="","",ROW())</f>
      </c>
      <c r="O2291" s="225">
        <f>IF($I2291="Công việc",MATCH($C2291,'Kế hoạch'!$A$6:$A$305,0),"")</f>
      </c>
      <c r="P2291" s="234">
        <f>IF($O2291="","",INDEX('Kế hoạch'!$I$6:$I$305,$O2291))</f>
      </c>
      <c r="Q2291" s="225">
        <f>IF($O2291="","",INDEX('Kế hoạch'!$AJ$6:$AJ$305,$O2291))</f>
      </c>
      <c r="R2291" s="225">
        <f>IF($O2291="","",INDEX('Kế hoạch'!$AK$6:$AK$305,$O2291))</f>
      </c>
    </row>
    <row r="2292">
      <c r="A2292" s="223">
        <f>IF($C2292="","",COUNTIF($C$6:$C2292,"?*"))</f>
      </c>
      <c r="B2292" s="217"/>
      <c r="C2292" s="216"/>
      <c r="D2292" s="240"/>
      <c r="E2292" s="218"/>
      <c r="F2292" s="218"/>
      <c r="G2292" s="218"/>
      <c r="H2292" s="219"/>
      <c r="I2292" s="223">
        <f>IF($C2292="","",IF(ISNUMBER(MATCH($C2292,'Phản ánh'!$A$6:$A$505,0)),"Phản ánh",IF(ISNUMBER(MATCH($C2292,'Kế hoạch'!$A$6:$A$305,0)),"Công việc","Mã chưa có")))</f>
      </c>
      <c r="J2292" s="221">
        <f>IF($I2292="Phản ánh",INDEX('Phản ánh'!$C$6:$C$505,MATCH($C2292,'Phản ánh'!$A$6:$A$505,0)),IF($I2292="Công việc",INDEX('Kế hoạch'!$C$6:$C$305,$O2292),""))</f>
      </c>
      <c r="K2292" s="221">
        <f>IF($I2292="Phản ánh",INDEX('Phản ánh'!$K$6:$K$505,MATCH($C2292,'Phản ánh'!$A$6:$A$505,0))&amp;"",IF($I2292="Công việc",INDEX('Kế hoạch'!$N$6:$N$305,$O2292)&amp;"",""))</f>
      </c>
      <c r="L2292" s="220">
        <f>IF(OR($C2292="",N($B2292)=0),"",IF(AND($I2292="Phản ánh",$E2292="Đã xử lý"),INDEX('Phản ánh'!$U$6:$U$505,MATCH($C2292,'Phản ánh'!$A$6:$A$505,0)),IF(AND($I2292="Công việc",OR($E2292="Hoàn thành",$E2292="Hoàn thành kỳ")),IF(INDEX('Kế hoạch'!$B$6:$B$305,$O2292)="Đột xuất",INDEX('Kế hoạch'!$AY$6:$AY$305,$O2292),IF(N($P2292)=0,"",IF(INT($B2292)&lt;$P2292,$P2292,IF($Q2292&gt;0,$P2292+ROUND((INT($B2292)-$P2292)/$Q2292,0)*$Q2292,IF($R2292&gt;0,EDATE($P2292,ROUND((DATEDIF($P2292,INT($B2292),"m")+(INT($B2292)-EDATE($P2292,DATEDIF($P2292,INT($B2292),"m")))/(EDATE($P2292,DATEDIF($P2292,INT($B2292),"m")+1)-EDATE($P2292,DATEDIF($P2292,INT($B2292),"m"))))/$R2292,0)*$R2292),$P2292))))),"")))</f>
      </c>
      <c r="M2292" s="223">
        <f>IF(OR($C2292="",N($L2292)=0,N($B2292)=0),"",IF(IF(MOD($L2292,1)=0,INT($B2292),$B2292)&lt;=$L2292,"Đúng hạn","Trễ hạn"))</f>
      </c>
      <c r="N2292" s="225">
        <f>IF($C2292="","",ROW())</f>
      </c>
      <c r="O2292" s="225">
        <f>IF($I2292="Công việc",MATCH($C2292,'Kế hoạch'!$A$6:$A$305,0),"")</f>
      </c>
      <c r="P2292" s="234">
        <f>IF($O2292="","",INDEX('Kế hoạch'!$I$6:$I$305,$O2292))</f>
      </c>
      <c r="Q2292" s="225">
        <f>IF($O2292="","",INDEX('Kế hoạch'!$AJ$6:$AJ$305,$O2292))</f>
      </c>
      <c r="R2292" s="225">
        <f>IF($O2292="","",INDEX('Kế hoạch'!$AK$6:$AK$305,$O2292))</f>
      </c>
    </row>
    <row r="2293">
      <c r="A2293" s="223">
        <f>IF($C2293="","",COUNTIF($C$6:$C2293,"?*"))</f>
      </c>
      <c r="B2293" s="217"/>
      <c r="C2293" s="216"/>
      <c r="D2293" s="240"/>
      <c r="E2293" s="218"/>
      <c r="F2293" s="218"/>
      <c r="G2293" s="218"/>
      <c r="H2293" s="219"/>
      <c r="I2293" s="223">
        <f>IF($C2293="","",IF(ISNUMBER(MATCH($C2293,'Phản ánh'!$A$6:$A$505,0)),"Phản ánh",IF(ISNUMBER(MATCH($C2293,'Kế hoạch'!$A$6:$A$305,0)),"Công việc","Mã chưa có")))</f>
      </c>
      <c r="J2293" s="221">
        <f>IF($I2293="Phản ánh",INDEX('Phản ánh'!$C$6:$C$505,MATCH($C2293,'Phản ánh'!$A$6:$A$505,0)),IF($I2293="Công việc",INDEX('Kế hoạch'!$C$6:$C$305,$O2293),""))</f>
      </c>
      <c r="K2293" s="221">
        <f>IF($I2293="Phản ánh",INDEX('Phản ánh'!$K$6:$K$505,MATCH($C2293,'Phản ánh'!$A$6:$A$505,0))&amp;"",IF($I2293="Công việc",INDEX('Kế hoạch'!$N$6:$N$305,$O2293)&amp;"",""))</f>
      </c>
      <c r="L2293" s="220">
        <f>IF(OR($C2293="",N($B2293)=0),"",IF(AND($I2293="Phản ánh",$E2293="Đã xử lý"),INDEX('Phản ánh'!$U$6:$U$505,MATCH($C2293,'Phản ánh'!$A$6:$A$505,0)),IF(AND($I2293="Công việc",OR($E2293="Hoàn thành",$E2293="Hoàn thành kỳ")),IF(INDEX('Kế hoạch'!$B$6:$B$305,$O2293)="Đột xuất",INDEX('Kế hoạch'!$AY$6:$AY$305,$O2293),IF(N($P2293)=0,"",IF(INT($B2293)&lt;$P2293,$P2293,IF($Q2293&gt;0,$P2293+ROUND((INT($B2293)-$P2293)/$Q2293,0)*$Q2293,IF($R2293&gt;0,EDATE($P2293,ROUND((DATEDIF($P2293,INT($B2293),"m")+(INT($B2293)-EDATE($P2293,DATEDIF($P2293,INT($B2293),"m")))/(EDATE($P2293,DATEDIF($P2293,INT($B2293),"m")+1)-EDATE($P2293,DATEDIF($P2293,INT($B2293),"m"))))/$R2293,0)*$R2293),$P2293))))),"")))</f>
      </c>
      <c r="M2293" s="223">
        <f>IF(OR($C2293="",N($L2293)=0,N($B2293)=0),"",IF(IF(MOD($L2293,1)=0,INT($B2293),$B2293)&lt;=$L2293,"Đúng hạn","Trễ hạn"))</f>
      </c>
      <c r="N2293" s="225">
        <f>IF($C2293="","",ROW())</f>
      </c>
      <c r="O2293" s="225">
        <f>IF($I2293="Công việc",MATCH($C2293,'Kế hoạch'!$A$6:$A$305,0),"")</f>
      </c>
      <c r="P2293" s="234">
        <f>IF($O2293="","",INDEX('Kế hoạch'!$I$6:$I$305,$O2293))</f>
      </c>
      <c r="Q2293" s="225">
        <f>IF($O2293="","",INDEX('Kế hoạch'!$AJ$6:$AJ$305,$O2293))</f>
      </c>
      <c r="R2293" s="225">
        <f>IF($O2293="","",INDEX('Kế hoạch'!$AK$6:$AK$305,$O2293))</f>
      </c>
    </row>
    <row r="2294">
      <c r="A2294" s="223">
        <f>IF($C2294="","",COUNTIF($C$6:$C2294,"?*"))</f>
      </c>
      <c r="B2294" s="217"/>
      <c r="C2294" s="216"/>
      <c r="D2294" s="240"/>
      <c r="E2294" s="218"/>
      <c r="F2294" s="218"/>
      <c r="G2294" s="218"/>
      <c r="H2294" s="219"/>
      <c r="I2294" s="223">
        <f>IF($C2294="","",IF(ISNUMBER(MATCH($C2294,'Phản ánh'!$A$6:$A$505,0)),"Phản ánh",IF(ISNUMBER(MATCH($C2294,'Kế hoạch'!$A$6:$A$305,0)),"Công việc","Mã chưa có")))</f>
      </c>
      <c r="J2294" s="221">
        <f>IF($I2294="Phản ánh",INDEX('Phản ánh'!$C$6:$C$505,MATCH($C2294,'Phản ánh'!$A$6:$A$505,0)),IF($I2294="Công việc",INDEX('Kế hoạch'!$C$6:$C$305,$O2294),""))</f>
      </c>
      <c r="K2294" s="221">
        <f>IF($I2294="Phản ánh",INDEX('Phản ánh'!$K$6:$K$505,MATCH($C2294,'Phản ánh'!$A$6:$A$505,0))&amp;"",IF($I2294="Công việc",INDEX('Kế hoạch'!$N$6:$N$305,$O2294)&amp;"",""))</f>
      </c>
      <c r="L2294" s="220">
        <f>IF(OR($C2294="",N($B2294)=0),"",IF(AND($I2294="Phản ánh",$E2294="Đã xử lý"),INDEX('Phản ánh'!$U$6:$U$505,MATCH($C2294,'Phản ánh'!$A$6:$A$505,0)),IF(AND($I2294="Công việc",OR($E2294="Hoàn thành",$E2294="Hoàn thành kỳ")),IF(INDEX('Kế hoạch'!$B$6:$B$305,$O2294)="Đột xuất",INDEX('Kế hoạch'!$AY$6:$AY$305,$O2294),IF(N($P2294)=0,"",IF(INT($B2294)&lt;$P2294,$P2294,IF($Q2294&gt;0,$P2294+ROUND((INT($B2294)-$P2294)/$Q2294,0)*$Q2294,IF($R2294&gt;0,EDATE($P2294,ROUND((DATEDIF($P2294,INT($B2294),"m")+(INT($B2294)-EDATE($P2294,DATEDIF($P2294,INT($B2294),"m")))/(EDATE($P2294,DATEDIF($P2294,INT($B2294),"m")+1)-EDATE($P2294,DATEDIF($P2294,INT($B2294),"m"))))/$R2294,0)*$R2294),$P2294))))),"")))</f>
      </c>
      <c r="M2294" s="223">
        <f>IF(OR($C2294="",N($L2294)=0,N($B2294)=0),"",IF(IF(MOD($L2294,1)=0,INT($B2294),$B2294)&lt;=$L2294,"Đúng hạn","Trễ hạn"))</f>
      </c>
      <c r="N2294" s="225">
        <f>IF($C2294="","",ROW())</f>
      </c>
      <c r="O2294" s="225">
        <f>IF($I2294="Công việc",MATCH($C2294,'Kế hoạch'!$A$6:$A$305,0),"")</f>
      </c>
      <c r="P2294" s="234">
        <f>IF($O2294="","",INDEX('Kế hoạch'!$I$6:$I$305,$O2294))</f>
      </c>
      <c r="Q2294" s="225">
        <f>IF($O2294="","",INDEX('Kế hoạch'!$AJ$6:$AJ$305,$O2294))</f>
      </c>
      <c r="R2294" s="225">
        <f>IF($O2294="","",INDEX('Kế hoạch'!$AK$6:$AK$305,$O2294))</f>
      </c>
    </row>
    <row r="2295">
      <c r="A2295" s="223">
        <f>IF($C2295="","",COUNTIF($C$6:$C2295,"?*"))</f>
      </c>
      <c r="B2295" s="217"/>
      <c r="C2295" s="216"/>
      <c r="D2295" s="240"/>
      <c r="E2295" s="218"/>
      <c r="F2295" s="218"/>
      <c r="G2295" s="218"/>
      <c r="H2295" s="219"/>
      <c r="I2295" s="223">
        <f>IF($C2295="","",IF(ISNUMBER(MATCH($C2295,'Phản ánh'!$A$6:$A$505,0)),"Phản ánh",IF(ISNUMBER(MATCH($C2295,'Kế hoạch'!$A$6:$A$305,0)),"Công việc","Mã chưa có")))</f>
      </c>
      <c r="J2295" s="221">
        <f>IF($I2295="Phản ánh",INDEX('Phản ánh'!$C$6:$C$505,MATCH($C2295,'Phản ánh'!$A$6:$A$505,0)),IF($I2295="Công việc",INDEX('Kế hoạch'!$C$6:$C$305,$O2295),""))</f>
      </c>
      <c r="K2295" s="221">
        <f>IF($I2295="Phản ánh",INDEX('Phản ánh'!$K$6:$K$505,MATCH($C2295,'Phản ánh'!$A$6:$A$505,0))&amp;"",IF($I2295="Công việc",INDEX('Kế hoạch'!$N$6:$N$305,$O2295)&amp;"",""))</f>
      </c>
      <c r="L2295" s="220">
        <f>IF(OR($C2295="",N($B2295)=0),"",IF(AND($I2295="Phản ánh",$E2295="Đã xử lý"),INDEX('Phản ánh'!$U$6:$U$505,MATCH($C2295,'Phản ánh'!$A$6:$A$505,0)),IF(AND($I2295="Công việc",OR($E2295="Hoàn thành",$E2295="Hoàn thành kỳ")),IF(INDEX('Kế hoạch'!$B$6:$B$305,$O2295)="Đột xuất",INDEX('Kế hoạch'!$AY$6:$AY$305,$O2295),IF(N($P2295)=0,"",IF(INT($B2295)&lt;$P2295,$P2295,IF($Q2295&gt;0,$P2295+ROUND((INT($B2295)-$P2295)/$Q2295,0)*$Q2295,IF($R2295&gt;0,EDATE($P2295,ROUND((DATEDIF($P2295,INT($B2295),"m")+(INT($B2295)-EDATE($P2295,DATEDIF($P2295,INT($B2295),"m")))/(EDATE($P2295,DATEDIF($P2295,INT($B2295),"m")+1)-EDATE($P2295,DATEDIF($P2295,INT($B2295),"m"))))/$R2295,0)*$R2295),$P2295))))),"")))</f>
      </c>
      <c r="M2295" s="223">
        <f>IF(OR($C2295="",N($L2295)=0,N($B2295)=0),"",IF(IF(MOD($L2295,1)=0,INT($B2295),$B2295)&lt;=$L2295,"Đúng hạn","Trễ hạn"))</f>
      </c>
      <c r="N2295" s="225">
        <f>IF($C2295="","",ROW())</f>
      </c>
      <c r="O2295" s="225">
        <f>IF($I2295="Công việc",MATCH($C2295,'Kế hoạch'!$A$6:$A$305,0),"")</f>
      </c>
      <c r="P2295" s="234">
        <f>IF($O2295="","",INDEX('Kế hoạch'!$I$6:$I$305,$O2295))</f>
      </c>
      <c r="Q2295" s="225">
        <f>IF($O2295="","",INDEX('Kế hoạch'!$AJ$6:$AJ$305,$O2295))</f>
      </c>
      <c r="R2295" s="225">
        <f>IF($O2295="","",INDEX('Kế hoạch'!$AK$6:$AK$305,$O2295))</f>
      </c>
    </row>
    <row r="2296">
      <c r="A2296" s="223">
        <f>IF($C2296="","",COUNTIF($C$6:$C2296,"?*"))</f>
      </c>
      <c r="B2296" s="217"/>
      <c r="C2296" s="216"/>
      <c r="D2296" s="240"/>
      <c r="E2296" s="218"/>
      <c r="F2296" s="218"/>
      <c r="G2296" s="218"/>
      <c r="H2296" s="219"/>
      <c r="I2296" s="223">
        <f>IF($C2296="","",IF(ISNUMBER(MATCH($C2296,'Phản ánh'!$A$6:$A$505,0)),"Phản ánh",IF(ISNUMBER(MATCH($C2296,'Kế hoạch'!$A$6:$A$305,0)),"Công việc","Mã chưa có")))</f>
      </c>
      <c r="J2296" s="221">
        <f>IF($I2296="Phản ánh",INDEX('Phản ánh'!$C$6:$C$505,MATCH($C2296,'Phản ánh'!$A$6:$A$505,0)),IF($I2296="Công việc",INDEX('Kế hoạch'!$C$6:$C$305,$O2296),""))</f>
      </c>
      <c r="K2296" s="221">
        <f>IF($I2296="Phản ánh",INDEX('Phản ánh'!$K$6:$K$505,MATCH($C2296,'Phản ánh'!$A$6:$A$505,0))&amp;"",IF($I2296="Công việc",INDEX('Kế hoạch'!$N$6:$N$305,$O2296)&amp;"",""))</f>
      </c>
      <c r="L2296" s="220">
        <f>IF(OR($C2296="",N($B2296)=0),"",IF(AND($I2296="Phản ánh",$E2296="Đã xử lý"),INDEX('Phản ánh'!$U$6:$U$505,MATCH($C2296,'Phản ánh'!$A$6:$A$505,0)),IF(AND($I2296="Công việc",OR($E2296="Hoàn thành",$E2296="Hoàn thành kỳ")),IF(INDEX('Kế hoạch'!$B$6:$B$305,$O2296)="Đột xuất",INDEX('Kế hoạch'!$AY$6:$AY$305,$O2296),IF(N($P2296)=0,"",IF(INT($B2296)&lt;$P2296,$P2296,IF($Q2296&gt;0,$P2296+ROUND((INT($B2296)-$P2296)/$Q2296,0)*$Q2296,IF($R2296&gt;0,EDATE($P2296,ROUND((DATEDIF($P2296,INT($B2296),"m")+(INT($B2296)-EDATE($P2296,DATEDIF($P2296,INT($B2296),"m")))/(EDATE($P2296,DATEDIF($P2296,INT($B2296),"m")+1)-EDATE($P2296,DATEDIF($P2296,INT($B2296),"m"))))/$R2296,0)*$R2296),$P2296))))),"")))</f>
      </c>
      <c r="M2296" s="223">
        <f>IF(OR($C2296="",N($L2296)=0,N($B2296)=0),"",IF(IF(MOD($L2296,1)=0,INT($B2296),$B2296)&lt;=$L2296,"Đúng hạn","Trễ hạn"))</f>
      </c>
      <c r="N2296" s="225">
        <f>IF($C2296="","",ROW())</f>
      </c>
      <c r="O2296" s="225">
        <f>IF($I2296="Công việc",MATCH($C2296,'Kế hoạch'!$A$6:$A$305,0),"")</f>
      </c>
      <c r="P2296" s="234">
        <f>IF($O2296="","",INDEX('Kế hoạch'!$I$6:$I$305,$O2296))</f>
      </c>
      <c r="Q2296" s="225">
        <f>IF($O2296="","",INDEX('Kế hoạch'!$AJ$6:$AJ$305,$O2296))</f>
      </c>
      <c r="R2296" s="225">
        <f>IF($O2296="","",INDEX('Kế hoạch'!$AK$6:$AK$305,$O2296))</f>
      </c>
    </row>
    <row r="2297">
      <c r="A2297" s="223">
        <f>IF($C2297="","",COUNTIF($C$6:$C2297,"?*"))</f>
      </c>
      <c r="B2297" s="217"/>
      <c r="C2297" s="216"/>
      <c r="D2297" s="240"/>
      <c r="E2297" s="218"/>
      <c r="F2297" s="218"/>
      <c r="G2297" s="218"/>
      <c r="H2297" s="219"/>
      <c r="I2297" s="223">
        <f>IF($C2297="","",IF(ISNUMBER(MATCH($C2297,'Phản ánh'!$A$6:$A$505,0)),"Phản ánh",IF(ISNUMBER(MATCH($C2297,'Kế hoạch'!$A$6:$A$305,0)),"Công việc","Mã chưa có")))</f>
      </c>
      <c r="J2297" s="221">
        <f>IF($I2297="Phản ánh",INDEX('Phản ánh'!$C$6:$C$505,MATCH($C2297,'Phản ánh'!$A$6:$A$505,0)),IF($I2297="Công việc",INDEX('Kế hoạch'!$C$6:$C$305,$O2297),""))</f>
      </c>
      <c r="K2297" s="221">
        <f>IF($I2297="Phản ánh",INDEX('Phản ánh'!$K$6:$K$505,MATCH($C2297,'Phản ánh'!$A$6:$A$505,0))&amp;"",IF($I2297="Công việc",INDEX('Kế hoạch'!$N$6:$N$305,$O2297)&amp;"",""))</f>
      </c>
      <c r="L2297" s="220">
        <f>IF(OR($C2297="",N($B2297)=0),"",IF(AND($I2297="Phản ánh",$E2297="Đã xử lý"),INDEX('Phản ánh'!$U$6:$U$505,MATCH($C2297,'Phản ánh'!$A$6:$A$505,0)),IF(AND($I2297="Công việc",OR($E2297="Hoàn thành",$E2297="Hoàn thành kỳ")),IF(INDEX('Kế hoạch'!$B$6:$B$305,$O2297)="Đột xuất",INDEX('Kế hoạch'!$AY$6:$AY$305,$O2297),IF(N($P2297)=0,"",IF(INT($B2297)&lt;$P2297,$P2297,IF($Q2297&gt;0,$P2297+ROUND((INT($B2297)-$P2297)/$Q2297,0)*$Q2297,IF($R2297&gt;0,EDATE($P2297,ROUND((DATEDIF($P2297,INT($B2297),"m")+(INT($B2297)-EDATE($P2297,DATEDIF($P2297,INT($B2297),"m")))/(EDATE($P2297,DATEDIF($P2297,INT($B2297),"m")+1)-EDATE($P2297,DATEDIF($P2297,INT($B2297),"m"))))/$R2297,0)*$R2297),$P2297))))),"")))</f>
      </c>
      <c r="M2297" s="223">
        <f>IF(OR($C2297="",N($L2297)=0,N($B2297)=0),"",IF(IF(MOD($L2297,1)=0,INT($B2297),$B2297)&lt;=$L2297,"Đúng hạn","Trễ hạn"))</f>
      </c>
      <c r="N2297" s="225">
        <f>IF($C2297="","",ROW())</f>
      </c>
      <c r="O2297" s="225">
        <f>IF($I2297="Công việc",MATCH($C2297,'Kế hoạch'!$A$6:$A$305,0),"")</f>
      </c>
      <c r="P2297" s="234">
        <f>IF($O2297="","",INDEX('Kế hoạch'!$I$6:$I$305,$O2297))</f>
      </c>
      <c r="Q2297" s="225">
        <f>IF($O2297="","",INDEX('Kế hoạch'!$AJ$6:$AJ$305,$O2297))</f>
      </c>
      <c r="R2297" s="225">
        <f>IF($O2297="","",INDEX('Kế hoạch'!$AK$6:$AK$305,$O2297))</f>
      </c>
    </row>
    <row r="2298">
      <c r="A2298" s="223">
        <f>IF($C2298="","",COUNTIF($C$6:$C2298,"?*"))</f>
      </c>
      <c r="B2298" s="217"/>
      <c r="C2298" s="216"/>
      <c r="D2298" s="240"/>
      <c r="E2298" s="218"/>
      <c r="F2298" s="218"/>
      <c r="G2298" s="218"/>
      <c r="H2298" s="219"/>
      <c r="I2298" s="223">
        <f>IF($C2298="","",IF(ISNUMBER(MATCH($C2298,'Phản ánh'!$A$6:$A$505,0)),"Phản ánh",IF(ISNUMBER(MATCH($C2298,'Kế hoạch'!$A$6:$A$305,0)),"Công việc","Mã chưa có")))</f>
      </c>
      <c r="J2298" s="221">
        <f>IF($I2298="Phản ánh",INDEX('Phản ánh'!$C$6:$C$505,MATCH($C2298,'Phản ánh'!$A$6:$A$505,0)),IF($I2298="Công việc",INDEX('Kế hoạch'!$C$6:$C$305,$O2298),""))</f>
      </c>
      <c r="K2298" s="221">
        <f>IF($I2298="Phản ánh",INDEX('Phản ánh'!$K$6:$K$505,MATCH($C2298,'Phản ánh'!$A$6:$A$505,0))&amp;"",IF($I2298="Công việc",INDEX('Kế hoạch'!$N$6:$N$305,$O2298)&amp;"",""))</f>
      </c>
      <c r="L2298" s="220">
        <f>IF(OR($C2298="",N($B2298)=0),"",IF(AND($I2298="Phản ánh",$E2298="Đã xử lý"),INDEX('Phản ánh'!$U$6:$U$505,MATCH($C2298,'Phản ánh'!$A$6:$A$505,0)),IF(AND($I2298="Công việc",OR($E2298="Hoàn thành",$E2298="Hoàn thành kỳ")),IF(INDEX('Kế hoạch'!$B$6:$B$305,$O2298)="Đột xuất",INDEX('Kế hoạch'!$AY$6:$AY$305,$O2298),IF(N($P2298)=0,"",IF(INT($B2298)&lt;$P2298,$P2298,IF($Q2298&gt;0,$P2298+ROUND((INT($B2298)-$P2298)/$Q2298,0)*$Q2298,IF($R2298&gt;0,EDATE($P2298,ROUND((DATEDIF($P2298,INT($B2298),"m")+(INT($B2298)-EDATE($P2298,DATEDIF($P2298,INT($B2298),"m")))/(EDATE($P2298,DATEDIF($P2298,INT($B2298),"m")+1)-EDATE($P2298,DATEDIF($P2298,INT($B2298),"m"))))/$R2298,0)*$R2298),$P2298))))),"")))</f>
      </c>
      <c r="M2298" s="223">
        <f>IF(OR($C2298="",N($L2298)=0,N($B2298)=0),"",IF(IF(MOD($L2298,1)=0,INT($B2298),$B2298)&lt;=$L2298,"Đúng hạn","Trễ hạn"))</f>
      </c>
      <c r="N2298" s="225">
        <f>IF($C2298="","",ROW())</f>
      </c>
      <c r="O2298" s="225">
        <f>IF($I2298="Công việc",MATCH($C2298,'Kế hoạch'!$A$6:$A$305,0),"")</f>
      </c>
      <c r="P2298" s="234">
        <f>IF($O2298="","",INDEX('Kế hoạch'!$I$6:$I$305,$O2298))</f>
      </c>
      <c r="Q2298" s="225">
        <f>IF($O2298="","",INDEX('Kế hoạch'!$AJ$6:$AJ$305,$O2298))</f>
      </c>
      <c r="R2298" s="225">
        <f>IF($O2298="","",INDEX('Kế hoạch'!$AK$6:$AK$305,$O2298))</f>
      </c>
    </row>
    <row r="2299">
      <c r="A2299" s="223">
        <f>IF($C2299="","",COUNTIF($C$6:$C2299,"?*"))</f>
      </c>
      <c r="B2299" s="217"/>
      <c r="C2299" s="216"/>
      <c r="D2299" s="240"/>
      <c r="E2299" s="218"/>
      <c r="F2299" s="218"/>
      <c r="G2299" s="218"/>
      <c r="H2299" s="219"/>
      <c r="I2299" s="223">
        <f>IF($C2299="","",IF(ISNUMBER(MATCH($C2299,'Phản ánh'!$A$6:$A$505,0)),"Phản ánh",IF(ISNUMBER(MATCH($C2299,'Kế hoạch'!$A$6:$A$305,0)),"Công việc","Mã chưa có")))</f>
      </c>
      <c r="J2299" s="221">
        <f>IF($I2299="Phản ánh",INDEX('Phản ánh'!$C$6:$C$505,MATCH($C2299,'Phản ánh'!$A$6:$A$505,0)),IF($I2299="Công việc",INDEX('Kế hoạch'!$C$6:$C$305,$O2299),""))</f>
      </c>
      <c r="K2299" s="221">
        <f>IF($I2299="Phản ánh",INDEX('Phản ánh'!$K$6:$K$505,MATCH($C2299,'Phản ánh'!$A$6:$A$505,0))&amp;"",IF($I2299="Công việc",INDEX('Kế hoạch'!$N$6:$N$305,$O2299)&amp;"",""))</f>
      </c>
      <c r="L2299" s="220">
        <f>IF(OR($C2299="",N($B2299)=0),"",IF(AND($I2299="Phản ánh",$E2299="Đã xử lý"),INDEX('Phản ánh'!$U$6:$U$505,MATCH($C2299,'Phản ánh'!$A$6:$A$505,0)),IF(AND($I2299="Công việc",OR($E2299="Hoàn thành",$E2299="Hoàn thành kỳ")),IF(INDEX('Kế hoạch'!$B$6:$B$305,$O2299)="Đột xuất",INDEX('Kế hoạch'!$AY$6:$AY$305,$O2299),IF(N($P2299)=0,"",IF(INT($B2299)&lt;$P2299,$P2299,IF($Q2299&gt;0,$P2299+ROUND((INT($B2299)-$P2299)/$Q2299,0)*$Q2299,IF($R2299&gt;0,EDATE($P2299,ROUND((DATEDIF($P2299,INT($B2299),"m")+(INT($B2299)-EDATE($P2299,DATEDIF($P2299,INT($B2299),"m")))/(EDATE($P2299,DATEDIF($P2299,INT($B2299),"m")+1)-EDATE($P2299,DATEDIF($P2299,INT($B2299),"m"))))/$R2299,0)*$R2299),$P2299))))),"")))</f>
      </c>
      <c r="M2299" s="223">
        <f>IF(OR($C2299="",N($L2299)=0,N($B2299)=0),"",IF(IF(MOD($L2299,1)=0,INT($B2299),$B2299)&lt;=$L2299,"Đúng hạn","Trễ hạn"))</f>
      </c>
      <c r="N2299" s="225">
        <f>IF($C2299="","",ROW())</f>
      </c>
      <c r="O2299" s="225">
        <f>IF($I2299="Công việc",MATCH($C2299,'Kế hoạch'!$A$6:$A$305,0),"")</f>
      </c>
      <c r="P2299" s="234">
        <f>IF($O2299="","",INDEX('Kế hoạch'!$I$6:$I$305,$O2299))</f>
      </c>
      <c r="Q2299" s="225">
        <f>IF($O2299="","",INDEX('Kế hoạch'!$AJ$6:$AJ$305,$O2299))</f>
      </c>
      <c r="R2299" s="225">
        <f>IF($O2299="","",INDEX('Kế hoạch'!$AK$6:$AK$305,$O2299))</f>
      </c>
    </row>
    <row r="2300">
      <c r="A2300" s="223">
        <f>IF($C2300="","",COUNTIF($C$6:$C2300,"?*"))</f>
      </c>
      <c r="B2300" s="217"/>
      <c r="C2300" s="216"/>
      <c r="D2300" s="240"/>
      <c r="E2300" s="218"/>
      <c r="F2300" s="218"/>
      <c r="G2300" s="218"/>
      <c r="H2300" s="219"/>
      <c r="I2300" s="223">
        <f>IF($C2300="","",IF(ISNUMBER(MATCH($C2300,'Phản ánh'!$A$6:$A$505,0)),"Phản ánh",IF(ISNUMBER(MATCH($C2300,'Kế hoạch'!$A$6:$A$305,0)),"Công việc","Mã chưa có")))</f>
      </c>
      <c r="J2300" s="221">
        <f>IF($I2300="Phản ánh",INDEX('Phản ánh'!$C$6:$C$505,MATCH($C2300,'Phản ánh'!$A$6:$A$505,0)),IF($I2300="Công việc",INDEX('Kế hoạch'!$C$6:$C$305,$O2300),""))</f>
      </c>
      <c r="K2300" s="221">
        <f>IF($I2300="Phản ánh",INDEX('Phản ánh'!$K$6:$K$505,MATCH($C2300,'Phản ánh'!$A$6:$A$505,0))&amp;"",IF($I2300="Công việc",INDEX('Kế hoạch'!$N$6:$N$305,$O2300)&amp;"",""))</f>
      </c>
      <c r="L2300" s="220">
        <f>IF(OR($C2300="",N($B2300)=0),"",IF(AND($I2300="Phản ánh",$E2300="Đã xử lý"),INDEX('Phản ánh'!$U$6:$U$505,MATCH($C2300,'Phản ánh'!$A$6:$A$505,0)),IF(AND($I2300="Công việc",OR($E2300="Hoàn thành",$E2300="Hoàn thành kỳ")),IF(INDEX('Kế hoạch'!$B$6:$B$305,$O2300)="Đột xuất",INDEX('Kế hoạch'!$AY$6:$AY$305,$O2300),IF(N($P2300)=0,"",IF(INT($B2300)&lt;$P2300,$P2300,IF($Q2300&gt;0,$P2300+ROUND((INT($B2300)-$P2300)/$Q2300,0)*$Q2300,IF($R2300&gt;0,EDATE($P2300,ROUND((DATEDIF($P2300,INT($B2300),"m")+(INT($B2300)-EDATE($P2300,DATEDIF($P2300,INT($B2300),"m")))/(EDATE($P2300,DATEDIF($P2300,INT($B2300),"m")+1)-EDATE($P2300,DATEDIF($P2300,INT($B2300),"m"))))/$R2300,0)*$R2300),$P2300))))),"")))</f>
      </c>
      <c r="M2300" s="223">
        <f>IF(OR($C2300="",N($L2300)=0,N($B2300)=0),"",IF(IF(MOD($L2300,1)=0,INT($B2300),$B2300)&lt;=$L2300,"Đúng hạn","Trễ hạn"))</f>
      </c>
      <c r="N2300" s="225">
        <f>IF($C2300="","",ROW())</f>
      </c>
      <c r="O2300" s="225">
        <f>IF($I2300="Công việc",MATCH($C2300,'Kế hoạch'!$A$6:$A$305,0),"")</f>
      </c>
      <c r="P2300" s="234">
        <f>IF($O2300="","",INDEX('Kế hoạch'!$I$6:$I$305,$O2300))</f>
      </c>
      <c r="Q2300" s="225">
        <f>IF($O2300="","",INDEX('Kế hoạch'!$AJ$6:$AJ$305,$O2300))</f>
      </c>
      <c r="R2300" s="225">
        <f>IF($O2300="","",INDEX('Kế hoạch'!$AK$6:$AK$305,$O2300))</f>
      </c>
    </row>
    <row r="2301">
      <c r="A2301" s="223">
        <f>IF($C2301="","",COUNTIF($C$6:$C2301,"?*"))</f>
      </c>
      <c r="B2301" s="217"/>
      <c r="C2301" s="216"/>
      <c r="D2301" s="240"/>
      <c r="E2301" s="218"/>
      <c r="F2301" s="218"/>
      <c r="G2301" s="218"/>
      <c r="H2301" s="219"/>
      <c r="I2301" s="223">
        <f>IF($C2301="","",IF(ISNUMBER(MATCH($C2301,'Phản ánh'!$A$6:$A$505,0)),"Phản ánh",IF(ISNUMBER(MATCH($C2301,'Kế hoạch'!$A$6:$A$305,0)),"Công việc","Mã chưa có")))</f>
      </c>
      <c r="J2301" s="221">
        <f>IF($I2301="Phản ánh",INDEX('Phản ánh'!$C$6:$C$505,MATCH($C2301,'Phản ánh'!$A$6:$A$505,0)),IF($I2301="Công việc",INDEX('Kế hoạch'!$C$6:$C$305,$O2301),""))</f>
      </c>
      <c r="K2301" s="221">
        <f>IF($I2301="Phản ánh",INDEX('Phản ánh'!$K$6:$K$505,MATCH($C2301,'Phản ánh'!$A$6:$A$505,0))&amp;"",IF($I2301="Công việc",INDEX('Kế hoạch'!$N$6:$N$305,$O2301)&amp;"",""))</f>
      </c>
      <c r="L2301" s="220">
        <f>IF(OR($C2301="",N($B2301)=0),"",IF(AND($I2301="Phản ánh",$E2301="Đã xử lý"),INDEX('Phản ánh'!$U$6:$U$505,MATCH($C2301,'Phản ánh'!$A$6:$A$505,0)),IF(AND($I2301="Công việc",OR($E2301="Hoàn thành",$E2301="Hoàn thành kỳ")),IF(INDEX('Kế hoạch'!$B$6:$B$305,$O2301)="Đột xuất",INDEX('Kế hoạch'!$AY$6:$AY$305,$O2301),IF(N($P2301)=0,"",IF(INT($B2301)&lt;$P2301,$P2301,IF($Q2301&gt;0,$P2301+ROUND((INT($B2301)-$P2301)/$Q2301,0)*$Q2301,IF($R2301&gt;0,EDATE($P2301,ROUND((DATEDIF($P2301,INT($B2301),"m")+(INT($B2301)-EDATE($P2301,DATEDIF($P2301,INT($B2301),"m")))/(EDATE($P2301,DATEDIF($P2301,INT($B2301),"m")+1)-EDATE($P2301,DATEDIF($P2301,INT($B2301),"m"))))/$R2301,0)*$R2301),$P2301))))),"")))</f>
      </c>
      <c r="M2301" s="223">
        <f>IF(OR($C2301="",N($L2301)=0,N($B2301)=0),"",IF(IF(MOD($L2301,1)=0,INT($B2301),$B2301)&lt;=$L2301,"Đúng hạn","Trễ hạn"))</f>
      </c>
      <c r="N2301" s="225">
        <f>IF($C2301="","",ROW())</f>
      </c>
      <c r="O2301" s="225">
        <f>IF($I2301="Công việc",MATCH($C2301,'Kế hoạch'!$A$6:$A$305,0),"")</f>
      </c>
      <c r="P2301" s="234">
        <f>IF($O2301="","",INDEX('Kế hoạch'!$I$6:$I$305,$O2301))</f>
      </c>
      <c r="Q2301" s="225">
        <f>IF($O2301="","",INDEX('Kế hoạch'!$AJ$6:$AJ$305,$O2301))</f>
      </c>
      <c r="R2301" s="225">
        <f>IF($O2301="","",INDEX('Kế hoạch'!$AK$6:$AK$305,$O2301))</f>
      </c>
    </row>
    <row r="2302">
      <c r="A2302" s="223">
        <f>IF($C2302="","",COUNTIF($C$6:$C2302,"?*"))</f>
      </c>
      <c r="B2302" s="217"/>
      <c r="C2302" s="216"/>
      <c r="D2302" s="240"/>
      <c r="E2302" s="218"/>
      <c r="F2302" s="218"/>
      <c r="G2302" s="218"/>
      <c r="H2302" s="219"/>
      <c r="I2302" s="223">
        <f>IF($C2302="","",IF(ISNUMBER(MATCH($C2302,'Phản ánh'!$A$6:$A$505,0)),"Phản ánh",IF(ISNUMBER(MATCH($C2302,'Kế hoạch'!$A$6:$A$305,0)),"Công việc","Mã chưa có")))</f>
      </c>
      <c r="J2302" s="221">
        <f>IF($I2302="Phản ánh",INDEX('Phản ánh'!$C$6:$C$505,MATCH($C2302,'Phản ánh'!$A$6:$A$505,0)),IF($I2302="Công việc",INDEX('Kế hoạch'!$C$6:$C$305,$O2302),""))</f>
      </c>
      <c r="K2302" s="221">
        <f>IF($I2302="Phản ánh",INDEX('Phản ánh'!$K$6:$K$505,MATCH($C2302,'Phản ánh'!$A$6:$A$505,0))&amp;"",IF($I2302="Công việc",INDEX('Kế hoạch'!$N$6:$N$305,$O2302)&amp;"",""))</f>
      </c>
      <c r="L2302" s="220">
        <f>IF(OR($C2302="",N($B2302)=0),"",IF(AND($I2302="Phản ánh",$E2302="Đã xử lý"),INDEX('Phản ánh'!$U$6:$U$505,MATCH($C2302,'Phản ánh'!$A$6:$A$505,0)),IF(AND($I2302="Công việc",OR($E2302="Hoàn thành",$E2302="Hoàn thành kỳ")),IF(INDEX('Kế hoạch'!$B$6:$B$305,$O2302)="Đột xuất",INDEX('Kế hoạch'!$AY$6:$AY$305,$O2302),IF(N($P2302)=0,"",IF(INT($B2302)&lt;$P2302,$P2302,IF($Q2302&gt;0,$P2302+ROUND((INT($B2302)-$P2302)/$Q2302,0)*$Q2302,IF($R2302&gt;0,EDATE($P2302,ROUND((DATEDIF($P2302,INT($B2302),"m")+(INT($B2302)-EDATE($P2302,DATEDIF($P2302,INT($B2302),"m")))/(EDATE($P2302,DATEDIF($P2302,INT($B2302),"m")+1)-EDATE($P2302,DATEDIF($P2302,INT($B2302),"m"))))/$R2302,0)*$R2302),$P2302))))),"")))</f>
      </c>
      <c r="M2302" s="223">
        <f>IF(OR($C2302="",N($L2302)=0,N($B2302)=0),"",IF(IF(MOD($L2302,1)=0,INT($B2302),$B2302)&lt;=$L2302,"Đúng hạn","Trễ hạn"))</f>
      </c>
      <c r="N2302" s="225">
        <f>IF($C2302="","",ROW())</f>
      </c>
      <c r="O2302" s="225">
        <f>IF($I2302="Công việc",MATCH($C2302,'Kế hoạch'!$A$6:$A$305,0),"")</f>
      </c>
      <c r="P2302" s="234">
        <f>IF($O2302="","",INDEX('Kế hoạch'!$I$6:$I$305,$O2302))</f>
      </c>
      <c r="Q2302" s="225">
        <f>IF($O2302="","",INDEX('Kế hoạch'!$AJ$6:$AJ$305,$O2302))</f>
      </c>
      <c r="R2302" s="225">
        <f>IF($O2302="","",INDEX('Kế hoạch'!$AK$6:$AK$305,$O2302))</f>
      </c>
    </row>
    <row r="2303">
      <c r="A2303" s="223">
        <f>IF($C2303="","",COUNTIF($C$6:$C2303,"?*"))</f>
      </c>
      <c r="B2303" s="217"/>
      <c r="C2303" s="216"/>
      <c r="D2303" s="240"/>
      <c r="E2303" s="218"/>
      <c r="F2303" s="218"/>
      <c r="G2303" s="218"/>
      <c r="H2303" s="219"/>
      <c r="I2303" s="223">
        <f>IF($C2303="","",IF(ISNUMBER(MATCH($C2303,'Phản ánh'!$A$6:$A$505,0)),"Phản ánh",IF(ISNUMBER(MATCH($C2303,'Kế hoạch'!$A$6:$A$305,0)),"Công việc","Mã chưa có")))</f>
      </c>
      <c r="J2303" s="221">
        <f>IF($I2303="Phản ánh",INDEX('Phản ánh'!$C$6:$C$505,MATCH($C2303,'Phản ánh'!$A$6:$A$505,0)),IF($I2303="Công việc",INDEX('Kế hoạch'!$C$6:$C$305,$O2303),""))</f>
      </c>
      <c r="K2303" s="221">
        <f>IF($I2303="Phản ánh",INDEX('Phản ánh'!$K$6:$K$505,MATCH($C2303,'Phản ánh'!$A$6:$A$505,0))&amp;"",IF($I2303="Công việc",INDEX('Kế hoạch'!$N$6:$N$305,$O2303)&amp;"",""))</f>
      </c>
      <c r="L2303" s="220">
        <f>IF(OR($C2303="",N($B2303)=0),"",IF(AND($I2303="Phản ánh",$E2303="Đã xử lý"),INDEX('Phản ánh'!$U$6:$U$505,MATCH($C2303,'Phản ánh'!$A$6:$A$505,0)),IF(AND($I2303="Công việc",OR($E2303="Hoàn thành",$E2303="Hoàn thành kỳ")),IF(INDEX('Kế hoạch'!$B$6:$B$305,$O2303)="Đột xuất",INDEX('Kế hoạch'!$AY$6:$AY$305,$O2303),IF(N($P2303)=0,"",IF(INT($B2303)&lt;$P2303,$P2303,IF($Q2303&gt;0,$P2303+ROUND((INT($B2303)-$P2303)/$Q2303,0)*$Q2303,IF($R2303&gt;0,EDATE($P2303,ROUND((DATEDIF($P2303,INT($B2303),"m")+(INT($B2303)-EDATE($P2303,DATEDIF($P2303,INT($B2303),"m")))/(EDATE($P2303,DATEDIF($P2303,INT($B2303),"m")+1)-EDATE($P2303,DATEDIF($P2303,INT($B2303),"m"))))/$R2303,0)*$R2303),$P2303))))),"")))</f>
      </c>
      <c r="M2303" s="223">
        <f>IF(OR($C2303="",N($L2303)=0,N($B2303)=0),"",IF(IF(MOD($L2303,1)=0,INT($B2303),$B2303)&lt;=$L2303,"Đúng hạn","Trễ hạn"))</f>
      </c>
      <c r="N2303" s="225">
        <f>IF($C2303="","",ROW())</f>
      </c>
      <c r="O2303" s="225">
        <f>IF($I2303="Công việc",MATCH($C2303,'Kế hoạch'!$A$6:$A$305,0),"")</f>
      </c>
      <c r="P2303" s="234">
        <f>IF($O2303="","",INDEX('Kế hoạch'!$I$6:$I$305,$O2303))</f>
      </c>
      <c r="Q2303" s="225">
        <f>IF($O2303="","",INDEX('Kế hoạch'!$AJ$6:$AJ$305,$O2303))</f>
      </c>
      <c r="R2303" s="225">
        <f>IF($O2303="","",INDEX('Kế hoạch'!$AK$6:$AK$305,$O2303))</f>
      </c>
    </row>
    <row r="2304">
      <c r="A2304" s="223">
        <f>IF($C2304="","",COUNTIF($C$6:$C2304,"?*"))</f>
      </c>
      <c r="B2304" s="217"/>
      <c r="C2304" s="216"/>
      <c r="D2304" s="240"/>
      <c r="E2304" s="218"/>
      <c r="F2304" s="218"/>
      <c r="G2304" s="218"/>
      <c r="H2304" s="219"/>
      <c r="I2304" s="223">
        <f>IF($C2304="","",IF(ISNUMBER(MATCH($C2304,'Phản ánh'!$A$6:$A$505,0)),"Phản ánh",IF(ISNUMBER(MATCH($C2304,'Kế hoạch'!$A$6:$A$305,0)),"Công việc","Mã chưa có")))</f>
      </c>
      <c r="J2304" s="221">
        <f>IF($I2304="Phản ánh",INDEX('Phản ánh'!$C$6:$C$505,MATCH($C2304,'Phản ánh'!$A$6:$A$505,0)),IF($I2304="Công việc",INDEX('Kế hoạch'!$C$6:$C$305,$O2304),""))</f>
      </c>
      <c r="K2304" s="221">
        <f>IF($I2304="Phản ánh",INDEX('Phản ánh'!$K$6:$K$505,MATCH($C2304,'Phản ánh'!$A$6:$A$505,0))&amp;"",IF($I2304="Công việc",INDEX('Kế hoạch'!$N$6:$N$305,$O2304)&amp;"",""))</f>
      </c>
      <c r="L2304" s="220">
        <f>IF(OR($C2304="",N($B2304)=0),"",IF(AND($I2304="Phản ánh",$E2304="Đã xử lý"),INDEX('Phản ánh'!$U$6:$U$505,MATCH($C2304,'Phản ánh'!$A$6:$A$505,0)),IF(AND($I2304="Công việc",OR($E2304="Hoàn thành",$E2304="Hoàn thành kỳ")),IF(INDEX('Kế hoạch'!$B$6:$B$305,$O2304)="Đột xuất",INDEX('Kế hoạch'!$AY$6:$AY$305,$O2304),IF(N($P2304)=0,"",IF(INT($B2304)&lt;$P2304,$P2304,IF($Q2304&gt;0,$P2304+ROUND((INT($B2304)-$P2304)/$Q2304,0)*$Q2304,IF($R2304&gt;0,EDATE($P2304,ROUND((DATEDIF($P2304,INT($B2304),"m")+(INT($B2304)-EDATE($P2304,DATEDIF($P2304,INT($B2304),"m")))/(EDATE($P2304,DATEDIF($P2304,INT($B2304),"m")+1)-EDATE($P2304,DATEDIF($P2304,INT($B2304),"m"))))/$R2304,0)*$R2304),$P2304))))),"")))</f>
      </c>
      <c r="M2304" s="223">
        <f>IF(OR($C2304="",N($L2304)=0,N($B2304)=0),"",IF(IF(MOD($L2304,1)=0,INT($B2304),$B2304)&lt;=$L2304,"Đúng hạn","Trễ hạn"))</f>
      </c>
      <c r="N2304" s="225">
        <f>IF($C2304="","",ROW())</f>
      </c>
      <c r="O2304" s="225">
        <f>IF($I2304="Công việc",MATCH($C2304,'Kế hoạch'!$A$6:$A$305,0),"")</f>
      </c>
      <c r="P2304" s="234">
        <f>IF($O2304="","",INDEX('Kế hoạch'!$I$6:$I$305,$O2304))</f>
      </c>
      <c r="Q2304" s="225">
        <f>IF($O2304="","",INDEX('Kế hoạch'!$AJ$6:$AJ$305,$O2304))</f>
      </c>
      <c r="R2304" s="225">
        <f>IF($O2304="","",INDEX('Kế hoạch'!$AK$6:$AK$305,$O2304))</f>
      </c>
    </row>
    <row r="2305">
      <c r="A2305" s="223">
        <f>IF($C2305="","",COUNTIF($C$6:$C2305,"?*"))</f>
      </c>
      <c r="B2305" s="217"/>
      <c r="C2305" s="216"/>
      <c r="D2305" s="240"/>
      <c r="E2305" s="218"/>
      <c r="F2305" s="218"/>
      <c r="G2305" s="218"/>
      <c r="H2305" s="219"/>
      <c r="I2305" s="223">
        <f>IF($C2305="","",IF(ISNUMBER(MATCH($C2305,'Phản ánh'!$A$6:$A$505,0)),"Phản ánh",IF(ISNUMBER(MATCH($C2305,'Kế hoạch'!$A$6:$A$305,0)),"Công việc","Mã chưa có")))</f>
      </c>
      <c r="J2305" s="221">
        <f>IF($I2305="Phản ánh",INDEX('Phản ánh'!$C$6:$C$505,MATCH($C2305,'Phản ánh'!$A$6:$A$505,0)),IF($I2305="Công việc",INDEX('Kế hoạch'!$C$6:$C$305,$O2305),""))</f>
      </c>
      <c r="K2305" s="221">
        <f>IF($I2305="Phản ánh",INDEX('Phản ánh'!$K$6:$K$505,MATCH($C2305,'Phản ánh'!$A$6:$A$505,0))&amp;"",IF($I2305="Công việc",INDEX('Kế hoạch'!$N$6:$N$305,$O2305)&amp;"",""))</f>
      </c>
      <c r="L2305" s="220">
        <f>IF(OR($C2305="",N($B2305)=0),"",IF(AND($I2305="Phản ánh",$E2305="Đã xử lý"),INDEX('Phản ánh'!$U$6:$U$505,MATCH($C2305,'Phản ánh'!$A$6:$A$505,0)),IF(AND($I2305="Công việc",OR($E2305="Hoàn thành",$E2305="Hoàn thành kỳ")),IF(INDEX('Kế hoạch'!$B$6:$B$305,$O2305)="Đột xuất",INDEX('Kế hoạch'!$AY$6:$AY$305,$O2305),IF(N($P2305)=0,"",IF(INT($B2305)&lt;$P2305,$P2305,IF($Q2305&gt;0,$P2305+ROUND((INT($B2305)-$P2305)/$Q2305,0)*$Q2305,IF($R2305&gt;0,EDATE($P2305,ROUND((DATEDIF($P2305,INT($B2305),"m")+(INT($B2305)-EDATE($P2305,DATEDIF($P2305,INT($B2305),"m")))/(EDATE($P2305,DATEDIF($P2305,INT($B2305),"m")+1)-EDATE($P2305,DATEDIF($P2305,INT($B2305),"m"))))/$R2305,0)*$R2305),$P2305))))),"")))</f>
      </c>
      <c r="M2305" s="223">
        <f>IF(OR($C2305="",N($L2305)=0,N($B2305)=0),"",IF(IF(MOD($L2305,1)=0,INT($B2305),$B2305)&lt;=$L2305,"Đúng hạn","Trễ hạn"))</f>
      </c>
      <c r="N2305" s="225">
        <f>IF($C2305="","",ROW())</f>
      </c>
      <c r="O2305" s="225">
        <f>IF($I2305="Công việc",MATCH($C2305,'Kế hoạch'!$A$6:$A$305,0),"")</f>
      </c>
      <c r="P2305" s="234">
        <f>IF($O2305="","",INDEX('Kế hoạch'!$I$6:$I$305,$O2305))</f>
      </c>
      <c r="Q2305" s="225">
        <f>IF($O2305="","",INDEX('Kế hoạch'!$AJ$6:$AJ$305,$O2305))</f>
      </c>
      <c r="R2305" s="225">
        <f>IF($O2305="","",INDEX('Kế hoạch'!$AK$6:$AK$305,$O2305))</f>
      </c>
    </row>
    <row r="2306">
      <c r="A2306" s="223">
        <f>IF($C2306="","",COUNTIF($C$6:$C2306,"?*"))</f>
      </c>
      <c r="B2306" s="217"/>
      <c r="C2306" s="216"/>
      <c r="D2306" s="240"/>
      <c r="E2306" s="218"/>
      <c r="F2306" s="218"/>
      <c r="G2306" s="218"/>
      <c r="H2306" s="219"/>
      <c r="I2306" s="223">
        <f>IF($C2306="","",IF(ISNUMBER(MATCH($C2306,'Phản ánh'!$A$6:$A$505,0)),"Phản ánh",IF(ISNUMBER(MATCH($C2306,'Kế hoạch'!$A$6:$A$305,0)),"Công việc","Mã chưa có")))</f>
      </c>
      <c r="J2306" s="221">
        <f>IF($I2306="Phản ánh",INDEX('Phản ánh'!$C$6:$C$505,MATCH($C2306,'Phản ánh'!$A$6:$A$505,0)),IF($I2306="Công việc",INDEX('Kế hoạch'!$C$6:$C$305,$O2306),""))</f>
      </c>
      <c r="K2306" s="221">
        <f>IF($I2306="Phản ánh",INDEX('Phản ánh'!$K$6:$K$505,MATCH($C2306,'Phản ánh'!$A$6:$A$505,0))&amp;"",IF($I2306="Công việc",INDEX('Kế hoạch'!$N$6:$N$305,$O2306)&amp;"",""))</f>
      </c>
      <c r="L2306" s="220">
        <f>IF(OR($C2306="",N($B2306)=0),"",IF(AND($I2306="Phản ánh",$E2306="Đã xử lý"),INDEX('Phản ánh'!$U$6:$U$505,MATCH($C2306,'Phản ánh'!$A$6:$A$505,0)),IF(AND($I2306="Công việc",OR($E2306="Hoàn thành",$E2306="Hoàn thành kỳ")),IF(INDEX('Kế hoạch'!$B$6:$B$305,$O2306)="Đột xuất",INDEX('Kế hoạch'!$AY$6:$AY$305,$O2306),IF(N($P2306)=0,"",IF(INT($B2306)&lt;$P2306,$P2306,IF($Q2306&gt;0,$P2306+ROUND((INT($B2306)-$P2306)/$Q2306,0)*$Q2306,IF($R2306&gt;0,EDATE($P2306,ROUND((DATEDIF($P2306,INT($B2306),"m")+(INT($B2306)-EDATE($P2306,DATEDIF($P2306,INT($B2306),"m")))/(EDATE($P2306,DATEDIF($P2306,INT($B2306),"m")+1)-EDATE($P2306,DATEDIF($P2306,INT($B2306),"m"))))/$R2306,0)*$R2306),$P2306))))),"")))</f>
      </c>
      <c r="M2306" s="223">
        <f>IF(OR($C2306="",N($L2306)=0,N($B2306)=0),"",IF(IF(MOD($L2306,1)=0,INT($B2306),$B2306)&lt;=$L2306,"Đúng hạn","Trễ hạn"))</f>
      </c>
      <c r="N2306" s="225">
        <f>IF($C2306="","",ROW())</f>
      </c>
      <c r="O2306" s="225">
        <f>IF($I2306="Công việc",MATCH($C2306,'Kế hoạch'!$A$6:$A$305,0),"")</f>
      </c>
      <c r="P2306" s="234">
        <f>IF($O2306="","",INDEX('Kế hoạch'!$I$6:$I$305,$O2306))</f>
      </c>
      <c r="Q2306" s="225">
        <f>IF($O2306="","",INDEX('Kế hoạch'!$AJ$6:$AJ$305,$O2306))</f>
      </c>
      <c r="R2306" s="225">
        <f>IF($O2306="","",INDEX('Kế hoạch'!$AK$6:$AK$305,$O2306))</f>
      </c>
    </row>
    <row r="2307">
      <c r="A2307" s="223">
        <f>IF($C2307="","",COUNTIF($C$6:$C2307,"?*"))</f>
      </c>
      <c r="B2307" s="217"/>
      <c r="C2307" s="216"/>
      <c r="D2307" s="240"/>
      <c r="E2307" s="218"/>
      <c r="F2307" s="218"/>
      <c r="G2307" s="218"/>
      <c r="H2307" s="219"/>
      <c r="I2307" s="223">
        <f>IF($C2307="","",IF(ISNUMBER(MATCH($C2307,'Phản ánh'!$A$6:$A$505,0)),"Phản ánh",IF(ISNUMBER(MATCH($C2307,'Kế hoạch'!$A$6:$A$305,0)),"Công việc","Mã chưa có")))</f>
      </c>
      <c r="J2307" s="221">
        <f>IF($I2307="Phản ánh",INDEX('Phản ánh'!$C$6:$C$505,MATCH($C2307,'Phản ánh'!$A$6:$A$505,0)),IF($I2307="Công việc",INDEX('Kế hoạch'!$C$6:$C$305,$O2307),""))</f>
      </c>
      <c r="K2307" s="221">
        <f>IF($I2307="Phản ánh",INDEX('Phản ánh'!$K$6:$K$505,MATCH($C2307,'Phản ánh'!$A$6:$A$505,0))&amp;"",IF($I2307="Công việc",INDEX('Kế hoạch'!$N$6:$N$305,$O2307)&amp;"",""))</f>
      </c>
      <c r="L2307" s="220">
        <f>IF(OR($C2307="",N($B2307)=0),"",IF(AND($I2307="Phản ánh",$E2307="Đã xử lý"),INDEX('Phản ánh'!$U$6:$U$505,MATCH($C2307,'Phản ánh'!$A$6:$A$505,0)),IF(AND($I2307="Công việc",OR($E2307="Hoàn thành",$E2307="Hoàn thành kỳ")),IF(INDEX('Kế hoạch'!$B$6:$B$305,$O2307)="Đột xuất",INDEX('Kế hoạch'!$AY$6:$AY$305,$O2307),IF(N($P2307)=0,"",IF(INT($B2307)&lt;$P2307,$P2307,IF($Q2307&gt;0,$P2307+ROUND((INT($B2307)-$P2307)/$Q2307,0)*$Q2307,IF($R2307&gt;0,EDATE($P2307,ROUND((DATEDIF($P2307,INT($B2307),"m")+(INT($B2307)-EDATE($P2307,DATEDIF($P2307,INT($B2307),"m")))/(EDATE($P2307,DATEDIF($P2307,INT($B2307),"m")+1)-EDATE($P2307,DATEDIF($P2307,INT($B2307),"m"))))/$R2307,0)*$R2307),$P2307))))),"")))</f>
      </c>
      <c r="M2307" s="223">
        <f>IF(OR($C2307="",N($L2307)=0,N($B2307)=0),"",IF(IF(MOD($L2307,1)=0,INT($B2307),$B2307)&lt;=$L2307,"Đúng hạn","Trễ hạn"))</f>
      </c>
      <c r="N2307" s="225">
        <f>IF($C2307="","",ROW())</f>
      </c>
      <c r="O2307" s="225">
        <f>IF($I2307="Công việc",MATCH($C2307,'Kế hoạch'!$A$6:$A$305,0),"")</f>
      </c>
      <c r="P2307" s="234">
        <f>IF($O2307="","",INDEX('Kế hoạch'!$I$6:$I$305,$O2307))</f>
      </c>
      <c r="Q2307" s="225">
        <f>IF($O2307="","",INDEX('Kế hoạch'!$AJ$6:$AJ$305,$O2307))</f>
      </c>
      <c r="R2307" s="225">
        <f>IF($O2307="","",INDEX('Kế hoạch'!$AK$6:$AK$305,$O2307))</f>
      </c>
    </row>
    <row r="2308">
      <c r="A2308" s="223">
        <f>IF($C2308="","",COUNTIF($C$6:$C2308,"?*"))</f>
      </c>
      <c r="B2308" s="217"/>
      <c r="C2308" s="216"/>
      <c r="D2308" s="240"/>
      <c r="E2308" s="218"/>
      <c r="F2308" s="218"/>
      <c r="G2308" s="218"/>
      <c r="H2308" s="219"/>
      <c r="I2308" s="223">
        <f>IF($C2308="","",IF(ISNUMBER(MATCH($C2308,'Phản ánh'!$A$6:$A$505,0)),"Phản ánh",IF(ISNUMBER(MATCH($C2308,'Kế hoạch'!$A$6:$A$305,0)),"Công việc","Mã chưa có")))</f>
      </c>
      <c r="J2308" s="221">
        <f>IF($I2308="Phản ánh",INDEX('Phản ánh'!$C$6:$C$505,MATCH($C2308,'Phản ánh'!$A$6:$A$505,0)),IF($I2308="Công việc",INDEX('Kế hoạch'!$C$6:$C$305,$O2308),""))</f>
      </c>
      <c r="K2308" s="221">
        <f>IF($I2308="Phản ánh",INDEX('Phản ánh'!$K$6:$K$505,MATCH($C2308,'Phản ánh'!$A$6:$A$505,0))&amp;"",IF($I2308="Công việc",INDEX('Kế hoạch'!$N$6:$N$305,$O2308)&amp;"",""))</f>
      </c>
      <c r="L2308" s="220">
        <f>IF(OR($C2308="",N($B2308)=0),"",IF(AND($I2308="Phản ánh",$E2308="Đã xử lý"),INDEX('Phản ánh'!$U$6:$U$505,MATCH($C2308,'Phản ánh'!$A$6:$A$505,0)),IF(AND($I2308="Công việc",OR($E2308="Hoàn thành",$E2308="Hoàn thành kỳ")),IF(INDEX('Kế hoạch'!$B$6:$B$305,$O2308)="Đột xuất",INDEX('Kế hoạch'!$AY$6:$AY$305,$O2308),IF(N($P2308)=0,"",IF(INT($B2308)&lt;$P2308,$P2308,IF($Q2308&gt;0,$P2308+ROUND((INT($B2308)-$P2308)/$Q2308,0)*$Q2308,IF($R2308&gt;0,EDATE($P2308,ROUND((DATEDIF($P2308,INT($B2308),"m")+(INT($B2308)-EDATE($P2308,DATEDIF($P2308,INT($B2308),"m")))/(EDATE($P2308,DATEDIF($P2308,INT($B2308),"m")+1)-EDATE($P2308,DATEDIF($P2308,INT($B2308),"m"))))/$R2308,0)*$R2308),$P2308))))),"")))</f>
      </c>
      <c r="M2308" s="223">
        <f>IF(OR($C2308="",N($L2308)=0,N($B2308)=0),"",IF(IF(MOD($L2308,1)=0,INT($B2308),$B2308)&lt;=$L2308,"Đúng hạn","Trễ hạn"))</f>
      </c>
      <c r="N2308" s="225">
        <f>IF($C2308="","",ROW())</f>
      </c>
      <c r="O2308" s="225">
        <f>IF($I2308="Công việc",MATCH($C2308,'Kế hoạch'!$A$6:$A$305,0),"")</f>
      </c>
      <c r="P2308" s="234">
        <f>IF($O2308="","",INDEX('Kế hoạch'!$I$6:$I$305,$O2308))</f>
      </c>
      <c r="Q2308" s="225">
        <f>IF($O2308="","",INDEX('Kế hoạch'!$AJ$6:$AJ$305,$O2308))</f>
      </c>
      <c r="R2308" s="225">
        <f>IF($O2308="","",INDEX('Kế hoạch'!$AK$6:$AK$305,$O2308))</f>
      </c>
    </row>
    <row r="2309">
      <c r="A2309" s="223">
        <f>IF($C2309="","",COUNTIF($C$6:$C2309,"?*"))</f>
      </c>
      <c r="B2309" s="217"/>
      <c r="C2309" s="216"/>
      <c r="D2309" s="240"/>
      <c r="E2309" s="218"/>
      <c r="F2309" s="218"/>
      <c r="G2309" s="218"/>
      <c r="H2309" s="219"/>
      <c r="I2309" s="223">
        <f>IF($C2309="","",IF(ISNUMBER(MATCH($C2309,'Phản ánh'!$A$6:$A$505,0)),"Phản ánh",IF(ISNUMBER(MATCH($C2309,'Kế hoạch'!$A$6:$A$305,0)),"Công việc","Mã chưa có")))</f>
      </c>
      <c r="J2309" s="221">
        <f>IF($I2309="Phản ánh",INDEX('Phản ánh'!$C$6:$C$505,MATCH($C2309,'Phản ánh'!$A$6:$A$505,0)),IF($I2309="Công việc",INDEX('Kế hoạch'!$C$6:$C$305,$O2309),""))</f>
      </c>
      <c r="K2309" s="221">
        <f>IF($I2309="Phản ánh",INDEX('Phản ánh'!$K$6:$K$505,MATCH($C2309,'Phản ánh'!$A$6:$A$505,0))&amp;"",IF($I2309="Công việc",INDEX('Kế hoạch'!$N$6:$N$305,$O2309)&amp;"",""))</f>
      </c>
      <c r="L2309" s="220">
        <f>IF(OR($C2309="",N($B2309)=0),"",IF(AND($I2309="Phản ánh",$E2309="Đã xử lý"),INDEX('Phản ánh'!$U$6:$U$505,MATCH($C2309,'Phản ánh'!$A$6:$A$505,0)),IF(AND($I2309="Công việc",OR($E2309="Hoàn thành",$E2309="Hoàn thành kỳ")),IF(INDEX('Kế hoạch'!$B$6:$B$305,$O2309)="Đột xuất",INDEX('Kế hoạch'!$AY$6:$AY$305,$O2309),IF(N($P2309)=0,"",IF(INT($B2309)&lt;$P2309,$P2309,IF($Q2309&gt;0,$P2309+ROUND((INT($B2309)-$P2309)/$Q2309,0)*$Q2309,IF($R2309&gt;0,EDATE($P2309,ROUND((DATEDIF($P2309,INT($B2309),"m")+(INT($B2309)-EDATE($P2309,DATEDIF($P2309,INT($B2309),"m")))/(EDATE($P2309,DATEDIF($P2309,INT($B2309),"m")+1)-EDATE($P2309,DATEDIF($P2309,INT($B2309),"m"))))/$R2309,0)*$R2309),$P2309))))),"")))</f>
      </c>
      <c r="M2309" s="223">
        <f>IF(OR($C2309="",N($L2309)=0,N($B2309)=0),"",IF(IF(MOD($L2309,1)=0,INT($B2309),$B2309)&lt;=$L2309,"Đúng hạn","Trễ hạn"))</f>
      </c>
      <c r="N2309" s="225">
        <f>IF($C2309="","",ROW())</f>
      </c>
      <c r="O2309" s="225">
        <f>IF($I2309="Công việc",MATCH($C2309,'Kế hoạch'!$A$6:$A$305,0),"")</f>
      </c>
      <c r="P2309" s="234">
        <f>IF($O2309="","",INDEX('Kế hoạch'!$I$6:$I$305,$O2309))</f>
      </c>
      <c r="Q2309" s="225">
        <f>IF($O2309="","",INDEX('Kế hoạch'!$AJ$6:$AJ$305,$O2309))</f>
      </c>
      <c r="R2309" s="225">
        <f>IF($O2309="","",INDEX('Kế hoạch'!$AK$6:$AK$305,$O2309))</f>
      </c>
    </row>
    <row r="2310">
      <c r="A2310" s="223">
        <f>IF($C2310="","",COUNTIF($C$6:$C2310,"?*"))</f>
      </c>
      <c r="B2310" s="217"/>
      <c r="C2310" s="216"/>
      <c r="D2310" s="240"/>
      <c r="E2310" s="218"/>
      <c r="F2310" s="218"/>
      <c r="G2310" s="218"/>
      <c r="H2310" s="219"/>
      <c r="I2310" s="223">
        <f>IF($C2310="","",IF(ISNUMBER(MATCH($C2310,'Phản ánh'!$A$6:$A$505,0)),"Phản ánh",IF(ISNUMBER(MATCH($C2310,'Kế hoạch'!$A$6:$A$305,0)),"Công việc","Mã chưa có")))</f>
      </c>
      <c r="J2310" s="221">
        <f>IF($I2310="Phản ánh",INDEX('Phản ánh'!$C$6:$C$505,MATCH($C2310,'Phản ánh'!$A$6:$A$505,0)),IF($I2310="Công việc",INDEX('Kế hoạch'!$C$6:$C$305,$O2310),""))</f>
      </c>
      <c r="K2310" s="221">
        <f>IF($I2310="Phản ánh",INDEX('Phản ánh'!$K$6:$K$505,MATCH($C2310,'Phản ánh'!$A$6:$A$505,0))&amp;"",IF($I2310="Công việc",INDEX('Kế hoạch'!$N$6:$N$305,$O2310)&amp;"",""))</f>
      </c>
      <c r="L2310" s="220">
        <f>IF(OR($C2310="",N($B2310)=0),"",IF(AND($I2310="Phản ánh",$E2310="Đã xử lý"),INDEX('Phản ánh'!$U$6:$U$505,MATCH($C2310,'Phản ánh'!$A$6:$A$505,0)),IF(AND($I2310="Công việc",OR($E2310="Hoàn thành",$E2310="Hoàn thành kỳ")),IF(INDEX('Kế hoạch'!$B$6:$B$305,$O2310)="Đột xuất",INDEX('Kế hoạch'!$AY$6:$AY$305,$O2310),IF(N($P2310)=0,"",IF(INT($B2310)&lt;$P2310,$P2310,IF($Q2310&gt;0,$P2310+ROUND((INT($B2310)-$P2310)/$Q2310,0)*$Q2310,IF($R2310&gt;0,EDATE($P2310,ROUND((DATEDIF($P2310,INT($B2310),"m")+(INT($B2310)-EDATE($P2310,DATEDIF($P2310,INT($B2310),"m")))/(EDATE($P2310,DATEDIF($P2310,INT($B2310),"m")+1)-EDATE($P2310,DATEDIF($P2310,INT($B2310),"m"))))/$R2310,0)*$R2310),$P2310))))),"")))</f>
      </c>
      <c r="M2310" s="223">
        <f>IF(OR($C2310="",N($L2310)=0,N($B2310)=0),"",IF(IF(MOD($L2310,1)=0,INT($B2310),$B2310)&lt;=$L2310,"Đúng hạn","Trễ hạn"))</f>
      </c>
      <c r="N2310" s="225">
        <f>IF($C2310="","",ROW())</f>
      </c>
      <c r="O2310" s="225">
        <f>IF($I2310="Công việc",MATCH($C2310,'Kế hoạch'!$A$6:$A$305,0),"")</f>
      </c>
      <c r="P2310" s="234">
        <f>IF($O2310="","",INDEX('Kế hoạch'!$I$6:$I$305,$O2310))</f>
      </c>
      <c r="Q2310" s="225">
        <f>IF($O2310="","",INDEX('Kế hoạch'!$AJ$6:$AJ$305,$O2310))</f>
      </c>
      <c r="R2310" s="225">
        <f>IF($O2310="","",INDEX('Kế hoạch'!$AK$6:$AK$305,$O2310))</f>
      </c>
    </row>
    <row r="2311">
      <c r="A2311" s="223">
        <f>IF($C2311="","",COUNTIF($C$6:$C2311,"?*"))</f>
      </c>
      <c r="B2311" s="217"/>
      <c r="C2311" s="216"/>
      <c r="D2311" s="240"/>
      <c r="E2311" s="218"/>
      <c r="F2311" s="218"/>
      <c r="G2311" s="218"/>
      <c r="H2311" s="219"/>
      <c r="I2311" s="223">
        <f>IF($C2311="","",IF(ISNUMBER(MATCH($C2311,'Phản ánh'!$A$6:$A$505,0)),"Phản ánh",IF(ISNUMBER(MATCH($C2311,'Kế hoạch'!$A$6:$A$305,0)),"Công việc","Mã chưa có")))</f>
      </c>
      <c r="J2311" s="221">
        <f>IF($I2311="Phản ánh",INDEX('Phản ánh'!$C$6:$C$505,MATCH($C2311,'Phản ánh'!$A$6:$A$505,0)),IF($I2311="Công việc",INDEX('Kế hoạch'!$C$6:$C$305,$O2311),""))</f>
      </c>
      <c r="K2311" s="221">
        <f>IF($I2311="Phản ánh",INDEX('Phản ánh'!$K$6:$K$505,MATCH($C2311,'Phản ánh'!$A$6:$A$505,0))&amp;"",IF($I2311="Công việc",INDEX('Kế hoạch'!$N$6:$N$305,$O2311)&amp;"",""))</f>
      </c>
      <c r="L2311" s="220">
        <f>IF(OR($C2311="",N($B2311)=0),"",IF(AND($I2311="Phản ánh",$E2311="Đã xử lý"),INDEX('Phản ánh'!$U$6:$U$505,MATCH($C2311,'Phản ánh'!$A$6:$A$505,0)),IF(AND($I2311="Công việc",OR($E2311="Hoàn thành",$E2311="Hoàn thành kỳ")),IF(INDEX('Kế hoạch'!$B$6:$B$305,$O2311)="Đột xuất",INDEX('Kế hoạch'!$AY$6:$AY$305,$O2311),IF(N($P2311)=0,"",IF(INT($B2311)&lt;$P2311,$P2311,IF($Q2311&gt;0,$P2311+ROUND((INT($B2311)-$P2311)/$Q2311,0)*$Q2311,IF($R2311&gt;0,EDATE($P2311,ROUND((DATEDIF($P2311,INT($B2311),"m")+(INT($B2311)-EDATE($P2311,DATEDIF($P2311,INT($B2311),"m")))/(EDATE($P2311,DATEDIF($P2311,INT($B2311),"m")+1)-EDATE($P2311,DATEDIF($P2311,INT($B2311),"m"))))/$R2311,0)*$R2311),$P2311))))),"")))</f>
      </c>
      <c r="M2311" s="223">
        <f>IF(OR($C2311="",N($L2311)=0,N($B2311)=0),"",IF(IF(MOD($L2311,1)=0,INT($B2311),$B2311)&lt;=$L2311,"Đúng hạn","Trễ hạn"))</f>
      </c>
      <c r="N2311" s="225">
        <f>IF($C2311="","",ROW())</f>
      </c>
      <c r="O2311" s="225">
        <f>IF($I2311="Công việc",MATCH($C2311,'Kế hoạch'!$A$6:$A$305,0),"")</f>
      </c>
      <c r="P2311" s="234">
        <f>IF($O2311="","",INDEX('Kế hoạch'!$I$6:$I$305,$O2311))</f>
      </c>
      <c r="Q2311" s="225">
        <f>IF($O2311="","",INDEX('Kế hoạch'!$AJ$6:$AJ$305,$O2311))</f>
      </c>
      <c r="R2311" s="225">
        <f>IF($O2311="","",INDEX('Kế hoạch'!$AK$6:$AK$305,$O2311))</f>
      </c>
    </row>
    <row r="2312">
      <c r="A2312" s="223">
        <f>IF($C2312="","",COUNTIF($C$6:$C2312,"?*"))</f>
      </c>
      <c r="B2312" s="217"/>
      <c r="C2312" s="216"/>
      <c r="D2312" s="240"/>
      <c r="E2312" s="218"/>
      <c r="F2312" s="218"/>
      <c r="G2312" s="218"/>
      <c r="H2312" s="219"/>
      <c r="I2312" s="223">
        <f>IF($C2312="","",IF(ISNUMBER(MATCH($C2312,'Phản ánh'!$A$6:$A$505,0)),"Phản ánh",IF(ISNUMBER(MATCH($C2312,'Kế hoạch'!$A$6:$A$305,0)),"Công việc","Mã chưa có")))</f>
      </c>
      <c r="J2312" s="221">
        <f>IF($I2312="Phản ánh",INDEX('Phản ánh'!$C$6:$C$505,MATCH($C2312,'Phản ánh'!$A$6:$A$505,0)),IF($I2312="Công việc",INDEX('Kế hoạch'!$C$6:$C$305,$O2312),""))</f>
      </c>
      <c r="K2312" s="221">
        <f>IF($I2312="Phản ánh",INDEX('Phản ánh'!$K$6:$K$505,MATCH($C2312,'Phản ánh'!$A$6:$A$505,0))&amp;"",IF($I2312="Công việc",INDEX('Kế hoạch'!$N$6:$N$305,$O2312)&amp;"",""))</f>
      </c>
      <c r="L2312" s="220">
        <f>IF(OR($C2312="",N($B2312)=0),"",IF(AND($I2312="Phản ánh",$E2312="Đã xử lý"),INDEX('Phản ánh'!$U$6:$U$505,MATCH($C2312,'Phản ánh'!$A$6:$A$505,0)),IF(AND($I2312="Công việc",OR($E2312="Hoàn thành",$E2312="Hoàn thành kỳ")),IF(INDEX('Kế hoạch'!$B$6:$B$305,$O2312)="Đột xuất",INDEX('Kế hoạch'!$AY$6:$AY$305,$O2312),IF(N($P2312)=0,"",IF(INT($B2312)&lt;$P2312,$P2312,IF($Q2312&gt;0,$P2312+ROUND((INT($B2312)-$P2312)/$Q2312,0)*$Q2312,IF($R2312&gt;0,EDATE($P2312,ROUND((DATEDIF($P2312,INT($B2312),"m")+(INT($B2312)-EDATE($P2312,DATEDIF($P2312,INT($B2312),"m")))/(EDATE($P2312,DATEDIF($P2312,INT($B2312),"m")+1)-EDATE($P2312,DATEDIF($P2312,INT($B2312),"m"))))/$R2312,0)*$R2312),$P2312))))),"")))</f>
      </c>
      <c r="M2312" s="223">
        <f>IF(OR($C2312="",N($L2312)=0,N($B2312)=0),"",IF(IF(MOD($L2312,1)=0,INT($B2312),$B2312)&lt;=$L2312,"Đúng hạn","Trễ hạn"))</f>
      </c>
      <c r="N2312" s="225">
        <f>IF($C2312="","",ROW())</f>
      </c>
      <c r="O2312" s="225">
        <f>IF($I2312="Công việc",MATCH($C2312,'Kế hoạch'!$A$6:$A$305,0),"")</f>
      </c>
      <c r="P2312" s="234">
        <f>IF($O2312="","",INDEX('Kế hoạch'!$I$6:$I$305,$O2312))</f>
      </c>
      <c r="Q2312" s="225">
        <f>IF($O2312="","",INDEX('Kế hoạch'!$AJ$6:$AJ$305,$O2312))</f>
      </c>
      <c r="R2312" s="225">
        <f>IF($O2312="","",INDEX('Kế hoạch'!$AK$6:$AK$305,$O2312))</f>
      </c>
    </row>
    <row r="2313">
      <c r="A2313" s="223">
        <f>IF($C2313="","",COUNTIF($C$6:$C2313,"?*"))</f>
      </c>
      <c r="B2313" s="217"/>
      <c r="C2313" s="216"/>
      <c r="D2313" s="240"/>
      <c r="E2313" s="218"/>
      <c r="F2313" s="218"/>
      <c r="G2313" s="218"/>
      <c r="H2313" s="219"/>
      <c r="I2313" s="223">
        <f>IF($C2313="","",IF(ISNUMBER(MATCH($C2313,'Phản ánh'!$A$6:$A$505,0)),"Phản ánh",IF(ISNUMBER(MATCH($C2313,'Kế hoạch'!$A$6:$A$305,0)),"Công việc","Mã chưa có")))</f>
      </c>
      <c r="J2313" s="221">
        <f>IF($I2313="Phản ánh",INDEX('Phản ánh'!$C$6:$C$505,MATCH($C2313,'Phản ánh'!$A$6:$A$505,0)),IF($I2313="Công việc",INDEX('Kế hoạch'!$C$6:$C$305,$O2313),""))</f>
      </c>
      <c r="K2313" s="221">
        <f>IF($I2313="Phản ánh",INDEX('Phản ánh'!$K$6:$K$505,MATCH($C2313,'Phản ánh'!$A$6:$A$505,0))&amp;"",IF($I2313="Công việc",INDEX('Kế hoạch'!$N$6:$N$305,$O2313)&amp;"",""))</f>
      </c>
      <c r="L2313" s="220">
        <f>IF(OR($C2313="",N($B2313)=0),"",IF(AND($I2313="Phản ánh",$E2313="Đã xử lý"),INDEX('Phản ánh'!$U$6:$U$505,MATCH($C2313,'Phản ánh'!$A$6:$A$505,0)),IF(AND($I2313="Công việc",OR($E2313="Hoàn thành",$E2313="Hoàn thành kỳ")),IF(INDEX('Kế hoạch'!$B$6:$B$305,$O2313)="Đột xuất",INDEX('Kế hoạch'!$AY$6:$AY$305,$O2313),IF(N($P2313)=0,"",IF(INT($B2313)&lt;$P2313,$P2313,IF($Q2313&gt;0,$P2313+ROUND((INT($B2313)-$P2313)/$Q2313,0)*$Q2313,IF($R2313&gt;0,EDATE($P2313,ROUND((DATEDIF($P2313,INT($B2313),"m")+(INT($B2313)-EDATE($P2313,DATEDIF($P2313,INT($B2313),"m")))/(EDATE($P2313,DATEDIF($P2313,INT($B2313),"m")+1)-EDATE($P2313,DATEDIF($P2313,INT($B2313),"m"))))/$R2313,0)*$R2313),$P2313))))),"")))</f>
      </c>
      <c r="M2313" s="223">
        <f>IF(OR($C2313="",N($L2313)=0,N($B2313)=0),"",IF(IF(MOD($L2313,1)=0,INT($B2313),$B2313)&lt;=$L2313,"Đúng hạn","Trễ hạn"))</f>
      </c>
      <c r="N2313" s="225">
        <f>IF($C2313="","",ROW())</f>
      </c>
      <c r="O2313" s="225">
        <f>IF($I2313="Công việc",MATCH($C2313,'Kế hoạch'!$A$6:$A$305,0),"")</f>
      </c>
      <c r="P2313" s="234">
        <f>IF($O2313="","",INDEX('Kế hoạch'!$I$6:$I$305,$O2313))</f>
      </c>
      <c r="Q2313" s="225">
        <f>IF($O2313="","",INDEX('Kế hoạch'!$AJ$6:$AJ$305,$O2313))</f>
      </c>
      <c r="R2313" s="225">
        <f>IF($O2313="","",INDEX('Kế hoạch'!$AK$6:$AK$305,$O2313))</f>
      </c>
    </row>
    <row r="2314">
      <c r="A2314" s="223">
        <f>IF($C2314="","",COUNTIF($C$6:$C2314,"?*"))</f>
      </c>
      <c r="B2314" s="217"/>
      <c r="C2314" s="216"/>
      <c r="D2314" s="240"/>
      <c r="E2314" s="218"/>
      <c r="F2314" s="218"/>
      <c r="G2314" s="218"/>
      <c r="H2314" s="219"/>
      <c r="I2314" s="223">
        <f>IF($C2314="","",IF(ISNUMBER(MATCH($C2314,'Phản ánh'!$A$6:$A$505,0)),"Phản ánh",IF(ISNUMBER(MATCH($C2314,'Kế hoạch'!$A$6:$A$305,0)),"Công việc","Mã chưa có")))</f>
      </c>
      <c r="J2314" s="221">
        <f>IF($I2314="Phản ánh",INDEX('Phản ánh'!$C$6:$C$505,MATCH($C2314,'Phản ánh'!$A$6:$A$505,0)),IF($I2314="Công việc",INDEX('Kế hoạch'!$C$6:$C$305,$O2314),""))</f>
      </c>
      <c r="K2314" s="221">
        <f>IF($I2314="Phản ánh",INDEX('Phản ánh'!$K$6:$K$505,MATCH($C2314,'Phản ánh'!$A$6:$A$505,0))&amp;"",IF($I2314="Công việc",INDEX('Kế hoạch'!$N$6:$N$305,$O2314)&amp;"",""))</f>
      </c>
      <c r="L2314" s="220">
        <f>IF(OR($C2314="",N($B2314)=0),"",IF(AND($I2314="Phản ánh",$E2314="Đã xử lý"),INDEX('Phản ánh'!$U$6:$U$505,MATCH($C2314,'Phản ánh'!$A$6:$A$505,0)),IF(AND($I2314="Công việc",OR($E2314="Hoàn thành",$E2314="Hoàn thành kỳ")),IF(INDEX('Kế hoạch'!$B$6:$B$305,$O2314)="Đột xuất",INDEX('Kế hoạch'!$AY$6:$AY$305,$O2314),IF(N($P2314)=0,"",IF(INT($B2314)&lt;$P2314,$P2314,IF($Q2314&gt;0,$P2314+ROUND((INT($B2314)-$P2314)/$Q2314,0)*$Q2314,IF($R2314&gt;0,EDATE($P2314,ROUND((DATEDIF($P2314,INT($B2314),"m")+(INT($B2314)-EDATE($P2314,DATEDIF($P2314,INT($B2314),"m")))/(EDATE($P2314,DATEDIF($P2314,INT($B2314),"m")+1)-EDATE($P2314,DATEDIF($P2314,INT($B2314),"m"))))/$R2314,0)*$R2314),$P2314))))),"")))</f>
      </c>
      <c r="M2314" s="223">
        <f>IF(OR($C2314="",N($L2314)=0,N($B2314)=0),"",IF(IF(MOD($L2314,1)=0,INT($B2314),$B2314)&lt;=$L2314,"Đúng hạn","Trễ hạn"))</f>
      </c>
      <c r="N2314" s="225">
        <f>IF($C2314="","",ROW())</f>
      </c>
      <c r="O2314" s="225">
        <f>IF($I2314="Công việc",MATCH($C2314,'Kế hoạch'!$A$6:$A$305,0),"")</f>
      </c>
      <c r="P2314" s="234">
        <f>IF($O2314="","",INDEX('Kế hoạch'!$I$6:$I$305,$O2314))</f>
      </c>
      <c r="Q2314" s="225">
        <f>IF($O2314="","",INDEX('Kế hoạch'!$AJ$6:$AJ$305,$O2314))</f>
      </c>
      <c r="R2314" s="225">
        <f>IF($O2314="","",INDEX('Kế hoạch'!$AK$6:$AK$305,$O2314))</f>
      </c>
    </row>
    <row r="2315">
      <c r="A2315" s="223">
        <f>IF($C2315="","",COUNTIF($C$6:$C2315,"?*"))</f>
      </c>
      <c r="B2315" s="217"/>
      <c r="C2315" s="216"/>
      <c r="D2315" s="240"/>
      <c r="E2315" s="218"/>
      <c r="F2315" s="218"/>
      <c r="G2315" s="218"/>
      <c r="H2315" s="219"/>
      <c r="I2315" s="223">
        <f>IF($C2315="","",IF(ISNUMBER(MATCH($C2315,'Phản ánh'!$A$6:$A$505,0)),"Phản ánh",IF(ISNUMBER(MATCH($C2315,'Kế hoạch'!$A$6:$A$305,0)),"Công việc","Mã chưa có")))</f>
      </c>
      <c r="J2315" s="221">
        <f>IF($I2315="Phản ánh",INDEX('Phản ánh'!$C$6:$C$505,MATCH($C2315,'Phản ánh'!$A$6:$A$505,0)),IF($I2315="Công việc",INDEX('Kế hoạch'!$C$6:$C$305,$O2315),""))</f>
      </c>
      <c r="K2315" s="221">
        <f>IF($I2315="Phản ánh",INDEX('Phản ánh'!$K$6:$K$505,MATCH($C2315,'Phản ánh'!$A$6:$A$505,0))&amp;"",IF($I2315="Công việc",INDEX('Kế hoạch'!$N$6:$N$305,$O2315)&amp;"",""))</f>
      </c>
      <c r="L2315" s="220">
        <f>IF(OR($C2315="",N($B2315)=0),"",IF(AND($I2315="Phản ánh",$E2315="Đã xử lý"),INDEX('Phản ánh'!$U$6:$U$505,MATCH($C2315,'Phản ánh'!$A$6:$A$505,0)),IF(AND($I2315="Công việc",OR($E2315="Hoàn thành",$E2315="Hoàn thành kỳ")),IF(INDEX('Kế hoạch'!$B$6:$B$305,$O2315)="Đột xuất",INDEX('Kế hoạch'!$AY$6:$AY$305,$O2315),IF(N($P2315)=0,"",IF(INT($B2315)&lt;$P2315,$P2315,IF($Q2315&gt;0,$P2315+ROUND((INT($B2315)-$P2315)/$Q2315,0)*$Q2315,IF($R2315&gt;0,EDATE($P2315,ROUND((DATEDIF($P2315,INT($B2315),"m")+(INT($B2315)-EDATE($P2315,DATEDIF($P2315,INT($B2315),"m")))/(EDATE($P2315,DATEDIF($P2315,INT($B2315),"m")+1)-EDATE($P2315,DATEDIF($P2315,INT($B2315),"m"))))/$R2315,0)*$R2315),$P2315))))),"")))</f>
      </c>
      <c r="M2315" s="223">
        <f>IF(OR($C2315="",N($L2315)=0,N($B2315)=0),"",IF(IF(MOD($L2315,1)=0,INT($B2315),$B2315)&lt;=$L2315,"Đúng hạn","Trễ hạn"))</f>
      </c>
      <c r="N2315" s="225">
        <f>IF($C2315="","",ROW())</f>
      </c>
      <c r="O2315" s="225">
        <f>IF($I2315="Công việc",MATCH($C2315,'Kế hoạch'!$A$6:$A$305,0),"")</f>
      </c>
      <c r="P2315" s="234">
        <f>IF($O2315="","",INDEX('Kế hoạch'!$I$6:$I$305,$O2315))</f>
      </c>
      <c r="Q2315" s="225">
        <f>IF($O2315="","",INDEX('Kế hoạch'!$AJ$6:$AJ$305,$O2315))</f>
      </c>
      <c r="R2315" s="225">
        <f>IF($O2315="","",INDEX('Kế hoạch'!$AK$6:$AK$305,$O2315))</f>
      </c>
    </row>
    <row r="2316">
      <c r="A2316" s="223">
        <f>IF($C2316="","",COUNTIF($C$6:$C2316,"?*"))</f>
      </c>
      <c r="B2316" s="217"/>
      <c r="C2316" s="216"/>
      <c r="D2316" s="240"/>
      <c r="E2316" s="218"/>
      <c r="F2316" s="218"/>
      <c r="G2316" s="218"/>
      <c r="H2316" s="219"/>
      <c r="I2316" s="223">
        <f>IF($C2316="","",IF(ISNUMBER(MATCH($C2316,'Phản ánh'!$A$6:$A$505,0)),"Phản ánh",IF(ISNUMBER(MATCH($C2316,'Kế hoạch'!$A$6:$A$305,0)),"Công việc","Mã chưa có")))</f>
      </c>
      <c r="J2316" s="221">
        <f>IF($I2316="Phản ánh",INDEX('Phản ánh'!$C$6:$C$505,MATCH($C2316,'Phản ánh'!$A$6:$A$505,0)),IF($I2316="Công việc",INDEX('Kế hoạch'!$C$6:$C$305,$O2316),""))</f>
      </c>
      <c r="K2316" s="221">
        <f>IF($I2316="Phản ánh",INDEX('Phản ánh'!$K$6:$K$505,MATCH($C2316,'Phản ánh'!$A$6:$A$505,0))&amp;"",IF($I2316="Công việc",INDEX('Kế hoạch'!$N$6:$N$305,$O2316)&amp;"",""))</f>
      </c>
      <c r="L2316" s="220">
        <f>IF(OR($C2316="",N($B2316)=0),"",IF(AND($I2316="Phản ánh",$E2316="Đã xử lý"),INDEX('Phản ánh'!$U$6:$U$505,MATCH($C2316,'Phản ánh'!$A$6:$A$505,0)),IF(AND($I2316="Công việc",OR($E2316="Hoàn thành",$E2316="Hoàn thành kỳ")),IF(INDEX('Kế hoạch'!$B$6:$B$305,$O2316)="Đột xuất",INDEX('Kế hoạch'!$AY$6:$AY$305,$O2316),IF(N($P2316)=0,"",IF(INT($B2316)&lt;$P2316,$P2316,IF($Q2316&gt;0,$P2316+ROUND((INT($B2316)-$P2316)/$Q2316,0)*$Q2316,IF($R2316&gt;0,EDATE($P2316,ROUND((DATEDIF($P2316,INT($B2316),"m")+(INT($B2316)-EDATE($P2316,DATEDIF($P2316,INT($B2316),"m")))/(EDATE($P2316,DATEDIF($P2316,INT($B2316),"m")+1)-EDATE($P2316,DATEDIF($P2316,INT($B2316),"m"))))/$R2316,0)*$R2316),$P2316))))),"")))</f>
      </c>
      <c r="M2316" s="223">
        <f>IF(OR($C2316="",N($L2316)=0,N($B2316)=0),"",IF(IF(MOD($L2316,1)=0,INT($B2316),$B2316)&lt;=$L2316,"Đúng hạn","Trễ hạn"))</f>
      </c>
      <c r="N2316" s="225">
        <f>IF($C2316="","",ROW())</f>
      </c>
      <c r="O2316" s="225">
        <f>IF($I2316="Công việc",MATCH($C2316,'Kế hoạch'!$A$6:$A$305,0),"")</f>
      </c>
      <c r="P2316" s="234">
        <f>IF($O2316="","",INDEX('Kế hoạch'!$I$6:$I$305,$O2316))</f>
      </c>
      <c r="Q2316" s="225">
        <f>IF($O2316="","",INDEX('Kế hoạch'!$AJ$6:$AJ$305,$O2316))</f>
      </c>
      <c r="R2316" s="225">
        <f>IF($O2316="","",INDEX('Kế hoạch'!$AK$6:$AK$305,$O2316))</f>
      </c>
    </row>
    <row r="2317">
      <c r="A2317" s="223">
        <f>IF($C2317="","",COUNTIF($C$6:$C2317,"?*"))</f>
      </c>
      <c r="B2317" s="217"/>
      <c r="C2317" s="216"/>
      <c r="D2317" s="240"/>
      <c r="E2317" s="218"/>
      <c r="F2317" s="218"/>
      <c r="G2317" s="218"/>
      <c r="H2317" s="219"/>
      <c r="I2317" s="223">
        <f>IF($C2317="","",IF(ISNUMBER(MATCH($C2317,'Phản ánh'!$A$6:$A$505,0)),"Phản ánh",IF(ISNUMBER(MATCH($C2317,'Kế hoạch'!$A$6:$A$305,0)),"Công việc","Mã chưa có")))</f>
      </c>
      <c r="J2317" s="221">
        <f>IF($I2317="Phản ánh",INDEX('Phản ánh'!$C$6:$C$505,MATCH($C2317,'Phản ánh'!$A$6:$A$505,0)),IF($I2317="Công việc",INDEX('Kế hoạch'!$C$6:$C$305,$O2317),""))</f>
      </c>
      <c r="K2317" s="221">
        <f>IF($I2317="Phản ánh",INDEX('Phản ánh'!$K$6:$K$505,MATCH($C2317,'Phản ánh'!$A$6:$A$505,0))&amp;"",IF($I2317="Công việc",INDEX('Kế hoạch'!$N$6:$N$305,$O2317)&amp;"",""))</f>
      </c>
      <c r="L2317" s="220">
        <f>IF(OR($C2317="",N($B2317)=0),"",IF(AND($I2317="Phản ánh",$E2317="Đã xử lý"),INDEX('Phản ánh'!$U$6:$U$505,MATCH($C2317,'Phản ánh'!$A$6:$A$505,0)),IF(AND($I2317="Công việc",OR($E2317="Hoàn thành",$E2317="Hoàn thành kỳ")),IF(INDEX('Kế hoạch'!$B$6:$B$305,$O2317)="Đột xuất",INDEX('Kế hoạch'!$AY$6:$AY$305,$O2317),IF(N($P2317)=0,"",IF(INT($B2317)&lt;$P2317,$P2317,IF($Q2317&gt;0,$P2317+ROUND((INT($B2317)-$P2317)/$Q2317,0)*$Q2317,IF($R2317&gt;0,EDATE($P2317,ROUND((DATEDIF($P2317,INT($B2317),"m")+(INT($B2317)-EDATE($P2317,DATEDIF($P2317,INT($B2317),"m")))/(EDATE($P2317,DATEDIF($P2317,INT($B2317),"m")+1)-EDATE($P2317,DATEDIF($P2317,INT($B2317),"m"))))/$R2317,0)*$R2317),$P2317))))),"")))</f>
      </c>
      <c r="M2317" s="223">
        <f>IF(OR($C2317="",N($L2317)=0,N($B2317)=0),"",IF(IF(MOD($L2317,1)=0,INT($B2317),$B2317)&lt;=$L2317,"Đúng hạn","Trễ hạn"))</f>
      </c>
      <c r="N2317" s="225">
        <f>IF($C2317="","",ROW())</f>
      </c>
      <c r="O2317" s="225">
        <f>IF($I2317="Công việc",MATCH($C2317,'Kế hoạch'!$A$6:$A$305,0),"")</f>
      </c>
      <c r="P2317" s="234">
        <f>IF($O2317="","",INDEX('Kế hoạch'!$I$6:$I$305,$O2317))</f>
      </c>
      <c r="Q2317" s="225">
        <f>IF($O2317="","",INDEX('Kế hoạch'!$AJ$6:$AJ$305,$O2317))</f>
      </c>
      <c r="R2317" s="225">
        <f>IF($O2317="","",INDEX('Kế hoạch'!$AK$6:$AK$305,$O2317))</f>
      </c>
    </row>
    <row r="2318">
      <c r="A2318" s="223">
        <f>IF($C2318="","",COUNTIF($C$6:$C2318,"?*"))</f>
      </c>
      <c r="B2318" s="217"/>
      <c r="C2318" s="216"/>
      <c r="D2318" s="240"/>
      <c r="E2318" s="218"/>
      <c r="F2318" s="218"/>
      <c r="G2318" s="218"/>
      <c r="H2318" s="219"/>
      <c r="I2318" s="223">
        <f>IF($C2318="","",IF(ISNUMBER(MATCH($C2318,'Phản ánh'!$A$6:$A$505,0)),"Phản ánh",IF(ISNUMBER(MATCH($C2318,'Kế hoạch'!$A$6:$A$305,0)),"Công việc","Mã chưa có")))</f>
      </c>
      <c r="J2318" s="221">
        <f>IF($I2318="Phản ánh",INDEX('Phản ánh'!$C$6:$C$505,MATCH($C2318,'Phản ánh'!$A$6:$A$505,0)),IF($I2318="Công việc",INDEX('Kế hoạch'!$C$6:$C$305,$O2318),""))</f>
      </c>
      <c r="K2318" s="221">
        <f>IF($I2318="Phản ánh",INDEX('Phản ánh'!$K$6:$K$505,MATCH($C2318,'Phản ánh'!$A$6:$A$505,0))&amp;"",IF($I2318="Công việc",INDEX('Kế hoạch'!$N$6:$N$305,$O2318)&amp;"",""))</f>
      </c>
      <c r="L2318" s="220">
        <f>IF(OR($C2318="",N($B2318)=0),"",IF(AND($I2318="Phản ánh",$E2318="Đã xử lý"),INDEX('Phản ánh'!$U$6:$U$505,MATCH($C2318,'Phản ánh'!$A$6:$A$505,0)),IF(AND($I2318="Công việc",OR($E2318="Hoàn thành",$E2318="Hoàn thành kỳ")),IF(INDEX('Kế hoạch'!$B$6:$B$305,$O2318)="Đột xuất",INDEX('Kế hoạch'!$AY$6:$AY$305,$O2318),IF(N($P2318)=0,"",IF(INT($B2318)&lt;$P2318,$P2318,IF($Q2318&gt;0,$P2318+ROUND((INT($B2318)-$P2318)/$Q2318,0)*$Q2318,IF($R2318&gt;0,EDATE($P2318,ROUND((DATEDIF($P2318,INT($B2318),"m")+(INT($B2318)-EDATE($P2318,DATEDIF($P2318,INT($B2318),"m")))/(EDATE($P2318,DATEDIF($P2318,INT($B2318),"m")+1)-EDATE($P2318,DATEDIF($P2318,INT($B2318),"m"))))/$R2318,0)*$R2318),$P2318))))),"")))</f>
      </c>
      <c r="M2318" s="223">
        <f>IF(OR($C2318="",N($L2318)=0,N($B2318)=0),"",IF(IF(MOD($L2318,1)=0,INT($B2318),$B2318)&lt;=$L2318,"Đúng hạn","Trễ hạn"))</f>
      </c>
      <c r="N2318" s="225">
        <f>IF($C2318="","",ROW())</f>
      </c>
      <c r="O2318" s="225">
        <f>IF($I2318="Công việc",MATCH($C2318,'Kế hoạch'!$A$6:$A$305,0),"")</f>
      </c>
      <c r="P2318" s="234">
        <f>IF($O2318="","",INDEX('Kế hoạch'!$I$6:$I$305,$O2318))</f>
      </c>
      <c r="Q2318" s="225">
        <f>IF($O2318="","",INDEX('Kế hoạch'!$AJ$6:$AJ$305,$O2318))</f>
      </c>
      <c r="R2318" s="225">
        <f>IF($O2318="","",INDEX('Kế hoạch'!$AK$6:$AK$305,$O2318))</f>
      </c>
    </row>
    <row r="2319">
      <c r="A2319" s="223">
        <f>IF($C2319="","",COUNTIF($C$6:$C2319,"?*"))</f>
      </c>
      <c r="B2319" s="217"/>
      <c r="C2319" s="216"/>
      <c r="D2319" s="240"/>
      <c r="E2319" s="218"/>
      <c r="F2319" s="218"/>
      <c r="G2319" s="218"/>
      <c r="H2319" s="219"/>
      <c r="I2319" s="223">
        <f>IF($C2319="","",IF(ISNUMBER(MATCH($C2319,'Phản ánh'!$A$6:$A$505,0)),"Phản ánh",IF(ISNUMBER(MATCH($C2319,'Kế hoạch'!$A$6:$A$305,0)),"Công việc","Mã chưa có")))</f>
      </c>
      <c r="J2319" s="221">
        <f>IF($I2319="Phản ánh",INDEX('Phản ánh'!$C$6:$C$505,MATCH($C2319,'Phản ánh'!$A$6:$A$505,0)),IF($I2319="Công việc",INDEX('Kế hoạch'!$C$6:$C$305,$O2319),""))</f>
      </c>
      <c r="K2319" s="221">
        <f>IF($I2319="Phản ánh",INDEX('Phản ánh'!$K$6:$K$505,MATCH($C2319,'Phản ánh'!$A$6:$A$505,0))&amp;"",IF($I2319="Công việc",INDEX('Kế hoạch'!$N$6:$N$305,$O2319)&amp;"",""))</f>
      </c>
      <c r="L2319" s="220">
        <f>IF(OR($C2319="",N($B2319)=0),"",IF(AND($I2319="Phản ánh",$E2319="Đã xử lý"),INDEX('Phản ánh'!$U$6:$U$505,MATCH($C2319,'Phản ánh'!$A$6:$A$505,0)),IF(AND($I2319="Công việc",OR($E2319="Hoàn thành",$E2319="Hoàn thành kỳ")),IF(INDEX('Kế hoạch'!$B$6:$B$305,$O2319)="Đột xuất",INDEX('Kế hoạch'!$AY$6:$AY$305,$O2319),IF(N($P2319)=0,"",IF(INT($B2319)&lt;$P2319,$P2319,IF($Q2319&gt;0,$P2319+ROUND((INT($B2319)-$P2319)/$Q2319,0)*$Q2319,IF($R2319&gt;0,EDATE($P2319,ROUND((DATEDIF($P2319,INT($B2319),"m")+(INT($B2319)-EDATE($P2319,DATEDIF($P2319,INT($B2319),"m")))/(EDATE($P2319,DATEDIF($P2319,INT($B2319),"m")+1)-EDATE($P2319,DATEDIF($P2319,INT($B2319),"m"))))/$R2319,0)*$R2319),$P2319))))),"")))</f>
      </c>
      <c r="M2319" s="223">
        <f>IF(OR($C2319="",N($L2319)=0,N($B2319)=0),"",IF(IF(MOD($L2319,1)=0,INT($B2319),$B2319)&lt;=$L2319,"Đúng hạn","Trễ hạn"))</f>
      </c>
      <c r="N2319" s="225">
        <f>IF($C2319="","",ROW())</f>
      </c>
      <c r="O2319" s="225">
        <f>IF($I2319="Công việc",MATCH($C2319,'Kế hoạch'!$A$6:$A$305,0),"")</f>
      </c>
      <c r="P2319" s="234">
        <f>IF($O2319="","",INDEX('Kế hoạch'!$I$6:$I$305,$O2319))</f>
      </c>
      <c r="Q2319" s="225">
        <f>IF($O2319="","",INDEX('Kế hoạch'!$AJ$6:$AJ$305,$O2319))</f>
      </c>
      <c r="R2319" s="225">
        <f>IF($O2319="","",INDEX('Kế hoạch'!$AK$6:$AK$305,$O2319))</f>
      </c>
    </row>
    <row r="2320">
      <c r="A2320" s="223">
        <f>IF($C2320="","",COUNTIF($C$6:$C2320,"?*"))</f>
      </c>
      <c r="B2320" s="217"/>
      <c r="C2320" s="216"/>
      <c r="D2320" s="240"/>
      <c r="E2320" s="218"/>
      <c r="F2320" s="218"/>
      <c r="G2320" s="218"/>
      <c r="H2320" s="219"/>
      <c r="I2320" s="223">
        <f>IF($C2320="","",IF(ISNUMBER(MATCH($C2320,'Phản ánh'!$A$6:$A$505,0)),"Phản ánh",IF(ISNUMBER(MATCH($C2320,'Kế hoạch'!$A$6:$A$305,0)),"Công việc","Mã chưa có")))</f>
      </c>
      <c r="J2320" s="221">
        <f>IF($I2320="Phản ánh",INDEX('Phản ánh'!$C$6:$C$505,MATCH($C2320,'Phản ánh'!$A$6:$A$505,0)),IF($I2320="Công việc",INDEX('Kế hoạch'!$C$6:$C$305,$O2320),""))</f>
      </c>
      <c r="K2320" s="221">
        <f>IF($I2320="Phản ánh",INDEX('Phản ánh'!$K$6:$K$505,MATCH($C2320,'Phản ánh'!$A$6:$A$505,0))&amp;"",IF($I2320="Công việc",INDEX('Kế hoạch'!$N$6:$N$305,$O2320)&amp;"",""))</f>
      </c>
      <c r="L2320" s="220">
        <f>IF(OR($C2320="",N($B2320)=0),"",IF(AND($I2320="Phản ánh",$E2320="Đã xử lý"),INDEX('Phản ánh'!$U$6:$U$505,MATCH($C2320,'Phản ánh'!$A$6:$A$505,0)),IF(AND($I2320="Công việc",OR($E2320="Hoàn thành",$E2320="Hoàn thành kỳ")),IF(INDEX('Kế hoạch'!$B$6:$B$305,$O2320)="Đột xuất",INDEX('Kế hoạch'!$AY$6:$AY$305,$O2320),IF(N($P2320)=0,"",IF(INT($B2320)&lt;$P2320,$P2320,IF($Q2320&gt;0,$P2320+ROUND((INT($B2320)-$P2320)/$Q2320,0)*$Q2320,IF($R2320&gt;0,EDATE($P2320,ROUND((DATEDIF($P2320,INT($B2320),"m")+(INT($B2320)-EDATE($P2320,DATEDIF($P2320,INT($B2320),"m")))/(EDATE($P2320,DATEDIF($P2320,INT($B2320),"m")+1)-EDATE($P2320,DATEDIF($P2320,INT($B2320),"m"))))/$R2320,0)*$R2320),$P2320))))),"")))</f>
      </c>
      <c r="M2320" s="223">
        <f>IF(OR($C2320="",N($L2320)=0,N($B2320)=0),"",IF(IF(MOD($L2320,1)=0,INT($B2320),$B2320)&lt;=$L2320,"Đúng hạn","Trễ hạn"))</f>
      </c>
      <c r="N2320" s="225">
        <f>IF($C2320="","",ROW())</f>
      </c>
      <c r="O2320" s="225">
        <f>IF($I2320="Công việc",MATCH($C2320,'Kế hoạch'!$A$6:$A$305,0),"")</f>
      </c>
      <c r="P2320" s="234">
        <f>IF($O2320="","",INDEX('Kế hoạch'!$I$6:$I$305,$O2320))</f>
      </c>
      <c r="Q2320" s="225">
        <f>IF($O2320="","",INDEX('Kế hoạch'!$AJ$6:$AJ$305,$O2320))</f>
      </c>
      <c r="R2320" s="225">
        <f>IF($O2320="","",INDEX('Kế hoạch'!$AK$6:$AK$305,$O2320))</f>
      </c>
    </row>
    <row r="2321">
      <c r="A2321" s="223">
        <f>IF($C2321="","",COUNTIF($C$6:$C2321,"?*"))</f>
      </c>
      <c r="B2321" s="217"/>
      <c r="C2321" s="216"/>
      <c r="D2321" s="240"/>
      <c r="E2321" s="218"/>
      <c r="F2321" s="218"/>
      <c r="G2321" s="218"/>
      <c r="H2321" s="219"/>
      <c r="I2321" s="223">
        <f>IF($C2321="","",IF(ISNUMBER(MATCH($C2321,'Phản ánh'!$A$6:$A$505,0)),"Phản ánh",IF(ISNUMBER(MATCH($C2321,'Kế hoạch'!$A$6:$A$305,0)),"Công việc","Mã chưa có")))</f>
      </c>
      <c r="J2321" s="221">
        <f>IF($I2321="Phản ánh",INDEX('Phản ánh'!$C$6:$C$505,MATCH($C2321,'Phản ánh'!$A$6:$A$505,0)),IF($I2321="Công việc",INDEX('Kế hoạch'!$C$6:$C$305,$O2321),""))</f>
      </c>
      <c r="K2321" s="221">
        <f>IF($I2321="Phản ánh",INDEX('Phản ánh'!$K$6:$K$505,MATCH($C2321,'Phản ánh'!$A$6:$A$505,0))&amp;"",IF($I2321="Công việc",INDEX('Kế hoạch'!$N$6:$N$305,$O2321)&amp;"",""))</f>
      </c>
      <c r="L2321" s="220">
        <f>IF(OR($C2321="",N($B2321)=0),"",IF(AND($I2321="Phản ánh",$E2321="Đã xử lý"),INDEX('Phản ánh'!$U$6:$U$505,MATCH($C2321,'Phản ánh'!$A$6:$A$505,0)),IF(AND($I2321="Công việc",OR($E2321="Hoàn thành",$E2321="Hoàn thành kỳ")),IF(INDEX('Kế hoạch'!$B$6:$B$305,$O2321)="Đột xuất",INDEX('Kế hoạch'!$AY$6:$AY$305,$O2321),IF(N($P2321)=0,"",IF(INT($B2321)&lt;$P2321,$P2321,IF($Q2321&gt;0,$P2321+ROUND((INT($B2321)-$P2321)/$Q2321,0)*$Q2321,IF($R2321&gt;0,EDATE($P2321,ROUND((DATEDIF($P2321,INT($B2321),"m")+(INT($B2321)-EDATE($P2321,DATEDIF($P2321,INT($B2321),"m")))/(EDATE($P2321,DATEDIF($P2321,INT($B2321),"m")+1)-EDATE($P2321,DATEDIF($P2321,INT($B2321),"m"))))/$R2321,0)*$R2321),$P2321))))),"")))</f>
      </c>
      <c r="M2321" s="223">
        <f>IF(OR($C2321="",N($L2321)=0,N($B2321)=0),"",IF(IF(MOD($L2321,1)=0,INT($B2321),$B2321)&lt;=$L2321,"Đúng hạn","Trễ hạn"))</f>
      </c>
      <c r="N2321" s="225">
        <f>IF($C2321="","",ROW())</f>
      </c>
      <c r="O2321" s="225">
        <f>IF($I2321="Công việc",MATCH($C2321,'Kế hoạch'!$A$6:$A$305,0),"")</f>
      </c>
      <c r="P2321" s="234">
        <f>IF($O2321="","",INDEX('Kế hoạch'!$I$6:$I$305,$O2321))</f>
      </c>
      <c r="Q2321" s="225">
        <f>IF($O2321="","",INDEX('Kế hoạch'!$AJ$6:$AJ$305,$O2321))</f>
      </c>
      <c r="R2321" s="225">
        <f>IF($O2321="","",INDEX('Kế hoạch'!$AK$6:$AK$305,$O2321))</f>
      </c>
    </row>
    <row r="2322">
      <c r="A2322" s="223">
        <f>IF($C2322="","",COUNTIF($C$6:$C2322,"?*"))</f>
      </c>
      <c r="B2322" s="217"/>
      <c r="C2322" s="216"/>
      <c r="D2322" s="240"/>
      <c r="E2322" s="218"/>
      <c r="F2322" s="218"/>
      <c r="G2322" s="218"/>
      <c r="H2322" s="219"/>
      <c r="I2322" s="223">
        <f>IF($C2322="","",IF(ISNUMBER(MATCH($C2322,'Phản ánh'!$A$6:$A$505,0)),"Phản ánh",IF(ISNUMBER(MATCH($C2322,'Kế hoạch'!$A$6:$A$305,0)),"Công việc","Mã chưa có")))</f>
      </c>
      <c r="J2322" s="221">
        <f>IF($I2322="Phản ánh",INDEX('Phản ánh'!$C$6:$C$505,MATCH($C2322,'Phản ánh'!$A$6:$A$505,0)),IF($I2322="Công việc",INDEX('Kế hoạch'!$C$6:$C$305,$O2322),""))</f>
      </c>
      <c r="K2322" s="221">
        <f>IF($I2322="Phản ánh",INDEX('Phản ánh'!$K$6:$K$505,MATCH($C2322,'Phản ánh'!$A$6:$A$505,0))&amp;"",IF($I2322="Công việc",INDEX('Kế hoạch'!$N$6:$N$305,$O2322)&amp;"",""))</f>
      </c>
      <c r="L2322" s="220">
        <f>IF(OR($C2322="",N($B2322)=0),"",IF(AND($I2322="Phản ánh",$E2322="Đã xử lý"),INDEX('Phản ánh'!$U$6:$U$505,MATCH($C2322,'Phản ánh'!$A$6:$A$505,0)),IF(AND($I2322="Công việc",OR($E2322="Hoàn thành",$E2322="Hoàn thành kỳ")),IF(INDEX('Kế hoạch'!$B$6:$B$305,$O2322)="Đột xuất",INDEX('Kế hoạch'!$AY$6:$AY$305,$O2322),IF(N($P2322)=0,"",IF(INT($B2322)&lt;$P2322,$P2322,IF($Q2322&gt;0,$P2322+ROUND((INT($B2322)-$P2322)/$Q2322,0)*$Q2322,IF($R2322&gt;0,EDATE($P2322,ROUND((DATEDIF($P2322,INT($B2322),"m")+(INT($B2322)-EDATE($P2322,DATEDIF($P2322,INT($B2322),"m")))/(EDATE($P2322,DATEDIF($P2322,INT($B2322),"m")+1)-EDATE($P2322,DATEDIF($P2322,INT($B2322),"m"))))/$R2322,0)*$R2322),$P2322))))),"")))</f>
      </c>
      <c r="M2322" s="223">
        <f>IF(OR($C2322="",N($L2322)=0,N($B2322)=0),"",IF(IF(MOD($L2322,1)=0,INT($B2322),$B2322)&lt;=$L2322,"Đúng hạn","Trễ hạn"))</f>
      </c>
      <c r="N2322" s="225">
        <f>IF($C2322="","",ROW())</f>
      </c>
      <c r="O2322" s="225">
        <f>IF($I2322="Công việc",MATCH($C2322,'Kế hoạch'!$A$6:$A$305,0),"")</f>
      </c>
      <c r="P2322" s="234">
        <f>IF($O2322="","",INDEX('Kế hoạch'!$I$6:$I$305,$O2322))</f>
      </c>
      <c r="Q2322" s="225">
        <f>IF($O2322="","",INDEX('Kế hoạch'!$AJ$6:$AJ$305,$O2322))</f>
      </c>
      <c r="R2322" s="225">
        <f>IF($O2322="","",INDEX('Kế hoạch'!$AK$6:$AK$305,$O2322))</f>
      </c>
    </row>
    <row r="2323">
      <c r="A2323" s="223">
        <f>IF($C2323="","",COUNTIF($C$6:$C2323,"?*"))</f>
      </c>
      <c r="B2323" s="217"/>
      <c r="C2323" s="216"/>
      <c r="D2323" s="240"/>
      <c r="E2323" s="218"/>
      <c r="F2323" s="218"/>
      <c r="G2323" s="218"/>
      <c r="H2323" s="219"/>
      <c r="I2323" s="223">
        <f>IF($C2323="","",IF(ISNUMBER(MATCH($C2323,'Phản ánh'!$A$6:$A$505,0)),"Phản ánh",IF(ISNUMBER(MATCH($C2323,'Kế hoạch'!$A$6:$A$305,0)),"Công việc","Mã chưa có")))</f>
      </c>
      <c r="J2323" s="221">
        <f>IF($I2323="Phản ánh",INDEX('Phản ánh'!$C$6:$C$505,MATCH($C2323,'Phản ánh'!$A$6:$A$505,0)),IF($I2323="Công việc",INDEX('Kế hoạch'!$C$6:$C$305,$O2323),""))</f>
      </c>
      <c r="K2323" s="221">
        <f>IF($I2323="Phản ánh",INDEX('Phản ánh'!$K$6:$K$505,MATCH($C2323,'Phản ánh'!$A$6:$A$505,0))&amp;"",IF($I2323="Công việc",INDEX('Kế hoạch'!$N$6:$N$305,$O2323)&amp;"",""))</f>
      </c>
      <c r="L2323" s="220">
        <f>IF(OR($C2323="",N($B2323)=0),"",IF(AND($I2323="Phản ánh",$E2323="Đã xử lý"),INDEX('Phản ánh'!$U$6:$U$505,MATCH($C2323,'Phản ánh'!$A$6:$A$505,0)),IF(AND($I2323="Công việc",OR($E2323="Hoàn thành",$E2323="Hoàn thành kỳ")),IF(INDEX('Kế hoạch'!$B$6:$B$305,$O2323)="Đột xuất",INDEX('Kế hoạch'!$AY$6:$AY$305,$O2323),IF(N($P2323)=0,"",IF(INT($B2323)&lt;$P2323,$P2323,IF($Q2323&gt;0,$P2323+ROUND((INT($B2323)-$P2323)/$Q2323,0)*$Q2323,IF($R2323&gt;0,EDATE($P2323,ROUND((DATEDIF($P2323,INT($B2323),"m")+(INT($B2323)-EDATE($P2323,DATEDIF($P2323,INT($B2323),"m")))/(EDATE($P2323,DATEDIF($P2323,INT($B2323),"m")+1)-EDATE($P2323,DATEDIF($P2323,INT($B2323),"m"))))/$R2323,0)*$R2323),$P2323))))),"")))</f>
      </c>
      <c r="M2323" s="223">
        <f>IF(OR($C2323="",N($L2323)=0,N($B2323)=0),"",IF(IF(MOD($L2323,1)=0,INT($B2323),$B2323)&lt;=$L2323,"Đúng hạn","Trễ hạn"))</f>
      </c>
      <c r="N2323" s="225">
        <f>IF($C2323="","",ROW())</f>
      </c>
      <c r="O2323" s="225">
        <f>IF($I2323="Công việc",MATCH($C2323,'Kế hoạch'!$A$6:$A$305,0),"")</f>
      </c>
      <c r="P2323" s="234">
        <f>IF($O2323="","",INDEX('Kế hoạch'!$I$6:$I$305,$O2323))</f>
      </c>
      <c r="Q2323" s="225">
        <f>IF($O2323="","",INDEX('Kế hoạch'!$AJ$6:$AJ$305,$O2323))</f>
      </c>
      <c r="R2323" s="225">
        <f>IF($O2323="","",INDEX('Kế hoạch'!$AK$6:$AK$305,$O2323))</f>
      </c>
    </row>
    <row r="2324">
      <c r="A2324" s="223">
        <f>IF($C2324="","",COUNTIF($C$6:$C2324,"?*"))</f>
      </c>
      <c r="B2324" s="217"/>
      <c r="C2324" s="216"/>
      <c r="D2324" s="240"/>
      <c r="E2324" s="218"/>
      <c r="F2324" s="218"/>
      <c r="G2324" s="218"/>
      <c r="H2324" s="219"/>
      <c r="I2324" s="223">
        <f>IF($C2324="","",IF(ISNUMBER(MATCH($C2324,'Phản ánh'!$A$6:$A$505,0)),"Phản ánh",IF(ISNUMBER(MATCH($C2324,'Kế hoạch'!$A$6:$A$305,0)),"Công việc","Mã chưa có")))</f>
      </c>
      <c r="J2324" s="221">
        <f>IF($I2324="Phản ánh",INDEX('Phản ánh'!$C$6:$C$505,MATCH($C2324,'Phản ánh'!$A$6:$A$505,0)),IF($I2324="Công việc",INDEX('Kế hoạch'!$C$6:$C$305,$O2324),""))</f>
      </c>
      <c r="K2324" s="221">
        <f>IF($I2324="Phản ánh",INDEX('Phản ánh'!$K$6:$K$505,MATCH($C2324,'Phản ánh'!$A$6:$A$505,0))&amp;"",IF($I2324="Công việc",INDEX('Kế hoạch'!$N$6:$N$305,$O2324)&amp;"",""))</f>
      </c>
      <c r="L2324" s="220">
        <f>IF(OR($C2324="",N($B2324)=0),"",IF(AND($I2324="Phản ánh",$E2324="Đã xử lý"),INDEX('Phản ánh'!$U$6:$U$505,MATCH($C2324,'Phản ánh'!$A$6:$A$505,0)),IF(AND($I2324="Công việc",OR($E2324="Hoàn thành",$E2324="Hoàn thành kỳ")),IF(INDEX('Kế hoạch'!$B$6:$B$305,$O2324)="Đột xuất",INDEX('Kế hoạch'!$AY$6:$AY$305,$O2324),IF(N($P2324)=0,"",IF(INT($B2324)&lt;$P2324,$P2324,IF($Q2324&gt;0,$P2324+ROUND((INT($B2324)-$P2324)/$Q2324,0)*$Q2324,IF($R2324&gt;0,EDATE($P2324,ROUND((DATEDIF($P2324,INT($B2324),"m")+(INT($B2324)-EDATE($P2324,DATEDIF($P2324,INT($B2324),"m")))/(EDATE($P2324,DATEDIF($P2324,INT($B2324),"m")+1)-EDATE($P2324,DATEDIF($P2324,INT($B2324),"m"))))/$R2324,0)*$R2324),$P2324))))),"")))</f>
      </c>
      <c r="M2324" s="223">
        <f>IF(OR($C2324="",N($L2324)=0,N($B2324)=0),"",IF(IF(MOD($L2324,1)=0,INT($B2324),$B2324)&lt;=$L2324,"Đúng hạn","Trễ hạn"))</f>
      </c>
      <c r="N2324" s="225">
        <f>IF($C2324="","",ROW())</f>
      </c>
      <c r="O2324" s="225">
        <f>IF($I2324="Công việc",MATCH($C2324,'Kế hoạch'!$A$6:$A$305,0),"")</f>
      </c>
      <c r="P2324" s="234">
        <f>IF($O2324="","",INDEX('Kế hoạch'!$I$6:$I$305,$O2324))</f>
      </c>
      <c r="Q2324" s="225">
        <f>IF($O2324="","",INDEX('Kế hoạch'!$AJ$6:$AJ$305,$O2324))</f>
      </c>
      <c r="R2324" s="225">
        <f>IF($O2324="","",INDEX('Kế hoạch'!$AK$6:$AK$305,$O2324))</f>
      </c>
    </row>
    <row r="2325">
      <c r="A2325" s="223">
        <f>IF($C2325="","",COUNTIF($C$6:$C2325,"?*"))</f>
      </c>
      <c r="B2325" s="217"/>
      <c r="C2325" s="216"/>
      <c r="D2325" s="240"/>
      <c r="E2325" s="218"/>
      <c r="F2325" s="218"/>
      <c r="G2325" s="218"/>
      <c r="H2325" s="219"/>
      <c r="I2325" s="223">
        <f>IF($C2325="","",IF(ISNUMBER(MATCH($C2325,'Phản ánh'!$A$6:$A$505,0)),"Phản ánh",IF(ISNUMBER(MATCH($C2325,'Kế hoạch'!$A$6:$A$305,0)),"Công việc","Mã chưa có")))</f>
      </c>
      <c r="J2325" s="221">
        <f>IF($I2325="Phản ánh",INDEX('Phản ánh'!$C$6:$C$505,MATCH($C2325,'Phản ánh'!$A$6:$A$505,0)),IF($I2325="Công việc",INDEX('Kế hoạch'!$C$6:$C$305,$O2325),""))</f>
      </c>
      <c r="K2325" s="221">
        <f>IF($I2325="Phản ánh",INDEX('Phản ánh'!$K$6:$K$505,MATCH($C2325,'Phản ánh'!$A$6:$A$505,0))&amp;"",IF($I2325="Công việc",INDEX('Kế hoạch'!$N$6:$N$305,$O2325)&amp;"",""))</f>
      </c>
      <c r="L2325" s="220">
        <f>IF(OR($C2325="",N($B2325)=0),"",IF(AND($I2325="Phản ánh",$E2325="Đã xử lý"),INDEX('Phản ánh'!$U$6:$U$505,MATCH($C2325,'Phản ánh'!$A$6:$A$505,0)),IF(AND($I2325="Công việc",OR($E2325="Hoàn thành",$E2325="Hoàn thành kỳ")),IF(INDEX('Kế hoạch'!$B$6:$B$305,$O2325)="Đột xuất",INDEX('Kế hoạch'!$AY$6:$AY$305,$O2325),IF(N($P2325)=0,"",IF(INT($B2325)&lt;$P2325,$P2325,IF($Q2325&gt;0,$P2325+ROUND((INT($B2325)-$P2325)/$Q2325,0)*$Q2325,IF($R2325&gt;0,EDATE($P2325,ROUND((DATEDIF($P2325,INT($B2325),"m")+(INT($B2325)-EDATE($P2325,DATEDIF($P2325,INT($B2325),"m")))/(EDATE($P2325,DATEDIF($P2325,INT($B2325),"m")+1)-EDATE($P2325,DATEDIF($P2325,INT($B2325),"m"))))/$R2325,0)*$R2325),$P2325))))),"")))</f>
      </c>
      <c r="M2325" s="223">
        <f>IF(OR($C2325="",N($L2325)=0,N($B2325)=0),"",IF(IF(MOD($L2325,1)=0,INT($B2325),$B2325)&lt;=$L2325,"Đúng hạn","Trễ hạn"))</f>
      </c>
      <c r="N2325" s="225">
        <f>IF($C2325="","",ROW())</f>
      </c>
      <c r="O2325" s="225">
        <f>IF($I2325="Công việc",MATCH($C2325,'Kế hoạch'!$A$6:$A$305,0),"")</f>
      </c>
      <c r="P2325" s="234">
        <f>IF($O2325="","",INDEX('Kế hoạch'!$I$6:$I$305,$O2325))</f>
      </c>
      <c r="Q2325" s="225">
        <f>IF($O2325="","",INDEX('Kế hoạch'!$AJ$6:$AJ$305,$O2325))</f>
      </c>
      <c r="R2325" s="225">
        <f>IF($O2325="","",INDEX('Kế hoạch'!$AK$6:$AK$305,$O2325))</f>
      </c>
    </row>
    <row r="2326">
      <c r="A2326" s="223">
        <f>IF($C2326="","",COUNTIF($C$6:$C2326,"?*"))</f>
      </c>
      <c r="B2326" s="217"/>
      <c r="C2326" s="216"/>
      <c r="D2326" s="240"/>
      <c r="E2326" s="218"/>
      <c r="F2326" s="218"/>
      <c r="G2326" s="218"/>
      <c r="H2326" s="219"/>
      <c r="I2326" s="223">
        <f>IF($C2326="","",IF(ISNUMBER(MATCH($C2326,'Phản ánh'!$A$6:$A$505,0)),"Phản ánh",IF(ISNUMBER(MATCH($C2326,'Kế hoạch'!$A$6:$A$305,0)),"Công việc","Mã chưa có")))</f>
      </c>
      <c r="J2326" s="221">
        <f>IF($I2326="Phản ánh",INDEX('Phản ánh'!$C$6:$C$505,MATCH($C2326,'Phản ánh'!$A$6:$A$505,0)),IF($I2326="Công việc",INDEX('Kế hoạch'!$C$6:$C$305,$O2326),""))</f>
      </c>
      <c r="K2326" s="221">
        <f>IF($I2326="Phản ánh",INDEX('Phản ánh'!$K$6:$K$505,MATCH($C2326,'Phản ánh'!$A$6:$A$505,0))&amp;"",IF($I2326="Công việc",INDEX('Kế hoạch'!$N$6:$N$305,$O2326)&amp;"",""))</f>
      </c>
      <c r="L2326" s="220">
        <f>IF(OR($C2326="",N($B2326)=0),"",IF(AND($I2326="Phản ánh",$E2326="Đã xử lý"),INDEX('Phản ánh'!$U$6:$U$505,MATCH($C2326,'Phản ánh'!$A$6:$A$505,0)),IF(AND($I2326="Công việc",OR($E2326="Hoàn thành",$E2326="Hoàn thành kỳ")),IF(INDEX('Kế hoạch'!$B$6:$B$305,$O2326)="Đột xuất",INDEX('Kế hoạch'!$AY$6:$AY$305,$O2326),IF(N($P2326)=0,"",IF(INT($B2326)&lt;$P2326,$P2326,IF($Q2326&gt;0,$P2326+ROUND((INT($B2326)-$P2326)/$Q2326,0)*$Q2326,IF($R2326&gt;0,EDATE($P2326,ROUND((DATEDIF($P2326,INT($B2326),"m")+(INT($B2326)-EDATE($P2326,DATEDIF($P2326,INT($B2326),"m")))/(EDATE($P2326,DATEDIF($P2326,INT($B2326),"m")+1)-EDATE($P2326,DATEDIF($P2326,INT($B2326),"m"))))/$R2326,0)*$R2326),$P2326))))),"")))</f>
      </c>
      <c r="M2326" s="223">
        <f>IF(OR($C2326="",N($L2326)=0,N($B2326)=0),"",IF(IF(MOD($L2326,1)=0,INT($B2326),$B2326)&lt;=$L2326,"Đúng hạn","Trễ hạn"))</f>
      </c>
      <c r="N2326" s="225">
        <f>IF($C2326="","",ROW())</f>
      </c>
      <c r="O2326" s="225">
        <f>IF($I2326="Công việc",MATCH($C2326,'Kế hoạch'!$A$6:$A$305,0),"")</f>
      </c>
      <c r="P2326" s="234">
        <f>IF($O2326="","",INDEX('Kế hoạch'!$I$6:$I$305,$O2326))</f>
      </c>
      <c r="Q2326" s="225">
        <f>IF($O2326="","",INDEX('Kế hoạch'!$AJ$6:$AJ$305,$O2326))</f>
      </c>
      <c r="R2326" s="225">
        <f>IF($O2326="","",INDEX('Kế hoạch'!$AK$6:$AK$305,$O2326))</f>
      </c>
    </row>
    <row r="2327">
      <c r="A2327" s="223">
        <f>IF($C2327="","",COUNTIF($C$6:$C2327,"?*"))</f>
      </c>
      <c r="B2327" s="217"/>
      <c r="C2327" s="216"/>
      <c r="D2327" s="240"/>
      <c r="E2327" s="218"/>
      <c r="F2327" s="218"/>
      <c r="G2327" s="218"/>
      <c r="H2327" s="219"/>
      <c r="I2327" s="223">
        <f>IF($C2327="","",IF(ISNUMBER(MATCH($C2327,'Phản ánh'!$A$6:$A$505,0)),"Phản ánh",IF(ISNUMBER(MATCH($C2327,'Kế hoạch'!$A$6:$A$305,0)),"Công việc","Mã chưa có")))</f>
      </c>
      <c r="J2327" s="221">
        <f>IF($I2327="Phản ánh",INDEX('Phản ánh'!$C$6:$C$505,MATCH($C2327,'Phản ánh'!$A$6:$A$505,0)),IF($I2327="Công việc",INDEX('Kế hoạch'!$C$6:$C$305,$O2327),""))</f>
      </c>
      <c r="K2327" s="221">
        <f>IF($I2327="Phản ánh",INDEX('Phản ánh'!$K$6:$K$505,MATCH($C2327,'Phản ánh'!$A$6:$A$505,0))&amp;"",IF($I2327="Công việc",INDEX('Kế hoạch'!$N$6:$N$305,$O2327)&amp;"",""))</f>
      </c>
      <c r="L2327" s="220">
        <f>IF(OR($C2327="",N($B2327)=0),"",IF(AND($I2327="Phản ánh",$E2327="Đã xử lý"),INDEX('Phản ánh'!$U$6:$U$505,MATCH($C2327,'Phản ánh'!$A$6:$A$505,0)),IF(AND($I2327="Công việc",OR($E2327="Hoàn thành",$E2327="Hoàn thành kỳ")),IF(INDEX('Kế hoạch'!$B$6:$B$305,$O2327)="Đột xuất",INDEX('Kế hoạch'!$AY$6:$AY$305,$O2327),IF(N($P2327)=0,"",IF(INT($B2327)&lt;$P2327,$P2327,IF($Q2327&gt;0,$P2327+ROUND((INT($B2327)-$P2327)/$Q2327,0)*$Q2327,IF($R2327&gt;0,EDATE($P2327,ROUND((DATEDIF($P2327,INT($B2327),"m")+(INT($B2327)-EDATE($P2327,DATEDIF($P2327,INT($B2327),"m")))/(EDATE($P2327,DATEDIF($P2327,INT($B2327),"m")+1)-EDATE($P2327,DATEDIF($P2327,INT($B2327),"m"))))/$R2327,0)*$R2327),$P2327))))),"")))</f>
      </c>
      <c r="M2327" s="223">
        <f>IF(OR($C2327="",N($L2327)=0,N($B2327)=0),"",IF(IF(MOD($L2327,1)=0,INT($B2327),$B2327)&lt;=$L2327,"Đúng hạn","Trễ hạn"))</f>
      </c>
      <c r="N2327" s="225">
        <f>IF($C2327="","",ROW())</f>
      </c>
      <c r="O2327" s="225">
        <f>IF($I2327="Công việc",MATCH($C2327,'Kế hoạch'!$A$6:$A$305,0),"")</f>
      </c>
      <c r="P2327" s="234">
        <f>IF($O2327="","",INDEX('Kế hoạch'!$I$6:$I$305,$O2327))</f>
      </c>
      <c r="Q2327" s="225">
        <f>IF($O2327="","",INDEX('Kế hoạch'!$AJ$6:$AJ$305,$O2327))</f>
      </c>
      <c r="R2327" s="225">
        <f>IF($O2327="","",INDEX('Kế hoạch'!$AK$6:$AK$305,$O2327))</f>
      </c>
    </row>
    <row r="2328">
      <c r="A2328" s="223">
        <f>IF($C2328="","",COUNTIF($C$6:$C2328,"?*"))</f>
      </c>
      <c r="B2328" s="217"/>
      <c r="C2328" s="216"/>
      <c r="D2328" s="240"/>
      <c r="E2328" s="218"/>
      <c r="F2328" s="218"/>
      <c r="G2328" s="218"/>
      <c r="H2328" s="219"/>
      <c r="I2328" s="223">
        <f>IF($C2328="","",IF(ISNUMBER(MATCH($C2328,'Phản ánh'!$A$6:$A$505,0)),"Phản ánh",IF(ISNUMBER(MATCH($C2328,'Kế hoạch'!$A$6:$A$305,0)),"Công việc","Mã chưa có")))</f>
      </c>
      <c r="J2328" s="221">
        <f>IF($I2328="Phản ánh",INDEX('Phản ánh'!$C$6:$C$505,MATCH($C2328,'Phản ánh'!$A$6:$A$505,0)),IF($I2328="Công việc",INDEX('Kế hoạch'!$C$6:$C$305,$O2328),""))</f>
      </c>
      <c r="K2328" s="221">
        <f>IF($I2328="Phản ánh",INDEX('Phản ánh'!$K$6:$K$505,MATCH($C2328,'Phản ánh'!$A$6:$A$505,0))&amp;"",IF($I2328="Công việc",INDEX('Kế hoạch'!$N$6:$N$305,$O2328)&amp;"",""))</f>
      </c>
      <c r="L2328" s="220">
        <f>IF(OR($C2328="",N($B2328)=0),"",IF(AND($I2328="Phản ánh",$E2328="Đã xử lý"),INDEX('Phản ánh'!$U$6:$U$505,MATCH($C2328,'Phản ánh'!$A$6:$A$505,0)),IF(AND($I2328="Công việc",OR($E2328="Hoàn thành",$E2328="Hoàn thành kỳ")),IF(INDEX('Kế hoạch'!$B$6:$B$305,$O2328)="Đột xuất",INDEX('Kế hoạch'!$AY$6:$AY$305,$O2328),IF(N($P2328)=0,"",IF(INT($B2328)&lt;$P2328,$P2328,IF($Q2328&gt;0,$P2328+ROUND((INT($B2328)-$P2328)/$Q2328,0)*$Q2328,IF($R2328&gt;0,EDATE($P2328,ROUND((DATEDIF($P2328,INT($B2328),"m")+(INT($B2328)-EDATE($P2328,DATEDIF($P2328,INT($B2328),"m")))/(EDATE($P2328,DATEDIF($P2328,INT($B2328),"m")+1)-EDATE($P2328,DATEDIF($P2328,INT($B2328),"m"))))/$R2328,0)*$R2328),$P2328))))),"")))</f>
      </c>
      <c r="M2328" s="223">
        <f>IF(OR($C2328="",N($L2328)=0,N($B2328)=0),"",IF(IF(MOD($L2328,1)=0,INT($B2328),$B2328)&lt;=$L2328,"Đúng hạn","Trễ hạn"))</f>
      </c>
      <c r="N2328" s="225">
        <f>IF($C2328="","",ROW())</f>
      </c>
      <c r="O2328" s="225">
        <f>IF($I2328="Công việc",MATCH($C2328,'Kế hoạch'!$A$6:$A$305,0),"")</f>
      </c>
      <c r="P2328" s="234">
        <f>IF($O2328="","",INDEX('Kế hoạch'!$I$6:$I$305,$O2328))</f>
      </c>
      <c r="Q2328" s="225">
        <f>IF($O2328="","",INDEX('Kế hoạch'!$AJ$6:$AJ$305,$O2328))</f>
      </c>
      <c r="R2328" s="225">
        <f>IF($O2328="","",INDEX('Kế hoạch'!$AK$6:$AK$305,$O2328))</f>
      </c>
    </row>
    <row r="2329">
      <c r="A2329" s="223">
        <f>IF($C2329="","",COUNTIF($C$6:$C2329,"?*"))</f>
      </c>
      <c r="B2329" s="217"/>
      <c r="C2329" s="216"/>
      <c r="D2329" s="240"/>
      <c r="E2329" s="218"/>
      <c r="F2329" s="218"/>
      <c r="G2329" s="218"/>
      <c r="H2329" s="219"/>
      <c r="I2329" s="223">
        <f>IF($C2329="","",IF(ISNUMBER(MATCH($C2329,'Phản ánh'!$A$6:$A$505,0)),"Phản ánh",IF(ISNUMBER(MATCH($C2329,'Kế hoạch'!$A$6:$A$305,0)),"Công việc","Mã chưa có")))</f>
      </c>
      <c r="J2329" s="221">
        <f>IF($I2329="Phản ánh",INDEX('Phản ánh'!$C$6:$C$505,MATCH($C2329,'Phản ánh'!$A$6:$A$505,0)),IF($I2329="Công việc",INDEX('Kế hoạch'!$C$6:$C$305,$O2329),""))</f>
      </c>
      <c r="K2329" s="221">
        <f>IF($I2329="Phản ánh",INDEX('Phản ánh'!$K$6:$K$505,MATCH($C2329,'Phản ánh'!$A$6:$A$505,0))&amp;"",IF($I2329="Công việc",INDEX('Kế hoạch'!$N$6:$N$305,$O2329)&amp;"",""))</f>
      </c>
      <c r="L2329" s="220">
        <f>IF(OR($C2329="",N($B2329)=0),"",IF(AND($I2329="Phản ánh",$E2329="Đã xử lý"),INDEX('Phản ánh'!$U$6:$U$505,MATCH($C2329,'Phản ánh'!$A$6:$A$505,0)),IF(AND($I2329="Công việc",OR($E2329="Hoàn thành",$E2329="Hoàn thành kỳ")),IF(INDEX('Kế hoạch'!$B$6:$B$305,$O2329)="Đột xuất",INDEX('Kế hoạch'!$AY$6:$AY$305,$O2329),IF(N($P2329)=0,"",IF(INT($B2329)&lt;$P2329,$P2329,IF($Q2329&gt;0,$P2329+ROUND((INT($B2329)-$P2329)/$Q2329,0)*$Q2329,IF($R2329&gt;0,EDATE($P2329,ROUND((DATEDIF($P2329,INT($B2329),"m")+(INT($B2329)-EDATE($P2329,DATEDIF($P2329,INT($B2329),"m")))/(EDATE($P2329,DATEDIF($P2329,INT($B2329),"m")+1)-EDATE($P2329,DATEDIF($P2329,INT($B2329),"m"))))/$R2329,0)*$R2329),$P2329))))),"")))</f>
      </c>
      <c r="M2329" s="223">
        <f>IF(OR($C2329="",N($L2329)=0,N($B2329)=0),"",IF(IF(MOD($L2329,1)=0,INT($B2329),$B2329)&lt;=$L2329,"Đúng hạn","Trễ hạn"))</f>
      </c>
      <c r="N2329" s="225">
        <f>IF($C2329="","",ROW())</f>
      </c>
      <c r="O2329" s="225">
        <f>IF($I2329="Công việc",MATCH($C2329,'Kế hoạch'!$A$6:$A$305,0),"")</f>
      </c>
      <c r="P2329" s="234">
        <f>IF($O2329="","",INDEX('Kế hoạch'!$I$6:$I$305,$O2329))</f>
      </c>
      <c r="Q2329" s="225">
        <f>IF($O2329="","",INDEX('Kế hoạch'!$AJ$6:$AJ$305,$O2329))</f>
      </c>
      <c r="R2329" s="225">
        <f>IF($O2329="","",INDEX('Kế hoạch'!$AK$6:$AK$305,$O2329))</f>
      </c>
    </row>
    <row r="2330">
      <c r="A2330" s="223">
        <f>IF($C2330="","",COUNTIF($C$6:$C2330,"?*"))</f>
      </c>
      <c r="B2330" s="217"/>
      <c r="C2330" s="216"/>
      <c r="D2330" s="240"/>
      <c r="E2330" s="218"/>
      <c r="F2330" s="218"/>
      <c r="G2330" s="218"/>
      <c r="H2330" s="219"/>
      <c r="I2330" s="223">
        <f>IF($C2330="","",IF(ISNUMBER(MATCH($C2330,'Phản ánh'!$A$6:$A$505,0)),"Phản ánh",IF(ISNUMBER(MATCH($C2330,'Kế hoạch'!$A$6:$A$305,0)),"Công việc","Mã chưa có")))</f>
      </c>
      <c r="J2330" s="221">
        <f>IF($I2330="Phản ánh",INDEX('Phản ánh'!$C$6:$C$505,MATCH($C2330,'Phản ánh'!$A$6:$A$505,0)),IF($I2330="Công việc",INDEX('Kế hoạch'!$C$6:$C$305,$O2330),""))</f>
      </c>
      <c r="K2330" s="221">
        <f>IF($I2330="Phản ánh",INDEX('Phản ánh'!$K$6:$K$505,MATCH($C2330,'Phản ánh'!$A$6:$A$505,0))&amp;"",IF($I2330="Công việc",INDEX('Kế hoạch'!$N$6:$N$305,$O2330)&amp;"",""))</f>
      </c>
      <c r="L2330" s="220">
        <f>IF(OR($C2330="",N($B2330)=0),"",IF(AND($I2330="Phản ánh",$E2330="Đã xử lý"),INDEX('Phản ánh'!$U$6:$U$505,MATCH($C2330,'Phản ánh'!$A$6:$A$505,0)),IF(AND($I2330="Công việc",OR($E2330="Hoàn thành",$E2330="Hoàn thành kỳ")),IF(INDEX('Kế hoạch'!$B$6:$B$305,$O2330)="Đột xuất",INDEX('Kế hoạch'!$AY$6:$AY$305,$O2330),IF(N($P2330)=0,"",IF(INT($B2330)&lt;$P2330,$P2330,IF($Q2330&gt;0,$P2330+ROUND((INT($B2330)-$P2330)/$Q2330,0)*$Q2330,IF($R2330&gt;0,EDATE($P2330,ROUND((DATEDIF($P2330,INT($B2330),"m")+(INT($B2330)-EDATE($P2330,DATEDIF($P2330,INT($B2330),"m")))/(EDATE($P2330,DATEDIF($P2330,INT($B2330),"m")+1)-EDATE($P2330,DATEDIF($P2330,INT($B2330),"m"))))/$R2330,0)*$R2330),$P2330))))),"")))</f>
      </c>
      <c r="M2330" s="223">
        <f>IF(OR($C2330="",N($L2330)=0,N($B2330)=0),"",IF(IF(MOD($L2330,1)=0,INT($B2330),$B2330)&lt;=$L2330,"Đúng hạn","Trễ hạn"))</f>
      </c>
      <c r="N2330" s="225">
        <f>IF($C2330="","",ROW())</f>
      </c>
      <c r="O2330" s="225">
        <f>IF($I2330="Công việc",MATCH($C2330,'Kế hoạch'!$A$6:$A$305,0),"")</f>
      </c>
      <c r="P2330" s="234">
        <f>IF($O2330="","",INDEX('Kế hoạch'!$I$6:$I$305,$O2330))</f>
      </c>
      <c r="Q2330" s="225">
        <f>IF($O2330="","",INDEX('Kế hoạch'!$AJ$6:$AJ$305,$O2330))</f>
      </c>
      <c r="R2330" s="225">
        <f>IF($O2330="","",INDEX('Kế hoạch'!$AK$6:$AK$305,$O2330))</f>
      </c>
    </row>
    <row r="2331">
      <c r="A2331" s="223">
        <f>IF($C2331="","",COUNTIF($C$6:$C2331,"?*"))</f>
      </c>
      <c r="B2331" s="217"/>
      <c r="C2331" s="216"/>
      <c r="D2331" s="240"/>
      <c r="E2331" s="218"/>
      <c r="F2331" s="218"/>
      <c r="G2331" s="218"/>
      <c r="H2331" s="219"/>
      <c r="I2331" s="223">
        <f>IF($C2331="","",IF(ISNUMBER(MATCH($C2331,'Phản ánh'!$A$6:$A$505,0)),"Phản ánh",IF(ISNUMBER(MATCH($C2331,'Kế hoạch'!$A$6:$A$305,0)),"Công việc","Mã chưa có")))</f>
      </c>
      <c r="J2331" s="221">
        <f>IF($I2331="Phản ánh",INDEX('Phản ánh'!$C$6:$C$505,MATCH($C2331,'Phản ánh'!$A$6:$A$505,0)),IF($I2331="Công việc",INDEX('Kế hoạch'!$C$6:$C$305,$O2331),""))</f>
      </c>
      <c r="K2331" s="221">
        <f>IF($I2331="Phản ánh",INDEX('Phản ánh'!$K$6:$K$505,MATCH($C2331,'Phản ánh'!$A$6:$A$505,0))&amp;"",IF($I2331="Công việc",INDEX('Kế hoạch'!$N$6:$N$305,$O2331)&amp;"",""))</f>
      </c>
      <c r="L2331" s="220">
        <f>IF(OR($C2331="",N($B2331)=0),"",IF(AND($I2331="Phản ánh",$E2331="Đã xử lý"),INDEX('Phản ánh'!$U$6:$U$505,MATCH($C2331,'Phản ánh'!$A$6:$A$505,0)),IF(AND($I2331="Công việc",OR($E2331="Hoàn thành",$E2331="Hoàn thành kỳ")),IF(INDEX('Kế hoạch'!$B$6:$B$305,$O2331)="Đột xuất",INDEX('Kế hoạch'!$AY$6:$AY$305,$O2331),IF(N($P2331)=0,"",IF(INT($B2331)&lt;$P2331,$P2331,IF($Q2331&gt;0,$P2331+ROUND((INT($B2331)-$P2331)/$Q2331,0)*$Q2331,IF($R2331&gt;0,EDATE($P2331,ROUND((DATEDIF($P2331,INT($B2331),"m")+(INT($B2331)-EDATE($P2331,DATEDIF($P2331,INT($B2331),"m")))/(EDATE($P2331,DATEDIF($P2331,INT($B2331),"m")+1)-EDATE($P2331,DATEDIF($P2331,INT($B2331),"m"))))/$R2331,0)*$R2331),$P2331))))),"")))</f>
      </c>
      <c r="M2331" s="223">
        <f>IF(OR($C2331="",N($L2331)=0,N($B2331)=0),"",IF(IF(MOD($L2331,1)=0,INT($B2331),$B2331)&lt;=$L2331,"Đúng hạn","Trễ hạn"))</f>
      </c>
      <c r="N2331" s="225">
        <f>IF($C2331="","",ROW())</f>
      </c>
      <c r="O2331" s="225">
        <f>IF($I2331="Công việc",MATCH($C2331,'Kế hoạch'!$A$6:$A$305,0),"")</f>
      </c>
      <c r="P2331" s="234">
        <f>IF($O2331="","",INDEX('Kế hoạch'!$I$6:$I$305,$O2331))</f>
      </c>
      <c r="Q2331" s="225">
        <f>IF($O2331="","",INDEX('Kế hoạch'!$AJ$6:$AJ$305,$O2331))</f>
      </c>
      <c r="R2331" s="225">
        <f>IF($O2331="","",INDEX('Kế hoạch'!$AK$6:$AK$305,$O2331))</f>
      </c>
    </row>
    <row r="2332">
      <c r="A2332" s="223">
        <f>IF($C2332="","",COUNTIF($C$6:$C2332,"?*"))</f>
      </c>
      <c r="B2332" s="217"/>
      <c r="C2332" s="216"/>
      <c r="D2332" s="240"/>
      <c r="E2332" s="218"/>
      <c r="F2332" s="218"/>
      <c r="G2332" s="218"/>
      <c r="H2332" s="219"/>
      <c r="I2332" s="223">
        <f>IF($C2332="","",IF(ISNUMBER(MATCH($C2332,'Phản ánh'!$A$6:$A$505,0)),"Phản ánh",IF(ISNUMBER(MATCH($C2332,'Kế hoạch'!$A$6:$A$305,0)),"Công việc","Mã chưa có")))</f>
      </c>
      <c r="J2332" s="221">
        <f>IF($I2332="Phản ánh",INDEX('Phản ánh'!$C$6:$C$505,MATCH($C2332,'Phản ánh'!$A$6:$A$505,0)),IF($I2332="Công việc",INDEX('Kế hoạch'!$C$6:$C$305,$O2332),""))</f>
      </c>
      <c r="K2332" s="221">
        <f>IF($I2332="Phản ánh",INDEX('Phản ánh'!$K$6:$K$505,MATCH($C2332,'Phản ánh'!$A$6:$A$505,0))&amp;"",IF($I2332="Công việc",INDEX('Kế hoạch'!$N$6:$N$305,$O2332)&amp;"",""))</f>
      </c>
      <c r="L2332" s="220">
        <f>IF(OR($C2332="",N($B2332)=0),"",IF(AND($I2332="Phản ánh",$E2332="Đã xử lý"),INDEX('Phản ánh'!$U$6:$U$505,MATCH($C2332,'Phản ánh'!$A$6:$A$505,0)),IF(AND($I2332="Công việc",OR($E2332="Hoàn thành",$E2332="Hoàn thành kỳ")),IF(INDEX('Kế hoạch'!$B$6:$B$305,$O2332)="Đột xuất",INDEX('Kế hoạch'!$AY$6:$AY$305,$O2332),IF(N($P2332)=0,"",IF(INT($B2332)&lt;$P2332,$P2332,IF($Q2332&gt;0,$P2332+ROUND((INT($B2332)-$P2332)/$Q2332,0)*$Q2332,IF($R2332&gt;0,EDATE($P2332,ROUND((DATEDIF($P2332,INT($B2332),"m")+(INT($B2332)-EDATE($P2332,DATEDIF($P2332,INT($B2332),"m")))/(EDATE($P2332,DATEDIF($P2332,INT($B2332),"m")+1)-EDATE($P2332,DATEDIF($P2332,INT($B2332),"m"))))/$R2332,0)*$R2332),$P2332))))),"")))</f>
      </c>
      <c r="M2332" s="223">
        <f>IF(OR($C2332="",N($L2332)=0,N($B2332)=0),"",IF(IF(MOD($L2332,1)=0,INT($B2332),$B2332)&lt;=$L2332,"Đúng hạn","Trễ hạn"))</f>
      </c>
      <c r="N2332" s="225">
        <f>IF($C2332="","",ROW())</f>
      </c>
      <c r="O2332" s="225">
        <f>IF($I2332="Công việc",MATCH($C2332,'Kế hoạch'!$A$6:$A$305,0),"")</f>
      </c>
      <c r="P2332" s="234">
        <f>IF($O2332="","",INDEX('Kế hoạch'!$I$6:$I$305,$O2332))</f>
      </c>
      <c r="Q2332" s="225">
        <f>IF($O2332="","",INDEX('Kế hoạch'!$AJ$6:$AJ$305,$O2332))</f>
      </c>
      <c r="R2332" s="225">
        <f>IF($O2332="","",INDEX('Kế hoạch'!$AK$6:$AK$305,$O2332))</f>
      </c>
    </row>
    <row r="2333">
      <c r="A2333" s="223">
        <f>IF($C2333="","",COUNTIF($C$6:$C2333,"?*"))</f>
      </c>
      <c r="B2333" s="217"/>
      <c r="C2333" s="216"/>
      <c r="D2333" s="240"/>
      <c r="E2333" s="218"/>
      <c r="F2333" s="218"/>
      <c r="G2333" s="218"/>
      <c r="H2333" s="219"/>
      <c r="I2333" s="223">
        <f>IF($C2333="","",IF(ISNUMBER(MATCH($C2333,'Phản ánh'!$A$6:$A$505,0)),"Phản ánh",IF(ISNUMBER(MATCH($C2333,'Kế hoạch'!$A$6:$A$305,0)),"Công việc","Mã chưa có")))</f>
      </c>
      <c r="J2333" s="221">
        <f>IF($I2333="Phản ánh",INDEX('Phản ánh'!$C$6:$C$505,MATCH($C2333,'Phản ánh'!$A$6:$A$505,0)),IF($I2333="Công việc",INDEX('Kế hoạch'!$C$6:$C$305,$O2333),""))</f>
      </c>
      <c r="K2333" s="221">
        <f>IF($I2333="Phản ánh",INDEX('Phản ánh'!$K$6:$K$505,MATCH($C2333,'Phản ánh'!$A$6:$A$505,0))&amp;"",IF($I2333="Công việc",INDEX('Kế hoạch'!$N$6:$N$305,$O2333)&amp;"",""))</f>
      </c>
      <c r="L2333" s="220">
        <f>IF(OR($C2333="",N($B2333)=0),"",IF(AND($I2333="Phản ánh",$E2333="Đã xử lý"),INDEX('Phản ánh'!$U$6:$U$505,MATCH($C2333,'Phản ánh'!$A$6:$A$505,0)),IF(AND($I2333="Công việc",OR($E2333="Hoàn thành",$E2333="Hoàn thành kỳ")),IF(INDEX('Kế hoạch'!$B$6:$B$305,$O2333)="Đột xuất",INDEX('Kế hoạch'!$AY$6:$AY$305,$O2333),IF(N($P2333)=0,"",IF(INT($B2333)&lt;$P2333,$P2333,IF($Q2333&gt;0,$P2333+ROUND((INT($B2333)-$P2333)/$Q2333,0)*$Q2333,IF($R2333&gt;0,EDATE($P2333,ROUND((DATEDIF($P2333,INT($B2333),"m")+(INT($B2333)-EDATE($P2333,DATEDIF($P2333,INT($B2333),"m")))/(EDATE($P2333,DATEDIF($P2333,INT($B2333),"m")+1)-EDATE($P2333,DATEDIF($P2333,INT($B2333),"m"))))/$R2333,0)*$R2333),$P2333))))),"")))</f>
      </c>
      <c r="M2333" s="223">
        <f>IF(OR($C2333="",N($L2333)=0,N($B2333)=0),"",IF(IF(MOD($L2333,1)=0,INT($B2333),$B2333)&lt;=$L2333,"Đúng hạn","Trễ hạn"))</f>
      </c>
      <c r="N2333" s="225">
        <f>IF($C2333="","",ROW())</f>
      </c>
      <c r="O2333" s="225">
        <f>IF($I2333="Công việc",MATCH($C2333,'Kế hoạch'!$A$6:$A$305,0),"")</f>
      </c>
      <c r="P2333" s="234">
        <f>IF($O2333="","",INDEX('Kế hoạch'!$I$6:$I$305,$O2333))</f>
      </c>
      <c r="Q2333" s="225">
        <f>IF($O2333="","",INDEX('Kế hoạch'!$AJ$6:$AJ$305,$O2333))</f>
      </c>
      <c r="R2333" s="225">
        <f>IF($O2333="","",INDEX('Kế hoạch'!$AK$6:$AK$305,$O2333))</f>
      </c>
    </row>
    <row r="2334">
      <c r="A2334" s="223">
        <f>IF($C2334="","",COUNTIF($C$6:$C2334,"?*"))</f>
      </c>
      <c r="B2334" s="217"/>
      <c r="C2334" s="216"/>
      <c r="D2334" s="240"/>
      <c r="E2334" s="218"/>
      <c r="F2334" s="218"/>
      <c r="G2334" s="218"/>
      <c r="H2334" s="219"/>
      <c r="I2334" s="223">
        <f>IF($C2334="","",IF(ISNUMBER(MATCH($C2334,'Phản ánh'!$A$6:$A$505,0)),"Phản ánh",IF(ISNUMBER(MATCH($C2334,'Kế hoạch'!$A$6:$A$305,0)),"Công việc","Mã chưa có")))</f>
      </c>
      <c r="J2334" s="221">
        <f>IF($I2334="Phản ánh",INDEX('Phản ánh'!$C$6:$C$505,MATCH($C2334,'Phản ánh'!$A$6:$A$505,0)),IF($I2334="Công việc",INDEX('Kế hoạch'!$C$6:$C$305,$O2334),""))</f>
      </c>
      <c r="K2334" s="221">
        <f>IF($I2334="Phản ánh",INDEX('Phản ánh'!$K$6:$K$505,MATCH($C2334,'Phản ánh'!$A$6:$A$505,0))&amp;"",IF($I2334="Công việc",INDEX('Kế hoạch'!$N$6:$N$305,$O2334)&amp;"",""))</f>
      </c>
      <c r="L2334" s="220">
        <f>IF(OR($C2334="",N($B2334)=0),"",IF(AND($I2334="Phản ánh",$E2334="Đã xử lý"),INDEX('Phản ánh'!$U$6:$U$505,MATCH($C2334,'Phản ánh'!$A$6:$A$505,0)),IF(AND($I2334="Công việc",OR($E2334="Hoàn thành",$E2334="Hoàn thành kỳ")),IF(INDEX('Kế hoạch'!$B$6:$B$305,$O2334)="Đột xuất",INDEX('Kế hoạch'!$AY$6:$AY$305,$O2334),IF(N($P2334)=0,"",IF(INT($B2334)&lt;$P2334,$P2334,IF($Q2334&gt;0,$P2334+ROUND((INT($B2334)-$P2334)/$Q2334,0)*$Q2334,IF($R2334&gt;0,EDATE($P2334,ROUND((DATEDIF($P2334,INT($B2334),"m")+(INT($B2334)-EDATE($P2334,DATEDIF($P2334,INT($B2334),"m")))/(EDATE($P2334,DATEDIF($P2334,INT($B2334),"m")+1)-EDATE($P2334,DATEDIF($P2334,INT($B2334),"m"))))/$R2334,0)*$R2334),$P2334))))),"")))</f>
      </c>
      <c r="M2334" s="223">
        <f>IF(OR($C2334="",N($L2334)=0,N($B2334)=0),"",IF(IF(MOD($L2334,1)=0,INT($B2334),$B2334)&lt;=$L2334,"Đúng hạn","Trễ hạn"))</f>
      </c>
      <c r="N2334" s="225">
        <f>IF($C2334="","",ROW())</f>
      </c>
      <c r="O2334" s="225">
        <f>IF($I2334="Công việc",MATCH($C2334,'Kế hoạch'!$A$6:$A$305,0),"")</f>
      </c>
      <c r="P2334" s="234">
        <f>IF($O2334="","",INDEX('Kế hoạch'!$I$6:$I$305,$O2334))</f>
      </c>
      <c r="Q2334" s="225">
        <f>IF($O2334="","",INDEX('Kế hoạch'!$AJ$6:$AJ$305,$O2334))</f>
      </c>
      <c r="R2334" s="225">
        <f>IF($O2334="","",INDEX('Kế hoạch'!$AK$6:$AK$305,$O2334))</f>
      </c>
    </row>
    <row r="2335">
      <c r="A2335" s="223">
        <f>IF($C2335="","",COUNTIF($C$6:$C2335,"?*"))</f>
      </c>
      <c r="B2335" s="217"/>
      <c r="C2335" s="216"/>
      <c r="D2335" s="240"/>
      <c r="E2335" s="218"/>
      <c r="F2335" s="218"/>
      <c r="G2335" s="218"/>
      <c r="H2335" s="219"/>
      <c r="I2335" s="223">
        <f>IF($C2335="","",IF(ISNUMBER(MATCH($C2335,'Phản ánh'!$A$6:$A$505,0)),"Phản ánh",IF(ISNUMBER(MATCH($C2335,'Kế hoạch'!$A$6:$A$305,0)),"Công việc","Mã chưa có")))</f>
      </c>
      <c r="J2335" s="221">
        <f>IF($I2335="Phản ánh",INDEX('Phản ánh'!$C$6:$C$505,MATCH($C2335,'Phản ánh'!$A$6:$A$505,0)),IF($I2335="Công việc",INDEX('Kế hoạch'!$C$6:$C$305,$O2335),""))</f>
      </c>
      <c r="K2335" s="221">
        <f>IF($I2335="Phản ánh",INDEX('Phản ánh'!$K$6:$K$505,MATCH($C2335,'Phản ánh'!$A$6:$A$505,0))&amp;"",IF($I2335="Công việc",INDEX('Kế hoạch'!$N$6:$N$305,$O2335)&amp;"",""))</f>
      </c>
      <c r="L2335" s="220">
        <f>IF(OR($C2335="",N($B2335)=0),"",IF(AND($I2335="Phản ánh",$E2335="Đã xử lý"),INDEX('Phản ánh'!$U$6:$U$505,MATCH($C2335,'Phản ánh'!$A$6:$A$505,0)),IF(AND($I2335="Công việc",OR($E2335="Hoàn thành",$E2335="Hoàn thành kỳ")),IF(INDEX('Kế hoạch'!$B$6:$B$305,$O2335)="Đột xuất",INDEX('Kế hoạch'!$AY$6:$AY$305,$O2335),IF(N($P2335)=0,"",IF(INT($B2335)&lt;$P2335,$P2335,IF($Q2335&gt;0,$P2335+ROUND((INT($B2335)-$P2335)/$Q2335,0)*$Q2335,IF($R2335&gt;0,EDATE($P2335,ROUND((DATEDIF($P2335,INT($B2335),"m")+(INT($B2335)-EDATE($P2335,DATEDIF($P2335,INT($B2335),"m")))/(EDATE($P2335,DATEDIF($P2335,INT($B2335),"m")+1)-EDATE($P2335,DATEDIF($P2335,INT($B2335),"m"))))/$R2335,0)*$R2335),$P2335))))),"")))</f>
      </c>
      <c r="M2335" s="223">
        <f>IF(OR($C2335="",N($L2335)=0,N($B2335)=0),"",IF(IF(MOD($L2335,1)=0,INT($B2335),$B2335)&lt;=$L2335,"Đúng hạn","Trễ hạn"))</f>
      </c>
      <c r="N2335" s="225">
        <f>IF($C2335="","",ROW())</f>
      </c>
      <c r="O2335" s="225">
        <f>IF($I2335="Công việc",MATCH($C2335,'Kế hoạch'!$A$6:$A$305,0),"")</f>
      </c>
      <c r="P2335" s="234">
        <f>IF($O2335="","",INDEX('Kế hoạch'!$I$6:$I$305,$O2335))</f>
      </c>
      <c r="Q2335" s="225">
        <f>IF($O2335="","",INDEX('Kế hoạch'!$AJ$6:$AJ$305,$O2335))</f>
      </c>
      <c r="R2335" s="225">
        <f>IF($O2335="","",INDEX('Kế hoạch'!$AK$6:$AK$305,$O2335))</f>
      </c>
    </row>
    <row r="2336">
      <c r="A2336" s="223">
        <f>IF($C2336="","",COUNTIF($C$6:$C2336,"?*"))</f>
      </c>
      <c r="B2336" s="217"/>
      <c r="C2336" s="216"/>
      <c r="D2336" s="240"/>
      <c r="E2336" s="218"/>
      <c r="F2336" s="218"/>
      <c r="G2336" s="218"/>
      <c r="H2336" s="219"/>
      <c r="I2336" s="223">
        <f>IF($C2336="","",IF(ISNUMBER(MATCH($C2336,'Phản ánh'!$A$6:$A$505,0)),"Phản ánh",IF(ISNUMBER(MATCH($C2336,'Kế hoạch'!$A$6:$A$305,0)),"Công việc","Mã chưa có")))</f>
      </c>
      <c r="J2336" s="221">
        <f>IF($I2336="Phản ánh",INDEX('Phản ánh'!$C$6:$C$505,MATCH($C2336,'Phản ánh'!$A$6:$A$505,0)),IF($I2336="Công việc",INDEX('Kế hoạch'!$C$6:$C$305,$O2336),""))</f>
      </c>
      <c r="K2336" s="221">
        <f>IF($I2336="Phản ánh",INDEX('Phản ánh'!$K$6:$K$505,MATCH($C2336,'Phản ánh'!$A$6:$A$505,0))&amp;"",IF($I2336="Công việc",INDEX('Kế hoạch'!$N$6:$N$305,$O2336)&amp;"",""))</f>
      </c>
      <c r="L2336" s="220">
        <f>IF(OR($C2336="",N($B2336)=0),"",IF(AND($I2336="Phản ánh",$E2336="Đã xử lý"),INDEX('Phản ánh'!$U$6:$U$505,MATCH($C2336,'Phản ánh'!$A$6:$A$505,0)),IF(AND($I2336="Công việc",OR($E2336="Hoàn thành",$E2336="Hoàn thành kỳ")),IF(INDEX('Kế hoạch'!$B$6:$B$305,$O2336)="Đột xuất",INDEX('Kế hoạch'!$AY$6:$AY$305,$O2336),IF(N($P2336)=0,"",IF(INT($B2336)&lt;$P2336,$P2336,IF($Q2336&gt;0,$P2336+ROUND((INT($B2336)-$P2336)/$Q2336,0)*$Q2336,IF($R2336&gt;0,EDATE($P2336,ROUND((DATEDIF($P2336,INT($B2336),"m")+(INT($B2336)-EDATE($P2336,DATEDIF($P2336,INT($B2336),"m")))/(EDATE($P2336,DATEDIF($P2336,INT($B2336),"m")+1)-EDATE($P2336,DATEDIF($P2336,INT($B2336),"m"))))/$R2336,0)*$R2336),$P2336))))),"")))</f>
      </c>
      <c r="M2336" s="223">
        <f>IF(OR($C2336="",N($L2336)=0,N($B2336)=0),"",IF(IF(MOD($L2336,1)=0,INT($B2336),$B2336)&lt;=$L2336,"Đúng hạn","Trễ hạn"))</f>
      </c>
      <c r="N2336" s="225">
        <f>IF($C2336="","",ROW())</f>
      </c>
      <c r="O2336" s="225">
        <f>IF($I2336="Công việc",MATCH($C2336,'Kế hoạch'!$A$6:$A$305,0),"")</f>
      </c>
      <c r="P2336" s="234">
        <f>IF($O2336="","",INDEX('Kế hoạch'!$I$6:$I$305,$O2336))</f>
      </c>
      <c r="Q2336" s="225">
        <f>IF($O2336="","",INDEX('Kế hoạch'!$AJ$6:$AJ$305,$O2336))</f>
      </c>
      <c r="R2336" s="225">
        <f>IF($O2336="","",INDEX('Kế hoạch'!$AK$6:$AK$305,$O2336))</f>
      </c>
    </row>
    <row r="2337">
      <c r="A2337" s="223">
        <f>IF($C2337="","",COUNTIF($C$6:$C2337,"?*"))</f>
      </c>
      <c r="B2337" s="217"/>
      <c r="C2337" s="216"/>
      <c r="D2337" s="240"/>
      <c r="E2337" s="218"/>
      <c r="F2337" s="218"/>
      <c r="G2337" s="218"/>
      <c r="H2337" s="219"/>
      <c r="I2337" s="223">
        <f>IF($C2337="","",IF(ISNUMBER(MATCH($C2337,'Phản ánh'!$A$6:$A$505,0)),"Phản ánh",IF(ISNUMBER(MATCH($C2337,'Kế hoạch'!$A$6:$A$305,0)),"Công việc","Mã chưa có")))</f>
      </c>
      <c r="J2337" s="221">
        <f>IF($I2337="Phản ánh",INDEX('Phản ánh'!$C$6:$C$505,MATCH($C2337,'Phản ánh'!$A$6:$A$505,0)),IF($I2337="Công việc",INDEX('Kế hoạch'!$C$6:$C$305,$O2337),""))</f>
      </c>
      <c r="K2337" s="221">
        <f>IF($I2337="Phản ánh",INDEX('Phản ánh'!$K$6:$K$505,MATCH($C2337,'Phản ánh'!$A$6:$A$505,0))&amp;"",IF($I2337="Công việc",INDEX('Kế hoạch'!$N$6:$N$305,$O2337)&amp;"",""))</f>
      </c>
      <c r="L2337" s="220">
        <f>IF(OR($C2337="",N($B2337)=0),"",IF(AND($I2337="Phản ánh",$E2337="Đã xử lý"),INDEX('Phản ánh'!$U$6:$U$505,MATCH($C2337,'Phản ánh'!$A$6:$A$505,0)),IF(AND($I2337="Công việc",OR($E2337="Hoàn thành",$E2337="Hoàn thành kỳ")),IF(INDEX('Kế hoạch'!$B$6:$B$305,$O2337)="Đột xuất",INDEX('Kế hoạch'!$AY$6:$AY$305,$O2337),IF(N($P2337)=0,"",IF(INT($B2337)&lt;$P2337,$P2337,IF($Q2337&gt;0,$P2337+ROUND((INT($B2337)-$P2337)/$Q2337,0)*$Q2337,IF($R2337&gt;0,EDATE($P2337,ROUND((DATEDIF($P2337,INT($B2337),"m")+(INT($B2337)-EDATE($P2337,DATEDIF($P2337,INT($B2337),"m")))/(EDATE($P2337,DATEDIF($P2337,INT($B2337),"m")+1)-EDATE($P2337,DATEDIF($P2337,INT($B2337),"m"))))/$R2337,0)*$R2337),$P2337))))),"")))</f>
      </c>
      <c r="M2337" s="223">
        <f>IF(OR($C2337="",N($L2337)=0,N($B2337)=0),"",IF(IF(MOD($L2337,1)=0,INT($B2337),$B2337)&lt;=$L2337,"Đúng hạn","Trễ hạn"))</f>
      </c>
      <c r="N2337" s="225">
        <f>IF($C2337="","",ROW())</f>
      </c>
      <c r="O2337" s="225">
        <f>IF($I2337="Công việc",MATCH($C2337,'Kế hoạch'!$A$6:$A$305,0),"")</f>
      </c>
      <c r="P2337" s="234">
        <f>IF($O2337="","",INDEX('Kế hoạch'!$I$6:$I$305,$O2337))</f>
      </c>
      <c r="Q2337" s="225">
        <f>IF($O2337="","",INDEX('Kế hoạch'!$AJ$6:$AJ$305,$O2337))</f>
      </c>
      <c r="R2337" s="225">
        <f>IF($O2337="","",INDEX('Kế hoạch'!$AK$6:$AK$305,$O2337))</f>
      </c>
    </row>
    <row r="2338">
      <c r="A2338" s="223">
        <f>IF($C2338="","",COUNTIF($C$6:$C2338,"?*"))</f>
      </c>
      <c r="B2338" s="217"/>
      <c r="C2338" s="216"/>
      <c r="D2338" s="240"/>
      <c r="E2338" s="218"/>
      <c r="F2338" s="218"/>
      <c r="G2338" s="218"/>
      <c r="H2338" s="219"/>
      <c r="I2338" s="223">
        <f>IF($C2338="","",IF(ISNUMBER(MATCH($C2338,'Phản ánh'!$A$6:$A$505,0)),"Phản ánh",IF(ISNUMBER(MATCH($C2338,'Kế hoạch'!$A$6:$A$305,0)),"Công việc","Mã chưa có")))</f>
      </c>
      <c r="J2338" s="221">
        <f>IF($I2338="Phản ánh",INDEX('Phản ánh'!$C$6:$C$505,MATCH($C2338,'Phản ánh'!$A$6:$A$505,0)),IF($I2338="Công việc",INDEX('Kế hoạch'!$C$6:$C$305,$O2338),""))</f>
      </c>
      <c r="K2338" s="221">
        <f>IF($I2338="Phản ánh",INDEX('Phản ánh'!$K$6:$K$505,MATCH($C2338,'Phản ánh'!$A$6:$A$505,0))&amp;"",IF($I2338="Công việc",INDEX('Kế hoạch'!$N$6:$N$305,$O2338)&amp;"",""))</f>
      </c>
      <c r="L2338" s="220">
        <f>IF(OR($C2338="",N($B2338)=0),"",IF(AND($I2338="Phản ánh",$E2338="Đã xử lý"),INDEX('Phản ánh'!$U$6:$U$505,MATCH($C2338,'Phản ánh'!$A$6:$A$505,0)),IF(AND($I2338="Công việc",OR($E2338="Hoàn thành",$E2338="Hoàn thành kỳ")),IF(INDEX('Kế hoạch'!$B$6:$B$305,$O2338)="Đột xuất",INDEX('Kế hoạch'!$AY$6:$AY$305,$O2338),IF(N($P2338)=0,"",IF(INT($B2338)&lt;$P2338,$P2338,IF($Q2338&gt;0,$P2338+ROUND((INT($B2338)-$P2338)/$Q2338,0)*$Q2338,IF($R2338&gt;0,EDATE($P2338,ROUND((DATEDIF($P2338,INT($B2338),"m")+(INT($B2338)-EDATE($P2338,DATEDIF($P2338,INT($B2338),"m")))/(EDATE($P2338,DATEDIF($P2338,INT($B2338),"m")+1)-EDATE($P2338,DATEDIF($P2338,INT($B2338),"m"))))/$R2338,0)*$R2338),$P2338))))),"")))</f>
      </c>
      <c r="M2338" s="223">
        <f>IF(OR($C2338="",N($L2338)=0,N($B2338)=0),"",IF(IF(MOD($L2338,1)=0,INT($B2338),$B2338)&lt;=$L2338,"Đúng hạn","Trễ hạn"))</f>
      </c>
      <c r="N2338" s="225">
        <f>IF($C2338="","",ROW())</f>
      </c>
      <c r="O2338" s="225">
        <f>IF($I2338="Công việc",MATCH($C2338,'Kế hoạch'!$A$6:$A$305,0),"")</f>
      </c>
      <c r="P2338" s="234">
        <f>IF($O2338="","",INDEX('Kế hoạch'!$I$6:$I$305,$O2338))</f>
      </c>
      <c r="Q2338" s="225">
        <f>IF($O2338="","",INDEX('Kế hoạch'!$AJ$6:$AJ$305,$O2338))</f>
      </c>
      <c r="R2338" s="225">
        <f>IF($O2338="","",INDEX('Kế hoạch'!$AK$6:$AK$305,$O2338))</f>
      </c>
    </row>
    <row r="2339">
      <c r="A2339" s="223">
        <f>IF($C2339="","",COUNTIF($C$6:$C2339,"?*"))</f>
      </c>
      <c r="B2339" s="217"/>
      <c r="C2339" s="216"/>
      <c r="D2339" s="240"/>
      <c r="E2339" s="218"/>
      <c r="F2339" s="218"/>
      <c r="G2339" s="218"/>
      <c r="H2339" s="219"/>
      <c r="I2339" s="223">
        <f>IF($C2339="","",IF(ISNUMBER(MATCH($C2339,'Phản ánh'!$A$6:$A$505,0)),"Phản ánh",IF(ISNUMBER(MATCH($C2339,'Kế hoạch'!$A$6:$A$305,0)),"Công việc","Mã chưa có")))</f>
      </c>
      <c r="J2339" s="221">
        <f>IF($I2339="Phản ánh",INDEX('Phản ánh'!$C$6:$C$505,MATCH($C2339,'Phản ánh'!$A$6:$A$505,0)),IF($I2339="Công việc",INDEX('Kế hoạch'!$C$6:$C$305,$O2339),""))</f>
      </c>
      <c r="K2339" s="221">
        <f>IF($I2339="Phản ánh",INDEX('Phản ánh'!$K$6:$K$505,MATCH($C2339,'Phản ánh'!$A$6:$A$505,0))&amp;"",IF($I2339="Công việc",INDEX('Kế hoạch'!$N$6:$N$305,$O2339)&amp;"",""))</f>
      </c>
      <c r="L2339" s="220">
        <f>IF(OR($C2339="",N($B2339)=0),"",IF(AND($I2339="Phản ánh",$E2339="Đã xử lý"),INDEX('Phản ánh'!$U$6:$U$505,MATCH($C2339,'Phản ánh'!$A$6:$A$505,0)),IF(AND($I2339="Công việc",OR($E2339="Hoàn thành",$E2339="Hoàn thành kỳ")),IF(INDEX('Kế hoạch'!$B$6:$B$305,$O2339)="Đột xuất",INDEX('Kế hoạch'!$AY$6:$AY$305,$O2339),IF(N($P2339)=0,"",IF(INT($B2339)&lt;$P2339,$P2339,IF($Q2339&gt;0,$P2339+ROUND((INT($B2339)-$P2339)/$Q2339,0)*$Q2339,IF($R2339&gt;0,EDATE($P2339,ROUND((DATEDIF($P2339,INT($B2339),"m")+(INT($B2339)-EDATE($P2339,DATEDIF($P2339,INT($B2339),"m")))/(EDATE($P2339,DATEDIF($P2339,INT($B2339),"m")+1)-EDATE($P2339,DATEDIF($P2339,INT($B2339),"m"))))/$R2339,0)*$R2339),$P2339))))),"")))</f>
      </c>
      <c r="M2339" s="223">
        <f>IF(OR($C2339="",N($L2339)=0,N($B2339)=0),"",IF(IF(MOD($L2339,1)=0,INT($B2339),$B2339)&lt;=$L2339,"Đúng hạn","Trễ hạn"))</f>
      </c>
      <c r="N2339" s="225">
        <f>IF($C2339="","",ROW())</f>
      </c>
      <c r="O2339" s="225">
        <f>IF($I2339="Công việc",MATCH($C2339,'Kế hoạch'!$A$6:$A$305,0),"")</f>
      </c>
      <c r="P2339" s="234">
        <f>IF($O2339="","",INDEX('Kế hoạch'!$I$6:$I$305,$O2339))</f>
      </c>
      <c r="Q2339" s="225">
        <f>IF($O2339="","",INDEX('Kế hoạch'!$AJ$6:$AJ$305,$O2339))</f>
      </c>
      <c r="R2339" s="225">
        <f>IF($O2339="","",INDEX('Kế hoạch'!$AK$6:$AK$305,$O2339))</f>
      </c>
    </row>
    <row r="2340">
      <c r="A2340" s="223">
        <f>IF($C2340="","",COUNTIF($C$6:$C2340,"?*"))</f>
      </c>
      <c r="B2340" s="217"/>
      <c r="C2340" s="216"/>
      <c r="D2340" s="240"/>
      <c r="E2340" s="218"/>
      <c r="F2340" s="218"/>
      <c r="G2340" s="218"/>
      <c r="H2340" s="219"/>
      <c r="I2340" s="223">
        <f>IF($C2340="","",IF(ISNUMBER(MATCH($C2340,'Phản ánh'!$A$6:$A$505,0)),"Phản ánh",IF(ISNUMBER(MATCH($C2340,'Kế hoạch'!$A$6:$A$305,0)),"Công việc","Mã chưa có")))</f>
      </c>
      <c r="J2340" s="221">
        <f>IF($I2340="Phản ánh",INDEX('Phản ánh'!$C$6:$C$505,MATCH($C2340,'Phản ánh'!$A$6:$A$505,0)),IF($I2340="Công việc",INDEX('Kế hoạch'!$C$6:$C$305,$O2340),""))</f>
      </c>
      <c r="K2340" s="221">
        <f>IF($I2340="Phản ánh",INDEX('Phản ánh'!$K$6:$K$505,MATCH($C2340,'Phản ánh'!$A$6:$A$505,0))&amp;"",IF($I2340="Công việc",INDEX('Kế hoạch'!$N$6:$N$305,$O2340)&amp;"",""))</f>
      </c>
      <c r="L2340" s="220">
        <f>IF(OR($C2340="",N($B2340)=0),"",IF(AND($I2340="Phản ánh",$E2340="Đã xử lý"),INDEX('Phản ánh'!$U$6:$U$505,MATCH($C2340,'Phản ánh'!$A$6:$A$505,0)),IF(AND($I2340="Công việc",OR($E2340="Hoàn thành",$E2340="Hoàn thành kỳ")),IF(INDEX('Kế hoạch'!$B$6:$B$305,$O2340)="Đột xuất",INDEX('Kế hoạch'!$AY$6:$AY$305,$O2340),IF(N($P2340)=0,"",IF(INT($B2340)&lt;$P2340,$P2340,IF($Q2340&gt;0,$P2340+ROUND((INT($B2340)-$P2340)/$Q2340,0)*$Q2340,IF($R2340&gt;0,EDATE($P2340,ROUND((DATEDIF($P2340,INT($B2340),"m")+(INT($B2340)-EDATE($P2340,DATEDIF($P2340,INT($B2340),"m")))/(EDATE($P2340,DATEDIF($P2340,INT($B2340),"m")+1)-EDATE($P2340,DATEDIF($P2340,INT($B2340),"m"))))/$R2340,0)*$R2340),$P2340))))),"")))</f>
      </c>
      <c r="M2340" s="223">
        <f>IF(OR($C2340="",N($L2340)=0,N($B2340)=0),"",IF(IF(MOD($L2340,1)=0,INT($B2340),$B2340)&lt;=$L2340,"Đúng hạn","Trễ hạn"))</f>
      </c>
      <c r="N2340" s="225">
        <f>IF($C2340="","",ROW())</f>
      </c>
      <c r="O2340" s="225">
        <f>IF($I2340="Công việc",MATCH($C2340,'Kế hoạch'!$A$6:$A$305,0),"")</f>
      </c>
      <c r="P2340" s="234">
        <f>IF($O2340="","",INDEX('Kế hoạch'!$I$6:$I$305,$O2340))</f>
      </c>
      <c r="Q2340" s="225">
        <f>IF($O2340="","",INDEX('Kế hoạch'!$AJ$6:$AJ$305,$O2340))</f>
      </c>
      <c r="R2340" s="225">
        <f>IF($O2340="","",INDEX('Kế hoạch'!$AK$6:$AK$305,$O2340))</f>
      </c>
    </row>
    <row r="2341">
      <c r="A2341" s="223">
        <f>IF($C2341="","",COUNTIF($C$6:$C2341,"?*"))</f>
      </c>
      <c r="B2341" s="217"/>
      <c r="C2341" s="216"/>
      <c r="D2341" s="240"/>
      <c r="E2341" s="218"/>
      <c r="F2341" s="218"/>
      <c r="G2341" s="218"/>
      <c r="H2341" s="219"/>
      <c r="I2341" s="223">
        <f>IF($C2341="","",IF(ISNUMBER(MATCH($C2341,'Phản ánh'!$A$6:$A$505,0)),"Phản ánh",IF(ISNUMBER(MATCH($C2341,'Kế hoạch'!$A$6:$A$305,0)),"Công việc","Mã chưa có")))</f>
      </c>
      <c r="J2341" s="221">
        <f>IF($I2341="Phản ánh",INDEX('Phản ánh'!$C$6:$C$505,MATCH($C2341,'Phản ánh'!$A$6:$A$505,0)),IF($I2341="Công việc",INDEX('Kế hoạch'!$C$6:$C$305,$O2341),""))</f>
      </c>
      <c r="K2341" s="221">
        <f>IF($I2341="Phản ánh",INDEX('Phản ánh'!$K$6:$K$505,MATCH($C2341,'Phản ánh'!$A$6:$A$505,0))&amp;"",IF($I2341="Công việc",INDEX('Kế hoạch'!$N$6:$N$305,$O2341)&amp;"",""))</f>
      </c>
      <c r="L2341" s="220">
        <f>IF(OR($C2341="",N($B2341)=0),"",IF(AND($I2341="Phản ánh",$E2341="Đã xử lý"),INDEX('Phản ánh'!$U$6:$U$505,MATCH($C2341,'Phản ánh'!$A$6:$A$505,0)),IF(AND($I2341="Công việc",OR($E2341="Hoàn thành",$E2341="Hoàn thành kỳ")),IF(INDEX('Kế hoạch'!$B$6:$B$305,$O2341)="Đột xuất",INDEX('Kế hoạch'!$AY$6:$AY$305,$O2341),IF(N($P2341)=0,"",IF(INT($B2341)&lt;$P2341,$P2341,IF($Q2341&gt;0,$P2341+ROUND((INT($B2341)-$P2341)/$Q2341,0)*$Q2341,IF($R2341&gt;0,EDATE($P2341,ROUND((DATEDIF($P2341,INT($B2341),"m")+(INT($B2341)-EDATE($P2341,DATEDIF($P2341,INT($B2341),"m")))/(EDATE($P2341,DATEDIF($P2341,INT($B2341),"m")+1)-EDATE($P2341,DATEDIF($P2341,INT($B2341),"m"))))/$R2341,0)*$R2341),$P2341))))),"")))</f>
      </c>
      <c r="M2341" s="223">
        <f>IF(OR($C2341="",N($L2341)=0,N($B2341)=0),"",IF(IF(MOD($L2341,1)=0,INT($B2341),$B2341)&lt;=$L2341,"Đúng hạn","Trễ hạn"))</f>
      </c>
      <c r="N2341" s="225">
        <f>IF($C2341="","",ROW())</f>
      </c>
      <c r="O2341" s="225">
        <f>IF($I2341="Công việc",MATCH($C2341,'Kế hoạch'!$A$6:$A$305,0),"")</f>
      </c>
      <c r="P2341" s="234">
        <f>IF($O2341="","",INDEX('Kế hoạch'!$I$6:$I$305,$O2341))</f>
      </c>
      <c r="Q2341" s="225">
        <f>IF($O2341="","",INDEX('Kế hoạch'!$AJ$6:$AJ$305,$O2341))</f>
      </c>
      <c r="R2341" s="225">
        <f>IF($O2341="","",INDEX('Kế hoạch'!$AK$6:$AK$305,$O2341))</f>
      </c>
    </row>
    <row r="2342">
      <c r="A2342" s="223">
        <f>IF($C2342="","",COUNTIF($C$6:$C2342,"?*"))</f>
      </c>
      <c r="B2342" s="217"/>
      <c r="C2342" s="216"/>
      <c r="D2342" s="240"/>
      <c r="E2342" s="218"/>
      <c r="F2342" s="218"/>
      <c r="G2342" s="218"/>
      <c r="H2342" s="219"/>
      <c r="I2342" s="223">
        <f>IF($C2342="","",IF(ISNUMBER(MATCH($C2342,'Phản ánh'!$A$6:$A$505,0)),"Phản ánh",IF(ISNUMBER(MATCH($C2342,'Kế hoạch'!$A$6:$A$305,0)),"Công việc","Mã chưa có")))</f>
      </c>
      <c r="J2342" s="221">
        <f>IF($I2342="Phản ánh",INDEX('Phản ánh'!$C$6:$C$505,MATCH($C2342,'Phản ánh'!$A$6:$A$505,0)),IF($I2342="Công việc",INDEX('Kế hoạch'!$C$6:$C$305,$O2342),""))</f>
      </c>
      <c r="K2342" s="221">
        <f>IF($I2342="Phản ánh",INDEX('Phản ánh'!$K$6:$K$505,MATCH($C2342,'Phản ánh'!$A$6:$A$505,0))&amp;"",IF($I2342="Công việc",INDEX('Kế hoạch'!$N$6:$N$305,$O2342)&amp;"",""))</f>
      </c>
      <c r="L2342" s="220">
        <f>IF(OR($C2342="",N($B2342)=0),"",IF(AND($I2342="Phản ánh",$E2342="Đã xử lý"),INDEX('Phản ánh'!$U$6:$U$505,MATCH($C2342,'Phản ánh'!$A$6:$A$505,0)),IF(AND($I2342="Công việc",OR($E2342="Hoàn thành",$E2342="Hoàn thành kỳ")),IF(INDEX('Kế hoạch'!$B$6:$B$305,$O2342)="Đột xuất",INDEX('Kế hoạch'!$AY$6:$AY$305,$O2342),IF(N($P2342)=0,"",IF(INT($B2342)&lt;$P2342,$P2342,IF($Q2342&gt;0,$P2342+ROUND((INT($B2342)-$P2342)/$Q2342,0)*$Q2342,IF($R2342&gt;0,EDATE($P2342,ROUND((DATEDIF($P2342,INT($B2342),"m")+(INT($B2342)-EDATE($P2342,DATEDIF($P2342,INT($B2342),"m")))/(EDATE($P2342,DATEDIF($P2342,INT($B2342),"m")+1)-EDATE($P2342,DATEDIF($P2342,INT($B2342),"m"))))/$R2342,0)*$R2342),$P2342))))),"")))</f>
      </c>
      <c r="M2342" s="223">
        <f>IF(OR($C2342="",N($L2342)=0,N($B2342)=0),"",IF(IF(MOD($L2342,1)=0,INT($B2342),$B2342)&lt;=$L2342,"Đúng hạn","Trễ hạn"))</f>
      </c>
      <c r="N2342" s="225">
        <f>IF($C2342="","",ROW())</f>
      </c>
      <c r="O2342" s="225">
        <f>IF($I2342="Công việc",MATCH($C2342,'Kế hoạch'!$A$6:$A$305,0),"")</f>
      </c>
      <c r="P2342" s="234">
        <f>IF($O2342="","",INDEX('Kế hoạch'!$I$6:$I$305,$O2342))</f>
      </c>
      <c r="Q2342" s="225">
        <f>IF($O2342="","",INDEX('Kế hoạch'!$AJ$6:$AJ$305,$O2342))</f>
      </c>
      <c r="R2342" s="225">
        <f>IF($O2342="","",INDEX('Kế hoạch'!$AK$6:$AK$305,$O2342))</f>
      </c>
    </row>
    <row r="2343">
      <c r="A2343" s="223">
        <f>IF($C2343="","",COUNTIF($C$6:$C2343,"?*"))</f>
      </c>
      <c r="B2343" s="217"/>
      <c r="C2343" s="216"/>
      <c r="D2343" s="240"/>
      <c r="E2343" s="218"/>
      <c r="F2343" s="218"/>
      <c r="G2343" s="218"/>
      <c r="H2343" s="219"/>
      <c r="I2343" s="223">
        <f>IF($C2343="","",IF(ISNUMBER(MATCH($C2343,'Phản ánh'!$A$6:$A$505,0)),"Phản ánh",IF(ISNUMBER(MATCH($C2343,'Kế hoạch'!$A$6:$A$305,0)),"Công việc","Mã chưa có")))</f>
      </c>
      <c r="J2343" s="221">
        <f>IF($I2343="Phản ánh",INDEX('Phản ánh'!$C$6:$C$505,MATCH($C2343,'Phản ánh'!$A$6:$A$505,0)),IF($I2343="Công việc",INDEX('Kế hoạch'!$C$6:$C$305,$O2343),""))</f>
      </c>
      <c r="K2343" s="221">
        <f>IF($I2343="Phản ánh",INDEX('Phản ánh'!$K$6:$K$505,MATCH($C2343,'Phản ánh'!$A$6:$A$505,0))&amp;"",IF($I2343="Công việc",INDEX('Kế hoạch'!$N$6:$N$305,$O2343)&amp;"",""))</f>
      </c>
      <c r="L2343" s="220">
        <f>IF(OR($C2343="",N($B2343)=0),"",IF(AND($I2343="Phản ánh",$E2343="Đã xử lý"),INDEX('Phản ánh'!$U$6:$U$505,MATCH($C2343,'Phản ánh'!$A$6:$A$505,0)),IF(AND($I2343="Công việc",OR($E2343="Hoàn thành",$E2343="Hoàn thành kỳ")),IF(INDEX('Kế hoạch'!$B$6:$B$305,$O2343)="Đột xuất",INDEX('Kế hoạch'!$AY$6:$AY$305,$O2343),IF(N($P2343)=0,"",IF(INT($B2343)&lt;$P2343,$P2343,IF($Q2343&gt;0,$P2343+ROUND((INT($B2343)-$P2343)/$Q2343,0)*$Q2343,IF($R2343&gt;0,EDATE($P2343,ROUND((DATEDIF($P2343,INT($B2343),"m")+(INT($B2343)-EDATE($P2343,DATEDIF($P2343,INT($B2343),"m")))/(EDATE($P2343,DATEDIF($P2343,INT($B2343),"m")+1)-EDATE($P2343,DATEDIF($P2343,INT($B2343),"m"))))/$R2343,0)*$R2343),$P2343))))),"")))</f>
      </c>
      <c r="M2343" s="223">
        <f>IF(OR($C2343="",N($L2343)=0,N($B2343)=0),"",IF(IF(MOD($L2343,1)=0,INT($B2343),$B2343)&lt;=$L2343,"Đúng hạn","Trễ hạn"))</f>
      </c>
      <c r="N2343" s="225">
        <f>IF($C2343="","",ROW())</f>
      </c>
      <c r="O2343" s="225">
        <f>IF($I2343="Công việc",MATCH($C2343,'Kế hoạch'!$A$6:$A$305,0),"")</f>
      </c>
      <c r="P2343" s="234">
        <f>IF($O2343="","",INDEX('Kế hoạch'!$I$6:$I$305,$O2343))</f>
      </c>
      <c r="Q2343" s="225">
        <f>IF($O2343="","",INDEX('Kế hoạch'!$AJ$6:$AJ$305,$O2343))</f>
      </c>
      <c r="R2343" s="225">
        <f>IF($O2343="","",INDEX('Kế hoạch'!$AK$6:$AK$305,$O2343))</f>
      </c>
    </row>
    <row r="2344">
      <c r="A2344" s="223">
        <f>IF($C2344="","",COUNTIF($C$6:$C2344,"?*"))</f>
      </c>
      <c r="B2344" s="217"/>
      <c r="C2344" s="216"/>
      <c r="D2344" s="240"/>
      <c r="E2344" s="218"/>
      <c r="F2344" s="218"/>
      <c r="G2344" s="218"/>
      <c r="H2344" s="219"/>
      <c r="I2344" s="223">
        <f>IF($C2344="","",IF(ISNUMBER(MATCH($C2344,'Phản ánh'!$A$6:$A$505,0)),"Phản ánh",IF(ISNUMBER(MATCH($C2344,'Kế hoạch'!$A$6:$A$305,0)),"Công việc","Mã chưa có")))</f>
      </c>
      <c r="J2344" s="221">
        <f>IF($I2344="Phản ánh",INDEX('Phản ánh'!$C$6:$C$505,MATCH($C2344,'Phản ánh'!$A$6:$A$505,0)),IF($I2344="Công việc",INDEX('Kế hoạch'!$C$6:$C$305,$O2344),""))</f>
      </c>
      <c r="K2344" s="221">
        <f>IF($I2344="Phản ánh",INDEX('Phản ánh'!$K$6:$K$505,MATCH($C2344,'Phản ánh'!$A$6:$A$505,0))&amp;"",IF($I2344="Công việc",INDEX('Kế hoạch'!$N$6:$N$305,$O2344)&amp;"",""))</f>
      </c>
      <c r="L2344" s="220">
        <f>IF(OR($C2344="",N($B2344)=0),"",IF(AND($I2344="Phản ánh",$E2344="Đã xử lý"),INDEX('Phản ánh'!$U$6:$U$505,MATCH($C2344,'Phản ánh'!$A$6:$A$505,0)),IF(AND($I2344="Công việc",OR($E2344="Hoàn thành",$E2344="Hoàn thành kỳ")),IF(INDEX('Kế hoạch'!$B$6:$B$305,$O2344)="Đột xuất",INDEX('Kế hoạch'!$AY$6:$AY$305,$O2344),IF(N($P2344)=0,"",IF(INT($B2344)&lt;$P2344,$P2344,IF($Q2344&gt;0,$P2344+ROUND((INT($B2344)-$P2344)/$Q2344,0)*$Q2344,IF($R2344&gt;0,EDATE($P2344,ROUND((DATEDIF($P2344,INT($B2344),"m")+(INT($B2344)-EDATE($P2344,DATEDIF($P2344,INT($B2344),"m")))/(EDATE($P2344,DATEDIF($P2344,INT($B2344),"m")+1)-EDATE($P2344,DATEDIF($P2344,INT($B2344),"m"))))/$R2344,0)*$R2344),$P2344))))),"")))</f>
      </c>
      <c r="M2344" s="223">
        <f>IF(OR($C2344="",N($L2344)=0,N($B2344)=0),"",IF(IF(MOD($L2344,1)=0,INT($B2344),$B2344)&lt;=$L2344,"Đúng hạn","Trễ hạn"))</f>
      </c>
      <c r="N2344" s="225">
        <f>IF($C2344="","",ROW())</f>
      </c>
      <c r="O2344" s="225">
        <f>IF($I2344="Công việc",MATCH($C2344,'Kế hoạch'!$A$6:$A$305,0),"")</f>
      </c>
      <c r="P2344" s="234">
        <f>IF($O2344="","",INDEX('Kế hoạch'!$I$6:$I$305,$O2344))</f>
      </c>
      <c r="Q2344" s="225">
        <f>IF($O2344="","",INDEX('Kế hoạch'!$AJ$6:$AJ$305,$O2344))</f>
      </c>
      <c r="R2344" s="225">
        <f>IF($O2344="","",INDEX('Kế hoạch'!$AK$6:$AK$305,$O2344))</f>
      </c>
    </row>
    <row r="2345">
      <c r="A2345" s="223">
        <f>IF($C2345="","",COUNTIF($C$6:$C2345,"?*"))</f>
      </c>
      <c r="B2345" s="217"/>
      <c r="C2345" s="216"/>
      <c r="D2345" s="240"/>
      <c r="E2345" s="218"/>
      <c r="F2345" s="218"/>
      <c r="G2345" s="218"/>
      <c r="H2345" s="219"/>
      <c r="I2345" s="223">
        <f>IF($C2345="","",IF(ISNUMBER(MATCH($C2345,'Phản ánh'!$A$6:$A$505,0)),"Phản ánh",IF(ISNUMBER(MATCH($C2345,'Kế hoạch'!$A$6:$A$305,0)),"Công việc","Mã chưa có")))</f>
      </c>
      <c r="J2345" s="221">
        <f>IF($I2345="Phản ánh",INDEX('Phản ánh'!$C$6:$C$505,MATCH($C2345,'Phản ánh'!$A$6:$A$505,0)),IF($I2345="Công việc",INDEX('Kế hoạch'!$C$6:$C$305,$O2345),""))</f>
      </c>
      <c r="K2345" s="221">
        <f>IF($I2345="Phản ánh",INDEX('Phản ánh'!$K$6:$K$505,MATCH($C2345,'Phản ánh'!$A$6:$A$505,0))&amp;"",IF($I2345="Công việc",INDEX('Kế hoạch'!$N$6:$N$305,$O2345)&amp;"",""))</f>
      </c>
      <c r="L2345" s="220">
        <f>IF(OR($C2345="",N($B2345)=0),"",IF(AND($I2345="Phản ánh",$E2345="Đã xử lý"),INDEX('Phản ánh'!$U$6:$U$505,MATCH($C2345,'Phản ánh'!$A$6:$A$505,0)),IF(AND($I2345="Công việc",OR($E2345="Hoàn thành",$E2345="Hoàn thành kỳ")),IF(INDEX('Kế hoạch'!$B$6:$B$305,$O2345)="Đột xuất",INDEX('Kế hoạch'!$AY$6:$AY$305,$O2345),IF(N($P2345)=0,"",IF(INT($B2345)&lt;$P2345,$P2345,IF($Q2345&gt;0,$P2345+ROUND((INT($B2345)-$P2345)/$Q2345,0)*$Q2345,IF($R2345&gt;0,EDATE($P2345,ROUND((DATEDIF($P2345,INT($B2345),"m")+(INT($B2345)-EDATE($P2345,DATEDIF($P2345,INT($B2345),"m")))/(EDATE($P2345,DATEDIF($P2345,INT($B2345),"m")+1)-EDATE($P2345,DATEDIF($P2345,INT($B2345),"m"))))/$R2345,0)*$R2345),$P2345))))),"")))</f>
      </c>
      <c r="M2345" s="223">
        <f>IF(OR($C2345="",N($L2345)=0,N($B2345)=0),"",IF(IF(MOD($L2345,1)=0,INT($B2345),$B2345)&lt;=$L2345,"Đúng hạn","Trễ hạn"))</f>
      </c>
      <c r="N2345" s="225">
        <f>IF($C2345="","",ROW())</f>
      </c>
      <c r="O2345" s="225">
        <f>IF($I2345="Công việc",MATCH($C2345,'Kế hoạch'!$A$6:$A$305,0),"")</f>
      </c>
      <c r="P2345" s="234">
        <f>IF($O2345="","",INDEX('Kế hoạch'!$I$6:$I$305,$O2345))</f>
      </c>
      <c r="Q2345" s="225">
        <f>IF($O2345="","",INDEX('Kế hoạch'!$AJ$6:$AJ$305,$O2345))</f>
      </c>
      <c r="R2345" s="225">
        <f>IF($O2345="","",INDEX('Kế hoạch'!$AK$6:$AK$305,$O2345))</f>
      </c>
    </row>
    <row r="2346">
      <c r="A2346" s="223">
        <f>IF($C2346="","",COUNTIF($C$6:$C2346,"?*"))</f>
      </c>
      <c r="B2346" s="217"/>
      <c r="C2346" s="216"/>
      <c r="D2346" s="240"/>
      <c r="E2346" s="218"/>
      <c r="F2346" s="218"/>
      <c r="G2346" s="218"/>
      <c r="H2346" s="219"/>
      <c r="I2346" s="223">
        <f>IF($C2346="","",IF(ISNUMBER(MATCH($C2346,'Phản ánh'!$A$6:$A$505,0)),"Phản ánh",IF(ISNUMBER(MATCH($C2346,'Kế hoạch'!$A$6:$A$305,0)),"Công việc","Mã chưa có")))</f>
      </c>
      <c r="J2346" s="221">
        <f>IF($I2346="Phản ánh",INDEX('Phản ánh'!$C$6:$C$505,MATCH($C2346,'Phản ánh'!$A$6:$A$505,0)),IF($I2346="Công việc",INDEX('Kế hoạch'!$C$6:$C$305,$O2346),""))</f>
      </c>
      <c r="K2346" s="221">
        <f>IF($I2346="Phản ánh",INDEX('Phản ánh'!$K$6:$K$505,MATCH($C2346,'Phản ánh'!$A$6:$A$505,0))&amp;"",IF($I2346="Công việc",INDEX('Kế hoạch'!$N$6:$N$305,$O2346)&amp;"",""))</f>
      </c>
      <c r="L2346" s="220">
        <f>IF(OR($C2346="",N($B2346)=0),"",IF(AND($I2346="Phản ánh",$E2346="Đã xử lý"),INDEX('Phản ánh'!$U$6:$U$505,MATCH($C2346,'Phản ánh'!$A$6:$A$505,0)),IF(AND($I2346="Công việc",OR($E2346="Hoàn thành",$E2346="Hoàn thành kỳ")),IF(INDEX('Kế hoạch'!$B$6:$B$305,$O2346)="Đột xuất",INDEX('Kế hoạch'!$AY$6:$AY$305,$O2346),IF(N($P2346)=0,"",IF(INT($B2346)&lt;$P2346,$P2346,IF($Q2346&gt;0,$P2346+ROUND((INT($B2346)-$P2346)/$Q2346,0)*$Q2346,IF($R2346&gt;0,EDATE($P2346,ROUND((DATEDIF($P2346,INT($B2346),"m")+(INT($B2346)-EDATE($P2346,DATEDIF($P2346,INT($B2346),"m")))/(EDATE($P2346,DATEDIF($P2346,INT($B2346),"m")+1)-EDATE($P2346,DATEDIF($P2346,INT($B2346),"m"))))/$R2346,0)*$R2346),$P2346))))),"")))</f>
      </c>
      <c r="M2346" s="223">
        <f>IF(OR($C2346="",N($L2346)=0,N($B2346)=0),"",IF(IF(MOD($L2346,1)=0,INT($B2346),$B2346)&lt;=$L2346,"Đúng hạn","Trễ hạn"))</f>
      </c>
      <c r="N2346" s="225">
        <f>IF($C2346="","",ROW())</f>
      </c>
      <c r="O2346" s="225">
        <f>IF($I2346="Công việc",MATCH($C2346,'Kế hoạch'!$A$6:$A$305,0),"")</f>
      </c>
      <c r="P2346" s="234">
        <f>IF($O2346="","",INDEX('Kế hoạch'!$I$6:$I$305,$O2346))</f>
      </c>
      <c r="Q2346" s="225">
        <f>IF($O2346="","",INDEX('Kế hoạch'!$AJ$6:$AJ$305,$O2346))</f>
      </c>
      <c r="R2346" s="225">
        <f>IF($O2346="","",INDEX('Kế hoạch'!$AK$6:$AK$305,$O2346))</f>
      </c>
    </row>
    <row r="2347">
      <c r="A2347" s="223">
        <f>IF($C2347="","",COUNTIF($C$6:$C2347,"?*"))</f>
      </c>
      <c r="B2347" s="217"/>
      <c r="C2347" s="216"/>
      <c r="D2347" s="240"/>
      <c r="E2347" s="218"/>
      <c r="F2347" s="218"/>
      <c r="G2347" s="218"/>
      <c r="H2347" s="219"/>
      <c r="I2347" s="223">
        <f>IF($C2347="","",IF(ISNUMBER(MATCH($C2347,'Phản ánh'!$A$6:$A$505,0)),"Phản ánh",IF(ISNUMBER(MATCH($C2347,'Kế hoạch'!$A$6:$A$305,0)),"Công việc","Mã chưa có")))</f>
      </c>
      <c r="J2347" s="221">
        <f>IF($I2347="Phản ánh",INDEX('Phản ánh'!$C$6:$C$505,MATCH($C2347,'Phản ánh'!$A$6:$A$505,0)),IF($I2347="Công việc",INDEX('Kế hoạch'!$C$6:$C$305,$O2347),""))</f>
      </c>
      <c r="K2347" s="221">
        <f>IF($I2347="Phản ánh",INDEX('Phản ánh'!$K$6:$K$505,MATCH($C2347,'Phản ánh'!$A$6:$A$505,0))&amp;"",IF($I2347="Công việc",INDEX('Kế hoạch'!$N$6:$N$305,$O2347)&amp;"",""))</f>
      </c>
      <c r="L2347" s="220">
        <f>IF(OR($C2347="",N($B2347)=0),"",IF(AND($I2347="Phản ánh",$E2347="Đã xử lý"),INDEX('Phản ánh'!$U$6:$U$505,MATCH($C2347,'Phản ánh'!$A$6:$A$505,0)),IF(AND($I2347="Công việc",OR($E2347="Hoàn thành",$E2347="Hoàn thành kỳ")),IF(INDEX('Kế hoạch'!$B$6:$B$305,$O2347)="Đột xuất",INDEX('Kế hoạch'!$AY$6:$AY$305,$O2347),IF(N($P2347)=0,"",IF(INT($B2347)&lt;$P2347,$P2347,IF($Q2347&gt;0,$P2347+ROUND((INT($B2347)-$P2347)/$Q2347,0)*$Q2347,IF($R2347&gt;0,EDATE($P2347,ROUND((DATEDIF($P2347,INT($B2347),"m")+(INT($B2347)-EDATE($P2347,DATEDIF($P2347,INT($B2347),"m")))/(EDATE($P2347,DATEDIF($P2347,INT($B2347),"m")+1)-EDATE($P2347,DATEDIF($P2347,INT($B2347),"m"))))/$R2347,0)*$R2347),$P2347))))),"")))</f>
      </c>
      <c r="M2347" s="223">
        <f>IF(OR($C2347="",N($L2347)=0,N($B2347)=0),"",IF(IF(MOD($L2347,1)=0,INT($B2347),$B2347)&lt;=$L2347,"Đúng hạn","Trễ hạn"))</f>
      </c>
      <c r="N2347" s="225">
        <f>IF($C2347="","",ROW())</f>
      </c>
      <c r="O2347" s="225">
        <f>IF($I2347="Công việc",MATCH($C2347,'Kế hoạch'!$A$6:$A$305,0),"")</f>
      </c>
      <c r="P2347" s="234">
        <f>IF($O2347="","",INDEX('Kế hoạch'!$I$6:$I$305,$O2347))</f>
      </c>
      <c r="Q2347" s="225">
        <f>IF($O2347="","",INDEX('Kế hoạch'!$AJ$6:$AJ$305,$O2347))</f>
      </c>
      <c r="R2347" s="225">
        <f>IF($O2347="","",INDEX('Kế hoạch'!$AK$6:$AK$305,$O2347))</f>
      </c>
    </row>
    <row r="2348">
      <c r="A2348" s="223">
        <f>IF($C2348="","",COUNTIF($C$6:$C2348,"?*"))</f>
      </c>
      <c r="B2348" s="217"/>
      <c r="C2348" s="216"/>
      <c r="D2348" s="240"/>
      <c r="E2348" s="218"/>
      <c r="F2348" s="218"/>
      <c r="G2348" s="218"/>
      <c r="H2348" s="219"/>
      <c r="I2348" s="223">
        <f>IF($C2348="","",IF(ISNUMBER(MATCH($C2348,'Phản ánh'!$A$6:$A$505,0)),"Phản ánh",IF(ISNUMBER(MATCH($C2348,'Kế hoạch'!$A$6:$A$305,0)),"Công việc","Mã chưa có")))</f>
      </c>
      <c r="J2348" s="221">
        <f>IF($I2348="Phản ánh",INDEX('Phản ánh'!$C$6:$C$505,MATCH($C2348,'Phản ánh'!$A$6:$A$505,0)),IF($I2348="Công việc",INDEX('Kế hoạch'!$C$6:$C$305,$O2348),""))</f>
      </c>
      <c r="K2348" s="221">
        <f>IF($I2348="Phản ánh",INDEX('Phản ánh'!$K$6:$K$505,MATCH($C2348,'Phản ánh'!$A$6:$A$505,0))&amp;"",IF($I2348="Công việc",INDEX('Kế hoạch'!$N$6:$N$305,$O2348)&amp;"",""))</f>
      </c>
      <c r="L2348" s="220">
        <f>IF(OR($C2348="",N($B2348)=0),"",IF(AND($I2348="Phản ánh",$E2348="Đã xử lý"),INDEX('Phản ánh'!$U$6:$U$505,MATCH($C2348,'Phản ánh'!$A$6:$A$505,0)),IF(AND($I2348="Công việc",OR($E2348="Hoàn thành",$E2348="Hoàn thành kỳ")),IF(INDEX('Kế hoạch'!$B$6:$B$305,$O2348)="Đột xuất",INDEX('Kế hoạch'!$AY$6:$AY$305,$O2348),IF(N($P2348)=0,"",IF(INT($B2348)&lt;$P2348,$P2348,IF($Q2348&gt;0,$P2348+ROUND((INT($B2348)-$P2348)/$Q2348,0)*$Q2348,IF($R2348&gt;0,EDATE($P2348,ROUND((DATEDIF($P2348,INT($B2348),"m")+(INT($B2348)-EDATE($P2348,DATEDIF($P2348,INT($B2348),"m")))/(EDATE($P2348,DATEDIF($P2348,INT($B2348),"m")+1)-EDATE($P2348,DATEDIF($P2348,INT($B2348),"m"))))/$R2348,0)*$R2348),$P2348))))),"")))</f>
      </c>
      <c r="M2348" s="223">
        <f>IF(OR($C2348="",N($L2348)=0,N($B2348)=0),"",IF(IF(MOD($L2348,1)=0,INT($B2348),$B2348)&lt;=$L2348,"Đúng hạn","Trễ hạn"))</f>
      </c>
      <c r="N2348" s="225">
        <f>IF($C2348="","",ROW())</f>
      </c>
      <c r="O2348" s="225">
        <f>IF($I2348="Công việc",MATCH($C2348,'Kế hoạch'!$A$6:$A$305,0),"")</f>
      </c>
      <c r="P2348" s="234">
        <f>IF($O2348="","",INDEX('Kế hoạch'!$I$6:$I$305,$O2348))</f>
      </c>
      <c r="Q2348" s="225">
        <f>IF($O2348="","",INDEX('Kế hoạch'!$AJ$6:$AJ$305,$O2348))</f>
      </c>
      <c r="R2348" s="225">
        <f>IF($O2348="","",INDEX('Kế hoạch'!$AK$6:$AK$305,$O2348))</f>
      </c>
    </row>
    <row r="2349">
      <c r="A2349" s="223">
        <f>IF($C2349="","",COUNTIF($C$6:$C2349,"?*"))</f>
      </c>
      <c r="B2349" s="217"/>
      <c r="C2349" s="216"/>
      <c r="D2349" s="240"/>
      <c r="E2349" s="218"/>
      <c r="F2349" s="218"/>
      <c r="G2349" s="218"/>
      <c r="H2349" s="219"/>
      <c r="I2349" s="223">
        <f>IF($C2349="","",IF(ISNUMBER(MATCH($C2349,'Phản ánh'!$A$6:$A$505,0)),"Phản ánh",IF(ISNUMBER(MATCH($C2349,'Kế hoạch'!$A$6:$A$305,0)),"Công việc","Mã chưa có")))</f>
      </c>
      <c r="J2349" s="221">
        <f>IF($I2349="Phản ánh",INDEX('Phản ánh'!$C$6:$C$505,MATCH($C2349,'Phản ánh'!$A$6:$A$505,0)),IF($I2349="Công việc",INDEX('Kế hoạch'!$C$6:$C$305,$O2349),""))</f>
      </c>
      <c r="K2349" s="221">
        <f>IF($I2349="Phản ánh",INDEX('Phản ánh'!$K$6:$K$505,MATCH($C2349,'Phản ánh'!$A$6:$A$505,0))&amp;"",IF($I2349="Công việc",INDEX('Kế hoạch'!$N$6:$N$305,$O2349)&amp;"",""))</f>
      </c>
      <c r="L2349" s="220">
        <f>IF(OR($C2349="",N($B2349)=0),"",IF(AND($I2349="Phản ánh",$E2349="Đã xử lý"),INDEX('Phản ánh'!$U$6:$U$505,MATCH($C2349,'Phản ánh'!$A$6:$A$505,0)),IF(AND($I2349="Công việc",OR($E2349="Hoàn thành",$E2349="Hoàn thành kỳ")),IF(INDEX('Kế hoạch'!$B$6:$B$305,$O2349)="Đột xuất",INDEX('Kế hoạch'!$AY$6:$AY$305,$O2349),IF(N($P2349)=0,"",IF(INT($B2349)&lt;$P2349,$P2349,IF($Q2349&gt;0,$P2349+ROUND((INT($B2349)-$P2349)/$Q2349,0)*$Q2349,IF($R2349&gt;0,EDATE($P2349,ROUND((DATEDIF($P2349,INT($B2349),"m")+(INT($B2349)-EDATE($P2349,DATEDIF($P2349,INT($B2349),"m")))/(EDATE($P2349,DATEDIF($P2349,INT($B2349),"m")+1)-EDATE($P2349,DATEDIF($P2349,INT($B2349),"m"))))/$R2349,0)*$R2349),$P2349))))),"")))</f>
      </c>
      <c r="M2349" s="223">
        <f>IF(OR($C2349="",N($L2349)=0,N($B2349)=0),"",IF(IF(MOD($L2349,1)=0,INT($B2349),$B2349)&lt;=$L2349,"Đúng hạn","Trễ hạn"))</f>
      </c>
      <c r="N2349" s="225">
        <f>IF($C2349="","",ROW())</f>
      </c>
      <c r="O2349" s="225">
        <f>IF($I2349="Công việc",MATCH($C2349,'Kế hoạch'!$A$6:$A$305,0),"")</f>
      </c>
      <c r="P2349" s="234">
        <f>IF($O2349="","",INDEX('Kế hoạch'!$I$6:$I$305,$O2349))</f>
      </c>
      <c r="Q2349" s="225">
        <f>IF($O2349="","",INDEX('Kế hoạch'!$AJ$6:$AJ$305,$O2349))</f>
      </c>
      <c r="R2349" s="225">
        <f>IF($O2349="","",INDEX('Kế hoạch'!$AK$6:$AK$305,$O2349))</f>
      </c>
    </row>
    <row r="2350">
      <c r="A2350" s="223">
        <f>IF($C2350="","",COUNTIF($C$6:$C2350,"?*"))</f>
      </c>
      <c r="B2350" s="217"/>
      <c r="C2350" s="216"/>
      <c r="D2350" s="240"/>
      <c r="E2350" s="218"/>
      <c r="F2350" s="218"/>
      <c r="G2350" s="218"/>
      <c r="H2350" s="219"/>
      <c r="I2350" s="223">
        <f>IF($C2350="","",IF(ISNUMBER(MATCH($C2350,'Phản ánh'!$A$6:$A$505,0)),"Phản ánh",IF(ISNUMBER(MATCH($C2350,'Kế hoạch'!$A$6:$A$305,0)),"Công việc","Mã chưa có")))</f>
      </c>
      <c r="J2350" s="221">
        <f>IF($I2350="Phản ánh",INDEX('Phản ánh'!$C$6:$C$505,MATCH($C2350,'Phản ánh'!$A$6:$A$505,0)),IF($I2350="Công việc",INDEX('Kế hoạch'!$C$6:$C$305,$O2350),""))</f>
      </c>
      <c r="K2350" s="221">
        <f>IF($I2350="Phản ánh",INDEX('Phản ánh'!$K$6:$K$505,MATCH($C2350,'Phản ánh'!$A$6:$A$505,0))&amp;"",IF($I2350="Công việc",INDEX('Kế hoạch'!$N$6:$N$305,$O2350)&amp;"",""))</f>
      </c>
      <c r="L2350" s="220">
        <f>IF(OR($C2350="",N($B2350)=0),"",IF(AND($I2350="Phản ánh",$E2350="Đã xử lý"),INDEX('Phản ánh'!$U$6:$U$505,MATCH($C2350,'Phản ánh'!$A$6:$A$505,0)),IF(AND($I2350="Công việc",OR($E2350="Hoàn thành",$E2350="Hoàn thành kỳ")),IF(INDEX('Kế hoạch'!$B$6:$B$305,$O2350)="Đột xuất",INDEX('Kế hoạch'!$AY$6:$AY$305,$O2350),IF(N($P2350)=0,"",IF(INT($B2350)&lt;$P2350,$P2350,IF($Q2350&gt;0,$P2350+ROUND((INT($B2350)-$P2350)/$Q2350,0)*$Q2350,IF($R2350&gt;0,EDATE($P2350,ROUND((DATEDIF($P2350,INT($B2350),"m")+(INT($B2350)-EDATE($P2350,DATEDIF($P2350,INT($B2350),"m")))/(EDATE($P2350,DATEDIF($P2350,INT($B2350),"m")+1)-EDATE($P2350,DATEDIF($P2350,INT($B2350),"m"))))/$R2350,0)*$R2350),$P2350))))),"")))</f>
      </c>
      <c r="M2350" s="223">
        <f>IF(OR($C2350="",N($L2350)=0,N($B2350)=0),"",IF(IF(MOD($L2350,1)=0,INT($B2350),$B2350)&lt;=$L2350,"Đúng hạn","Trễ hạn"))</f>
      </c>
      <c r="N2350" s="225">
        <f>IF($C2350="","",ROW())</f>
      </c>
      <c r="O2350" s="225">
        <f>IF($I2350="Công việc",MATCH($C2350,'Kế hoạch'!$A$6:$A$305,0),"")</f>
      </c>
      <c r="P2350" s="234">
        <f>IF($O2350="","",INDEX('Kế hoạch'!$I$6:$I$305,$O2350))</f>
      </c>
      <c r="Q2350" s="225">
        <f>IF($O2350="","",INDEX('Kế hoạch'!$AJ$6:$AJ$305,$O2350))</f>
      </c>
      <c r="R2350" s="225">
        <f>IF($O2350="","",INDEX('Kế hoạch'!$AK$6:$AK$305,$O2350))</f>
      </c>
    </row>
    <row r="2351">
      <c r="A2351" s="223">
        <f>IF($C2351="","",COUNTIF($C$6:$C2351,"?*"))</f>
      </c>
      <c r="B2351" s="217"/>
      <c r="C2351" s="216"/>
      <c r="D2351" s="240"/>
      <c r="E2351" s="218"/>
      <c r="F2351" s="218"/>
      <c r="G2351" s="218"/>
      <c r="H2351" s="219"/>
      <c r="I2351" s="223">
        <f>IF($C2351="","",IF(ISNUMBER(MATCH($C2351,'Phản ánh'!$A$6:$A$505,0)),"Phản ánh",IF(ISNUMBER(MATCH($C2351,'Kế hoạch'!$A$6:$A$305,0)),"Công việc","Mã chưa có")))</f>
      </c>
      <c r="J2351" s="221">
        <f>IF($I2351="Phản ánh",INDEX('Phản ánh'!$C$6:$C$505,MATCH($C2351,'Phản ánh'!$A$6:$A$505,0)),IF($I2351="Công việc",INDEX('Kế hoạch'!$C$6:$C$305,$O2351),""))</f>
      </c>
      <c r="K2351" s="221">
        <f>IF($I2351="Phản ánh",INDEX('Phản ánh'!$K$6:$K$505,MATCH($C2351,'Phản ánh'!$A$6:$A$505,0))&amp;"",IF($I2351="Công việc",INDEX('Kế hoạch'!$N$6:$N$305,$O2351)&amp;"",""))</f>
      </c>
      <c r="L2351" s="220">
        <f>IF(OR($C2351="",N($B2351)=0),"",IF(AND($I2351="Phản ánh",$E2351="Đã xử lý"),INDEX('Phản ánh'!$U$6:$U$505,MATCH($C2351,'Phản ánh'!$A$6:$A$505,0)),IF(AND($I2351="Công việc",OR($E2351="Hoàn thành",$E2351="Hoàn thành kỳ")),IF(INDEX('Kế hoạch'!$B$6:$B$305,$O2351)="Đột xuất",INDEX('Kế hoạch'!$AY$6:$AY$305,$O2351),IF(N($P2351)=0,"",IF(INT($B2351)&lt;$P2351,$P2351,IF($Q2351&gt;0,$P2351+ROUND((INT($B2351)-$P2351)/$Q2351,0)*$Q2351,IF($R2351&gt;0,EDATE($P2351,ROUND((DATEDIF($P2351,INT($B2351),"m")+(INT($B2351)-EDATE($P2351,DATEDIF($P2351,INT($B2351),"m")))/(EDATE($P2351,DATEDIF($P2351,INT($B2351),"m")+1)-EDATE($P2351,DATEDIF($P2351,INT($B2351),"m"))))/$R2351,0)*$R2351),$P2351))))),"")))</f>
      </c>
      <c r="M2351" s="223">
        <f>IF(OR($C2351="",N($L2351)=0,N($B2351)=0),"",IF(IF(MOD($L2351,1)=0,INT($B2351),$B2351)&lt;=$L2351,"Đúng hạn","Trễ hạn"))</f>
      </c>
      <c r="N2351" s="225">
        <f>IF($C2351="","",ROW())</f>
      </c>
      <c r="O2351" s="225">
        <f>IF($I2351="Công việc",MATCH($C2351,'Kế hoạch'!$A$6:$A$305,0),"")</f>
      </c>
      <c r="P2351" s="234">
        <f>IF($O2351="","",INDEX('Kế hoạch'!$I$6:$I$305,$O2351))</f>
      </c>
      <c r="Q2351" s="225">
        <f>IF($O2351="","",INDEX('Kế hoạch'!$AJ$6:$AJ$305,$O2351))</f>
      </c>
      <c r="R2351" s="225">
        <f>IF($O2351="","",INDEX('Kế hoạch'!$AK$6:$AK$305,$O2351))</f>
      </c>
    </row>
    <row r="2352">
      <c r="A2352" s="223">
        <f>IF($C2352="","",COUNTIF($C$6:$C2352,"?*"))</f>
      </c>
      <c r="B2352" s="217"/>
      <c r="C2352" s="216"/>
      <c r="D2352" s="240"/>
      <c r="E2352" s="218"/>
      <c r="F2352" s="218"/>
      <c r="G2352" s="218"/>
      <c r="H2352" s="219"/>
      <c r="I2352" s="223">
        <f>IF($C2352="","",IF(ISNUMBER(MATCH($C2352,'Phản ánh'!$A$6:$A$505,0)),"Phản ánh",IF(ISNUMBER(MATCH($C2352,'Kế hoạch'!$A$6:$A$305,0)),"Công việc","Mã chưa có")))</f>
      </c>
      <c r="J2352" s="221">
        <f>IF($I2352="Phản ánh",INDEX('Phản ánh'!$C$6:$C$505,MATCH($C2352,'Phản ánh'!$A$6:$A$505,0)),IF($I2352="Công việc",INDEX('Kế hoạch'!$C$6:$C$305,$O2352),""))</f>
      </c>
      <c r="K2352" s="221">
        <f>IF($I2352="Phản ánh",INDEX('Phản ánh'!$K$6:$K$505,MATCH($C2352,'Phản ánh'!$A$6:$A$505,0))&amp;"",IF($I2352="Công việc",INDEX('Kế hoạch'!$N$6:$N$305,$O2352)&amp;"",""))</f>
      </c>
      <c r="L2352" s="220">
        <f>IF(OR($C2352="",N($B2352)=0),"",IF(AND($I2352="Phản ánh",$E2352="Đã xử lý"),INDEX('Phản ánh'!$U$6:$U$505,MATCH($C2352,'Phản ánh'!$A$6:$A$505,0)),IF(AND($I2352="Công việc",OR($E2352="Hoàn thành",$E2352="Hoàn thành kỳ")),IF(INDEX('Kế hoạch'!$B$6:$B$305,$O2352)="Đột xuất",INDEX('Kế hoạch'!$AY$6:$AY$305,$O2352),IF(N($P2352)=0,"",IF(INT($B2352)&lt;$P2352,$P2352,IF($Q2352&gt;0,$P2352+ROUND((INT($B2352)-$P2352)/$Q2352,0)*$Q2352,IF($R2352&gt;0,EDATE($P2352,ROUND((DATEDIF($P2352,INT($B2352),"m")+(INT($B2352)-EDATE($P2352,DATEDIF($P2352,INT($B2352),"m")))/(EDATE($P2352,DATEDIF($P2352,INT($B2352),"m")+1)-EDATE($P2352,DATEDIF($P2352,INT($B2352),"m"))))/$R2352,0)*$R2352),$P2352))))),"")))</f>
      </c>
      <c r="M2352" s="223">
        <f>IF(OR($C2352="",N($L2352)=0,N($B2352)=0),"",IF(IF(MOD($L2352,1)=0,INT($B2352),$B2352)&lt;=$L2352,"Đúng hạn","Trễ hạn"))</f>
      </c>
      <c r="N2352" s="225">
        <f>IF($C2352="","",ROW())</f>
      </c>
      <c r="O2352" s="225">
        <f>IF($I2352="Công việc",MATCH($C2352,'Kế hoạch'!$A$6:$A$305,0),"")</f>
      </c>
      <c r="P2352" s="234">
        <f>IF($O2352="","",INDEX('Kế hoạch'!$I$6:$I$305,$O2352))</f>
      </c>
      <c r="Q2352" s="225">
        <f>IF($O2352="","",INDEX('Kế hoạch'!$AJ$6:$AJ$305,$O2352))</f>
      </c>
      <c r="R2352" s="225">
        <f>IF($O2352="","",INDEX('Kế hoạch'!$AK$6:$AK$305,$O2352))</f>
      </c>
    </row>
    <row r="2353">
      <c r="A2353" s="223">
        <f>IF($C2353="","",COUNTIF($C$6:$C2353,"?*"))</f>
      </c>
      <c r="B2353" s="217"/>
      <c r="C2353" s="216"/>
      <c r="D2353" s="240"/>
      <c r="E2353" s="218"/>
      <c r="F2353" s="218"/>
      <c r="G2353" s="218"/>
      <c r="H2353" s="219"/>
      <c r="I2353" s="223">
        <f>IF($C2353="","",IF(ISNUMBER(MATCH($C2353,'Phản ánh'!$A$6:$A$505,0)),"Phản ánh",IF(ISNUMBER(MATCH($C2353,'Kế hoạch'!$A$6:$A$305,0)),"Công việc","Mã chưa có")))</f>
      </c>
      <c r="J2353" s="221">
        <f>IF($I2353="Phản ánh",INDEX('Phản ánh'!$C$6:$C$505,MATCH($C2353,'Phản ánh'!$A$6:$A$505,0)),IF($I2353="Công việc",INDEX('Kế hoạch'!$C$6:$C$305,$O2353),""))</f>
      </c>
      <c r="K2353" s="221">
        <f>IF($I2353="Phản ánh",INDEX('Phản ánh'!$K$6:$K$505,MATCH($C2353,'Phản ánh'!$A$6:$A$505,0))&amp;"",IF($I2353="Công việc",INDEX('Kế hoạch'!$N$6:$N$305,$O2353)&amp;"",""))</f>
      </c>
      <c r="L2353" s="220">
        <f>IF(OR($C2353="",N($B2353)=0),"",IF(AND($I2353="Phản ánh",$E2353="Đã xử lý"),INDEX('Phản ánh'!$U$6:$U$505,MATCH($C2353,'Phản ánh'!$A$6:$A$505,0)),IF(AND($I2353="Công việc",OR($E2353="Hoàn thành",$E2353="Hoàn thành kỳ")),IF(INDEX('Kế hoạch'!$B$6:$B$305,$O2353)="Đột xuất",INDEX('Kế hoạch'!$AY$6:$AY$305,$O2353),IF(N($P2353)=0,"",IF(INT($B2353)&lt;$P2353,$P2353,IF($Q2353&gt;0,$P2353+ROUND((INT($B2353)-$P2353)/$Q2353,0)*$Q2353,IF($R2353&gt;0,EDATE($P2353,ROUND((DATEDIF($P2353,INT($B2353),"m")+(INT($B2353)-EDATE($P2353,DATEDIF($P2353,INT($B2353),"m")))/(EDATE($P2353,DATEDIF($P2353,INT($B2353),"m")+1)-EDATE($P2353,DATEDIF($P2353,INT($B2353),"m"))))/$R2353,0)*$R2353),$P2353))))),"")))</f>
      </c>
      <c r="M2353" s="223">
        <f>IF(OR($C2353="",N($L2353)=0,N($B2353)=0),"",IF(IF(MOD($L2353,1)=0,INT($B2353),$B2353)&lt;=$L2353,"Đúng hạn","Trễ hạn"))</f>
      </c>
      <c r="N2353" s="225">
        <f>IF($C2353="","",ROW())</f>
      </c>
      <c r="O2353" s="225">
        <f>IF($I2353="Công việc",MATCH($C2353,'Kế hoạch'!$A$6:$A$305,0),"")</f>
      </c>
      <c r="P2353" s="234">
        <f>IF($O2353="","",INDEX('Kế hoạch'!$I$6:$I$305,$O2353))</f>
      </c>
      <c r="Q2353" s="225">
        <f>IF($O2353="","",INDEX('Kế hoạch'!$AJ$6:$AJ$305,$O2353))</f>
      </c>
      <c r="R2353" s="225">
        <f>IF($O2353="","",INDEX('Kế hoạch'!$AK$6:$AK$305,$O2353))</f>
      </c>
    </row>
    <row r="2354">
      <c r="A2354" s="223">
        <f>IF($C2354="","",COUNTIF($C$6:$C2354,"?*"))</f>
      </c>
      <c r="B2354" s="217"/>
      <c r="C2354" s="216"/>
      <c r="D2354" s="240"/>
      <c r="E2354" s="218"/>
      <c r="F2354" s="218"/>
      <c r="G2354" s="218"/>
      <c r="H2354" s="219"/>
      <c r="I2354" s="223">
        <f>IF($C2354="","",IF(ISNUMBER(MATCH($C2354,'Phản ánh'!$A$6:$A$505,0)),"Phản ánh",IF(ISNUMBER(MATCH($C2354,'Kế hoạch'!$A$6:$A$305,0)),"Công việc","Mã chưa có")))</f>
      </c>
      <c r="J2354" s="221">
        <f>IF($I2354="Phản ánh",INDEX('Phản ánh'!$C$6:$C$505,MATCH($C2354,'Phản ánh'!$A$6:$A$505,0)),IF($I2354="Công việc",INDEX('Kế hoạch'!$C$6:$C$305,$O2354),""))</f>
      </c>
      <c r="K2354" s="221">
        <f>IF($I2354="Phản ánh",INDEX('Phản ánh'!$K$6:$K$505,MATCH($C2354,'Phản ánh'!$A$6:$A$505,0))&amp;"",IF($I2354="Công việc",INDEX('Kế hoạch'!$N$6:$N$305,$O2354)&amp;"",""))</f>
      </c>
      <c r="L2354" s="220">
        <f>IF(OR($C2354="",N($B2354)=0),"",IF(AND($I2354="Phản ánh",$E2354="Đã xử lý"),INDEX('Phản ánh'!$U$6:$U$505,MATCH($C2354,'Phản ánh'!$A$6:$A$505,0)),IF(AND($I2354="Công việc",OR($E2354="Hoàn thành",$E2354="Hoàn thành kỳ")),IF(INDEX('Kế hoạch'!$B$6:$B$305,$O2354)="Đột xuất",INDEX('Kế hoạch'!$AY$6:$AY$305,$O2354),IF(N($P2354)=0,"",IF(INT($B2354)&lt;$P2354,$P2354,IF($Q2354&gt;0,$P2354+ROUND((INT($B2354)-$P2354)/$Q2354,0)*$Q2354,IF($R2354&gt;0,EDATE($P2354,ROUND((DATEDIF($P2354,INT($B2354),"m")+(INT($B2354)-EDATE($P2354,DATEDIF($P2354,INT($B2354),"m")))/(EDATE($P2354,DATEDIF($P2354,INT($B2354),"m")+1)-EDATE($P2354,DATEDIF($P2354,INT($B2354),"m"))))/$R2354,0)*$R2354),$P2354))))),"")))</f>
      </c>
      <c r="M2354" s="223">
        <f>IF(OR($C2354="",N($L2354)=0,N($B2354)=0),"",IF(IF(MOD($L2354,1)=0,INT($B2354),$B2354)&lt;=$L2354,"Đúng hạn","Trễ hạn"))</f>
      </c>
      <c r="N2354" s="225">
        <f>IF($C2354="","",ROW())</f>
      </c>
      <c r="O2354" s="225">
        <f>IF($I2354="Công việc",MATCH($C2354,'Kế hoạch'!$A$6:$A$305,0),"")</f>
      </c>
      <c r="P2354" s="234">
        <f>IF($O2354="","",INDEX('Kế hoạch'!$I$6:$I$305,$O2354))</f>
      </c>
      <c r="Q2354" s="225">
        <f>IF($O2354="","",INDEX('Kế hoạch'!$AJ$6:$AJ$305,$O2354))</f>
      </c>
      <c r="R2354" s="225">
        <f>IF($O2354="","",INDEX('Kế hoạch'!$AK$6:$AK$305,$O2354))</f>
      </c>
    </row>
    <row r="2355">
      <c r="A2355" s="223">
        <f>IF($C2355="","",COUNTIF($C$6:$C2355,"?*"))</f>
      </c>
      <c r="B2355" s="217"/>
      <c r="C2355" s="216"/>
      <c r="D2355" s="240"/>
      <c r="E2355" s="218"/>
      <c r="F2355" s="218"/>
      <c r="G2355" s="218"/>
      <c r="H2355" s="219"/>
      <c r="I2355" s="223">
        <f>IF($C2355="","",IF(ISNUMBER(MATCH($C2355,'Phản ánh'!$A$6:$A$505,0)),"Phản ánh",IF(ISNUMBER(MATCH($C2355,'Kế hoạch'!$A$6:$A$305,0)),"Công việc","Mã chưa có")))</f>
      </c>
      <c r="J2355" s="221">
        <f>IF($I2355="Phản ánh",INDEX('Phản ánh'!$C$6:$C$505,MATCH($C2355,'Phản ánh'!$A$6:$A$505,0)),IF($I2355="Công việc",INDEX('Kế hoạch'!$C$6:$C$305,$O2355),""))</f>
      </c>
      <c r="K2355" s="221">
        <f>IF($I2355="Phản ánh",INDEX('Phản ánh'!$K$6:$K$505,MATCH($C2355,'Phản ánh'!$A$6:$A$505,0))&amp;"",IF($I2355="Công việc",INDEX('Kế hoạch'!$N$6:$N$305,$O2355)&amp;"",""))</f>
      </c>
      <c r="L2355" s="220">
        <f>IF(OR($C2355="",N($B2355)=0),"",IF(AND($I2355="Phản ánh",$E2355="Đã xử lý"),INDEX('Phản ánh'!$U$6:$U$505,MATCH($C2355,'Phản ánh'!$A$6:$A$505,0)),IF(AND($I2355="Công việc",OR($E2355="Hoàn thành",$E2355="Hoàn thành kỳ")),IF(INDEX('Kế hoạch'!$B$6:$B$305,$O2355)="Đột xuất",INDEX('Kế hoạch'!$AY$6:$AY$305,$O2355),IF(N($P2355)=0,"",IF(INT($B2355)&lt;$P2355,$P2355,IF($Q2355&gt;0,$P2355+ROUND((INT($B2355)-$P2355)/$Q2355,0)*$Q2355,IF($R2355&gt;0,EDATE($P2355,ROUND((DATEDIF($P2355,INT($B2355),"m")+(INT($B2355)-EDATE($P2355,DATEDIF($P2355,INT($B2355),"m")))/(EDATE($P2355,DATEDIF($P2355,INT($B2355),"m")+1)-EDATE($P2355,DATEDIF($P2355,INT($B2355),"m"))))/$R2355,0)*$R2355),$P2355))))),"")))</f>
      </c>
      <c r="M2355" s="223">
        <f>IF(OR($C2355="",N($L2355)=0,N($B2355)=0),"",IF(IF(MOD($L2355,1)=0,INT($B2355),$B2355)&lt;=$L2355,"Đúng hạn","Trễ hạn"))</f>
      </c>
      <c r="N2355" s="225">
        <f>IF($C2355="","",ROW())</f>
      </c>
      <c r="O2355" s="225">
        <f>IF($I2355="Công việc",MATCH($C2355,'Kế hoạch'!$A$6:$A$305,0),"")</f>
      </c>
      <c r="P2355" s="234">
        <f>IF($O2355="","",INDEX('Kế hoạch'!$I$6:$I$305,$O2355))</f>
      </c>
      <c r="Q2355" s="225">
        <f>IF($O2355="","",INDEX('Kế hoạch'!$AJ$6:$AJ$305,$O2355))</f>
      </c>
      <c r="R2355" s="225">
        <f>IF($O2355="","",INDEX('Kế hoạch'!$AK$6:$AK$305,$O2355))</f>
      </c>
    </row>
    <row r="2356">
      <c r="A2356" s="223">
        <f>IF($C2356="","",COUNTIF($C$6:$C2356,"?*"))</f>
      </c>
      <c r="B2356" s="217"/>
      <c r="C2356" s="216"/>
      <c r="D2356" s="240"/>
      <c r="E2356" s="218"/>
      <c r="F2356" s="218"/>
      <c r="G2356" s="218"/>
      <c r="H2356" s="219"/>
      <c r="I2356" s="223">
        <f>IF($C2356="","",IF(ISNUMBER(MATCH($C2356,'Phản ánh'!$A$6:$A$505,0)),"Phản ánh",IF(ISNUMBER(MATCH($C2356,'Kế hoạch'!$A$6:$A$305,0)),"Công việc","Mã chưa có")))</f>
      </c>
      <c r="J2356" s="221">
        <f>IF($I2356="Phản ánh",INDEX('Phản ánh'!$C$6:$C$505,MATCH($C2356,'Phản ánh'!$A$6:$A$505,0)),IF($I2356="Công việc",INDEX('Kế hoạch'!$C$6:$C$305,$O2356),""))</f>
      </c>
      <c r="K2356" s="221">
        <f>IF($I2356="Phản ánh",INDEX('Phản ánh'!$K$6:$K$505,MATCH($C2356,'Phản ánh'!$A$6:$A$505,0))&amp;"",IF($I2356="Công việc",INDEX('Kế hoạch'!$N$6:$N$305,$O2356)&amp;"",""))</f>
      </c>
      <c r="L2356" s="220">
        <f>IF(OR($C2356="",N($B2356)=0),"",IF(AND($I2356="Phản ánh",$E2356="Đã xử lý"),INDEX('Phản ánh'!$U$6:$U$505,MATCH($C2356,'Phản ánh'!$A$6:$A$505,0)),IF(AND($I2356="Công việc",OR($E2356="Hoàn thành",$E2356="Hoàn thành kỳ")),IF(INDEX('Kế hoạch'!$B$6:$B$305,$O2356)="Đột xuất",INDEX('Kế hoạch'!$AY$6:$AY$305,$O2356),IF(N($P2356)=0,"",IF(INT($B2356)&lt;$P2356,$P2356,IF($Q2356&gt;0,$P2356+ROUND((INT($B2356)-$P2356)/$Q2356,0)*$Q2356,IF($R2356&gt;0,EDATE($P2356,ROUND((DATEDIF($P2356,INT($B2356),"m")+(INT($B2356)-EDATE($P2356,DATEDIF($P2356,INT($B2356),"m")))/(EDATE($P2356,DATEDIF($P2356,INT($B2356),"m")+1)-EDATE($P2356,DATEDIF($P2356,INT($B2356),"m"))))/$R2356,0)*$R2356),$P2356))))),"")))</f>
      </c>
      <c r="M2356" s="223">
        <f>IF(OR($C2356="",N($L2356)=0,N($B2356)=0),"",IF(IF(MOD($L2356,1)=0,INT($B2356),$B2356)&lt;=$L2356,"Đúng hạn","Trễ hạn"))</f>
      </c>
      <c r="N2356" s="225">
        <f>IF($C2356="","",ROW())</f>
      </c>
      <c r="O2356" s="225">
        <f>IF($I2356="Công việc",MATCH($C2356,'Kế hoạch'!$A$6:$A$305,0),"")</f>
      </c>
      <c r="P2356" s="234">
        <f>IF($O2356="","",INDEX('Kế hoạch'!$I$6:$I$305,$O2356))</f>
      </c>
      <c r="Q2356" s="225">
        <f>IF($O2356="","",INDEX('Kế hoạch'!$AJ$6:$AJ$305,$O2356))</f>
      </c>
      <c r="R2356" s="225">
        <f>IF($O2356="","",INDEX('Kế hoạch'!$AK$6:$AK$305,$O2356))</f>
      </c>
    </row>
    <row r="2357">
      <c r="A2357" s="223">
        <f>IF($C2357="","",COUNTIF($C$6:$C2357,"?*"))</f>
      </c>
      <c r="B2357" s="217"/>
      <c r="C2357" s="216"/>
      <c r="D2357" s="240"/>
      <c r="E2357" s="218"/>
      <c r="F2357" s="218"/>
      <c r="G2357" s="218"/>
      <c r="H2357" s="219"/>
      <c r="I2357" s="223">
        <f>IF($C2357="","",IF(ISNUMBER(MATCH($C2357,'Phản ánh'!$A$6:$A$505,0)),"Phản ánh",IF(ISNUMBER(MATCH($C2357,'Kế hoạch'!$A$6:$A$305,0)),"Công việc","Mã chưa có")))</f>
      </c>
      <c r="J2357" s="221">
        <f>IF($I2357="Phản ánh",INDEX('Phản ánh'!$C$6:$C$505,MATCH($C2357,'Phản ánh'!$A$6:$A$505,0)),IF($I2357="Công việc",INDEX('Kế hoạch'!$C$6:$C$305,$O2357),""))</f>
      </c>
      <c r="K2357" s="221">
        <f>IF($I2357="Phản ánh",INDEX('Phản ánh'!$K$6:$K$505,MATCH($C2357,'Phản ánh'!$A$6:$A$505,0))&amp;"",IF($I2357="Công việc",INDEX('Kế hoạch'!$N$6:$N$305,$O2357)&amp;"",""))</f>
      </c>
      <c r="L2357" s="220">
        <f>IF(OR($C2357="",N($B2357)=0),"",IF(AND($I2357="Phản ánh",$E2357="Đã xử lý"),INDEX('Phản ánh'!$U$6:$U$505,MATCH($C2357,'Phản ánh'!$A$6:$A$505,0)),IF(AND($I2357="Công việc",OR($E2357="Hoàn thành",$E2357="Hoàn thành kỳ")),IF(INDEX('Kế hoạch'!$B$6:$B$305,$O2357)="Đột xuất",INDEX('Kế hoạch'!$AY$6:$AY$305,$O2357),IF(N($P2357)=0,"",IF(INT($B2357)&lt;$P2357,$P2357,IF($Q2357&gt;0,$P2357+ROUND((INT($B2357)-$P2357)/$Q2357,0)*$Q2357,IF($R2357&gt;0,EDATE($P2357,ROUND((DATEDIF($P2357,INT($B2357),"m")+(INT($B2357)-EDATE($P2357,DATEDIF($P2357,INT($B2357),"m")))/(EDATE($P2357,DATEDIF($P2357,INT($B2357),"m")+1)-EDATE($P2357,DATEDIF($P2357,INT($B2357),"m"))))/$R2357,0)*$R2357),$P2357))))),"")))</f>
      </c>
      <c r="M2357" s="223">
        <f>IF(OR($C2357="",N($L2357)=0,N($B2357)=0),"",IF(IF(MOD($L2357,1)=0,INT($B2357),$B2357)&lt;=$L2357,"Đúng hạn","Trễ hạn"))</f>
      </c>
      <c r="N2357" s="225">
        <f>IF($C2357="","",ROW())</f>
      </c>
      <c r="O2357" s="225">
        <f>IF($I2357="Công việc",MATCH($C2357,'Kế hoạch'!$A$6:$A$305,0),"")</f>
      </c>
      <c r="P2357" s="234">
        <f>IF($O2357="","",INDEX('Kế hoạch'!$I$6:$I$305,$O2357))</f>
      </c>
      <c r="Q2357" s="225">
        <f>IF($O2357="","",INDEX('Kế hoạch'!$AJ$6:$AJ$305,$O2357))</f>
      </c>
      <c r="R2357" s="225">
        <f>IF($O2357="","",INDEX('Kế hoạch'!$AK$6:$AK$305,$O2357))</f>
      </c>
    </row>
    <row r="2358">
      <c r="A2358" s="223">
        <f>IF($C2358="","",COUNTIF($C$6:$C2358,"?*"))</f>
      </c>
      <c r="B2358" s="217"/>
      <c r="C2358" s="216"/>
      <c r="D2358" s="240"/>
      <c r="E2358" s="218"/>
      <c r="F2358" s="218"/>
      <c r="G2358" s="218"/>
      <c r="H2358" s="219"/>
      <c r="I2358" s="223">
        <f>IF($C2358="","",IF(ISNUMBER(MATCH($C2358,'Phản ánh'!$A$6:$A$505,0)),"Phản ánh",IF(ISNUMBER(MATCH($C2358,'Kế hoạch'!$A$6:$A$305,0)),"Công việc","Mã chưa có")))</f>
      </c>
      <c r="J2358" s="221">
        <f>IF($I2358="Phản ánh",INDEX('Phản ánh'!$C$6:$C$505,MATCH($C2358,'Phản ánh'!$A$6:$A$505,0)),IF($I2358="Công việc",INDEX('Kế hoạch'!$C$6:$C$305,$O2358),""))</f>
      </c>
      <c r="K2358" s="221">
        <f>IF($I2358="Phản ánh",INDEX('Phản ánh'!$K$6:$K$505,MATCH($C2358,'Phản ánh'!$A$6:$A$505,0))&amp;"",IF($I2358="Công việc",INDEX('Kế hoạch'!$N$6:$N$305,$O2358)&amp;"",""))</f>
      </c>
      <c r="L2358" s="220">
        <f>IF(OR($C2358="",N($B2358)=0),"",IF(AND($I2358="Phản ánh",$E2358="Đã xử lý"),INDEX('Phản ánh'!$U$6:$U$505,MATCH($C2358,'Phản ánh'!$A$6:$A$505,0)),IF(AND($I2358="Công việc",OR($E2358="Hoàn thành",$E2358="Hoàn thành kỳ")),IF(INDEX('Kế hoạch'!$B$6:$B$305,$O2358)="Đột xuất",INDEX('Kế hoạch'!$AY$6:$AY$305,$O2358),IF(N($P2358)=0,"",IF(INT($B2358)&lt;$P2358,$P2358,IF($Q2358&gt;0,$P2358+ROUND((INT($B2358)-$P2358)/$Q2358,0)*$Q2358,IF($R2358&gt;0,EDATE($P2358,ROUND((DATEDIF($P2358,INT($B2358),"m")+(INT($B2358)-EDATE($P2358,DATEDIF($P2358,INT($B2358),"m")))/(EDATE($P2358,DATEDIF($P2358,INT($B2358),"m")+1)-EDATE($P2358,DATEDIF($P2358,INT($B2358),"m"))))/$R2358,0)*$R2358),$P2358))))),"")))</f>
      </c>
      <c r="M2358" s="223">
        <f>IF(OR($C2358="",N($L2358)=0,N($B2358)=0),"",IF(IF(MOD($L2358,1)=0,INT($B2358),$B2358)&lt;=$L2358,"Đúng hạn","Trễ hạn"))</f>
      </c>
      <c r="N2358" s="225">
        <f>IF($C2358="","",ROW())</f>
      </c>
      <c r="O2358" s="225">
        <f>IF($I2358="Công việc",MATCH($C2358,'Kế hoạch'!$A$6:$A$305,0),"")</f>
      </c>
      <c r="P2358" s="234">
        <f>IF($O2358="","",INDEX('Kế hoạch'!$I$6:$I$305,$O2358))</f>
      </c>
      <c r="Q2358" s="225">
        <f>IF($O2358="","",INDEX('Kế hoạch'!$AJ$6:$AJ$305,$O2358))</f>
      </c>
      <c r="R2358" s="225">
        <f>IF($O2358="","",INDEX('Kế hoạch'!$AK$6:$AK$305,$O2358))</f>
      </c>
    </row>
    <row r="2359">
      <c r="A2359" s="223">
        <f>IF($C2359="","",COUNTIF($C$6:$C2359,"?*"))</f>
      </c>
      <c r="B2359" s="217"/>
      <c r="C2359" s="216"/>
      <c r="D2359" s="240"/>
      <c r="E2359" s="218"/>
      <c r="F2359" s="218"/>
      <c r="G2359" s="218"/>
      <c r="H2359" s="219"/>
      <c r="I2359" s="223">
        <f>IF($C2359="","",IF(ISNUMBER(MATCH($C2359,'Phản ánh'!$A$6:$A$505,0)),"Phản ánh",IF(ISNUMBER(MATCH($C2359,'Kế hoạch'!$A$6:$A$305,0)),"Công việc","Mã chưa có")))</f>
      </c>
      <c r="J2359" s="221">
        <f>IF($I2359="Phản ánh",INDEX('Phản ánh'!$C$6:$C$505,MATCH($C2359,'Phản ánh'!$A$6:$A$505,0)),IF($I2359="Công việc",INDEX('Kế hoạch'!$C$6:$C$305,$O2359),""))</f>
      </c>
      <c r="K2359" s="221">
        <f>IF($I2359="Phản ánh",INDEX('Phản ánh'!$K$6:$K$505,MATCH($C2359,'Phản ánh'!$A$6:$A$505,0))&amp;"",IF($I2359="Công việc",INDEX('Kế hoạch'!$N$6:$N$305,$O2359)&amp;"",""))</f>
      </c>
      <c r="L2359" s="220">
        <f>IF(OR($C2359="",N($B2359)=0),"",IF(AND($I2359="Phản ánh",$E2359="Đã xử lý"),INDEX('Phản ánh'!$U$6:$U$505,MATCH($C2359,'Phản ánh'!$A$6:$A$505,0)),IF(AND($I2359="Công việc",OR($E2359="Hoàn thành",$E2359="Hoàn thành kỳ")),IF(INDEX('Kế hoạch'!$B$6:$B$305,$O2359)="Đột xuất",INDEX('Kế hoạch'!$AY$6:$AY$305,$O2359),IF(N($P2359)=0,"",IF(INT($B2359)&lt;$P2359,$P2359,IF($Q2359&gt;0,$P2359+ROUND((INT($B2359)-$P2359)/$Q2359,0)*$Q2359,IF($R2359&gt;0,EDATE($P2359,ROUND((DATEDIF($P2359,INT($B2359),"m")+(INT($B2359)-EDATE($P2359,DATEDIF($P2359,INT($B2359),"m")))/(EDATE($P2359,DATEDIF($P2359,INT($B2359),"m")+1)-EDATE($P2359,DATEDIF($P2359,INT($B2359),"m"))))/$R2359,0)*$R2359),$P2359))))),"")))</f>
      </c>
      <c r="M2359" s="223">
        <f>IF(OR($C2359="",N($L2359)=0,N($B2359)=0),"",IF(IF(MOD($L2359,1)=0,INT($B2359),$B2359)&lt;=$L2359,"Đúng hạn","Trễ hạn"))</f>
      </c>
      <c r="N2359" s="225">
        <f>IF($C2359="","",ROW())</f>
      </c>
      <c r="O2359" s="225">
        <f>IF($I2359="Công việc",MATCH($C2359,'Kế hoạch'!$A$6:$A$305,0),"")</f>
      </c>
      <c r="P2359" s="234">
        <f>IF($O2359="","",INDEX('Kế hoạch'!$I$6:$I$305,$O2359))</f>
      </c>
      <c r="Q2359" s="225">
        <f>IF($O2359="","",INDEX('Kế hoạch'!$AJ$6:$AJ$305,$O2359))</f>
      </c>
      <c r="R2359" s="225">
        <f>IF($O2359="","",INDEX('Kế hoạch'!$AK$6:$AK$305,$O2359))</f>
      </c>
    </row>
    <row r="2360">
      <c r="A2360" s="223">
        <f>IF($C2360="","",COUNTIF($C$6:$C2360,"?*"))</f>
      </c>
      <c r="B2360" s="217"/>
      <c r="C2360" s="216"/>
      <c r="D2360" s="240"/>
      <c r="E2360" s="218"/>
      <c r="F2360" s="218"/>
      <c r="G2360" s="218"/>
      <c r="H2360" s="219"/>
      <c r="I2360" s="223">
        <f>IF($C2360="","",IF(ISNUMBER(MATCH($C2360,'Phản ánh'!$A$6:$A$505,0)),"Phản ánh",IF(ISNUMBER(MATCH($C2360,'Kế hoạch'!$A$6:$A$305,0)),"Công việc","Mã chưa có")))</f>
      </c>
      <c r="J2360" s="221">
        <f>IF($I2360="Phản ánh",INDEX('Phản ánh'!$C$6:$C$505,MATCH($C2360,'Phản ánh'!$A$6:$A$505,0)),IF($I2360="Công việc",INDEX('Kế hoạch'!$C$6:$C$305,$O2360),""))</f>
      </c>
      <c r="K2360" s="221">
        <f>IF($I2360="Phản ánh",INDEX('Phản ánh'!$K$6:$K$505,MATCH($C2360,'Phản ánh'!$A$6:$A$505,0))&amp;"",IF($I2360="Công việc",INDEX('Kế hoạch'!$N$6:$N$305,$O2360)&amp;"",""))</f>
      </c>
      <c r="L2360" s="220">
        <f>IF(OR($C2360="",N($B2360)=0),"",IF(AND($I2360="Phản ánh",$E2360="Đã xử lý"),INDEX('Phản ánh'!$U$6:$U$505,MATCH($C2360,'Phản ánh'!$A$6:$A$505,0)),IF(AND($I2360="Công việc",OR($E2360="Hoàn thành",$E2360="Hoàn thành kỳ")),IF(INDEX('Kế hoạch'!$B$6:$B$305,$O2360)="Đột xuất",INDEX('Kế hoạch'!$AY$6:$AY$305,$O2360),IF(N($P2360)=0,"",IF(INT($B2360)&lt;$P2360,$P2360,IF($Q2360&gt;0,$P2360+ROUND((INT($B2360)-$P2360)/$Q2360,0)*$Q2360,IF($R2360&gt;0,EDATE($P2360,ROUND((DATEDIF($P2360,INT($B2360),"m")+(INT($B2360)-EDATE($P2360,DATEDIF($P2360,INT($B2360),"m")))/(EDATE($P2360,DATEDIF($P2360,INT($B2360),"m")+1)-EDATE($P2360,DATEDIF($P2360,INT($B2360),"m"))))/$R2360,0)*$R2360),$P2360))))),"")))</f>
      </c>
      <c r="M2360" s="223">
        <f>IF(OR($C2360="",N($L2360)=0,N($B2360)=0),"",IF(IF(MOD($L2360,1)=0,INT($B2360),$B2360)&lt;=$L2360,"Đúng hạn","Trễ hạn"))</f>
      </c>
      <c r="N2360" s="225">
        <f>IF($C2360="","",ROW())</f>
      </c>
      <c r="O2360" s="225">
        <f>IF($I2360="Công việc",MATCH($C2360,'Kế hoạch'!$A$6:$A$305,0),"")</f>
      </c>
      <c r="P2360" s="234">
        <f>IF($O2360="","",INDEX('Kế hoạch'!$I$6:$I$305,$O2360))</f>
      </c>
      <c r="Q2360" s="225">
        <f>IF($O2360="","",INDEX('Kế hoạch'!$AJ$6:$AJ$305,$O2360))</f>
      </c>
      <c r="R2360" s="225">
        <f>IF($O2360="","",INDEX('Kế hoạch'!$AK$6:$AK$305,$O2360))</f>
      </c>
    </row>
    <row r="2361">
      <c r="A2361" s="223">
        <f>IF($C2361="","",COUNTIF($C$6:$C2361,"?*"))</f>
      </c>
      <c r="B2361" s="217"/>
      <c r="C2361" s="216"/>
      <c r="D2361" s="240"/>
      <c r="E2361" s="218"/>
      <c r="F2361" s="218"/>
      <c r="G2361" s="218"/>
      <c r="H2361" s="219"/>
      <c r="I2361" s="223">
        <f>IF($C2361="","",IF(ISNUMBER(MATCH($C2361,'Phản ánh'!$A$6:$A$505,0)),"Phản ánh",IF(ISNUMBER(MATCH($C2361,'Kế hoạch'!$A$6:$A$305,0)),"Công việc","Mã chưa có")))</f>
      </c>
      <c r="J2361" s="221">
        <f>IF($I2361="Phản ánh",INDEX('Phản ánh'!$C$6:$C$505,MATCH($C2361,'Phản ánh'!$A$6:$A$505,0)),IF($I2361="Công việc",INDEX('Kế hoạch'!$C$6:$C$305,$O2361),""))</f>
      </c>
      <c r="K2361" s="221">
        <f>IF($I2361="Phản ánh",INDEX('Phản ánh'!$K$6:$K$505,MATCH($C2361,'Phản ánh'!$A$6:$A$505,0))&amp;"",IF($I2361="Công việc",INDEX('Kế hoạch'!$N$6:$N$305,$O2361)&amp;"",""))</f>
      </c>
      <c r="L2361" s="220">
        <f>IF(OR($C2361="",N($B2361)=0),"",IF(AND($I2361="Phản ánh",$E2361="Đã xử lý"),INDEX('Phản ánh'!$U$6:$U$505,MATCH($C2361,'Phản ánh'!$A$6:$A$505,0)),IF(AND($I2361="Công việc",OR($E2361="Hoàn thành",$E2361="Hoàn thành kỳ")),IF(INDEX('Kế hoạch'!$B$6:$B$305,$O2361)="Đột xuất",INDEX('Kế hoạch'!$AY$6:$AY$305,$O2361),IF(N($P2361)=0,"",IF(INT($B2361)&lt;$P2361,$P2361,IF($Q2361&gt;0,$P2361+ROUND((INT($B2361)-$P2361)/$Q2361,0)*$Q2361,IF($R2361&gt;0,EDATE($P2361,ROUND((DATEDIF($P2361,INT($B2361),"m")+(INT($B2361)-EDATE($P2361,DATEDIF($P2361,INT($B2361),"m")))/(EDATE($P2361,DATEDIF($P2361,INT($B2361),"m")+1)-EDATE($P2361,DATEDIF($P2361,INT($B2361),"m"))))/$R2361,0)*$R2361),$P2361))))),"")))</f>
      </c>
      <c r="M2361" s="223">
        <f>IF(OR($C2361="",N($L2361)=0,N($B2361)=0),"",IF(IF(MOD($L2361,1)=0,INT($B2361),$B2361)&lt;=$L2361,"Đúng hạn","Trễ hạn"))</f>
      </c>
      <c r="N2361" s="225">
        <f>IF($C2361="","",ROW())</f>
      </c>
      <c r="O2361" s="225">
        <f>IF($I2361="Công việc",MATCH($C2361,'Kế hoạch'!$A$6:$A$305,0),"")</f>
      </c>
      <c r="P2361" s="234">
        <f>IF($O2361="","",INDEX('Kế hoạch'!$I$6:$I$305,$O2361))</f>
      </c>
      <c r="Q2361" s="225">
        <f>IF($O2361="","",INDEX('Kế hoạch'!$AJ$6:$AJ$305,$O2361))</f>
      </c>
      <c r="R2361" s="225">
        <f>IF($O2361="","",INDEX('Kế hoạch'!$AK$6:$AK$305,$O2361))</f>
      </c>
    </row>
    <row r="2362">
      <c r="A2362" s="223">
        <f>IF($C2362="","",COUNTIF($C$6:$C2362,"?*"))</f>
      </c>
      <c r="B2362" s="217"/>
      <c r="C2362" s="216"/>
      <c r="D2362" s="240"/>
      <c r="E2362" s="218"/>
      <c r="F2362" s="218"/>
      <c r="G2362" s="218"/>
      <c r="H2362" s="219"/>
      <c r="I2362" s="223">
        <f>IF($C2362="","",IF(ISNUMBER(MATCH($C2362,'Phản ánh'!$A$6:$A$505,0)),"Phản ánh",IF(ISNUMBER(MATCH($C2362,'Kế hoạch'!$A$6:$A$305,0)),"Công việc","Mã chưa có")))</f>
      </c>
      <c r="J2362" s="221">
        <f>IF($I2362="Phản ánh",INDEX('Phản ánh'!$C$6:$C$505,MATCH($C2362,'Phản ánh'!$A$6:$A$505,0)),IF($I2362="Công việc",INDEX('Kế hoạch'!$C$6:$C$305,$O2362),""))</f>
      </c>
      <c r="K2362" s="221">
        <f>IF($I2362="Phản ánh",INDEX('Phản ánh'!$K$6:$K$505,MATCH($C2362,'Phản ánh'!$A$6:$A$505,0))&amp;"",IF($I2362="Công việc",INDEX('Kế hoạch'!$N$6:$N$305,$O2362)&amp;"",""))</f>
      </c>
      <c r="L2362" s="220">
        <f>IF(OR($C2362="",N($B2362)=0),"",IF(AND($I2362="Phản ánh",$E2362="Đã xử lý"),INDEX('Phản ánh'!$U$6:$U$505,MATCH($C2362,'Phản ánh'!$A$6:$A$505,0)),IF(AND($I2362="Công việc",OR($E2362="Hoàn thành",$E2362="Hoàn thành kỳ")),IF(INDEX('Kế hoạch'!$B$6:$B$305,$O2362)="Đột xuất",INDEX('Kế hoạch'!$AY$6:$AY$305,$O2362),IF(N($P2362)=0,"",IF(INT($B2362)&lt;$P2362,$P2362,IF($Q2362&gt;0,$P2362+ROUND((INT($B2362)-$P2362)/$Q2362,0)*$Q2362,IF($R2362&gt;0,EDATE($P2362,ROUND((DATEDIF($P2362,INT($B2362),"m")+(INT($B2362)-EDATE($P2362,DATEDIF($P2362,INT($B2362),"m")))/(EDATE($P2362,DATEDIF($P2362,INT($B2362),"m")+1)-EDATE($P2362,DATEDIF($P2362,INT($B2362),"m"))))/$R2362,0)*$R2362),$P2362))))),"")))</f>
      </c>
      <c r="M2362" s="223">
        <f>IF(OR($C2362="",N($L2362)=0,N($B2362)=0),"",IF(IF(MOD($L2362,1)=0,INT($B2362),$B2362)&lt;=$L2362,"Đúng hạn","Trễ hạn"))</f>
      </c>
      <c r="N2362" s="225">
        <f>IF($C2362="","",ROW())</f>
      </c>
      <c r="O2362" s="225">
        <f>IF($I2362="Công việc",MATCH($C2362,'Kế hoạch'!$A$6:$A$305,0),"")</f>
      </c>
      <c r="P2362" s="234">
        <f>IF($O2362="","",INDEX('Kế hoạch'!$I$6:$I$305,$O2362))</f>
      </c>
      <c r="Q2362" s="225">
        <f>IF($O2362="","",INDEX('Kế hoạch'!$AJ$6:$AJ$305,$O2362))</f>
      </c>
      <c r="R2362" s="225">
        <f>IF($O2362="","",INDEX('Kế hoạch'!$AK$6:$AK$305,$O2362))</f>
      </c>
    </row>
    <row r="2363">
      <c r="A2363" s="223">
        <f>IF($C2363="","",COUNTIF($C$6:$C2363,"?*"))</f>
      </c>
      <c r="B2363" s="217"/>
      <c r="C2363" s="216"/>
      <c r="D2363" s="240"/>
      <c r="E2363" s="218"/>
      <c r="F2363" s="218"/>
      <c r="G2363" s="218"/>
      <c r="H2363" s="219"/>
      <c r="I2363" s="223">
        <f>IF($C2363="","",IF(ISNUMBER(MATCH($C2363,'Phản ánh'!$A$6:$A$505,0)),"Phản ánh",IF(ISNUMBER(MATCH($C2363,'Kế hoạch'!$A$6:$A$305,0)),"Công việc","Mã chưa có")))</f>
      </c>
      <c r="J2363" s="221">
        <f>IF($I2363="Phản ánh",INDEX('Phản ánh'!$C$6:$C$505,MATCH($C2363,'Phản ánh'!$A$6:$A$505,0)),IF($I2363="Công việc",INDEX('Kế hoạch'!$C$6:$C$305,$O2363),""))</f>
      </c>
      <c r="K2363" s="221">
        <f>IF($I2363="Phản ánh",INDEX('Phản ánh'!$K$6:$K$505,MATCH($C2363,'Phản ánh'!$A$6:$A$505,0))&amp;"",IF($I2363="Công việc",INDEX('Kế hoạch'!$N$6:$N$305,$O2363)&amp;"",""))</f>
      </c>
      <c r="L2363" s="220">
        <f>IF(OR($C2363="",N($B2363)=0),"",IF(AND($I2363="Phản ánh",$E2363="Đã xử lý"),INDEX('Phản ánh'!$U$6:$U$505,MATCH($C2363,'Phản ánh'!$A$6:$A$505,0)),IF(AND($I2363="Công việc",OR($E2363="Hoàn thành",$E2363="Hoàn thành kỳ")),IF(INDEX('Kế hoạch'!$B$6:$B$305,$O2363)="Đột xuất",INDEX('Kế hoạch'!$AY$6:$AY$305,$O2363),IF(N($P2363)=0,"",IF(INT($B2363)&lt;$P2363,$P2363,IF($Q2363&gt;0,$P2363+ROUND((INT($B2363)-$P2363)/$Q2363,0)*$Q2363,IF($R2363&gt;0,EDATE($P2363,ROUND((DATEDIF($P2363,INT($B2363),"m")+(INT($B2363)-EDATE($P2363,DATEDIF($P2363,INT($B2363),"m")))/(EDATE($P2363,DATEDIF($P2363,INT($B2363),"m")+1)-EDATE($P2363,DATEDIF($P2363,INT($B2363),"m"))))/$R2363,0)*$R2363),$P2363))))),"")))</f>
      </c>
      <c r="M2363" s="223">
        <f>IF(OR($C2363="",N($L2363)=0,N($B2363)=0),"",IF(IF(MOD($L2363,1)=0,INT($B2363),$B2363)&lt;=$L2363,"Đúng hạn","Trễ hạn"))</f>
      </c>
      <c r="N2363" s="225">
        <f>IF($C2363="","",ROW())</f>
      </c>
      <c r="O2363" s="225">
        <f>IF($I2363="Công việc",MATCH($C2363,'Kế hoạch'!$A$6:$A$305,0),"")</f>
      </c>
      <c r="P2363" s="234">
        <f>IF($O2363="","",INDEX('Kế hoạch'!$I$6:$I$305,$O2363))</f>
      </c>
      <c r="Q2363" s="225">
        <f>IF($O2363="","",INDEX('Kế hoạch'!$AJ$6:$AJ$305,$O2363))</f>
      </c>
      <c r="R2363" s="225">
        <f>IF($O2363="","",INDEX('Kế hoạch'!$AK$6:$AK$305,$O2363))</f>
      </c>
    </row>
    <row r="2364">
      <c r="A2364" s="223">
        <f>IF($C2364="","",COUNTIF($C$6:$C2364,"?*"))</f>
      </c>
      <c r="B2364" s="217"/>
      <c r="C2364" s="216"/>
      <c r="D2364" s="240"/>
      <c r="E2364" s="218"/>
      <c r="F2364" s="218"/>
      <c r="G2364" s="218"/>
      <c r="H2364" s="219"/>
      <c r="I2364" s="223">
        <f>IF($C2364="","",IF(ISNUMBER(MATCH($C2364,'Phản ánh'!$A$6:$A$505,0)),"Phản ánh",IF(ISNUMBER(MATCH($C2364,'Kế hoạch'!$A$6:$A$305,0)),"Công việc","Mã chưa có")))</f>
      </c>
      <c r="J2364" s="221">
        <f>IF($I2364="Phản ánh",INDEX('Phản ánh'!$C$6:$C$505,MATCH($C2364,'Phản ánh'!$A$6:$A$505,0)),IF($I2364="Công việc",INDEX('Kế hoạch'!$C$6:$C$305,$O2364),""))</f>
      </c>
      <c r="K2364" s="221">
        <f>IF($I2364="Phản ánh",INDEX('Phản ánh'!$K$6:$K$505,MATCH($C2364,'Phản ánh'!$A$6:$A$505,0))&amp;"",IF($I2364="Công việc",INDEX('Kế hoạch'!$N$6:$N$305,$O2364)&amp;"",""))</f>
      </c>
      <c r="L2364" s="220">
        <f>IF(OR($C2364="",N($B2364)=0),"",IF(AND($I2364="Phản ánh",$E2364="Đã xử lý"),INDEX('Phản ánh'!$U$6:$U$505,MATCH($C2364,'Phản ánh'!$A$6:$A$505,0)),IF(AND($I2364="Công việc",OR($E2364="Hoàn thành",$E2364="Hoàn thành kỳ")),IF(INDEX('Kế hoạch'!$B$6:$B$305,$O2364)="Đột xuất",INDEX('Kế hoạch'!$AY$6:$AY$305,$O2364),IF(N($P2364)=0,"",IF(INT($B2364)&lt;$P2364,$P2364,IF($Q2364&gt;0,$P2364+ROUND((INT($B2364)-$P2364)/$Q2364,0)*$Q2364,IF($R2364&gt;0,EDATE($P2364,ROUND((DATEDIF($P2364,INT($B2364),"m")+(INT($B2364)-EDATE($P2364,DATEDIF($P2364,INT($B2364),"m")))/(EDATE($P2364,DATEDIF($P2364,INT($B2364),"m")+1)-EDATE($P2364,DATEDIF($P2364,INT($B2364),"m"))))/$R2364,0)*$R2364),$P2364))))),"")))</f>
      </c>
      <c r="M2364" s="223">
        <f>IF(OR($C2364="",N($L2364)=0,N($B2364)=0),"",IF(IF(MOD($L2364,1)=0,INT($B2364),$B2364)&lt;=$L2364,"Đúng hạn","Trễ hạn"))</f>
      </c>
      <c r="N2364" s="225">
        <f>IF($C2364="","",ROW())</f>
      </c>
      <c r="O2364" s="225">
        <f>IF($I2364="Công việc",MATCH($C2364,'Kế hoạch'!$A$6:$A$305,0),"")</f>
      </c>
      <c r="P2364" s="234">
        <f>IF($O2364="","",INDEX('Kế hoạch'!$I$6:$I$305,$O2364))</f>
      </c>
      <c r="Q2364" s="225">
        <f>IF($O2364="","",INDEX('Kế hoạch'!$AJ$6:$AJ$305,$O2364))</f>
      </c>
      <c r="R2364" s="225">
        <f>IF($O2364="","",INDEX('Kế hoạch'!$AK$6:$AK$305,$O2364))</f>
      </c>
    </row>
    <row r="2365">
      <c r="A2365" s="223">
        <f>IF($C2365="","",COUNTIF($C$6:$C2365,"?*"))</f>
      </c>
      <c r="B2365" s="217"/>
      <c r="C2365" s="216"/>
      <c r="D2365" s="240"/>
      <c r="E2365" s="218"/>
      <c r="F2365" s="218"/>
      <c r="G2365" s="218"/>
      <c r="H2365" s="219"/>
      <c r="I2365" s="223">
        <f>IF($C2365="","",IF(ISNUMBER(MATCH($C2365,'Phản ánh'!$A$6:$A$505,0)),"Phản ánh",IF(ISNUMBER(MATCH($C2365,'Kế hoạch'!$A$6:$A$305,0)),"Công việc","Mã chưa có")))</f>
      </c>
      <c r="J2365" s="221">
        <f>IF($I2365="Phản ánh",INDEX('Phản ánh'!$C$6:$C$505,MATCH($C2365,'Phản ánh'!$A$6:$A$505,0)),IF($I2365="Công việc",INDEX('Kế hoạch'!$C$6:$C$305,$O2365),""))</f>
      </c>
      <c r="K2365" s="221">
        <f>IF($I2365="Phản ánh",INDEX('Phản ánh'!$K$6:$K$505,MATCH($C2365,'Phản ánh'!$A$6:$A$505,0))&amp;"",IF($I2365="Công việc",INDEX('Kế hoạch'!$N$6:$N$305,$O2365)&amp;"",""))</f>
      </c>
      <c r="L2365" s="220">
        <f>IF(OR($C2365="",N($B2365)=0),"",IF(AND($I2365="Phản ánh",$E2365="Đã xử lý"),INDEX('Phản ánh'!$U$6:$U$505,MATCH($C2365,'Phản ánh'!$A$6:$A$505,0)),IF(AND($I2365="Công việc",OR($E2365="Hoàn thành",$E2365="Hoàn thành kỳ")),IF(INDEX('Kế hoạch'!$B$6:$B$305,$O2365)="Đột xuất",INDEX('Kế hoạch'!$AY$6:$AY$305,$O2365),IF(N($P2365)=0,"",IF(INT($B2365)&lt;$P2365,$P2365,IF($Q2365&gt;0,$P2365+ROUND((INT($B2365)-$P2365)/$Q2365,0)*$Q2365,IF($R2365&gt;0,EDATE($P2365,ROUND((DATEDIF($P2365,INT($B2365),"m")+(INT($B2365)-EDATE($P2365,DATEDIF($P2365,INT($B2365),"m")))/(EDATE($P2365,DATEDIF($P2365,INT($B2365),"m")+1)-EDATE($P2365,DATEDIF($P2365,INT($B2365),"m"))))/$R2365,0)*$R2365),$P2365))))),"")))</f>
      </c>
      <c r="M2365" s="223">
        <f>IF(OR($C2365="",N($L2365)=0,N($B2365)=0),"",IF(IF(MOD($L2365,1)=0,INT($B2365),$B2365)&lt;=$L2365,"Đúng hạn","Trễ hạn"))</f>
      </c>
      <c r="N2365" s="225">
        <f>IF($C2365="","",ROW())</f>
      </c>
      <c r="O2365" s="225">
        <f>IF($I2365="Công việc",MATCH($C2365,'Kế hoạch'!$A$6:$A$305,0),"")</f>
      </c>
      <c r="P2365" s="234">
        <f>IF($O2365="","",INDEX('Kế hoạch'!$I$6:$I$305,$O2365))</f>
      </c>
      <c r="Q2365" s="225">
        <f>IF($O2365="","",INDEX('Kế hoạch'!$AJ$6:$AJ$305,$O2365))</f>
      </c>
      <c r="R2365" s="225">
        <f>IF($O2365="","",INDEX('Kế hoạch'!$AK$6:$AK$305,$O2365))</f>
      </c>
    </row>
    <row r="2366">
      <c r="A2366" s="223">
        <f>IF($C2366="","",COUNTIF($C$6:$C2366,"?*"))</f>
      </c>
      <c r="B2366" s="217"/>
      <c r="C2366" s="216"/>
      <c r="D2366" s="240"/>
      <c r="E2366" s="218"/>
      <c r="F2366" s="218"/>
      <c r="G2366" s="218"/>
      <c r="H2366" s="219"/>
      <c r="I2366" s="223">
        <f>IF($C2366="","",IF(ISNUMBER(MATCH($C2366,'Phản ánh'!$A$6:$A$505,0)),"Phản ánh",IF(ISNUMBER(MATCH($C2366,'Kế hoạch'!$A$6:$A$305,0)),"Công việc","Mã chưa có")))</f>
      </c>
      <c r="J2366" s="221">
        <f>IF($I2366="Phản ánh",INDEX('Phản ánh'!$C$6:$C$505,MATCH($C2366,'Phản ánh'!$A$6:$A$505,0)),IF($I2366="Công việc",INDEX('Kế hoạch'!$C$6:$C$305,$O2366),""))</f>
      </c>
      <c r="K2366" s="221">
        <f>IF($I2366="Phản ánh",INDEX('Phản ánh'!$K$6:$K$505,MATCH($C2366,'Phản ánh'!$A$6:$A$505,0))&amp;"",IF($I2366="Công việc",INDEX('Kế hoạch'!$N$6:$N$305,$O2366)&amp;"",""))</f>
      </c>
      <c r="L2366" s="220">
        <f>IF(OR($C2366="",N($B2366)=0),"",IF(AND($I2366="Phản ánh",$E2366="Đã xử lý"),INDEX('Phản ánh'!$U$6:$U$505,MATCH($C2366,'Phản ánh'!$A$6:$A$505,0)),IF(AND($I2366="Công việc",OR($E2366="Hoàn thành",$E2366="Hoàn thành kỳ")),IF(INDEX('Kế hoạch'!$B$6:$B$305,$O2366)="Đột xuất",INDEX('Kế hoạch'!$AY$6:$AY$305,$O2366),IF(N($P2366)=0,"",IF(INT($B2366)&lt;$P2366,$P2366,IF($Q2366&gt;0,$P2366+ROUND((INT($B2366)-$P2366)/$Q2366,0)*$Q2366,IF($R2366&gt;0,EDATE($P2366,ROUND((DATEDIF($P2366,INT($B2366),"m")+(INT($B2366)-EDATE($P2366,DATEDIF($P2366,INT($B2366),"m")))/(EDATE($P2366,DATEDIF($P2366,INT($B2366),"m")+1)-EDATE($P2366,DATEDIF($P2366,INT($B2366),"m"))))/$R2366,0)*$R2366),$P2366))))),"")))</f>
      </c>
      <c r="M2366" s="223">
        <f>IF(OR($C2366="",N($L2366)=0,N($B2366)=0),"",IF(IF(MOD($L2366,1)=0,INT($B2366),$B2366)&lt;=$L2366,"Đúng hạn","Trễ hạn"))</f>
      </c>
      <c r="N2366" s="225">
        <f>IF($C2366="","",ROW())</f>
      </c>
      <c r="O2366" s="225">
        <f>IF($I2366="Công việc",MATCH($C2366,'Kế hoạch'!$A$6:$A$305,0),"")</f>
      </c>
      <c r="P2366" s="234">
        <f>IF($O2366="","",INDEX('Kế hoạch'!$I$6:$I$305,$O2366))</f>
      </c>
      <c r="Q2366" s="225">
        <f>IF($O2366="","",INDEX('Kế hoạch'!$AJ$6:$AJ$305,$O2366))</f>
      </c>
      <c r="R2366" s="225">
        <f>IF($O2366="","",INDEX('Kế hoạch'!$AK$6:$AK$305,$O2366))</f>
      </c>
    </row>
    <row r="2367">
      <c r="A2367" s="223">
        <f>IF($C2367="","",COUNTIF($C$6:$C2367,"?*"))</f>
      </c>
      <c r="B2367" s="217"/>
      <c r="C2367" s="216"/>
      <c r="D2367" s="240"/>
      <c r="E2367" s="218"/>
      <c r="F2367" s="218"/>
      <c r="G2367" s="218"/>
      <c r="H2367" s="219"/>
      <c r="I2367" s="223">
        <f>IF($C2367="","",IF(ISNUMBER(MATCH($C2367,'Phản ánh'!$A$6:$A$505,0)),"Phản ánh",IF(ISNUMBER(MATCH($C2367,'Kế hoạch'!$A$6:$A$305,0)),"Công việc","Mã chưa có")))</f>
      </c>
      <c r="J2367" s="221">
        <f>IF($I2367="Phản ánh",INDEX('Phản ánh'!$C$6:$C$505,MATCH($C2367,'Phản ánh'!$A$6:$A$505,0)),IF($I2367="Công việc",INDEX('Kế hoạch'!$C$6:$C$305,$O2367),""))</f>
      </c>
      <c r="K2367" s="221">
        <f>IF($I2367="Phản ánh",INDEX('Phản ánh'!$K$6:$K$505,MATCH($C2367,'Phản ánh'!$A$6:$A$505,0))&amp;"",IF($I2367="Công việc",INDEX('Kế hoạch'!$N$6:$N$305,$O2367)&amp;"",""))</f>
      </c>
      <c r="L2367" s="220">
        <f>IF(OR($C2367="",N($B2367)=0),"",IF(AND($I2367="Phản ánh",$E2367="Đã xử lý"),INDEX('Phản ánh'!$U$6:$U$505,MATCH($C2367,'Phản ánh'!$A$6:$A$505,0)),IF(AND($I2367="Công việc",OR($E2367="Hoàn thành",$E2367="Hoàn thành kỳ")),IF(INDEX('Kế hoạch'!$B$6:$B$305,$O2367)="Đột xuất",INDEX('Kế hoạch'!$AY$6:$AY$305,$O2367),IF(N($P2367)=0,"",IF(INT($B2367)&lt;$P2367,$P2367,IF($Q2367&gt;0,$P2367+ROUND((INT($B2367)-$P2367)/$Q2367,0)*$Q2367,IF($R2367&gt;0,EDATE($P2367,ROUND((DATEDIF($P2367,INT($B2367),"m")+(INT($B2367)-EDATE($P2367,DATEDIF($P2367,INT($B2367),"m")))/(EDATE($P2367,DATEDIF($P2367,INT($B2367),"m")+1)-EDATE($P2367,DATEDIF($P2367,INT($B2367),"m"))))/$R2367,0)*$R2367),$P2367))))),"")))</f>
      </c>
      <c r="M2367" s="223">
        <f>IF(OR($C2367="",N($L2367)=0,N($B2367)=0),"",IF(IF(MOD($L2367,1)=0,INT($B2367),$B2367)&lt;=$L2367,"Đúng hạn","Trễ hạn"))</f>
      </c>
      <c r="N2367" s="225">
        <f>IF($C2367="","",ROW())</f>
      </c>
      <c r="O2367" s="225">
        <f>IF($I2367="Công việc",MATCH($C2367,'Kế hoạch'!$A$6:$A$305,0),"")</f>
      </c>
      <c r="P2367" s="234">
        <f>IF($O2367="","",INDEX('Kế hoạch'!$I$6:$I$305,$O2367))</f>
      </c>
      <c r="Q2367" s="225">
        <f>IF($O2367="","",INDEX('Kế hoạch'!$AJ$6:$AJ$305,$O2367))</f>
      </c>
      <c r="R2367" s="225">
        <f>IF($O2367="","",INDEX('Kế hoạch'!$AK$6:$AK$305,$O2367))</f>
      </c>
    </row>
    <row r="2368">
      <c r="A2368" s="223">
        <f>IF($C2368="","",COUNTIF($C$6:$C2368,"?*"))</f>
      </c>
      <c r="B2368" s="217"/>
      <c r="C2368" s="216"/>
      <c r="D2368" s="240"/>
      <c r="E2368" s="218"/>
      <c r="F2368" s="218"/>
      <c r="G2368" s="218"/>
      <c r="H2368" s="219"/>
      <c r="I2368" s="223">
        <f>IF($C2368="","",IF(ISNUMBER(MATCH($C2368,'Phản ánh'!$A$6:$A$505,0)),"Phản ánh",IF(ISNUMBER(MATCH($C2368,'Kế hoạch'!$A$6:$A$305,0)),"Công việc","Mã chưa có")))</f>
      </c>
      <c r="J2368" s="221">
        <f>IF($I2368="Phản ánh",INDEX('Phản ánh'!$C$6:$C$505,MATCH($C2368,'Phản ánh'!$A$6:$A$505,0)),IF($I2368="Công việc",INDEX('Kế hoạch'!$C$6:$C$305,$O2368),""))</f>
      </c>
      <c r="K2368" s="221">
        <f>IF($I2368="Phản ánh",INDEX('Phản ánh'!$K$6:$K$505,MATCH($C2368,'Phản ánh'!$A$6:$A$505,0))&amp;"",IF($I2368="Công việc",INDEX('Kế hoạch'!$N$6:$N$305,$O2368)&amp;"",""))</f>
      </c>
      <c r="L2368" s="220">
        <f>IF(OR($C2368="",N($B2368)=0),"",IF(AND($I2368="Phản ánh",$E2368="Đã xử lý"),INDEX('Phản ánh'!$U$6:$U$505,MATCH($C2368,'Phản ánh'!$A$6:$A$505,0)),IF(AND($I2368="Công việc",OR($E2368="Hoàn thành",$E2368="Hoàn thành kỳ")),IF(INDEX('Kế hoạch'!$B$6:$B$305,$O2368)="Đột xuất",INDEX('Kế hoạch'!$AY$6:$AY$305,$O2368),IF(N($P2368)=0,"",IF(INT($B2368)&lt;$P2368,$P2368,IF($Q2368&gt;0,$P2368+ROUND((INT($B2368)-$P2368)/$Q2368,0)*$Q2368,IF($R2368&gt;0,EDATE($P2368,ROUND((DATEDIF($P2368,INT($B2368),"m")+(INT($B2368)-EDATE($P2368,DATEDIF($P2368,INT($B2368),"m")))/(EDATE($P2368,DATEDIF($P2368,INT($B2368),"m")+1)-EDATE($P2368,DATEDIF($P2368,INT($B2368),"m"))))/$R2368,0)*$R2368),$P2368))))),"")))</f>
      </c>
      <c r="M2368" s="223">
        <f>IF(OR($C2368="",N($L2368)=0,N($B2368)=0),"",IF(IF(MOD($L2368,1)=0,INT($B2368),$B2368)&lt;=$L2368,"Đúng hạn","Trễ hạn"))</f>
      </c>
      <c r="N2368" s="225">
        <f>IF($C2368="","",ROW())</f>
      </c>
      <c r="O2368" s="225">
        <f>IF($I2368="Công việc",MATCH($C2368,'Kế hoạch'!$A$6:$A$305,0),"")</f>
      </c>
      <c r="P2368" s="234">
        <f>IF($O2368="","",INDEX('Kế hoạch'!$I$6:$I$305,$O2368))</f>
      </c>
      <c r="Q2368" s="225">
        <f>IF($O2368="","",INDEX('Kế hoạch'!$AJ$6:$AJ$305,$O2368))</f>
      </c>
      <c r="R2368" s="225">
        <f>IF($O2368="","",INDEX('Kế hoạch'!$AK$6:$AK$305,$O2368))</f>
      </c>
    </row>
    <row r="2369">
      <c r="A2369" s="223">
        <f>IF($C2369="","",COUNTIF($C$6:$C2369,"?*"))</f>
      </c>
      <c r="B2369" s="217"/>
      <c r="C2369" s="216"/>
      <c r="D2369" s="240"/>
      <c r="E2369" s="218"/>
      <c r="F2369" s="218"/>
      <c r="G2369" s="218"/>
      <c r="H2369" s="219"/>
      <c r="I2369" s="223">
        <f>IF($C2369="","",IF(ISNUMBER(MATCH($C2369,'Phản ánh'!$A$6:$A$505,0)),"Phản ánh",IF(ISNUMBER(MATCH($C2369,'Kế hoạch'!$A$6:$A$305,0)),"Công việc","Mã chưa có")))</f>
      </c>
      <c r="J2369" s="221">
        <f>IF($I2369="Phản ánh",INDEX('Phản ánh'!$C$6:$C$505,MATCH($C2369,'Phản ánh'!$A$6:$A$505,0)),IF($I2369="Công việc",INDEX('Kế hoạch'!$C$6:$C$305,$O2369),""))</f>
      </c>
      <c r="K2369" s="221">
        <f>IF($I2369="Phản ánh",INDEX('Phản ánh'!$K$6:$K$505,MATCH($C2369,'Phản ánh'!$A$6:$A$505,0))&amp;"",IF($I2369="Công việc",INDEX('Kế hoạch'!$N$6:$N$305,$O2369)&amp;"",""))</f>
      </c>
      <c r="L2369" s="220">
        <f>IF(OR($C2369="",N($B2369)=0),"",IF(AND($I2369="Phản ánh",$E2369="Đã xử lý"),INDEX('Phản ánh'!$U$6:$U$505,MATCH($C2369,'Phản ánh'!$A$6:$A$505,0)),IF(AND($I2369="Công việc",OR($E2369="Hoàn thành",$E2369="Hoàn thành kỳ")),IF(INDEX('Kế hoạch'!$B$6:$B$305,$O2369)="Đột xuất",INDEX('Kế hoạch'!$AY$6:$AY$305,$O2369),IF(N($P2369)=0,"",IF(INT($B2369)&lt;$P2369,$P2369,IF($Q2369&gt;0,$P2369+ROUND((INT($B2369)-$P2369)/$Q2369,0)*$Q2369,IF($R2369&gt;0,EDATE($P2369,ROUND((DATEDIF($P2369,INT($B2369),"m")+(INT($B2369)-EDATE($P2369,DATEDIF($P2369,INT($B2369),"m")))/(EDATE($P2369,DATEDIF($P2369,INT($B2369),"m")+1)-EDATE($P2369,DATEDIF($P2369,INT($B2369),"m"))))/$R2369,0)*$R2369),$P2369))))),"")))</f>
      </c>
      <c r="M2369" s="223">
        <f>IF(OR($C2369="",N($L2369)=0,N($B2369)=0),"",IF(IF(MOD($L2369,1)=0,INT($B2369),$B2369)&lt;=$L2369,"Đúng hạn","Trễ hạn"))</f>
      </c>
      <c r="N2369" s="225">
        <f>IF($C2369="","",ROW())</f>
      </c>
      <c r="O2369" s="225">
        <f>IF($I2369="Công việc",MATCH($C2369,'Kế hoạch'!$A$6:$A$305,0),"")</f>
      </c>
      <c r="P2369" s="234">
        <f>IF($O2369="","",INDEX('Kế hoạch'!$I$6:$I$305,$O2369))</f>
      </c>
      <c r="Q2369" s="225">
        <f>IF($O2369="","",INDEX('Kế hoạch'!$AJ$6:$AJ$305,$O2369))</f>
      </c>
      <c r="R2369" s="225">
        <f>IF($O2369="","",INDEX('Kế hoạch'!$AK$6:$AK$305,$O2369))</f>
      </c>
    </row>
    <row r="2370">
      <c r="A2370" s="223">
        <f>IF($C2370="","",COUNTIF($C$6:$C2370,"?*"))</f>
      </c>
      <c r="B2370" s="217"/>
      <c r="C2370" s="216"/>
      <c r="D2370" s="240"/>
      <c r="E2370" s="218"/>
      <c r="F2370" s="218"/>
      <c r="G2370" s="218"/>
      <c r="H2370" s="219"/>
      <c r="I2370" s="223">
        <f>IF($C2370="","",IF(ISNUMBER(MATCH($C2370,'Phản ánh'!$A$6:$A$505,0)),"Phản ánh",IF(ISNUMBER(MATCH($C2370,'Kế hoạch'!$A$6:$A$305,0)),"Công việc","Mã chưa có")))</f>
      </c>
      <c r="J2370" s="221">
        <f>IF($I2370="Phản ánh",INDEX('Phản ánh'!$C$6:$C$505,MATCH($C2370,'Phản ánh'!$A$6:$A$505,0)),IF($I2370="Công việc",INDEX('Kế hoạch'!$C$6:$C$305,$O2370),""))</f>
      </c>
      <c r="K2370" s="221">
        <f>IF($I2370="Phản ánh",INDEX('Phản ánh'!$K$6:$K$505,MATCH($C2370,'Phản ánh'!$A$6:$A$505,0))&amp;"",IF($I2370="Công việc",INDEX('Kế hoạch'!$N$6:$N$305,$O2370)&amp;"",""))</f>
      </c>
      <c r="L2370" s="220">
        <f>IF(OR($C2370="",N($B2370)=0),"",IF(AND($I2370="Phản ánh",$E2370="Đã xử lý"),INDEX('Phản ánh'!$U$6:$U$505,MATCH($C2370,'Phản ánh'!$A$6:$A$505,0)),IF(AND($I2370="Công việc",OR($E2370="Hoàn thành",$E2370="Hoàn thành kỳ")),IF(INDEX('Kế hoạch'!$B$6:$B$305,$O2370)="Đột xuất",INDEX('Kế hoạch'!$AY$6:$AY$305,$O2370),IF(N($P2370)=0,"",IF(INT($B2370)&lt;$P2370,$P2370,IF($Q2370&gt;0,$P2370+ROUND((INT($B2370)-$P2370)/$Q2370,0)*$Q2370,IF($R2370&gt;0,EDATE($P2370,ROUND((DATEDIF($P2370,INT($B2370),"m")+(INT($B2370)-EDATE($P2370,DATEDIF($P2370,INT($B2370),"m")))/(EDATE($P2370,DATEDIF($P2370,INT($B2370),"m")+1)-EDATE($P2370,DATEDIF($P2370,INT($B2370),"m"))))/$R2370,0)*$R2370),$P2370))))),"")))</f>
      </c>
      <c r="M2370" s="223">
        <f>IF(OR($C2370="",N($L2370)=0,N($B2370)=0),"",IF(IF(MOD($L2370,1)=0,INT($B2370),$B2370)&lt;=$L2370,"Đúng hạn","Trễ hạn"))</f>
      </c>
      <c r="N2370" s="225">
        <f>IF($C2370="","",ROW())</f>
      </c>
      <c r="O2370" s="225">
        <f>IF($I2370="Công việc",MATCH($C2370,'Kế hoạch'!$A$6:$A$305,0),"")</f>
      </c>
      <c r="P2370" s="234">
        <f>IF($O2370="","",INDEX('Kế hoạch'!$I$6:$I$305,$O2370))</f>
      </c>
      <c r="Q2370" s="225">
        <f>IF($O2370="","",INDEX('Kế hoạch'!$AJ$6:$AJ$305,$O2370))</f>
      </c>
      <c r="R2370" s="225">
        <f>IF($O2370="","",INDEX('Kế hoạch'!$AK$6:$AK$305,$O2370))</f>
      </c>
    </row>
    <row r="2371">
      <c r="A2371" s="223">
        <f>IF($C2371="","",COUNTIF($C$6:$C2371,"?*"))</f>
      </c>
      <c r="B2371" s="217"/>
      <c r="C2371" s="216"/>
      <c r="D2371" s="240"/>
      <c r="E2371" s="218"/>
      <c r="F2371" s="218"/>
      <c r="G2371" s="218"/>
      <c r="H2371" s="219"/>
      <c r="I2371" s="223">
        <f>IF($C2371="","",IF(ISNUMBER(MATCH($C2371,'Phản ánh'!$A$6:$A$505,0)),"Phản ánh",IF(ISNUMBER(MATCH($C2371,'Kế hoạch'!$A$6:$A$305,0)),"Công việc","Mã chưa có")))</f>
      </c>
      <c r="J2371" s="221">
        <f>IF($I2371="Phản ánh",INDEX('Phản ánh'!$C$6:$C$505,MATCH($C2371,'Phản ánh'!$A$6:$A$505,0)),IF($I2371="Công việc",INDEX('Kế hoạch'!$C$6:$C$305,$O2371),""))</f>
      </c>
      <c r="K2371" s="221">
        <f>IF($I2371="Phản ánh",INDEX('Phản ánh'!$K$6:$K$505,MATCH($C2371,'Phản ánh'!$A$6:$A$505,0))&amp;"",IF($I2371="Công việc",INDEX('Kế hoạch'!$N$6:$N$305,$O2371)&amp;"",""))</f>
      </c>
      <c r="L2371" s="220">
        <f>IF(OR($C2371="",N($B2371)=0),"",IF(AND($I2371="Phản ánh",$E2371="Đã xử lý"),INDEX('Phản ánh'!$U$6:$U$505,MATCH($C2371,'Phản ánh'!$A$6:$A$505,0)),IF(AND($I2371="Công việc",OR($E2371="Hoàn thành",$E2371="Hoàn thành kỳ")),IF(INDEX('Kế hoạch'!$B$6:$B$305,$O2371)="Đột xuất",INDEX('Kế hoạch'!$AY$6:$AY$305,$O2371),IF(N($P2371)=0,"",IF(INT($B2371)&lt;$P2371,$P2371,IF($Q2371&gt;0,$P2371+ROUND((INT($B2371)-$P2371)/$Q2371,0)*$Q2371,IF($R2371&gt;0,EDATE($P2371,ROUND((DATEDIF($P2371,INT($B2371),"m")+(INT($B2371)-EDATE($P2371,DATEDIF($P2371,INT($B2371),"m")))/(EDATE($P2371,DATEDIF($P2371,INT($B2371),"m")+1)-EDATE($P2371,DATEDIF($P2371,INT($B2371),"m"))))/$R2371,0)*$R2371),$P2371))))),"")))</f>
      </c>
      <c r="M2371" s="223">
        <f>IF(OR($C2371="",N($L2371)=0,N($B2371)=0),"",IF(IF(MOD($L2371,1)=0,INT($B2371),$B2371)&lt;=$L2371,"Đúng hạn","Trễ hạn"))</f>
      </c>
      <c r="N2371" s="225">
        <f>IF($C2371="","",ROW())</f>
      </c>
      <c r="O2371" s="225">
        <f>IF($I2371="Công việc",MATCH($C2371,'Kế hoạch'!$A$6:$A$305,0),"")</f>
      </c>
      <c r="P2371" s="234">
        <f>IF($O2371="","",INDEX('Kế hoạch'!$I$6:$I$305,$O2371))</f>
      </c>
      <c r="Q2371" s="225">
        <f>IF($O2371="","",INDEX('Kế hoạch'!$AJ$6:$AJ$305,$O2371))</f>
      </c>
      <c r="R2371" s="225">
        <f>IF($O2371="","",INDEX('Kế hoạch'!$AK$6:$AK$305,$O2371))</f>
      </c>
    </row>
    <row r="2372">
      <c r="A2372" s="223">
        <f>IF($C2372="","",COUNTIF($C$6:$C2372,"?*"))</f>
      </c>
      <c r="B2372" s="217"/>
      <c r="C2372" s="216"/>
      <c r="D2372" s="240"/>
      <c r="E2372" s="218"/>
      <c r="F2372" s="218"/>
      <c r="G2372" s="218"/>
      <c r="H2372" s="219"/>
      <c r="I2372" s="223">
        <f>IF($C2372="","",IF(ISNUMBER(MATCH($C2372,'Phản ánh'!$A$6:$A$505,0)),"Phản ánh",IF(ISNUMBER(MATCH($C2372,'Kế hoạch'!$A$6:$A$305,0)),"Công việc","Mã chưa có")))</f>
      </c>
      <c r="J2372" s="221">
        <f>IF($I2372="Phản ánh",INDEX('Phản ánh'!$C$6:$C$505,MATCH($C2372,'Phản ánh'!$A$6:$A$505,0)),IF($I2372="Công việc",INDEX('Kế hoạch'!$C$6:$C$305,$O2372),""))</f>
      </c>
      <c r="K2372" s="221">
        <f>IF($I2372="Phản ánh",INDEX('Phản ánh'!$K$6:$K$505,MATCH($C2372,'Phản ánh'!$A$6:$A$505,0))&amp;"",IF($I2372="Công việc",INDEX('Kế hoạch'!$N$6:$N$305,$O2372)&amp;"",""))</f>
      </c>
      <c r="L2372" s="220">
        <f>IF(OR($C2372="",N($B2372)=0),"",IF(AND($I2372="Phản ánh",$E2372="Đã xử lý"),INDEX('Phản ánh'!$U$6:$U$505,MATCH($C2372,'Phản ánh'!$A$6:$A$505,0)),IF(AND($I2372="Công việc",OR($E2372="Hoàn thành",$E2372="Hoàn thành kỳ")),IF(INDEX('Kế hoạch'!$B$6:$B$305,$O2372)="Đột xuất",INDEX('Kế hoạch'!$AY$6:$AY$305,$O2372),IF(N($P2372)=0,"",IF(INT($B2372)&lt;$P2372,$P2372,IF($Q2372&gt;0,$P2372+ROUND((INT($B2372)-$P2372)/$Q2372,0)*$Q2372,IF($R2372&gt;0,EDATE($P2372,ROUND((DATEDIF($P2372,INT($B2372),"m")+(INT($B2372)-EDATE($P2372,DATEDIF($P2372,INT($B2372),"m")))/(EDATE($P2372,DATEDIF($P2372,INT($B2372),"m")+1)-EDATE($P2372,DATEDIF($P2372,INT($B2372),"m"))))/$R2372,0)*$R2372),$P2372))))),"")))</f>
      </c>
      <c r="M2372" s="223">
        <f>IF(OR($C2372="",N($L2372)=0,N($B2372)=0),"",IF(IF(MOD($L2372,1)=0,INT($B2372),$B2372)&lt;=$L2372,"Đúng hạn","Trễ hạn"))</f>
      </c>
      <c r="N2372" s="225">
        <f>IF($C2372="","",ROW())</f>
      </c>
      <c r="O2372" s="225">
        <f>IF($I2372="Công việc",MATCH($C2372,'Kế hoạch'!$A$6:$A$305,0),"")</f>
      </c>
      <c r="P2372" s="234">
        <f>IF($O2372="","",INDEX('Kế hoạch'!$I$6:$I$305,$O2372))</f>
      </c>
      <c r="Q2372" s="225">
        <f>IF($O2372="","",INDEX('Kế hoạch'!$AJ$6:$AJ$305,$O2372))</f>
      </c>
      <c r="R2372" s="225">
        <f>IF($O2372="","",INDEX('Kế hoạch'!$AK$6:$AK$305,$O2372))</f>
      </c>
    </row>
    <row r="2373">
      <c r="A2373" s="223">
        <f>IF($C2373="","",COUNTIF($C$6:$C2373,"?*"))</f>
      </c>
      <c r="B2373" s="217"/>
      <c r="C2373" s="216"/>
      <c r="D2373" s="240"/>
      <c r="E2373" s="218"/>
      <c r="F2373" s="218"/>
      <c r="G2373" s="218"/>
      <c r="H2373" s="219"/>
      <c r="I2373" s="223">
        <f>IF($C2373="","",IF(ISNUMBER(MATCH($C2373,'Phản ánh'!$A$6:$A$505,0)),"Phản ánh",IF(ISNUMBER(MATCH($C2373,'Kế hoạch'!$A$6:$A$305,0)),"Công việc","Mã chưa có")))</f>
      </c>
      <c r="J2373" s="221">
        <f>IF($I2373="Phản ánh",INDEX('Phản ánh'!$C$6:$C$505,MATCH($C2373,'Phản ánh'!$A$6:$A$505,0)),IF($I2373="Công việc",INDEX('Kế hoạch'!$C$6:$C$305,$O2373),""))</f>
      </c>
      <c r="K2373" s="221">
        <f>IF($I2373="Phản ánh",INDEX('Phản ánh'!$K$6:$K$505,MATCH($C2373,'Phản ánh'!$A$6:$A$505,0))&amp;"",IF($I2373="Công việc",INDEX('Kế hoạch'!$N$6:$N$305,$O2373)&amp;"",""))</f>
      </c>
      <c r="L2373" s="220">
        <f>IF(OR($C2373="",N($B2373)=0),"",IF(AND($I2373="Phản ánh",$E2373="Đã xử lý"),INDEX('Phản ánh'!$U$6:$U$505,MATCH($C2373,'Phản ánh'!$A$6:$A$505,0)),IF(AND($I2373="Công việc",OR($E2373="Hoàn thành",$E2373="Hoàn thành kỳ")),IF(INDEX('Kế hoạch'!$B$6:$B$305,$O2373)="Đột xuất",INDEX('Kế hoạch'!$AY$6:$AY$305,$O2373),IF(N($P2373)=0,"",IF(INT($B2373)&lt;$P2373,$P2373,IF($Q2373&gt;0,$P2373+ROUND((INT($B2373)-$P2373)/$Q2373,0)*$Q2373,IF($R2373&gt;0,EDATE($P2373,ROUND((DATEDIF($P2373,INT($B2373),"m")+(INT($B2373)-EDATE($P2373,DATEDIF($P2373,INT($B2373),"m")))/(EDATE($P2373,DATEDIF($P2373,INT($B2373),"m")+1)-EDATE($P2373,DATEDIF($P2373,INT($B2373),"m"))))/$R2373,0)*$R2373),$P2373))))),"")))</f>
      </c>
      <c r="M2373" s="223">
        <f>IF(OR($C2373="",N($L2373)=0,N($B2373)=0),"",IF(IF(MOD($L2373,1)=0,INT($B2373),$B2373)&lt;=$L2373,"Đúng hạn","Trễ hạn"))</f>
      </c>
      <c r="N2373" s="225">
        <f>IF($C2373="","",ROW())</f>
      </c>
      <c r="O2373" s="225">
        <f>IF($I2373="Công việc",MATCH($C2373,'Kế hoạch'!$A$6:$A$305,0),"")</f>
      </c>
      <c r="P2373" s="234">
        <f>IF($O2373="","",INDEX('Kế hoạch'!$I$6:$I$305,$O2373))</f>
      </c>
      <c r="Q2373" s="225">
        <f>IF($O2373="","",INDEX('Kế hoạch'!$AJ$6:$AJ$305,$O2373))</f>
      </c>
      <c r="R2373" s="225">
        <f>IF($O2373="","",INDEX('Kế hoạch'!$AK$6:$AK$305,$O2373))</f>
      </c>
    </row>
    <row r="2374">
      <c r="A2374" s="223">
        <f>IF($C2374="","",COUNTIF($C$6:$C2374,"?*"))</f>
      </c>
      <c r="B2374" s="217"/>
      <c r="C2374" s="216"/>
      <c r="D2374" s="240"/>
      <c r="E2374" s="218"/>
      <c r="F2374" s="218"/>
      <c r="G2374" s="218"/>
      <c r="H2374" s="219"/>
      <c r="I2374" s="223">
        <f>IF($C2374="","",IF(ISNUMBER(MATCH($C2374,'Phản ánh'!$A$6:$A$505,0)),"Phản ánh",IF(ISNUMBER(MATCH($C2374,'Kế hoạch'!$A$6:$A$305,0)),"Công việc","Mã chưa có")))</f>
      </c>
      <c r="J2374" s="221">
        <f>IF($I2374="Phản ánh",INDEX('Phản ánh'!$C$6:$C$505,MATCH($C2374,'Phản ánh'!$A$6:$A$505,0)),IF($I2374="Công việc",INDEX('Kế hoạch'!$C$6:$C$305,$O2374),""))</f>
      </c>
      <c r="K2374" s="221">
        <f>IF($I2374="Phản ánh",INDEX('Phản ánh'!$K$6:$K$505,MATCH($C2374,'Phản ánh'!$A$6:$A$505,0))&amp;"",IF($I2374="Công việc",INDEX('Kế hoạch'!$N$6:$N$305,$O2374)&amp;"",""))</f>
      </c>
      <c r="L2374" s="220">
        <f>IF(OR($C2374="",N($B2374)=0),"",IF(AND($I2374="Phản ánh",$E2374="Đã xử lý"),INDEX('Phản ánh'!$U$6:$U$505,MATCH($C2374,'Phản ánh'!$A$6:$A$505,0)),IF(AND($I2374="Công việc",OR($E2374="Hoàn thành",$E2374="Hoàn thành kỳ")),IF(INDEX('Kế hoạch'!$B$6:$B$305,$O2374)="Đột xuất",INDEX('Kế hoạch'!$AY$6:$AY$305,$O2374),IF(N($P2374)=0,"",IF(INT($B2374)&lt;$P2374,$P2374,IF($Q2374&gt;0,$P2374+ROUND((INT($B2374)-$P2374)/$Q2374,0)*$Q2374,IF($R2374&gt;0,EDATE($P2374,ROUND((DATEDIF($P2374,INT($B2374),"m")+(INT($B2374)-EDATE($P2374,DATEDIF($P2374,INT($B2374),"m")))/(EDATE($P2374,DATEDIF($P2374,INT($B2374),"m")+1)-EDATE($P2374,DATEDIF($P2374,INT($B2374),"m"))))/$R2374,0)*$R2374),$P2374))))),"")))</f>
      </c>
      <c r="M2374" s="223">
        <f>IF(OR($C2374="",N($L2374)=0,N($B2374)=0),"",IF(IF(MOD($L2374,1)=0,INT($B2374),$B2374)&lt;=$L2374,"Đúng hạn","Trễ hạn"))</f>
      </c>
      <c r="N2374" s="225">
        <f>IF($C2374="","",ROW())</f>
      </c>
      <c r="O2374" s="225">
        <f>IF($I2374="Công việc",MATCH($C2374,'Kế hoạch'!$A$6:$A$305,0),"")</f>
      </c>
      <c r="P2374" s="234">
        <f>IF($O2374="","",INDEX('Kế hoạch'!$I$6:$I$305,$O2374))</f>
      </c>
      <c r="Q2374" s="225">
        <f>IF($O2374="","",INDEX('Kế hoạch'!$AJ$6:$AJ$305,$O2374))</f>
      </c>
      <c r="R2374" s="225">
        <f>IF($O2374="","",INDEX('Kế hoạch'!$AK$6:$AK$305,$O2374))</f>
      </c>
    </row>
    <row r="2375">
      <c r="A2375" s="223">
        <f>IF($C2375="","",COUNTIF($C$6:$C2375,"?*"))</f>
      </c>
      <c r="B2375" s="217"/>
      <c r="C2375" s="216"/>
      <c r="D2375" s="240"/>
      <c r="E2375" s="218"/>
      <c r="F2375" s="218"/>
      <c r="G2375" s="218"/>
      <c r="H2375" s="219"/>
      <c r="I2375" s="223">
        <f>IF($C2375="","",IF(ISNUMBER(MATCH($C2375,'Phản ánh'!$A$6:$A$505,0)),"Phản ánh",IF(ISNUMBER(MATCH($C2375,'Kế hoạch'!$A$6:$A$305,0)),"Công việc","Mã chưa có")))</f>
      </c>
      <c r="J2375" s="221">
        <f>IF($I2375="Phản ánh",INDEX('Phản ánh'!$C$6:$C$505,MATCH($C2375,'Phản ánh'!$A$6:$A$505,0)),IF($I2375="Công việc",INDEX('Kế hoạch'!$C$6:$C$305,$O2375),""))</f>
      </c>
      <c r="K2375" s="221">
        <f>IF($I2375="Phản ánh",INDEX('Phản ánh'!$K$6:$K$505,MATCH($C2375,'Phản ánh'!$A$6:$A$505,0))&amp;"",IF($I2375="Công việc",INDEX('Kế hoạch'!$N$6:$N$305,$O2375)&amp;"",""))</f>
      </c>
      <c r="L2375" s="220">
        <f>IF(OR($C2375="",N($B2375)=0),"",IF(AND($I2375="Phản ánh",$E2375="Đã xử lý"),INDEX('Phản ánh'!$U$6:$U$505,MATCH($C2375,'Phản ánh'!$A$6:$A$505,0)),IF(AND($I2375="Công việc",OR($E2375="Hoàn thành",$E2375="Hoàn thành kỳ")),IF(INDEX('Kế hoạch'!$B$6:$B$305,$O2375)="Đột xuất",INDEX('Kế hoạch'!$AY$6:$AY$305,$O2375),IF(N($P2375)=0,"",IF(INT($B2375)&lt;$P2375,$P2375,IF($Q2375&gt;0,$P2375+ROUND((INT($B2375)-$P2375)/$Q2375,0)*$Q2375,IF($R2375&gt;0,EDATE($P2375,ROUND((DATEDIF($P2375,INT($B2375),"m")+(INT($B2375)-EDATE($P2375,DATEDIF($P2375,INT($B2375),"m")))/(EDATE($P2375,DATEDIF($P2375,INT($B2375),"m")+1)-EDATE($P2375,DATEDIF($P2375,INT($B2375),"m"))))/$R2375,0)*$R2375),$P2375))))),"")))</f>
      </c>
      <c r="M2375" s="223">
        <f>IF(OR($C2375="",N($L2375)=0,N($B2375)=0),"",IF(IF(MOD($L2375,1)=0,INT($B2375),$B2375)&lt;=$L2375,"Đúng hạn","Trễ hạn"))</f>
      </c>
      <c r="N2375" s="225">
        <f>IF($C2375="","",ROW())</f>
      </c>
      <c r="O2375" s="225">
        <f>IF($I2375="Công việc",MATCH($C2375,'Kế hoạch'!$A$6:$A$305,0),"")</f>
      </c>
      <c r="P2375" s="234">
        <f>IF($O2375="","",INDEX('Kế hoạch'!$I$6:$I$305,$O2375))</f>
      </c>
      <c r="Q2375" s="225">
        <f>IF($O2375="","",INDEX('Kế hoạch'!$AJ$6:$AJ$305,$O2375))</f>
      </c>
      <c r="R2375" s="225">
        <f>IF($O2375="","",INDEX('Kế hoạch'!$AK$6:$AK$305,$O2375))</f>
      </c>
    </row>
    <row r="2376">
      <c r="A2376" s="223">
        <f>IF($C2376="","",COUNTIF($C$6:$C2376,"?*"))</f>
      </c>
      <c r="B2376" s="217"/>
      <c r="C2376" s="216"/>
      <c r="D2376" s="240"/>
      <c r="E2376" s="218"/>
      <c r="F2376" s="218"/>
      <c r="G2376" s="218"/>
      <c r="H2376" s="219"/>
      <c r="I2376" s="223">
        <f>IF($C2376="","",IF(ISNUMBER(MATCH($C2376,'Phản ánh'!$A$6:$A$505,0)),"Phản ánh",IF(ISNUMBER(MATCH($C2376,'Kế hoạch'!$A$6:$A$305,0)),"Công việc","Mã chưa có")))</f>
      </c>
      <c r="J2376" s="221">
        <f>IF($I2376="Phản ánh",INDEX('Phản ánh'!$C$6:$C$505,MATCH($C2376,'Phản ánh'!$A$6:$A$505,0)),IF($I2376="Công việc",INDEX('Kế hoạch'!$C$6:$C$305,$O2376),""))</f>
      </c>
      <c r="K2376" s="221">
        <f>IF($I2376="Phản ánh",INDEX('Phản ánh'!$K$6:$K$505,MATCH($C2376,'Phản ánh'!$A$6:$A$505,0))&amp;"",IF($I2376="Công việc",INDEX('Kế hoạch'!$N$6:$N$305,$O2376)&amp;"",""))</f>
      </c>
      <c r="L2376" s="220">
        <f>IF(OR($C2376="",N($B2376)=0),"",IF(AND($I2376="Phản ánh",$E2376="Đã xử lý"),INDEX('Phản ánh'!$U$6:$U$505,MATCH($C2376,'Phản ánh'!$A$6:$A$505,0)),IF(AND($I2376="Công việc",OR($E2376="Hoàn thành",$E2376="Hoàn thành kỳ")),IF(INDEX('Kế hoạch'!$B$6:$B$305,$O2376)="Đột xuất",INDEX('Kế hoạch'!$AY$6:$AY$305,$O2376),IF(N($P2376)=0,"",IF(INT($B2376)&lt;$P2376,$P2376,IF($Q2376&gt;0,$P2376+ROUND((INT($B2376)-$P2376)/$Q2376,0)*$Q2376,IF($R2376&gt;0,EDATE($P2376,ROUND((DATEDIF($P2376,INT($B2376),"m")+(INT($B2376)-EDATE($P2376,DATEDIF($P2376,INT($B2376),"m")))/(EDATE($P2376,DATEDIF($P2376,INT($B2376),"m")+1)-EDATE($P2376,DATEDIF($P2376,INT($B2376),"m"))))/$R2376,0)*$R2376),$P2376))))),"")))</f>
      </c>
      <c r="M2376" s="223">
        <f>IF(OR($C2376="",N($L2376)=0,N($B2376)=0),"",IF(IF(MOD($L2376,1)=0,INT($B2376),$B2376)&lt;=$L2376,"Đúng hạn","Trễ hạn"))</f>
      </c>
      <c r="N2376" s="225">
        <f>IF($C2376="","",ROW())</f>
      </c>
      <c r="O2376" s="225">
        <f>IF($I2376="Công việc",MATCH($C2376,'Kế hoạch'!$A$6:$A$305,0),"")</f>
      </c>
      <c r="P2376" s="234">
        <f>IF($O2376="","",INDEX('Kế hoạch'!$I$6:$I$305,$O2376))</f>
      </c>
      <c r="Q2376" s="225">
        <f>IF($O2376="","",INDEX('Kế hoạch'!$AJ$6:$AJ$305,$O2376))</f>
      </c>
      <c r="R2376" s="225">
        <f>IF($O2376="","",INDEX('Kế hoạch'!$AK$6:$AK$305,$O2376))</f>
      </c>
    </row>
    <row r="2377">
      <c r="A2377" s="223">
        <f>IF($C2377="","",COUNTIF($C$6:$C2377,"?*"))</f>
      </c>
      <c r="B2377" s="217"/>
      <c r="C2377" s="216"/>
      <c r="D2377" s="240"/>
      <c r="E2377" s="218"/>
      <c r="F2377" s="218"/>
      <c r="G2377" s="218"/>
      <c r="H2377" s="219"/>
      <c r="I2377" s="223">
        <f>IF($C2377="","",IF(ISNUMBER(MATCH($C2377,'Phản ánh'!$A$6:$A$505,0)),"Phản ánh",IF(ISNUMBER(MATCH($C2377,'Kế hoạch'!$A$6:$A$305,0)),"Công việc","Mã chưa có")))</f>
      </c>
      <c r="J2377" s="221">
        <f>IF($I2377="Phản ánh",INDEX('Phản ánh'!$C$6:$C$505,MATCH($C2377,'Phản ánh'!$A$6:$A$505,0)),IF($I2377="Công việc",INDEX('Kế hoạch'!$C$6:$C$305,$O2377),""))</f>
      </c>
      <c r="K2377" s="221">
        <f>IF($I2377="Phản ánh",INDEX('Phản ánh'!$K$6:$K$505,MATCH($C2377,'Phản ánh'!$A$6:$A$505,0))&amp;"",IF($I2377="Công việc",INDEX('Kế hoạch'!$N$6:$N$305,$O2377)&amp;"",""))</f>
      </c>
      <c r="L2377" s="220">
        <f>IF(OR($C2377="",N($B2377)=0),"",IF(AND($I2377="Phản ánh",$E2377="Đã xử lý"),INDEX('Phản ánh'!$U$6:$U$505,MATCH($C2377,'Phản ánh'!$A$6:$A$505,0)),IF(AND($I2377="Công việc",OR($E2377="Hoàn thành",$E2377="Hoàn thành kỳ")),IF(INDEX('Kế hoạch'!$B$6:$B$305,$O2377)="Đột xuất",INDEX('Kế hoạch'!$AY$6:$AY$305,$O2377),IF(N($P2377)=0,"",IF(INT($B2377)&lt;$P2377,$P2377,IF($Q2377&gt;0,$P2377+ROUND((INT($B2377)-$P2377)/$Q2377,0)*$Q2377,IF($R2377&gt;0,EDATE($P2377,ROUND((DATEDIF($P2377,INT($B2377),"m")+(INT($B2377)-EDATE($P2377,DATEDIF($P2377,INT($B2377),"m")))/(EDATE($P2377,DATEDIF($P2377,INT($B2377),"m")+1)-EDATE($P2377,DATEDIF($P2377,INT($B2377),"m"))))/$R2377,0)*$R2377),$P2377))))),"")))</f>
      </c>
      <c r="M2377" s="223">
        <f>IF(OR($C2377="",N($L2377)=0,N($B2377)=0),"",IF(IF(MOD($L2377,1)=0,INT($B2377),$B2377)&lt;=$L2377,"Đúng hạn","Trễ hạn"))</f>
      </c>
      <c r="N2377" s="225">
        <f>IF($C2377="","",ROW())</f>
      </c>
      <c r="O2377" s="225">
        <f>IF($I2377="Công việc",MATCH($C2377,'Kế hoạch'!$A$6:$A$305,0),"")</f>
      </c>
      <c r="P2377" s="234">
        <f>IF($O2377="","",INDEX('Kế hoạch'!$I$6:$I$305,$O2377))</f>
      </c>
      <c r="Q2377" s="225">
        <f>IF($O2377="","",INDEX('Kế hoạch'!$AJ$6:$AJ$305,$O2377))</f>
      </c>
      <c r="R2377" s="225">
        <f>IF($O2377="","",INDEX('Kế hoạch'!$AK$6:$AK$305,$O2377))</f>
      </c>
    </row>
    <row r="2378">
      <c r="A2378" s="223">
        <f>IF($C2378="","",COUNTIF($C$6:$C2378,"?*"))</f>
      </c>
      <c r="B2378" s="217"/>
      <c r="C2378" s="216"/>
      <c r="D2378" s="240"/>
      <c r="E2378" s="218"/>
      <c r="F2378" s="218"/>
      <c r="G2378" s="218"/>
      <c r="H2378" s="219"/>
      <c r="I2378" s="223">
        <f>IF($C2378="","",IF(ISNUMBER(MATCH($C2378,'Phản ánh'!$A$6:$A$505,0)),"Phản ánh",IF(ISNUMBER(MATCH($C2378,'Kế hoạch'!$A$6:$A$305,0)),"Công việc","Mã chưa có")))</f>
      </c>
      <c r="J2378" s="221">
        <f>IF($I2378="Phản ánh",INDEX('Phản ánh'!$C$6:$C$505,MATCH($C2378,'Phản ánh'!$A$6:$A$505,0)),IF($I2378="Công việc",INDEX('Kế hoạch'!$C$6:$C$305,$O2378),""))</f>
      </c>
      <c r="K2378" s="221">
        <f>IF($I2378="Phản ánh",INDEX('Phản ánh'!$K$6:$K$505,MATCH($C2378,'Phản ánh'!$A$6:$A$505,0))&amp;"",IF($I2378="Công việc",INDEX('Kế hoạch'!$N$6:$N$305,$O2378)&amp;"",""))</f>
      </c>
      <c r="L2378" s="220">
        <f>IF(OR($C2378="",N($B2378)=0),"",IF(AND($I2378="Phản ánh",$E2378="Đã xử lý"),INDEX('Phản ánh'!$U$6:$U$505,MATCH($C2378,'Phản ánh'!$A$6:$A$505,0)),IF(AND($I2378="Công việc",OR($E2378="Hoàn thành",$E2378="Hoàn thành kỳ")),IF(INDEX('Kế hoạch'!$B$6:$B$305,$O2378)="Đột xuất",INDEX('Kế hoạch'!$AY$6:$AY$305,$O2378),IF(N($P2378)=0,"",IF(INT($B2378)&lt;$P2378,$P2378,IF($Q2378&gt;0,$P2378+ROUND((INT($B2378)-$P2378)/$Q2378,0)*$Q2378,IF($R2378&gt;0,EDATE($P2378,ROUND((DATEDIF($P2378,INT($B2378),"m")+(INT($B2378)-EDATE($P2378,DATEDIF($P2378,INT($B2378),"m")))/(EDATE($P2378,DATEDIF($P2378,INT($B2378),"m")+1)-EDATE($P2378,DATEDIF($P2378,INT($B2378),"m"))))/$R2378,0)*$R2378),$P2378))))),"")))</f>
      </c>
      <c r="M2378" s="223">
        <f>IF(OR($C2378="",N($L2378)=0,N($B2378)=0),"",IF(IF(MOD($L2378,1)=0,INT($B2378),$B2378)&lt;=$L2378,"Đúng hạn","Trễ hạn"))</f>
      </c>
      <c r="N2378" s="225">
        <f>IF($C2378="","",ROW())</f>
      </c>
      <c r="O2378" s="225">
        <f>IF($I2378="Công việc",MATCH($C2378,'Kế hoạch'!$A$6:$A$305,0),"")</f>
      </c>
      <c r="P2378" s="234">
        <f>IF($O2378="","",INDEX('Kế hoạch'!$I$6:$I$305,$O2378))</f>
      </c>
      <c r="Q2378" s="225">
        <f>IF($O2378="","",INDEX('Kế hoạch'!$AJ$6:$AJ$305,$O2378))</f>
      </c>
      <c r="R2378" s="225">
        <f>IF($O2378="","",INDEX('Kế hoạch'!$AK$6:$AK$305,$O2378))</f>
      </c>
    </row>
    <row r="2379">
      <c r="A2379" s="223">
        <f>IF($C2379="","",COUNTIF($C$6:$C2379,"?*"))</f>
      </c>
      <c r="B2379" s="217"/>
      <c r="C2379" s="216"/>
      <c r="D2379" s="240"/>
      <c r="E2379" s="218"/>
      <c r="F2379" s="218"/>
      <c r="G2379" s="218"/>
      <c r="H2379" s="219"/>
      <c r="I2379" s="223">
        <f>IF($C2379="","",IF(ISNUMBER(MATCH($C2379,'Phản ánh'!$A$6:$A$505,0)),"Phản ánh",IF(ISNUMBER(MATCH($C2379,'Kế hoạch'!$A$6:$A$305,0)),"Công việc","Mã chưa có")))</f>
      </c>
      <c r="J2379" s="221">
        <f>IF($I2379="Phản ánh",INDEX('Phản ánh'!$C$6:$C$505,MATCH($C2379,'Phản ánh'!$A$6:$A$505,0)),IF($I2379="Công việc",INDEX('Kế hoạch'!$C$6:$C$305,$O2379),""))</f>
      </c>
      <c r="K2379" s="221">
        <f>IF($I2379="Phản ánh",INDEX('Phản ánh'!$K$6:$K$505,MATCH($C2379,'Phản ánh'!$A$6:$A$505,0))&amp;"",IF($I2379="Công việc",INDEX('Kế hoạch'!$N$6:$N$305,$O2379)&amp;"",""))</f>
      </c>
      <c r="L2379" s="220">
        <f>IF(OR($C2379="",N($B2379)=0),"",IF(AND($I2379="Phản ánh",$E2379="Đã xử lý"),INDEX('Phản ánh'!$U$6:$U$505,MATCH($C2379,'Phản ánh'!$A$6:$A$505,0)),IF(AND($I2379="Công việc",OR($E2379="Hoàn thành",$E2379="Hoàn thành kỳ")),IF(INDEX('Kế hoạch'!$B$6:$B$305,$O2379)="Đột xuất",INDEX('Kế hoạch'!$AY$6:$AY$305,$O2379),IF(N($P2379)=0,"",IF(INT($B2379)&lt;$P2379,$P2379,IF($Q2379&gt;0,$P2379+ROUND((INT($B2379)-$P2379)/$Q2379,0)*$Q2379,IF($R2379&gt;0,EDATE($P2379,ROUND((DATEDIF($P2379,INT($B2379),"m")+(INT($B2379)-EDATE($P2379,DATEDIF($P2379,INT($B2379),"m")))/(EDATE($P2379,DATEDIF($P2379,INT($B2379),"m")+1)-EDATE($P2379,DATEDIF($P2379,INT($B2379),"m"))))/$R2379,0)*$R2379),$P2379))))),"")))</f>
      </c>
      <c r="M2379" s="223">
        <f>IF(OR($C2379="",N($L2379)=0,N($B2379)=0),"",IF(IF(MOD($L2379,1)=0,INT($B2379),$B2379)&lt;=$L2379,"Đúng hạn","Trễ hạn"))</f>
      </c>
      <c r="N2379" s="225">
        <f>IF($C2379="","",ROW())</f>
      </c>
      <c r="O2379" s="225">
        <f>IF($I2379="Công việc",MATCH($C2379,'Kế hoạch'!$A$6:$A$305,0),"")</f>
      </c>
      <c r="P2379" s="234">
        <f>IF($O2379="","",INDEX('Kế hoạch'!$I$6:$I$305,$O2379))</f>
      </c>
      <c r="Q2379" s="225">
        <f>IF($O2379="","",INDEX('Kế hoạch'!$AJ$6:$AJ$305,$O2379))</f>
      </c>
      <c r="R2379" s="225">
        <f>IF($O2379="","",INDEX('Kế hoạch'!$AK$6:$AK$305,$O2379))</f>
      </c>
    </row>
    <row r="2380">
      <c r="A2380" s="223">
        <f>IF($C2380="","",COUNTIF($C$6:$C2380,"?*"))</f>
      </c>
      <c r="B2380" s="217"/>
      <c r="C2380" s="216"/>
      <c r="D2380" s="240"/>
      <c r="E2380" s="218"/>
      <c r="F2380" s="218"/>
      <c r="G2380" s="218"/>
      <c r="H2380" s="219"/>
      <c r="I2380" s="223">
        <f>IF($C2380="","",IF(ISNUMBER(MATCH($C2380,'Phản ánh'!$A$6:$A$505,0)),"Phản ánh",IF(ISNUMBER(MATCH($C2380,'Kế hoạch'!$A$6:$A$305,0)),"Công việc","Mã chưa có")))</f>
      </c>
      <c r="J2380" s="221">
        <f>IF($I2380="Phản ánh",INDEX('Phản ánh'!$C$6:$C$505,MATCH($C2380,'Phản ánh'!$A$6:$A$505,0)),IF($I2380="Công việc",INDEX('Kế hoạch'!$C$6:$C$305,$O2380),""))</f>
      </c>
      <c r="K2380" s="221">
        <f>IF($I2380="Phản ánh",INDEX('Phản ánh'!$K$6:$K$505,MATCH($C2380,'Phản ánh'!$A$6:$A$505,0))&amp;"",IF($I2380="Công việc",INDEX('Kế hoạch'!$N$6:$N$305,$O2380)&amp;"",""))</f>
      </c>
      <c r="L2380" s="220">
        <f>IF(OR($C2380="",N($B2380)=0),"",IF(AND($I2380="Phản ánh",$E2380="Đã xử lý"),INDEX('Phản ánh'!$U$6:$U$505,MATCH($C2380,'Phản ánh'!$A$6:$A$505,0)),IF(AND($I2380="Công việc",OR($E2380="Hoàn thành",$E2380="Hoàn thành kỳ")),IF(INDEX('Kế hoạch'!$B$6:$B$305,$O2380)="Đột xuất",INDEX('Kế hoạch'!$AY$6:$AY$305,$O2380),IF(N($P2380)=0,"",IF(INT($B2380)&lt;$P2380,$P2380,IF($Q2380&gt;0,$P2380+ROUND((INT($B2380)-$P2380)/$Q2380,0)*$Q2380,IF($R2380&gt;0,EDATE($P2380,ROUND((DATEDIF($P2380,INT($B2380),"m")+(INT($B2380)-EDATE($P2380,DATEDIF($P2380,INT($B2380),"m")))/(EDATE($P2380,DATEDIF($P2380,INT($B2380),"m")+1)-EDATE($P2380,DATEDIF($P2380,INT($B2380),"m"))))/$R2380,0)*$R2380),$P2380))))),"")))</f>
      </c>
      <c r="M2380" s="223">
        <f>IF(OR($C2380="",N($L2380)=0,N($B2380)=0),"",IF(IF(MOD($L2380,1)=0,INT($B2380),$B2380)&lt;=$L2380,"Đúng hạn","Trễ hạn"))</f>
      </c>
      <c r="N2380" s="225">
        <f>IF($C2380="","",ROW())</f>
      </c>
      <c r="O2380" s="225">
        <f>IF($I2380="Công việc",MATCH($C2380,'Kế hoạch'!$A$6:$A$305,0),"")</f>
      </c>
      <c r="P2380" s="234">
        <f>IF($O2380="","",INDEX('Kế hoạch'!$I$6:$I$305,$O2380))</f>
      </c>
      <c r="Q2380" s="225">
        <f>IF($O2380="","",INDEX('Kế hoạch'!$AJ$6:$AJ$305,$O2380))</f>
      </c>
      <c r="R2380" s="225">
        <f>IF($O2380="","",INDEX('Kế hoạch'!$AK$6:$AK$305,$O2380))</f>
      </c>
    </row>
    <row r="2381">
      <c r="A2381" s="223">
        <f>IF($C2381="","",COUNTIF($C$6:$C2381,"?*"))</f>
      </c>
      <c r="B2381" s="217"/>
      <c r="C2381" s="216"/>
      <c r="D2381" s="240"/>
      <c r="E2381" s="218"/>
      <c r="F2381" s="218"/>
      <c r="G2381" s="218"/>
      <c r="H2381" s="219"/>
      <c r="I2381" s="223">
        <f>IF($C2381="","",IF(ISNUMBER(MATCH($C2381,'Phản ánh'!$A$6:$A$505,0)),"Phản ánh",IF(ISNUMBER(MATCH($C2381,'Kế hoạch'!$A$6:$A$305,0)),"Công việc","Mã chưa có")))</f>
      </c>
      <c r="J2381" s="221">
        <f>IF($I2381="Phản ánh",INDEX('Phản ánh'!$C$6:$C$505,MATCH($C2381,'Phản ánh'!$A$6:$A$505,0)),IF($I2381="Công việc",INDEX('Kế hoạch'!$C$6:$C$305,$O2381),""))</f>
      </c>
      <c r="K2381" s="221">
        <f>IF($I2381="Phản ánh",INDEX('Phản ánh'!$K$6:$K$505,MATCH($C2381,'Phản ánh'!$A$6:$A$505,0))&amp;"",IF($I2381="Công việc",INDEX('Kế hoạch'!$N$6:$N$305,$O2381)&amp;"",""))</f>
      </c>
      <c r="L2381" s="220">
        <f>IF(OR($C2381="",N($B2381)=0),"",IF(AND($I2381="Phản ánh",$E2381="Đã xử lý"),INDEX('Phản ánh'!$U$6:$U$505,MATCH($C2381,'Phản ánh'!$A$6:$A$505,0)),IF(AND($I2381="Công việc",OR($E2381="Hoàn thành",$E2381="Hoàn thành kỳ")),IF(INDEX('Kế hoạch'!$B$6:$B$305,$O2381)="Đột xuất",INDEX('Kế hoạch'!$AY$6:$AY$305,$O2381),IF(N($P2381)=0,"",IF(INT($B2381)&lt;$P2381,$P2381,IF($Q2381&gt;0,$P2381+ROUND((INT($B2381)-$P2381)/$Q2381,0)*$Q2381,IF($R2381&gt;0,EDATE($P2381,ROUND((DATEDIF($P2381,INT($B2381),"m")+(INT($B2381)-EDATE($P2381,DATEDIF($P2381,INT($B2381),"m")))/(EDATE($P2381,DATEDIF($P2381,INT($B2381),"m")+1)-EDATE($P2381,DATEDIF($P2381,INT($B2381),"m"))))/$R2381,0)*$R2381),$P2381))))),"")))</f>
      </c>
      <c r="M2381" s="223">
        <f>IF(OR($C2381="",N($L2381)=0,N($B2381)=0),"",IF(IF(MOD($L2381,1)=0,INT($B2381),$B2381)&lt;=$L2381,"Đúng hạn","Trễ hạn"))</f>
      </c>
      <c r="N2381" s="225">
        <f>IF($C2381="","",ROW())</f>
      </c>
      <c r="O2381" s="225">
        <f>IF($I2381="Công việc",MATCH($C2381,'Kế hoạch'!$A$6:$A$305,0),"")</f>
      </c>
      <c r="P2381" s="234">
        <f>IF($O2381="","",INDEX('Kế hoạch'!$I$6:$I$305,$O2381))</f>
      </c>
      <c r="Q2381" s="225">
        <f>IF($O2381="","",INDEX('Kế hoạch'!$AJ$6:$AJ$305,$O2381))</f>
      </c>
      <c r="R2381" s="225">
        <f>IF($O2381="","",INDEX('Kế hoạch'!$AK$6:$AK$305,$O2381))</f>
      </c>
    </row>
    <row r="2382">
      <c r="A2382" s="223">
        <f>IF($C2382="","",COUNTIF($C$6:$C2382,"?*"))</f>
      </c>
      <c r="B2382" s="217"/>
      <c r="C2382" s="216"/>
      <c r="D2382" s="240"/>
      <c r="E2382" s="218"/>
      <c r="F2382" s="218"/>
      <c r="G2382" s="218"/>
      <c r="H2382" s="219"/>
      <c r="I2382" s="223">
        <f>IF($C2382="","",IF(ISNUMBER(MATCH($C2382,'Phản ánh'!$A$6:$A$505,0)),"Phản ánh",IF(ISNUMBER(MATCH($C2382,'Kế hoạch'!$A$6:$A$305,0)),"Công việc","Mã chưa có")))</f>
      </c>
      <c r="J2382" s="221">
        <f>IF($I2382="Phản ánh",INDEX('Phản ánh'!$C$6:$C$505,MATCH($C2382,'Phản ánh'!$A$6:$A$505,0)),IF($I2382="Công việc",INDEX('Kế hoạch'!$C$6:$C$305,$O2382),""))</f>
      </c>
      <c r="K2382" s="221">
        <f>IF($I2382="Phản ánh",INDEX('Phản ánh'!$K$6:$K$505,MATCH($C2382,'Phản ánh'!$A$6:$A$505,0))&amp;"",IF($I2382="Công việc",INDEX('Kế hoạch'!$N$6:$N$305,$O2382)&amp;"",""))</f>
      </c>
      <c r="L2382" s="220">
        <f>IF(OR($C2382="",N($B2382)=0),"",IF(AND($I2382="Phản ánh",$E2382="Đã xử lý"),INDEX('Phản ánh'!$U$6:$U$505,MATCH($C2382,'Phản ánh'!$A$6:$A$505,0)),IF(AND($I2382="Công việc",OR($E2382="Hoàn thành",$E2382="Hoàn thành kỳ")),IF(INDEX('Kế hoạch'!$B$6:$B$305,$O2382)="Đột xuất",INDEX('Kế hoạch'!$AY$6:$AY$305,$O2382),IF(N($P2382)=0,"",IF(INT($B2382)&lt;$P2382,$P2382,IF($Q2382&gt;0,$P2382+ROUND((INT($B2382)-$P2382)/$Q2382,0)*$Q2382,IF($R2382&gt;0,EDATE($P2382,ROUND((DATEDIF($P2382,INT($B2382),"m")+(INT($B2382)-EDATE($P2382,DATEDIF($P2382,INT($B2382),"m")))/(EDATE($P2382,DATEDIF($P2382,INT($B2382),"m")+1)-EDATE($P2382,DATEDIF($P2382,INT($B2382),"m"))))/$R2382,0)*$R2382),$P2382))))),"")))</f>
      </c>
      <c r="M2382" s="223">
        <f>IF(OR($C2382="",N($L2382)=0,N($B2382)=0),"",IF(IF(MOD($L2382,1)=0,INT($B2382),$B2382)&lt;=$L2382,"Đúng hạn","Trễ hạn"))</f>
      </c>
      <c r="N2382" s="225">
        <f>IF($C2382="","",ROW())</f>
      </c>
      <c r="O2382" s="225">
        <f>IF($I2382="Công việc",MATCH($C2382,'Kế hoạch'!$A$6:$A$305,0),"")</f>
      </c>
      <c r="P2382" s="234">
        <f>IF($O2382="","",INDEX('Kế hoạch'!$I$6:$I$305,$O2382))</f>
      </c>
      <c r="Q2382" s="225">
        <f>IF($O2382="","",INDEX('Kế hoạch'!$AJ$6:$AJ$305,$O2382))</f>
      </c>
      <c r="R2382" s="225">
        <f>IF($O2382="","",INDEX('Kế hoạch'!$AK$6:$AK$305,$O2382))</f>
      </c>
    </row>
    <row r="2383">
      <c r="A2383" s="223">
        <f>IF($C2383="","",COUNTIF($C$6:$C2383,"?*"))</f>
      </c>
      <c r="B2383" s="217"/>
      <c r="C2383" s="216"/>
      <c r="D2383" s="240"/>
      <c r="E2383" s="218"/>
      <c r="F2383" s="218"/>
      <c r="G2383" s="218"/>
      <c r="H2383" s="219"/>
      <c r="I2383" s="223">
        <f>IF($C2383="","",IF(ISNUMBER(MATCH($C2383,'Phản ánh'!$A$6:$A$505,0)),"Phản ánh",IF(ISNUMBER(MATCH($C2383,'Kế hoạch'!$A$6:$A$305,0)),"Công việc","Mã chưa có")))</f>
      </c>
      <c r="J2383" s="221">
        <f>IF($I2383="Phản ánh",INDEX('Phản ánh'!$C$6:$C$505,MATCH($C2383,'Phản ánh'!$A$6:$A$505,0)),IF($I2383="Công việc",INDEX('Kế hoạch'!$C$6:$C$305,$O2383),""))</f>
      </c>
      <c r="K2383" s="221">
        <f>IF($I2383="Phản ánh",INDEX('Phản ánh'!$K$6:$K$505,MATCH($C2383,'Phản ánh'!$A$6:$A$505,0))&amp;"",IF($I2383="Công việc",INDEX('Kế hoạch'!$N$6:$N$305,$O2383)&amp;"",""))</f>
      </c>
      <c r="L2383" s="220">
        <f>IF(OR($C2383="",N($B2383)=0),"",IF(AND($I2383="Phản ánh",$E2383="Đã xử lý"),INDEX('Phản ánh'!$U$6:$U$505,MATCH($C2383,'Phản ánh'!$A$6:$A$505,0)),IF(AND($I2383="Công việc",OR($E2383="Hoàn thành",$E2383="Hoàn thành kỳ")),IF(INDEX('Kế hoạch'!$B$6:$B$305,$O2383)="Đột xuất",INDEX('Kế hoạch'!$AY$6:$AY$305,$O2383),IF(N($P2383)=0,"",IF(INT($B2383)&lt;$P2383,$P2383,IF($Q2383&gt;0,$P2383+ROUND((INT($B2383)-$P2383)/$Q2383,0)*$Q2383,IF($R2383&gt;0,EDATE($P2383,ROUND((DATEDIF($P2383,INT($B2383),"m")+(INT($B2383)-EDATE($P2383,DATEDIF($P2383,INT($B2383),"m")))/(EDATE($P2383,DATEDIF($P2383,INT($B2383),"m")+1)-EDATE($P2383,DATEDIF($P2383,INT($B2383),"m"))))/$R2383,0)*$R2383),$P2383))))),"")))</f>
      </c>
      <c r="M2383" s="223">
        <f>IF(OR($C2383="",N($L2383)=0,N($B2383)=0),"",IF(IF(MOD($L2383,1)=0,INT($B2383),$B2383)&lt;=$L2383,"Đúng hạn","Trễ hạn"))</f>
      </c>
      <c r="N2383" s="225">
        <f>IF($C2383="","",ROW())</f>
      </c>
      <c r="O2383" s="225">
        <f>IF($I2383="Công việc",MATCH($C2383,'Kế hoạch'!$A$6:$A$305,0),"")</f>
      </c>
      <c r="P2383" s="234">
        <f>IF($O2383="","",INDEX('Kế hoạch'!$I$6:$I$305,$O2383))</f>
      </c>
      <c r="Q2383" s="225">
        <f>IF($O2383="","",INDEX('Kế hoạch'!$AJ$6:$AJ$305,$O2383))</f>
      </c>
      <c r="R2383" s="225">
        <f>IF($O2383="","",INDEX('Kế hoạch'!$AK$6:$AK$305,$O2383))</f>
      </c>
    </row>
    <row r="2384">
      <c r="A2384" s="223">
        <f>IF($C2384="","",COUNTIF($C$6:$C2384,"?*"))</f>
      </c>
      <c r="B2384" s="217"/>
      <c r="C2384" s="216"/>
      <c r="D2384" s="240"/>
      <c r="E2384" s="218"/>
      <c r="F2384" s="218"/>
      <c r="G2384" s="218"/>
      <c r="H2384" s="219"/>
      <c r="I2384" s="223">
        <f>IF($C2384="","",IF(ISNUMBER(MATCH($C2384,'Phản ánh'!$A$6:$A$505,0)),"Phản ánh",IF(ISNUMBER(MATCH($C2384,'Kế hoạch'!$A$6:$A$305,0)),"Công việc","Mã chưa có")))</f>
      </c>
      <c r="J2384" s="221">
        <f>IF($I2384="Phản ánh",INDEX('Phản ánh'!$C$6:$C$505,MATCH($C2384,'Phản ánh'!$A$6:$A$505,0)),IF($I2384="Công việc",INDEX('Kế hoạch'!$C$6:$C$305,$O2384),""))</f>
      </c>
      <c r="K2384" s="221">
        <f>IF($I2384="Phản ánh",INDEX('Phản ánh'!$K$6:$K$505,MATCH($C2384,'Phản ánh'!$A$6:$A$505,0))&amp;"",IF($I2384="Công việc",INDEX('Kế hoạch'!$N$6:$N$305,$O2384)&amp;"",""))</f>
      </c>
      <c r="L2384" s="220">
        <f>IF(OR($C2384="",N($B2384)=0),"",IF(AND($I2384="Phản ánh",$E2384="Đã xử lý"),INDEX('Phản ánh'!$U$6:$U$505,MATCH($C2384,'Phản ánh'!$A$6:$A$505,0)),IF(AND($I2384="Công việc",OR($E2384="Hoàn thành",$E2384="Hoàn thành kỳ")),IF(INDEX('Kế hoạch'!$B$6:$B$305,$O2384)="Đột xuất",INDEX('Kế hoạch'!$AY$6:$AY$305,$O2384),IF(N($P2384)=0,"",IF(INT($B2384)&lt;$P2384,$P2384,IF($Q2384&gt;0,$P2384+ROUND((INT($B2384)-$P2384)/$Q2384,0)*$Q2384,IF($R2384&gt;0,EDATE($P2384,ROUND((DATEDIF($P2384,INT($B2384),"m")+(INT($B2384)-EDATE($P2384,DATEDIF($P2384,INT($B2384),"m")))/(EDATE($P2384,DATEDIF($P2384,INT($B2384),"m")+1)-EDATE($P2384,DATEDIF($P2384,INT($B2384),"m"))))/$R2384,0)*$R2384),$P2384))))),"")))</f>
      </c>
      <c r="M2384" s="223">
        <f>IF(OR($C2384="",N($L2384)=0,N($B2384)=0),"",IF(IF(MOD($L2384,1)=0,INT($B2384),$B2384)&lt;=$L2384,"Đúng hạn","Trễ hạn"))</f>
      </c>
      <c r="N2384" s="225">
        <f>IF($C2384="","",ROW())</f>
      </c>
      <c r="O2384" s="225">
        <f>IF($I2384="Công việc",MATCH($C2384,'Kế hoạch'!$A$6:$A$305,0),"")</f>
      </c>
      <c r="P2384" s="234">
        <f>IF($O2384="","",INDEX('Kế hoạch'!$I$6:$I$305,$O2384))</f>
      </c>
      <c r="Q2384" s="225">
        <f>IF($O2384="","",INDEX('Kế hoạch'!$AJ$6:$AJ$305,$O2384))</f>
      </c>
      <c r="R2384" s="225">
        <f>IF($O2384="","",INDEX('Kế hoạch'!$AK$6:$AK$305,$O2384))</f>
      </c>
    </row>
    <row r="2385">
      <c r="A2385" s="223">
        <f>IF($C2385="","",COUNTIF($C$6:$C2385,"?*"))</f>
      </c>
      <c r="B2385" s="217"/>
      <c r="C2385" s="216"/>
      <c r="D2385" s="240"/>
      <c r="E2385" s="218"/>
      <c r="F2385" s="218"/>
      <c r="G2385" s="218"/>
      <c r="H2385" s="219"/>
      <c r="I2385" s="223">
        <f>IF($C2385="","",IF(ISNUMBER(MATCH($C2385,'Phản ánh'!$A$6:$A$505,0)),"Phản ánh",IF(ISNUMBER(MATCH($C2385,'Kế hoạch'!$A$6:$A$305,0)),"Công việc","Mã chưa có")))</f>
      </c>
      <c r="J2385" s="221">
        <f>IF($I2385="Phản ánh",INDEX('Phản ánh'!$C$6:$C$505,MATCH($C2385,'Phản ánh'!$A$6:$A$505,0)),IF($I2385="Công việc",INDEX('Kế hoạch'!$C$6:$C$305,$O2385),""))</f>
      </c>
      <c r="K2385" s="221">
        <f>IF($I2385="Phản ánh",INDEX('Phản ánh'!$K$6:$K$505,MATCH($C2385,'Phản ánh'!$A$6:$A$505,0))&amp;"",IF($I2385="Công việc",INDEX('Kế hoạch'!$N$6:$N$305,$O2385)&amp;"",""))</f>
      </c>
      <c r="L2385" s="220">
        <f>IF(OR($C2385="",N($B2385)=0),"",IF(AND($I2385="Phản ánh",$E2385="Đã xử lý"),INDEX('Phản ánh'!$U$6:$U$505,MATCH($C2385,'Phản ánh'!$A$6:$A$505,0)),IF(AND($I2385="Công việc",OR($E2385="Hoàn thành",$E2385="Hoàn thành kỳ")),IF(INDEX('Kế hoạch'!$B$6:$B$305,$O2385)="Đột xuất",INDEX('Kế hoạch'!$AY$6:$AY$305,$O2385),IF(N($P2385)=0,"",IF(INT($B2385)&lt;$P2385,$P2385,IF($Q2385&gt;0,$P2385+ROUND((INT($B2385)-$P2385)/$Q2385,0)*$Q2385,IF($R2385&gt;0,EDATE($P2385,ROUND((DATEDIF($P2385,INT($B2385),"m")+(INT($B2385)-EDATE($P2385,DATEDIF($P2385,INT($B2385),"m")))/(EDATE($P2385,DATEDIF($P2385,INT($B2385),"m")+1)-EDATE($P2385,DATEDIF($P2385,INT($B2385),"m"))))/$R2385,0)*$R2385),$P2385))))),"")))</f>
      </c>
      <c r="M2385" s="223">
        <f>IF(OR($C2385="",N($L2385)=0,N($B2385)=0),"",IF(IF(MOD($L2385,1)=0,INT($B2385),$B2385)&lt;=$L2385,"Đúng hạn","Trễ hạn"))</f>
      </c>
      <c r="N2385" s="225">
        <f>IF($C2385="","",ROW())</f>
      </c>
      <c r="O2385" s="225">
        <f>IF($I2385="Công việc",MATCH($C2385,'Kế hoạch'!$A$6:$A$305,0),"")</f>
      </c>
      <c r="P2385" s="234">
        <f>IF($O2385="","",INDEX('Kế hoạch'!$I$6:$I$305,$O2385))</f>
      </c>
      <c r="Q2385" s="225">
        <f>IF($O2385="","",INDEX('Kế hoạch'!$AJ$6:$AJ$305,$O2385))</f>
      </c>
      <c r="R2385" s="225">
        <f>IF($O2385="","",INDEX('Kế hoạch'!$AK$6:$AK$305,$O2385))</f>
      </c>
    </row>
    <row r="2386">
      <c r="A2386" s="223">
        <f>IF($C2386="","",COUNTIF($C$6:$C2386,"?*"))</f>
      </c>
      <c r="B2386" s="217"/>
      <c r="C2386" s="216"/>
      <c r="D2386" s="240"/>
      <c r="E2386" s="218"/>
      <c r="F2386" s="218"/>
      <c r="G2386" s="218"/>
      <c r="H2386" s="219"/>
      <c r="I2386" s="223">
        <f>IF($C2386="","",IF(ISNUMBER(MATCH($C2386,'Phản ánh'!$A$6:$A$505,0)),"Phản ánh",IF(ISNUMBER(MATCH($C2386,'Kế hoạch'!$A$6:$A$305,0)),"Công việc","Mã chưa có")))</f>
      </c>
      <c r="J2386" s="221">
        <f>IF($I2386="Phản ánh",INDEX('Phản ánh'!$C$6:$C$505,MATCH($C2386,'Phản ánh'!$A$6:$A$505,0)),IF($I2386="Công việc",INDEX('Kế hoạch'!$C$6:$C$305,$O2386),""))</f>
      </c>
      <c r="K2386" s="221">
        <f>IF($I2386="Phản ánh",INDEX('Phản ánh'!$K$6:$K$505,MATCH($C2386,'Phản ánh'!$A$6:$A$505,0))&amp;"",IF($I2386="Công việc",INDEX('Kế hoạch'!$N$6:$N$305,$O2386)&amp;"",""))</f>
      </c>
      <c r="L2386" s="220">
        <f>IF(OR($C2386="",N($B2386)=0),"",IF(AND($I2386="Phản ánh",$E2386="Đã xử lý"),INDEX('Phản ánh'!$U$6:$U$505,MATCH($C2386,'Phản ánh'!$A$6:$A$505,0)),IF(AND($I2386="Công việc",OR($E2386="Hoàn thành",$E2386="Hoàn thành kỳ")),IF(INDEX('Kế hoạch'!$B$6:$B$305,$O2386)="Đột xuất",INDEX('Kế hoạch'!$AY$6:$AY$305,$O2386),IF(N($P2386)=0,"",IF(INT($B2386)&lt;$P2386,$P2386,IF($Q2386&gt;0,$P2386+ROUND((INT($B2386)-$P2386)/$Q2386,0)*$Q2386,IF($R2386&gt;0,EDATE($P2386,ROUND((DATEDIF($P2386,INT($B2386),"m")+(INT($B2386)-EDATE($P2386,DATEDIF($P2386,INT($B2386),"m")))/(EDATE($P2386,DATEDIF($P2386,INT($B2386),"m")+1)-EDATE($P2386,DATEDIF($P2386,INT($B2386),"m"))))/$R2386,0)*$R2386),$P2386))))),"")))</f>
      </c>
      <c r="M2386" s="223">
        <f>IF(OR($C2386="",N($L2386)=0,N($B2386)=0),"",IF(IF(MOD($L2386,1)=0,INT($B2386),$B2386)&lt;=$L2386,"Đúng hạn","Trễ hạn"))</f>
      </c>
      <c r="N2386" s="225">
        <f>IF($C2386="","",ROW())</f>
      </c>
      <c r="O2386" s="225">
        <f>IF($I2386="Công việc",MATCH($C2386,'Kế hoạch'!$A$6:$A$305,0),"")</f>
      </c>
      <c r="P2386" s="234">
        <f>IF($O2386="","",INDEX('Kế hoạch'!$I$6:$I$305,$O2386))</f>
      </c>
      <c r="Q2386" s="225">
        <f>IF($O2386="","",INDEX('Kế hoạch'!$AJ$6:$AJ$305,$O2386))</f>
      </c>
      <c r="R2386" s="225">
        <f>IF($O2386="","",INDEX('Kế hoạch'!$AK$6:$AK$305,$O2386))</f>
      </c>
    </row>
    <row r="2387">
      <c r="A2387" s="223">
        <f>IF($C2387="","",COUNTIF($C$6:$C2387,"?*"))</f>
      </c>
      <c r="B2387" s="217"/>
      <c r="C2387" s="216"/>
      <c r="D2387" s="240"/>
      <c r="E2387" s="218"/>
      <c r="F2387" s="218"/>
      <c r="G2387" s="218"/>
      <c r="H2387" s="219"/>
      <c r="I2387" s="223">
        <f>IF($C2387="","",IF(ISNUMBER(MATCH($C2387,'Phản ánh'!$A$6:$A$505,0)),"Phản ánh",IF(ISNUMBER(MATCH($C2387,'Kế hoạch'!$A$6:$A$305,0)),"Công việc","Mã chưa có")))</f>
      </c>
      <c r="J2387" s="221">
        <f>IF($I2387="Phản ánh",INDEX('Phản ánh'!$C$6:$C$505,MATCH($C2387,'Phản ánh'!$A$6:$A$505,0)),IF($I2387="Công việc",INDEX('Kế hoạch'!$C$6:$C$305,$O2387),""))</f>
      </c>
      <c r="K2387" s="221">
        <f>IF($I2387="Phản ánh",INDEX('Phản ánh'!$K$6:$K$505,MATCH($C2387,'Phản ánh'!$A$6:$A$505,0))&amp;"",IF($I2387="Công việc",INDEX('Kế hoạch'!$N$6:$N$305,$O2387)&amp;"",""))</f>
      </c>
      <c r="L2387" s="220">
        <f>IF(OR($C2387="",N($B2387)=0),"",IF(AND($I2387="Phản ánh",$E2387="Đã xử lý"),INDEX('Phản ánh'!$U$6:$U$505,MATCH($C2387,'Phản ánh'!$A$6:$A$505,0)),IF(AND($I2387="Công việc",OR($E2387="Hoàn thành",$E2387="Hoàn thành kỳ")),IF(INDEX('Kế hoạch'!$B$6:$B$305,$O2387)="Đột xuất",INDEX('Kế hoạch'!$AY$6:$AY$305,$O2387),IF(N($P2387)=0,"",IF(INT($B2387)&lt;$P2387,$P2387,IF($Q2387&gt;0,$P2387+ROUND((INT($B2387)-$P2387)/$Q2387,0)*$Q2387,IF($R2387&gt;0,EDATE($P2387,ROUND((DATEDIF($P2387,INT($B2387),"m")+(INT($B2387)-EDATE($P2387,DATEDIF($P2387,INT($B2387),"m")))/(EDATE($P2387,DATEDIF($P2387,INT($B2387),"m")+1)-EDATE($P2387,DATEDIF($P2387,INT($B2387),"m"))))/$R2387,0)*$R2387),$P2387))))),"")))</f>
      </c>
      <c r="M2387" s="223">
        <f>IF(OR($C2387="",N($L2387)=0,N($B2387)=0),"",IF(IF(MOD($L2387,1)=0,INT($B2387),$B2387)&lt;=$L2387,"Đúng hạn","Trễ hạn"))</f>
      </c>
      <c r="N2387" s="225">
        <f>IF($C2387="","",ROW())</f>
      </c>
      <c r="O2387" s="225">
        <f>IF($I2387="Công việc",MATCH($C2387,'Kế hoạch'!$A$6:$A$305,0),"")</f>
      </c>
      <c r="P2387" s="234">
        <f>IF($O2387="","",INDEX('Kế hoạch'!$I$6:$I$305,$O2387))</f>
      </c>
      <c r="Q2387" s="225">
        <f>IF($O2387="","",INDEX('Kế hoạch'!$AJ$6:$AJ$305,$O2387))</f>
      </c>
      <c r="R2387" s="225">
        <f>IF($O2387="","",INDEX('Kế hoạch'!$AK$6:$AK$305,$O2387))</f>
      </c>
    </row>
    <row r="2388">
      <c r="A2388" s="223">
        <f>IF($C2388="","",COUNTIF($C$6:$C2388,"?*"))</f>
      </c>
      <c r="B2388" s="217"/>
      <c r="C2388" s="216"/>
      <c r="D2388" s="240"/>
      <c r="E2388" s="218"/>
      <c r="F2388" s="218"/>
      <c r="G2388" s="218"/>
      <c r="H2388" s="219"/>
      <c r="I2388" s="223">
        <f>IF($C2388="","",IF(ISNUMBER(MATCH($C2388,'Phản ánh'!$A$6:$A$505,0)),"Phản ánh",IF(ISNUMBER(MATCH($C2388,'Kế hoạch'!$A$6:$A$305,0)),"Công việc","Mã chưa có")))</f>
      </c>
      <c r="J2388" s="221">
        <f>IF($I2388="Phản ánh",INDEX('Phản ánh'!$C$6:$C$505,MATCH($C2388,'Phản ánh'!$A$6:$A$505,0)),IF($I2388="Công việc",INDEX('Kế hoạch'!$C$6:$C$305,$O2388),""))</f>
      </c>
      <c r="K2388" s="221">
        <f>IF($I2388="Phản ánh",INDEX('Phản ánh'!$K$6:$K$505,MATCH($C2388,'Phản ánh'!$A$6:$A$505,0))&amp;"",IF($I2388="Công việc",INDEX('Kế hoạch'!$N$6:$N$305,$O2388)&amp;"",""))</f>
      </c>
      <c r="L2388" s="220">
        <f>IF(OR($C2388="",N($B2388)=0),"",IF(AND($I2388="Phản ánh",$E2388="Đã xử lý"),INDEX('Phản ánh'!$U$6:$U$505,MATCH($C2388,'Phản ánh'!$A$6:$A$505,0)),IF(AND($I2388="Công việc",OR($E2388="Hoàn thành",$E2388="Hoàn thành kỳ")),IF(INDEX('Kế hoạch'!$B$6:$B$305,$O2388)="Đột xuất",INDEX('Kế hoạch'!$AY$6:$AY$305,$O2388),IF(N($P2388)=0,"",IF(INT($B2388)&lt;$P2388,$P2388,IF($Q2388&gt;0,$P2388+ROUND((INT($B2388)-$P2388)/$Q2388,0)*$Q2388,IF($R2388&gt;0,EDATE($P2388,ROUND((DATEDIF($P2388,INT($B2388),"m")+(INT($B2388)-EDATE($P2388,DATEDIF($P2388,INT($B2388),"m")))/(EDATE($P2388,DATEDIF($P2388,INT($B2388),"m")+1)-EDATE($P2388,DATEDIF($P2388,INT($B2388),"m"))))/$R2388,0)*$R2388),$P2388))))),"")))</f>
      </c>
      <c r="M2388" s="223">
        <f>IF(OR($C2388="",N($L2388)=0,N($B2388)=0),"",IF(IF(MOD($L2388,1)=0,INT($B2388),$B2388)&lt;=$L2388,"Đúng hạn","Trễ hạn"))</f>
      </c>
      <c r="N2388" s="225">
        <f>IF($C2388="","",ROW())</f>
      </c>
      <c r="O2388" s="225">
        <f>IF($I2388="Công việc",MATCH($C2388,'Kế hoạch'!$A$6:$A$305,0),"")</f>
      </c>
      <c r="P2388" s="234">
        <f>IF($O2388="","",INDEX('Kế hoạch'!$I$6:$I$305,$O2388))</f>
      </c>
      <c r="Q2388" s="225">
        <f>IF($O2388="","",INDEX('Kế hoạch'!$AJ$6:$AJ$305,$O2388))</f>
      </c>
      <c r="R2388" s="225">
        <f>IF($O2388="","",INDEX('Kế hoạch'!$AK$6:$AK$305,$O2388))</f>
      </c>
    </row>
    <row r="2389">
      <c r="A2389" s="223">
        <f>IF($C2389="","",COUNTIF($C$6:$C2389,"?*"))</f>
      </c>
      <c r="B2389" s="217"/>
      <c r="C2389" s="216"/>
      <c r="D2389" s="240"/>
      <c r="E2389" s="218"/>
      <c r="F2389" s="218"/>
      <c r="G2389" s="218"/>
      <c r="H2389" s="219"/>
      <c r="I2389" s="223">
        <f>IF($C2389="","",IF(ISNUMBER(MATCH($C2389,'Phản ánh'!$A$6:$A$505,0)),"Phản ánh",IF(ISNUMBER(MATCH($C2389,'Kế hoạch'!$A$6:$A$305,0)),"Công việc","Mã chưa có")))</f>
      </c>
      <c r="J2389" s="221">
        <f>IF($I2389="Phản ánh",INDEX('Phản ánh'!$C$6:$C$505,MATCH($C2389,'Phản ánh'!$A$6:$A$505,0)),IF($I2389="Công việc",INDEX('Kế hoạch'!$C$6:$C$305,$O2389),""))</f>
      </c>
      <c r="K2389" s="221">
        <f>IF($I2389="Phản ánh",INDEX('Phản ánh'!$K$6:$K$505,MATCH($C2389,'Phản ánh'!$A$6:$A$505,0))&amp;"",IF($I2389="Công việc",INDEX('Kế hoạch'!$N$6:$N$305,$O2389)&amp;"",""))</f>
      </c>
      <c r="L2389" s="220">
        <f>IF(OR($C2389="",N($B2389)=0),"",IF(AND($I2389="Phản ánh",$E2389="Đã xử lý"),INDEX('Phản ánh'!$U$6:$U$505,MATCH($C2389,'Phản ánh'!$A$6:$A$505,0)),IF(AND($I2389="Công việc",OR($E2389="Hoàn thành",$E2389="Hoàn thành kỳ")),IF(INDEX('Kế hoạch'!$B$6:$B$305,$O2389)="Đột xuất",INDEX('Kế hoạch'!$AY$6:$AY$305,$O2389),IF(N($P2389)=0,"",IF(INT($B2389)&lt;$P2389,$P2389,IF($Q2389&gt;0,$P2389+ROUND((INT($B2389)-$P2389)/$Q2389,0)*$Q2389,IF($R2389&gt;0,EDATE($P2389,ROUND((DATEDIF($P2389,INT($B2389),"m")+(INT($B2389)-EDATE($P2389,DATEDIF($P2389,INT($B2389),"m")))/(EDATE($P2389,DATEDIF($P2389,INT($B2389),"m")+1)-EDATE($P2389,DATEDIF($P2389,INT($B2389),"m"))))/$R2389,0)*$R2389),$P2389))))),"")))</f>
      </c>
      <c r="M2389" s="223">
        <f>IF(OR($C2389="",N($L2389)=0,N($B2389)=0),"",IF(IF(MOD($L2389,1)=0,INT($B2389),$B2389)&lt;=$L2389,"Đúng hạn","Trễ hạn"))</f>
      </c>
      <c r="N2389" s="225">
        <f>IF($C2389="","",ROW())</f>
      </c>
      <c r="O2389" s="225">
        <f>IF($I2389="Công việc",MATCH($C2389,'Kế hoạch'!$A$6:$A$305,0),"")</f>
      </c>
      <c r="P2389" s="234">
        <f>IF($O2389="","",INDEX('Kế hoạch'!$I$6:$I$305,$O2389))</f>
      </c>
      <c r="Q2389" s="225">
        <f>IF($O2389="","",INDEX('Kế hoạch'!$AJ$6:$AJ$305,$O2389))</f>
      </c>
      <c r="R2389" s="225">
        <f>IF($O2389="","",INDEX('Kế hoạch'!$AK$6:$AK$305,$O2389))</f>
      </c>
    </row>
    <row r="2390">
      <c r="A2390" s="223">
        <f>IF($C2390="","",COUNTIF($C$6:$C2390,"?*"))</f>
      </c>
      <c r="B2390" s="217"/>
      <c r="C2390" s="216"/>
      <c r="D2390" s="240"/>
      <c r="E2390" s="218"/>
      <c r="F2390" s="218"/>
      <c r="G2390" s="218"/>
      <c r="H2390" s="219"/>
      <c r="I2390" s="223">
        <f>IF($C2390="","",IF(ISNUMBER(MATCH($C2390,'Phản ánh'!$A$6:$A$505,0)),"Phản ánh",IF(ISNUMBER(MATCH($C2390,'Kế hoạch'!$A$6:$A$305,0)),"Công việc","Mã chưa có")))</f>
      </c>
      <c r="J2390" s="221">
        <f>IF($I2390="Phản ánh",INDEX('Phản ánh'!$C$6:$C$505,MATCH($C2390,'Phản ánh'!$A$6:$A$505,0)),IF($I2390="Công việc",INDEX('Kế hoạch'!$C$6:$C$305,$O2390),""))</f>
      </c>
      <c r="K2390" s="221">
        <f>IF($I2390="Phản ánh",INDEX('Phản ánh'!$K$6:$K$505,MATCH($C2390,'Phản ánh'!$A$6:$A$505,0))&amp;"",IF($I2390="Công việc",INDEX('Kế hoạch'!$N$6:$N$305,$O2390)&amp;"",""))</f>
      </c>
      <c r="L2390" s="220">
        <f>IF(OR($C2390="",N($B2390)=0),"",IF(AND($I2390="Phản ánh",$E2390="Đã xử lý"),INDEX('Phản ánh'!$U$6:$U$505,MATCH($C2390,'Phản ánh'!$A$6:$A$505,0)),IF(AND($I2390="Công việc",OR($E2390="Hoàn thành",$E2390="Hoàn thành kỳ")),IF(INDEX('Kế hoạch'!$B$6:$B$305,$O2390)="Đột xuất",INDEX('Kế hoạch'!$AY$6:$AY$305,$O2390),IF(N($P2390)=0,"",IF(INT($B2390)&lt;$P2390,$P2390,IF($Q2390&gt;0,$P2390+ROUND((INT($B2390)-$P2390)/$Q2390,0)*$Q2390,IF($R2390&gt;0,EDATE($P2390,ROUND((DATEDIF($P2390,INT($B2390),"m")+(INT($B2390)-EDATE($P2390,DATEDIF($P2390,INT($B2390),"m")))/(EDATE($P2390,DATEDIF($P2390,INT($B2390),"m")+1)-EDATE($P2390,DATEDIF($P2390,INT($B2390),"m"))))/$R2390,0)*$R2390),$P2390))))),"")))</f>
      </c>
      <c r="M2390" s="223">
        <f>IF(OR($C2390="",N($L2390)=0,N($B2390)=0),"",IF(IF(MOD($L2390,1)=0,INT($B2390),$B2390)&lt;=$L2390,"Đúng hạn","Trễ hạn"))</f>
      </c>
      <c r="N2390" s="225">
        <f>IF($C2390="","",ROW())</f>
      </c>
      <c r="O2390" s="225">
        <f>IF($I2390="Công việc",MATCH($C2390,'Kế hoạch'!$A$6:$A$305,0),"")</f>
      </c>
      <c r="P2390" s="234">
        <f>IF($O2390="","",INDEX('Kế hoạch'!$I$6:$I$305,$O2390))</f>
      </c>
      <c r="Q2390" s="225">
        <f>IF($O2390="","",INDEX('Kế hoạch'!$AJ$6:$AJ$305,$O2390))</f>
      </c>
      <c r="R2390" s="225">
        <f>IF($O2390="","",INDEX('Kế hoạch'!$AK$6:$AK$305,$O2390))</f>
      </c>
    </row>
    <row r="2391">
      <c r="A2391" s="223">
        <f>IF($C2391="","",COUNTIF($C$6:$C2391,"?*"))</f>
      </c>
      <c r="B2391" s="217"/>
      <c r="C2391" s="216"/>
      <c r="D2391" s="240"/>
      <c r="E2391" s="218"/>
      <c r="F2391" s="218"/>
      <c r="G2391" s="218"/>
      <c r="H2391" s="219"/>
      <c r="I2391" s="223">
        <f>IF($C2391="","",IF(ISNUMBER(MATCH($C2391,'Phản ánh'!$A$6:$A$505,0)),"Phản ánh",IF(ISNUMBER(MATCH($C2391,'Kế hoạch'!$A$6:$A$305,0)),"Công việc","Mã chưa có")))</f>
      </c>
      <c r="J2391" s="221">
        <f>IF($I2391="Phản ánh",INDEX('Phản ánh'!$C$6:$C$505,MATCH($C2391,'Phản ánh'!$A$6:$A$505,0)),IF($I2391="Công việc",INDEX('Kế hoạch'!$C$6:$C$305,$O2391),""))</f>
      </c>
      <c r="K2391" s="221">
        <f>IF($I2391="Phản ánh",INDEX('Phản ánh'!$K$6:$K$505,MATCH($C2391,'Phản ánh'!$A$6:$A$505,0))&amp;"",IF($I2391="Công việc",INDEX('Kế hoạch'!$N$6:$N$305,$O2391)&amp;"",""))</f>
      </c>
      <c r="L2391" s="220">
        <f>IF(OR($C2391="",N($B2391)=0),"",IF(AND($I2391="Phản ánh",$E2391="Đã xử lý"),INDEX('Phản ánh'!$U$6:$U$505,MATCH($C2391,'Phản ánh'!$A$6:$A$505,0)),IF(AND($I2391="Công việc",OR($E2391="Hoàn thành",$E2391="Hoàn thành kỳ")),IF(INDEX('Kế hoạch'!$B$6:$B$305,$O2391)="Đột xuất",INDEX('Kế hoạch'!$AY$6:$AY$305,$O2391),IF(N($P2391)=0,"",IF(INT($B2391)&lt;$P2391,$P2391,IF($Q2391&gt;0,$P2391+ROUND((INT($B2391)-$P2391)/$Q2391,0)*$Q2391,IF($R2391&gt;0,EDATE($P2391,ROUND((DATEDIF($P2391,INT($B2391),"m")+(INT($B2391)-EDATE($P2391,DATEDIF($P2391,INT($B2391),"m")))/(EDATE($P2391,DATEDIF($P2391,INT($B2391),"m")+1)-EDATE($P2391,DATEDIF($P2391,INT($B2391),"m"))))/$R2391,0)*$R2391),$P2391))))),"")))</f>
      </c>
      <c r="M2391" s="223">
        <f>IF(OR($C2391="",N($L2391)=0,N($B2391)=0),"",IF(IF(MOD($L2391,1)=0,INT($B2391),$B2391)&lt;=$L2391,"Đúng hạn","Trễ hạn"))</f>
      </c>
      <c r="N2391" s="225">
        <f>IF($C2391="","",ROW())</f>
      </c>
      <c r="O2391" s="225">
        <f>IF($I2391="Công việc",MATCH($C2391,'Kế hoạch'!$A$6:$A$305,0),"")</f>
      </c>
      <c r="P2391" s="234">
        <f>IF($O2391="","",INDEX('Kế hoạch'!$I$6:$I$305,$O2391))</f>
      </c>
      <c r="Q2391" s="225">
        <f>IF($O2391="","",INDEX('Kế hoạch'!$AJ$6:$AJ$305,$O2391))</f>
      </c>
      <c r="R2391" s="225">
        <f>IF($O2391="","",INDEX('Kế hoạch'!$AK$6:$AK$305,$O2391))</f>
      </c>
    </row>
    <row r="2392">
      <c r="A2392" s="223">
        <f>IF($C2392="","",COUNTIF($C$6:$C2392,"?*"))</f>
      </c>
      <c r="B2392" s="217"/>
      <c r="C2392" s="216"/>
      <c r="D2392" s="240"/>
      <c r="E2392" s="218"/>
      <c r="F2392" s="218"/>
      <c r="G2392" s="218"/>
      <c r="H2392" s="219"/>
      <c r="I2392" s="223">
        <f>IF($C2392="","",IF(ISNUMBER(MATCH($C2392,'Phản ánh'!$A$6:$A$505,0)),"Phản ánh",IF(ISNUMBER(MATCH($C2392,'Kế hoạch'!$A$6:$A$305,0)),"Công việc","Mã chưa có")))</f>
      </c>
      <c r="J2392" s="221">
        <f>IF($I2392="Phản ánh",INDEX('Phản ánh'!$C$6:$C$505,MATCH($C2392,'Phản ánh'!$A$6:$A$505,0)),IF($I2392="Công việc",INDEX('Kế hoạch'!$C$6:$C$305,$O2392),""))</f>
      </c>
      <c r="K2392" s="221">
        <f>IF($I2392="Phản ánh",INDEX('Phản ánh'!$K$6:$K$505,MATCH($C2392,'Phản ánh'!$A$6:$A$505,0))&amp;"",IF($I2392="Công việc",INDEX('Kế hoạch'!$N$6:$N$305,$O2392)&amp;"",""))</f>
      </c>
      <c r="L2392" s="220">
        <f>IF(OR($C2392="",N($B2392)=0),"",IF(AND($I2392="Phản ánh",$E2392="Đã xử lý"),INDEX('Phản ánh'!$U$6:$U$505,MATCH($C2392,'Phản ánh'!$A$6:$A$505,0)),IF(AND($I2392="Công việc",OR($E2392="Hoàn thành",$E2392="Hoàn thành kỳ")),IF(INDEX('Kế hoạch'!$B$6:$B$305,$O2392)="Đột xuất",INDEX('Kế hoạch'!$AY$6:$AY$305,$O2392),IF(N($P2392)=0,"",IF(INT($B2392)&lt;$P2392,$P2392,IF($Q2392&gt;0,$P2392+ROUND((INT($B2392)-$P2392)/$Q2392,0)*$Q2392,IF($R2392&gt;0,EDATE($P2392,ROUND((DATEDIF($P2392,INT($B2392),"m")+(INT($B2392)-EDATE($P2392,DATEDIF($P2392,INT($B2392),"m")))/(EDATE($P2392,DATEDIF($P2392,INT($B2392),"m")+1)-EDATE($P2392,DATEDIF($P2392,INT($B2392),"m"))))/$R2392,0)*$R2392),$P2392))))),"")))</f>
      </c>
      <c r="M2392" s="223">
        <f>IF(OR($C2392="",N($L2392)=0,N($B2392)=0),"",IF(IF(MOD($L2392,1)=0,INT($B2392),$B2392)&lt;=$L2392,"Đúng hạn","Trễ hạn"))</f>
      </c>
      <c r="N2392" s="225">
        <f>IF($C2392="","",ROW())</f>
      </c>
      <c r="O2392" s="225">
        <f>IF($I2392="Công việc",MATCH($C2392,'Kế hoạch'!$A$6:$A$305,0),"")</f>
      </c>
      <c r="P2392" s="234">
        <f>IF($O2392="","",INDEX('Kế hoạch'!$I$6:$I$305,$O2392))</f>
      </c>
      <c r="Q2392" s="225">
        <f>IF($O2392="","",INDEX('Kế hoạch'!$AJ$6:$AJ$305,$O2392))</f>
      </c>
      <c r="R2392" s="225">
        <f>IF($O2392="","",INDEX('Kế hoạch'!$AK$6:$AK$305,$O2392))</f>
      </c>
    </row>
    <row r="2393">
      <c r="A2393" s="223">
        <f>IF($C2393="","",COUNTIF($C$6:$C2393,"?*"))</f>
      </c>
      <c r="B2393" s="217"/>
      <c r="C2393" s="216"/>
      <c r="D2393" s="240"/>
      <c r="E2393" s="218"/>
      <c r="F2393" s="218"/>
      <c r="G2393" s="218"/>
      <c r="H2393" s="219"/>
      <c r="I2393" s="223">
        <f>IF($C2393="","",IF(ISNUMBER(MATCH($C2393,'Phản ánh'!$A$6:$A$505,0)),"Phản ánh",IF(ISNUMBER(MATCH($C2393,'Kế hoạch'!$A$6:$A$305,0)),"Công việc","Mã chưa có")))</f>
      </c>
      <c r="J2393" s="221">
        <f>IF($I2393="Phản ánh",INDEX('Phản ánh'!$C$6:$C$505,MATCH($C2393,'Phản ánh'!$A$6:$A$505,0)),IF($I2393="Công việc",INDEX('Kế hoạch'!$C$6:$C$305,$O2393),""))</f>
      </c>
      <c r="K2393" s="221">
        <f>IF($I2393="Phản ánh",INDEX('Phản ánh'!$K$6:$K$505,MATCH($C2393,'Phản ánh'!$A$6:$A$505,0))&amp;"",IF($I2393="Công việc",INDEX('Kế hoạch'!$N$6:$N$305,$O2393)&amp;"",""))</f>
      </c>
      <c r="L2393" s="220">
        <f>IF(OR($C2393="",N($B2393)=0),"",IF(AND($I2393="Phản ánh",$E2393="Đã xử lý"),INDEX('Phản ánh'!$U$6:$U$505,MATCH($C2393,'Phản ánh'!$A$6:$A$505,0)),IF(AND($I2393="Công việc",OR($E2393="Hoàn thành",$E2393="Hoàn thành kỳ")),IF(INDEX('Kế hoạch'!$B$6:$B$305,$O2393)="Đột xuất",INDEX('Kế hoạch'!$AY$6:$AY$305,$O2393),IF(N($P2393)=0,"",IF(INT($B2393)&lt;$P2393,$P2393,IF($Q2393&gt;0,$P2393+ROUND((INT($B2393)-$P2393)/$Q2393,0)*$Q2393,IF($R2393&gt;0,EDATE($P2393,ROUND((DATEDIF($P2393,INT($B2393),"m")+(INT($B2393)-EDATE($P2393,DATEDIF($P2393,INT($B2393),"m")))/(EDATE($P2393,DATEDIF($P2393,INT($B2393),"m")+1)-EDATE($P2393,DATEDIF($P2393,INT($B2393),"m"))))/$R2393,0)*$R2393),$P2393))))),"")))</f>
      </c>
      <c r="M2393" s="223">
        <f>IF(OR($C2393="",N($L2393)=0,N($B2393)=0),"",IF(IF(MOD($L2393,1)=0,INT($B2393),$B2393)&lt;=$L2393,"Đúng hạn","Trễ hạn"))</f>
      </c>
      <c r="N2393" s="225">
        <f>IF($C2393="","",ROW())</f>
      </c>
      <c r="O2393" s="225">
        <f>IF($I2393="Công việc",MATCH($C2393,'Kế hoạch'!$A$6:$A$305,0),"")</f>
      </c>
      <c r="P2393" s="234">
        <f>IF($O2393="","",INDEX('Kế hoạch'!$I$6:$I$305,$O2393))</f>
      </c>
      <c r="Q2393" s="225">
        <f>IF($O2393="","",INDEX('Kế hoạch'!$AJ$6:$AJ$305,$O2393))</f>
      </c>
      <c r="R2393" s="225">
        <f>IF($O2393="","",INDEX('Kế hoạch'!$AK$6:$AK$305,$O2393))</f>
      </c>
    </row>
    <row r="2394">
      <c r="A2394" s="223">
        <f>IF($C2394="","",COUNTIF($C$6:$C2394,"?*"))</f>
      </c>
      <c r="B2394" s="217"/>
      <c r="C2394" s="216"/>
      <c r="D2394" s="240"/>
      <c r="E2394" s="218"/>
      <c r="F2394" s="218"/>
      <c r="G2394" s="218"/>
      <c r="H2394" s="219"/>
      <c r="I2394" s="223">
        <f>IF($C2394="","",IF(ISNUMBER(MATCH($C2394,'Phản ánh'!$A$6:$A$505,0)),"Phản ánh",IF(ISNUMBER(MATCH($C2394,'Kế hoạch'!$A$6:$A$305,0)),"Công việc","Mã chưa có")))</f>
      </c>
      <c r="J2394" s="221">
        <f>IF($I2394="Phản ánh",INDEX('Phản ánh'!$C$6:$C$505,MATCH($C2394,'Phản ánh'!$A$6:$A$505,0)),IF($I2394="Công việc",INDEX('Kế hoạch'!$C$6:$C$305,$O2394),""))</f>
      </c>
      <c r="K2394" s="221">
        <f>IF($I2394="Phản ánh",INDEX('Phản ánh'!$K$6:$K$505,MATCH($C2394,'Phản ánh'!$A$6:$A$505,0))&amp;"",IF($I2394="Công việc",INDEX('Kế hoạch'!$N$6:$N$305,$O2394)&amp;"",""))</f>
      </c>
      <c r="L2394" s="220">
        <f>IF(OR($C2394="",N($B2394)=0),"",IF(AND($I2394="Phản ánh",$E2394="Đã xử lý"),INDEX('Phản ánh'!$U$6:$U$505,MATCH($C2394,'Phản ánh'!$A$6:$A$505,0)),IF(AND($I2394="Công việc",OR($E2394="Hoàn thành",$E2394="Hoàn thành kỳ")),IF(INDEX('Kế hoạch'!$B$6:$B$305,$O2394)="Đột xuất",INDEX('Kế hoạch'!$AY$6:$AY$305,$O2394),IF(N($P2394)=0,"",IF(INT($B2394)&lt;$P2394,$P2394,IF($Q2394&gt;0,$P2394+ROUND((INT($B2394)-$P2394)/$Q2394,0)*$Q2394,IF($R2394&gt;0,EDATE($P2394,ROUND((DATEDIF($P2394,INT($B2394),"m")+(INT($B2394)-EDATE($P2394,DATEDIF($P2394,INT($B2394),"m")))/(EDATE($P2394,DATEDIF($P2394,INT($B2394),"m")+1)-EDATE($P2394,DATEDIF($P2394,INT($B2394),"m"))))/$R2394,0)*$R2394),$P2394))))),"")))</f>
      </c>
      <c r="M2394" s="223">
        <f>IF(OR($C2394="",N($L2394)=0,N($B2394)=0),"",IF(IF(MOD($L2394,1)=0,INT($B2394),$B2394)&lt;=$L2394,"Đúng hạn","Trễ hạn"))</f>
      </c>
      <c r="N2394" s="225">
        <f>IF($C2394="","",ROW())</f>
      </c>
      <c r="O2394" s="225">
        <f>IF($I2394="Công việc",MATCH($C2394,'Kế hoạch'!$A$6:$A$305,0),"")</f>
      </c>
      <c r="P2394" s="234">
        <f>IF($O2394="","",INDEX('Kế hoạch'!$I$6:$I$305,$O2394))</f>
      </c>
      <c r="Q2394" s="225">
        <f>IF($O2394="","",INDEX('Kế hoạch'!$AJ$6:$AJ$305,$O2394))</f>
      </c>
      <c r="R2394" s="225">
        <f>IF($O2394="","",INDEX('Kế hoạch'!$AK$6:$AK$305,$O2394))</f>
      </c>
    </row>
    <row r="2395">
      <c r="A2395" s="223">
        <f>IF($C2395="","",COUNTIF($C$6:$C2395,"?*"))</f>
      </c>
      <c r="B2395" s="217"/>
      <c r="C2395" s="216"/>
      <c r="D2395" s="240"/>
      <c r="E2395" s="218"/>
      <c r="F2395" s="218"/>
      <c r="G2395" s="218"/>
      <c r="H2395" s="219"/>
      <c r="I2395" s="223">
        <f>IF($C2395="","",IF(ISNUMBER(MATCH($C2395,'Phản ánh'!$A$6:$A$505,0)),"Phản ánh",IF(ISNUMBER(MATCH($C2395,'Kế hoạch'!$A$6:$A$305,0)),"Công việc","Mã chưa có")))</f>
      </c>
      <c r="J2395" s="221">
        <f>IF($I2395="Phản ánh",INDEX('Phản ánh'!$C$6:$C$505,MATCH($C2395,'Phản ánh'!$A$6:$A$505,0)),IF($I2395="Công việc",INDEX('Kế hoạch'!$C$6:$C$305,$O2395),""))</f>
      </c>
      <c r="K2395" s="221">
        <f>IF($I2395="Phản ánh",INDEX('Phản ánh'!$K$6:$K$505,MATCH($C2395,'Phản ánh'!$A$6:$A$505,0))&amp;"",IF($I2395="Công việc",INDEX('Kế hoạch'!$N$6:$N$305,$O2395)&amp;"",""))</f>
      </c>
      <c r="L2395" s="220">
        <f>IF(OR($C2395="",N($B2395)=0),"",IF(AND($I2395="Phản ánh",$E2395="Đã xử lý"),INDEX('Phản ánh'!$U$6:$U$505,MATCH($C2395,'Phản ánh'!$A$6:$A$505,0)),IF(AND($I2395="Công việc",OR($E2395="Hoàn thành",$E2395="Hoàn thành kỳ")),IF(INDEX('Kế hoạch'!$B$6:$B$305,$O2395)="Đột xuất",INDEX('Kế hoạch'!$AY$6:$AY$305,$O2395),IF(N($P2395)=0,"",IF(INT($B2395)&lt;$P2395,$P2395,IF($Q2395&gt;0,$P2395+ROUND((INT($B2395)-$P2395)/$Q2395,0)*$Q2395,IF($R2395&gt;0,EDATE($P2395,ROUND((DATEDIF($P2395,INT($B2395),"m")+(INT($B2395)-EDATE($P2395,DATEDIF($P2395,INT($B2395),"m")))/(EDATE($P2395,DATEDIF($P2395,INT($B2395),"m")+1)-EDATE($P2395,DATEDIF($P2395,INT($B2395),"m"))))/$R2395,0)*$R2395),$P2395))))),"")))</f>
      </c>
      <c r="M2395" s="223">
        <f>IF(OR($C2395="",N($L2395)=0,N($B2395)=0),"",IF(IF(MOD($L2395,1)=0,INT($B2395),$B2395)&lt;=$L2395,"Đúng hạn","Trễ hạn"))</f>
      </c>
      <c r="N2395" s="225">
        <f>IF($C2395="","",ROW())</f>
      </c>
      <c r="O2395" s="225">
        <f>IF($I2395="Công việc",MATCH($C2395,'Kế hoạch'!$A$6:$A$305,0),"")</f>
      </c>
      <c r="P2395" s="234">
        <f>IF($O2395="","",INDEX('Kế hoạch'!$I$6:$I$305,$O2395))</f>
      </c>
      <c r="Q2395" s="225">
        <f>IF($O2395="","",INDEX('Kế hoạch'!$AJ$6:$AJ$305,$O2395))</f>
      </c>
      <c r="R2395" s="225">
        <f>IF($O2395="","",INDEX('Kế hoạch'!$AK$6:$AK$305,$O2395))</f>
      </c>
    </row>
    <row r="2396">
      <c r="A2396" s="223">
        <f>IF($C2396="","",COUNTIF($C$6:$C2396,"?*"))</f>
      </c>
      <c r="B2396" s="217"/>
      <c r="C2396" s="216"/>
      <c r="D2396" s="240"/>
      <c r="E2396" s="218"/>
      <c r="F2396" s="218"/>
      <c r="G2396" s="218"/>
      <c r="H2396" s="219"/>
      <c r="I2396" s="223">
        <f>IF($C2396="","",IF(ISNUMBER(MATCH($C2396,'Phản ánh'!$A$6:$A$505,0)),"Phản ánh",IF(ISNUMBER(MATCH($C2396,'Kế hoạch'!$A$6:$A$305,0)),"Công việc","Mã chưa có")))</f>
      </c>
      <c r="J2396" s="221">
        <f>IF($I2396="Phản ánh",INDEX('Phản ánh'!$C$6:$C$505,MATCH($C2396,'Phản ánh'!$A$6:$A$505,0)),IF($I2396="Công việc",INDEX('Kế hoạch'!$C$6:$C$305,$O2396),""))</f>
      </c>
      <c r="K2396" s="221">
        <f>IF($I2396="Phản ánh",INDEX('Phản ánh'!$K$6:$K$505,MATCH($C2396,'Phản ánh'!$A$6:$A$505,0))&amp;"",IF($I2396="Công việc",INDEX('Kế hoạch'!$N$6:$N$305,$O2396)&amp;"",""))</f>
      </c>
      <c r="L2396" s="220">
        <f>IF(OR($C2396="",N($B2396)=0),"",IF(AND($I2396="Phản ánh",$E2396="Đã xử lý"),INDEX('Phản ánh'!$U$6:$U$505,MATCH($C2396,'Phản ánh'!$A$6:$A$505,0)),IF(AND($I2396="Công việc",OR($E2396="Hoàn thành",$E2396="Hoàn thành kỳ")),IF(INDEX('Kế hoạch'!$B$6:$B$305,$O2396)="Đột xuất",INDEX('Kế hoạch'!$AY$6:$AY$305,$O2396),IF(N($P2396)=0,"",IF(INT($B2396)&lt;$P2396,$P2396,IF($Q2396&gt;0,$P2396+ROUND((INT($B2396)-$P2396)/$Q2396,0)*$Q2396,IF($R2396&gt;0,EDATE($P2396,ROUND((DATEDIF($P2396,INT($B2396),"m")+(INT($B2396)-EDATE($P2396,DATEDIF($P2396,INT($B2396),"m")))/(EDATE($P2396,DATEDIF($P2396,INT($B2396),"m")+1)-EDATE($P2396,DATEDIF($P2396,INT($B2396),"m"))))/$R2396,0)*$R2396),$P2396))))),"")))</f>
      </c>
      <c r="M2396" s="223">
        <f>IF(OR($C2396="",N($L2396)=0,N($B2396)=0),"",IF(IF(MOD($L2396,1)=0,INT($B2396),$B2396)&lt;=$L2396,"Đúng hạn","Trễ hạn"))</f>
      </c>
      <c r="N2396" s="225">
        <f>IF($C2396="","",ROW())</f>
      </c>
      <c r="O2396" s="225">
        <f>IF($I2396="Công việc",MATCH($C2396,'Kế hoạch'!$A$6:$A$305,0),"")</f>
      </c>
      <c r="P2396" s="234">
        <f>IF($O2396="","",INDEX('Kế hoạch'!$I$6:$I$305,$O2396))</f>
      </c>
      <c r="Q2396" s="225">
        <f>IF($O2396="","",INDEX('Kế hoạch'!$AJ$6:$AJ$305,$O2396))</f>
      </c>
      <c r="R2396" s="225">
        <f>IF($O2396="","",INDEX('Kế hoạch'!$AK$6:$AK$305,$O2396))</f>
      </c>
    </row>
    <row r="2397">
      <c r="A2397" s="223">
        <f>IF($C2397="","",COUNTIF($C$6:$C2397,"?*"))</f>
      </c>
      <c r="B2397" s="217"/>
      <c r="C2397" s="216"/>
      <c r="D2397" s="240"/>
      <c r="E2397" s="218"/>
      <c r="F2397" s="218"/>
      <c r="G2397" s="218"/>
      <c r="H2397" s="219"/>
      <c r="I2397" s="223">
        <f>IF($C2397="","",IF(ISNUMBER(MATCH($C2397,'Phản ánh'!$A$6:$A$505,0)),"Phản ánh",IF(ISNUMBER(MATCH($C2397,'Kế hoạch'!$A$6:$A$305,0)),"Công việc","Mã chưa có")))</f>
      </c>
      <c r="J2397" s="221">
        <f>IF($I2397="Phản ánh",INDEX('Phản ánh'!$C$6:$C$505,MATCH($C2397,'Phản ánh'!$A$6:$A$505,0)),IF($I2397="Công việc",INDEX('Kế hoạch'!$C$6:$C$305,$O2397),""))</f>
      </c>
      <c r="K2397" s="221">
        <f>IF($I2397="Phản ánh",INDEX('Phản ánh'!$K$6:$K$505,MATCH($C2397,'Phản ánh'!$A$6:$A$505,0))&amp;"",IF($I2397="Công việc",INDEX('Kế hoạch'!$N$6:$N$305,$O2397)&amp;"",""))</f>
      </c>
      <c r="L2397" s="220">
        <f>IF(OR($C2397="",N($B2397)=0),"",IF(AND($I2397="Phản ánh",$E2397="Đã xử lý"),INDEX('Phản ánh'!$U$6:$U$505,MATCH($C2397,'Phản ánh'!$A$6:$A$505,0)),IF(AND($I2397="Công việc",OR($E2397="Hoàn thành",$E2397="Hoàn thành kỳ")),IF(INDEX('Kế hoạch'!$B$6:$B$305,$O2397)="Đột xuất",INDEX('Kế hoạch'!$AY$6:$AY$305,$O2397),IF(N($P2397)=0,"",IF(INT($B2397)&lt;$P2397,$P2397,IF($Q2397&gt;0,$P2397+ROUND((INT($B2397)-$P2397)/$Q2397,0)*$Q2397,IF($R2397&gt;0,EDATE($P2397,ROUND((DATEDIF($P2397,INT($B2397),"m")+(INT($B2397)-EDATE($P2397,DATEDIF($P2397,INT($B2397),"m")))/(EDATE($P2397,DATEDIF($P2397,INT($B2397),"m")+1)-EDATE($P2397,DATEDIF($P2397,INT($B2397),"m"))))/$R2397,0)*$R2397),$P2397))))),"")))</f>
      </c>
      <c r="M2397" s="223">
        <f>IF(OR($C2397="",N($L2397)=0,N($B2397)=0),"",IF(IF(MOD($L2397,1)=0,INT($B2397),$B2397)&lt;=$L2397,"Đúng hạn","Trễ hạn"))</f>
      </c>
      <c r="N2397" s="225">
        <f>IF($C2397="","",ROW())</f>
      </c>
      <c r="O2397" s="225">
        <f>IF($I2397="Công việc",MATCH($C2397,'Kế hoạch'!$A$6:$A$305,0),"")</f>
      </c>
      <c r="P2397" s="234">
        <f>IF($O2397="","",INDEX('Kế hoạch'!$I$6:$I$305,$O2397))</f>
      </c>
      <c r="Q2397" s="225">
        <f>IF($O2397="","",INDEX('Kế hoạch'!$AJ$6:$AJ$305,$O2397))</f>
      </c>
      <c r="R2397" s="225">
        <f>IF($O2397="","",INDEX('Kế hoạch'!$AK$6:$AK$305,$O2397))</f>
      </c>
    </row>
    <row r="2398">
      <c r="A2398" s="223">
        <f>IF($C2398="","",COUNTIF($C$6:$C2398,"?*"))</f>
      </c>
      <c r="B2398" s="217"/>
      <c r="C2398" s="216"/>
      <c r="D2398" s="240"/>
      <c r="E2398" s="218"/>
      <c r="F2398" s="218"/>
      <c r="G2398" s="218"/>
      <c r="H2398" s="219"/>
      <c r="I2398" s="223">
        <f>IF($C2398="","",IF(ISNUMBER(MATCH($C2398,'Phản ánh'!$A$6:$A$505,0)),"Phản ánh",IF(ISNUMBER(MATCH($C2398,'Kế hoạch'!$A$6:$A$305,0)),"Công việc","Mã chưa có")))</f>
      </c>
      <c r="J2398" s="221">
        <f>IF($I2398="Phản ánh",INDEX('Phản ánh'!$C$6:$C$505,MATCH($C2398,'Phản ánh'!$A$6:$A$505,0)),IF($I2398="Công việc",INDEX('Kế hoạch'!$C$6:$C$305,$O2398),""))</f>
      </c>
      <c r="K2398" s="221">
        <f>IF($I2398="Phản ánh",INDEX('Phản ánh'!$K$6:$K$505,MATCH($C2398,'Phản ánh'!$A$6:$A$505,0))&amp;"",IF($I2398="Công việc",INDEX('Kế hoạch'!$N$6:$N$305,$O2398)&amp;"",""))</f>
      </c>
      <c r="L2398" s="220">
        <f>IF(OR($C2398="",N($B2398)=0),"",IF(AND($I2398="Phản ánh",$E2398="Đã xử lý"),INDEX('Phản ánh'!$U$6:$U$505,MATCH($C2398,'Phản ánh'!$A$6:$A$505,0)),IF(AND($I2398="Công việc",OR($E2398="Hoàn thành",$E2398="Hoàn thành kỳ")),IF(INDEX('Kế hoạch'!$B$6:$B$305,$O2398)="Đột xuất",INDEX('Kế hoạch'!$AY$6:$AY$305,$O2398),IF(N($P2398)=0,"",IF(INT($B2398)&lt;$P2398,$P2398,IF($Q2398&gt;0,$P2398+ROUND((INT($B2398)-$P2398)/$Q2398,0)*$Q2398,IF($R2398&gt;0,EDATE($P2398,ROUND((DATEDIF($P2398,INT($B2398),"m")+(INT($B2398)-EDATE($P2398,DATEDIF($P2398,INT($B2398),"m")))/(EDATE($P2398,DATEDIF($P2398,INT($B2398),"m")+1)-EDATE($P2398,DATEDIF($P2398,INT($B2398),"m"))))/$R2398,0)*$R2398),$P2398))))),"")))</f>
      </c>
      <c r="M2398" s="223">
        <f>IF(OR($C2398="",N($L2398)=0,N($B2398)=0),"",IF(IF(MOD($L2398,1)=0,INT($B2398),$B2398)&lt;=$L2398,"Đúng hạn","Trễ hạn"))</f>
      </c>
      <c r="N2398" s="225">
        <f>IF($C2398="","",ROW())</f>
      </c>
      <c r="O2398" s="225">
        <f>IF($I2398="Công việc",MATCH($C2398,'Kế hoạch'!$A$6:$A$305,0),"")</f>
      </c>
      <c r="P2398" s="234">
        <f>IF($O2398="","",INDEX('Kế hoạch'!$I$6:$I$305,$O2398))</f>
      </c>
      <c r="Q2398" s="225">
        <f>IF($O2398="","",INDEX('Kế hoạch'!$AJ$6:$AJ$305,$O2398))</f>
      </c>
      <c r="R2398" s="225">
        <f>IF($O2398="","",INDEX('Kế hoạch'!$AK$6:$AK$305,$O2398))</f>
      </c>
    </row>
    <row r="2399">
      <c r="A2399" s="223">
        <f>IF($C2399="","",COUNTIF($C$6:$C2399,"?*"))</f>
      </c>
      <c r="B2399" s="217"/>
      <c r="C2399" s="216"/>
      <c r="D2399" s="240"/>
      <c r="E2399" s="218"/>
      <c r="F2399" s="218"/>
      <c r="G2399" s="218"/>
      <c r="H2399" s="219"/>
      <c r="I2399" s="223">
        <f>IF($C2399="","",IF(ISNUMBER(MATCH($C2399,'Phản ánh'!$A$6:$A$505,0)),"Phản ánh",IF(ISNUMBER(MATCH($C2399,'Kế hoạch'!$A$6:$A$305,0)),"Công việc","Mã chưa có")))</f>
      </c>
      <c r="J2399" s="221">
        <f>IF($I2399="Phản ánh",INDEX('Phản ánh'!$C$6:$C$505,MATCH($C2399,'Phản ánh'!$A$6:$A$505,0)),IF($I2399="Công việc",INDEX('Kế hoạch'!$C$6:$C$305,$O2399),""))</f>
      </c>
      <c r="K2399" s="221">
        <f>IF($I2399="Phản ánh",INDEX('Phản ánh'!$K$6:$K$505,MATCH($C2399,'Phản ánh'!$A$6:$A$505,0))&amp;"",IF($I2399="Công việc",INDEX('Kế hoạch'!$N$6:$N$305,$O2399)&amp;"",""))</f>
      </c>
      <c r="L2399" s="220">
        <f>IF(OR($C2399="",N($B2399)=0),"",IF(AND($I2399="Phản ánh",$E2399="Đã xử lý"),INDEX('Phản ánh'!$U$6:$U$505,MATCH($C2399,'Phản ánh'!$A$6:$A$505,0)),IF(AND($I2399="Công việc",OR($E2399="Hoàn thành",$E2399="Hoàn thành kỳ")),IF(INDEX('Kế hoạch'!$B$6:$B$305,$O2399)="Đột xuất",INDEX('Kế hoạch'!$AY$6:$AY$305,$O2399),IF(N($P2399)=0,"",IF(INT($B2399)&lt;$P2399,$P2399,IF($Q2399&gt;0,$P2399+ROUND((INT($B2399)-$P2399)/$Q2399,0)*$Q2399,IF($R2399&gt;0,EDATE($P2399,ROUND((DATEDIF($P2399,INT($B2399),"m")+(INT($B2399)-EDATE($P2399,DATEDIF($P2399,INT($B2399),"m")))/(EDATE($P2399,DATEDIF($P2399,INT($B2399),"m")+1)-EDATE($P2399,DATEDIF($P2399,INT($B2399),"m"))))/$R2399,0)*$R2399),$P2399))))),"")))</f>
      </c>
      <c r="M2399" s="223">
        <f>IF(OR($C2399="",N($L2399)=0,N($B2399)=0),"",IF(IF(MOD($L2399,1)=0,INT($B2399),$B2399)&lt;=$L2399,"Đúng hạn","Trễ hạn"))</f>
      </c>
      <c r="N2399" s="225">
        <f>IF($C2399="","",ROW())</f>
      </c>
      <c r="O2399" s="225">
        <f>IF($I2399="Công việc",MATCH($C2399,'Kế hoạch'!$A$6:$A$305,0),"")</f>
      </c>
      <c r="P2399" s="234">
        <f>IF($O2399="","",INDEX('Kế hoạch'!$I$6:$I$305,$O2399))</f>
      </c>
      <c r="Q2399" s="225">
        <f>IF($O2399="","",INDEX('Kế hoạch'!$AJ$6:$AJ$305,$O2399))</f>
      </c>
      <c r="R2399" s="225">
        <f>IF($O2399="","",INDEX('Kế hoạch'!$AK$6:$AK$305,$O2399))</f>
      </c>
    </row>
    <row r="2400">
      <c r="A2400" s="223">
        <f>IF($C2400="","",COUNTIF($C$6:$C2400,"?*"))</f>
      </c>
      <c r="B2400" s="217"/>
      <c r="C2400" s="216"/>
      <c r="D2400" s="240"/>
      <c r="E2400" s="218"/>
      <c r="F2400" s="218"/>
      <c r="G2400" s="218"/>
      <c r="H2400" s="219"/>
      <c r="I2400" s="223">
        <f>IF($C2400="","",IF(ISNUMBER(MATCH($C2400,'Phản ánh'!$A$6:$A$505,0)),"Phản ánh",IF(ISNUMBER(MATCH($C2400,'Kế hoạch'!$A$6:$A$305,0)),"Công việc","Mã chưa có")))</f>
      </c>
      <c r="J2400" s="221">
        <f>IF($I2400="Phản ánh",INDEX('Phản ánh'!$C$6:$C$505,MATCH($C2400,'Phản ánh'!$A$6:$A$505,0)),IF($I2400="Công việc",INDEX('Kế hoạch'!$C$6:$C$305,$O2400),""))</f>
      </c>
      <c r="K2400" s="221">
        <f>IF($I2400="Phản ánh",INDEX('Phản ánh'!$K$6:$K$505,MATCH($C2400,'Phản ánh'!$A$6:$A$505,0))&amp;"",IF($I2400="Công việc",INDEX('Kế hoạch'!$N$6:$N$305,$O2400)&amp;"",""))</f>
      </c>
      <c r="L2400" s="220">
        <f>IF(OR($C2400="",N($B2400)=0),"",IF(AND($I2400="Phản ánh",$E2400="Đã xử lý"),INDEX('Phản ánh'!$U$6:$U$505,MATCH($C2400,'Phản ánh'!$A$6:$A$505,0)),IF(AND($I2400="Công việc",OR($E2400="Hoàn thành",$E2400="Hoàn thành kỳ")),IF(INDEX('Kế hoạch'!$B$6:$B$305,$O2400)="Đột xuất",INDEX('Kế hoạch'!$AY$6:$AY$305,$O2400),IF(N($P2400)=0,"",IF(INT($B2400)&lt;$P2400,$P2400,IF($Q2400&gt;0,$P2400+ROUND((INT($B2400)-$P2400)/$Q2400,0)*$Q2400,IF($R2400&gt;0,EDATE($P2400,ROUND((DATEDIF($P2400,INT($B2400),"m")+(INT($B2400)-EDATE($P2400,DATEDIF($P2400,INT($B2400),"m")))/(EDATE($P2400,DATEDIF($P2400,INT($B2400),"m")+1)-EDATE($P2400,DATEDIF($P2400,INT($B2400),"m"))))/$R2400,0)*$R2400),$P2400))))),"")))</f>
      </c>
      <c r="M2400" s="223">
        <f>IF(OR($C2400="",N($L2400)=0,N($B2400)=0),"",IF(IF(MOD($L2400,1)=0,INT($B2400),$B2400)&lt;=$L2400,"Đúng hạn","Trễ hạn"))</f>
      </c>
      <c r="N2400" s="225">
        <f>IF($C2400="","",ROW())</f>
      </c>
      <c r="O2400" s="225">
        <f>IF($I2400="Công việc",MATCH($C2400,'Kế hoạch'!$A$6:$A$305,0),"")</f>
      </c>
      <c r="P2400" s="234">
        <f>IF($O2400="","",INDEX('Kế hoạch'!$I$6:$I$305,$O2400))</f>
      </c>
      <c r="Q2400" s="225">
        <f>IF($O2400="","",INDEX('Kế hoạch'!$AJ$6:$AJ$305,$O2400))</f>
      </c>
      <c r="R2400" s="225">
        <f>IF($O2400="","",INDEX('Kế hoạch'!$AK$6:$AK$305,$O2400))</f>
      </c>
    </row>
    <row r="2401">
      <c r="A2401" s="223">
        <f>IF($C2401="","",COUNTIF($C$6:$C2401,"?*"))</f>
      </c>
      <c r="B2401" s="217"/>
      <c r="C2401" s="216"/>
      <c r="D2401" s="240"/>
      <c r="E2401" s="218"/>
      <c r="F2401" s="218"/>
      <c r="G2401" s="218"/>
      <c r="H2401" s="219"/>
      <c r="I2401" s="223">
        <f>IF($C2401="","",IF(ISNUMBER(MATCH($C2401,'Phản ánh'!$A$6:$A$505,0)),"Phản ánh",IF(ISNUMBER(MATCH($C2401,'Kế hoạch'!$A$6:$A$305,0)),"Công việc","Mã chưa có")))</f>
      </c>
      <c r="J2401" s="221">
        <f>IF($I2401="Phản ánh",INDEX('Phản ánh'!$C$6:$C$505,MATCH($C2401,'Phản ánh'!$A$6:$A$505,0)),IF($I2401="Công việc",INDEX('Kế hoạch'!$C$6:$C$305,$O2401),""))</f>
      </c>
      <c r="K2401" s="221">
        <f>IF($I2401="Phản ánh",INDEX('Phản ánh'!$K$6:$K$505,MATCH($C2401,'Phản ánh'!$A$6:$A$505,0))&amp;"",IF($I2401="Công việc",INDEX('Kế hoạch'!$N$6:$N$305,$O2401)&amp;"",""))</f>
      </c>
      <c r="L2401" s="220">
        <f>IF(OR($C2401="",N($B2401)=0),"",IF(AND($I2401="Phản ánh",$E2401="Đã xử lý"),INDEX('Phản ánh'!$U$6:$U$505,MATCH($C2401,'Phản ánh'!$A$6:$A$505,0)),IF(AND($I2401="Công việc",OR($E2401="Hoàn thành",$E2401="Hoàn thành kỳ")),IF(INDEX('Kế hoạch'!$B$6:$B$305,$O2401)="Đột xuất",INDEX('Kế hoạch'!$AY$6:$AY$305,$O2401),IF(N($P2401)=0,"",IF(INT($B2401)&lt;$P2401,$P2401,IF($Q2401&gt;0,$P2401+ROUND((INT($B2401)-$P2401)/$Q2401,0)*$Q2401,IF($R2401&gt;0,EDATE($P2401,ROUND((DATEDIF($P2401,INT($B2401),"m")+(INT($B2401)-EDATE($P2401,DATEDIF($P2401,INT($B2401),"m")))/(EDATE($P2401,DATEDIF($P2401,INT($B2401),"m")+1)-EDATE($P2401,DATEDIF($P2401,INT($B2401),"m"))))/$R2401,0)*$R2401),$P2401))))),"")))</f>
      </c>
      <c r="M2401" s="223">
        <f>IF(OR($C2401="",N($L2401)=0,N($B2401)=0),"",IF(IF(MOD($L2401,1)=0,INT($B2401),$B2401)&lt;=$L2401,"Đúng hạn","Trễ hạn"))</f>
      </c>
      <c r="N2401" s="225">
        <f>IF($C2401="","",ROW())</f>
      </c>
      <c r="O2401" s="225">
        <f>IF($I2401="Công việc",MATCH($C2401,'Kế hoạch'!$A$6:$A$305,0),"")</f>
      </c>
      <c r="P2401" s="234">
        <f>IF($O2401="","",INDEX('Kế hoạch'!$I$6:$I$305,$O2401))</f>
      </c>
      <c r="Q2401" s="225">
        <f>IF($O2401="","",INDEX('Kế hoạch'!$AJ$6:$AJ$305,$O2401))</f>
      </c>
      <c r="R2401" s="225">
        <f>IF($O2401="","",INDEX('Kế hoạch'!$AK$6:$AK$305,$O2401))</f>
      </c>
    </row>
    <row r="2402">
      <c r="A2402" s="223">
        <f>IF($C2402="","",COUNTIF($C$6:$C2402,"?*"))</f>
      </c>
      <c r="B2402" s="217"/>
      <c r="C2402" s="216"/>
      <c r="D2402" s="240"/>
      <c r="E2402" s="218"/>
      <c r="F2402" s="218"/>
      <c r="G2402" s="218"/>
      <c r="H2402" s="219"/>
      <c r="I2402" s="223">
        <f>IF($C2402="","",IF(ISNUMBER(MATCH($C2402,'Phản ánh'!$A$6:$A$505,0)),"Phản ánh",IF(ISNUMBER(MATCH($C2402,'Kế hoạch'!$A$6:$A$305,0)),"Công việc","Mã chưa có")))</f>
      </c>
      <c r="J2402" s="221">
        <f>IF($I2402="Phản ánh",INDEX('Phản ánh'!$C$6:$C$505,MATCH($C2402,'Phản ánh'!$A$6:$A$505,0)),IF($I2402="Công việc",INDEX('Kế hoạch'!$C$6:$C$305,$O2402),""))</f>
      </c>
      <c r="K2402" s="221">
        <f>IF($I2402="Phản ánh",INDEX('Phản ánh'!$K$6:$K$505,MATCH($C2402,'Phản ánh'!$A$6:$A$505,0))&amp;"",IF($I2402="Công việc",INDEX('Kế hoạch'!$N$6:$N$305,$O2402)&amp;"",""))</f>
      </c>
      <c r="L2402" s="220">
        <f>IF(OR($C2402="",N($B2402)=0),"",IF(AND($I2402="Phản ánh",$E2402="Đã xử lý"),INDEX('Phản ánh'!$U$6:$U$505,MATCH($C2402,'Phản ánh'!$A$6:$A$505,0)),IF(AND($I2402="Công việc",OR($E2402="Hoàn thành",$E2402="Hoàn thành kỳ")),IF(INDEX('Kế hoạch'!$B$6:$B$305,$O2402)="Đột xuất",INDEX('Kế hoạch'!$AY$6:$AY$305,$O2402),IF(N($P2402)=0,"",IF(INT($B2402)&lt;$P2402,$P2402,IF($Q2402&gt;0,$P2402+ROUND((INT($B2402)-$P2402)/$Q2402,0)*$Q2402,IF($R2402&gt;0,EDATE($P2402,ROUND((DATEDIF($P2402,INT($B2402),"m")+(INT($B2402)-EDATE($P2402,DATEDIF($P2402,INT($B2402),"m")))/(EDATE($P2402,DATEDIF($P2402,INT($B2402),"m")+1)-EDATE($P2402,DATEDIF($P2402,INT($B2402),"m"))))/$R2402,0)*$R2402),$P2402))))),"")))</f>
      </c>
      <c r="M2402" s="223">
        <f>IF(OR($C2402="",N($L2402)=0,N($B2402)=0),"",IF(IF(MOD($L2402,1)=0,INT($B2402),$B2402)&lt;=$L2402,"Đúng hạn","Trễ hạn"))</f>
      </c>
      <c r="N2402" s="225">
        <f>IF($C2402="","",ROW())</f>
      </c>
      <c r="O2402" s="225">
        <f>IF($I2402="Công việc",MATCH($C2402,'Kế hoạch'!$A$6:$A$305,0),"")</f>
      </c>
      <c r="P2402" s="234">
        <f>IF($O2402="","",INDEX('Kế hoạch'!$I$6:$I$305,$O2402))</f>
      </c>
      <c r="Q2402" s="225">
        <f>IF($O2402="","",INDEX('Kế hoạch'!$AJ$6:$AJ$305,$O2402))</f>
      </c>
      <c r="R2402" s="225">
        <f>IF($O2402="","",INDEX('Kế hoạch'!$AK$6:$AK$305,$O2402))</f>
      </c>
    </row>
    <row r="2403">
      <c r="A2403" s="223">
        <f>IF($C2403="","",COUNTIF($C$6:$C2403,"?*"))</f>
      </c>
      <c r="B2403" s="217"/>
      <c r="C2403" s="216"/>
      <c r="D2403" s="240"/>
      <c r="E2403" s="218"/>
      <c r="F2403" s="218"/>
      <c r="G2403" s="218"/>
      <c r="H2403" s="219"/>
      <c r="I2403" s="223">
        <f>IF($C2403="","",IF(ISNUMBER(MATCH($C2403,'Phản ánh'!$A$6:$A$505,0)),"Phản ánh",IF(ISNUMBER(MATCH($C2403,'Kế hoạch'!$A$6:$A$305,0)),"Công việc","Mã chưa có")))</f>
      </c>
      <c r="J2403" s="221">
        <f>IF($I2403="Phản ánh",INDEX('Phản ánh'!$C$6:$C$505,MATCH($C2403,'Phản ánh'!$A$6:$A$505,0)),IF($I2403="Công việc",INDEX('Kế hoạch'!$C$6:$C$305,$O2403),""))</f>
      </c>
      <c r="K2403" s="221">
        <f>IF($I2403="Phản ánh",INDEX('Phản ánh'!$K$6:$K$505,MATCH($C2403,'Phản ánh'!$A$6:$A$505,0))&amp;"",IF($I2403="Công việc",INDEX('Kế hoạch'!$N$6:$N$305,$O2403)&amp;"",""))</f>
      </c>
      <c r="L2403" s="220">
        <f>IF(OR($C2403="",N($B2403)=0),"",IF(AND($I2403="Phản ánh",$E2403="Đã xử lý"),INDEX('Phản ánh'!$U$6:$U$505,MATCH($C2403,'Phản ánh'!$A$6:$A$505,0)),IF(AND($I2403="Công việc",OR($E2403="Hoàn thành",$E2403="Hoàn thành kỳ")),IF(INDEX('Kế hoạch'!$B$6:$B$305,$O2403)="Đột xuất",INDEX('Kế hoạch'!$AY$6:$AY$305,$O2403),IF(N($P2403)=0,"",IF(INT($B2403)&lt;$P2403,$P2403,IF($Q2403&gt;0,$P2403+ROUND((INT($B2403)-$P2403)/$Q2403,0)*$Q2403,IF($R2403&gt;0,EDATE($P2403,ROUND((DATEDIF($P2403,INT($B2403),"m")+(INT($B2403)-EDATE($P2403,DATEDIF($P2403,INT($B2403),"m")))/(EDATE($P2403,DATEDIF($P2403,INT($B2403),"m")+1)-EDATE($P2403,DATEDIF($P2403,INT($B2403),"m"))))/$R2403,0)*$R2403),$P2403))))),"")))</f>
      </c>
      <c r="M2403" s="223">
        <f>IF(OR($C2403="",N($L2403)=0,N($B2403)=0),"",IF(IF(MOD($L2403,1)=0,INT($B2403),$B2403)&lt;=$L2403,"Đúng hạn","Trễ hạn"))</f>
      </c>
      <c r="N2403" s="225">
        <f>IF($C2403="","",ROW())</f>
      </c>
      <c r="O2403" s="225">
        <f>IF($I2403="Công việc",MATCH($C2403,'Kế hoạch'!$A$6:$A$305,0),"")</f>
      </c>
      <c r="P2403" s="234">
        <f>IF($O2403="","",INDEX('Kế hoạch'!$I$6:$I$305,$O2403))</f>
      </c>
      <c r="Q2403" s="225">
        <f>IF($O2403="","",INDEX('Kế hoạch'!$AJ$6:$AJ$305,$O2403))</f>
      </c>
      <c r="R2403" s="225">
        <f>IF($O2403="","",INDEX('Kế hoạch'!$AK$6:$AK$305,$O2403))</f>
      </c>
    </row>
    <row r="2404">
      <c r="A2404" s="223">
        <f>IF($C2404="","",COUNTIF($C$6:$C2404,"?*"))</f>
      </c>
      <c r="B2404" s="217"/>
      <c r="C2404" s="216"/>
      <c r="D2404" s="240"/>
      <c r="E2404" s="218"/>
      <c r="F2404" s="218"/>
      <c r="G2404" s="218"/>
      <c r="H2404" s="219"/>
      <c r="I2404" s="223">
        <f>IF($C2404="","",IF(ISNUMBER(MATCH($C2404,'Phản ánh'!$A$6:$A$505,0)),"Phản ánh",IF(ISNUMBER(MATCH($C2404,'Kế hoạch'!$A$6:$A$305,0)),"Công việc","Mã chưa có")))</f>
      </c>
      <c r="J2404" s="221">
        <f>IF($I2404="Phản ánh",INDEX('Phản ánh'!$C$6:$C$505,MATCH($C2404,'Phản ánh'!$A$6:$A$505,0)),IF($I2404="Công việc",INDEX('Kế hoạch'!$C$6:$C$305,$O2404),""))</f>
      </c>
      <c r="K2404" s="221">
        <f>IF($I2404="Phản ánh",INDEX('Phản ánh'!$K$6:$K$505,MATCH($C2404,'Phản ánh'!$A$6:$A$505,0))&amp;"",IF($I2404="Công việc",INDEX('Kế hoạch'!$N$6:$N$305,$O2404)&amp;"",""))</f>
      </c>
      <c r="L2404" s="220">
        <f>IF(OR($C2404="",N($B2404)=0),"",IF(AND($I2404="Phản ánh",$E2404="Đã xử lý"),INDEX('Phản ánh'!$U$6:$U$505,MATCH($C2404,'Phản ánh'!$A$6:$A$505,0)),IF(AND($I2404="Công việc",OR($E2404="Hoàn thành",$E2404="Hoàn thành kỳ")),IF(INDEX('Kế hoạch'!$B$6:$B$305,$O2404)="Đột xuất",INDEX('Kế hoạch'!$AY$6:$AY$305,$O2404),IF(N($P2404)=0,"",IF(INT($B2404)&lt;$P2404,$P2404,IF($Q2404&gt;0,$P2404+ROUND((INT($B2404)-$P2404)/$Q2404,0)*$Q2404,IF($R2404&gt;0,EDATE($P2404,ROUND((DATEDIF($P2404,INT($B2404),"m")+(INT($B2404)-EDATE($P2404,DATEDIF($P2404,INT($B2404),"m")))/(EDATE($P2404,DATEDIF($P2404,INT($B2404),"m")+1)-EDATE($P2404,DATEDIF($P2404,INT($B2404),"m"))))/$R2404,0)*$R2404),$P2404))))),"")))</f>
      </c>
      <c r="M2404" s="223">
        <f>IF(OR($C2404="",N($L2404)=0,N($B2404)=0),"",IF(IF(MOD($L2404,1)=0,INT($B2404),$B2404)&lt;=$L2404,"Đúng hạn","Trễ hạn"))</f>
      </c>
      <c r="N2404" s="225">
        <f>IF($C2404="","",ROW())</f>
      </c>
      <c r="O2404" s="225">
        <f>IF($I2404="Công việc",MATCH($C2404,'Kế hoạch'!$A$6:$A$305,0),"")</f>
      </c>
      <c r="P2404" s="234">
        <f>IF($O2404="","",INDEX('Kế hoạch'!$I$6:$I$305,$O2404))</f>
      </c>
      <c r="Q2404" s="225">
        <f>IF($O2404="","",INDEX('Kế hoạch'!$AJ$6:$AJ$305,$O2404))</f>
      </c>
      <c r="R2404" s="225">
        <f>IF($O2404="","",INDEX('Kế hoạch'!$AK$6:$AK$305,$O2404))</f>
      </c>
    </row>
    <row r="2405">
      <c r="A2405" s="223">
        <f>IF($C2405="","",COUNTIF($C$6:$C2405,"?*"))</f>
      </c>
      <c r="B2405" s="217"/>
      <c r="C2405" s="216"/>
      <c r="D2405" s="240"/>
      <c r="E2405" s="218"/>
      <c r="F2405" s="218"/>
      <c r="G2405" s="218"/>
      <c r="H2405" s="219"/>
      <c r="I2405" s="223">
        <f>IF($C2405="","",IF(ISNUMBER(MATCH($C2405,'Phản ánh'!$A$6:$A$505,0)),"Phản ánh",IF(ISNUMBER(MATCH($C2405,'Kế hoạch'!$A$6:$A$305,0)),"Công việc","Mã chưa có")))</f>
      </c>
      <c r="J2405" s="221">
        <f>IF($I2405="Phản ánh",INDEX('Phản ánh'!$C$6:$C$505,MATCH($C2405,'Phản ánh'!$A$6:$A$505,0)),IF($I2405="Công việc",INDEX('Kế hoạch'!$C$6:$C$305,$O2405),""))</f>
      </c>
      <c r="K2405" s="221">
        <f>IF($I2405="Phản ánh",INDEX('Phản ánh'!$K$6:$K$505,MATCH($C2405,'Phản ánh'!$A$6:$A$505,0))&amp;"",IF($I2405="Công việc",INDEX('Kế hoạch'!$N$6:$N$305,$O2405)&amp;"",""))</f>
      </c>
      <c r="L2405" s="220">
        <f>IF(OR($C2405="",N($B2405)=0),"",IF(AND($I2405="Phản ánh",$E2405="Đã xử lý"),INDEX('Phản ánh'!$U$6:$U$505,MATCH($C2405,'Phản ánh'!$A$6:$A$505,0)),IF(AND($I2405="Công việc",OR($E2405="Hoàn thành",$E2405="Hoàn thành kỳ")),IF(INDEX('Kế hoạch'!$B$6:$B$305,$O2405)="Đột xuất",INDEX('Kế hoạch'!$AY$6:$AY$305,$O2405),IF(N($P2405)=0,"",IF(INT($B2405)&lt;$P2405,$P2405,IF($Q2405&gt;0,$P2405+ROUND((INT($B2405)-$P2405)/$Q2405,0)*$Q2405,IF($R2405&gt;0,EDATE($P2405,ROUND((DATEDIF($P2405,INT($B2405),"m")+(INT($B2405)-EDATE($P2405,DATEDIF($P2405,INT($B2405),"m")))/(EDATE($P2405,DATEDIF($P2405,INT($B2405),"m")+1)-EDATE($P2405,DATEDIF($P2405,INT($B2405),"m"))))/$R2405,0)*$R2405),$P2405))))),"")))</f>
      </c>
      <c r="M2405" s="223">
        <f>IF(OR($C2405="",N($L2405)=0,N($B2405)=0),"",IF(IF(MOD($L2405,1)=0,INT($B2405),$B2405)&lt;=$L2405,"Đúng hạn","Trễ hạn"))</f>
      </c>
      <c r="N2405" s="225">
        <f>IF($C2405="","",ROW())</f>
      </c>
      <c r="O2405" s="225">
        <f>IF($I2405="Công việc",MATCH($C2405,'Kế hoạch'!$A$6:$A$305,0),"")</f>
      </c>
      <c r="P2405" s="234">
        <f>IF($O2405="","",INDEX('Kế hoạch'!$I$6:$I$305,$O2405))</f>
      </c>
      <c r="Q2405" s="225">
        <f>IF($O2405="","",INDEX('Kế hoạch'!$AJ$6:$AJ$305,$O2405))</f>
      </c>
      <c r="R2405" s="225">
        <f>IF($O2405="","",INDEX('Kế hoạch'!$AK$6:$AK$305,$O2405))</f>
      </c>
    </row>
    <row r="2406">
      <c r="A2406" s="223">
        <f>IF($C2406="","",COUNTIF($C$6:$C2406,"?*"))</f>
      </c>
      <c r="B2406" s="217"/>
      <c r="C2406" s="216"/>
      <c r="D2406" s="240"/>
      <c r="E2406" s="218"/>
      <c r="F2406" s="218"/>
      <c r="G2406" s="218"/>
      <c r="H2406" s="219"/>
      <c r="I2406" s="223">
        <f>IF($C2406="","",IF(ISNUMBER(MATCH($C2406,'Phản ánh'!$A$6:$A$505,0)),"Phản ánh",IF(ISNUMBER(MATCH($C2406,'Kế hoạch'!$A$6:$A$305,0)),"Công việc","Mã chưa có")))</f>
      </c>
      <c r="J2406" s="221">
        <f>IF($I2406="Phản ánh",INDEX('Phản ánh'!$C$6:$C$505,MATCH($C2406,'Phản ánh'!$A$6:$A$505,0)),IF($I2406="Công việc",INDEX('Kế hoạch'!$C$6:$C$305,$O2406),""))</f>
      </c>
      <c r="K2406" s="221">
        <f>IF($I2406="Phản ánh",INDEX('Phản ánh'!$K$6:$K$505,MATCH($C2406,'Phản ánh'!$A$6:$A$505,0))&amp;"",IF($I2406="Công việc",INDEX('Kế hoạch'!$N$6:$N$305,$O2406)&amp;"",""))</f>
      </c>
      <c r="L2406" s="220">
        <f>IF(OR($C2406="",N($B2406)=0),"",IF(AND($I2406="Phản ánh",$E2406="Đã xử lý"),INDEX('Phản ánh'!$U$6:$U$505,MATCH($C2406,'Phản ánh'!$A$6:$A$505,0)),IF(AND($I2406="Công việc",OR($E2406="Hoàn thành",$E2406="Hoàn thành kỳ")),IF(INDEX('Kế hoạch'!$B$6:$B$305,$O2406)="Đột xuất",INDEX('Kế hoạch'!$AY$6:$AY$305,$O2406),IF(N($P2406)=0,"",IF(INT($B2406)&lt;$P2406,$P2406,IF($Q2406&gt;0,$P2406+ROUND((INT($B2406)-$P2406)/$Q2406,0)*$Q2406,IF($R2406&gt;0,EDATE($P2406,ROUND((DATEDIF($P2406,INT($B2406),"m")+(INT($B2406)-EDATE($P2406,DATEDIF($P2406,INT($B2406),"m")))/(EDATE($P2406,DATEDIF($P2406,INT($B2406),"m")+1)-EDATE($P2406,DATEDIF($P2406,INT($B2406),"m"))))/$R2406,0)*$R2406),$P2406))))),"")))</f>
      </c>
      <c r="M2406" s="223">
        <f>IF(OR($C2406="",N($L2406)=0,N($B2406)=0),"",IF(IF(MOD($L2406,1)=0,INT($B2406),$B2406)&lt;=$L2406,"Đúng hạn","Trễ hạn"))</f>
      </c>
      <c r="N2406" s="225">
        <f>IF($C2406="","",ROW())</f>
      </c>
      <c r="O2406" s="225">
        <f>IF($I2406="Công việc",MATCH($C2406,'Kế hoạch'!$A$6:$A$305,0),"")</f>
      </c>
      <c r="P2406" s="234">
        <f>IF($O2406="","",INDEX('Kế hoạch'!$I$6:$I$305,$O2406))</f>
      </c>
      <c r="Q2406" s="225">
        <f>IF($O2406="","",INDEX('Kế hoạch'!$AJ$6:$AJ$305,$O2406))</f>
      </c>
      <c r="R2406" s="225">
        <f>IF($O2406="","",INDEX('Kế hoạch'!$AK$6:$AK$305,$O2406))</f>
      </c>
    </row>
    <row r="2407">
      <c r="A2407" s="223">
        <f>IF($C2407="","",COUNTIF($C$6:$C2407,"?*"))</f>
      </c>
      <c r="B2407" s="217"/>
      <c r="C2407" s="216"/>
      <c r="D2407" s="240"/>
      <c r="E2407" s="218"/>
      <c r="F2407" s="218"/>
      <c r="G2407" s="218"/>
      <c r="H2407" s="219"/>
      <c r="I2407" s="223">
        <f>IF($C2407="","",IF(ISNUMBER(MATCH($C2407,'Phản ánh'!$A$6:$A$505,0)),"Phản ánh",IF(ISNUMBER(MATCH($C2407,'Kế hoạch'!$A$6:$A$305,0)),"Công việc","Mã chưa có")))</f>
      </c>
      <c r="J2407" s="221">
        <f>IF($I2407="Phản ánh",INDEX('Phản ánh'!$C$6:$C$505,MATCH($C2407,'Phản ánh'!$A$6:$A$505,0)),IF($I2407="Công việc",INDEX('Kế hoạch'!$C$6:$C$305,$O2407),""))</f>
      </c>
      <c r="K2407" s="221">
        <f>IF($I2407="Phản ánh",INDEX('Phản ánh'!$K$6:$K$505,MATCH($C2407,'Phản ánh'!$A$6:$A$505,0))&amp;"",IF($I2407="Công việc",INDEX('Kế hoạch'!$N$6:$N$305,$O2407)&amp;"",""))</f>
      </c>
      <c r="L2407" s="220">
        <f>IF(OR($C2407="",N($B2407)=0),"",IF(AND($I2407="Phản ánh",$E2407="Đã xử lý"),INDEX('Phản ánh'!$U$6:$U$505,MATCH($C2407,'Phản ánh'!$A$6:$A$505,0)),IF(AND($I2407="Công việc",OR($E2407="Hoàn thành",$E2407="Hoàn thành kỳ")),IF(INDEX('Kế hoạch'!$B$6:$B$305,$O2407)="Đột xuất",INDEX('Kế hoạch'!$AY$6:$AY$305,$O2407),IF(N($P2407)=0,"",IF(INT($B2407)&lt;$P2407,$P2407,IF($Q2407&gt;0,$P2407+ROUND((INT($B2407)-$P2407)/$Q2407,0)*$Q2407,IF($R2407&gt;0,EDATE($P2407,ROUND((DATEDIF($P2407,INT($B2407),"m")+(INT($B2407)-EDATE($P2407,DATEDIF($P2407,INT($B2407),"m")))/(EDATE($P2407,DATEDIF($P2407,INT($B2407),"m")+1)-EDATE($P2407,DATEDIF($P2407,INT($B2407),"m"))))/$R2407,0)*$R2407),$P2407))))),"")))</f>
      </c>
      <c r="M2407" s="223">
        <f>IF(OR($C2407="",N($L2407)=0,N($B2407)=0),"",IF(IF(MOD($L2407,1)=0,INT($B2407),$B2407)&lt;=$L2407,"Đúng hạn","Trễ hạn"))</f>
      </c>
      <c r="N2407" s="225">
        <f>IF($C2407="","",ROW())</f>
      </c>
      <c r="O2407" s="225">
        <f>IF($I2407="Công việc",MATCH($C2407,'Kế hoạch'!$A$6:$A$305,0),"")</f>
      </c>
      <c r="P2407" s="234">
        <f>IF($O2407="","",INDEX('Kế hoạch'!$I$6:$I$305,$O2407))</f>
      </c>
      <c r="Q2407" s="225">
        <f>IF($O2407="","",INDEX('Kế hoạch'!$AJ$6:$AJ$305,$O2407))</f>
      </c>
      <c r="R2407" s="225">
        <f>IF($O2407="","",INDEX('Kế hoạch'!$AK$6:$AK$305,$O2407))</f>
      </c>
    </row>
    <row r="2408">
      <c r="A2408" s="223">
        <f>IF($C2408="","",COUNTIF($C$6:$C2408,"?*"))</f>
      </c>
      <c r="B2408" s="217"/>
      <c r="C2408" s="216"/>
      <c r="D2408" s="240"/>
      <c r="E2408" s="218"/>
      <c r="F2408" s="218"/>
      <c r="G2408" s="218"/>
      <c r="H2408" s="219"/>
      <c r="I2408" s="223">
        <f>IF($C2408="","",IF(ISNUMBER(MATCH($C2408,'Phản ánh'!$A$6:$A$505,0)),"Phản ánh",IF(ISNUMBER(MATCH($C2408,'Kế hoạch'!$A$6:$A$305,0)),"Công việc","Mã chưa có")))</f>
      </c>
      <c r="J2408" s="221">
        <f>IF($I2408="Phản ánh",INDEX('Phản ánh'!$C$6:$C$505,MATCH($C2408,'Phản ánh'!$A$6:$A$505,0)),IF($I2408="Công việc",INDEX('Kế hoạch'!$C$6:$C$305,$O2408),""))</f>
      </c>
      <c r="K2408" s="221">
        <f>IF($I2408="Phản ánh",INDEX('Phản ánh'!$K$6:$K$505,MATCH($C2408,'Phản ánh'!$A$6:$A$505,0))&amp;"",IF($I2408="Công việc",INDEX('Kế hoạch'!$N$6:$N$305,$O2408)&amp;"",""))</f>
      </c>
      <c r="L2408" s="220">
        <f>IF(OR($C2408="",N($B2408)=0),"",IF(AND($I2408="Phản ánh",$E2408="Đã xử lý"),INDEX('Phản ánh'!$U$6:$U$505,MATCH($C2408,'Phản ánh'!$A$6:$A$505,0)),IF(AND($I2408="Công việc",OR($E2408="Hoàn thành",$E2408="Hoàn thành kỳ")),IF(INDEX('Kế hoạch'!$B$6:$B$305,$O2408)="Đột xuất",INDEX('Kế hoạch'!$AY$6:$AY$305,$O2408),IF(N($P2408)=0,"",IF(INT($B2408)&lt;$P2408,$P2408,IF($Q2408&gt;0,$P2408+ROUND((INT($B2408)-$P2408)/$Q2408,0)*$Q2408,IF($R2408&gt;0,EDATE($P2408,ROUND((DATEDIF($P2408,INT($B2408),"m")+(INT($B2408)-EDATE($P2408,DATEDIF($P2408,INT($B2408),"m")))/(EDATE($P2408,DATEDIF($P2408,INT($B2408),"m")+1)-EDATE($P2408,DATEDIF($P2408,INT($B2408),"m"))))/$R2408,0)*$R2408),$P2408))))),"")))</f>
      </c>
      <c r="M2408" s="223">
        <f>IF(OR($C2408="",N($L2408)=0,N($B2408)=0),"",IF(IF(MOD($L2408,1)=0,INT($B2408),$B2408)&lt;=$L2408,"Đúng hạn","Trễ hạn"))</f>
      </c>
      <c r="N2408" s="225">
        <f>IF($C2408="","",ROW())</f>
      </c>
      <c r="O2408" s="225">
        <f>IF($I2408="Công việc",MATCH($C2408,'Kế hoạch'!$A$6:$A$305,0),"")</f>
      </c>
      <c r="P2408" s="234">
        <f>IF($O2408="","",INDEX('Kế hoạch'!$I$6:$I$305,$O2408))</f>
      </c>
      <c r="Q2408" s="225">
        <f>IF($O2408="","",INDEX('Kế hoạch'!$AJ$6:$AJ$305,$O2408))</f>
      </c>
      <c r="R2408" s="225">
        <f>IF($O2408="","",INDEX('Kế hoạch'!$AK$6:$AK$305,$O2408))</f>
      </c>
    </row>
    <row r="2409">
      <c r="A2409" s="223">
        <f>IF($C2409="","",COUNTIF($C$6:$C2409,"?*"))</f>
      </c>
      <c r="B2409" s="217"/>
      <c r="C2409" s="216"/>
      <c r="D2409" s="240"/>
      <c r="E2409" s="218"/>
      <c r="F2409" s="218"/>
      <c r="G2409" s="218"/>
      <c r="H2409" s="219"/>
      <c r="I2409" s="223">
        <f>IF($C2409="","",IF(ISNUMBER(MATCH($C2409,'Phản ánh'!$A$6:$A$505,0)),"Phản ánh",IF(ISNUMBER(MATCH($C2409,'Kế hoạch'!$A$6:$A$305,0)),"Công việc","Mã chưa có")))</f>
      </c>
      <c r="J2409" s="221">
        <f>IF($I2409="Phản ánh",INDEX('Phản ánh'!$C$6:$C$505,MATCH($C2409,'Phản ánh'!$A$6:$A$505,0)),IF($I2409="Công việc",INDEX('Kế hoạch'!$C$6:$C$305,$O2409),""))</f>
      </c>
      <c r="K2409" s="221">
        <f>IF($I2409="Phản ánh",INDEX('Phản ánh'!$K$6:$K$505,MATCH($C2409,'Phản ánh'!$A$6:$A$505,0))&amp;"",IF($I2409="Công việc",INDEX('Kế hoạch'!$N$6:$N$305,$O2409)&amp;"",""))</f>
      </c>
      <c r="L2409" s="220">
        <f>IF(OR($C2409="",N($B2409)=0),"",IF(AND($I2409="Phản ánh",$E2409="Đã xử lý"),INDEX('Phản ánh'!$U$6:$U$505,MATCH($C2409,'Phản ánh'!$A$6:$A$505,0)),IF(AND($I2409="Công việc",OR($E2409="Hoàn thành",$E2409="Hoàn thành kỳ")),IF(INDEX('Kế hoạch'!$B$6:$B$305,$O2409)="Đột xuất",INDEX('Kế hoạch'!$AY$6:$AY$305,$O2409),IF(N($P2409)=0,"",IF(INT($B2409)&lt;$P2409,$P2409,IF($Q2409&gt;0,$P2409+ROUND((INT($B2409)-$P2409)/$Q2409,0)*$Q2409,IF($R2409&gt;0,EDATE($P2409,ROUND((DATEDIF($P2409,INT($B2409),"m")+(INT($B2409)-EDATE($P2409,DATEDIF($P2409,INT($B2409),"m")))/(EDATE($P2409,DATEDIF($P2409,INT($B2409),"m")+1)-EDATE($P2409,DATEDIF($P2409,INT($B2409),"m"))))/$R2409,0)*$R2409),$P2409))))),"")))</f>
      </c>
      <c r="M2409" s="223">
        <f>IF(OR($C2409="",N($L2409)=0,N($B2409)=0),"",IF(IF(MOD($L2409,1)=0,INT($B2409),$B2409)&lt;=$L2409,"Đúng hạn","Trễ hạn"))</f>
      </c>
      <c r="N2409" s="225">
        <f>IF($C2409="","",ROW())</f>
      </c>
      <c r="O2409" s="225">
        <f>IF($I2409="Công việc",MATCH($C2409,'Kế hoạch'!$A$6:$A$305,0),"")</f>
      </c>
      <c r="P2409" s="234">
        <f>IF($O2409="","",INDEX('Kế hoạch'!$I$6:$I$305,$O2409))</f>
      </c>
      <c r="Q2409" s="225">
        <f>IF($O2409="","",INDEX('Kế hoạch'!$AJ$6:$AJ$305,$O2409))</f>
      </c>
      <c r="R2409" s="225">
        <f>IF($O2409="","",INDEX('Kế hoạch'!$AK$6:$AK$305,$O2409))</f>
      </c>
    </row>
    <row r="2410">
      <c r="A2410" s="223">
        <f>IF($C2410="","",COUNTIF($C$6:$C2410,"?*"))</f>
      </c>
      <c r="B2410" s="217"/>
      <c r="C2410" s="216"/>
      <c r="D2410" s="240"/>
      <c r="E2410" s="218"/>
      <c r="F2410" s="218"/>
      <c r="G2410" s="218"/>
      <c r="H2410" s="219"/>
      <c r="I2410" s="223">
        <f>IF($C2410="","",IF(ISNUMBER(MATCH($C2410,'Phản ánh'!$A$6:$A$505,0)),"Phản ánh",IF(ISNUMBER(MATCH($C2410,'Kế hoạch'!$A$6:$A$305,0)),"Công việc","Mã chưa có")))</f>
      </c>
      <c r="J2410" s="221">
        <f>IF($I2410="Phản ánh",INDEX('Phản ánh'!$C$6:$C$505,MATCH($C2410,'Phản ánh'!$A$6:$A$505,0)),IF($I2410="Công việc",INDEX('Kế hoạch'!$C$6:$C$305,$O2410),""))</f>
      </c>
      <c r="K2410" s="221">
        <f>IF($I2410="Phản ánh",INDEX('Phản ánh'!$K$6:$K$505,MATCH($C2410,'Phản ánh'!$A$6:$A$505,0))&amp;"",IF($I2410="Công việc",INDEX('Kế hoạch'!$N$6:$N$305,$O2410)&amp;"",""))</f>
      </c>
      <c r="L2410" s="220">
        <f>IF(OR($C2410="",N($B2410)=0),"",IF(AND($I2410="Phản ánh",$E2410="Đã xử lý"),INDEX('Phản ánh'!$U$6:$U$505,MATCH($C2410,'Phản ánh'!$A$6:$A$505,0)),IF(AND($I2410="Công việc",OR($E2410="Hoàn thành",$E2410="Hoàn thành kỳ")),IF(INDEX('Kế hoạch'!$B$6:$B$305,$O2410)="Đột xuất",INDEX('Kế hoạch'!$AY$6:$AY$305,$O2410),IF(N($P2410)=0,"",IF(INT($B2410)&lt;$P2410,$P2410,IF($Q2410&gt;0,$P2410+ROUND((INT($B2410)-$P2410)/$Q2410,0)*$Q2410,IF($R2410&gt;0,EDATE($P2410,ROUND((DATEDIF($P2410,INT($B2410),"m")+(INT($B2410)-EDATE($P2410,DATEDIF($P2410,INT($B2410),"m")))/(EDATE($P2410,DATEDIF($P2410,INT($B2410),"m")+1)-EDATE($P2410,DATEDIF($P2410,INT($B2410),"m"))))/$R2410,0)*$R2410),$P2410))))),"")))</f>
      </c>
      <c r="M2410" s="223">
        <f>IF(OR($C2410="",N($L2410)=0,N($B2410)=0),"",IF(IF(MOD($L2410,1)=0,INT($B2410),$B2410)&lt;=$L2410,"Đúng hạn","Trễ hạn"))</f>
      </c>
      <c r="N2410" s="225">
        <f>IF($C2410="","",ROW())</f>
      </c>
      <c r="O2410" s="225">
        <f>IF($I2410="Công việc",MATCH($C2410,'Kế hoạch'!$A$6:$A$305,0),"")</f>
      </c>
      <c r="P2410" s="234">
        <f>IF($O2410="","",INDEX('Kế hoạch'!$I$6:$I$305,$O2410))</f>
      </c>
      <c r="Q2410" s="225">
        <f>IF($O2410="","",INDEX('Kế hoạch'!$AJ$6:$AJ$305,$O2410))</f>
      </c>
      <c r="R2410" s="225">
        <f>IF($O2410="","",INDEX('Kế hoạch'!$AK$6:$AK$305,$O2410))</f>
      </c>
    </row>
    <row r="2411">
      <c r="A2411" s="223">
        <f>IF($C2411="","",COUNTIF($C$6:$C2411,"?*"))</f>
      </c>
      <c r="B2411" s="217"/>
      <c r="C2411" s="216"/>
      <c r="D2411" s="240"/>
      <c r="E2411" s="218"/>
      <c r="F2411" s="218"/>
      <c r="G2411" s="218"/>
      <c r="H2411" s="219"/>
      <c r="I2411" s="223">
        <f>IF($C2411="","",IF(ISNUMBER(MATCH($C2411,'Phản ánh'!$A$6:$A$505,0)),"Phản ánh",IF(ISNUMBER(MATCH($C2411,'Kế hoạch'!$A$6:$A$305,0)),"Công việc","Mã chưa có")))</f>
      </c>
      <c r="J2411" s="221">
        <f>IF($I2411="Phản ánh",INDEX('Phản ánh'!$C$6:$C$505,MATCH($C2411,'Phản ánh'!$A$6:$A$505,0)),IF($I2411="Công việc",INDEX('Kế hoạch'!$C$6:$C$305,$O2411),""))</f>
      </c>
      <c r="K2411" s="221">
        <f>IF($I2411="Phản ánh",INDEX('Phản ánh'!$K$6:$K$505,MATCH($C2411,'Phản ánh'!$A$6:$A$505,0))&amp;"",IF($I2411="Công việc",INDEX('Kế hoạch'!$N$6:$N$305,$O2411)&amp;"",""))</f>
      </c>
      <c r="L2411" s="220">
        <f>IF(OR($C2411="",N($B2411)=0),"",IF(AND($I2411="Phản ánh",$E2411="Đã xử lý"),INDEX('Phản ánh'!$U$6:$U$505,MATCH($C2411,'Phản ánh'!$A$6:$A$505,0)),IF(AND($I2411="Công việc",OR($E2411="Hoàn thành",$E2411="Hoàn thành kỳ")),IF(INDEX('Kế hoạch'!$B$6:$B$305,$O2411)="Đột xuất",INDEX('Kế hoạch'!$AY$6:$AY$305,$O2411),IF(N($P2411)=0,"",IF(INT($B2411)&lt;$P2411,$P2411,IF($Q2411&gt;0,$P2411+ROUND((INT($B2411)-$P2411)/$Q2411,0)*$Q2411,IF($R2411&gt;0,EDATE($P2411,ROUND((DATEDIF($P2411,INT($B2411),"m")+(INT($B2411)-EDATE($P2411,DATEDIF($P2411,INT($B2411),"m")))/(EDATE($P2411,DATEDIF($P2411,INT($B2411),"m")+1)-EDATE($P2411,DATEDIF($P2411,INT($B2411),"m"))))/$R2411,0)*$R2411),$P2411))))),"")))</f>
      </c>
      <c r="M2411" s="223">
        <f>IF(OR($C2411="",N($L2411)=0,N($B2411)=0),"",IF(IF(MOD($L2411,1)=0,INT($B2411),$B2411)&lt;=$L2411,"Đúng hạn","Trễ hạn"))</f>
      </c>
      <c r="N2411" s="225">
        <f>IF($C2411="","",ROW())</f>
      </c>
      <c r="O2411" s="225">
        <f>IF($I2411="Công việc",MATCH($C2411,'Kế hoạch'!$A$6:$A$305,0),"")</f>
      </c>
      <c r="P2411" s="234">
        <f>IF($O2411="","",INDEX('Kế hoạch'!$I$6:$I$305,$O2411))</f>
      </c>
      <c r="Q2411" s="225">
        <f>IF($O2411="","",INDEX('Kế hoạch'!$AJ$6:$AJ$305,$O2411))</f>
      </c>
      <c r="R2411" s="225">
        <f>IF($O2411="","",INDEX('Kế hoạch'!$AK$6:$AK$305,$O2411))</f>
      </c>
    </row>
    <row r="2412">
      <c r="A2412" s="223">
        <f>IF($C2412="","",COUNTIF($C$6:$C2412,"?*"))</f>
      </c>
      <c r="B2412" s="217"/>
      <c r="C2412" s="216"/>
      <c r="D2412" s="240"/>
      <c r="E2412" s="218"/>
      <c r="F2412" s="218"/>
      <c r="G2412" s="218"/>
      <c r="H2412" s="219"/>
      <c r="I2412" s="223">
        <f>IF($C2412="","",IF(ISNUMBER(MATCH($C2412,'Phản ánh'!$A$6:$A$505,0)),"Phản ánh",IF(ISNUMBER(MATCH($C2412,'Kế hoạch'!$A$6:$A$305,0)),"Công việc","Mã chưa có")))</f>
      </c>
      <c r="J2412" s="221">
        <f>IF($I2412="Phản ánh",INDEX('Phản ánh'!$C$6:$C$505,MATCH($C2412,'Phản ánh'!$A$6:$A$505,0)),IF($I2412="Công việc",INDEX('Kế hoạch'!$C$6:$C$305,$O2412),""))</f>
      </c>
      <c r="K2412" s="221">
        <f>IF($I2412="Phản ánh",INDEX('Phản ánh'!$K$6:$K$505,MATCH($C2412,'Phản ánh'!$A$6:$A$505,0))&amp;"",IF($I2412="Công việc",INDEX('Kế hoạch'!$N$6:$N$305,$O2412)&amp;"",""))</f>
      </c>
      <c r="L2412" s="220">
        <f>IF(OR($C2412="",N($B2412)=0),"",IF(AND($I2412="Phản ánh",$E2412="Đã xử lý"),INDEX('Phản ánh'!$U$6:$U$505,MATCH($C2412,'Phản ánh'!$A$6:$A$505,0)),IF(AND($I2412="Công việc",OR($E2412="Hoàn thành",$E2412="Hoàn thành kỳ")),IF(INDEX('Kế hoạch'!$B$6:$B$305,$O2412)="Đột xuất",INDEX('Kế hoạch'!$AY$6:$AY$305,$O2412),IF(N($P2412)=0,"",IF(INT($B2412)&lt;$P2412,$P2412,IF($Q2412&gt;0,$P2412+ROUND((INT($B2412)-$P2412)/$Q2412,0)*$Q2412,IF($R2412&gt;0,EDATE($P2412,ROUND((DATEDIF($P2412,INT($B2412),"m")+(INT($B2412)-EDATE($P2412,DATEDIF($P2412,INT($B2412),"m")))/(EDATE($P2412,DATEDIF($P2412,INT($B2412),"m")+1)-EDATE($P2412,DATEDIF($P2412,INT($B2412),"m"))))/$R2412,0)*$R2412),$P2412))))),"")))</f>
      </c>
      <c r="M2412" s="223">
        <f>IF(OR($C2412="",N($L2412)=0,N($B2412)=0),"",IF(IF(MOD($L2412,1)=0,INT($B2412),$B2412)&lt;=$L2412,"Đúng hạn","Trễ hạn"))</f>
      </c>
      <c r="N2412" s="225">
        <f>IF($C2412="","",ROW())</f>
      </c>
      <c r="O2412" s="225">
        <f>IF($I2412="Công việc",MATCH($C2412,'Kế hoạch'!$A$6:$A$305,0),"")</f>
      </c>
      <c r="P2412" s="234">
        <f>IF($O2412="","",INDEX('Kế hoạch'!$I$6:$I$305,$O2412))</f>
      </c>
      <c r="Q2412" s="225">
        <f>IF($O2412="","",INDEX('Kế hoạch'!$AJ$6:$AJ$305,$O2412))</f>
      </c>
      <c r="R2412" s="225">
        <f>IF($O2412="","",INDEX('Kế hoạch'!$AK$6:$AK$305,$O2412))</f>
      </c>
    </row>
    <row r="2413">
      <c r="A2413" s="223">
        <f>IF($C2413="","",COUNTIF($C$6:$C2413,"?*"))</f>
      </c>
      <c r="B2413" s="217"/>
      <c r="C2413" s="216"/>
      <c r="D2413" s="240"/>
      <c r="E2413" s="218"/>
      <c r="F2413" s="218"/>
      <c r="G2413" s="218"/>
      <c r="H2413" s="219"/>
      <c r="I2413" s="223">
        <f>IF($C2413="","",IF(ISNUMBER(MATCH($C2413,'Phản ánh'!$A$6:$A$505,0)),"Phản ánh",IF(ISNUMBER(MATCH($C2413,'Kế hoạch'!$A$6:$A$305,0)),"Công việc","Mã chưa có")))</f>
      </c>
      <c r="J2413" s="221">
        <f>IF($I2413="Phản ánh",INDEX('Phản ánh'!$C$6:$C$505,MATCH($C2413,'Phản ánh'!$A$6:$A$505,0)),IF($I2413="Công việc",INDEX('Kế hoạch'!$C$6:$C$305,$O2413),""))</f>
      </c>
      <c r="K2413" s="221">
        <f>IF($I2413="Phản ánh",INDEX('Phản ánh'!$K$6:$K$505,MATCH($C2413,'Phản ánh'!$A$6:$A$505,0))&amp;"",IF($I2413="Công việc",INDEX('Kế hoạch'!$N$6:$N$305,$O2413)&amp;"",""))</f>
      </c>
      <c r="L2413" s="220">
        <f>IF(OR($C2413="",N($B2413)=0),"",IF(AND($I2413="Phản ánh",$E2413="Đã xử lý"),INDEX('Phản ánh'!$U$6:$U$505,MATCH($C2413,'Phản ánh'!$A$6:$A$505,0)),IF(AND($I2413="Công việc",OR($E2413="Hoàn thành",$E2413="Hoàn thành kỳ")),IF(INDEX('Kế hoạch'!$B$6:$B$305,$O2413)="Đột xuất",INDEX('Kế hoạch'!$AY$6:$AY$305,$O2413),IF(N($P2413)=0,"",IF(INT($B2413)&lt;$P2413,$P2413,IF($Q2413&gt;0,$P2413+ROUND((INT($B2413)-$P2413)/$Q2413,0)*$Q2413,IF($R2413&gt;0,EDATE($P2413,ROUND((DATEDIF($P2413,INT($B2413),"m")+(INT($B2413)-EDATE($P2413,DATEDIF($P2413,INT($B2413),"m")))/(EDATE($P2413,DATEDIF($P2413,INT($B2413),"m")+1)-EDATE($P2413,DATEDIF($P2413,INT($B2413),"m"))))/$R2413,0)*$R2413),$P2413))))),"")))</f>
      </c>
      <c r="M2413" s="223">
        <f>IF(OR($C2413="",N($L2413)=0,N($B2413)=0),"",IF(IF(MOD($L2413,1)=0,INT($B2413),$B2413)&lt;=$L2413,"Đúng hạn","Trễ hạn"))</f>
      </c>
      <c r="N2413" s="225">
        <f>IF($C2413="","",ROW())</f>
      </c>
      <c r="O2413" s="225">
        <f>IF($I2413="Công việc",MATCH($C2413,'Kế hoạch'!$A$6:$A$305,0),"")</f>
      </c>
      <c r="P2413" s="234">
        <f>IF($O2413="","",INDEX('Kế hoạch'!$I$6:$I$305,$O2413))</f>
      </c>
      <c r="Q2413" s="225">
        <f>IF($O2413="","",INDEX('Kế hoạch'!$AJ$6:$AJ$305,$O2413))</f>
      </c>
      <c r="R2413" s="225">
        <f>IF($O2413="","",INDEX('Kế hoạch'!$AK$6:$AK$305,$O2413))</f>
      </c>
    </row>
    <row r="2414">
      <c r="A2414" s="223">
        <f>IF($C2414="","",COUNTIF($C$6:$C2414,"?*"))</f>
      </c>
      <c r="B2414" s="217"/>
      <c r="C2414" s="216"/>
      <c r="D2414" s="240"/>
      <c r="E2414" s="218"/>
      <c r="F2414" s="218"/>
      <c r="G2414" s="218"/>
      <c r="H2414" s="219"/>
      <c r="I2414" s="223">
        <f>IF($C2414="","",IF(ISNUMBER(MATCH($C2414,'Phản ánh'!$A$6:$A$505,0)),"Phản ánh",IF(ISNUMBER(MATCH($C2414,'Kế hoạch'!$A$6:$A$305,0)),"Công việc","Mã chưa có")))</f>
      </c>
      <c r="J2414" s="221">
        <f>IF($I2414="Phản ánh",INDEX('Phản ánh'!$C$6:$C$505,MATCH($C2414,'Phản ánh'!$A$6:$A$505,0)),IF($I2414="Công việc",INDEX('Kế hoạch'!$C$6:$C$305,$O2414),""))</f>
      </c>
      <c r="K2414" s="221">
        <f>IF($I2414="Phản ánh",INDEX('Phản ánh'!$K$6:$K$505,MATCH($C2414,'Phản ánh'!$A$6:$A$505,0))&amp;"",IF($I2414="Công việc",INDEX('Kế hoạch'!$N$6:$N$305,$O2414)&amp;"",""))</f>
      </c>
      <c r="L2414" s="220">
        <f>IF(OR($C2414="",N($B2414)=0),"",IF(AND($I2414="Phản ánh",$E2414="Đã xử lý"),INDEX('Phản ánh'!$U$6:$U$505,MATCH($C2414,'Phản ánh'!$A$6:$A$505,0)),IF(AND($I2414="Công việc",OR($E2414="Hoàn thành",$E2414="Hoàn thành kỳ")),IF(INDEX('Kế hoạch'!$B$6:$B$305,$O2414)="Đột xuất",INDEX('Kế hoạch'!$AY$6:$AY$305,$O2414),IF(N($P2414)=0,"",IF(INT($B2414)&lt;$P2414,$P2414,IF($Q2414&gt;0,$P2414+ROUND((INT($B2414)-$P2414)/$Q2414,0)*$Q2414,IF($R2414&gt;0,EDATE($P2414,ROUND((DATEDIF($P2414,INT($B2414),"m")+(INT($B2414)-EDATE($P2414,DATEDIF($P2414,INT($B2414),"m")))/(EDATE($P2414,DATEDIF($P2414,INT($B2414),"m")+1)-EDATE($P2414,DATEDIF($P2414,INT($B2414),"m"))))/$R2414,0)*$R2414),$P2414))))),"")))</f>
      </c>
      <c r="M2414" s="223">
        <f>IF(OR($C2414="",N($L2414)=0,N($B2414)=0),"",IF(IF(MOD($L2414,1)=0,INT($B2414),$B2414)&lt;=$L2414,"Đúng hạn","Trễ hạn"))</f>
      </c>
      <c r="N2414" s="225">
        <f>IF($C2414="","",ROW())</f>
      </c>
      <c r="O2414" s="225">
        <f>IF($I2414="Công việc",MATCH($C2414,'Kế hoạch'!$A$6:$A$305,0),"")</f>
      </c>
      <c r="P2414" s="234">
        <f>IF($O2414="","",INDEX('Kế hoạch'!$I$6:$I$305,$O2414))</f>
      </c>
      <c r="Q2414" s="225">
        <f>IF($O2414="","",INDEX('Kế hoạch'!$AJ$6:$AJ$305,$O2414))</f>
      </c>
      <c r="R2414" s="225">
        <f>IF($O2414="","",INDEX('Kế hoạch'!$AK$6:$AK$305,$O2414))</f>
      </c>
    </row>
    <row r="2415">
      <c r="A2415" s="223">
        <f>IF($C2415="","",COUNTIF($C$6:$C2415,"?*"))</f>
      </c>
      <c r="B2415" s="217"/>
      <c r="C2415" s="216"/>
      <c r="D2415" s="240"/>
      <c r="E2415" s="218"/>
      <c r="F2415" s="218"/>
      <c r="G2415" s="218"/>
      <c r="H2415" s="219"/>
      <c r="I2415" s="223">
        <f>IF($C2415="","",IF(ISNUMBER(MATCH($C2415,'Phản ánh'!$A$6:$A$505,0)),"Phản ánh",IF(ISNUMBER(MATCH($C2415,'Kế hoạch'!$A$6:$A$305,0)),"Công việc","Mã chưa có")))</f>
      </c>
      <c r="J2415" s="221">
        <f>IF($I2415="Phản ánh",INDEX('Phản ánh'!$C$6:$C$505,MATCH($C2415,'Phản ánh'!$A$6:$A$505,0)),IF($I2415="Công việc",INDEX('Kế hoạch'!$C$6:$C$305,$O2415),""))</f>
      </c>
      <c r="K2415" s="221">
        <f>IF($I2415="Phản ánh",INDEX('Phản ánh'!$K$6:$K$505,MATCH($C2415,'Phản ánh'!$A$6:$A$505,0))&amp;"",IF($I2415="Công việc",INDEX('Kế hoạch'!$N$6:$N$305,$O2415)&amp;"",""))</f>
      </c>
      <c r="L2415" s="220">
        <f>IF(OR($C2415="",N($B2415)=0),"",IF(AND($I2415="Phản ánh",$E2415="Đã xử lý"),INDEX('Phản ánh'!$U$6:$U$505,MATCH($C2415,'Phản ánh'!$A$6:$A$505,0)),IF(AND($I2415="Công việc",OR($E2415="Hoàn thành",$E2415="Hoàn thành kỳ")),IF(INDEX('Kế hoạch'!$B$6:$B$305,$O2415)="Đột xuất",INDEX('Kế hoạch'!$AY$6:$AY$305,$O2415),IF(N($P2415)=0,"",IF(INT($B2415)&lt;$P2415,$P2415,IF($Q2415&gt;0,$P2415+ROUND((INT($B2415)-$P2415)/$Q2415,0)*$Q2415,IF($R2415&gt;0,EDATE($P2415,ROUND((DATEDIF($P2415,INT($B2415),"m")+(INT($B2415)-EDATE($P2415,DATEDIF($P2415,INT($B2415),"m")))/(EDATE($P2415,DATEDIF($P2415,INT($B2415),"m")+1)-EDATE($P2415,DATEDIF($P2415,INT($B2415),"m"))))/$R2415,0)*$R2415),$P2415))))),"")))</f>
      </c>
      <c r="M2415" s="223">
        <f>IF(OR($C2415="",N($L2415)=0,N($B2415)=0),"",IF(IF(MOD($L2415,1)=0,INT($B2415),$B2415)&lt;=$L2415,"Đúng hạn","Trễ hạn"))</f>
      </c>
      <c r="N2415" s="225">
        <f>IF($C2415="","",ROW())</f>
      </c>
      <c r="O2415" s="225">
        <f>IF($I2415="Công việc",MATCH($C2415,'Kế hoạch'!$A$6:$A$305,0),"")</f>
      </c>
      <c r="P2415" s="234">
        <f>IF($O2415="","",INDEX('Kế hoạch'!$I$6:$I$305,$O2415))</f>
      </c>
      <c r="Q2415" s="225">
        <f>IF($O2415="","",INDEX('Kế hoạch'!$AJ$6:$AJ$305,$O2415))</f>
      </c>
      <c r="R2415" s="225">
        <f>IF($O2415="","",INDEX('Kế hoạch'!$AK$6:$AK$305,$O2415))</f>
      </c>
    </row>
    <row r="2416">
      <c r="A2416" s="223">
        <f>IF($C2416="","",COUNTIF($C$6:$C2416,"?*"))</f>
      </c>
      <c r="B2416" s="217"/>
      <c r="C2416" s="216"/>
      <c r="D2416" s="240"/>
      <c r="E2416" s="218"/>
      <c r="F2416" s="218"/>
      <c r="G2416" s="218"/>
      <c r="H2416" s="219"/>
      <c r="I2416" s="223">
        <f>IF($C2416="","",IF(ISNUMBER(MATCH($C2416,'Phản ánh'!$A$6:$A$505,0)),"Phản ánh",IF(ISNUMBER(MATCH($C2416,'Kế hoạch'!$A$6:$A$305,0)),"Công việc","Mã chưa có")))</f>
      </c>
      <c r="J2416" s="221">
        <f>IF($I2416="Phản ánh",INDEX('Phản ánh'!$C$6:$C$505,MATCH($C2416,'Phản ánh'!$A$6:$A$505,0)),IF($I2416="Công việc",INDEX('Kế hoạch'!$C$6:$C$305,$O2416),""))</f>
      </c>
      <c r="K2416" s="221">
        <f>IF($I2416="Phản ánh",INDEX('Phản ánh'!$K$6:$K$505,MATCH($C2416,'Phản ánh'!$A$6:$A$505,0))&amp;"",IF($I2416="Công việc",INDEX('Kế hoạch'!$N$6:$N$305,$O2416)&amp;"",""))</f>
      </c>
      <c r="L2416" s="220">
        <f>IF(OR($C2416="",N($B2416)=0),"",IF(AND($I2416="Phản ánh",$E2416="Đã xử lý"),INDEX('Phản ánh'!$U$6:$U$505,MATCH($C2416,'Phản ánh'!$A$6:$A$505,0)),IF(AND($I2416="Công việc",OR($E2416="Hoàn thành",$E2416="Hoàn thành kỳ")),IF(INDEX('Kế hoạch'!$B$6:$B$305,$O2416)="Đột xuất",INDEX('Kế hoạch'!$AY$6:$AY$305,$O2416),IF(N($P2416)=0,"",IF(INT($B2416)&lt;$P2416,$P2416,IF($Q2416&gt;0,$P2416+ROUND((INT($B2416)-$P2416)/$Q2416,0)*$Q2416,IF($R2416&gt;0,EDATE($P2416,ROUND((DATEDIF($P2416,INT($B2416),"m")+(INT($B2416)-EDATE($P2416,DATEDIF($P2416,INT($B2416),"m")))/(EDATE($P2416,DATEDIF($P2416,INT($B2416),"m")+1)-EDATE($P2416,DATEDIF($P2416,INT($B2416),"m"))))/$R2416,0)*$R2416),$P2416))))),"")))</f>
      </c>
      <c r="M2416" s="223">
        <f>IF(OR($C2416="",N($L2416)=0,N($B2416)=0),"",IF(IF(MOD($L2416,1)=0,INT($B2416),$B2416)&lt;=$L2416,"Đúng hạn","Trễ hạn"))</f>
      </c>
      <c r="N2416" s="225">
        <f>IF($C2416="","",ROW())</f>
      </c>
      <c r="O2416" s="225">
        <f>IF($I2416="Công việc",MATCH($C2416,'Kế hoạch'!$A$6:$A$305,0),"")</f>
      </c>
      <c r="P2416" s="234">
        <f>IF($O2416="","",INDEX('Kế hoạch'!$I$6:$I$305,$O2416))</f>
      </c>
      <c r="Q2416" s="225">
        <f>IF($O2416="","",INDEX('Kế hoạch'!$AJ$6:$AJ$305,$O2416))</f>
      </c>
      <c r="R2416" s="225">
        <f>IF($O2416="","",INDEX('Kế hoạch'!$AK$6:$AK$305,$O2416))</f>
      </c>
    </row>
    <row r="2417">
      <c r="A2417" s="223">
        <f>IF($C2417="","",COUNTIF($C$6:$C2417,"?*"))</f>
      </c>
      <c r="B2417" s="217"/>
      <c r="C2417" s="216"/>
      <c r="D2417" s="240"/>
      <c r="E2417" s="218"/>
      <c r="F2417" s="218"/>
      <c r="G2417" s="218"/>
      <c r="H2417" s="219"/>
      <c r="I2417" s="223">
        <f>IF($C2417="","",IF(ISNUMBER(MATCH($C2417,'Phản ánh'!$A$6:$A$505,0)),"Phản ánh",IF(ISNUMBER(MATCH($C2417,'Kế hoạch'!$A$6:$A$305,0)),"Công việc","Mã chưa có")))</f>
      </c>
      <c r="J2417" s="221">
        <f>IF($I2417="Phản ánh",INDEX('Phản ánh'!$C$6:$C$505,MATCH($C2417,'Phản ánh'!$A$6:$A$505,0)),IF($I2417="Công việc",INDEX('Kế hoạch'!$C$6:$C$305,$O2417),""))</f>
      </c>
      <c r="K2417" s="221">
        <f>IF($I2417="Phản ánh",INDEX('Phản ánh'!$K$6:$K$505,MATCH($C2417,'Phản ánh'!$A$6:$A$505,0))&amp;"",IF($I2417="Công việc",INDEX('Kế hoạch'!$N$6:$N$305,$O2417)&amp;"",""))</f>
      </c>
      <c r="L2417" s="220">
        <f>IF(OR($C2417="",N($B2417)=0),"",IF(AND($I2417="Phản ánh",$E2417="Đã xử lý"),INDEX('Phản ánh'!$U$6:$U$505,MATCH($C2417,'Phản ánh'!$A$6:$A$505,0)),IF(AND($I2417="Công việc",OR($E2417="Hoàn thành",$E2417="Hoàn thành kỳ")),IF(INDEX('Kế hoạch'!$B$6:$B$305,$O2417)="Đột xuất",INDEX('Kế hoạch'!$AY$6:$AY$305,$O2417),IF(N($P2417)=0,"",IF(INT($B2417)&lt;$P2417,$P2417,IF($Q2417&gt;0,$P2417+ROUND((INT($B2417)-$P2417)/$Q2417,0)*$Q2417,IF($R2417&gt;0,EDATE($P2417,ROUND((DATEDIF($P2417,INT($B2417),"m")+(INT($B2417)-EDATE($P2417,DATEDIF($P2417,INT($B2417),"m")))/(EDATE($P2417,DATEDIF($P2417,INT($B2417),"m")+1)-EDATE($P2417,DATEDIF($P2417,INT($B2417),"m"))))/$R2417,0)*$R2417),$P2417))))),"")))</f>
      </c>
      <c r="M2417" s="223">
        <f>IF(OR($C2417="",N($L2417)=0,N($B2417)=0),"",IF(IF(MOD($L2417,1)=0,INT($B2417),$B2417)&lt;=$L2417,"Đúng hạn","Trễ hạn"))</f>
      </c>
      <c r="N2417" s="225">
        <f>IF($C2417="","",ROW())</f>
      </c>
      <c r="O2417" s="225">
        <f>IF($I2417="Công việc",MATCH($C2417,'Kế hoạch'!$A$6:$A$305,0),"")</f>
      </c>
      <c r="P2417" s="234">
        <f>IF($O2417="","",INDEX('Kế hoạch'!$I$6:$I$305,$O2417))</f>
      </c>
      <c r="Q2417" s="225">
        <f>IF($O2417="","",INDEX('Kế hoạch'!$AJ$6:$AJ$305,$O2417))</f>
      </c>
      <c r="R2417" s="225">
        <f>IF($O2417="","",INDEX('Kế hoạch'!$AK$6:$AK$305,$O2417))</f>
      </c>
    </row>
    <row r="2418">
      <c r="A2418" s="223">
        <f>IF($C2418="","",COUNTIF($C$6:$C2418,"?*"))</f>
      </c>
      <c r="B2418" s="217"/>
      <c r="C2418" s="216"/>
      <c r="D2418" s="240"/>
      <c r="E2418" s="218"/>
      <c r="F2418" s="218"/>
      <c r="G2418" s="218"/>
      <c r="H2418" s="219"/>
      <c r="I2418" s="223">
        <f>IF($C2418="","",IF(ISNUMBER(MATCH($C2418,'Phản ánh'!$A$6:$A$505,0)),"Phản ánh",IF(ISNUMBER(MATCH($C2418,'Kế hoạch'!$A$6:$A$305,0)),"Công việc","Mã chưa có")))</f>
      </c>
      <c r="J2418" s="221">
        <f>IF($I2418="Phản ánh",INDEX('Phản ánh'!$C$6:$C$505,MATCH($C2418,'Phản ánh'!$A$6:$A$505,0)),IF($I2418="Công việc",INDEX('Kế hoạch'!$C$6:$C$305,$O2418),""))</f>
      </c>
      <c r="K2418" s="221">
        <f>IF($I2418="Phản ánh",INDEX('Phản ánh'!$K$6:$K$505,MATCH($C2418,'Phản ánh'!$A$6:$A$505,0))&amp;"",IF($I2418="Công việc",INDEX('Kế hoạch'!$N$6:$N$305,$O2418)&amp;"",""))</f>
      </c>
      <c r="L2418" s="220">
        <f>IF(OR($C2418="",N($B2418)=0),"",IF(AND($I2418="Phản ánh",$E2418="Đã xử lý"),INDEX('Phản ánh'!$U$6:$U$505,MATCH($C2418,'Phản ánh'!$A$6:$A$505,0)),IF(AND($I2418="Công việc",OR($E2418="Hoàn thành",$E2418="Hoàn thành kỳ")),IF(INDEX('Kế hoạch'!$B$6:$B$305,$O2418)="Đột xuất",INDEX('Kế hoạch'!$AY$6:$AY$305,$O2418),IF(N($P2418)=0,"",IF(INT($B2418)&lt;$P2418,$P2418,IF($Q2418&gt;0,$P2418+ROUND((INT($B2418)-$P2418)/$Q2418,0)*$Q2418,IF($R2418&gt;0,EDATE($P2418,ROUND((DATEDIF($P2418,INT($B2418),"m")+(INT($B2418)-EDATE($P2418,DATEDIF($P2418,INT($B2418),"m")))/(EDATE($P2418,DATEDIF($P2418,INT($B2418),"m")+1)-EDATE($P2418,DATEDIF($P2418,INT($B2418),"m"))))/$R2418,0)*$R2418),$P2418))))),"")))</f>
      </c>
      <c r="M2418" s="223">
        <f>IF(OR($C2418="",N($L2418)=0,N($B2418)=0),"",IF(IF(MOD($L2418,1)=0,INT($B2418),$B2418)&lt;=$L2418,"Đúng hạn","Trễ hạn"))</f>
      </c>
      <c r="N2418" s="225">
        <f>IF($C2418="","",ROW())</f>
      </c>
      <c r="O2418" s="225">
        <f>IF($I2418="Công việc",MATCH($C2418,'Kế hoạch'!$A$6:$A$305,0),"")</f>
      </c>
      <c r="P2418" s="234">
        <f>IF($O2418="","",INDEX('Kế hoạch'!$I$6:$I$305,$O2418))</f>
      </c>
      <c r="Q2418" s="225">
        <f>IF($O2418="","",INDEX('Kế hoạch'!$AJ$6:$AJ$305,$O2418))</f>
      </c>
      <c r="R2418" s="225">
        <f>IF($O2418="","",INDEX('Kế hoạch'!$AK$6:$AK$305,$O2418))</f>
      </c>
    </row>
    <row r="2419">
      <c r="A2419" s="223">
        <f>IF($C2419="","",COUNTIF($C$6:$C2419,"?*"))</f>
      </c>
      <c r="B2419" s="217"/>
      <c r="C2419" s="216"/>
      <c r="D2419" s="240"/>
      <c r="E2419" s="218"/>
      <c r="F2419" s="218"/>
      <c r="G2419" s="218"/>
      <c r="H2419" s="219"/>
      <c r="I2419" s="223">
        <f>IF($C2419="","",IF(ISNUMBER(MATCH($C2419,'Phản ánh'!$A$6:$A$505,0)),"Phản ánh",IF(ISNUMBER(MATCH($C2419,'Kế hoạch'!$A$6:$A$305,0)),"Công việc","Mã chưa có")))</f>
      </c>
      <c r="J2419" s="221">
        <f>IF($I2419="Phản ánh",INDEX('Phản ánh'!$C$6:$C$505,MATCH($C2419,'Phản ánh'!$A$6:$A$505,0)),IF($I2419="Công việc",INDEX('Kế hoạch'!$C$6:$C$305,$O2419),""))</f>
      </c>
      <c r="K2419" s="221">
        <f>IF($I2419="Phản ánh",INDEX('Phản ánh'!$K$6:$K$505,MATCH($C2419,'Phản ánh'!$A$6:$A$505,0))&amp;"",IF($I2419="Công việc",INDEX('Kế hoạch'!$N$6:$N$305,$O2419)&amp;"",""))</f>
      </c>
      <c r="L2419" s="220">
        <f>IF(OR($C2419="",N($B2419)=0),"",IF(AND($I2419="Phản ánh",$E2419="Đã xử lý"),INDEX('Phản ánh'!$U$6:$U$505,MATCH($C2419,'Phản ánh'!$A$6:$A$505,0)),IF(AND($I2419="Công việc",OR($E2419="Hoàn thành",$E2419="Hoàn thành kỳ")),IF(INDEX('Kế hoạch'!$B$6:$B$305,$O2419)="Đột xuất",INDEX('Kế hoạch'!$AY$6:$AY$305,$O2419),IF(N($P2419)=0,"",IF(INT($B2419)&lt;$P2419,$P2419,IF($Q2419&gt;0,$P2419+ROUND((INT($B2419)-$P2419)/$Q2419,0)*$Q2419,IF($R2419&gt;0,EDATE($P2419,ROUND((DATEDIF($P2419,INT($B2419),"m")+(INT($B2419)-EDATE($P2419,DATEDIF($P2419,INT($B2419),"m")))/(EDATE($P2419,DATEDIF($P2419,INT($B2419),"m")+1)-EDATE($P2419,DATEDIF($P2419,INT($B2419),"m"))))/$R2419,0)*$R2419),$P2419))))),"")))</f>
      </c>
      <c r="M2419" s="223">
        <f>IF(OR($C2419="",N($L2419)=0,N($B2419)=0),"",IF(IF(MOD($L2419,1)=0,INT($B2419),$B2419)&lt;=$L2419,"Đúng hạn","Trễ hạn"))</f>
      </c>
      <c r="N2419" s="225">
        <f>IF($C2419="","",ROW())</f>
      </c>
      <c r="O2419" s="225">
        <f>IF($I2419="Công việc",MATCH($C2419,'Kế hoạch'!$A$6:$A$305,0),"")</f>
      </c>
      <c r="P2419" s="234">
        <f>IF($O2419="","",INDEX('Kế hoạch'!$I$6:$I$305,$O2419))</f>
      </c>
      <c r="Q2419" s="225">
        <f>IF($O2419="","",INDEX('Kế hoạch'!$AJ$6:$AJ$305,$O2419))</f>
      </c>
      <c r="R2419" s="225">
        <f>IF($O2419="","",INDEX('Kế hoạch'!$AK$6:$AK$305,$O2419))</f>
      </c>
    </row>
    <row r="2420">
      <c r="A2420" s="223">
        <f>IF($C2420="","",COUNTIF($C$6:$C2420,"?*"))</f>
      </c>
      <c r="B2420" s="217"/>
      <c r="C2420" s="216"/>
      <c r="D2420" s="240"/>
      <c r="E2420" s="218"/>
      <c r="F2420" s="218"/>
      <c r="G2420" s="218"/>
      <c r="H2420" s="219"/>
      <c r="I2420" s="223">
        <f>IF($C2420="","",IF(ISNUMBER(MATCH($C2420,'Phản ánh'!$A$6:$A$505,0)),"Phản ánh",IF(ISNUMBER(MATCH($C2420,'Kế hoạch'!$A$6:$A$305,0)),"Công việc","Mã chưa có")))</f>
      </c>
      <c r="J2420" s="221">
        <f>IF($I2420="Phản ánh",INDEX('Phản ánh'!$C$6:$C$505,MATCH($C2420,'Phản ánh'!$A$6:$A$505,0)),IF($I2420="Công việc",INDEX('Kế hoạch'!$C$6:$C$305,$O2420),""))</f>
      </c>
      <c r="K2420" s="221">
        <f>IF($I2420="Phản ánh",INDEX('Phản ánh'!$K$6:$K$505,MATCH($C2420,'Phản ánh'!$A$6:$A$505,0))&amp;"",IF($I2420="Công việc",INDEX('Kế hoạch'!$N$6:$N$305,$O2420)&amp;"",""))</f>
      </c>
      <c r="L2420" s="220">
        <f>IF(OR($C2420="",N($B2420)=0),"",IF(AND($I2420="Phản ánh",$E2420="Đã xử lý"),INDEX('Phản ánh'!$U$6:$U$505,MATCH($C2420,'Phản ánh'!$A$6:$A$505,0)),IF(AND($I2420="Công việc",OR($E2420="Hoàn thành",$E2420="Hoàn thành kỳ")),IF(INDEX('Kế hoạch'!$B$6:$B$305,$O2420)="Đột xuất",INDEX('Kế hoạch'!$AY$6:$AY$305,$O2420),IF(N($P2420)=0,"",IF(INT($B2420)&lt;$P2420,$P2420,IF($Q2420&gt;0,$P2420+ROUND((INT($B2420)-$P2420)/$Q2420,0)*$Q2420,IF($R2420&gt;0,EDATE($P2420,ROUND((DATEDIF($P2420,INT($B2420),"m")+(INT($B2420)-EDATE($P2420,DATEDIF($P2420,INT($B2420),"m")))/(EDATE($P2420,DATEDIF($P2420,INT($B2420),"m")+1)-EDATE($P2420,DATEDIF($P2420,INT($B2420),"m"))))/$R2420,0)*$R2420),$P2420))))),"")))</f>
      </c>
      <c r="M2420" s="223">
        <f>IF(OR($C2420="",N($L2420)=0,N($B2420)=0),"",IF(IF(MOD($L2420,1)=0,INT($B2420),$B2420)&lt;=$L2420,"Đúng hạn","Trễ hạn"))</f>
      </c>
      <c r="N2420" s="225">
        <f>IF($C2420="","",ROW())</f>
      </c>
      <c r="O2420" s="225">
        <f>IF($I2420="Công việc",MATCH($C2420,'Kế hoạch'!$A$6:$A$305,0),"")</f>
      </c>
      <c r="P2420" s="234">
        <f>IF($O2420="","",INDEX('Kế hoạch'!$I$6:$I$305,$O2420))</f>
      </c>
      <c r="Q2420" s="225">
        <f>IF($O2420="","",INDEX('Kế hoạch'!$AJ$6:$AJ$305,$O2420))</f>
      </c>
      <c r="R2420" s="225">
        <f>IF($O2420="","",INDEX('Kế hoạch'!$AK$6:$AK$305,$O2420))</f>
      </c>
    </row>
    <row r="2421">
      <c r="A2421" s="223">
        <f>IF($C2421="","",COUNTIF($C$6:$C2421,"?*"))</f>
      </c>
      <c r="B2421" s="217"/>
      <c r="C2421" s="216"/>
      <c r="D2421" s="240"/>
      <c r="E2421" s="218"/>
      <c r="F2421" s="218"/>
      <c r="G2421" s="218"/>
      <c r="H2421" s="219"/>
      <c r="I2421" s="223">
        <f>IF($C2421="","",IF(ISNUMBER(MATCH($C2421,'Phản ánh'!$A$6:$A$505,0)),"Phản ánh",IF(ISNUMBER(MATCH($C2421,'Kế hoạch'!$A$6:$A$305,0)),"Công việc","Mã chưa có")))</f>
      </c>
      <c r="J2421" s="221">
        <f>IF($I2421="Phản ánh",INDEX('Phản ánh'!$C$6:$C$505,MATCH($C2421,'Phản ánh'!$A$6:$A$505,0)),IF($I2421="Công việc",INDEX('Kế hoạch'!$C$6:$C$305,$O2421),""))</f>
      </c>
      <c r="K2421" s="221">
        <f>IF($I2421="Phản ánh",INDEX('Phản ánh'!$K$6:$K$505,MATCH($C2421,'Phản ánh'!$A$6:$A$505,0))&amp;"",IF($I2421="Công việc",INDEX('Kế hoạch'!$N$6:$N$305,$O2421)&amp;"",""))</f>
      </c>
      <c r="L2421" s="220">
        <f>IF(OR($C2421="",N($B2421)=0),"",IF(AND($I2421="Phản ánh",$E2421="Đã xử lý"),INDEX('Phản ánh'!$U$6:$U$505,MATCH($C2421,'Phản ánh'!$A$6:$A$505,0)),IF(AND($I2421="Công việc",OR($E2421="Hoàn thành",$E2421="Hoàn thành kỳ")),IF(INDEX('Kế hoạch'!$B$6:$B$305,$O2421)="Đột xuất",INDEX('Kế hoạch'!$AY$6:$AY$305,$O2421),IF(N($P2421)=0,"",IF(INT($B2421)&lt;$P2421,$P2421,IF($Q2421&gt;0,$P2421+ROUND((INT($B2421)-$P2421)/$Q2421,0)*$Q2421,IF($R2421&gt;0,EDATE($P2421,ROUND((DATEDIF($P2421,INT($B2421),"m")+(INT($B2421)-EDATE($P2421,DATEDIF($P2421,INT($B2421),"m")))/(EDATE($P2421,DATEDIF($P2421,INT($B2421),"m")+1)-EDATE($P2421,DATEDIF($P2421,INT($B2421),"m"))))/$R2421,0)*$R2421),$P2421))))),"")))</f>
      </c>
      <c r="M2421" s="223">
        <f>IF(OR($C2421="",N($L2421)=0,N($B2421)=0),"",IF(IF(MOD($L2421,1)=0,INT($B2421),$B2421)&lt;=$L2421,"Đúng hạn","Trễ hạn"))</f>
      </c>
      <c r="N2421" s="225">
        <f>IF($C2421="","",ROW())</f>
      </c>
      <c r="O2421" s="225">
        <f>IF($I2421="Công việc",MATCH($C2421,'Kế hoạch'!$A$6:$A$305,0),"")</f>
      </c>
      <c r="P2421" s="234">
        <f>IF($O2421="","",INDEX('Kế hoạch'!$I$6:$I$305,$O2421))</f>
      </c>
      <c r="Q2421" s="225">
        <f>IF($O2421="","",INDEX('Kế hoạch'!$AJ$6:$AJ$305,$O2421))</f>
      </c>
      <c r="R2421" s="225">
        <f>IF($O2421="","",INDEX('Kế hoạch'!$AK$6:$AK$305,$O2421))</f>
      </c>
    </row>
    <row r="2422">
      <c r="A2422" s="223">
        <f>IF($C2422="","",COUNTIF($C$6:$C2422,"?*"))</f>
      </c>
      <c r="B2422" s="217"/>
      <c r="C2422" s="216"/>
      <c r="D2422" s="240"/>
      <c r="E2422" s="218"/>
      <c r="F2422" s="218"/>
      <c r="G2422" s="218"/>
      <c r="H2422" s="219"/>
      <c r="I2422" s="223">
        <f>IF($C2422="","",IF(ISNUMBER(MATCH($C2422,'Phản ánh'!$A$6:$A$505,0)),"Phản ánh",IF(ISNUMBER(MATCH($C2422,'Kế hoạch'!$A$6:$A$305,0)),"Công việc","Mã chưa có")))</f>
      </c>
      <c r="J2422" s="221">
        <f>IF($I2422="Phản ánh",INDEX('Phản ánh'!$C$6:$C$505,MATCH($C2422,'Phản ánh'!$A$6:$A$505,0)),IF($I2422="Công việc",INDEX('Kế hoạch'!$C$6:$C$305,$O2422),""))</f>
      </c>
      <c r="K2422" s="221">
        <f>IF($I2422="Phản ánh",INDEX('Phản ánh'!$K$6:$K$505,MATCH($C2422,'Phản ánh'!$A$6:$A$505,0))&amp;"",IF($I2422="Công việc",INDEX('Kế hoạch'!$N$6:$N$305,$O2422)&amp;"",""))</f>
      </c>
      <c r="L2422" s="220">
        <f>IF(OR($C2422="",N($B2422)=0),"",IF(AND($I2422="Phản ánh",$E2422="Đã xử lý"),INDEX('Phản ánh'!$U$6:$U$505,MATCH($C2422,'Phản ánh'!$A$6:$A$505,0)),IF(AND($I2422="Công việc",OR($E2422="Hoàn thành",$E2422="Hoàn thành kỳ")),IF(INDEX('Kế hoạch'!$B$6:$B$305,$O2422)="Đột xuất",INDEX('Kế hoạch'!$AY$6:$AY$305,$O2422),IF(N($P2422)=0,"",IF(INT($B2422)&lt;$P2422,$P2422,IF($Q2422&gt;0,$P2422+ROUND((INT($B2422)-$P2422)/$Q2422,0)*$Q2422,IF($R2422&gt;0,EDATE($P2422,ROUND((DATEDIF($P2422,INT($B2422),"m")+(INT($B2422)-EDATE($P2422,DATEDIF($P2422,INT($B2422),"m")))/(EDATE($P2422,DATEDIF($P2422,INT($B2422),"m")+1)-EDATE($P2422,DATEDIF($P2422,INT($B2422),"m"))))/$R2422,0)*$R2422),$P2422))))),"")))</f>
      </c>
      <c r="M2422" s="223">
        <f>IF(OR($C2422="",N($L2422)=0,N($B2422)=0),"",IF(IF(MOD($L2422,1)=0,INT($B2422),$B2422)&lt;=$L2422,"Đúng hạn","Trễ hạn"))</f>
      </c>
      <c r="N2422" s="225">
        <f>IF($C2422="","",ROW())</f>
      </c>
      <c r="O2422" s="225">
        <f>IF($I2422="Công việc",MATCH($C2422,'Kế hoạch'!$A$6:$A$305,0),"")</f>
      </c>
      <c r="P2422" s="234">
        <f>IF($O2422="","",INDEX('Kế hoạch'!$I$6:$I$305,$O2422))</f>
      </c>
      <c r="Q2422" s="225">
        <f>IF($O2422="","",INDEX('Kế hoạch'!$AJ$6:$AJ$305,$O2422))</f>
      </c>
      <c r="R2422" s="225">
        <f>IF($O2422="","",INDEX('Kế hoạch'!$AK$6:$AK$305,$O2422))</f>
      </c>
    </row>
    <row r="2423">
      <c r="A2423" s="223">
        <f>IF($C2423="","",COUNTIF($C$6:$C2423,"?*"))</f>
      </c>
      <c r="B2423" s="217"/>
      <c r="C2423" s="216"/>
      <c r="D2423" s="240"/>
      <c r="E2423" s="218"/>
      <c r="F2423" s="218"/>
      <c r="G2423" s="218"/>
      <c r="H2423" s="219"/>
      <c r="I2423" s="223">
        <f>IF($C2423="","",IF(ISNUMBER(MATCH($C2423,'Phản ánh'!$A$6:$A$505,0)),"Phản ánh",IF(ISNUMBER(MATCH($C2423,'Kế hoạch'!$A$6:$A$305,0)),"Công việc","Mã chưa có")))</f>
      </c>
      <c r="J2423" s="221">
        <f>IF($I2423="Phản ánh",INDEX('Phản ánh'!$C$6:$C$505,MATCH($C2423,'Phản ánh'!$A$6:$A$505,0)),IF($I2423="Công việc",INDEX('Kế hoạch'!$C$6:$C$305,$O2423),""))</f>
      </c>
      <c r="K2423" s="221">
        <f>IF($I2423="Phản ánh",INDEX('Phản ánh'!$K$6:$K$505,MATCH($C2423,'Phản ánh'!$A$6:$A$505,0))&amp;"",IF($I2423="Công việc",INDEX('Kế hoạch'!$N$6:$N$305,$O2423)&amp;"",""))</f>
      </c>
      <c r="L2423" s="220">
        <f>IF(OR($C2423="",N($B2423)=0),"",IF(AND($I2423="Phản ánh",$E2423="Đã xử lý"),INDEX('Phản ánh'!$U$6:$U$505,MATCH($C2423,'Phản ánh'!$A$6:$A$505,0)),IF(AND($I2423="Công việc",OR($E2423="Hoàn thành",$E2423="Hoàn thành kỳ")),IF(INDEX('Kế hoạch'!$B$6:$B$305,$O2423)="Đột xuất",INDEX('Kế hoạch'!$AY$6:$AY$305,$O2423),IF(N($P2423)=0,"",IF(INT($B2423)&lt;$P2423,$P2423,IF($Q2423&gt;0,$P2423+ROUND((INT($B2423)-$P2423)/$Q2423,0)*$Q2423,IF($R2423&gt;0,EDATE($P2423,ROUND((DATEDIF($P2423,INT($B2423),"m")+(INT($B2423)-EDATE($P2423,DATEDIF($P2423,INT($B2423),"m")))/(EDATE($P2423,DATEDIF($P2423,INT($B2423),"m")+1)-EDATE($P2423,DATEDIF($P2423,INT($B2423),"m"))))/$R2423,0)*$R2423),$P2423))))),"")))</f>
      </c>
      <c r="M2423" s="223">
        <f>IF(OR($C2423="",N($L2423)=0,N($B2423)=0),"",IF(IF(MOD($L2423,1)=0,INT($B2423),$B2423)&lt;=$L2423,"Đúng hạn","Trễ hạn"))</f>
      </c>
      <c r="N2423" s="225">
        <f>IF($C2423="","",ROW())</f>
      </c>
      <c r="O2423" s="225">
        <f>IF($I2423="Công việc",MATCH($C2423,'Kế hoạch'!$A$6:$A$305,0),"")</f>
      </c>
      <c r="P2423" s="234">
        <f>IF($O2423="","",INDEX('Kế hoạch'!$I$6:$I$305,$O2423))</f>
      </c>
      <c r="Q2423" s="225">
        <f>IF($O2423="","",INDEX('Kế hoạch'!$AJ$6:$AJ$305,$O2423))</f>
      </c>
      <c r="R2423" s="225">
        <f>IF($O2423="","",INDEX('Kế hoạch'!$AK$6:$AK$305,$O2423))</f>
      </c>
    </row>
    <row r="2424">
      <c r="A2424" s="223">
        <f>IF($C2424="","",COUNTIF($C$6:$C2424,"?*"))</f>
      </c>
      <c r="B2424" s="217"/>
      <c r="C2424" s="216"/>
      <c r="D2424" s="240"/>
      <c r="E2424" s="218"/>
      <c r="F2424" s="218"/>
      <c r="G2424" s="218"/>
      <c r="H2424" s="219"/>
      <c r="I2424" s="223">
        <f>IF($C2424="","",IF(ISNUMBER(MATCH($C2424,'Phản ánh'!$A$6:$A$505,0)),"Phản ánh",IF(ISNUMBER(MATCH($C2424,'Kế hoạch'!$A$6:$A$305,0)),"Công việc","Mã chưa có")))</f>
      </c>
      <c r="J2424" s="221">
        <f>IF($I2424="Phản ánh",INDEX('Phản ánh'!$C$6:$C$505,MATCH($C2424,'Phản ánh'!$A$6:$A$505,0)),IF($I2424="Công việc",INDEX('Kế hoạch'!$C$6:$C$305,$O2424),""))</f>
      </c>
      <c r="K2424" s="221">
        <f>IF($I2424="Phản ánh",INDEX('Phản ánh'!$K$6:$K$505,MATCH($C2424,'Phản ánh'!$A$6:$A$505,0))&amp;"",IF($I2424="Công việc",INDEX('Kế hoạch'!$N$6:$N$305,$O2424)&amp;"",""))</f>
      </c>
      <c r="L2424" s="220">
        <f>IF(OR($C2424="",N($B2424)=0),"",IF(AND($I2424="Phản ánh",$E2424="Đã xử lý"),INDEX('Phản ánh'!$U$6:$U$505,MATCH($C2424,'Phản ánh'!$A$6:$A$505,0)),IF(AND($I2424="Công việc",OR($E2424="Hoàn thành",$E2424="Hoàn thành kỳ")),IF(INDEX('Kế hoạch'!$B$6:$B$305,$O2424)="Đột xuất",INDEX('Kế hoạch'!$AY$6:$AY$305,$O2424),IF(N($P2424)=0,"",IF(INT($B2424)&lt;$P2424,$P2424,IF($Q2424&gt;0,$P2424+ROUND((INT($B2424)-$P2424)/$Q2424,0)*$Q2424,IF($R2424&gt;0,EDATE($P2424,ROUND((DATEDIF($P2424,INT($B2424),"m")+(INT($B2424)-EDATE($P2424,DATEDIF($P2424,INT($B2424),"m")))/(EDATE($P2424,DATEDIF($P2424,INT($B2424),"m")+1)-EDATE($P2424,DATEDIF($P2424,INT($B2424),"m"))))/$R2424,0)*$R2424),$P2424))))),"")))</f>
      </c>
      <c r="M2424" s="223">
        <f>IF(OR($C2424="",N($L2424)=0,N($B2424)=0),"",IF(IF(MOD($L2424,1)=0,INT($B2424),$B2424)&lt;=$L2424,"Đúng hạn","Trễ hạn"))</f>
      </c>
      <c r="N2424" s="225">
        <f>IF($C2424="","",ROW())</f>
      </c>
      <c r="O2424" s="225">
        <f>IF($I2424="Công việc",MATCH($C2424,'Kế hoạch'!$A$6:$A$305,0),"")</f>
      </c>
      <c r="P2424" s="234">
        <f>IF($O2424="","",INDEX('Kế hoạch'!$I$6:$I$305,$O2424))</f>
      </c>
      <c r="Q2424" s="225">
        <f>IF($O2424="","",INDEX('Kế hoạch'!$AJ$6:$AJ$305,$O2424))</f>
      </c>
      <c r="R2424" s="225">
        <f>IF($O2424="","",INDEX('Kế hoạch'!$AK$6:$AK$305,$O2424))</f>
      </c>
    </row>
    <row r="2425">
      <c r="A2425" s="223">
        <f>IF($C2425="","",COUNTIF($C$6:$C2425,"?*"))</f>
      </c>
      <c r="B2425" s="217"/>
      <c r="C2425" s="216"/>
      <c r="D2425" s="240"/>
      <c r="E2425" s="218"/>
      <c r="F2425" s="218"/>
      <c r="G2425" s="218"/>
      <c r="H2425" s="219"/>
      <c r="I2425" s="223">
        <f>IF($C2425="","",IF(ISNUMBER(MATCH($C2425,'Phản ánh'!$A$6:$A$505,0)),"Phản ánh",IF(ISNUMBER(MATCH($C2425,'Kế hoạch'!$A$6:$A$305,0)),"Công việc","Mã chưa có")))</f>
      </c>
      <c r="J2425" s="221">
        <f>IF($I2425="Phản ánh",INDEX('Phản ánh'!$C$6:$C$505,MATCH($C2425,'Phản ánh'!$A$6:$A$505,0)),IF($I2425="Công việc",INDEX('Kế hoạch'!$C$6:$C$305,$O2425),""))</f>
      </c>
      <c r="K2425" s="221">
        <f>IF($I2425="Phản ánh",INDEX('Phản ánh'!$K$6:$K$505,MATCH($C2425,'Phản ánh'!$A$6:$A$505,0))&amp;"",IF($I2425="Công việc",INDEX('Kế hoạch'!$N$6:$N$305,$O2425)&amp;"",""))</f>
      </c>
      <c r="L2425" s="220">
        <f>IF(OR($C2425="",N($B2425)=0),"",IF(AND($I2425="Phản ánh",$E2425="Đã xử lý"),INDEX('Phản ánh'!$U$6:$U$505,MATCH($C2425,'Phản ánh'!$A$6:$A$505,0)),IF(AND($I2425="Công việc",OR($E2425="Hoàn thành",$E2425="Hoàn thành kỳ")),IF(INDEX('Kế hoạch'!$B$6:$B$305,$O2425)="Đột xuất",INDEX('Kế hoạch'!$AY$6:$AY$305,$O2425),IF(N($P2425)=0,"",IF(INT($B2425)&lt;$P2425,$P2425,IF($Q2425&gt;0,$P2425+ROUND((INT($B2425)-$P2425)/$Q2425,0)*$Q2425,IF($R2425&gt;0,EDATE($P2425,ROUND((DATEDIF($P2425,INT($B2425),"m")+(INT($B2425)-EDATE($P2425,DATEDIF($P2425,INT($B2425),"m")))/(EDATE($P2425,DATEDIF($P2425,INT($B2425),"m")+1)-EDATE($P2425,DATEDIF($P2425,INT($B2425),"m"))))/$R2425,0)*$R2425),$P2425))))),"")))</f>
      </c>
      <c r="M2425" s="223">
        <f>IF(OR($C2425="",N($L2425)=0,N($B2425)=0),"",IF(IF(MOD($L2425,1)=0,INT($B2425),$B2425)&lt;=$L2425,"Đúng hạn","Trễ hạn"))</f>
      </c>
      <c r="N2425" s="225">
        <f>IF($C2425="","",ROW())</f>
      </c>
      <c r="O2425" s="225">
        <f>IF($I2425="Công việc",MATCH($C2425,'Kế hoạch'!$A$6:$A$305,0),"")</f>
      </c>
      <c r="P2425" s="234">
        <f>IF($O2425="","",INDEX('Kế hoạch'!$I$6:$I$305,$O2425))</f>
      </c>
      <c r="Q2425" s="225">
        <f>IF($O2425="","",INDEX('Kế hoạch'!$AJ$6:$AJ$305,$O2425))</f>
      </c>
      <c r="R2425" s="225">
        <f>IF($O2425="","",INDEX('Kế hoạch'!$AK$6:$AK$305,$O2425))</f>
      </c>
    </row>
    <row r="2426">
      <c r="A2426" s="223">
        <f>IF($C2426="","",COUNTIF($C$6:$C2426,"?*"))</f>
      </c>
      <c r="B2426" s="217"/>
      <c r="C2426" s="216"/>
      <c r="D2426" s="240"/>
      <c r="E2426" s="218"/>
      <c r="F2426" s="218"/>
      <c r="G2426" s="218"/>
      <c r="H2426" s="219"/>
      <c r="I2426" s="223">
        <f>IF($C2426="","",IF(ISNUMBER(MATCH($C2426,'Phản ánh'!$A$6:$A$505,0)),"Phản ánh",IF(ISNUMBER(MATCH($C2426,'Kế hoạch'!$A$6:$A$305,0)),"Công việc","Mã chưa có")))</f>
      </c>
      <c r="J2426" s="221">
        <f>IF($I2426="Phản ánh",INDEX('Phản ánh'!$C$6:$C$505,MATCH($C2426,'Phản ánh'!$A$6:$A$505,0)),IF($I2426="Công việc",INDEX('Kế hoạch'!$C$6:$C$305,$O2426),""))</f>
      </c>
      <c r="K2426" s="221">
        <f>IF($I2426="Phản ánh",INDEX('Phản ánh'!$K$6:$K$505,MATCH($C2426,'Phản ánh'!$A$6:$A$505,0))&amp;"",IF($I2426="Công việc",INDEX('Kế hoạch'!$N$6:$N$305,$O2426)&amp;"",""))</f>
      </c>
      <c r="L2426" s="220">
        <f>IF(OR($C2426="",N($B2426)=0),"",IF(AND($I2426="Phản ánh",$E2426="Đã xử lý"),INDEX('Phản ánh'!$U$6:$U$505,MATCH($C2426,'Phản ánh'!$A$6:$A$505,0)),IF(AND($I2426="Công việc",OR($E2426="Hoàn thành",$E2426="Hoàn thành kỳ")),IF(INDEX('Kế hoạch'!$B$6:$B$305,$O2426)="Đột xuất",INDEX('Kế hoạch'!$AY$6:$AY$305,$O2426),IF(N($P2426)=0,"",IF(INT($B2426)&lt;$P2426,$P2426,IF($Q2426&gt;0,$P2426+ROUND((INT($B2426)-$P2426)/$Q2426,0)*$Q2426,IF($R2426&gt;0,EDATE($P2426,ROUND((DATEDIF($P2426,INT($B2426),"m")+(INT($B2426)-EDATE($P2426,DATEDIF($P2426,INT($B2426),"m")))/(EDATE($P2426,DATEDIF($P2426,INT($B2426),"m")+1)-EDATE($P2426,DATEDIF($P2426,INT($B2426),"m"))))/$R2426,0)*$R2426),$P2426))))),"")))</f>
      </c>
      <c r="M2426" s="223">
        <f>IF(OR($C2426="",N($L2426)=0,N($B2426)=0),"",IF(IF(MOD($L2426,1)=0,INT($B2426),$B2426)&lt;=$L2426,"Đúng hạn","Trễ hạn"))</f>
      </c>
      <c r="N2426" s="225">
        <f>IF($C2426="","",ROW())</f>
      </c>
      <c r="O2426" s="225">
        <f>IF($I2426="Công việc",MATCH($C2426,'Kế hoạch'!$A$6:$A$305,0),"")</f>
      </c>
      <c r="P2426" s="234">
        <f>IF($O2426="","",INDEX('Kế hoạch'!$I$6:$I$305,$O2426))</f>
      </c>
      <c r="Q2426" s="225">
        <f>IF($O2426="","",INDEX('Kế hoạch'!$AJ$6:$AJ$305,$O2426))</f>
      </c>
      <c r="R2426" s="225">
        <f>IF($O2426="","",INDEX('Kế hoạch'!$AK$6:$AK$305,$O2426))</f>
      </c>
    </row>
    <row r="2427">
      <c r="A2427" s="223">
        <f>IF($C2427="","",COUNTIF($C$6:$C2427,"?*"))</f>
      </c>
      <c r="B2427" s="217"/>
      <c r="C2427" s="216"/>
      <c r="D2427" s="240"/>
      <c r="E2427" s="218"/>
      <c r="F2427" s="218"/>
      <c r="G2427" s="218"/>
      <c r="H2427" s="219"/>
      <c r="I2427" s="223">
        <f>IF($C2427="","",IF(ISNUMBER(MATCH($C2427,'Phản ánh'!$A$6:$A$505,0)),"Phản ánh",IF(ISNUMBER(MATCH($C2427,'Kế hoạch'!$A$6:$A$305,0)),"Công việc","Mã chưa có")))</f>
      </c>
      <c r="J2427" s="221">
        <f>IF($I2427="Phản ánh",INDEX('Phản ánh'!$C$6:$C$505,MATCH($C2427,'Phản ánh'!$A$6:$A$505,0)),IF($I2427="Công việc",INDEX('Kế hoạch'!$C$6:$C$305,$O2427),""))</f>
      </c>
      <c r="K2427" s="221">
        <f>IF($I2427="Phản ánh",INDEX('Phản ánh'!$K$6:$K$505,MATCH($C2427,'Phản ánh'!$A$6:$A$505,0))&amp;"",IF($I2427="Công việc",INDEX('Kế hoạch'!$N$6:$N$305,$O2427)&amp;"",""))</f>
      </c>
      <c r="L2427" s="220">
        <f>IF(OR($C2427="",N($B2427)=0),"",IF(AND($I2427="Phản ánh",$E2427="Đã xử lý"),INDEX('Phản ánh'!$U$6:$U$505,MATCH($C2427,'Phản ánh'!$A$6:$A$505,0)),IF(AND($I2427="Công việc",OR($E2427="Hoàn thành",$E2427="Hoàn thành kỳ")),IF(INDEX('Kế hoạch'!$B$6:$B$305,$O2427)="Đột xuất",INDEX('Kế hoạch'!$AY$6:$AY$305,$O2427),IF(N($P2427)=0,"",IF(INT($B2427)&lt;$P2427,$P2427,IF($Q2427&gt;0,$P2427+ROUND((INT($B2427)-$P2427)/$Q2427,0)*$Q2427,IF($R2427&gt;0,EDATE($P2427,ROUND((DATEDIF($P2427,INT($B2427),"m")+(INT($B2427)-EDATE($P2427,DATEDIF($P2427,INT($B2427),"m")))/(EDATE($P2427,DATEDIF($P2427,INT($B2427),"m")+1)-EDATE($P2427,DATEDIF($P2427,INT($B2427),"m"))))/$R2427,0)*$R2427),$P2427))))),"")))</f>
      </c>
      <c r="M2427" s="223">
        <f>IF(OR($C2427="",N($L2427)=0,N($B2427)=0),"",IF(IF(MOD($L2427,1)=0,INT($B2427),$B2427)&lt;=$L2427,"Đúng hạn","Trễ hạn"))</f>
      </c>
      <c r="N2427" s="225">
        <f>IF($C2427="","",ROW())</f>
      </c>
      <c r="O2427" s="225">
        <f>IF($I2427="Công việc",MATCH($C2427,'Kế hoạch'!$A$6:$A$305,0),"")</f>
      </c>
      <c r="P2427" s="234">
        <f>IF($O2427="","",INDEX('Kế hoạch'!$I$6:$I$305,$O2427))</f>
      </c>
      <c r="Q2427" s="225">
        <f>IF($O2427="","",INDEX('Kế hoạch'!$AJ$6:$AJ$305,$O2427))</f>
      </c>
      <c r="R2427" s="225">
        <f>IF($O2427="","",INDEX('Kế hoạch'!$AK$6:$AK$305,$O2427))</f>
      </c>
    </row>
    <row r="2428">
      <c r="A2428" s="223">
        <f>IF($C2428="","",COUNTIF($C$6:$C2428,"?*"))</f>
      </c>
      <c r="B2428" s="217"/>
      <c r="C2428" s="216"/>
      <c r="D2428" s="240"/>
      <c r="E2428" s="218"/>
      <c r="F2428" s="218"/>
      <c r="G2428" s="218"/>
      <c r="H2428" s="219"/>
      <c r="I2428" s="223">
        <f>IF($C2428="","",IF(ISNUMBER(MATCH($C2428,'Phản ánh'!$A$6:$A$505,0)),"Phản ánh",IF(ISNUMBER(MATCH($C2428,'Kế hoạch'!$A$6:$A$305,0)),"Công việc","Mã chưa có")))</f>
      </c>
      <c r="J2428" s="221">
        <f>IF($I2428="Phản ánh",INDEX('Phản ánh'!$C$6:$C$505,MATCH($C2428,'Phản ánh'!$A$6:$A$505,0)),IF($I2428="Công việc",INDEX('Kế hoạch'!$C$6:$C$305,$O2428),""))</f>
      </c>
      <c r="K2428" s="221">
        <f>IF($I2428="Phản ánh",INDEX('Phản ánh'!$K$6:$K$505,MATCH($C2428,'Phản ánh'!$A$6:$A$505,0))&amp;"",IF($I2428="Công việc",INDEX('Kế hoạch'!$N$6:$N$305,$O2428)&amp;"",""))</f>
      </c>
      <c r="L2428" s="220">
        <f>IF(OR($C2428="",N($B2428)=0),"",IF(AND($I2428="Phản ánh",$E2428="Đã xử lý"),INDEX('Phản ánh'!$U$6:$U$505,MATCH($C2428,'Phản ánh'!$A$6:$A$505,0)),IF(AND($I2428="Công việc",OR($E2428="Hoàn thành",$E2428="Hoàn thành kỳ")),IF(INDEX('Kế hoạch'!$B$6:$B$305,$O2428)="Đột xuất",INDEX('Kế hoạch'!$AY$6:$AY$305,$O2428),IF(N($P2428)=0,"",IF(INT($B2428)&lt;$P2428,$P2428,IF($Q2428&gt;0,$P2428+ROUND((INT($B2428)-$P2428)/$Q2428,0)*$Q2428,IF($R2428&gt;0,EDATE($P2428,ROUND((DATEDIF($P2428,INT($B2428),"m")+(INT($B2428)-EDATE($P2428,DATEDIF($P2428,INT($B2428),"m")))/(EDATE($P2428,DATEDIF($P2428,INT($B2428),"m")+1)-EDATE($P2428,DATEDIF($P2428,INT($B2428),"m"))))/$R2428,0)*$R2428),$P2428))))),"")))</f>
      </c>
      <c r="M2428" s="223">
        <f>IF(OR($C2428="",N($L2428)=0,N($B2428)=0),"",IF(IF(MOD($L2428,1)=0,INT($B2428),$B2428)&lt;=$L2428,"Đúng hạn","Trễ hạn"))</f>
      </c>
      <c r="N2428" s="225">
        <f>IF($C2428="","",ROW())</f>
      </c>
      <c r="O2428" s="225">
        <f>IF($I2428="Công việc",MATCH($C2428,'Kế hoạch'!$A$6:$A$305,0),"")</f>
      </c>
      <c r="P2428" s="234">
        <f>IF($O2428="","",INDEX('Kế hoạch'!$I$6:$I$305,$O2428))</f>
      </c>
      <c r="Q2428" s="225">
        <f>IF($O2428="","",INDEX('Kế hoạch'!$AJ$6:$AJ$305,$O2428))</f>
      </c>
      <c r="R2428" s="225">
        <f>IF($O2428="","",INDEX('Kế hoạch'!$AK$6:$AK$305,$O2428))</f>
      </c>
    </row>
    <row r="2429">
      <c r="A2429" s="223">
        <f>IF($C2429="","",COUNTIF($C$6:$C2429,"?*"))</f>
      </c>
      <c r="B2429" s="217"/>
      <c r="C2429" s="216"/>
      <c r="D2429" s="240"/>
      <c r="E2429" s="218"/>
      <c r="F2429" s="218"/>
      <c r="G2429" s="218"/>
      <c r="H2429" s="219"/>
      <c r="I2429" s="223">
        <f>IF($C2429="","",IF(ISNUMBER(MATCH($C2429,'Phản ánh'!$A$6:$A$505,0)),"Phản ánh",IF(ISNUMBER(MATCH($C2429,'Kế hoạch'!$A$6:$A$305,0)),"Công việc","Mã chưa có")))</f>
      </c>
      <c r="J2429" s="221">
        <f>IF($I2429="Phản ánh",INDEX('Phản ánh'!$C$6:$C$505,MATCH($C2429,'Phản ánh'!$A$6:$A$505,0)),IF($I2429="Công việc",INDEX('Kế hoạch'!$C$6:$C$305,$O2429),""))</f>
      </c>
      <c r="K2429" s="221">
        <f>IF($I2429="Phản ánh",INDEX('Phản ánh'!$K$6:$K$505,MATCH($C2429,'Phản ánh'!$A$6:$A$505,0))&amp;"",IF($I2429="Công việc",INDEX('Kế hoạch'!$N$6:$N$305,$O2429)&amp;"",""))</f>
      </c>
      <c r="L2429" s="220">
        <f>IF(OR($C2429="",N($B2429)=0),"",IF(AND($I2429="Phản ánh",$E2429="Đã xử lý"),INDEX('Phản ánh'!$U$6:$U$505,MATCH($C2429,'Phản ánh'!$A$6:$A$505,0)),IF(AND($I2429="Công việc",OR($E2429="Hoàn thành",$E2429="Hoàn thành kỳ")),IF(INDEX('Kế hoạch'!$B$6:$B$305,$O2429)="Đột xuất",INDEX('Kế hoạch'!$AY$6:$AY$305,$O2429),IF(N($P2429)=0,"",IF(INT($B2429)&lt;$P2429,$P2429,IF($Q2429&gt;0,$P2429+ROUND((INT($B2429)-$P2429)/$Q2429,0)*$Q2429,IF($R2429&gt;0,EDATE($P2429,ROUND((DATEDIF($P2429,INT($B2429),"m")+(INT($B2429)-EDATE($P2429,DATEDIF($P2429,INT($B2429),"m")))/(EDATE($P2429,DATEDIF($P2429,INT($B2429),"m")+1)-EDATE($P2429,DATEDIF($P2429,INT($B2429),"m"))))/$R2429,0)*$R2429),$P2429))))),"")))</f>
      </c>
      <c r="M2429" s="223">
        <f>IF(OR($C2429="",N($L2429)=0,N($B2429)=0),"",IF(IF(MOD($L2429,1)=0,INT($B2429),$B2429)&lt;=$L2429,"Đúng hạn","Trễ hạn"))</f>
      </c>
      <c r="N2429" s="225">
        <f>IF($C2429="","",ROW())</f>
      </c>
      <c r="O2429" s="225">
        <f>IF($I2429="Công việc",MATCH($C2429,'Kế hoạch'!$A$6:$A$305,0),"")</f>
      </c>
      <c r="P2429" s="234">
        <f>IF($O2429="","",INDEX('Kế hoạch'!$I$6:$I$305,$O2429))</f>
      </c>
      <c r="Q2429" s="225">
        <f>IF($O2429="","",INDEX('Kế hoạch'!$AJ$6:$AJ$305,$O2429))</f>
      </c>
      <c r="R2429" s="225">
        <f>IF($O2429="","",INDEX('Kế hoạch'!$AK$6:$AK$305,$O2429))</f>
      </c>
    </row>
    <row r="2430">
      <c r="A2430" s="223">
        <f>IF($C2430="","",COUNTIF($C$6:$C2430,"?*"))</f>
      </c>
      <c r="B2430" s="217"/>
      <c r="C2430" s="216"/>
      <c r="D2430" s="240"/>
      <c r="E2430" s="218"/>
      <c r="F2430" s="218"/>
      <c r="G2430" s="218"/>
      <c r="H2430" s="219"/>
      <c r="I2430" s="223">
        <f>IF($C2430="","",IF(ISNUMBER(MATCH($C2430,'Phản ánh'!$A$6:$A$505,0)),"Phản ánh",IF(ISNUMBER(MATCH($C2430,'Kế hoạch'!$A$6:$A$305,0)),"Công việc","Mã chưa có")))</f>
      </c>
      <c r="J2430" s="221">
        <f>IF($I2430="Phản ánh",INDEX('Phản ánh'!$C$6:$C$505,MATCH($C2430,'Phản ánh'!$A$6:$A$505,0)),IF($I2430="Công việc",INDEX('Kế hoạch'!$C$6:$C$305,$O2430),""))</f>
      </c>
      <c r="K2430" s="221">
        <f>IF($I2430="Phản ánh",INDEX('Phản ánh'!$K$6:$K$505,MATCH($C2430,'Phản ánh'!$A$6:$A$505,0))&amp;"",IF($I2430="Công việc",INDEX('Kế hoạch'!$N$6:$N$305,$O2430)&amp;"",""))</f>
      </c>
      <c r="L2430" s="220">
        <f>IF(OR($C2430="",N($B2430)=0),"",IF(AND($I2430="Phản ánh",$E2430="Đã xử lý"),INDEX('Phản ánh'!$U$6:$U$505,MATCH($C2430,'Phản ánh'!$A$6:$A$505,0)),IF(AND($I2430="Công việc",OR($E2430="Hoàn thành",$E2430="Hoàn thành kỳ")),IF(INDEX('Kế hoạch'!$B$6:$B$305,$O2430)="Đột xuất",INDEX('Kế hoạch'!$AY$6:$AY$305,$O2430),IF(N($P2430)=0,"",IF(INT($B2430)&lt;$P2430,$P2430,IF($Q2430&gt;0,$P2430+ROUND((INT($B2430)-$P2430)/$Q2430,0)*$Q2430,IF($R2430&gt;0,EDATE($P2430,ROUND((DATEDIF($P2430,INT($B2430),"m")+(INT($B2430)-EDATE($P2430,DATEDIF($P2430,INT($B2430),"m")))/(EDATE($P2430,DATEDIF($P2430,INT($B2430),"m")+1)-EDATE($P2430,DATEDIF($P2430,INT($B2430),"m"))))/$R2430,0)*$R2430),$P2430))))),"")))</f>
      </c>
      <c r="M2430" s="223">
        <f>IF(OR($C2430="",N($L2430)=0,N($B2430)=0),"",IF(IF(MOD($L2430,1)=0,INT($B2430),$B2430)&lt;=$L2430,"Đúng hạn","Trễ hạn"))</f>
      </c>
      <c r="N2430" s="225">
        <f>IF($C2430="","",ROW())</f>
      </c>
      <c r="O2430" s="225">
        <f>IF($I2430="Công việc",MATCH($C2430,'Kế hoạch'!$A$6:$A$305,0),"")</f>
      </c>
      <c r="P2430" s="234">
        <f>IF($O2430="","",INDEX('Kế hoạch'!$I$6:$I$305,$O2430))</f>
      </c>
      <c r="Q2430" s="225">
        <f>IF($O2430="","",INDEX('Kế hoạch'!$AJ$6:$AJ$305,$O2430))</f>
      </c>
      <c r="R2430" s="225">
        <f>IF($O2430="","",INDEX('Kế hoạch'!$AK$6:$AK$305,$O2430))</f>
      </c>
    </row>
    <row r="2431">
      <c r="A2431" s="223">
        <f>IF($C2431="","",COUNTIF($C$6:$C2431,"?*"))</f>
      </c>
      <c r="B2431" s="217"/>
      <c r="C2431" s="216"/>
      <c r="D2431" s="240"/>
      <c r="E2431" s="218"/>
      <c r="F2431" s="218"/>
      <c r="G2431" s="218"/>
      <c r="H2431" s="219"/>
      <c r="I2431" s="223">
        <f>IF($C2431="","",IF(ISNUMBER(MATCH($C2431,'Phản ánh'!$A$6:$A$505,0)),"Phản ánh",IF(ISNUMBER(MATCH($C2431,'Kế hoạch'!$A$6:$A$305,0)),"Công việc","Mã chưa có")))</f>
      </c>
      <c r="J2431" s="221">
        <f>IF($I2431="Phản ánh",INDEX('Phản ánh'!$C$6:$C$505,MATCH($C2431,'Phản ánh'!$A$6:$A$505,0)),IF($I2431="Công việc",INDEX('Kế hoạch'!$C$6:$C$305,$O2431),""))</f>
      </c>
      <c r="K2431" s="221">
        <f>IF($I2431="Phản ánh",INDEX('Phản ánh'!$K$6:$K$505,MATCH($C2431,'Phản ánh'!$A$6:$A$505,0))&amp;"",IF($I2431="Công việc",INDEX('Kế hoạch'!$N$6:$N$305,$O2431)&amp;"",""))</f>
      </c>
      <c r="L2431" s="220">
        <f>IF(OR($C2431="",N($B2431)=0),"",IF(AND($I2431="Phản ánh",$E2431="Đã xử lý"),INDEX('Phản ánh'!$U$6:$U$505,MATCH($C2431,'Phản ánh'!$A$6:$A$505,0)),IF(AND($I2431="Công việc",OR($E2431="Hoàn thành",$E2431="Hoàn thành kỳ")),IF(INDEX('Kế hoạch'!$B$6:$B$305,$O2431)="Đột xuất",INDEX('Kế hoạch'!$AY$6:$AY$305,$O2431),IF(N($P2431)=0,"",IF(INT($B2431)&lt;$P2431,$P2431,IF($Q2431&gt;0,$P2431+ROUND((INT($B2431)-$P2431)/$Q2431,0)*$Q2431,IF($R2431&gt;0,EDATE($P2431,ROUND((DATEDIF($P2431,INT($B2431),"m")+(INT($B2431)-EDATE($P2431,DATEDIF($P2431,INT($B2431),"m")))/(EDATE($P2431,DATEDIF($P2431,INT($B2431),"m")+1)-EDATE($P2431,DATEDIF($P2431,INT($B2431),"m"))))/$R2431,0)*$R2431),$P2431))))),"")))</f>
      </c>
      <c r="M2431" s="223">
        <f>IF(OR($C2431="",N($L2431)=0,N($B2431)=0),"",IF(IF(MOD($L2431,1)=0,INT($B2431),$B2431)&lt;=$L2431,"Đúng hạn","Trễ hạn"))</f>
      </c>
      <c r="N2431" s="225">
        <f>IF($C2431="","",ROW())</f>
      </c>
      <c r="O2431" s="225">
        <f>IF($I2431="Công việc",MATCH($C2431,'Kế hoạch'!$A$6:$A$305,0),"")</f>
      </c>
      <c r="P2431" s="234">
        <f>IF($O2431="","",INDEX('Kế hoạch'!$I$6:$I$305,$O2431))</f>
      </c>
      <c r="Q2431" s="225">
        <f>IF($O2431="","",INDEX('Kế hoạch'!$AJ$6:$AJ$305,$O2431))</f>
      </c>
      <c r="R2431" s="225">
        <f>IF($O2431="","",INDEX('Kế hoạch'!$AK$6:$AK$305,$O2431))</f>
      </c>
    </row>
    <row r="2432">
      <c r="A2432" s="223">
        <f>IF($C2432="","",COUNTIF($C$6:$C2432,"?*"))</f>
      </c>
      <c r="B2432" s="217"/>
      <c r="C2432" s="216"/>
      <c r="D2432" s="240"/>
      <c r="E2432" s="218"/>
      <c r="F2432" s="218"/>
      <c r="G2432" s="218"/>
      <c r="H2432" s="219"/>
      <c r="I2432" s="223">
        <f>IF($C2432="","",IF(ISNUMBER(MATCH($C2432,'Phản ánh'!$A$6:$A$505,0)),"Phản ánh",IF(ISNUMBER(MATCH($C2432,'Kế hoạch'!$A$6:$A$305,0)),"Công việc","Mã chưa có")))</f>
      </c>
      <c r="J2432" s="221">
        <f>IF($I2432="Phản ánh",INDEX('Phản ánh'!$C$6:$C$505,MATCH($C2432,'Phản ánh'!$A$6:$A$505,0)),IF($I2432="Công việc",INDEX('Kế hoạch'!$C$6:$C$305,$O2432),""))</f>
      </c>
      <c r="K2432" s="221">
        <f>IF($I2432="Phản ánh",INDEX('Phản ánh'!$K$6:$K$505,MATCH($C2432,'Phản ánh'!$A$6:$A$505,0))&amp;"",IF($I2432="Công việc",INDEX('Kế hoạch'!$N$6:$N$305,$O2432)&amp;"",""))</f>
      </c>
      <c r="L2432" s="220">
        <f>IF(OR($C2432="",N($B2432)=0),"",IF(AND($I2432="Phản ánh",$E2432="Đã xử lý"),INDEX('Phản ánh'!$U$6:$U$505,MATCH($C2432,'Phản ánh'!$A$6:$A$505,0)),IF(AND($I2432="Công việc",OR($E2432="Hoàn thành",$E2432="Hoàn thành kỳ")),IF(INDEX('Kế hoạch'!$B$6:$B$305,$O2432)="Đột xuất",INDEX('Kế hoạch'!$AY$6:$AY$305,$O2432),IF(N($P2432)=0,"",IF(INT($B2432)&lt;$P2432,$P2432,IF($Q2432&gt;0,$P2432+ROUND((INT($B2432)-$P2432)/$Q2432,0)*$Q2432,IF($R2432&gt;0,EDATE($P2432,ROUND((DATEDIF($P2432,INT($B2432),"m")+(INT($B2432)-EDATE($P2432,DATEDIF($P2432,INT($B2432),"m")))/(EDATE($P2432,DATEDIF($P2432,INT($B2432),"m")+1)-EDATE($P2432,DATEDIF($P2432,INT($B2432),"m"))))/$R2432,0)*$R2432),$P2432))))),"")))</f>
      </c>
      <c r="M2432" s="223">
        <f>IF(OR($C2432="",N($L2432)=0,N($B2432)=0),"",IF(IF(MOD($L2432,1)=0,INT($B2432),$B2432)&lt;=$L2432,"Đúng hạn","Trễ hạn"))</f>
      </c>
      <c r="N2432" s="225">
        <f>IF($C2432="","",ROW())</f>
      </c>
      <c r="O2432" s="225">
        <f>IF($I2432="Công việc",MATCH($C2432,'Kế hoạch'!$A$6:$A$305,0),"")</f>
      </c>
      <c r="P2432" s="234">
        <f>IF($O2432="","",INDEX('Kế hoạch'!$I$6:$I$305,$O2432))</f>
      </c>
      <c r="Q2432" s="225">
        <f>IF($O2432="","",INDEX('Kế hoạch'!$AJ$6:$AJ$305,$O2432))</f>
      </c>
      <c r="R2432" s="225">
        <f>IF($O2432="","",INDEX('Kế hoạch'!$AK$6:$AK$305,$O2432))</f>
      </c>
    </row>
    <row r="2433">
      <c r="A2433" s="223">
        <f>IF($C2433="","",COUNTIF($C$6:$C2433,"?*"))</f>
      </c>
      <c r="B2433" s="217"/>
      <c r="C2433" s="216"/>
      <c r="D2433" s="240"/>
      <c r="E2433" s="218"/>
      <c r="F2433" s="218"/>
      <c r="G2433" s="218"/>
      <c r="H2433" s="219"/>
      <c r="I2433" s="223">
        <f>IF($C2433="","",IF(ISNUMBER(MATCH($C2433,'Phản ánh'!$A$6:$A$505,0)),"Phản ánh",IF(ISNUMBER(MATCH($C2433,'Kế hoạch'!$A$6:$A$305,0)),"Công việc","Mã chưa có")))</f>
      </c>
      <c r="J2433" s="221">
        <f>IF($I2433="Phản ánh",INDEX('Phản ánh'!$C$6:$C$505,MATCH($C2433,'Phản ánh'!$A$6:$A$505,0)),IF($I2433="Công việc",INDEX('Kế hoạch'!$C$6:$C$305,$O2433),""))</f>
      </c>
      <c r="K2433" s="221">
        <f>IF($I2433="Phản ánh",INDEX('Phản ánh'!$K$6:$K$505,MATCH($C2433,'Phản ánh'!$A$6:$A$505,0))&amp;"",IF($I2433="Công việc",INDEX('Kế hoạch'!$N$6:$N$305,$O2433)&amp;"",""))</f>
      </c>
      <c r="L2433" s="220">
        <f>IF(OR($C2433="",N($B2433)=0),"",IF(AND($I2433="Phản ánh",$E2433="Đã xử lý"),INDEX('Phản ánh'!$U$6:$U$505,MATCH($C2433,'Phản ánh'!$A$6:$A$505,0)),IF(AND($I2433="Công việc",OR($E2433="Hoàn thành",$E2433="Hoàn thành kỳ")),IF(INDEX('Kế hoạch'!$B$6:$B$305,$O2433)="Đột xuất",INDEX('Kế hoạch'!$AY$6:$AY$305,$O2433),IF(N($P2433)=0,"",IF(INT($B2433)&lt;$P2433,$P2433,IF($Q2433&gt;0,$P2433+ROUND((INT($B2433)-$P2433)/$Q2433,0)*$Q2433,IF($R2433&gt;0,EDATE($P2433,ROUND((DATEDIF($P2433,INT($B2433),"m")+(INT($B2433)-EDATE($P2433,DATEDIF($P2433,INT($B2433),"m")))/(EDATE($P2433,DATEDIF($P2433,INT($B2433),"m")+1)-EDATE($P2433,DATEDIF($P2433,INT($B2433),"m"))))/$R2433,0)*$R2433),$P2433))))),"")))</f>
      </c>
      <c r="M2433" s="223">
        <f>IF(OR($C2433="",N($L2433)=0,N($B2433)=0),"",IF(IF(MOD($L2433,1)=0,INT($B2433),$B2433)&lt;=$L2433,"Đúng hạn","Trễ hạn"))</f>
      </c>
      <c r="N2433" s="225">
        <f>IF($C2433="","",ROW())</f>
      </c>
      <c r="O2433" s="225">
        <f>IF($I2433="Công việc",MATCH($C2433,'Kế hoạch'!$A$6:$A$305,0),"")</f>
      </c>
      <c r="P2433" s="234">
        <f>IF($O2433="","",INDEX('Kế hoạch'!$I$6:$I$305,$O2433))</f>
      </c>
      <c r="Q2433" s="225">
        <f>IF($O2433="","",INDEX('Kế hoạch'!$AJ$6:$AJ$305,$O2433))</f>
      </c>
      <c r="R2433" s="225">
        <f>IF($O2433="","",INDEX('Kế hoạch'!$AK$6:$AK$305,$O2433))</f>
      </c>
    </row>
    <row r="2434">
      <c r="A2434" s="223">
        <f>IF($C2434="","",COUNTIF($C$6:$C2434,"?*"))</f>
      </c>
      <c r="B2434" s="217"/>
      <c r="C2434" s="216"/>
      <c r="D2434" s="240"/>
      <c r="E2434" s="218"/>
      <c r="F2434" s="218"/>
      <c r="G2434" s="218"/>
      <c r="H2434" s="219"/>
      <c r="I2434" s="223">
        <f>IF($C2434="","",IF(ISNUMBER(MATCH($C2434,'Phản ánh'!$A$6:$A$505,0)),"Phản ánh",IF(ISNUMBER(MATCH($C2434,'Kế hoạch'!$A$6:$A$305,0)),"Công việc","Mã chưa có")))</f>
      </c>
      <c r="J2434" s="221">
        <f>IF($I2434="Phản ánh",INDEX('Phản ánh'!$C$6:$C$505,MATCH($C2434,'Phản ánh'!$A$6:$A$505,0)),IF($I2434="Công việc",INDEX('Kế hoạch'!$C$6:$C$305,$O2434),""))</f>
      </c>
      <c r="K2434" s="221">
        <f>IF($I2434="Phản ánh",INDEX('Phản ánh'!$K$6:$K$505,MATCH($C2434,'Phản ánh'!$A$6:$A$505,0))&amp;"",IF($I2434="Công việc",INDEX('Kế hoạch'!$N$6:$N$305,$O2434)&amp;"",""))</f>
      </c>
      <c r="L2434" s="220">
        <f>IF(OR($C2434="",N($B2434)=0),"",IF(AND($I2434="Phản ánh",$E2434="Đã xử lý"),INDEX('Phản ánh'!$U$6:$U$505,MATCH($C2434,'Phản ánh'!$A$6:$A$505,0)),IF(AND($I2434="Công việc",OR($E2434="Hoàn thành",$E2434="Hoàn thành kỳ")),IF(INDEX('Kế hoạch'!$B$6:$B$305,$O2434)="Đột xuất",INDEX('Kế hoạch'!$AY$6:$AY$305,$O2434),IF(N($P2434)=0,"",IF(INT($B2434)&lt;$P2434,$P2434,IF($Q2434&gt;0,$P2434+ROUND((INT($B2434)-$P2434)/$Q2434,0)*$Q2434,IF($R2434&gt;0,EDATE($P2434,ROUND((DATEDIF($P2434,INT($B2434),"m")+(INT($B2434)-EDATE($P2434,DATEDIF($P2434,INT($B2434),"m")))/(EDATE($P2434,DATEDIF($P2434,INT($B2434),"m")+1)-EDATE($P2434,DATEDIF($P2434,INT($B2434),"m"))))/$R2434,0)*$R2434),$P2434))))),"")))</f>
      </c>
      <c r="M2434" s="223">
        <f>IF(OR($C2434="",N($L2434)=0,N($B2434)=0),"",IF(IF(MOD($L2434,1)=0,INT($B2434),$B2434)&lt;=$L2434,"Đúng hạn","Trễ hạn"))</f>
      </c>
      <c r="N2434" s="225">
        <f>IF($C2434="","",ROW())</f>
      </c>
      <c r="O2434" s="225">
        <f>IF($I2434="Công việc",MATCH($C2434,'Kế hoạch'!$A$6:$A$305,0),"")</f>
      </c>
      <c r="P2434" s="234">
        <f>IF($O2434="","",INDEX('Kế hoạch'!$I$6:$I$305,$O2434))</f>
      </c>
      <c r="Q2434" s="225">
        <f>IF($O2434="","",INDEX('Kế hoạch'!$AJ$6:$AJ$305,$O2434))</f>
      </c>
      <c r="R2434" s="225">
        <f>IF($O2434="","",INDEX('Kế hoạch'!$AK$6:$AK$305,$O2434))</f>
      </c>
    </row>
    <row r="2435">
      <c r="A2435" s="223">
        <f>IF($C2435="","",COUNTIF($C$6:$C2435,"?*"))</f>
      </c>
      <c r="B2435" s="217"/>
      <c r="C2435" s="216"/>
      <c r="D2435" s="240"/>
      <c r="E2435" s="218"/>
      <c r="F2435" s="218"/>
      <c r="G2435" s="218"/>
      <c r="H2435" s="219"/>
      <c r="I2435" s="223">
        <f>IF($C2435="","",IF(ISNUMBER(MATCH($C2435,'Phản ánh'!$A$6:$A$505,0)),"Phản ánh",IF(ISNUMBER(MATCH($C2435,'Kế hoạch'!$A$6:$A$305,0)),"Công việc","Mã chưa có")))</f>
      </c>
      <c r="J2435" s="221">
        <f>IF($I2435="Phản ánh",INDEX('Phản ánh'!$C$6:$C$505,MATCH($C2435,'Phản ánh'!$A$6:$A$505,0)),IF($I2435="Công việc",INDEX('Kế hoạch'!$C$6:$C$305,$O2435),""))</f>
      </c>
      <c r="K2435" s="221">
        <f>IF($I2435="Phản ánh",INDEX('Phản ánh'!$K$6:$K$505,MATCH($C2435,'Phản ánh'!$A$6:$A$505,0))&amp;"",IF($I2435="Công việc",INDEX('Kế hoạch'!$N$6:$N$305,$O2435)&amp;"",""))</f>
      </c>
      <c r="L2435" s="220">
        <f>IF(OR($C2435="",N($B2435)=0),"",IF(AND($I2435="Phản ánh",$E2435="Đã xử lý"),INDEX('Phản ánh'!$U$6:$U$505,MATCH($C2435,'Phản ánh'!$A$6:$A$505,0)),IF(AND($I2435="Công việc",OR($E2435="Hoàn thành",$E2435="Hoàn thành kỳ")),IF(INDEX('Kế hoạch'!$B$6:$B$305,$O2435)="Đột xuất",INDEX('Kế hoạch'!$AY$6:$AY$305,$O2435),IF(N($P2435)=0,"",IF(INT($B2435)&lt;$P2435,$P2435,IF($Q2435&gt;0,$P2435+ROUND((INT($B2435)-$P2435)/$Q2435,0)*$Q2435,IF($R2435&gt;0,EDATE($P2435,ROUND((DATEDIF($P2435,INT($B2435),"m")+(INT($B2435)-EDATE($P2435,DATEDIF($P2435,INT($B2435),"m")))/(EDATE($P2435,DATEDIF($P2435,INT($B2435),"m")+1)-EDATE($P2435,DATEDIF($P2435,INT($B2435),"m"))))/$R2435,0)*$R2435),$P2435))))),"")))</f>
      </c>
      <c r="M2435" s="223">
        <f>IF(OR($C2435="",N($L2435)=0,N($B2435)=0),"",IF(IF(MOD($L2435,1)=0,INT($B2435),$B2435)&lt;=$L2435,"Đúng hạn","Trễ hạn"))</f>
      </c>
      <c r="N2435" s="225">
        <f>IF($C2435="","",ROW())</f>
      </c>
      <c r="O2435" s="225">
        <f>IF($I2435="Công việc",MATCH($C2435,'Kế hoạch'!$A$6:$A$305,0),"")</f>
      </c>
      <c r="P2435" s="234">
        <f>IF($O2435="","",INDEX('Kế hoạch'!$I$6:$I$305,$O2435))</f>
      </c>
      <c r="Q2435" s="225">
        <f>IF($O2435="","",INDEX('Kế hoạch'!$AJ$6:$AJ$305,$O2435))</f>
      </c>
      <c r="R2435" s="225">
        <f>IF($O2435="","",INDEX('Kế hoạch'!$AK$6:$AK$305,$O2435))</f>
      </c>
    </row>
    <row r="2436">
      <c r="A2436" s="223">
        <f>IF($C2436="","",COUNTIF($C$6:$C2436,"?*"))</f>
      </c>
      <c r="B2436" s="217"/>
      <c r="C2436" s="216"/>
      <c r="D2436" s="240"/>
      <c r="E2436" s="218"/>
      <c r="F2436" s="218"/>
      <c r="G2436" s="218"/>
      <c r="H2436" s="219"/>
      <c r="I2436" s="223">
        <f>IF($C2436="","",IF(ISNUMBER(MATCH($C2436,'Phản ánh'!$A$6:$A$505,0)),"Phản ánh",IF(ISNUMBER(MATCH($C2436,'Kế hoạch'!$A$6:$A$305,0)),"Công việc","Mã chưa có")))</f>
      </c>
      <c r="J2436" s="221">
        <f>IF($I2436="Phản ánh",INDEX('Phản ánh'!$C$6:$C$505,MATCH($C2436,'Phản ánh'!$A$6:$A$505,0)),IF($I2436="Công việc",INDEX('Kế hoạch'!$C$6:$C$305,$O2436),""))</f>
      </c>
      <c r="K2436" s="221">
        <f>IF($I2436="Phản ánh",INDEX('Phản ánh'!$K$6:$K$505,MATCH($C2436,'Phản ánh'!$A$6:$A$505,0))&amp;"",IF($I2436="Công việc",INDEX('Kế hoạch'!$N$6:$N$305,$O2436)&amp;"",""))</f>
      </c>
      <c r="L2436" s="220">
        <f>IF(OR($C2436="",N($B2436)=0),"",IF(AND($I2436="Phản ánh",$E2436="Đã xử lý"),INDEX('Phản ánh'!$U$6:$U$505,MATCH($C2436,'Phản ánh'!$A$6:$A$505,0)),IF(AND($I2436="Công việc",OR($E2436="Hoàn thành",$E2436="Hoàn thành kỳ")),IF(INDEX('Kế hoạch'!$B$6:$B$305,$O2436)="Đột xuất",INDEX('Kế hoạch'!$AY$6:$AY$305,$O2436),IF(N($P2436)=0,"",IF(INT($B2436)&lt;$P2436,$P2436,IF($Q2436&gt;0,$P2436+ROUND((INT($B2436)-$P2436)/$Q2436,0)*$Q2436,IF($R2436&gt;0,EDATE($P2436,ROUND((DATEDIF($P2436,INT($B2436),"m")+(INT($B2436)-EDATE($P2436,DATEDIF($P2436,INT($B2436),"m")))/(EDATE($P2436,DATEDIF($P2436,INT($B2436),"m")+1)-EDATE($P2436,DATEDIF($P2436,INT($B2436),"m"))))/$R2436,0)*$R2436),$P2436))))),"")))</f>
      </c>
      <c r="M2436" s="223">
        <f>IF(OR($C2436="",N($L2436)=0,N($B2436)=0),"",IF(IF(MOD($L2436,1)=0,INT($B2436),$B2436)&lt;=$L2436,"Đúng hạn","Trễ hạn"))</f>
      </c>
      <c r="N2436" s="225">
        <f>IF($C2436="","",ROW())</f>
      </c>
      <c r="O2436" s="225">
        <f>IF($I2436="Công việc",MATCH($C2436,'Kế hoạch'!$A$6:$A$305,0),"")</f>
      </c>
      <c r="P2436" s="234">
        <f>IF($O2436="","",INDEX('Kế hoạch'!$I$6:$I$305,$O2436))</f>
      </c>
      <c r="Q2436" s="225">
        <f>IF($O2436="","",INDEX('Kế hoạch'!$AJ$6:$AJ$305,$O2436))</f>
      </c>
      <c r="R2436" s="225">
        <f>IF($O2436="","",INDEX('Kế hoạch'!$AK$6:$AK$305,$O2436))</f>
      </c>
    </row>
    <row r="2437">
      <c r="A2437" s="223">
        <f>IF($C2437="","",COUNTIF($C$6:$C2437,"?*"))</f>
      </c>
      <c r="B2437" s="217"/>
      <c r="C2437" s="216"/>
      <c r="D2437" s="240"/>
      <c r="E2437" s="218"/>
      <c r="F2437" s="218"/>
      <c r="G2437" s="218"/>
      <c r="H2437" s="219"/>
      <c r="I2437" s="223">
        <f>IF($C2437="","",IF(ISNUMBER(MATCH($C2437,'Phản ánh'!$A$6:$A$505,0)),"Phản ánh",IF(ISNUMBER(MATCH($C2437,'Kế hoạch'!$A$6:$A$305,0)),"Công việc","Mã chưa có")))</f>
      </c>
      <c r="J2437" s="221">
        <f>IF($I2437="Phản ánh",INDEX('Phản ánh'!$C$6:$C$505,MATCH($C2437,'Phản ánh'!$A$6:$A$505,0)),IF($I2437="Công việc",INDEX('Kế hoạch'!$C$6:$C$305,$O2437),""))</f>
      </c>
      <c r="K2437" s="221">
        <f>IF($I2437="Phản ánh",INDEX('Phản ánh'!$K$6:$K$505,MATCH($C2437,'Phản ánh'!$A$6:$A$505,0))&amp;"",IF($I2437="Công việc",INDEX('Kế hoạch'!$N$6:$N$305,$O2437)&amp;"",""))</f>
      </c>
      <c r="L2437" s="220">
        <f>IF(OR($C2437="",N($B2437)=0),"",IF(AND($I2437="Phản ánh",$E2437="Đã xử lý"),INDEX('Phản ánh'!$U$6:$U$505,MATCH($C2437,'Phản ánh'!$A$6:$A$505,0)),IF(AND($I2437="Công việc",OR($E2437="Hoàn thành",$E2437="Hoàn thành kỳ")),IF(INDEX('Kế hoạch'!$B$6:$B$305,$O2437)="Đột xuất",INDEX('Kế hoạch'!$AY$6:$AY$305,$O2437),IF(N($P2437)=0,"",IF(INT($B2437)&lt;$P2437,$P2437,IF($Q2437&gt;0,$P2437+ROUND((INT($B2437)-$P2437)/$Q2437,0)*$Q2437,IF($R2437&gt;0,EDATE($P2437,ROUND((DATEDIF($P2437,INT($B2437),"m")+(INT($B2437)-EDATE($P2437,DATEDIF($P2437,INT($B2437),"m")))/(EDATE($P2437,DATEDIF($P2437,INT($B2437),"m")+1)-EDATE($P2437,DATEDIF($P2437,INT($B2437),"m"))))/$R2437,0)*$R2437),$P2437))))),"")))</f>
      </c>
      <c r="M2437" s="223">
        <f>IF(OR($C2437="",N($L2437)=0,N($B2437)=0),"",IF(IF(MOD($L2437,1)=0,INT($B2437),$B2437)&lt;=$L2437,"Đúng hạn","Trễ hạn"))</f>
      </c>
      <c r="N2437" s="225">
        <f>IF($C2437="","",ROW())</f>
      </c>
      <c r="O2437" s="225">
        <f>IF($I2437="Công việc",MATCH($C2437,'Kế hoạch'!$A$6:$A$305,0),"")</f>
      </c>
      <c r="P2437" s="234">
        <f>IF($O2437="","",INDEX('Kế hoạch'!$I$6:$I$305,$O2437))</f>
      </c>
      <c r="Q2437" s="225">
        <f>IF($O2437="","",INDEX('Kế hoạch'!$AJ$6:$AJ$305,$O2437))</f>
      </c>
      <c r="R2437" s="225">
        <f>IF($O2437="","",INDEX('Kế hoạch'!$AK$6:$AK$305,$O2437))</f>
      </c>
    </row>
    <row r="2438">
      <c r="A2438" s="223">
        <f>IF($C2438="","",COUNTIF($C$6:$C2438,"?*"))</f>
      </c>
      <c r="B2438" s="217"/>
      <c r="C2438" s="216"/>
      <c r="D2438" s="240"/>
      <c r="E2438" s="218"/>
      <c r="F2438" s="218"/>
      <c r="G2438" s="218"/>
      <c r="H2438" s="219"/>
      <c r="I2438" s="223">
        <f>IF($C2438="","",IF(ISNUMBER(MATCH($C2438,'Phản ánh'!$A$6:$A$505,0)),"Phản ánh",IF(ISNUMBER(MATCH($C2438,'Kế hoạch'!$A$6:$A$305,0)),"Công việc","Mã chưa có")))</f>
      </c>
      <c r="J2438" s="221">
        <f>IF($I2438="Phản ánh",INDEX('Phản ánh'!$C$6:$C$505,MATCH($C2438,'Phản ánh'!$A$6:$A$505,0)),IF($I2438="Công việc",INDEX('Kế hoạch'!$C$6:$C$305,$O2438),""))</f>
      </c>
      <c r="K2438" s="221">
        <f>IF($I2438="Phản ánh",INDEX('Phản ánh'!$K$6:$K$505,MATCH($C2438,'Phản ánh'!$A$6:$A$505,0))&amp;"",IF($I2438="Công việc",INDEX('Kế hoạch'!$N$6:$N$305,$O2438)&amp;"",""))</f>
      </c>
      <c r="L2438" s="220">
        <f>IF(OR($C2438="",N($B2438)=0),"",IF(AND($I2438="Phản ánh",$E2438="Đã xử lý"),INDEX('Phản ánh'!$U$6:$U$505,MATCH($C2438,'Phản ánh'!$A$6:$A$505,0)),IF(AND($I2438="Công việc",OR($E2438="Hoàn thành",$E2438="Hoàn thành kỳ")),IF(INDEX('Kế hoạch'!$B$6:$B$305,$O2438)="Đột xuất",INDEX('Kế hoạch'!$AY$6:$AY$305,$O2438),IF(N($P2438)=0,"",IF(INT($B2438)&lt;$P2438,$P2438,IF($Q2438&gt;0,$P2438+ROUND((INT($B2438)-$P2438)/$Q2438,0)*$Q2438,IF($R2438&gt;0,EDATE($P2438,ROUND((DATEDIF($P2438,INT($B2438),"m")+(INT($B2438)-EDATE($P2438,DATEDIF($P2438,INT($B2438),"m")))/(EDATE($P2438,DATEDIF($P2438,INT($B2438),"m")+1)-EDATE($P2438,DATEDIF($P2438,INT($B2438),"m"))))/$R2438,0)*$R2438),$P2438))))),"")))</f>
      </c>
      <c r="M2438" s="223">
        <f>IF(OR($C2438="",N($L2438)=0,N($B2438)=0),"",IF(IF(MOD($L2438,1)=0,INT($B2438),$B2438)&lt;=$L2438,"Đúng hạn","Trễ hạn"))</f>
      </c>
      <c r="N2438" s="225">
        <f>IF($C2438="","",ROW())</f>
      </c>
      <c r="O2438" s="225">
        <f>IF($I2438="Công việc",MATCH($C2438,'Kế hoạch'!$A$6:$A$305,0),"")</f>
      </c>
      <c r="P2438" s="234">
        <f>IF($O2438="","",INDEX('Kế hoạch'!$I$6:$I$305,$O2438))</f>
      </c>
      <c r="Q2438" s="225">
        <f>IF($O2438="","",INDEX('Kế hoạch'!$AJ$6:$AJ$305,$O2438))</f>
      </c>
      <c r="R2438" s="225">
        <f>IF($O2438="","",INDEX('Kế hoạch'!$AK$6:$AK$305,$O2438))</f>
      </c>
    </row>
    <row r="2439">
      <c r="A2439" s="223">
        <f>IF($C2439="","",COUNTIF($C$6:$C2439,"?*"))</f>
      </c>
      <c r="B2439" s="217"/>
      <c r="C2439" s="216"/>
      <c r="D2439" s="240"/>
      <c r="E2439" s="218"/>
      <c r="F2439" s="218"/>
      <c r="G2439" s="218"/>
      <c r="H2439" s="219"/>
      <c r="I2439" s="223">
        <f>IF($C2439="","",IF(ISNUMBER(MATCH($C2439,'Phản ánh'!$A$6:$A$505,0)),"Phản ánh",IF(ISNUMBER(MATCH($C2439,'Kế hoạch'!$A$6:$A$305,0)),"Công việc","Mã chưa có")))</f>
      </c>
      <c r="J2439" s="221">
        <f>IF($I2439="Phản ánh",INDEX('Phản ánh'!$C$6:$C$505,MATCH($C2439,'Phản ánh'!$A$6:$A$505,0)),IF($I2439="Công việc",INDEX('Kế hoạch'!$C$6:$C$305,$O2439),""))</f>
      </c>
      <c r="K2439" s="221">
        <f>IF($I2439="Phản ánh",INDEX('Phản ánh'!$K$6:$K$505,MATCH($C2439,'Phản ánh'!$A$6:$A$505,0))&amp;"",IF($I2439="Công việc",INDEX('Kế hoạch'!$N$6:$N$305,$O2439)&amp;"",""))</f>
      </c>
      <c r="L2439" s="220">
        <f>IF(OR($C2439="",N($B2439)=0),"",IF(AND($I2439="Phản ánh",$E2439="Đã xử lý"),INDEX('Phản ánh'!$U$6:$U$505,MATCH($C2439,'Phản ánh'!$A$6:$A$505,0)),IF(AND($I2439="Công việc",OR($E2439="Hoàn thành",$E2439="Hoàn thành kỳ")),IF(INDEX('Kế hoạch'!$B$6:$B$305,$O2439)="Đột xuất",INDEX('Kế hoạch'!$AY$6:$AY$305,$O2439),IF(N($P2439)=0,"",IF(INT($B2439)&lt;$P2439,$P2439,IF($Q2439&gt;0,$P2439+ROUND((INT($B2439)-$P2439)/$Q2439,0)*$Q2439,IF($R2439&gt;0,EDATE($P2439,ROUND((DATEDIF($P2439,INT($B2439),"m")+(INT($B2439)-EDATE($P2439,DATEDIF($P2439,INT($B2439),"m")))/(EDATE($P2439,DATEDIF($P2439,INT($B2439),"m")+1)-EDATE($P2439,DATEDIF($P2439,INT($B2439),"m"))))/$R2439,0)*$R2439),$P2439))))),"")))</f>
      </c>
      <c r="M2439" s="223">
        <f>IF(OR($C2439="",N($L2439)=0,N($B2439)=0),"",IF(IF(MOD($L2439,1)=0,INT($B2439),$B2439)&lt;=$L2439,"Đúng hạn","Trễ hạn"))</f>
      </c>
      <c r="N2439" s="225">
        <f>IF($C2439="","",ROW())</f>
      </c>
      <c r="O2439" s="225">
        <f>IF($I2439="Công việc",MATCH($C2439,'Kế hoạch'!$A$6:$A$305,0),"")</f>
      </c>
      <c r="P2439" s="234">
        <f>IF($O2439="","",INDEX('Kế hoạch'!$I$6:$I$305,$O2439))</f>
      </c>
      <c r="Q2439" s="225">
        <f>IF($O2439="","",INDEX('Kế hoạch'!$AJ$6:$AJ$305,$O2439))</f>
      </c>
      <c r="R2439" s="225">
        <f>IF($O2439="","",INDEX('Kế hoạch'!$AK$6:$AK$305,$O2439))</f>
      </c>
    </row>
    <row r="2440">
      <c r="A2440" s="223">
        <f>IF($C2440="","",COUNTIF($C$6:$C2440,"?*"))</f>
      </c>
      <c r="B2440" s="217"/>
      <c r="C2440" s="216"/>
      <c r="D2440" s="240"/>
      <c r="E2440" s="218"/>
      <c r="F2440" s="218"/>
      <c r="G2440" s="218"/>
      <c r="H2440" s="219"/>
      <c r="I2440" s="223">
        <f>IF($C2440="","",IF(ISNUMBER(MATCH($C2440,'Phản ánh'!$A$6:$A$505,0)),"Phản ánh",IF(ISNUMBER(MATCH($C2440,'Kế hoạch'!$A$6:$A$305,0)),"Công việc","Mã chưa có")))</f>
      </c>
      <c r="J2440" s="221">
        <f>IF($I2440="Phản ánh",INDEX('Phản ánh'!$C$6:$C$505,MATCH($C2440,'Phản ánh'!$A$6:$A$505,0)),IF($I2440="Công việc",INDEX('Kế hoạch'!$C$6:$C$305,$O2440),""))</f>
      </c>
      <c r="K2440" s="221">
        <f>IF($I2440="Phản ánh",INDEX('Phản ánh'!$K$6:$K$505,MATCH($C2440,'Phản ánh'!$A$6:$A$505,0))&amp;"",IF($I2440="Công việc",INDEX('Kế hoạch'!$N$6:$N$305,$O2440)&amp;"",""))</f>
      </c>
      <c r="L2440" s="220">
        <f>IF(OR($C2440="",N($B2440)=0),"",IF(AND($I2440="Phản ánh",$E2440="Đã xử lý"),INDEX('Phản ánh'!$U$6:$U$505,MATCH($C2440,'Phản ánh'!$A$6:$A$505,0)),IF(AND($I2440="Công việc",OR($E2440="Hoàn thành",$E2440="Hoàn thành kỳ")),IF(INDEX('Kế hoạch'!$B$6:$B$305,$O2440)="Đột xuất",INDEX('Kế hoạch'!$AY$6:$AY$305,$O2440),IF(N($P2440)=0,"",IF(INT($B2440)&lt;$P2440,$P2440,IF($Q2440&gt;0,$P2440+ROUND((INT($B2440)-$P2440)/$Q2440,0)*$Q2440,IF($R2440&gt;0,EDATE($P2440,ROUND((DATEDIF($P2440,INT($B2440),"m")+(INT($B2440)-EDATE($P2440,DATEDIF($P2440,INT($B2440),"m")))/(EDATE($P2440,DATEDIF($P2440,INT($B2440),"m")+1)-EDATE($P2440,DATEDIF($P2440,INT($B2440),"m"))))/$R2440,0)*$R2440),$P2440))))),"")))</f>
      </c>
      <c r="M2440" s="223">
        <f>IF(OR($C2440="",N($L2440)=0,N($B2440)=0),"",IF(IF(MOD($L2440,1)=0,INT($B2440),$B2440)&lt;=$L2440,"Đúng hạn","Trễ hạn"))</f>
      </c>
      <c r="N2440" s="225">
        <f>IF($C2440="","",ROW())</f>
      </c>
      <c r="O2440" s="225">
        <f>IF($I2440="Công việc",MATCH($C2440,'Kế hoạch'!$A$6:$A$305,0),"")</f>
      </c>
      <c r="P2440" s="234">
        <f>IF($O2440="","",INDEX('Kế hoạch'!$I$6:$I$305,$O2440))</f>
      </c>
      <c r="Q2440" s="225">
        <f>IF($O2440="","",INDEX('Kế hoạch'!$AJ$6:$AJ$305,$O2440))</f>
      </c>
      <c r="R2440" s="225">
        <f>IF($O2440="","",INDEX('Kế hoạch'!$AK$6:$AK$305,$O2440))</f>
      </c>
    </row>
    <row r="2441">
      <c r="A2441" s="223">
        <f>IF($C2441="","",COUNTIF($C$6:$C2441,"?*"))</f>
      </c>
      <c r="B2441" s="217"/>
      <c r="C2441" s="216"/>
      <c r="D2441" s="240"/>
      <c r="E2441" s="218"/>
      <c r="F2441" s="218"/>
      <c r="G2441" s="218"/>
      <c r="H2441" s="219"/>
      <c r="I2441" s="223">
        <f>IF($C2441="","",IF(ISNUMBER(MATCH($C2441,'Phản ánh'!$A$6:$A$505,0)),"Phản ánh",IF(ISNUMBER(MATCH($C2441,'Kế hoạch'!$A$6:$A$305,0)),"Công việc","Mã chưa có")))</f>
      </c>
      <c r="J2441" s="221">
        <f>IF($I2441="Phản ánh",INDEX('Phản ánh'!$C$6:$C$505,MATCH($C2441,'Phản ánh'!$A$6:$A$505,0)),IF($I2441="Công việc",INDEX('Kế hoạch'!$C$6:$C$305,$O2441),""))</f>
      </c>
      <c r="K2441" s="221">
        <f>IF($I2441="Phản ánh",INDEX('Phản ánh'!$K$6:$K$505,MATCH($C2441,'Phản ánh'!$A$6:$A$505,0))&amp;"",IF($I2441="Công việc",INDEX('Kế hoạch'!$N$6:$N$305,$O2441)&amp;"",""))</f>
      </c>
      <c r="L2441" s="220">
        <f>IF(OR($C2441="",N($B2441)=0),"",IF(AND($I2441="Phản ánh",$E2441="Đã xử lý"),INDEX('Phản ánh'!$U$6:$U$505,MATCH($C2441,'Phản ánh'!$A$6:$A$505,0)),IF(AND($I2441="Công việc",OR($E2441="Hoàn thành",$E2441="Hoàn thành kỳ")),IF(INDEX('Kế hoạch'!$B$6:$B$305,$O2441)="Đột xuất",INDEX('Kế hoạch'!$AY$6:$AY$305,$O2441),IF(N($P2441)=0,"",IF(INT($B2441)&lt;$P2441,$P2441,IF($Q2441&gt;0,$P2441+ROUND((INT($B2441)-$P2441)/$Q2441,0)*$Q2441,IF($R2441&gt;0,EDATE($P2441,ROUND((DATEDIF($P2441,INT($B2441),"m")+(INT($B2441)-EDATE($P2441,DATEDIF($P2441,INT($B2441),"m")))/(EDATE($P2441,DATEDIF($P2441,INT($B2441),"m")+1)-EDATE($P2441,DATEDIF($P2441,INT($B2441),"m"))))/$R2441,0)*$R2441),$P2441))))),"")))</f>
      </c>
      <c r="M2441" s="223">
        <f>IF(OR($C2441="",N($L2441)=0,N($B2441)=0),"",IF(IF(MOD($L2441,1)=0,INT($B2441),$B2441)&lt;=$L2441,"Đúng hạn","Trễ hạn"))</f>
      </c>
      <c r="N2441" s="225">
        <f>IF($C2441="","",ROW())</f>
      </c>
      <c r="O2441" s="225">
        <f>IF($I2441="Công việc",MATCH($C2441,'Kế hoạch'!$A$6:$A$305,0),"")</f>
      </c>
      <c r="P2441" s="234">
        <f>IF($O2441="","",INDEX('Kế hoạch'!$I$6:$I$305,$O2441))</f>
      </c>
      <c r="Q2441" s="225">
        <f>IF($O2441="","",INDEX('Kế hoạch'!$AJ$6:$AJ$305,$O2441))</f>
      </c>
      <c r="R2441" s="225">
        <f>IF($O2441="","",INDEX('Kế hoạch'!$AK$6:$AK$305,$O2441))</f>
      </c>
    </row>
    <row r="2442">
      <c r="A2442" s="223">
        <f>IF($C2442="","",COUNTIF($C$6:$C2442,"?*"))</f>
      </c>
      <c r="B2442" s="217"/>
      <c r="C2442" s="216"/>
      <c r="D2442" s="240"/>
      <c r="E2442" s="218"/>
      <c r="F2442" s="218"/>
      <c r="G2442" s="218"/>
      <c r="H2442" s="219"/>
      <c r="I2442" s="223">
        <f>IF($C2442="","",IF(ISNUMBER(MATCH($C2442,'Phản ánh'!$A$6:$A$505,0)),"Phản ánh",IF(ISNUMBER(MATCH($C2442,'Kế hoạch'!$A$6:$A$305,0)),"Công việc","Mã chưa có")))</f>
      </c>
      <c r="J2442" s="221">
        <f>IF($I2442="Phản ánh",INDEX('Phản ánh'!$C$6:$C$505,MATCH($C2442,'Phản ánh'!$A$6:$A$505,0)),IF($I2442="Công việc",INDEX('Kế hoạch'!$C$6:$C$305,$O2442),""))</f>
      </c>
      <c r="K2442" s="221">
        <f>IF($I2442="Phản ánh",INDEX('Phản ánh'!$K$6:$K$505,MATCH($C2442,'Phản ánh'!$A$6:$A$505,0))&amp;"",IF($I2442="Công việc",INDEX('Kế hoạch'!$N$6:$N$305,$O2442)&amp;"",""))</f>
      </c>
      <c r="L2442" s="220">
        <f>IF(OR($C2442="",N($B2442)=0),"",IF(AND($I2442="Phản ánh",$E2442="Đã xử lý"),INDEX('Phản ánh'!$U$6:$U$505,MATCH($C2442,'Phản ánh'!$A$6:$A$505,0)),IF(AND($I2442="Công việc",OR($E2442="Hoàn thành",$E2442="Hoàn thành kỳ")),IF(INDEX('Kế hoạch'!$B$6:$B$305,$O2442)="Đột xuất",INDEX('Kế hoạch'!$AY$6:$AY$305,$O2442),IF(N($P2442)=0,"",IF(INT($B2442)&lt;$P2442,$P2442,IF($Q2442&gt;0,$P2442+ROUND((INT($B2442)-$P2442)/$Q2442,0)*$Q2442,IF($R2442&gt;0,EDATE($P2442,ROUND((DATEDIF($P2442,INT($B2442),"m")+(INT($B2442)-EDATE($P2442,DATEDIF($P2442,INT($B2442),"m")))/(EDATE($P2442,DATEDIF($P2442,INT($B2442),"m")+1)-EDATE($P2442,DATEDIF($P2442,INT($B2442),"m"))))/$R2442,0)*$R2442),$P2442))))),"")))</f>
      </c>
      <c r="M2442" s="223">
        <f>IF(OR($C2442="",N($L2442)=0,N($B2442)=0),"",IF(IF(MOD($L2442,1)=0,INT($B2442),$B2442)&lt;=$L2442,"Đúng hạn","Trễ hạn"))</f>
      </c>
      <c r="N2442" s="225">
        <f>IF($C2442="","",ROW())</f>
      </c>
      <c r="O2442" s="225">
        <f>IF($I2442="Công việc",MATCH($C2442,'Kế hoạch'!$A$6:$A$305,0),"")</f>
      </c>
      <c r="P2442" s="234">
        <f>IF($O2442="","",INDEX('Kế hoạch'!$I$6:$I$305,$O2442))</f>
      </c>
      <c r="Q2442" s="225">
        <f>IF($O2442="","",INDEX('Kế hoạch'!$AJ$6:$AJ$305,$O2442))</f>
      </c>
      <c r="R2442" s="225">
        <f>IF($O2442="","",INDEX('Kế hoạch'!$AK$6:$AK$305,$O2442))</f>
      </c>
    </row>
    <row r="2443">
      <c r="A2443" s="223">
        <f>IF($C2443="","",COUNTIF($C$6:$C2443,"?*"))</f>
      </c>
      <c r="B2443" s="217"/>
      <c r="C2443" s="216"/>
      <c r="D2443" s="240"/>
      <c r="E2443" s="218"/>
      <c r="F2443" s="218"/>
      <c r="G2443" s="218"/>
      <c r="H2443" s="219"/>
      <c r="I2443" s="223">
        <f>IF($C2443="","",IF(ISNUMBER(MATCH($C2443,'Phản ánh'!$A$6:$A$505,0)),"Phản ánh",IF(ISNUMBER(MATCH($C2443,'Kế hoạch'!$A$6:$A$305,0)),"Công việc","Mã chưa có")))</f>
      </c>
      <c r="J2443" s="221">
        <f>IF($I2443="Phản ánh",INDEX('Phản ánh'!$C$6:$C$505,MATCH($C2443,'Phản ánh'!$A$6:$A$505,0)),IF($I2443="Công việc",INDEX('Kế hoạch'!$C$6:$C$305,$O2443),""))</f>
      </c>
      <c r="K2443" s="221">
        <f>IF($I2443="Phản ánh",INDEX('Phản ánh'!$K$6:$K$505,MATCH($C2443,'Phản ánh'!$A$6:$A$505,0))&amp;"",IF($I2443="Công việc",INDEX('Kế hoạch'!$N$6:$N$305,$O2443)&amp;"",""))</f>
      </c>
      <c r="L2443" s="220">
        <f>IF(OR($C2443="",N($B2443)=0),"",IF(AND($I2443="Phản ánh",$E2443="Đã xử lý"),INDEX('Phản ánh'!$U$6:$U$505,MATCH($C2443,'Phản ánh'!$A$6:$A$505,0)),IF(AND($I2443="Công việc",OR($E2443="Hoàn thành",$E2443="Hoàn thành kỳ")),IF(INDEX('Kế hoạch'!$B$6:$B$305,$O2443)="Đột xuất",INDEX('Kế hoạch'!$AY$6:$AY$305,$O2443),IF(N($P2443)=0,"",IF(INT($B2443)&lt;$P2443,$P2443,IF($Q2443&gt;0,$P2443+ROUND((INT($B2443)-$P2443)/$Q2443,0)*$Q2443,IF($R2443&gt;0,EDATE($P2443,ROUND((DATEDIF($P2443,INT($B2443),"m")+(INT($B2443)-EDATE($P2443,DATEDIF($P2443,INT($B2443),"m")))/(EDATE($P2443,DATEDIF($P2443,INT($B2443),"m")+1)-EDATE($P2443,DATEDIF($P2443,INT($B2443),"m"))))/$R2443,0)*$R2443),$P2443))))),"")))</f>
      </c>
      <c r="M2443" s="223">
        <f>IF(OR($C2443="",N($L2443)=0,N($B2443)=0),"",IF(IF(MOD($L2443,1)=0,INT($B2443),$B2443)&lt;=$L2443,"Đúng hạn","Trễ hạn"))</f>
      </c>
      <c r="N2443" s="225">
        <f>IF($C2443="","",ROW())</f>
      </c>
      <c r="O2443" s="225">
        <f>IF($I2443="Công việc",MATCH($C2443,'Kế hoạch'!$A$6:$A$305,0),"")</f>
      </c>
      <c r="P2443" s="234">
        <f>IF($O2443="","",INDEX('Kế hoạch'!$I$6:$I$305,$O2443))</f>
      </c>
      <c r="Q2443" s="225">
        <f>IF($O2443="","",INDEX('Kế hoạch'!$AJ$6:$AJ$305,$O2443))</f>
      </c>
      <c r="R2443" s="225">
        <f>IF($O2443="","",INDEX('Kế hoạch'!$AK$6:$AK$305,$O2443))</f>
      </c>
    </row>
    <row r="2444">
      <c r="A2444" s="223">
        <f>IF($C2444="","",COUNTIF($C$6:$C2444,"?*"))</f>
      </c>
      <c r="B2444" s="217"/>
      <c r="C2444" s="216"/>
      <c r="D2444" s="240"/>
      <c r="E2444" s="218"/>
      <c r="F2444" s="218"/>
      <c r="G2444" s="218"/>
      <c r="H2444" s="219"/>
      <c r="I2444" s="223">
        <f>IF($C2444="","",IF(ISNUMBER(MATCH($C2444,'Phản ánh'!$A$6:$A$505,0)),"Phản ánh",IF(ISNUMBER(MATCH($C2444,'Kế hoạch'!$A$6:$A$305,0)),"Công việc","Mã chưa có")))</f>
      </c>
      <c r="J2444" s="221">
        <f>IF($I2444="Phản ánh",INDEX('Phản ánh'!$C$6:$C$505,MATCH($C2444,'Phản ánh'!$A$6:$A$505,0)),IF($I2444="Công việc",INDEX('Kế hoạch'!$C$6:$C$305,$O2444),""))</f>
      </c>
      <c r="K2444" s="221">
        <f>IF($I2444="Phản ánh",INDEX('Phản ánh'!$K$6:$K$505,MATCH($C2444,'Phản ánh'!$A$6:$A$505,0))&amp;"",IF($I2444="Công việc",INDEX('Kế hoạch'!$N$6:$N$305,$O2444)&amp;"",""))</f>
      </c>
      <c r="L2444" s="220">
        <f>IF(OR($C2444="",N($B2444)=0),"",IF(AND($I2444="Phản ánh",$E2444="Đã xử lý"),INDEX('Phản ánh'!$U$6:$U$505,MATCH($C2444,'Phản ánh'!$A$6:$A$505,0)),IF(AND($I2444="Công việc",OR($E2444="Hoàn thành",$E2444="Hoàn thành kỳ")),IF(INDEX('Kế hoạch'!$B$6:$B$305,$O2444)="Đột xuất",INDEX('Kế hoạch'!$AY$6:$AY$305,$O2444),IF(N($P2444)=0,"",IF(INT($B2444)&lt;$P2444,$P2444,IF($Q2444&gt;0,$P2444+ROUND((INT($B2444)-$P2444)/$Q2444,0)*$Q2444,IF($R2444&gt;0,EDATE($P2444,ROUND((DATEDIF($P2444,INT($B2444),"m")+(INT($B2444)-EDATE($P2444,DATEDIF($P2444,INT($B2444),"m")))/(EDATE($P2444,DATEDIF($P2444,INT($B2444),"m")+1)-EDATE($P2444,DATEDIF($P2444,INT($B2444),"m"))))/$R2444,0)*$R2444),$P2444))))),"")))</f>
      </c>
      <c r="M2444" s="223">
        <f>IF(OR($C2444="",N($L2444)=0,N($B2444)=0),"",IF(IF(MOD($L2444,1)=0,INT($B2444),$B2444)&lt;=$L2444,"Đúng hạn","Trễ hạn"))</f>
      </c>
      <c r="N2444" s="225">
        <f>IF($C2444="","",ROW())</f>
      </c>
      <c r="O2444" s="225">
        <f>IF($I2444="Công việc",MATCH($C2444,'Kế hoạch'!$A$6:$A$305,0),"")</f>
      </c>
      <c r="P2444" s="234">
        <f>IF($O2444="","",INDEX('Kế hoạch'!$I$6:$I$305,$O2444))</f>
      </c>
      <c r="Q2444" s="225">
        <f>IF($O2444="","",INDEX('Kế hoạch'!$AJ$6:$AJ$305,$O2444))</f>
      </c>
      <c r="R2444" s="225">
        <f>IF($O2444="","",INDEX('Kế hoạch'!$AK$6:$AK$305,$O2444))</f>
      </c>
    </row>
    <row r="2445">
      <c r="A2445" s="223">
        <f>IF($C2445="","",COUNTIF($C$6:$C2445,"?*"))</f>
      </c>
      <c r="B2445" s="217"/>
      <c r="C2445" s="216"/>
      <c r="D2445" s="240"/>
      <c r="E2445" s="218"/>
      <c r="F2445" s="218"/>
      <c r="G2445" s="218"/>
      <c r="H2445" s="219"/>
      <c r="I2445" s="223">
        <f>IF($C2445="","",IF(ISNUMBER(MATCH($C2445,'Phản ánh'!$A$6:$A$505,0)),"Phản ánh",IF(ISNUMBER(MATCH($C2445,'Kế hoạch'!$A$6:$A$305,0)),"Công việc","Mã chưa có")))</f>
      </c>
      <c r="J2445" s="221">
        <f>IF($I2445="Phản ánh",INDEX('Phản ánh'!$C$6:$C$505,MATCH($C2445,'Phản ánh'!$A$6:$A$505,0)),IF($I2445="Công việc",INDEX('Kế hoạch'!$C$6:$C$305,$O2445),""))</f>
      </c>
      <c r="K2445" s="221">
        <f>IF($I2445="Phản ánh",INDEX('Phản ánh'!$K$6:$K$505,MATCH($C2445,'Phản ánh'!$A$6:$A$505,0))&amp;"",IF($I2445="Công việc",INDEX('Kế hoạch'!$N$6:$N$305,$O2445)&amp;"",""))</f>
      </c>
      <c r="L2445" s="220">
        <f>IF(OR($C2445="",N($B2445)=0),"",IF(AND($I2445="Phản ánh",$E2445="Đã xử lý"),INDEX('Phản ánh'!$U$6:$U$505,MATCH($C2445,'Phản ánh'!$A$6:$A$505,0)),IF(AND($I2445="Công việc",OR($E2445="Hoàn thành",$E2445="Hoàn thành kỳ")),IF(INDEX('Kế hoạch'!$B$6:$B$305,$O2445)="Đột xuất",INDEX('Kế hoạch'!$AY$6:$AY$305,$O2445),IF(N($P2445)=0,"",IF(INT($B2445)&lt;$P2445,$P2445,IF($Q2445&gt;0,$P2445+ROUND((INT($B2445)-$P2445)/$Q2445,0)*$Q2445,IF($R2445&gt;0,EDATE($P2445,ROUND((DATEDIF($P2445,INT($B2445),"m")+(INT($B2445)-EDATE($P2445,DATEDIF($P2445,INT($B2445),"m")))/(EDATE($P2445,DATEDIF($P2445,INT($B2445),"m")+1)-EDATE($P2445,DATEDIF($P2445,INT($B2445),"m"))))/$R2445,0)*$R2445),$P2445))))),"")))</f>
      </c>
      <c r="M2445" s="223">
        <f>IF(OR($C2445="",N($L2445)=0,N($B2445)=0),"",IF(IF(MOD($L2445,1)=0,INT($B2445),$B2445)&lt;=$L2445,"Đúng hạn","Trễ hạn"))</f>
      </c>
      <c r="N2445" s="225">
        <f>IF($C2445="","",ROW())</f>
      </c>
      <c r="O2445" s="225">
        <f>IF($I2445="Công việc",MATCH($C2445,'Kế hoạch'!$A$6:$A$305,0),"")</f>
      </c>
      <c r="P2445" s="234">
        <f>IF($O2445="","",INDEX('Kế hoạch'!$I$6:$I$305,$O2445))</f>
      </c>
      <c r="Q2445" s="225">
        <f>IF($O2445="","",INDEX('Kế hoạch'!$AJ$6:$AJ$305,$O2445))</f>
      </c>
      <c r="R2445" s="225">
        <f>IF($O2445="","",INDEX('Kế hoạch'!$AK$6:$AK$305,$O2445))</f>
      </c>
    </row>
    <row r="2446">
      <c r="A2446" s="223">
        <f>IF($C2446="","",COUNTIF($C$6:$C2446,"?*"))</f>
      </c>
      <c r="B2446" s="217"/>
      <c r="C2446" s="216"/>
      <c r="D2446" s="240"/>
      <c r="E2446" s="218"/>
      <c r="F2446" s="218"/>
      <c r="G2446" s="218"/>
      <c r="H2446" s="219"/>
      <c r="I2446" s="223">
        <f>IF($C2446="","",IF(ISNUMBER(MATCH($C2446,'Phản ánh'!$A$6:$A$505,0)),"Phản ánh",IF(ISNUMBER(MATCH($C2446,'Kế hoạch'!$A$6:$A$305,0)),"Công việc","Mã chưa có")))</f>
      </c>
      <c r="J2446" s="221">
        <f>IF($I2446="Phản ánh",INDEX('Phản ánh'!$C$6:$C$505,MATCH($C2446,'Phản ánh'!$A$6:$A$505,0)),IF($I2446="Công việc",INDEX('Kế hoạch'!$C$6:$C$305,$O2446),""))</f>
      </c>
      <c r="K2446" s="221">
        <f>IF($I2446="Phản ánh",INDEX('Phản ánh'!$K$6:$K$505,MATCH($C2446,'Phản ánh'!$A$6:$A$505,0))&amp;"",IF($I2446="Công việc",INDEX('Kế hoạch'!$N$6:$N$305,$O2446)&amp;"",""))</f>
      </c>
      <c r="L2446" s="220">
        <f>IF(OR($C2446="",N($B2446)=0),"",IF(AND($I2446="Phản ánh",$E2446="Đã xử lý"),INDEX('Phản ánh'!$U$6:$U$505,MATCH($C2446,'Phản ánh'!$A$6:$A$505,0)),IF(AND($I2446="Công việc",OR($E2446="Hoàn thành",$E2446="Hoàn thành kỳ")),IF(INDEX('Kế hoạch'!$B$6:$B$305,$O2446)="Đột xuất",INDEX('Kế hoạch'!$AY$6:$AY$305,$O2446),IF(N($P2446)=0,"",IF(INT($B2446)&lt;$P2446,$P2446,IF($Q2446&gt;0,$P2446+ROUND((INT($B2446)-$P2446)/$Q2446,0)*$Q2446,IF($R2446&gt;0,EDATE($P2446,ROUND((DATEDIF($P2446,INT($B2446),"m")+(INT($B2446)-EDATE($P2446,DATEDIF($P2446,INT($B2446),"m")))/(EDATE($P2446,DATEDIF($P2446,INT($B2446),"m")+1)-EDATE($P2446,DATEDIF($P2446,INT($B2446),"m"))))/$R2446,0)*$R2446),$P2446))))),"")))</f>
      </c>
      <c r="M2446" s="223">
        <f>IF(OR($C2446="",N($L2446)=0,N($B2446)=0),"",IF(IF(MOD($L2446,1)=0,INT($B2446),$B2446)&lt;=$L2446,"Đúng hạn","Trễ hạn"))</f>
      </c>
      <c r="N2446" s="225">
        <f>IF($C2446="","",ROW())</f>
      </c>
      <c r="O2446" s="225">
        <f>IF($I2446="Công việc",MATCH($C2446,'Kế hoạch'!$A$6:$A$305,0),"")</f>
      </c>
      <c r="P2446" s="234">
        <f>IF($O2446="","",INDEX('Kế hoạch'!$I$6:$I$305,$O2446))</f>
      </c>
      <c r="Q2446" s="225">
        <f>IF($O2446="","",INDEX('Kế hoạch'!$AJ$6:$AJ$305,$O2446))</f>
      </c>
      <c r="R2446" s="225">
        <f>IF($O2446="","",INDEX('Kế hoạch'!$AK$6:$AK$305,$O2446))</f>
      </c>
    </row>
    <row r="2447">
      <c r="A2447" s="223">
        <f>IF($C2447="","",COUNTIF($C$6:$C2447,"?*"))</f>
      </c>
      <c r="B2447" s="217"/>
      <c r="C2447" s="216"/>
      <c r="D2447" s="240"/>
      <c r="E2447" s="218"/>
      <c r="F2447" s="218"/>
      <c r="G2447" s="218"/>
      <c r="H2447" s="219"/>
      <c r="I2447" s="223">
        <f>IF($C2447="","",IF(ISNUMBER(MATCH($C2447,'Phản ánh'!$A$6:$A$505,0)),"Phản ánh",IF(ISNUMBER(MATCH($C2447,'Kế hoạch'!$A$6:$A$305,0)),"Công việc","Mã chưa có")))</f>
      </c>
      <c r="J2447" s="221">
        <f>IF($I2447="Phản ánh",INDEX('Phản ánh'!$C$6:$C$505,MATCH($C2447,'Phản ánh'!$A$6:$A$505,0)),IF($I2447="Công việc",INDEX('Kế hoạch'!$C$6:$C$305,$O2447),""))</f>
      </c>
      <c r="K2447" s="221">
        <f>IF($I2447="Phản ánh",INDEX('Phản ánh'!$K$6:$K$505,MATCH($C2447,'Phản ánh'!$A$6:$A$505,0))&amp;"",IF($I2447="Công việc",INDEX('Kế hoạch'!$N$6:$N$305,$O2447)&amp;"",""))</f>
      </c>
      <c r="L2447" s="220">
        <f>IF(OR($C2447="",N($B2447)=0),"",IF(AND($I2447="Phản ánh",$E2447="Đã xử lý"),INDEX('Phản ánh'!$U$6:$U$505,MATCH($C2447,'Phản ánh'!$A$6:$A$505,0)),IF(AND($I2447="Công việc",OR($E2447="Hoàn thành",$E2447="Hoàn thành kỳ")),IF(INDEX('Kế hoạch'!$B$6:$B$305,$O2447)="Đột xuất",INDEX('Kế hoạch'!$AY$6:$AY$305,$O2447),IF(N($P2447)=0,"",IF(INT($B2447)&lt;$P2447,$P2447,IF($Q2447&gt;0,$P2447+ROUND((INT($B2447)-$P2447)/$Q2447,0)*$Q2447,IF($R2447&gt;0,EDATE($P2447,ROUND((DATEDIF($P2447,INT($B2447),"m")+(INT($B2447)-EDATE($P2447,DATEDIF($P2447,INT($B2447),"m")))/(EDATE($P2447,DATEDIF($P2447,INT($B2447),"m")+1)-EDATE($P2447,DATEDIF($P2447,INT($B2447),"m"))))/$R2447,0)*$R2447),$P2447))))),"")))</f>
      </c>
      <c r="M2447" s="223">
        <f>IF(OR($C2447="",N($L2447)=0,N($B2447)=0),"",IF(IF(MOD($L2447,1)=0,INT($B2447),$B2447)&lt;=$L2447,"Đúng hạn","Trễ hạn"))</f>
      </c>
      <c r="N2447" s="225">
        <f>IF($C2447="","",ROW())</f>
      </c>
      <c r="O2447" s="225">
        <f>IF($I2447="Công việc",MATCH($C2447,'Kế hoạch'!$A$6:$A$305,0),"")</f>
      </c>
      <c r="P2447" s="234">
        <f>IF($O2447="","",INDEX('Kế hoạch'!$I$6:$I$305,$O2447))</f>
      </c>
      <c r="Q2447" s="225">
        <f>IF($O2447="","",INDEX('Kế hoạch'!$AJ$6:$AJ$305,$O2447))</f>
      </c>
      <c r="R2447" s="225">
        <f>IF($O2447="","",INDEX('Kế hoạch'!$AK$6:$AK$305,$O2447))</f>
      </c>
    </row>
    <row r="2448">
      <c r="A2448" s="223">
        <f>IF($C2448="","",COUNTIF($C$6:$C2448,"?*"))</f>
      </c>
      <c r="B2448" s="217"/>
      <c r="C2448" s="216"/>
      <c r="D2448" s="240"/>
      <c r="E2448" s="218"/>
      <c r="F2448" s="218"/>
      <c r="G2448" s="218"/>
      <c r="H2448" s="219"/>
      <c r="I2448" s="223">
        <f>IF($C2448="","",IF(ISNUMBER(MATCH($C2448,'Phản ánh'!$A$6:$A$505,0)),"Phản ánh",IF(ISNUMBER(MATCH($C2448,'Kế hoạch'!$A$6:$A$305,0)),"Công việc","Mã chưa có")))</f>
      </c>
      <c r="J2448" s="221">
        <f>IF($I2448="Phản ánh",INDEX('Phản ánh'!$C$6:$C$505,MATCH($C2448,'Phản ánh'!$A$6:$A$505,0)),IF($I2448="Công việc",INDEX('Kế hoạch'!$C$6:$C$305,$O2448),""))</f>
      </c>
      <c r="K2448" s="221">
        <f>IF($I2448="Phản ánh",INDEX('Phản ánh'!$K$6:$K$505,MATCH($C2448,'Phản ánh'!$A$6:$A$505,0))&amp;"",IF($I2448="Công việc",INDEX('Kế hoạch'!$N$6:$N$305,$O2448)&amp;"",""))</f>
      </c>
      <c r="L2448" s="220">
        <f>IF(OR($C2448="",N($B2448)=0),"",IF(AND($I2448="Phản ánh",$E2448="Đã xử lý"),INDEX('Phản ánh'!$U$6:$U$505,MATCH($C2448,'Phản ánh'!$A$6:$A$505,0)),IF(AND($I2448="Công việc",OR($E2448="Hoàn thành",$E2448="Hoàn thành kỳ")),IF(INDEX('Kế hoạch'!$B$6:$B$305,$O2448)="Đột xuất",INDEX('Kế hoạch'!$AY$6:$AY$305,$O2448),IF(N($P2448)=0,"",IF(INT($B2448)&lt;$P2448,$P2448,IF($Q2448&gt;0,$P2448+ROUND((INT($B2448)-$P2448)/$Q2448,0)*$Q2448,IF($R2448&gt;0,EDATE($P2448,ROUND((DATEDIF($P2448,INT($B2448),"m")+(INT($B2448)-EDATE($P2448,DATEDIF($P2448,INT($B2448),"m")))/(EDATE($P2448,DATEDIF($P2448,INT($B2448),"m")+1)-EDATE($P2448,DATEDIF($P2448,INT($B2448),"m"))))/$R2448,0)*$R2448),$P2448))))),"")))</f>
      </c>
      <c r="M2448" s="223">
        <f>IF(OR($C2448="",N($L2448)=0,N($B2448)=0),"",IF(IF(MOD($L2448,1)=0,INT($B2448),$B2448)&lt;=$L2448,"Đúng hạn","Trễ hạn"))</f>
      </c>
      <c r="N2448" s="225">
        <f>IF($C2448="","",ROW())</f>
      </c>
      <c r="O2448" s="225">
        <f>IF($I2448="Công việc",MATCH($C2448,'Kế hoạch'!$A$6:$A$305,0),"")</f>
      </c>
      <c r="P2448" s="234">
        <f>IF($O2448="","",INDEX('Kế hoạch'!$I$6:$I$305,$O2448))</f>
      </c>
      <c r="Q2448" s="225">
        <f>IF($O2448="","",INDEX('Kế hoạch'!$AJ$6:$AJ$305,$O2448))</f>
      </c>
      <c r="R2448" s="225">
        <f>IF($O2448="","",INDEX('Kế hoạch'!$AK$6:$AK$305,$O2448))</f>
      </c>
    </row>
    <row r="2449">
      <c r="A2449" s="223">
        <f>IF($C2449="","",COUNTIF($C$6:$C2449,"?*"))</f>
      </c>
      <c r="B2449" s="217"/>
      <c r="C2449" s="216"/>
      <c r="D2449" s="240"/>
      <c r="E2449" s="218"/>
      <c r="F2449" s="218"/>
      <c r="G2449" s="218"/>
      <c r="H2449" s="219"/>
      <c r="I2449" s="223">
        <f>IF($C2449="","",IF(ISNUMBER(MATCH($C2449,'Phản ánh'!$A$6:$A$505,0)),"Phản ánh",IF(ISNUMBER(MATCH($C2449,'Kế hoạch'!$A$6:$A$305,0)),"Công việc","Mã chưa có")))</f>
      </c>
      <c r="J2449" s="221">
        <f>IF($I2449="Phản ánh",INDEX('Phản ánh'!$C$6:$C$505,MATCH($C2449,'Phản ánh'!$A$6:$A$505,0)),IF($I2449="Công việc",INDEX('Kế hoạch'!$C$6:$C$305,$O2449),""))</f>
      </c>
      <c r="K2449" s="221">
        <f>IF($I2449="Phản ánh",INDEX('Phản ánh'!$K$6:$K$505,MATCH($C2449,'Phản ánh'!$A$6:$A$505,0))&amp;"",IF($I2449="Công việc",INDEX('Kế hoạch'!$N$6:$N$305,$O2449)&amp;"",""))</f>
      </c>
      <c r="L2449" s="220">
        <f>IF(OR($C2449="",N($B2449)=0),"",IF(AND($I2449="Phản ánh",$E2449="Đã xử lý"),INDEX('Phản ánh'!$U$6:$U$505,MATCH($C2449,'Phản ánh'!$A$6:$A$505,0)),IF(AND($I2449="Công việc",OR($E2449="Hoàn thành",$E2449="Hoàn thành kỳ")),IF(INDEX('Kế hoạch'!$B$6:$B$305,$O2449)="Đột xuất",INDEX('Kế hoạch'!$AY$6:$AY$305,$O2449),IF(N($P2449)=0,"",IF(INT($B2449)&lt;$P2449,$P2449,IF($Q2449&gt;0,$P2449+ROUND((INT($B2449)-$P2449)/$Q2449,0)*$Q2449,IF($R2449&gt;0,EDATE($P2449,ROUND((DATEDIF($P2449,INT($B2449),"m")+(INT($B2449)-EDATE($P2449,DATEDIF($P2449,INT($B2449),"m")))/(EDATE($P2449,DATEDIF($P2449,INT($B2449),"m")+1)-EDATE($P2449,DATEDIF($P2449,INT($B2449),"m"))))/$R2449,0)*$R2449),$P2449))))),"")))</f>
      </c>
      <c r="M2449" s="223">
        <f>IF(OR($C2449="",N($L2449)=0,N($B2449)=0),"",IF(IF(MOD($L2449,1)=0,INT($B2449),$B2449)&lt;=$L2449,"Đúng hạn","Trễ hạn"))</f>
      </c>
      <c r="N2449" s="225">
        <f>IF($C2449="","",ROW())</f>
      </c>
      <c r="O2449" s="225">
        <f>IF($I2449="Công việc",MATCH($C2449,'Kế hoạch'!$A$6:$A$305,0),"")</f>
      </c>
      <c r="P2449" s="234">
        <f>IF($O2449="","",INDEX('Kế hoạch'!$I$6:$I$305,$O2449))</f>
      </c>
      <c r="Q2449" s="225">
        <f>IF($O2449="","",INDEX('Kế hoạch'!$AJ$6:$AJ$305,$O2449))</f>
      </c>
      <c r="R2449" s="225">
        <f>IF($O2449="","",INDEX('Kế hoạch'!$AK$6:$AK$305,$O2449))</f>
      </c>
    </row>
    <row r="2450">
      <c r="A2450" s="223">
        <f>IF($C2450="","",COUNTIF($C$6:$C2450,"?*"))</f>
      </c>
      <c r="B2450" s="217"/>
      <c r="C2450" s="216"/>
      <c r="D2450" s="240"/>
      <c r="E2450" s="218"/>
      <c r="F2450" s="218"/>
      <c r="G2450" s="218"/>
      <c r="H2450" s="219"/>
      <c r="I2450" s="223">
        <f>IF($C2450="","",IF(ISNUMBER(MATCH($C2450,'Phản ánh'!$A$6:$A$505,0)),"Phản ánh",IF(ISNUMBER(MATCH($C2450,'Kế hoạch'!$A$6:$A$305,0)),"Công việc","Mã chưa có")))</f>
      </c>
      <c r="J2450" s="221">
        <f>IF($I2450="Phản ánh",INDEX('Phản ánh'!$C$6:$C$505,MATCH($C2450,'Phản ánh'!$A$6:$A$505,0)),IF($I2450="Công việc",INDEX('Kế hoạch'!$C$6:$C$305,$O2450),""))</f>
      </c>
      <c r="K2450" s="221">
        <f>IF($I2450="Phản ánh",INDEX('Phản ánh'!$K$6:$K$505,MATCH($C2450,'Phản ánh'!$A$6:$A$505,0))&amp;"",IF($I2450="Công việc",INDEX('Kế hoạch'!$N$6:$N$305,$O2450)&amp;"",""))</f>
      </c>
      <c r="L2450" s="220">
        <f>IF(OR($C2450="",N($B2450)=0),"",IF(AND($I2450="Phản ánh",$E2450="Đã xử lý"),INDEX('Phản ánh'!$U$6:$U$505,MATCH($C2450,'Phản ánh'!$A$6:$A$505,0)),IF(AND($I2450="Công việc",OR($E2450="Hoàn thành",$E2450="Hoàn thành kỳ")),IF(INDEX('Kế hoạch'!$B$6:$B$305,$O2450)="Đột xuất",INDEX('Kế hoạch'!$AY$6:$AY$305,$O2450),IF(N($P2450)=0,"",IF(INT($B2450)&lt;$P2450,$P2450,IF($Q2450&gt;0,$P2450+ROUND((INT($B2450)-$P2450)/$Q2450,0)*$Q2450,IF($R2450&gt;0,EDATE($P2450,ROUND((DATEDIF($P2450,INT($B2450),"m")+(INT($B2450)-EDATE($P2450,DATEDIF($P2450,INT($B2450),"m")))/(EDATE($P2450,DATEDIF($P2450,INT($B2450),"m")+1)-EDATE($P2450,DATEDIF($P2450,INT($B2450),"m"))))/$R2450,0)*$R2450),$P2450))))),"")))</f>
      </c>
      <c r="M2450" s="223">
        <f>IF(OR($C2450="",N($L2450)=0,N($B2450)=0),"",IF(IF(MOD($L2450,1)=0,INT($B2450),$B2450)&lt;=$L2450,"Đúng hạn","Trễ hạn"))</f>
      </c>
      <c r="N2450" s="225">
        <f>IF($C2450="","",ROW())</f>
      </c>
      <c r="O2450" s="225">
        <f>IF($I2450="Công việc",MATCH($C2450,'Kế hoạch'!$A$6:$A$305,0),"")</f>
      </c>
      <c r="P2450" s="234">
        <f>IF($O2450="","",INDEX('Kế hoạch'!$I$6:$I$305,$O2450))</f>
      </c>
      <c r="Q2450" s="225">
        <f>IF($O2450="","",INDEX('Kế hoạch'!$AJ$6:$AJ$305,$O2450))</f>
      </c>
      <c r="R2450" s="225">
        <f>IF($O2450="","",INDEX('Kế hoạch'!$AK$6:$AK$305,$O2450))</f>
      </c>
    </row>
    <row r="2451">
      <c r="A2451" s="223">
        <f>IF($C2451="","",COUNTIF($C$6:$C2451,"?*"))</f>
      </c>
      <c r="B2451" s="217"/>
      <c r="C2451" s="216"/>
      <c r="D2451" s="240"/>
      <c r="E2451" s="218"/>
      <c r="F2451" s="218"/>
      <c r="G2451" s="218"/>
      <c r="H2451" s="219"/>
      <c r="I2451" s="223">
        <f>IF($C2451="","",IF(ISNUMBER(MATCH($C2451,'Phản ánh'!$A$6:$A$505,0)),"Phản ánh",IF(ISNUMBER(MATCH($C2451,'Kế hoạch'!$A$6:$A$305,0)),"Công việc","Mã chưa có")))</f>
      </c>
      <c r="J2451" s="221">
        <f>IF($I2451="Phản ánh",INDEX('Phản ánh'!$C$6:$C$505,MATCH($C2451,'Phản ánh'!$A$6:$A$505,0)),IF($I2451="Công việc",INDEX('Kế hoạch'!$C$6:$C$305,$O2451),""))</f>
      </c>
      <c r="K2451" s="221">
        <f>IF($I2451="Phản ánh",INDEX('Phản ánh'!$K$6:$K$505,MATCH($C2451,'Phản ánh'!$A$6:$A$505,0))&amp;"",IF($I2451="Công việc",INDEX('Kế hoạch'!$N$6:$N$305,$O2451)&amp;"",""))</f>
      </c>
      <c r="L2451" s="220">
        <f>IF(OR($C2451="",N($B2451)=0),"",IF(AND($I2451="Phản ánh",$E2451="Đã xử lý"),INDEX('Phản ánh'!$U$6:$U$505,MATCH($C2451,'Phản ánh'!$A$6:$A$505,0)),IF(AND($I2451="Công việc",OR($E2451="Hoàn thành",$E2451="Hoàn thành kỳ")),IF(INDEX('Kế hoạch'!$B$6:$B$305,$O2451)="Đột xuất",INDEX('Kế hoạch'!$AY$6:$AY$305,$O2451),IF(N($P2451)=0,"",IF(INT($B2451)&lt;$P2451,$P2451,IF($Q2451&gt;0,$P2451+ROUND((INT($B2451)-$P2451)/$Q2451,0)*$Q2451,IF($R2451&gt;0,EDATE($P2451,ROUND((DATEDIF($P2451,INT($B2451),"m")+(INT($B2451)-EDATE($P2451,DATEDIF($P2451,INT($B2451),"m")))/(EDATE($P2451,DATEDIF($P2451,INT($B2451),"m")+1)-EDATE($P2451,DATEDIF($P2451,INT($B2451),"m"))))/$R2451,0)*$R2451),$P2451))))),"")))</f>
      </c>
      <c r="M2451" s="223">
        <f>IF(OR($C2451="",N($L2451)=0,N($B2451)=0),"",IF(IF(MOD($L2451,1)=0,INT($B2451),$B2451)&lt;=$L2451,"Đúng hạn","Trễ hạn"))</f>
      </c>
      <c r="N2451" s="225">
        <f>IF($C2451="","",ROW())</f>
      </c>
      <c r="O2451" s="225">
        <f>IF($I2451="Công việc",MATCH($C2451,'Kế hoạch'!$A$6:$A$305,0),"")</f>
      </c>
      <c r="P2451" s="234">
        <f>IF($O2451="","",INDEX('Kế hoạch'!$I$6:$I$305,$O2451))</f>
      </c>
      <c r="Q2451" s="225">
        <f>IF($O2451="","",INDEX('Kế hoạch'!$AJ$6:$AJ$305,$O2451))</f>
      </c>
      <c r="R2451" s="225">
        <f>IF($O2451="","",INDEX('Kế hoạch'!$AK$6:$AK$305,$O2451))</f>
      </c>
    </row>
    <row r="2452">
      <c r="A2452" s="223">
        <f>IF($C2452="","",COUNTIF($C$6:$C2452,"?*"))</f>
      </c>
      <c r="B2452" s="217"/>
      <c r="C2452" s="216"/>
      <c r="D2452" s="240"/>
      <c r="E2452" s="218"/>
      <c r="F2452" s="218"/>
      <c r="G2452" s="218"/>
      <c r="H2452" s="219"/>
      <c r="I2452" s="223">
        <f>IF($C2452="","",IF(ISNUMBER(MATCH($C2452,'Phản ánh'!$A$6:$A$505,0)),"Phản ánh",IF(ISNUMBER(MATCH($C2452,'Kế hoạch'!$A$6:$A$305,0)),"Công việc","Mã chưa có")))</f>
      </c>
      <c r="J2452" s="221">
        <f>IF($I2452="Phản ánh",INDEX('Phản ánh'!$C$6:$C$505,MATCH($C2452,'Phản ánh'!$A$6:$A$505,0)),IF($I2452="Công việc",INDEX('Kế hoạch'!$C$6:$C$305,$O2452),""))</f>
      </c>
      <c r="K2452" s="221">
        <f>IF($I2452="Phản ánh",INDEX('Phản ánh'!$K$6:$K$505,MATCH($C2452,'Phản ánh'!$A$6:$A$505,0))&amp;"",IF($I2452="Công việc",INDEX('Kế hoạch'!$N$6:$N$305,$O2452)&amp;"",""))</f>
      </c>
      <c r="L2452" s="220">
        <f>IF(OR($C2452="",N($B2452)=0),"",IF(AND($I2452="Phản ánh",$E2452="Đã xử lý"),INDEX('Phản ánh'!$U$6:$U$505,MATCH($C2452,'Phản ánh'!$A$6:$A$505,0)),IF(AND($I2452="Công việc",OR($E2452="Hoàn thành",$E2452="Hoàn thành kỳ")),IF(INDEX('Kế hoạch'!$B$6:$B$305,$O2452)="Đột xuất",INDEX('Kế hoạch'!$AY$6:$AY$305,$O2452),IF(N($P2452)=0,"",IF(INT($B2452)&lt;$P2452,$P2452,IF($Q2452&gt;0,$P2452+ROUND((INT($B2452)-$P2452)/$Q2452,0)*$Q2452,IF($R2452&gt;0,EDATE($P2452,ROUND((DATEDIF($P2452,INT($B2452),"m")+(INT($B2452)-EDATE($P2452,DATEDIF($P2452,INT($B2452),"m")))/(EDATE($P2452,DATEDIF($P2452,INT($B2452),"m")+1)-EDATE($P2452,DATEDIF($P2452,INT($B2452),"m"))))/$R2452,0)*$R2452),$P2452))))),"")))</f>
      </c>
      <c r="M2452" s="223">
        <f>IF(OR($C2452="",N($L2452)=0,N($B2452)=0),"",IF(IF(MOD($L2452,1)=0,INT($B2452),$B2452)&lt;=$L2452,"Đúng hạn","Trễ hạn"))</f>
      </c>
      <c r="N2452" s="225">
        <f>IF($C2452="","",ROW())</f>
      </c>
      <c r="O2452" s="225">
        <f>IF($I2452="Công việc",MATCH($C2452,'Kế hoạch'!$A$6:$A$305,0),"")</f>
      </c>
      <c r="P2452" s="234">
        <f>IF($O2452="","",INDEX('Kế hoạch'!$I$6:$I$305,$O2452))</f>
      </c>
      <c r="Q2452" s="225">
        <f>IF($O2452="","",INDEX('Kế hoạch'!$AJ$6:$AJ$305,$O2452))</f>
      </c>
      <c r="R2452" s="225">
        <f>IF($O2452="","",INDEX('Kế hoạch'!$AK$6:$AK$305,$O2452))</f>
      </c>
    </row>
    <row r="2453">
      <c r="A2453" s="223">
        <f>IF($C2453="","",COUNTIF($C$6:$C2453,"?*"))</f>
      </c>
      <c r="B2453" s="217"/>
      <c r="C2453" s="216"/>
      <c r="D2453" s="240"/>
      <c r="E2453" s="218"/>
      <c r="F2453" s="218"/>
      <c r="G2453" s="218"/>
      <c r="H2453" s="219"/>
      <c r="I2453" s="223">
        <f>IF($C2453="","",IF(ISNUMBER(MATCH($C2453,'Phản ánh'!$A$6:$A$505,0)),"Phản ánh",IF(ISNUMBER(MATCH($C2453,'Kế hoạch'!$A$6:$A$305,0)),"Công việc","Mã chưa có")))</f>
      </c>
      <c r="J2453" s="221">
        <f>IF($I2453="Phản ánh",INDEX('Phản ánh'!$C$6:$C$505,MATCH($C2453,'Phản ánh'!$A$6:$A$505,0)),IF($I2453="Công việc",INDEX('Kế hoạch'!$C$6:$C$305,$O2453),""))</f>
      </c>
      <c r="K2453" s="221">
        <f>IF($I2453="Phản ánh",INDEX('Phản ánh'!$K$6:$K$505,MATCH($C2453,'Phản ánh'!$A$6:$A$505,0))&amp;"",IF($I2453="Công việc",INDEX('Kế hoạch'!$N$6:$N$305,$O2453)&amp;"",""))</f>
      </c>
      <c r="L2453" s="220">
        <f>IF(OR($C2453="",N($B2453)=0),"",IF(AND($I2453="Phản ánh",$E2453="Đã xử lý"),INDEX('Phản ánh'!$U$6:$U$505,MATCH($C2453,'Phản ánh'!$A$6:$A$505,0)),IF(AND($I2453="Công việc",OR($E2453="Hoàn thành",$E2453="Hoàn thành kỳ")),IF(INDEX('Kế hoạch'!$B$6:$B$305,$O2453)="Đột xuất",INDEX('Kế hoạch'!$AY$6:$AY$305,$O2453),IF(N($P2453)=0,"",IF(INT($B2453)&lt;$P2453,$P2453,IF($Q2453&gt;0,$P2453+ROUND((INT($B2453)-$P2453)/$Q2453,0)*$Q2453,IF($R2453&gt;0,EDATE($P2453,ROUND((DATEDIF($P2453,INT($B2453),"m")+(INT($B2453)-EDATE($P2453,DATEDIF($P2453,INT($B2453),"m")))/(EDATE($P2453,DATEDIF($P2453,INT($B2453),"m")+1)-EDATE($P2453,DATEDIF($P2453,INT($B2453),"m"))))/$R2453,0)*$R2453),$P2453))))),"")))</f>
      </c>
      <c r="M2453" s="223">
        <f>IF(OR($C2453="",N($L2453)=0,N($B2453)=0),"",IF(IF(MOD($L2453,1)=0,INT($B2453),$B2453)&lt;=$L2453,"Đúng hạn","Trễ hạn"))</f>
      </c>
      <c r="N2453" s="225">
        <f>IF($C2453="","",ROW())</f>
      </c>
      <c r="O2453" s="225">
        <f>IF($I2453="Công việc",MATCH($C2453,'Kế hoạch'!$A$6:$A$305,0),"")</f>
      </c>
      <c r="P2453" s="234">
        <f>IF($O2453="","",INDEX('Kế hoạch'!$I$6:$I$305,$O2453))</f>
      </c>
      <c r="Q2453" s="225">
        <f>IF($O2453="","",INDEX('Kế hoạch'!$AJ$6:$AJ$305,$O2453))</f>
      </c>
      <c r="R2453" s="225">
        <f>IF($O2453="","",INDEX('Kế hoạch'!$AK$6:$AK$305,$O2453))</f>
      </c>
    </row>
    <row r="2454">
      <c r="A2454" s="223">
        <f>IF($C2454="","",COUNTIF($C$6:$C2454,"?*"))</f>
      </c>
      <c r="B2454" s="217"/>
      <c r="C2454" s="216"/>
      <c r="D2454" s="240"/>
      <c r="E2454" s="218"/>
      <c r="F2454" s="218"/>
      <c r="G2454" s="218"/>
      <c r="H2454" s="219"/>
      <c r="I2454" s="223">
        <f>IF($C2454="","",IF(ISNUMBER(MATCH($C2454,'Phản ánh'!$A$6:$A$505,0)),"Phản ánh",IF(ISNUMBER(MATCH($C2454,'Kế hoạch'!$A$6:$A$305,0)),"Công việc","Mã chưa có")))</f>
      </c>
      <c r="J2454" s="221">
        <f>IF($I2454="Phản ánh",INDEX('Phản ánh'!$C$6:$C$505,MATCH($C2454,'Phản ánh'!$A$6:$A$505,0)),IF($I2454="Công việc",INDEX('Kế hoạch'!$C$6:$C$305,$O2454),""))</f>
      </c>
      <c r="K2454" s="221">
        <f>IF($I2454="Phản ánh",INDEX('Phản ánh'!$K$6:$K$505,MATCH($C2454,'Phản ánh'!$A$6:$A$505,0))&amp;"",IF($I2454="Công việc",INDEX('Kế hoạch'!$N$6:$N$305,$O2454)&amp;"",""))</f>
      </c>
      <c r="L2454" s="220">
        <f>IF(OR($C2454="",N($B2454)=0),"",IF(AND($I2454="Phản ánh",$E2454="Đã xử lý"),INDEX('Phản ánh'!$U$6:$U$505,MATCH($C2454,'Phản ánh'!$A$6:$A$505,0)),IF(AND($I2454="Công việc",OR($E2454="Hoàn thành",$E2454="Hoàn thành kỳ")),IF(INDEX('Kế hoạch'!$B$6:$B$305,$O2454)="Đột xuất",INDEX('Kế hoạch'!$AY$6:$AY$305,$O2454),IF(N($P2454)=0,"",IF(INT($B2454)&lt;$P2454,$P2454,IF($Q2454&gt;0,$P2454+ROUND((INT($B2454)-$P2454)/$Q2454,0)*$Q2454,IF($R2454&gt;0,EDATE($P2454,ROUND((DATEDIF($P2454,INT($B2454),"m")+(INT($B2454)-EDATE($P2454,DATEDIF($P2454,INT($B2454),"m")))/(EDATE($P2454,DATEDIF($P2454,INT($B2454),"m")+1)-EDATE($P2454,DATEDIF($P2454,INT($B2454),"m"))))/$R2454,0)*$R2454),$P2454))))),"")))</f>
      </c>
      <c r="M2454" s="223">
        <f>IF(OR($C2454="",N($L2454)=0,N($B2454)=0),"",IF(IF(MOD($L2454,1)=0,INT($B2454),$B2454)&lt;=$L2454,"Đúng hạn","Trễ hạn"))</f>
      </c>
      <c r="N2454" s="225">
        <f>IF($C2454="","",ROW())</f>
      </c>
      <c r="O2454" s="225">
        <f>IF($I2454="Công việc",MATCH($C2454,'Kế hoạch'!$A$6:$A$305,0),"")</f>
      </c>
      <c r="P2454" s="234">
        <f>IF($O2454="","",INDEX('Kế hoạch'!$I$6:$I$305,$O2454))</f>
      </c>
      <c r="Q2454" s="225">
        <f>IF($O2454="","",INDEX('Kế hoạch'!$AJ$6:$AJ$305,$O2454))</f>
      </c>
      <c r="R2454" s="225">
        <f>IF($O2454="","",INDEX('Kế hoạch'!$AK$6:$AK$305,$O2454))</f>
      </c>
    </row>
    <row r="2455">
      <c r="A2455" s="223">
        <f>IF($C2455="","",COUNTIF($C$6:$C2455,"?*"))</f>
      </c>
      <c r="B2455" s="217"/>
      <c r="C2455" s="216"/>
      <c r="D2455" s="240"/>
      <c r="E2455" s="218"/>
      <c r="F2455" s="218"/>
      <c r="G2455" s="218"/>
      <c r="H2455" s="219"/>
      <c r="I2455" s="223">
        <f>IF($C2455="","",IF(ISNUMBER(MATCH($C2455,'Phản ánh'!$A$6:$A$505,0)),"Phản ánh",IF(ISNUMBER(MATCH($C2455,'Kế hoạch'!$A$6:$A$305,0)),"Công việc","Mã chưa có")))</f>
      </c>
      <c r="J2455" s="221">
        <f>IF($I2455="Phản ánh",INDEX('Phản ánh'!$C$6:$C$505,MATCH($C2455,'Phản ánh'!$A$6:$A$505,0)),IF($I2455="Công việc",INDEX('Kế hoạch'!$C$6:$C$305,$O2455),""))</f>
      </c>
      <c r="K2455" s="221">
        <f>IF($I2455="Phản ánh",INDEX('Phản ánh'!$K$6:$K$505,MATCH($C2455,'Phản ánh'!$A$6:$A$505,0))&amp;"",IF($I2455="Công việc",INDEX('Kế hoạch'!$N$6:$N$305,$O2455)&amp;"",""))</f>
      </c>
      <c r="L2455" s="220">
        <f>IF(OR($C2455="",N($B2455)=0),"",IF(AND($I2455="Phản ánh",$E2455="Đã xử lý"),INDEX('Phản ánh'!$U$6:$U$505,MATCH($C2455,'Phản ánh'!$A$6:$A$505,0)),IF(AND($I2455="Công việc",OR($E2455="Hoàn thành",$E2455="Hoàn thành kỳ")),IF(INDEX('Kế hoạch'!$B$6:$B$305,$O2455)="Đột xuất",INDEX('Kế hoạch'!$AY$6:$AY$305,$O2455),IF(N($P2455)=0,"",IF(INT($B2455)&lt;$P2455,$P2455,IF($Q2455&gt;0,$P2455+ROUND((INT($B2455)-$P2455)/$Q2455,0)*$Q2455,IF($R2455&gt;0,EDATE($P2455,ROUND((DATEDIF($P2455,INT($B2455),"m")+(INT($B2455)-EDATE($P2455,DATEDIF($P2455,INT($B2455),"m")))/(EDATE($P2455,DATEDIF($P2455,INT($B2455),"m")+1)-EDATE($P2455,DATEDIF($P2455,INT($B2455),"m"))))/$R2455,0)*$R2455),$P2455))))),"")))</f>
      </c>
      <c r="M2455" s="223">
        <f>IF(OR($C2455="",N($L2455)=0,N($B2455)=0),"",IF(IF(MOD($L2455,1)=0,INT($B2455),$B2455)&lt;=$L2455,"Đúng hạn","Trễ hạn"))</f>
      </c>
      <c r="N2455" s="225">
        <f>IF($C2455="","",ROW())</f>
      </c>
      <c r="O2455" s="225">
        <f>IF($I2455="Công việc",MATCH($C2455,'Kế hoạch'!$A$6:$A$305,0),"")</f>
      </c>
      <c r="P2455" s="234">
        <f>IF($O2455="","",INDEX('Kế hoạch'!$I$6:$I$305,$O2455))</f>
      </c>
      <c r="Q2455" s="225">
        <f>IF($O2455="","",INDEX('Kế hoạch'!$AJ$6:$AJ$305,$O2455))</f>
      </c>
      <c r="R2455" s="225">
        <f>IF($O2455="","",INDEX('Kế hoạch'!$AK$6:$AK$305,$O2455))</f>
      </c>
    </row>
    <row r="2456">
      <c r="A2456" s="223">
        <f>IF($C2456="","",COUNTIF($C$6:$C2456,"?*"))</f>
      </c>
      <c r="B2456" s="217"/>
      <c r="C2456" s="216"/>
      <c r="D2456" s="240"/>
      <c r="E2456" s="218"/>
      <c r="F2456" s="218"/>
      <c r="G2456" s="218"/>
      <c r="H2456" s="219"/>
      <c r="I2456" s="223">
        <f>IF($C2456="","",IF(ISNUMBER(MATCH($C2456,'Phản ánh'!$A$6:$A$505,0)),"Phản ánh",IF(ISNUMBER(MATCH($C2456,'Kế hoạch'!$A$6:$A$305,0)),"Công việc","Mã chưa có")))</f>
      </c>
      <c r="J2456" s="221">
        <f>IF($I2456="Phản ánh",INDEX('Phản ánh'!$C$6:$C$505,MATCH($C2456,'Phản ánh'!$A$6:$A$505,0)),IF($I2456="Công việc",INDEX('Kế hoạch'!$C$6:$C$305,$O2456),""))</f>
      </c>
      <c r="K2456" s="221">
        <f>IF($I2456="Phản ánh",INDEX('Phản ánh'!$K$6:$K$505,MATCH($C2456,'Phản ánh'!$A$6:$A$505,0))&amp;"",IF($I2456="Công việc",INDEX('Kế hoạch'!$N$6:$N$305,$O2456)&amp;"",""))</f>
      </c>
      <c r="L2456" s="220">
        <f>IF(OR($C2456="",N($B2456)=0),"",IF(AND($I2456="Phản ánh",$E2456="Đã xử lý"),INDEX('Phản ánh'!$U$6:$U$505,MATCH($C2456,'Phản ánh'!$A$6:$A$505,0)),IF(AND($I2456="Công việc",OR($E2456="Hoàn thành",$E2456="Hoàn thành kỳ")),IF(INDEX('Kế hoạch'!$B$6:$B$305,$O2456)="Đột xuất",INDEX('Kế hoạch'!$AY$6:$AY$305,$O2456),IF(N($P2456)=0,"",IF(INT($B2456)&lt;$P2456,$P2456,IF($Q2456&gt;0,$P2456+ROUND((INT($B2456)-$P2456)/$Q2456,0)*$Q2456,IF($R2456&gt;0,EDATE($P2456,ROUND((DATEDIF($P2456,INT($B2456),"m")+(INT($B2456)-EDATE($P2456,DATEDIF($P2456,INT($B2456),"m")))/(EDATE($P2456,DATEDIF($P2456,INT($B2456),"m")+1)-EDATE($P2456,DATEDIF($P2456,INT($B2456),"m"))))/$R2456,0)*$R2456),$P2456))))),"")))</f>
      </c>
      <c r="M2456" s="223">
        <f>IF(OR($C2456="",N($L2456)=0,N($B2456)=0),"",IF(IF(MOD($L2456,1)=0,INT($B2456),$B2456)&lt;=$L2456,"Đúng hạn","Trễ hạn"))</f>
      </c>
      <c r="N2456" s="225">
        <f>IF($C2456="","",ROW())</f>
      </c>
      <c r="O2456" s="225">
        <f>IF($I2456="Công việc",MATCH($C2456,'Kế hoạch'!$A$6:$A$305,0),"")</f>
      </c>
      <c r="P2456" s="234">
        <f>IF($O2456="","",INDEX('Kế hoạch'!$I$6:$I$305,$O2456))</f>
      </c>
      <c r="Q2456" s="225">
        <f>IF($O2456="","",INDEX('Kế hoạch'!$AJ$6:$AJ$305,$O2456))</f>
      </c>
      <c r="R2456" s="225">
        <f>IF($O2456="","",INDEX('Kế hoạch'!$AK$6:$AK$305,$O2456))</f>
      </c>
    </row>
    <row r="2457">
      <c r="A2457" s="223">
        <f>IF($C2457="","",COUNTIF($C$6:$C2457,"?*"))</f>
      </c>
      <c r="B2457" s="217"/>
      <c r="C2457" s="216"/>
      <c r="D2457" s="240"/>
      <c r="E2457" s="218"/>
      <c r="F2457" s="218"/>
      <c r="G2457" s="218"/>
      <c r="H2457" s="219"/>
      <c r="I2457" s="223">
        <f>IF($C2457="","",IF(ISNUMBER(MATCH($C2457,'Phản ánh'!$A$6:$A$505,0)),"Phản ánh",IF(ISNUMBER(MATCH($C2457,'Kế hoạch'!$A$6:$A$305,0)),"Công việc","Mã chưa có")))</f>
      </c>
      <c r="J2457" s="221">
        <f>IF($I2457="Phản ánh",INDEX('Phản ánh'!$C$6:$C$505,MATCH($C2457,'Phản ánh'!$A$6:$A$505,0)),IF($I2457="Công việc",INDEX('Kế hoạch'!$C$6:$C$305,$O2457),""))</f>
      </c>
      <c r="K2457" s="221">
        <f>IF($I2457="Phản ánh",INDEX('Phản ánh'!$K$6:$K$505,MATCH($C2457,'Phản ánh'!$A$6:$A$505,0))&amp;"",IF($I2457="Công việc",INDEX('Kế hoạch'!$N$6:$N$305,$O2457)&amp;"",""))</f>
      </c>
      <c r="L2457" s="220">
        <f>IF(OR($C2457="",N($B2457)=0),"",IF(AND($I2457="Phản ánh",$E2457="Đã xử lý"),INDEX('Phản ánh'!$U$6:$U$505,MATCH($C2457,'Phản ánh'!$A$6:$A$505,0)),IF(AND($I2457="Công việc",OR($E2457="Hoàn thành",$E2457="Hoàn thành kỳ")),IF(INDEX('Kế hoạch'!$B$6:$B$305,$O2457)="Đột xuất",INDEX('Kế hoạch'!$AY$6:$AY$305,$O2457),IF(N($P2457)=0,"",IF(INT($B2457)&lt;$P2457,$P2457,IF($Q2457&gt;0,$P2457+ROUND((INT($B2457)-$P2457)/$Q2457,0)*$Q2457,IF($R2457&gt;0,EDATE($P2457,ROUND((DATEDIF($P2457,INT($B2457),"m")+(INT($B2457)-EDATE($P2457,DATEDIF($P2457,INT($B2457),"m")))/(EDATE($P2457,DATEDIF($P2457,INT($B2457),"m")+1)-EDATE($P2457,DATEDIF($P2457,INT($B2457),"m"))))/$R2457,0)*$R2457),$P2457))))),"")))</f>
      </c>
      <c r="M2457" s="223">
        <f>IF(OR($C2457="",N($L2457)=0,N($B2457)=0),"",IF(IF(MOD($L2457,1)=0,INT($B2457),$B2457)&lt;=$L2457,"Đúng hạn","Trễ hạn"))</f>
      </c>
      <c r="N2457" s="225">
        <f>IF($C2457="","",ROW())</f>
      </c>
      <c r="O2457" s="225">
        <f>IF($I2457="Công việc",MATCH($C2457,'Kế hoạch'!$A$6:$A$305,0),"")</f>
      </c>
      <c r="P2457" s="234">
        <f>IF($O2457="","",INDEX('Kế hoạch'!$I$6:$I$305,$O2457))</f>
      </c>
      <c r="Q2457" s="225">
        <f>IF($O2457="","",INDEX('Kế hoạch'!$AJ$6:$AJ$305,$O2457))</f>
      </c>
      <c r="R2457" s="225">
        <f>IF($O2457="","",INDEX('Kế hoạch'!$AK$6:$AK$305,$O2457))</f>
      </c>
    </row>
    <row r="2458">
      <c r="A2458" s="223">
        <f>IF($C2458="","",COUNTIF($C$6:$C2458,"?*"))</f>
      </c>
      <c r="B2458" s="217"/>
      <c r="C2458" s="216"/>
      <c r="D2458" s="240"/>
      <c r="E2458" s="218"/>
      <c r="F2458" s="218"/>
      <c r="G2458" s="218"/>
      <c r="H2458" s="219"/>
      <c r="I2458" s="223">
        <f>IF($C2458="","",IF(ISNUMBER(MATCH($C2458,'Phản ánh'!$A$6:$A$505,0)),"Phản ánh",IF(ISNUMBER(MATCH($C2458,'Kế hoạch'!$A$6:$A$305,0)),"Công việc","Mã chưa có")))</f>
      </c>
      <c r="J2458" s="221">
        <f>IF($I2458="Phản ánh",INDEX('Phản ánh'!$C$6:$C$505,MATCH($C2458,'Phản ánh'!$A$6:$A$505,0)),IF($I2458="Công việc",INDEX('Kế hoạch'!$C$6:$C$305,$O2458),""))</f>
      </c>
      <c r="K2458" s="221">
        <f>IF($I2458="Phản ánh",INDEX('Phản ánh'!$K$6:$K$505,MATCH($C2458,'Phản ánh'!$A$6:$A$505,0))&amp;"",IF($I2458="Công việc",INDEX('Kế hoạch'!$N$6:$N$305,$O2458)&amp;"",""))</f>
      </c>
      <c r="L2458" s="220">
        <f>IF(OR($C2458="",N($B2458)=0),"",IF(AND($I2458="Phản ánh",$E2458="Đã xử lý"),INDEX('Phản ánh'!$U$6:$U$505,MATCH($C2458,'Phản ánh'!$A$6:$A$505,0)),IF(AND($I2458="Công việc",OR($E2458="Hoàn thành",$E2458="Hoàn thành kỳ")),IF(INDEX('Kế hoạch'!$B$6:$B$305,$O2458)="Đột xuất",INDEX('Kế hoạch'!$AY$6:$AY$305,$O2458),IF(N($P2458)=0,"",IF(INT($B2458)&lt;$P2458,$P2458,IF($Q2458&gt;0,$P2458+ROUND((INT($B2458)-$P2458)/$Q2458,0)*$Q2458,IF($R2458&gt;0,EDATE($P2458,ROUND((DATEDIF($P2458,INT($B2458),"m")+(INT($B2458)-EDATE($P2458,DATEDIF($P2458,INT($B2458),"m")))/(EDATE($P2458,DATEDIF($P2458,INT($B2458),"m")+1)-EDATE($P2458,DATEDIF($P2458,INT($B2458),"m"))))/$R2458,0)*$R2458),$P2458))))),"")))</f>
      </c>
      <c r="M2458" s="223">
        <f>IF(OR($C2458="",N($L2458)=0,N($B2458)=0),"",IF(IF(MOD($L2458,1)=0,INT($B2458),$B2458)&lt;=$L2458,"Đúng hạn","Trễ hạn"))</f>
      </c>
      <c r="N2458" s="225">
        <f>IF($C2458="","",ROW())</f>
      </c>
      <c r="O2458" s="225">
        <f>IF($I2458="Công việc",MATCH($C2458,'Kế hoạch'!$A$6:$A$305,0),"")</f>
      </c>
      <c r="P2458" s="234">
        <f>IF($O2458="","",INDEX('Kế hoạch'!$I$6:$I$305,$O2458))</f>
      </c>
      <c r="Q2458" s="225">
        <f>IF($O2458="","",INDEX('Kế hoạch'!$AJ$6:$AJ$305,$O2458))</f>
      </c>
      <c r="R2458" s="225">
        <f>IF($O2458="","",INDEX('Kế hoạch'!$AK$6:$AK$305,$O2458))</f>
      </c>
    </row>
    <row r="2459">
      <c r="A2459" s="223">
        <f>IF($C2459="","",COUNTIF($C$6:$C2459,"?*"))</f>
      </c>
      <c r="B2459" s="217"/>
      <c r="C2459" s="216"/>
      <c r="D2459" s="240"/>
      <c r="E2459" s="218"/>
      <c r="F2459" s="218"/>
      <c r="G2459" s="218"/>
      <c r="H2459" s="219"/>
      <c r="I2459" s="223">
        <f>IF($C2459="","",IF(ISNUMBER(MATCH($C2459,'Phản ánh'!$A$6:$A$505,0)),"Phản ánh",IF(ISNUMBER(MATCH($C2459,'Kế hoạch'!$A$6:$A$305,0)),"Công việc","Mã chưa có")))</f>
      </c>
      <c r="J2459" s="221">
        <f>IF($I2459="Phản ánh",INDEX('Phản ánh'!$C$6:$C$505,MATCH($C2459,'Phản ánh'!$A$6:$A$505,0)),IF($I2459="Công việc",INDEX('Kế hoạch'!$C$6:$C$305,$O2459),""))</f>
      </c>
      <c r="K2459" s="221">
        <f>IF($I2459="Phản ánh",INDEX('Phản ánh'!$K$6:$K$505,MATCH($C2459,'Phản ánh'!$A$6:$A$505,0))&amp;"",IF($I2459="Công việc",INDEX('Kế hoạch'!$N$6:$N$305,$O2459)&amp;"",""))</f>
      </c>
      <c r="L2459" s="220">
        <f>IF(OR($C2459="",N($B2459)=0),"",IF(AND($I2459="Phản ánh",$E2459="Đã xử lý"),INDEX('Phản ánh'!$U$6:$U$505,MATCH($C2459,'Phản ánh'!$A$6:$A$505,0)),IF(AND($I2459="Công việc",OR($E2459="Hoàn thành",$E2459="Hoàn thành kỳ")),IF(INDEX('Kế hoạch'!$B$6:$B$305,$O2459)="Đột xuất",INDEX('Kế hoạch'!$AY$6:$AY$305,$O2459),IF(N($P2459)=0,"",IF(INT($B2459)&lt;$P2459,$P2459,IF($Q2459&gt;0,$P2459+ROUND((INT($B2459)-$P2459)/$Q2459,0)*$Q2459,IF($R2459&gt;0,EDATE($P2459,ROUND((DATEDIF($P2459,INT($B2459),"m")+(INT($B2459)-EDATE($P2459,DATEDIF($P2459,INT($B2459),"m")))/(EDATE($P2459,DATEDIF($P2459,INT($B2459),"m")+1)-EDATE($P2459,DATEDIF($P2459,INT($B2459),"m"))))/$R2459,0)*$R2459),$P2459))))),"")))</f>
      </c>
      <c r="M2459" s="223">
        <f>IF(OR($C2459="",N($L2459)=0,N($B2459)=0),"",IF(IF(MOD($L2459,1)=0,INT($B2459),$B2459)&lt;=$L2459,"Đúng hạn","Trễ hạn"))</f>
      </c>
      <c r="N2459" s="225">
        <f>IF($C2459="","",ROW())</f>
      </c>
      <c r="O2459" s="225">
        <f>IF($I2459="Công việc",MATCH($C2459,'Kế hoạch'!$A$6:$A$305,0),"")</f>
      </c>
      <c r="P2459" s="234">
        <f>IF($O2459="","",INDEX('Kế hoạch'!$I$6:$I$305,$O2459))</f>
      </c>
      <c r="Q2459" s="225">
        <f>IF($O2459="","",INDEX('Kế hoạch'!$AJ$6:$AJ$305,$O2459))</f>
      </c>
      <c r="R2459" s="225">
        <f>IF($O2459="","",INDEX('Kế hoạch'!$AK$6:$AK$305,$O2459))</f>
      </c>
    </row>
    <row r="2460">
      <c r="A2460" s="223">
        <f>IF($C2460="","",COUNTIF($C$6:$C2460,"?*"))</f>
      </c>
      <c r="B2460" s="217"/>
      <c r="C2460" s="216"/>
      <c r="D2460" s="240"/>
      <c r="E2460" s="218"/>
      <c r="F2460" s="218"/>
      <c r="G2460" s="218"/>
      <c r="H2460" s="219"/>
      <c r="I2460" s="223">
        <f>IF($C2460="","",IF(ISNUMBER(MATCH($C2460,'Phản ánh'!$A$6:$A$505,0)),"Phản ánh",IF(ISNUMBER(MATCH($C2460,'Kế hoạch'!$A$6:$A$305,0)),"Công việc","Mã chưa có")))</f>
      </c>
      <c r="J2460" s="221">
        <f>IF($I2460="Phản ánh",INDEX('Phản ánh'!$C$6:$C$505,MATCH($C2460,'Phản ánh'!$A$6:$A$505,0)),IF($I2460="Công việc",INDEX('Kế hoạch'!$C$6:$C$305,$O2460),""))</f>
      </c>
      <c r="K2460" s="221">
        <f>IF($I2460="Phản ánh",INDEX('Phản ánh'!$K$6:$K$505,MATCH($C2460,'Phản ánh'!$A$6:$A$505,0))&amp;"",IF($I2460="Công việc",INDEX('Kế hoạch'!$N$6:$N$305,$O2460)&amp;"",""))</f>
      </c>
      <c r="L2460" s="220">
        <f>IF(OR($C2460="",N($B2460)=0),"",IF(AND($I2460="Phản ánh",$E2460="Đã xử lý"),INDEX('Phản ánh'!$U$6:$U$505,MATCH($C2460,'Phản ánh'!$A$6:$A$505,0)),IF(AND($I2460="Công việc",OR($E2460="Hoàn thành",$E2460="Hoàn thành kỳ")),IF(INDEX('Kế hoạch'!$B$6:$B$305,$O2460)="Đột xuất",INDEX('Kế hoạch'!$AY$6:$AY$305,$O2460),IF(N($P2460)=0,"",IF(INT($B2460)&lt;$P2460,$P2460,IF($Q2460&gt;0,$P2460+ROUND((INT($B2460)-$P2460)/$Q2460,0)*$Q2460,IF($R2460&gt;0,EDATE($P2460,ROUND((DATEDIF($P2460,INT($B2460),"m")+(INT($B2460)-EDATE($P2460,DATEDIF($P2460,INT($B2460),"m")))/(EDATE($P2460,DATEDIF($P2460,INT($B2460),"m")+1)-EDATE($P2460,DATEDIF($P2460,INT($B2460),"m"))))/$R2460,0)*$R2460),$P2460))))),"")))</f>
      </c>
      <c r="M2460" s="223">
        <f>IF(OR($C2460="",N($L2460)=0,N($B2460)=0),"",IF(IF(MOD($L2460,1)=0,INT($B2460),$B2460)&lt;=$L2460,"Đúng hạn","Trễ hạn"))</f>
      </c>
      <c r="N2460" s="225">
        <f>IF($C2460="","",ROW())</f>
      </c>
      <c r="O2460" s="225">
        <f>IF($I2460="Công việc",MATCH($C2460,'Kế hoạch'!$A$6:$A$305,0),"")</f>
      </c>
      <c r="P2460" s="234">
        <f>IF($O2460="","",INDEX('Kế hoạch'!$I$6:$I$305,$O2460))</f>
      </c>
      <c r="Q2460" s="225">
        <f>IF($O2460="","",INDEX('Kế hoạch'!$AJ$6:$AJ$305,$O2460))</f>
      </c>
      <c r="R2460" s="225">
        <f>IF($O2460="","",INDEX('Kế hoạch'!$AK$6:$AK$305,$O2460))</f>
      </c>
    </row>
    <row r="2461">
      <c r="A2461" s="223">
        <f>IF($C2461="","",COUNTIF($C$6:$C2461,"?*"))</f>
      </c>
      <c r="B2461" s="217"/>
      <c r="C2461" s="216"/>
      <c r="D2461" s="240"/>
      <c r="E2461" s="218"/>
      <c r="F2461" s="218"/>
      <c r="G2461" s="218"/>
      <c r="H2461" s="219"/>
      <c r="I2461" s="223">
        <f>IF($C2461="","",IF(ISNUMBER(MATCH($C2461,'Phản ánh'!$A$6:$A$505,0)),"Phản ánh",IF(ISNUMBER(MATCH($C2461,'Kế hoạch'!$A$6:$A$305,0)),"Công việc","Mã chưa có")))</f>
      </c>
      <c r="J2461" s="221">
        <f>IF($I2461="Phản ánh",INDEX('Phản ánh'!$C$6:$C$505,MATCH($C2461,'Phản ánh'!$A$6:$A$505,0)),IF($I2461="Công việc",INDEX('Kế hoạch'!$C$6:$C$305,$O2461),""))</f>
      </c>
      <c r="K2461" s="221">
        <f>IF($I2461="Phản ánh",INDEX('Phản ánh'!$K$6:$K$505,MATCH($C2461,'Phản ánh'!$A$6:$A$505,0))&amp;"",IF($I2461="Công việc",INDEX('Kế hoạch'!$N$6:$N$305,$O2461)&amp;"",""))</f>
      </c>
      <c r="L2461" s="220">
        <f>IF(OR($C2461="",N($B2461)=0),"",IF(AND($I2461="Phản ánh",$E2461="Đã xử lý"),INDEX('Phản ánh'!$U$6:$U$505,MATCH($C2461,'Phản ánh'!$A$6:$A$505,0)),IF(AND($I2461="Công việc",OR($E2461="Hoàn thành",$E2461="Hoàn thành kỳ")),IF(INDEX('Kế hoạch'!$B$6:$B$305,$O2461)="Đột xuất",INDEX('Kế hoạch'!$AY$6:$AY$305,$O2461),IF(N($P2461)=0,"",IF(INT($B2461)&lt;$P2461,$P2461,IF($Q2461&gt;0,$P2461+ROUND((INT($B2461)-$P2461)/$Q2461,0)*$Q2461,IF($R2461&gt;0,EDATE($P2461,ROUND((DATEDIF($P2461,INT($B2461),"m")+(INT($B2461)-EDATE($P2461,DATEDIF($P2461,INT($B2461),"m")))/(EDATE($P2461,DATEDIF($P2461,INT($B2461),"m")+1)-EDATE($P2461,DATEDIF($P2461,INT($B2461),"m"))))/$R2461,0)*$R2461),$P2461))))),"")))</f>
      </c>
      <c r="M2461" s="223">
        <f>IF(OR($C2461="",N($L2461)=0,N($B2461)=0),"",IF(IF(MOD($L2461,1)=0,INT($B2461),$B2461)&lt;=$L2461,"Đúng hạn","Trễ hạn"))</f>
      </c>
      <c r="N2461" s="225">
        <f>IF($C2461="","",ROW())</f>
      </c>
      <c r="O2461" s="225">
        <f>IF($I2461="Công việc",MATCH($C2461,'Kế hoạch'!$A$6:$A$305,0),"")</f>
      </c>
      <c r="P2461" s="234">
        <f>IF($O2461="","",INDEX('Kế hoạch'!$I$6:$I$305,$O2461))</f>
      </c>
      <c r="Q2461" s="225">
        <f>IF($O2461="","",INDEX('Kế hoạch'!$AJ$6:$AJ$305,$O2461))</f>
      </c>
      <c r="R2461" s="225">
        <f>IF($O2461="","",INDEX('Kế hoạch'!$AK$6:$AK$305,$O2461))</f>
      </c>
    </row>
    <row r="2462">
      <c r="A2462" s="223">
        <f>IF($C2462="","",COUNTIF($C$6:$C2462,"?*"))</f>
      </c>
      <c r="B2462" s="217"/>
      <c r="C2462" s="216"/>
      <c r="D2462" s="240"/>
      <c r="E2462" s="218"/>
      <c r="F2462" s="218"/>
      <c r="G2462" s="218"/>
      <c r="H2462" s="219"/>
      <c r="I2462" s="223">
        <f>IF($C2462="","",IF(ISNUMBER(MATCH($C2462,'Phản ánh'!$A$6:$A$505,0)),"Phản ánh",IF(ISNUMBER(MATCH($C2462,'Kế hoạch'!$A$6:$A$305,0)),"Công việc","Mã chưa có")))</f>
      </c>
      <c r="J2462" s="221">
        <f>IF($I2462="Phản ánh",INDEX('Phản ánh'!$C$6:$C$505,MATCH($C2462,'Phản ánh'!$A$6:$A$505,0)),IF($I2462="Công việc",INDEX('Kế hoạch'!$C$6:$C$305,$O2462),""))</f>
      </c>
      <c r="K2462" s="221">
        <f>IF($I2462="Phản ánh",INDEX('Phản ánh'!$K$6:$K$505,MATCH($C2462,'Phản ánh'!$A$6:$A$505,0))&amp;"",IF($I2462="Công việc",INDEX('Kế hoạch'!$N$6:$N$305,$O2462)&amp;"",""))</f>
      </c>
      <c r="L2462" s="220">
        <f>IF(OR($C2462="",N($B2462)=0),"",IF(AND($I2462="Phản ánh",$E2462="Đã xử lý"),INDEX('Phản ánh'!$U$6:$U$505,MATCH($C2462,'Phản ánh'!$A$6:$A$505,0)),IF(AND($I2462="Công việc",OR($E2462="Hoàn thành",$E2462="Hoàn thành kỳ")),IF(INDEX('Kế hoạch'!$B$6:$B$305,$O2462)="Đột xuất",INDEX('Kế hoạch'!$AY$6:$AY$305,$O2462),IF(N($P2462)=0,"",IF(INT($B2462)&lt;$P2462,$P2462,IF($Q2462&gt;0,$P2462+ROUND((INT($B2462)-$P2462)/$Q2462,0)*$Q2462,IF($R2462&gt;0,EDATE($P2462,ROUND((DATEDIF($P2462,INT($B2462),"m")+(INT($B2462)-EDATE($P2462,DATEDIF($P2462,INT($B2462),"m")))/(EDATE($P2462,DATEDIF($P2462,INT($B2462),"m")+1)-EDATE($P2462,DATEDIF($P2462,INT($B2462),"m"))))/$R2462,0)*$R2462),$P2462))))),"")))</f>
      </c>
      <c r="M2462" s="223">
        <f>IF(OR($C2462="",N($L2462)=0,N($B2462)=0),"",IF(IF(MOD($L2462,1)=0,INT($B2462),$B2462)&lt;=$L2462,"Đúng hạn","Trễ hạn"))</f>
      </c>
      <c r="N2462" s="225">
        <f>IF($C2462="","",ROW())</f>
      </c>
      <c r="O2462" s="225">
        <f>IF($I2462="Công việc",MATCH($C2462,'Kế hoạch'!$A$6:$A$305,0),"")</f>
      </c>
      <c r="P2462" s="234">
        <f>IF($O2462="","",INDEX('Kế hoạch'!$I$6:$I$305,$O2462))</f>
      </c>
      <c r="Q2462" s="225">
        <f>IF($O2462="","",INDEX('Kế hoạch'!$AJ$6:$AJ$305,$O2462))</f>
      </c>
      <c r="R2462" s="225">
        <f>IF($O2462="","",INDEX('Kế hoạch'!$AK$6:$AK$305,$O2462))</f>
      </c>
    </row>
    <row r="2463">
      <c r="A2463" s="223">
        <f>IF($C2463="","",COUNTIF($C$6:$C2463,"?*"))</f>
      </c>
      <c r="B2463" s="217"/>
      <c r="C2463" s="216"/>
      <c r="D2463" s="240"/>
      <c r="E2463" s="218"/>
      <c r="F2463" s="218"/>
      <c r="G2463" s="218"/>
      <c r="H2463" s="219"/>
      <c r="I2463" s="223">
        <f>IF($C2463="","",IF(ISNUMBER(MATCH($C2463,'Phản ánh'!$A$6:$A$505,0)),"Phản ánh",IF(ISNUMBER(MATCH($C2463,'Kế hoạch'!$A$6:$A$305,0)),"Công việc","Mã chưa có")))</f>
      </c>
      <c r="J2463" s="221">
        <f>IF($I2463="Phản ánh",INDEX('Phản ánh'!$C$6:$C$505,MATCH($C2463,'Phản ánh'!$A$6:$A$505,0)),IF($I2463="Công việc",INDEX('Kế hoạch'!$C$6:$C$305,$O2463),""))</f>
      </c>
      <c r="K2463" s="221">
        <f>IF($I2463="Phản ánh",INDEX('Phản ánh'!$K$6:$K$505,MATCH($C2463,'Phản ánh'!$A$6:$A$505,0))&amp;"",IF($I2463="Công việc",INDEX('Kế hoạch'!$N$6:$N$305,$O2463)&amp;"",""))</f>
      </c>
      <c r="L2463" s="220">
        <f>IF(OR($C2463="",N($B2463)=0),"",IF(AND($I2463="Phản ánh",$E2463="Đã xử lý"),INDEX('Phản ánh'!$U$6:$U$505,MATCH($C2463,'Phản ánh'!$A$6:$A$505,0)),IF(AND($I2463="Công việc",OR($E2463="Hoàn thành",$E2463="Hoàn thành kỳ")),IF(INDEX('Kế hoạch'!$B$6:$B$305,$O2463)="Đột xuất",INDEX('Kế hoạch'!$AY$6:$AY$305,$O2463),IF(N($P2463)=0,"",IF(INT($B2463)&lt;$P2463,$P2463,IF($Q2463&gt;0,$P2463+ROUND((INT($B2463)-$P2463)/$Q2463,0)*$Q2463,IF($R2463&gt;0,EDATE($P2463,ROUND((DATEDIF($P2463,INT($B2463),"m")+(INT($B2463)-EDATE($P2463,DATEDIF($P2463,INT($B2463),"m")))/(EDATE($P2463,DATEDIF($P2463,INT($B2463),"m")+1)-EDATE($P2463,DATEDIF($P2463,INT($B2463),"m"))))/$R2463,0)*$R2463),$P2463))))),"")))</f>
      </c>
      <c r="M2463" s="223">
        <f>IF(OR($C2463="",N($L2463)=0,N($B2463)=0),"",IF(IF(MOD($L2463,1)=0,INT($B2463),$B2463)&lt;=$L2463,"Đúng hạn","Trễ hạn"))</f>
      </c>
      <c r="N2463" s="225">
        <f>IF($C2463="","",ROW())</f>
      </c>
      <c r="O2463" s="225">
        <f>IF($I2463="Công việc",MATCH($C2463,'Kế hoạch'!$A$6:$A$305,0),"")</f>
      </c>
      <c r="P2463" s="234">
        <f>IF($O2463="","",INDEX('Kế hoạch'!$I$6:$I$305,$O2463))</f>
      </c>
      <c r="Q2463" s="225">
        <f>IF($O2463="","",INDEX('Kế hoạch'!$AJ$6:$AJ$305,$O2463))</f>
      </c>
      <c r="R2463" s="225">
        <f>IF($O2463="","",INDEX('Kế hoạch'!$AK$6:$AK$305,$O2463))</f>
      </c>
    </row>
    <row r="2464">
      <c r="A2464" s="223">
        <f>IF($C2464="","",COUNTIF($C$6:$C2464,"?*"))</f>
      </c>
      <c r="B2464" s="217"/>
      <c r="C2464" s="216"/>
      <c r="D2464" s="240"/>
      <c r="E2464" s="218"/>
      <c r="F2464" s="218"/>
      <c r="G2464" s="218"/>
      <c r="H2464" s="219"/>
      <c r="I2464" s="223">
        <f>IF($C2464="","",IF(ISNUMBER(MATCH($C2464,'Phản ánh'!$A$6:$A$505,0)),"Phản ánh",IF(ISNUMBER(MATCH($C2464,'Kế hoạch'!$A$6:$A$305,0)),"Công việc","Mã chưa có")))</f>
      </c>
      <c r="J2464" s="221">
        <f>IF($I2464="Phản ánh",INDEX('Phản ánh'!$C$6:$C$505,MATCH($C2464,'Phản ánh'!$A$6:$A$505,0)),IF($I2464="Công việc",INDEX('Kế hoạch'!$C$6:$C$305,$O2464),""))</f>
      </c>
      <c r="K2464" s="221">
        <f>IF($I2464="Phản ánh",INDEX('Phản ánh'!$K$6:$K$505,MATCH($C2464,'Phản ánh'!$A$6:$A$505,0))&amp;"",IF($I2464="Công việc",INDEX('Kế hoạch'!$N$6:$N$305,$O2464)&amp;"",""))</f>
      </c>
      <c r="L2464" s="220">
        <f>IF(OR($C2464="",N($B2464)=0),"",IF(AND($I2464="Phản ánh",$E2464="Đã xử lý"),INDEX('Phản ánh'!$U$6:$U$505,MATCH($C2464,'Phản ánh'!$A$6:$A$505,0)),IF(AND($I2464="Công việc",OR($E2464="Hoàn thành",$E2464="Hoàn thành kỳ")),IF(INDEX('Kế hoạch'!$B$6:$B$305,$O2464)="Đột xuất",INDEX('Kế hoạch'!$AY$6:$AY$305,$O2464),IF(N($P2464)=0,"",IF(INT($B2464)&lt;$P2464,$P2464,IF($Q2464&gt;0,$P2464+ROUND((INT($B2464)-$P2464)/$Q2464,0)*$Q2464,IF($R2464&gt;0,EDATE($P2464,ROUND((DATEDIF($P2464,INT($B2464),"m")+(INT($B2464)-EDATE($P2464,DATEDIF($P2464,INT($B2464),"m")))/(EDATE($P2464,DATEDIF($P2464,INT($B2464),"m")+1)-EDATE($P2464,DATEDIF($P2464,INT($B2464),"m"))))/$R2464,0)*$R2464),$P2464))))),"")))</f>
      </c>
      <c r="M2464" s="223">
        <f>IF(OR($C2464="",N($L2464)=0,N($B2464)=0),"",IF(IF(MOD($L2464,1)=0,INT($B2464),$B2464)&lt;=$L2464,"Đúng hạn","Trễ hạn"))</f>
      </c>
      <c r="N2464" s="225">
        <f>IF($C2464="","",ROW())</f>
      </c>
      <c r="O2464" s="225">
        <f>IF($I2464="Công việc",MATCH($C2464,'Kế hoạch'!$A$6:$A$305,0),"")</f>
      </c>
      <c r="P2464" s="234">
        <f>IF($O2464="","",INDEX('Kế hoạch'!$I$6:$I$305,$O2464))</f>
      </c>
      <c r="Q2464" s="225">
        <f>IF($O2464="","",INDEX('Kế hoạch'!$AJ$6:$AJ$305,$O2464))</f>
      </c>
      <c r="R2464" s="225">
        <f>IF($O2464="","",INDEX('Kế hoạch'!$AK$6:$AK$305,$O2464))</f>
      </c>
    </row>
    <row r="2465">
      <c r="A2465" s="223">
        <f>IF($C2465="","",COUNTIF($C$6:$C2465,"?*"))</f>
      </c>
      <c r="B2465" s="217"/>
      <c r="C2465" s="216"/>
      <c r="D2465" s="240"/>
      <c r="E2465" s="218"/>
      <c r="F2465" s="218"/>
      <c r="G2465" s="218"/>
      <c r="H2465" s="219"/>
      <c r="I2465" s="223">
        <f>IF($C2465="","",IF(ISNUMBER(MATCH($C2465,'Phản ánh'!$A$6:$A$505,0)),"Phản ánh",IF(ISNUMBER(MATCH($C2465,'Kế hoạch'!$A$6:$A$305,0)),"Công việc","Mã chưa có")))</f>
      </c>
      <c r="J2465" s="221">
        <f>IF($I2465="Phản ánh",INDEX('Phản ánh'!$C$6:$C$505,MATCH($C2465,'Phản ánh'!$A$6:$A$505,0)),IF($I2465="Công việc",INDEX('Kế hoạch'!$C$6:$C$305,$O2465),""))</f>
      </c>
      <c r="K2465" s="221">
        <f>IF($I2465="Phản ánh",INDEX('Phản ánh'!$K$6:$K$505,MATCH($C2465,'Phản ánh'!$A$6:$A$505,0))&amp;"",IF($I2465="Công việc",INDEX('Kế hoạch'!$N$6:$N$305,$O2465)&amp;"",""))</f>
      </c>
      <c r="L2465" s="220">
        <f>IF(OR($C2465="",N($B2465)=0),"",IF(AND($I2465="Phản ánh",$E2465="Đã xử lý"),INDEX('Phản ánh'!$U$6:$U$505,MATCH($C2465,'Phản ánh'!$A$6:$A$505,0)),IF(AND($I2465="Công việc",OR($E2465="Hoàn thành",$E2465="Hoàn thành kỳ")),IF(INDEX('Kế hoạch'!$B$6:$B$305,$O2465)="Đột xuất",INDEX('Kế hoạch'!$AY$6:$AY$305,$O2465),IF(N($P2465)=0,"",IF(INT($B2465)&lt;$P2465,$P2465,IF($Q2465&gt;0,$P2465+ROUND((INT($B2465)-$P2465)/$Q2465,0)*$Q2465,IF($R2465&gt;0,EDATE($P2465,ROUND((DATEDIF($P2465,INT($B2465),"m")+(INT($B2465)-EDATE($P2465,DATEDIF($P2465,INT($B2465),"m")))/(EDATE($P2465,DATEDIF($P2465,INT($B2465),"m")+1)-EDATE($P2465,DATEDIF($P2465,INT($B2465),"m"))))/$R2465,0)*$R2465),$P2465))))),"")))</f>
      </c>
      <c r="M2465" s="223">
        <f>IF(OR($C2465="",N($L2465)=0,N($B2465)=0),"",IF(IF(MOD($L2465,1)=0,INT($B2465),$B2465)&lt;=$L2465,"Đúng hạn","Trễ hạn"))</f>
      </c>
      <c r="N2465" s="225">
        <f>IF($C2465="","",ROW())</f>
      </c>
      <c r="O2465" s="225">
        <f>IF($I2465="Công việc",MATCH($C2465,'Kế hoạch'!$A$6:$A$305,0),"")</f>
      </c>
      <c r="P2465" s="234">
        <f>IF($O2465="","",INDEX('Kế hoạch'!$I$6:$I$305,$O2465))</f>
      </c>
      <c r="Q2465" s="225">
        <f>IF($O2465="","",INDEX('Kế hoạch'!$AJ$6:$AJ$305,$O2465))</f>
      </c>
      <c r="R2465" s="225">
        <f>IF($O2465="","",INDEX('Kế hoạch'!$AK$6:$AK$305,$O2465))</f>
      </c>
    </row>
    <row r="2466">
      <c r="A2466" s="223">
        <f>IF($C2466="","",COUNTIF($C$6:$C2466,"?*"))</f>
      </c>
      <c r="B2466" s="217"/>
      <c r="C2466" s="216"/>
      <c r="D2466" s="240"/>
      <c r="E2466" s="218"/>
      <c r="F2466" s="218"/>
      <c r="G2466" s="218"/>
      <c r="H2466" s="219"/>
      <c r="I2466" s="223">
        <f>IF($C2466="","",IF(ISNUMBER(MATCH($C2466,'Phản ánh'!$A$6:$A$505,0)),"Phản ánh",IF(ISNUMBER(MATCH($C2466,'Kế hoạch'!$A$6:$A$305,0)),"Công việc","Mã chưa có")))</f>
      </c>
      <c r="J2466" s="221">
        <f>IF($I2466="Phản ánh",INDEX('Phản ánh'!$C$6:$C$505,MATCH($C2466,'Phản ánh'!$A$6:$A$505,0)),IF($I2466="Công việc",INDEX('Kế hoạch'!$C$6:$C$305,$O2466),""))</f>
      </c>
      <c r="K2466" s="221">
        <f>IF($I2466="Phản ánh",INDEX('Phản ánh'!$K$6:$K$505,MATCH($C2466,'Phản ánh'!$A$6:$A$505,0))&amp;"",IF($I2466="Công việc",INDEX('Kế hoạch'!$N$6:$N$305,$O2466)&amp;"",""))</f>
      </c>
      <c r="L2466" s="220">
        <f>IF(OR($C2466="",N($B2466)=0),"",IF(AND($I2466="Phản ánh",$E2466="Đã xử lý"),INDEX('Phản ánh'!$U$6:$U$505,MATCH($C2466,'Phản ánh'!$A$6:$A$505,0)),IF(AND($I2466="Công việc",OR($E2466="Hoàn thành",$E2466="Hoàn thành kỳ")),IF(INDEX('Kế hoạch'!$B$6:$B$305,$O2466)="Đột xuất",INDEX('Kế hoạch'!$AY$6:$AY$305,$O2466),IF(N($P2466)=0,"",IF(INT($B2466)&lt;$P2466,$P2466,IF($Q2466&gt;0,$P2466+ROUND((INT($B2466)-$P2466)/$Q2466,0)*$Q2466,IF($R2466&gt;0,EDATE($P2466,ROUND((DATEDIF($P2466,INT($B2466),"m")+(INT($B2466)-EDATE($P2466,DATEDIF($P2466,INT($B2466),"m")))/(EDATE($P2466,DATEDIF($P2466,INT($B2466),"m")+1)-EDATE($P2466,DATEDIF($P2466,INT($B2466),"m"))))/$R2466,0)*$R2466),$P2466))))),"")))</f>
      </c>
      <c r="M2466" s="223">
        <f>IF(OR($C2466="",N($L2466)=0,N($B2466)=0),"",IF(IF(MOD($L2466,1)=0,INT($B2466),$B2466)&lt;=$L2466,"Đúng hạn","Trễ hạn"))</f>
      </c>
      <c r="N2466" s="225">
        <f>IF($C2466="","",ROW())</f>
      </c>
      <c r="O2466" s="225">
        <f>IF($I2466="Công việc",MATCH($C2466,'Kế hoạch'!$A$6:$A$305,0),"")</f>
      </c>
      <c r="P2466" s="234">
        <f>IF($O2466="","",INDEX('Kế hoạch'!$I$6:$I$305,$O2466))</f>
      </c>
      <c r="Q2466" s="225">
        <f>IF($O2466="","",INDEX('Kế hoạch'!$AJ$6:$AJ$305,$O2466))</f>
      </c>
      <c r="R2466" s="225">
        <f>IF($O2466="","",INDEX('Kế hoạch'!$AK$6:$AK$305,$O2466))</f>
      </c>
    </row>
    <row r="2467">
      <c r="A2467" s="223">
        <f>IF($C2467="","",COUNTIF($C$6:$C2467,"?*"))</f>
      </c>
      <c r="B2467" s="217"/>
      <c r="C2467" s="216"/>
      <c r="D2467" s="240"/>
      <c r="E2467" s="218"/>
      <c r="F2467" s="218"/>
      <c r="G2467" s="218"/>
      <c r="H2467" s="219"/>
      <c r="I2467" s="223">
        <f>IF($C2467="","",IF(ISNUMBER(MATCH($C2467,'Phản ánh'!$A$6:$A$505,0)),"Phản ánh",IF(ISNUMBER(MATCH($C2467,'Kế hoạch'!$A$6:$A$305,0)),"Công việc","Mã chưa có")))</f>
      </c>
      <c r="J2467" s="221">
        <f>IF($I2467="Phản ánh",INDEX('Phản ánh'!$C$6:$C$505,MATCH($C2467,'Phản ánh'!$A$6:$A$505,0)),IF($I2467="Công việc",INDEX('Kế hoạch'!$C$6:$C$305,$O2467),""))</f>
      </c>
      <c r="K2467" s="221">
        <f>IF($I2467="Phản ánh",INDEX('Phản ánh'!$K$6:$K$505,MATCH($C2467,'Phản ánh'!$A$6:$A$505,0))&amp;"",IF($I2467="Công việc",INDEX('Kế hoạch'!$N$6:$N$305,$O2467)&amp;"",""))</f>
      </c>
      <c r="L2467" s="220">
        <f>IF(OR($C2467="",N($B2467)=0),"",IF(AND($I2467="Phản ánh",$E2467="Đã xử lý"),INDEX('Phản ánh'!$U$6:$U$505,MATCH($C2467,'Phản ánh'!$A$6:$A$505,0)),IF(AND($I2467="Công việc",OR($E2467="Hoàn thành",$E2467="Hoàn thành kỳ")),IF(INDEX('Kế hoạch'!$B$6:$B$305,$O2467)="Đột xuất",INDEX('Kế hoạch'!$AY$6:$AY$305,$O2467),IF(N($P2467)=0,"",IF(INT($B2467)&lt;$P2467,$P2467,IF($Q2467&gt;0,$P2467+ROUND((INT($B2467)-$P2467)/$Q2467,0)*$Q2467,IF($R2467&gt;0,EDATE($P2467,ROUND((DATEDIF($P2467,INT($B2467),"m")+(INT($B2467)-EDATE($P2467,DATEDIF($P2467,INT($B2467),"m")))/(EDATE($P2467,DATEDIF($P2467,INT($B2467),"m")+1)-EDATE($P2467,DATEDIF($P2467,INT($B2467),"m"))))/$R2467,0)*$R2467),$P2467))))),"")))</f>
      </c>
      <c r="M2467" s="223">
        <f>IF(OR($C2467="",N($L2467)=0,N($B2467)=0),"",IF(IF(MOD($L2467,1)=0,INT($B2467),$B2467)&lt;=$L2467,"Đúng hạn","Trễ hạn"))</f>
      </c>
      <c r="N2467" s="225">
        <f>IF($C2467="","",ROW())</f>
      </c>
      <c r="O2467" s="225">
        <f>IF($I2467="Công việc",MATCH($C2467,'Kế hoạch'!$A$6:$A$305,0),"")</f>
      </c>
      <c r="P2467" s="234">
        <f>IF($O2467="","",INDEX('Kế hoạch'!$I$6:$I$305,$O2467))</f>
      </c>
      <c r="Q2467" s="225">
        <f>IF($O2467="","",INDEX('Kế hoạch'!$AJ$6:$AJ$305,$O2467))</f>
      </c>
      <c r="R2467" s="225">
        <f>IF($O2467="","",INDEX('Kế hoạch'!$AK$6:$AK$305,$O2467))</f>
      </c>
    </row>
    <row r="2468">
      <c r="A2468" s="223">
        <f>IF($C2468="","",COUNTIF($C$6:$C2468,"?*"))</f>
      </c>
      <c r="B2468" s="217"/>
      <c r="C2468" s="216"/>
      <c r="D2468" s="240"/>
      <c r="E2468" s="218"/>
      <c r="F2468" s="218"/>
      <c r="G2468" s="218"/>
      <c r="H2468" s="219"/>
      <c r="I2468" s="223">
        <f>IF($C2468="","",IF(ISNUMBER(MATCH($C2468,'Phản ánh'!$A$6:$A$505,0)),"Phản ánh",IF(ISNUMBER(MATCH($C2468,'Kế hoạch'!$A$6:$A$305,0)),"Công việc","Mã chưa có")))</f>
      </c>
      <c r="J2468" s="221">
        <f>IF($I2468="Phản ánh",INDEX('Phản ánh'!$C$6:$C$505,MATCH($C2468,'Phản ánh'!$A$6:$A$505,0)),IF($I2468="Công việc",INDEX('Kế hoạch'!$C$6:$C$305,$O2468),""))</f>
      </c>
      <c r="K2468" s="221">
        <f>IF($I2468="Phản ánh",INDEX('Phản ánh'!$K$6:$K$505,MATCH($C2468,'Phản ánh'!$A$6:$A$505,0))&amp;"",IF($I2468="Công việc",INDEX('Kế hoạch'!$N$6:$N$305,$O2468)&amp;"",""))</f>
      </c>
      <c r="L2468" s="220">
        <f>IF(OR($C2468="",N($B2468)=0),"",IF(AND($I2468="Phản ánh",$E2468="Đã xử lý"),INDEX('Phản ánh'!$U$6:$U$505,MATCH($C2468,'Phản ánh'!$A$6:$A$505,0)),IF(AND($I2468="Công việc",OR($E2468="Hoàn thành",$E2468="Hoàn thành kỳ")),IF(INDEX('Kế hoạch'!$B$6:$B$305,$O2468)="Đột xuất",INDEX('Kế hoạch'!$AY$6:$AY$305,$O2468),IF(N($P2468)=0,"",IF(INT($B2468)&lt;$P2468,$P2468,IF($Q2468&gt;0,$P2468+ROUND((INT($B2468)-$P2468)/$Q2468,0)*$Q2468,IF($R2468&gt;0,EDATE($P2468,ROUND((DATEDIF($P2468,INT($B2468),"m")+(INT($B2468)-EDATE($P2468,DATEDIF($P2468,INT($B2468),"m")))/(EDATE($P2468,DATEDIF($P2468,INT($B2468),"m")+1)-EDATE($P2468,DATEDIF($P2468,INT($B2468),"m"))))/$R2468,0)*$R2468),$P2468))))),"")))</f>
      </c>
      <c r="M2468" s="223">
        <f>IF(OR($C2468="",N($L2468)=0,N($B2468)=0),"",IF(IF(MOD($L2468,1)=0,INT($B2468),$B2468)&lt;=$L2468,"Đúng hạn","Trễ hạn"))</f>
      </c>
      <c r="N2468" s="225">
        <f>IF($C2468="","",ROW())</f>
      </c>
      <c r="O2468" s="225">
        <f>IF($I2468="Công việc",MATCH($C2468,'Kế hoạch'!$A$6:$A$305,0),"")</f>
      </c>
      <c r="P2468" s="234">
        <f>IF($O2468="","",INDEX('Kế hoạch'!$I$6:$I$305,$O2468))</f>
      </c>
      <c r="Q2468" s="225">
        <f>IF($O2468="","",INDEX('Kế hoạch'!$AJ$6:$AJ$305,$O2468))</f>
      </c>
      <c r="R2468" s="225">
        <f>IF($O2468="","",INDEX('Kế hoạch'!$AK$6:$AK$305,$O2468))</f>
      </c>
    </row>
    <row r="2469">
      <c r="A2469" s="223">
        <f>IF($C2469="","",COUNTIF($C$6:$C2469,"?*"))</f>
      </c>
      <c r="B2469" s="217"/>
      <c r="C2469" s="216"/>
      <c r="D2469" s="240"/>
      <c r="E2469" s="218"/>
      <c r="F2469" s="218"/>
      <c r="G2469" s="218"/>
      <c r="H2469" s="219"/>
      <c r="I2469" s="223">
        <f>IF($C2469="","",IF(ISNUMBER(MATCH($C2469,'Phản ánh'!$A$6:$A$505,0)),"Phản ánh",IF(ISNUMBER(MATCH($C2469,'Kế hoạch'!$A$6:$A$305,0)),"Công việc","Mã chưa có")))</f>
      </c>
      <c r="J2469" s="221">
        <f>IF($I2469="Phản ánh",INDEX('Phản ánh'!$C$6:$C$505,MATCH($C2469,'Phản ánh'!$A$6:$A$505,0)),IF($I2469="Công việc",INDEX('Kế hoạch'!$C$6:$C$305,$O2469),""))</f>
      </c>
      <c r="K2469" s="221">
        <f>IF($I2469="Phản ánh",INDEX('Phản ánh'!$K$6:$K$505,MATCH($C2469,'Phản ánh'!$A$6:$A$505,0))&amp;"",IF($I2469="Công việc",INDEX('Kế hoạch'!$N$6:$N$305,$O2469)&amp;"",""))</f>
      </c>
      <c r="L2469" s="220">
        <f>IF(OR($C2469="",N($B2469)=0),"",IF(AND($I2469="Phản ánh",$E2469="Đã xử lý"),INDEX('Phản ánh'!$U$6:$U$505,MATCH($C2469,'Phản ánh'!$A$6:$A$505,0)),IF(AND($I2469="Công việc",OR($E2469="Hoàn thành",$E2469="Hoàn thành kỳ")),IF(INDEX('Kế hoạch'!$B$6:$B$305,$O2469)="Đột xuất",INDEX('Kế hoạch'!$AY$6:$AY$305,$O2469),IF(N($P2469)=0,"",IF(INT($B2469)&lt;$P2469,$P2469,IF($Q2469&gt;0,$P2469+ROUND((INT($B2469)-$P2469)/$Q2469,0)*$Q2469,IF($R2469&gt;0,EDATE($P2469,ROUND((DATEDIF($P2469,INT($B2469),"m")+(INT($B2469)-EDATE($P2469,DATEDIF($P2469,INT($B2469),"m")))/(EDATE($P2469,DATEDIF($P2469,INT($B2469),"m")+1)-EDATE($P2469,DATEDIF($P2469,INT($B2469),"m"))))/$R2469,0)*$R2469),$P2469))))),"")))</f>
      </c>
      <c r="M2469" s="223">
        <f>IF(OR($C2469="",N($L2469)=0,N($B2469)=0),"",IF(IF(MOD($L2469,1)=0,INT($B2469),$B2469)&lt;=$L2469,"Đúng hạn","Trễ hạn"))</f>
      </c>
      <c r="N2469" s="225">
        <f>IF($C2469="","",ROW())</f>
      </c>
      <c r="O2469" s="225">
        <f>IF($I2469="Công việc",MATCH($C2469,'Kế hoạch'!$A$6:$A$305,0),"")</f>
      </c>
      <c r="P2469" s="234">
        <f>IF($O2469="","",INDEX('Kế hoạch'!$I$6:$I$305,$O2469))</f>
      </c>
      <c r="Q2469" s="225">
        <f>IF($O2469="","",INDEX('Kế hoạch'!$AJ$6:$AJ$305,$O2469))</f>
      </c>
      <c r="R2469" s="225">
        <f>IF($O2469="","",INDEX('Kế hoạch'!$AK$6:$AK$305,$O2469))</f>
      </c>
    </row>
    <row r="2470">
      <c r="A2470" s="223">
        <f>IF($C2470="","",COUNTIF($C$6:$C2470,"?*"))</f>
      </c>
      <c r="B2470" s="217"/>
      <c r="C2470" s="216"/>
      <c r="D2470" s="240"/>
      <c r="E2470" s="218"/>
      <c r="F2470" s="218"/>
      <c r="G2470" s="218"/>
      <c r="H2470" s="219"/>
      <c r="I2470" s="223">
        <f>IF($C2470="","",IF(ISNUMBER(MATCH($C2470,'Phản ánh'!$A$6:$A$505,0)),"Phản ánh",IF(ISNUMBER(MATCH($C2470,'Kế hoạch'!$A$6:$A$305,0)),"Công việc","Mã chưa có")))</f>
      </c>
      <c r="J2470" s="221">
        <f>IF($I2470="Phản ánh",INDEX('Phản ánh'!$C$6:$C$505,MATCH($C2470,'Phản ánh'!$A$6:$A$505,0)),IF($I2470="Công việc",INDEX('Kế hoạch'!$C$6:$C$305,$O2470),""))</f>
      </c>
      <c r="K2470" s="221">
        <f>IF($I2470="Phản ánh",INDEX('Phản ánh'!$K$6:$K$505,MATCH($C2470,'Phản ánh'!$A$6:$A$505,0))&amp;"",IF($I2470="Công việc",INDEX('Kế hoạch'!$N$6:$N$305,$O2470)&amp;"",""))</f>
      </c>
      <c r="L2470" s="220">
        <f>IF(OR($C2470="",N($B2470)=0),"",IF(AND($I2470="Phản ánh",$E2470="Đã xử lý"),INDEX('Phản ánh'!$U$6:$U$505,MATCH($C2470,'Phản ánh'!$A$6:$A$505,0)),IF(AND($I2470="Công việc",OR($E2470="Hoàn thành",$E2470="Hoàn thành kỳ")),IF(INDEX('Kế hoạch'!$B$6:$B$305,$O2470)="Đột xuất",INDEX('Kế hoạch'!$AY$6:$AY$305,$O2470),IF(N($P2470)=0,"",IF(INT($B2470)&lt;$P2470,$P2470,IF($Q2470&gt;0,$P2470+ROUND((INT($B2470)-$P2470)/$Q2470,0)*$Q2470,IF($R2470&gt;0,EDATE($P2470,ROUND((DATEDIF($P2470,INT($B2470),"m")+(INT($B2470)-EDATE($P2470,DATEDIF($P2470,INT($B2470),"m")))/(EDATE($P2470,DATEDIF($P2470,INT($B2470),"m")+1)-EDATE($P2470,DATEDIF($P2470,INT($B2470),"m"))))/$R2470,0)*$R2470),$P2470))))),"")))</f>
      </c>
      <c r="M2470" s="223">
        <f>IF(OR($C2470="",N($L2470)=0,N($B2470)=0),"",IF(IF(MOD($L2470,1)=0,INT($B2470),$B2470)&lt;=$L2470,"Đúng hạn","Trễ hạn"))</f>
      </c>
      <c r="N2470" s="225">
        <f>IF($C2470="","",ROW())</f>
      </c>
      <c r="O2470" s="225">
        <f>IF($I2470="Công việc",MATCH($C2470,'Kế hoạch'!$A$6:$A$305,0),"")</f>
      </c>
      <c r="P2470" s="234">
        <f>IF($O2470="","",INDEX('Kế hoạch'!$I$6:$I$305,$O2470))</f>
      </c>
      <c r="Q2470" s="225">
        <f>IF($O2470="","",INDEX('Kế hoạch'!$AJ$6:$AJ$305,$O2470))</f>
      </c>
      <c r="R2470" s="225">
        <f>IF($O2470="","",INDEX('Kế hoạch'!$AK$6:$AK$305,$O2470))</f>
      </c>
    </row>
    <row r="2471">
      <c r="A2471" s="223">
        <f>IF($C2471="","",COUNTIF($C$6:$C2471,"?*"))</f>
      </c>
      <c r="B2471" s="217"/>
      <c r="C2471" s="216"/>
      <c r="D2471" s="240"/>
      <c r="E2471" s="218"/>
      <c r="F2471" s="218"/>
      <c r="G2471" s="218"/>
      <c r="H2471" s="219"/>
      <c r="I2471" s="223">
        <f>IF($C2471="","",IF(ISNUMBER(MATCH($C2471,'Phản ánh'!$A$6:$A$505,0)),"Phản ánh",IF(ISNUMBER(MATCH($C2471,'Kế hoạch'!$A$6:$A$305,0)),"Công việc","Mã chưa có")))</f>
      </c>
      <c r="J2471" s="221">
        <f>IF($I2471="Phản ánh",INDEX('Phản ánh'!$C$6:$C$505,MATCH($C2471,'Phản ánh'!$A$6:$A$505,0)),IF($I2471="Công việc",INDEX('Kế hoạch'!$C$6:$C$305,$O2471),""))</f>
      </c>
      <c r="K2471" s="221">
        <f>IF($I2471="Phản ánh",INDEX('Phản ánh'!$K$6:$K$505,MATCH($C2471,'Phản ánh'!$A$6:$A$505,0))&amp;"",IF($I2471="Công việc",INDEX('Kế hoạch'!$N$6:$N$305,$O2471)&amp;"",""))</f>
      </c>
      <c r="L2471" s="220">
        <f>IF(OR($C2471="",N($B2471)=0),"",IF(AND($I2471="Phản ánh",$E2471="Đã xử lý"),INDEX('Phản ánh'!$U$6:$U$505,MATCH($C2471,'Phản ánh'!$A$6:$A$505,0)),IF(AND($I2471="Công việc",OR($E2471="Hoàn thành",$E2471="Hoàn thành kỳ")),IF(INDEX('Kế hoạch'!$B$6:$B$305,$O2471)="Đột xuất",INDEX('Kế hoạch'!$AY$6:$AY$305,$O2471),IF(N($P2471)=0,"",IF(INT($B2471)&lt;$P2471,$P2471,IF($Q2471&gt;0,$P2471+ROUND((INT($B2471)-$P2471)/$Q2471,0)*$Q2471,IF($R2471&gt;0,EDATE($P2471,ROUND((DATEDIF($P2471,INT($B2471),"m")+(INT($B2471)-EDATE($P2471,DATEDIF($P2471,INT($B2471),"m")))/(EDATE($P2471,DATEDIF($P2471,INT($B2471),"m")+1)-EDATE($P2471,DATEDIF($P2471,INT($B2471),"m"))))/$R2471,0)*$R2471),$P2471))))),"")))</f>
      </c>
      <c r="M2471" s="223">
        <f>IF(OR($C2471="",N($L2471)=0,N($B2471)=0),"",IF(IF(MOD($L2471,1)=0,INT($B2471),$B2471)&lt;=$L2471,"Đúng hạn","Trễ hạn"))</f>
      </c>
      <c r="N2471" s="225">
        <f>IF($C2471="","",ROW())</f>
      </c>
      <c r="O2471" s="225">
        <f>IF($I2471="Công việc",MATCH($C2471,'Kế hoạch'!$A$6:$A$305,0),"")</f>
      </c>
      <c r="P2471" s="234">
        <f>IF($O2471="","",INDEX('Kế hoạch'!$I$6:$I$305,$O2471))</f>
      </c>
      <c r="Q2471" s="225">
        <f>IF($O2471="","",INDEX('Kế hoạch'!$AJ$6:$AJ$305,$O2471))</f>
      </c>
      <c r="R2471" s="225">
        <f>IF($O2471="","",INDEX('Kế hoạch'!$AK$6:$AK$305,$O2471))</f>
      </c>
    </row>
    <row r="2472">
      <c r="A2472" s="223">
        <f>IF($C2472="","",COUNTIF($C$6:$C2472,"?*"))</f>
      </c>
      <c r="B2472" s="217"/>
      <c r="C2472" s="216"/>
      <c r="D2472" s="240"/>
      <c r="E2472" s="218"/>
      <c r="F2472" s="218"/>
      <c r="G2472" s="218"/>
      <c r="H2472" s="219"/>
      <c r="I2472" s="223">
        <f>IF($C2472="","",IF(ISNUMBER(MATCH($C2472,'Phản ánh'!$A$6:$A$505,0)),"Phản ánh",IF(ISNUMBER(MATCH($C2472,'Kế hoạch'!$A$6:$A$305,0)),"Công việc","Mã chưa có")))</f>
      </c>
      <c r="J2472" s="221">
        <f>IF($I2472="Phản ánh",INDEX('Phản ánh'!$C$6:$C$505,MATCH($C2472,'Phản ánh'!$A$6:$A$505,0)),IF($I2472="Công việc",INDEX('Kế hoạch'!$C$6:$C$305,$O2472),""))</f>
      </c>
      <c r="K2472" s="221">
        <f>IF($I2472="Phản ánh",INDEX('Phản ánh'!$K$6:$K$505,MATCH($C2472,'Phản ánh'!$A$6:$A$505,0))&amp;"",IF($I2472="Công việc",INDEX('Kế hoạch'!$N$6:$N$305,$O2472)&amp;"",""))</f>
      </c>
      <c r="L2472" s="220">
        <f>IF(OR($C2472="",N($B2472)=0),"",IF(AND($I2472="Phản ánh",$E2472="Đã xử lý"),INDEX('Phản ánh'!$U$6:$U$505,MATCH($C2472,'Phản ánh'!$A$6:$A$505,0)),IF(AND($I2472="Công việc",OR($E2472="Hoàn thành",$E2472="Hoàn thành kỳ")),IF(INDEX('Kế hoạch'!$B$6:$B$305,$O2472)="Đột xuất",INDEX('Kế hoạch'!$AY$6:$AY$305,$O2472),IF(N($P2472)=0,"",IF(INT($B2472)&lt;$P2472,$P2472,IF($Q2472&gt;0,$P2472+ROUND((INT($B2472)-$P2472)/$Q2472,0)*$Q2472,IF($R2472&gt;0,EDATE($P2472,ROUND((DATEDIF($P2472,INT($B2472),"m")+(INT($B2472)-EDATE($P2472,DATEDIF($P2472,INT($B2472),"m")))/(EDATE($P2472,DATEDIF($P2472,INT($B2472),"m")+1)-EDATE($P2472,DATEDIF($P2472,INT($B2472),"m"))))/$R2472,0)*$R2472),$P2472))))),"")))</f>
      </c>
      <c r="M2472" s="223">
        <f>IF(OR($C2472="",N($L2472)=0,N($B2472)=0),"",IF(IF(MOD($L2472,1)=0,INT($B2472),$B2472)&lt;=$L2472,"Đúng hạn","Trễ hạn"))</f>
      </c>
      <c r="N2472" s="225">
        <f>IF($C2472="","",ROW())</f>
      </c>
      <c r="O2472" s="225">
        <f>IF($I2472="Công việc",MATCH($C2472,'Kế hoạch'!$A$6:$A$305,0),"")</f>
      </c>
      <c r="P2472" s="234">
        <f>IF($O2472="","",INDEX('Kế hoạch'!$I$6:$I$305,$O2472))</f>
      </c>
      <c r="Q2472" s="225">
        <f>IF($O2472="","",INDEX('Kế hoạch'!$AJ$6:$AJ$305,$O2472))</f>
      </c>
      <c r="R2472" s="225">
        <f>IF($O2472="","",INDEX('Kế hoạch'!$AK$6:$AK$305,$O2472))</f>
      </c>
    </row>
    <row r="2473">
      <c r="A2473" s="223">
        <f>IF($C2473="","",COUNTIF($C$6:$C2473,"?*"))</f>
      </c>
      <c r="B2473" s="217"/>
      <c r="C2473" s="216"/>
      <c r="D2473" s="240"/>
      <c r="E2473" s="218"/>
      <c r="F2473" s="218"/>
      <c r="G2473" s="218"/>
      <c r="H2473" s="219"/>
      <c r="I2473" s="223">
        <f>IF($C2473="","",IF(ISNUMBER(MATCH($C2473,'Phản ánh'!$A$6:$A$505,0)),"Phản ánh",IF(ISNUMBER(MATCH($C2473,'Kế hoạch'!$A$6:$A$305,0)),"Công việc","Mã chưa có")))</f>
      </c>
      <c r="J2473" s="221">
        <f>IF($I2473="Phản ánh",INDEX('Phản ánh'!$C$6:$C$505,MATCH($C2473,'Phản ánh'!$A$6:$A$505,0)),IF($I2473="Công việc",INDEX('Kế hoạch'!$C$6:$C$305,$O2473),""))</f>
      </c>
      <c r="K2473" s="221">
        <f>IF($I2473="Phản ánh",INDEX('Phản ánh'!$K$6:$K$505,MATCH($C2473,'Phản ánh'!$A$6:$A$505,0))&amp;"",IF($I2473="Công việc",INDEX('Kế hoạch'!$N$6:$N$305,$O2473)&amp;"",""))</f>
      </c>
      <c r="L2473" s="220">
        <f>IF(OR($C2473="",N($B2473)=0),"",IF(AND($I2473="Phản ánh",$E2473="Đã xử lý"),INDEX('Phản ánh'!$U$6:$U$505,MATCH($C2473,'Phản ánh'!$A$6:$A$505,0)),IF(AND($I2473="Công việc",OR($E2473="Hoàn thành",$E2473="Hoàn thành kỳ")),IF(INDEX('Kế hoạch'!$B$6:$B$305,$O2473)="Đột xuất",INDEX('Kế hoạch'!$AY$6:$AY$305,$O2473),IF(N($P2473)=0,"",IF(INT($B2473)&lt;$P2473,$P2473,IF($Q2473&gt;0,$P2473+ROUND((INT($B2473)-$P2473)/$Q2473,0)*$Q2473,IF($R2473&gt;0,EDATE($P2473,ROUND((DATEDIF($P2473,INT($B2473),"m")+(INT($B2473)-EDATE($P2473,DATEDIF($P2473,INT($B2473),"m")))/(EDATE($P2473,DATEDIF($P2473,INT($B2473),"m")+1)-EDATE($P2473,DATEDIF($P2473,INT($B2473),"m"))))/$R2473,0)*$R2473),$P2473))))),"")))</f>
      </c>
      <c r="M2473" s="223">
        <f>IF(OR($C2473="",N($L2473)=0,N($B2473)=0),"",IF(IF(MOD($L2473,1)=0,INT($B2473),$B2473)&lt;=$L2473,"Đúng hạn","Trễ hạn"))</f>
      </c>
      <c r="N2473" s="225">
        <f>IF($C2473="","",ROW())</f>
      </c>
      <c r="O2473" s="225">
        <f>IF($I2473="Công việc",MATCH($C2473,'Kế hoạch'!$A$6:$A$305,0),"")</f>
      </c>
      <c r="P2473" s="234">
        <f>IF($O2473="","",INDEX('Kế hoạch'!$I$6:$I$305,$O2473))</f>
      </c>
      <c r="Q2473" s="225">
        <f>IF($O2473="","",INDEX('Kế hoạch'!$AJ$6:$AJ$305,$O2473))</f>
      </c>
      <c r="R2473" s="225">
        <f>IF($O2473="","",INDEX('Kế hoạch'!$AK$6:$AK$305,$O2473))</f>
      </c>
    </row>
    <row r="2474">
      <c r="A2474" s="223">
        <f>IF($C2474="","",COUNTIF($C$6:$C2474,"?*"))</f>
      </c>
      <c r="B2474" s="217"/>
      <c r="C2474" s="216"/>
      <c r="D2474" s="240"/>
      <c r="E2474" s="218"/>
      <c r="F2474" s="218"/>
      <c r="G2474" s="218"/>
      <c r="H2474" s="219"/>
      <c r="I2474" s="223">
        <f>IF($C2474="","",IF(ISNUMBER(MATCH($C2474,'Phản ánh'!$A$6:$A$505,0)),"Phản ánh",IF(ISNUMBER(MATCH($C2474,'Kế hoạch'!$A$6:$A$305,0)),"Công việc","Mã chưa có")))</f>
      </c>
      <c r="J2474" s="221">
        <f>IF($I2474="Phản ánh",INDEX('Phản ánh'!$C$6:$C$505,MATCH($C2474,'Phản ánh'!$A$6:$A$505,0)),IF($I2474="Công việc",INDEX('Kế hoạch'!$C$6:$C$305,$O2474),""))</f>
      </c>
      <c r="K2474" s="221">
        <f>IF($I2474="Phản ánh",INDEX('Phản ánh'!$K$6:$K$505,MATCH($C2474,'Phản ánh'!$A$6:$A$505,0))&amp;"",IF($I2474="Công việc",INDEX('Kế hoạch'!$N$6:$N$305,$O2474)&amp;"",""))</f>
      </c>
      <c r="L2474" s="220">
        <f>IF(OR($C2474="",N($B2474)=0),"",IF(AND($I2474="Phản ánh",$E2474="Đã xử lý"),INDEX('Phản ánh'!$U$6:$U$505,MATCH($C2474,'Phản ánh'!$A$6:$A$505,0)),IF(AND($I2474="Công việc",OR($E2474="Hoàn thành",$E2474="Hoàn thành kỳ")),IF(INDEX('Kế hoạch'!$B$6:$B$305,$O2474)="Đột xuất",INDEX('Kế hoạch'!$AY$6:$AY$305,$O2474),IF(N($P2474)=0,"",IF(INT($B2474)&lt;$P2474,$P2474,IF($Q2474&gt;0,$P2474+ROUND((INT($B2474)-$P2474)/$Q2474,0)*$Q2474,IF($R2474&gt;0,EDATE($P2474,ROUND((DATEDIF($P2474,INT($B2474),"m")+(INT($B2474)-EDATE($P2474,DATEDIF($P2474,INT($B2474),"m")))/(EDATE($P2474,DATEDIF($P2474,INT($B2474),"m")+1)-EDATE($P2474,DATEDIF($P2474,INT($B2474),"m"))))/$R2474,0)*$R2474),$P2474))))),"")))</f>
      </c>
      <c r="M2474" s="223">
        <f>IF(OR($C2474="",N($L2474)=0,N($B2474)=0),"",IF(IF(MOD($L2474,1)=0,INT($B2474),$B2474)&lt;=$L2474,"Đúng hạn","Trễ hạn"))</f>
      </c>
      <c r="N2474" s="225">
        <f>IF($C2474="","",ROW())</f>
      </c>
      <c r="O2474" s="225">
        <f>IF($I2474="Công việc",MATCH($C2474,'Kế hoạch'!$A$6:$A$305,0),"")</f>
      </c>
      <c r="P2474" s="234">
        <f>IF($O2474="","",INDEX('Kế hoạch'!$I$6:$I$305,$O2474))</f>
      </c>
      <c r="Q2474" s="225">
        <f>IF($O2474="","",INDEX('Kế hoạch'!$AJ$6:$AJ$305,$O2474))</f>
      </c>
      <c r="R2474" s="225">
        <f>IF($O2474="","",INDEX('Kế hoạch'!$AK$6:$AK$305,$O2474))</f>
      </c>
    </row>
    <row r="2475">
      <c r="A2475" s="223">
        <f>IF($C2475="","",COUNTIF($C$6:$C2475,"?*"))</f>
      </c>
      <c r="B2475" s="217"/>
      <c r="C2475" s="216"/>
      <c r="D2475" s="240"/>
      <c r="E2475" s="218"/>
      <c r="F2475" s="218"/>
      <c r="G2475" s="218"/>
      <c r="H2475" s="219"/>
      <c r="I2475" s="223">
        <f>IF($C2475="","",IF(ISNUMBER(MATCH($C2475,'Phản ánh'!$A$6:$A$505,0)),"Phản ánh",IF(ISNUMBER(MATCH($C2475,'Kế hoạch'!$A$6:$A$305,0)),"Công việc","Mã chưa có")))</f>
      </c>
      <c r="J2475" s="221">
        <f>IF($I2475="Phản ánh",INDEX('Phản ánh'!$C$6:$C$505,MATCH($C2475,'Phản ánh'!$A$6:$A$505,0)),IF($I2475="Công việc",INDEX('Kế hoạch'!$C$6:$C$305,$O2475),""))</f>
      </c>
      <c r="K2475" s="221">
        <f>IF($I2475="Phản ánh",INDEX('Phản ánh'!$K$6:$K$505,MATCH($C2475,'Phản ánh'!$A$6:$A$505,0))&amp;"",IF($I2475="Công việc",INDEX('Kế hoạch'!$N$6:$N$305,$O2475)&amp;"",""))</f>
      </c>
      <c r="L2475" s="220">
        <f>IF(OR($C2475="",N($B2475)=0),"",IF(AND($I2475="Phản ánh",$E2475="Đã xử lý"),INDEX('Phản ánh'!$U$6:$U$505,MATCH($C2475,'Phản ánh'!$A$6:$A$505,0)),IF(AND($I2475="Công việc",OR($E2475="Hoàn thành",$E2475="Hoàn thành kỳ")),IF(INDEX('Kế hoạch'!$B$6:$B$305,$O2475)="Đột xuất",INDEX('Kế hoạch'!$AY$6:$AY$305,$O2475),IF(N($P2475)=0,"",IF(INT($B2475)&lt;$P2475,$P2475,IF($Q2475&gt;0,$P2475+ROUND((INT($B2475)-$P2475)/$Q2475,0)*$Q2475,IF($R2475&gt;0,EDATE($P2475,ROUND((DATEDIF($P2475,INT($B2475),"m")+(INT($B2475)-EDATE($P2475,DATEDIF($P2475,INT($B2475),"m")))/(EDATE($P2475,DATEDIF($P2475,INT($B2475),"m")+1)-EDATE($P2475,DATEDIF($P2475,INT($B2475),"m"))))/$R2475,0)*$R2475),$P2475))))),"")))</f>
      </c>
      <c r="M2475" s="223">
        <f>IF(OR($C2475="",N($L2475)=0,N($B2475)=0),"",IF(IF(MOD($L2475,1)=0,INT($B2475),$B2475)&lt;=$L2475,"Đúng hạn","Trễ hạn"))</f>
      </c>
      <c r="N2475" s="225">
        <f>IF($C2475="","",ROW())</f>
      </c>
      <c r="O2475" s="225">
        <f>IF($I2475="Công việc",MATCH($C2475,'Kế hoạch'!$A$6:$A$305,0),"")</f>
      </c>
      <c r="P2475" s="234">
        <f>IF($O2475="","",INDEX('Kế hoạch'!$I$6:$I$305,$O2475))</f>
      </c>
      <c r="Q2475" s="225">
        <f>IF($O2475="","",INDEX('Kế hoạch'!$AJ$6:$AJ$305,$O2475))</f>
      </c>
      <c r="R2475" s="225">
        <f>IF($O2475="","",INDEX('Kế hoạch'!$AK$6:$AK$305,$O2475))</f>
      </c>
    </row>
    <row r="2476">
      <c r="A2476" s="223">
        <f>IF($C2476="","",COUNTIF($C$6:$C2476,"?*"))</f>
      </c>
      <c r="B2476" s="217"/>
      <c r="C2476" s="216"/>
      <c r="D2476" s="240"/>
      <c r="E2476" s="218"/>
      <c r="F2476" s="218"/>
      <c r="G2476" s="218"/>
      <c r="H2476" s="219"/>
      <c r="I2476" s="223">
        <f>IF($C2476="","",IF(ISNUMBER(MATCH($C2476,'Phản ánh'!$A$6:$A$505,0)),"Phản ánh",IF(ISNUMBER(MATCH($C2476,'Kế hoạch'!$A$6:$A$305,0)),"Công việc","Mã chưa có")))</f>
      </c>
      <c r="J2476" s="221">
        <f>IF($I2476="Phản ánh",INDEX('Phản ánh'!$C$6:$C$505,MATCH($C2476,'Phản ánh'!$A$6:$A$505,0)),IF($I2476="Công việc",INDEX('Kế hoạch'!$C$6:$C$305,$O2476),""))</f>
      </c>
      <c r="K2476" s="221">
        <f>IF($I2476="Phản ánh",INDEX('Phản ánh'!$K$6:$K$505,MATCH($C2476,'Phản ánh'!$A$6:$A$505,0))&amp;"",IF($I2476="Công việc",INDEX('Kế hoạch'!$N$6:$N$305,$O2476)&amp;"",""))</f>
      </c>
      <c r="L2476" s="220">
        <f>IF(OR($C2476="",N($B2476)=0),"",IF(AND($I2476="Phản ánh",$E2476="Đã xử lý"),INDEX('Phản ánh'!$U$6:$U$505,MATCH($C2476,'Phản ánh'!$A$6:$A$505,0)),IF(AND($I2476="Công việc",OR($E2476="Hoàn thành",$E2476="Hoàn thành kỳ")),IF(INDEX('Kế hoạch'!$B$6:$B$305,$O2476)="Đột xuất",INDEX('Kế hoạch'!$AY$6:$AY$305,$O2476),IF(N($P2476)=0,"",IF(INT($B2476)&lt;$P2476,$P2476,IF($Q2476&gt;0,$P2476+ROUND((INT($B2476)-$P2476)/$Q2476,0)*$Q2476,IF($R2476&gt;0,EDATE($P2476,ROUND((DATEDIF($P2476,INT($B2476),"m")+(INT($B2476)-EDATE($P2476,DATEDIF($P2476,INT($B2476),"m")))/(EDATE($P2476,DATEDIF($P2476,INT($B2476),"m")+1)-EDATE($P2476,DATEDIF($P2476,INT($B2476),"m"))))/$R2476,0)*$R2476),$P2476))))),"")))</f>
      </c>
      <c r="M2476" s="223">
        <f>IF(OR($C2476="",N($L2476)=0,N($B2476)=0),"",IF(IF(MOD($L2476,1)=0,INT($B2476),$B2476)&lt;=$L2476,"Đúng hạn","Trễ hạn"))</f>
      </c>
      <c r="N2476" s="225">
        <f>IF($C2476="","",ROW())</f>
      </c>
      <c r="O2476" s="225">
        <f>IF($I2476="Công việc",MATCH($C2476,'Kế hoạch'!$A$6:$A$305,0),"")</f>
      </c>
      <c r="P2476" s="234">
        <f>IF($O2476="","",INDEX('Kế hoạch'!$I$6:$I$305,$O2476))</f>
      </c>
      <c r="Q2476" s="225">
        <f>IF($O2476="","",INDEX('Kế hoạch'!$AJ$6:$AJ$305,$O2476))</f>
      </c>
      <c r="R2476" s="225">
        <f>IF($O2476="","",INDEX('Kế hoạch'!$AK$6:$AK$305,$O2476))</f>
      </c>
    </row>
    <row r="2477">
      <c r="A2477" s="223">
        <f>IF($C2477="","",COUNTIF($C$6:$C2477,"?*"))</f>
      </c>
      <c r="B2477" s="217"/>
      <c r="C2477" s="216"/>
      <c r="D2477" s="240"/>
      <c r="E2477" s="218"/>
      <c r="F2477" s="218"/>
      <c r="G2477" s="218"/>
      <c r="H2477" s="219"/>
      <c r="I2477" s="223">
        <f>IF($C2477="","",IF(ISNUMBER(MATCH($C2477,'Phản ánh'!$A$6:$A$505,0)),"Phản ánh",IF(ISNUMBER(MATCH($C2477,'Kế hoạch'!$A$6:$A$305,0)),"Công việc","Mã chưa có")))</f>
      </c>
      <c r="J2477" s="221">
        <f>IF($I2477="Phản ánh",INDEX('Phản ánh'!$C$6:$C$505,MATCH($C2477,'Phản ánh'!$A$6:$A$505,0)),IF($I2477="Công việc",INDEX('Kế hoạch'!$C$6:$C$305,$O2477),""))</f>
      </c>
      <c r="K2477" s="221">
        <f>IF($I2477="Phản ánh",INDEX('Phản ánh'!$K$6:$K$505,MATCH($C2477,'Phản ánh'!$A$6:$A$505,0))&amp;"",IF($I2477="Công việc",INDEX('Kế hoạch'!$N$6:$N$305,$O2477)&amp;"",""))</f>
      </c>
      <c r="L2477" s="220">
        <f>IF(OR($C2477="",N($B2477)=0),"",IF(AND($I2477="Phản ánh",$E2477="Đã xử lý"),INDEX('Phản ánh'!$U$6:$U$505,MATCH($C2477,'Phản ánh'!$A$6:$A$505,0)),IF(AND($I2477="Công việc",OR($E2477="Hoàn thành",$E2477="Hoàn thành kỳ")),IF(INDEX('Kế hoạch'!$B$6:$B$305,$O2477)="Đột xuất",INDEX('Kế hoạch'!$AY$6:$AY$305,$O2477),IF(N($P2477)=0,"",IF(INT($B2477)&lt;$P2477,$P2477,IF($Q2477&gt;0,$P2477+ROUND((INT($B2477)-$P2477)/$Q2477,0)*$Q2477,IF($R2477&gt;0,EDATE($P2477,ROUND((DATEDIF($P2477,INT($B2477),"m")+(INT($B2477)-EDATE($P2477,DATEDIF($P2477,INT($B2477),"m")))/(EDATE($P2477,DATEDIF($P2477,INT($B2477),"m")+1)-EDATE($P2477,DATEDIF($P2477,INT($B2477),"m"))))/$R2477,0)*$R2477),$P2477))))),"")))</f>
      </c>
      <c r="M2477" s="223">
        <f>IF(OR($C2477="",N($L2477)=0,N($B2477)=0),"",IF(IF(MOD($L2477,1)=0,INT($B2477),$B2477)&lt;=$L2477,"Đúng hạn","Trễ hạn"))</f>
      </c>
      <c r="N2477" s="225">
        <f>IF($C2477="","",ROW())</f>
      </c>
      <c r="O2477" s="225">
        <f>IF($I2477="Công việc",MATCH($C2477,'Kế hoạch'!$A$6:$A$305,0),"")</f>
      </c>
      <c r="P2477" s="234">
        <f>IF($O2477="","",INDEX('Kế hoạch'!$I$6:$I$305,$O2477))</f>
      </c>
      <c r="Q2477" s="225">
        <f>IF($O2477="","",INDEX('Kế hoạch'!$AJ$6:$AJ$305,$O2477))</f>
      </c>
      <c r="R2477" s="225">
        <f>IF($O2477="","",INDEX('Kế hoạch'!$AK$6:$AK$305,$O2477))</f>
      </c>
    </row>
    <row r="2478">
      <c r="A2478" s="223">
        <f>IF($C2478="","",COUNTIF($C$6:$C2478,"?*"))</f>
      </c>
      <c r="B2478" s="217"/>
      <c r="C2478" s="216"/>
      <c r="D2478" s="240"/>
      <c r="E2478" s="218"/>
      <c r="F2478" s="218"/>
      <c r="G2478" s="218"/>
      <c r="H2478" s="219"/>
      <c r="I2478" s="223">
        <f>IF($C2478="","",IF(ISNUMBER(MATCH($C2478,'Phản ánh'!$A$6:$A$505,0)),"Phản ánh",IF(ISNUMBER(MATCH($C2478,'Kế hoạch'!$A$6:$A$305,0)),"Công việc","Mã chưa có")))</f>
      </c>
      <c r="J2478" s="221">
        <f>IF($I2478="Phản ánh",INDEX('Phản ánh'!$C$6:$C$505,MATCH($C2478,'Phản ánh'!$A$6:$A$505,0)),IF($I2478="Công việc",INDEX('Kế hoạch'!$C$6:$C$305,$O2478),""))</f>
      </c>
      <c r="K2478" s="221">
        <f>IF($I2478="Phản ánh",INDEX('Phản ánh'!$K$6:$K$505,MATCH($C2478,'Phản ánh'!$A$6:$A$505,0))&amp;"",IF($I2478="Công việc",INDEX('Kế hoạch'!$N$6:$N$305,$O2478)&amp;"",""))</f>
      </c>
      <c r="L2478" s="220">
        <f>IF(OR($C2478="",N($B2478)=0),"",IF(AND($I2478="Phản ánh",$E2478="Đã xử lý"),INDEX('Phản ánh'!$U$6:$U$505,MATCH($C2478,'Phản ánh'!$A$6:$A$505,0)),IF(AND($I2478="Công việc",OR($E2478="Hoàn thành",$E2478="Hoàn thành kỳ")),IF(INDEX('Kế hoạch'!$B$6:$B$305,$O2478)="Đột xuất",INDEX('Kế hoạch'!$AY$6:$AY$305,$O2478),IF(N($P2478)=0,"",IF(INT($B2478)&lt;$P2478,$P2478,IF($Q2478&gt;0,$P2478+ROUND((INT($B2478)-$P2478)/$Q2478,0)*$Q2478,IF($R2478&gt;0,EDATE($P2478,ROUND((DATEDIF($P2478,INT($B2478),"m")+(INT($B2478)-EDATE($P2478,DATEDIF($P2478,INT($B2478),"m")))/(EDATE($P2478,DATEDIF($P2478,INT($B2478),"m")+1)-EDATE($P2478,DATEDIF($P2478,INT($B2478),"m"))))/$R2478,0)*$R2478),$P2478))))),"")))</f>
      </c>
      <c r="M2478" s="223">
        <f>IF(OR($C2478="",N($L2478)=0,N($B2478)=0),"",IF(IF(MOD($L2478,1)=0,INT($B2478),$B2478)&lt;=$L2478,"Đúng hạn","Trễ hạn"))</f>
      </c>
      <c r="N2478" s="225">
        <f>IF($C2478="","",ROW())</f>
      </c>
      <c r="O2478" s="225">
        <f>IF($I2478="Công việc",MATCH($C2478,'Kế hoạch'!$A$6:$A$305,0),"")</f>
      </c>
      <c r="P2478" s="234">
        <f>IF($O2478="","",INDEX('Kế hoạch'!$I$6:$I$305,$O2478))</f>
      </c>
      <c r="Q2478" s="225">
        <f>IF($O2478="","",INDEX('Kế hoạch'!$AJ$6:$AJ$305,$O2478))</f>
      </c>
      <c r="R2478" s="225">
        <f>IF($O2478="","",INDEX('Kế hoạch'!$AK$6:$AK$305,$O2478))</f>
      </c>
    </row>
    <row r="2479">
      <c r="A2479" s="223">
        <f>IF($C2479="","",COUNTIF($C$6:$C2479,"?*"))</f>
      </c>
      <c r="B2479" s="217"/>
      <c r="C2479" s="216"/>
      <c r="D2479" s="240"/>
      <c r="E2479" s="218"/>
      <c r="F2479" s="218"/>
      <c r="G2479" s="218"/>
      <c r="H2479" s="219"/>
      <c r="I2479" s="223">
        <f>IF($C2479="","",IF(ISNUMBER(MATCH($C2479,'Phản ánh'!$A$6:$A$505,0)),"Phản ánh",IF(ISNUMBER(MATCH($C2479,'Kế hoạch'!$A$6:$A$305,0)),"Công việc","Mã chưa có")))</f>
      </c>
      <c r="J2479" s="221">
        <f>IF($I2479="Phản ánh",INDEX('Phản ánh'!$C$6:$C$505,MATCH($C2479,'Phản ánh'!$A$6:$A$505,0)),IF($I2479="Công việc",INDEX('Kế hoạch'!$C$6:$C$305,$O2479),""))</f>
      </c>
      <c r="K2479" s="221">
        <f>IF($I2479="Phản ánh",INDEX('Phản ánh'!$K$6:$K$505,MATCH($C2479,'Phản ánh'!$A$6:$A$505,0))&amp;"",IF($I2479="Công việc",INDEX('Kế hoạch'!$N$6:$N$305,$O2479)&amp;"",""))</f>
      </c>
      <c r="L2479" s="220">
        <f>IF(OR($C2479="",N($B2479)=0),"",IF(AND($I2479="Phản ánh",$E2479="Đã xử lý"),INDEX('Phản ánh'!$U$6:$U$505,MATCH($C2479,'Phản ánh'!$A$6:$A$505,0)),IF(AND($I2479="Công việc",OR($E2479="Hoàn thành",$E2479="Hoàn thành kỳ")),IF(INDEX('Kế hoạch'!$B$6:$B$305,$O2479)="Đột xuất",INDEX('Kế hoạch'!$AY$6:$AY$305,$O2479),IF(N($P2479)=0,"",IF(INT($B2479)&lt;$P2479,$P2479,IF($Q2479&gt;0,$P2479+ROUND((INT($B2479)-$P2479)/$Q2479,0)*$Q2479,IF($R2479&gt;0,EDATE($P2479,ROUND((DATEDIF($P2479,INT($B2479),"m")+(INT($B2479)-EDATE($P2479,DATEDIF($P2479,INT($B2479),"m")))/(EDATE($P2479,DATEDIF($P2479,INT($B2479),"m")+1)-EDATE($P2479,DATEDIF($P2479,INT($B2479),"m"))))/$R2479,0)*$R2479),$P2479))))),"")))</f>
      </c>
      <c r="M2479" s="223">
        <f>IF(OR($C2479="",N($L2479)=0,N($B2479)=0),"",IF(IF(MOD($L2479,1)=0,INT($B2479),$B2479)&lt;=$L2479,"Đúng hạn","Trễ hạn"))</f>
      </c>
      <c r="N2479" s="225">
        <f>IF($C2479="","",ROW())</f>
      </c>
      <c r="O2479" s="225">
        <f>IF($I2479="Công việc",MATCH($C2479,'Kế hoạch'!$A$6:$A$305,0),"")</f>
      </c>
      <c r="P2479" s="234">
        <f>IF($O2479="","",INDEX('Kế hoạch'!$I$6:$I$305,$O2479))</f>
      </c>
      <c r="Q2479" s="225">
        <f>IF($O2479="","",INDEX('Kế hoạch'!$AJ$6:$AJ$305,$O2479))</f>
      </c>
      <c r="R2479" s="225">
        <f>IF($O2479="","",INDEX('Kế hoạch'!$AK$6:$AK$305,$O2479))</f>
      </c>
    </row>
    <row r="2480">
      <c r="A2480" s="223">
        <f>IF($C2480="","",COUNTIF($C$6:$C2480,"?*"))</f>
      </c>
      <c r="B2480" s="217"/>
      <c r="C2480" s="216"/>
      <c r="D2480" s="240"/>
      <c r="E2480" s="218"/>
      <c r="F2480" s="218"/>
      <c r="G2480" s="218"/>
      <c r="H2480" s="219"/>
      <c r="I2480" s="223">
        <f>IF($C2480="","",IF(ISNUMBER(MATCH($C2480,'Phản ánh'!$A$6:$A$505,0)),"Phản ánh",IF(ISNUMBER(MATCH($C2480,'Kế hoạch'!$A$6:$A$305,0)),"Công việc","Mã chưa có")))</f>
      </c>
      <c r="J2480" s="221">
        <f>IF($I2480="Phản ánh",INDEX('Phản ánh'!$C$6:$C$505,MATCH($C2480,'Phản ánh'!$A$6:$A$505,0)),IF($I2480="Công việc",INDEX('Kế hoạch'!$C$6:$C$305,$O2480),""))</f>
      </c>
      <c r="K2480" s="221">
        <f>IF($I2480="Phản ánh",INDEX('Phản ánh'!$K$6:$K$505,MATCH($C2480,'Phản ánh'!$A$6:$A$505,0))&amp;"",IF($I2480="Công việc",INDEX('Kế hoạch'!$N$6:$N$305,$O2480)&amp;"",""))</f>
      </c>
      <c r="L2480" s="220">
        <f>IF(OR($C2480="",N($B2480)=0),"",IF(AND($I2480="Phản ánh",$E2480="Đã xử lý"),INDEX('Phản ánh'!$U$6:$U$505,MATCH($C2480,'Phản ánh'!$A$6:$A$505,0)),IF(AND($I2480="Công việc",OR($E2480="Hoàn thành",$E2480="Hoàn thành kỳ")),IF(INDEX('Kế hoạch'!$B$6:$B$305,$O2480)="Đột xuất",INDEX('Kế hoạch'!$AY$6:$AY$305,$O2480),IF(N($P2480)=0,"",IF(INT($B2480)&lt;$P2480,$P2480,IF($Q2480&gt;0,$P2480+ROUND((INT($B2480)-$P2480)/$Q2480,0)*$Q2480,IF($R2480&gt;0,EDATE($P2480,ROUND((DATEDIF($P2480,INT($B2480),"m")+(INT($B2480)-EDATE($P2480,DATEDIF($P2480,INT($B2480),"m")))/(EDATE($P2480,DATEDIF($P2480,INT($B2480),"m")+1)-EDATE($P2480,DATEDIF($P2480,INT($B2480),"m"))))/$R2480,0)*$R2480),$P2480))))),"")))</f>
      </c>
      <c r="M2480" s="223">
        <f>IF(OR($C2480="",N($L2480)=0,N($B2480)=0),"",IF(IF(MOD($L2480,1)=0,INT($B2480),$B2480)&lt;=$L2480,"Đúng hạn","Trễ hạn"))</f>
      </c>
      <c r="N2480" s="225">
        <f>IF($C2480="","",ROW())</f>
      </c>
      <c r="O2480" s="225">
        <f>IF($I2480="Công việc",MATCH($C2480,'Kế hoạch'!$A$6:$A$305,0),"")</f>
      </c>
      <c r="P2480" s="234">
        <f>IF($O2480="","",INDEX('Kế hoạch'!$I$6:$I$305,$O2480))</f>
      </c>
      <c r="Q2480" s="225">
        <f>IF($O2480="","",INDEX('Kế hoạch'!$AJ$6:$AJ$305,$O2480))</f>
      </c>
      <c r="R2480" s="225">
        <f>IF($O2480="","",INDEX('Kế hoạch'!$AK$6:$AK$305,$O2480))</f>
      </c>
    </row>
    <row r="2481">
      <c r="A2481" s="223">
        <f>IF($C2481="","",COUNTIF($C$6:$C2481,"?*"))</f>
      </c>
      <c r="B2481" s="217"/>
      <c r="C2481" s="216"/>
      <c r="D2481" s="240"/>
      <c r="E2481" s="218"/>
      <c r="F2481" s="218"/>
      <c r="G2481" s="218"/>
      <c r="H2481" s="219"/>
      <c r="I2481" s="223">
        <f>IF($C2481="","",IF(ISNUMBER(MATCH($C2481,'Phản ánh'!$A$6:$A$505,0)),"Phản ánh",IF(ISNUMBER(MATCH($C2481,'Kế hoạch'!$A$6:$A$305,0)),"Công việc","Mã chưa có")))</f>
      </c>
      <c r="J2481" s="221">
        <f>IF($I2481="Phản ánh",INDEX('Phản ánh'!$C$6:$C$505,MATCH($C2481,'Phản ánh'!$A$6:$A$505,0)),IF($I2481="Công việc",INDEX('Kế hoạch'!$C$6:$C$305,$O2481),""))</f>
      </c>
      <c r="K2481" s="221">
        <f>IF($I2481="Phản ánh",INDEX('Phản ánh'!$K$6:$K$505,MATCH($C2481,'Phản ánh'!$A$6:$A$505,0))&amp;"",IF($I2481="Công việc",INDEX('Kế hoạch'!$N$6:$N$305,$O2481)&amp;"",""))</f>
      </c>
      <c r="L2481" s="220">
        <f>IF(OR($C2481="",N($B2481)=0),"",IF(AND($I2481="Phản ánh",$E2481="Đã xử lý"),INDEX('Phản ánh'!$U$6:$U$505,MATCH($C2481,'Phản ánh'!$A$6:$A$505,0)),IF(AND($I2481="Công việc",OR($E2481="Hoàn thành",$E2481="Hoàn thành kỳ")),IF(INDEX('Kế hoạch'!$B$6:$B$305,$O2481)="Đột xuất",INDEX('Kế hoạch'!$AY$6:$AY$305,$O2481),IF(N($P2481)=0,"",IF(INT($B2481)&lt;$P2481,$P2481,IF($Q2481&gt;0,$P2481+ROUND((INT($B2481)-$P2481)/$Q2481,0)*$Q2481,IF($R2481&gt;0,EDATE($P2481,ROUND((DATEDIF($P2481,INT($B2481),"m")+(INT($B2481)-EDATE($P2481,DATEDIF($P2481,INT($B2481),"m")))/(EDATE($P2481,DATEDIF($P2481,INT($B2481),"m")+1)-EDATE($P2481,DATEDIF($P2481,INT($B2481),"m"))))/$R2481,0)*$R2481),$P2481))))),"")))</f>
      </c>
      <c r="M2481" s="223">
        <f>IF(OR($C2481="",N($L2481)=0,N($B2481)=0),"",IF(IF(MOD($L2481,1)=0,INT($B2481),$B2481)&lt;=$L2481,"Đúng hạn","Trễ hạn"))</f>
      </c>
      <c r="N2481" s="225">
        <f>IF($C2481="","",ROW())</f>
      </c>
      <c r="O2481" s="225">
        <f>IF($I2481="Công việc",MATCH($C2481,'Kế hoạch'!$A$6:$A$305,0),"")</f>
      </c>
      <c r="P2481" s="234">
        <f>IF($O2481="","",INDEX('Kế hoạch'!$I$6:$I$305,$O2481))</f>
      </c>
      <c r="Q2481" s="225">
        <f>IF($O2481="","",INDEX('Kế hoạch'!$AJ$6:$AJ$305,$O2481))</f>
      </c>
      <c r="R2481" s="225">
        <f>IF($O2481="","",INDEX('Kế hoạch'!$AK$6:$AK$305,$O2481))</f>
      </c>
    </row>
    <row r="2482">
      <c r="A2482" s="223">
        <f>IF($C2482="","",COUNTIF($C$6:$C2482,"?*"))</f>
      </c>
      <c r="B2482" s="217"/>
      <c r="C2482" s="216"/>
      <c r="D2482" s="240"/>
      <c r="E2482" s="218"/>
      <c r="F2482" s="218"/>
      <c r="G2482" s="218"/>
      <c r="H2482" s="219"/>
      <c r="I2482" s="223">
        <f>IF($C2482="","",IF(ISNUMBER(MATCH($C2482,'Phản ánh'!$A$6:$A$505,0)),"Phản ánh",IF(ISNUMBER(MATCH($C2482,'Kế hoạch'!$A$6:$A$305,0)),"Công việc","Mã chưa có")))</f>
      </c>
      <c r="J2482" s="221">
        <f>IF($I2482="Phản ánh",INDEX('Phản ánh'!$C$6:$C$505,MATCH($C2482,'Phản ánh'!$A$6:$A$505,0)),IF($I2482="Công việc",INDEX('Kế hoạch'!$C$6:$C$305,$O2482),""))</f>
      </c>
      <c r="K2482" s="221">
        <f>IF($I2482="Phản ánh",INDEX('Phản ánh'!$K$6:$K$505,MATCH($C2482,'Phản ánh'!$A$6:$A$505,0))&amp;"",IF($I2482="Công việc",INDEX('Kế hoạch'!$N$6:$N$305,$O2482)&amp;"",""))</f>
      </c>
      <c r="L2482" s="220">
        <f>IF(OR($C2482="",N($B2482)=0),"",IF(AND($I2482="Phản ánh",$E2482="Đã xử lý"),INDEX('Phản ánh'!$U$6:$U$505,MATCH($C2482,'Phản ánh'!$A$6:$A$505,0)),IF(AND($I2482="Công việc",OR($E2482="Hoàn thành",$E2482="Hoàn thành kỳ")),IF(INDEX('Kế hoạch'!$B$6:$B$305,$O2482)="Đột xuất",INDEX('Kế hoạch'!$AY$6:$AY$305,$O2482),IF(N($P2482)=0,"",IF(INT($B2482)&lt;$P2482,$P2482,IF($Q2482&gt;0,$P2482+ROUND((INT($B2482)-$P2482)/$Q2482,0)*$Q2482,IF($R2482&gt;0,EDATE($P2482,ROUND((DATEDIF($P2482,INT($B2482),"m")+(INT($B2482)-EDATE($P2482,DATEDIF($P2482,INT($B2482),"m")))/(EDATE($P2482,DATEDIF($P2482,INT($B2482),"m")+1)-EDATE($P2482,DATEDIF($P2482,INT($B2482),"m"))))/$R2482,0)*$R2482),$P2482))))),"")))</f>
      </c>
      <c r="M2482" s="223">
        <f>IF(OR($C2482="",N($L2482)=0,N($B2482)=0),"",IF(IF(MOD($L2482,1)=0,INT($B2482),$B2482)&lt;=$L2482,"Đúng hạn","Trễ hạn"))</f>
      </c>
      <c r="N2482" s="225">
        <f>IF($C2482="","",ROW())</f>
      </c>
      <c r="O2482" s="225">
        <f>IF($I2482="Công việc",MATCH($C2482,'Kế hoạch'!$A$6:$A$305,0),"")</f>
      </c>
      <c r="P2482" s="234">
        <f>IF($O2482="","",INDEX('Kế hoạch'!$I$6:$I$305,$O2482))</f>
      </c>
      <c r="Q2482" s="225">
        <f>IF($O2482="","",INDEX('Kế hoạch'!$AJ$6:$AJ$305,$O2482))</f>
      </c>
      <c r="R2482" s="225">
        <f>IF($O2482="","",INDEX('Kế hoạch'!$AK$6:$AK$305,$O2482))</f>
      </c>
    </row>
    <row r="2483">
      <c r="A2483" s="223">
        <f>IF($C2483="","",COUNTIF($C$6:$C2483,"?*"))</f>
      </c>
      <c r="B2483" s="217"/>
      <c r="C2483" s="216"/>
      <c r="D2483" s="240"/>
      <c r="E2483" s="218"/>
      <c r="F2483" s="218"/>
      <c r="G2483" s="218"/>
      <c r="H2483" s="219"/>
      <c r="I2483" s="223">
        <f>IF($C2483="","",IF(ISNUMBER(MATCH($C2483,'Phản ánh'!$A$6:$A$505,0)),"Phản ánh",IF(ISNUMBER(MATCH($C2483,'Kế hoạch'!$A$6:$A$305,0)),"Công việc","Mã chưa có")))</f>
      </c>
      <c r="J2483" s="221">
        <f>IF($I2483="Phản ánh",INDEX('Phản ánh'!$C$6:$C$505,MATCH($C2483,'Phản ánh'!$A$6:$A$505,0)),IF($I2483="Công việc",INDEX('Kế hoạch'!$C$6:$C$305,$O2483),""))</f>
      </c>
      <c r="K2483" s="221">
        <f>IF($I2483="Phản ánh",INDEX('Phản ánh'!$K$6:$K$505,MATCH($C2483,'Phản ánh'!$A$6:$A$505,0))&amp;"",IF($I2483="Công việc",INDEX('Kế hoạch'!$N$6:$N$305,$O2483)&amp;"",""))</f>
      </c>
      <c r="L2483" s="220">
        <f>IF(OR($C2483="",N($B2483)=0),"",IF(AND($I2483="Phản ánh",$E2483="Đã xử lý"),INDEX('Phản ánh'!$U$6:$U$505,MATCH($C2483,'Phản ánh'!$A$6:$A$505,0)),IF(AND($I2483="Công việc",OR($E2483="Hoàn thành",$E2483="Hoàn thành kỳ")),IF(INDEX('Kế hoạch'!$B$6:$B$305,$O2483)="Đột xuất",INDEX('Kế hoạch'!$AY$6:$AY$305,$O2483),IF(N($P2483)=0,"",IF(INT($B2483)&lt;$P2483,$P2483,IF($Q2483&gt;0,$P2483+ROUND((INT($B2483)-$P2483)/$Q2483,0)*$Q2483,IF($R2483&gt;0,EDATE($P2483,ROUND((DATEDIF($P2483,INT($B2483),"m")+(INT($B2483)-EDATE($P2483,DATEDIF($P2483,INT($B2483),"m")))/(EDATE($P2483,DATEDIF($P2483,INT($B2483),"m")+1)-EDATE($P2483,DATEDIF($P2483,INT($B2483),"m"))))/$R2483,0)*$R2483),$P2483))))),"")))</f>
      </c>
      <c r="M2483" s="223">
        <f>IF(OR($C2483="",N($L2483)=0,N($B2483)=0),"",IF(IF(MOD($L2483,1)=0,INT($B2483),$B2483)&lt;=$L2483,"Đúng hạn","Trễ hạn"))</f>
      </c>
      <c r="N2483" s="225">
        <f>IF($C2483="","",ROW())</f>
      </c>
      <c r="O2483" s="225">
        <f>IF($I2483="Công việc",MATCH($C2483,'Kế hoạch'!$A$6:$A$305,0),"")</f>
      </c>
      <c r="P2483" s="234">
        <f>IF($O2483="","",INDEX('Kế hoạch'!$I$6:$I$305,$O2483))</f>
      </c>
      <c r="Q2483" s="225">
        <f>IF($O2483="","",INDEX('Kế hoạch'!$AJ$6:$AJ$305,$O2483))</f>
      </c>
      <c r="R2483" s="225">
        <f>IF($O2483="","",INDEX('Kế hoạch'!$AK$6:$AK$305,$O2483))</f>
      </c>
    </row>
    <row r="2484">
      <c r="A2484" s="223">
        <f>IF($C2484="","",COUNTIF($C$6:$C2484,"?*"))</f>
      </c>
      <c r="B2484" s="217"/>
      <c r="C2484" s="216"/>
      <c r="D2484" s="240"/>
      <c r="E2484" s="218"/>
      <c r="F2484" s="218"/>
      <c r="G2484" s="218"/>
      <c r="H2484" s="219"/>
      <c r="I2484" s="223">
        <f>IF($C2484="","",IF(ISNUMBER(MATCH($C2484,'Phản ánh'!$A$6:$A$505,0)),"Phản ánh",IF(ISNUMBER(MATCH($C2484,'Kế hoạch'!$A$6:$A$305,0)),"Công việc","Mã chưa có")))</f>
      </c>
      <c r="J2484" s="221">
        <f>IF($I2484="Phản ánh",INDEX('Phản ánh'!$C$6:$C$505,MATCH($C2484,'Phản ánh'!$A$6:$A$505,0)),IF($I2484="Công việc",INDEX('Kế hoạch'!$C$6:$C$305,$O2484),""))</f>
      </c>
      <c r="K2484" s="221">
        <f>IF($I2484="Phản ánh",INDEX('Phản ánh'!$K$6:$K$505,MATCH($C2484,'Phản ánh'!$A$6:$A$505,0))&amp;"",IF($I2484="Công việc",INDEX('Kế hoạch'!$N$6:$N$305,$O2484)&amp;"",""))</f>
      </c>
      <c r="L2484" s="220">
        <f>IF(OR($C2484="",N($B2484)=0),"",IF(AND($I2484="Phản ánh",$E2484="Đã xử lý"),INDEX('Phản ánh'!$U$6:$U$505,MATCH($C2484,'Phản ánh'!$A$6:$A$505,0)),IF(AND($I2484="Công việc",OR($E2484="Hoàn thành",$E2484="Hoàn thành kỳ")),IF(INDEX('Kế hoạch'!$B$6:$B$305,$O2484)="Đột xuất",INDEX('Kế hoạch'!$AY$6:$AY$305,$O2484),IF(N($P2484)=0,"",IF(INT($B2484)&lt;$P2484,$P2484,IF($Q2484&gt;0,$P2484+ROUND((INT($B2484)-$P2484)/$Q2484,0)*$Q2484,IF($R2484&gt;0,EDATE($P2484,ROUND((DATEDIF($P2484,INT($B2484),"m")+(INT($B2484)-EDATE($P2484,DATEDIF($P2484,INT($B2484),"m")))/(EDATE($P2484,DATEDIF($P2484,INT($B2484),"m")+1)-EDATE($P2484,DATEDIF($P2484,INT($B2484),"m"))))/$R2484,0)*$R2484),$P2484))))),"")))</f>
      </c>
      <c r="M2484" s="223">
        <f>IF(OR($C2484="",N($L2484)=0,N($B2484)=0),"",IF(IF(MOD($L2484,1)=0,INT($B2484),$B2484)&lt;=$L2484,"Đúng hạn","Trễ hạn"))</f>
      </c>
      <c r="N2484" s="225">
        <f>IF($C2484="","",ROW())</f>
      </c>
      <c r="O2484" s="225">
        <f>IF($I2484="Công việc",MATCH($C2484,'Kế hoạch'!$A$6:$A$305,0),"")</f>
      </c>
      <c r="P2484" s="234">
        <f>IF($O2484="","",INDEX('Kế hoạch'!$I$6:$I$305,$O2484))</f>
      </c>
      <c r="Q2484" s="225">
        <f>IF($O2484="","",INDEX('Kế hoạch'!$AJ$6:$AJ$305,$O2484))</f>
      </c>
      <c r="R2484" s="225">
        <f>IF($O2484="","",INDEX('Kế hoạch'!$AK$6:$AK$305,$O2484))</f>
      </c>
    </row>
    <row r="2485">
      <c r="A2485" s="223">
        <f>IF($C2485="","",COUNTIF($C$6:$C2485,"?*"))</f>
      </c>
      <c r="B2485" s="217"/>
      <c r="C2485" s="216"/>
      <c r="D2485" s="240"/>
      <c r="E2485" s="218"/>
      <c r="F2485" s="218"/>
      <c r="G2485" s="218"/>
      <c r="H2485" s="219"/>
      <c r="I2485" s="223">
        <f>IF($C2485="","",IF(ISNUMBER(MATCH($C2485,'Phản ánh'!$A$6:$A$505,0)),"Phản ánh",IF(ISNUMBER(MATCH($C2485,'Kế hoạch'!$A$6:$A$305,0)),"Công việc","Mã chưa có")))</f>
      </c>
      <c r="J2485" s="221">
        <f>IF($I2485="Phản ánh",INDEX('Phản ánh'!$C$6:$C$505,MATCH($C2485,'Phản ánh'!$A$6:$A$505,0)),IF($I2485="Công việc",INDEX('Kế hoạch'!$C$6:$C$305,$O2485),""))</f>
      </c>
      <c r="K2485" s="221">
        <f>IF($I2485="Phản ánh",INDEX('Phản ánh'!$K$6:$K$505,MATCH($C2485,'Phản ánh'!$A$6:$A$505,0))&amp;"",IF($I2485="Công việc",INDEX('Kế hoạch'!$N$6:$N$305,$O2485)&amp;"",""))</f>
      </c>
      <c r="L2485" s="220">
        <f>IF(OR($C2485="",N($B2485)=0),"",IF(AND($I2485="Phản ánh",$E2485="Đã xử lý"),INDEX('Phản ánh'!$U$6:$U$505,MATCH($C2485,'Phản ánh'!$A$6:$A$505,0)),IF(AND($I2485="Công việc",OR($E2485="Hoàn thành",$E2485="Hoàn thành kỳ")),IF(INDEX('Kế hoạch'!$B$6:$B$305,$O2485)="Đột xuất",INDEX('Kế hoạch'!$AY$6:$AY$305,$O2485),IF(N($P2485)=0,"",IF(INT($B2485)&lt;$P2485,$P2485,IF($Q2485&gt;0,$P2485+ROUND((INT($B2485)-$P2485)/$Q2485,0)*$Q2485,IF($R2485&gt;0,EDATE($P2485,ROUND((DATEDIF($P2485,INT($B2485),"m")+(INT($B2485)-EDATE($P2485,DATEDIF($P2485,INT($B2485),"m")))/(EDATE($P2485,DATEDIF($P2485,INT($B2485),"m")+1)-EDATE($P2485,DATEDIF($P2485,INT($B2485),"m"))))/$R2485,0)*$R2485),$P2485))))),"")))</f>
      </c>
      <c r="M2485" s="223">
        <f>IF(OR($C2485="",N($L2485)=0,N($B2485)=0),"",IF(IF(MOD($L2485,1)=0,INT($B2485),$B2485)&lt;=$L2485,"Đúng hạn","Trễ hạn"))</f>
      </c>
      <c r="N2485" s="225">
        <f>IF($C2485="","",ROW())</f>
      </c>
      <c r="O2485" s="225">
        <f>IF($I2485="Công việc",MATCH($C2485,'Kế hoạch'!$A$6:$A$305,0),"")</f>
      </c>
      <c r="P2485" s="234">
        <f>IF($O2485="","",INDEX('Kế hoạch'!$I$6:$I$305,$O2485))</f>
      </c>
      <c r="Q2485" s="225">
        <f>IF($O2485="","",INDEX('Kế hoạch'!$AJ$6:$AJ$305,$O2485))</f>
      </c>
      <c r="R2485" s="225">
        <f>IF($O2485="","",INDEX('Kế hoạch'!$AK$6:$AK$305,$O2485))</f>
      </c>
    </row>
    <row r="2486">
      <c r="A2486" s="223">
        <f>IF($C2486="","",COUNTIF($C$6:$C2486,"?*"))</f>
      </c>
      <c r="B2486" s="217"/>
      <c r="C2486" s="216"/>
      <c r="D2486" s="240"/>
      <c r="E2486" s="218"/>
      <c r="F2486" s="218"/>
      <c r="G2486" s="218"/>
      <c r="H2486" s="219"/>
      <c r="I2486" s="223">
        <f>IF($C2486="","",IF(ISNUMBER(MATCH($C2486,'Phản ánh'!$A$6:$A$505,0)),"Phản ánh",IF(ISNUMBER(MATCH($C2486,'Kế hoạch'!$A$6:$A$305,0)),"Công việc","Mã chưa có")))</f>
      </c>
      <c r="J2486" s="221">
        <f>IF($I2486="Phản ánh",INDEX('Phản ánh'!$C$6:$C$505,MATCH($C2486,'Phản ánh'!$A$6:$A$505,0)),IF($I2486="Công việc",INDEX('Kế hoạch'!$C$6:$C$305,$O2486),""))</f>
      </c>
      <c r="K2486" s="221">
        <f>IF($I2486="Phản ánh",INDEX('Phản ánh'!$K$6:$K$505,MATCH($C2486,'Phản ánh'!$A$6:$A$505,0))&amp;"",IF($I2486="Công việc",INDEX('Kế hoạch'!$N$6:$N$305,$O2486)&amp;"",""))</f>
      </c>
      <c r="L2486" s="220">
        <f>IF(OR($C2486="",N($B2486)=0),"",IF(AND($I2486="Phản ánh",$E2486="Đã xử lý"),INDEX('Phản ánh'!$U$6:$U$505,MATCH($C2486,'Phản ánh'!$A$6:$A$505,0)),IF(AND($I2486="Công việc",OR($E2486="Hoàn thành",$E2486="Hoàn thành kỳ")),IF(INDEX('Kế hoạch'!$B$6:$B$305,$O2486)="Đột xuất",INDEX('Kế hoạch'!$AY$6:$AY$305,$O2486),IF(N($P2486)=0,"",IF(INT($B2486)&lt;$P2486,$P2486,IF($Q2486&gt;0,$P2486+ROUND((INT($B2486)-$P2486)/$Q2486,0)*$Q2486,IF($R2486&gt;0,EDATE($P2486,ROUND((DATEDIF($P2486,INT($B2486),"m")+(INT($B2486)-EDATE($P2486,DATEDIF($P2486,INT($B2486),"m")))/(EDATE($P2486,DATEDIF($P2486,INT($B2486),"m")+1)-EDATE($P2486,DATEDIF($P2486,INT($B2486),"m"))))/$R2486,0)*$R2486),$P2486))))),"")))</f>
      </c>
      <c r="M2486" s="223">
        <f>IF(OR($C2486="",N($L2486)=0,N($B2486)=0),"",IF(IF(MOD($L2486,1)=0,INT($B2486),$B2486)&lt;=$L2486,"Đúng hạn","Trễ hạn"))</f>
      </c>
      <c r="N2486" s="225">
        <f>IF($C2486="","",ROW())</f>
      </c>
      <c r="O2486" s="225">
        <f>IF($I2486="Công việc",MATCH($C2486,'Kế hoạch'!$A$6:$A$305,0),"")</f>
      </c>
      <c r="P2486" s="234">
        <f>IF($O2486="","",INDEX('Kế hoạch'!$I$6:$I$305,$O2486))</f>
      </c>
      <c r="Q2486" s="225">
        <f>IF($O2486="","",INDEX('Kế hoạch'!$AJ$6:$AJ$305,$O2486))</f>
      </c>
      <c r="R2486" s="225">
        <f>IF($O2486="","",INDEX('Kế hoạch'!$AK$6:$AK$305,$O2486))</f>
      </c>
    </row>
    <row r="2487">
      <c r="A2487" s="223">
        <f>IF($C2487="","",COUNTIF($C$6:$C2487,"?*"))</f>
      </c>
      <c r="B2487" s="217"/>
      <c r="C2487" s="216"/>
      <c r="D2487" s="240"/>
      <c r="E2487" s="218"/>
      <c r="F2487" s="218"/>
      <c r="G2487" s="218"/>
      <c r="H2487" s="219"/>
      <c r="I2487" s="223">
        <f>IF($C2487="","",IF(ISNUMBER(MATCH($C2487,'Phản ánh'!$A$6:$A$505,0)),"Phản ánh",IF(ISNUMBER(MATCH($C2487,'Kế hoạch'!$A$6:$A$305,0)),"Công việc","Mã chưa có")))</f>
      </c>
      <c r="J2487" s="221">
        <f>IF($I2487="Phản ánh",INDEX('Phản ánh'!$C$6:$C$505,MATCH($C2487,'Phản ánh'!$A$6:$A$505,0)),IF($I2487="Công việc",INDEX('Kế hoạch'!$C$6:$C$305,$O2487),""))</f>
      </c>
      <c r="K2487" s="221">
        <f>IF($I2487="Phản ánh",INDEX('Phản ánh'!$K$6:$K$505,MATCH($C2487,'Phản ánh'!$A$6:$A$505,0))&amp;"",IF($I2487="Công việc",INDEX('Kế hoạch'!$N$6:$N$305,$O2487)&amp;"",""))</f>
      </c>
      <c r="L2487" s="220">
        <f>IF(OR($C2487="",N($B2487)=0),"",IF(AND($I2487="Phản ánh",$E2487="Đã xử lý"),INDEX('Phản ánh'!$U$6:$U$505,MATCH($C2487,'Phản ánh'!$A$6:$A$505,0)),IF(AND($I2487="Công việc",OR($E2487="Hoàn thành",$E2487="Hoàn thành kỳ")),IF(INDEX('Kế hoạch'!$B$6:$B$305,$O2487)="Đột xuất",INDEX('Kế hoạch'!$AY$6:$AY$305,$O2487),IF(N($P2487)=0,"",IF(INT($B2487)&lt;$P2487,$P2487,IF($Q2487&gt;0,$P2487+ROUND((INT($B2487)-$P2487)/$Q2487,0)*$Q2487,IF($R2487&gt;0,EDATE($P2487,ROUND((DATEDIF($P2487,INT($B2487),"m")+(INT($B2487)-EDATE($P2487,DATEDIF($P2487,INT($B2487),"m")))/(EDATE($P2487,DATEDIF($P2487,INT($B2487),"m")+1)-EDATE($P2487,DATEDIF($P2487,INT($B2487),"m"))))/$R2487,0)*$R2487),$P2487))))),"")))</f>
      </c>
      <c r="M2487" s="223">
        <f>IF(OR($C2487="",N($L2487)=0,N($B2487)=0),"",IF(IF(MOD($L2487,1)=0,INT($B2487),$B2487)&lt;=$L2487,"Đúng hạn","Trễ hạn"))</f>
      </c>
      <c r="N2487" s="225">
        <f>IF($C2487="","",ROW())</f>
      </c>
      <c r="O2487" s="225">
        <f>IF($I2487="Công việc",MATCH($C2487,'Kế hoạch'!$A$6:$A$305,0),"")</f>
      </c>
      <c r="P2487" s="234">
        <f>IF($O2487="","",INDEX('Kế hoạch'!$I$6:$I$305,$O2487))</f>
      </c>
      <c r="Q2487" s="225">
        <f>IF($O2487="","",INDEX('Kế hoạch'!$AJ$6:$AJ$305,$O2487))</f>
      </c>
      <c r="R2487" s="225">
        <f>IF($O2487="","",INDEX('Kế hoạch'!$AK$6:$AK$305,$O2487))</f>
      </c>
    </row>
    <row r="2488">
      <c r="A2488" s="223">
        <f>IF($C2488="","",COUNTIF($C$6:$C2488,"?*"))</f>
      </c>
      <c r="B2488" s="217"/>
      <c r="C2488" s="216"/>
      <c r="D2488" s="240"/>
      <c r="E2488" s="218"/>
      <c r="F2488" s="218"/>
      <c r="G2488" s="218"/>
      <c r="H2488" s="219"/>
      <c r="I2488" s="223">
        <f>IF($C2488="","",IF(ISNUMBER(MATCH($C2488,'Phản ánh'!$A$6:$A$505,0)),"Phản ánh",IF(ISNUMBER(MATCH($C2488,'Kế hoạch'!$A$6:$A$305,0)),"Công việc","Mã chưa có")))</f>
      </c>
      <c r="J2488" s="221">
        <f>IF($I2488="Phản ánh",INDEX('Phản ánh'!$C$6:$C$505,MATCH($C2488,'Phản ánh'!$A$6:$A$505,0)),IF($I2488="Công việc",INDEX('Kế hoạch'!$C$6:$C$305,$O2488),""))</f>
      </c>
      <c r="K2488" s="221">
        <f>IF($I2488="Phản ánh",INDEX('Phản ánh'!$K$6:$K$505,MATCH($C2488,'Phản ánh'!$A$6:$A$505,0))&amp;"",IF($I2488="Công việc",INDEX('Kế hoạch'!$N$6:$N$305,$O2488)&amp;"",""))</f>
      </c>
      <c r="L2488" s="220">
        <f>IF(OR($C2488="",N($B2488)=0),"",IF(AND($I2488="Phản ánh",$E2488="Đã xử lý"),INDEX('Phản ánh'!$U$6:$U$505,MATCH($C2488,'Phản ánh'!$A$6:$A$505,0)),IF(AND($I2488="Công việc",OR($E2488="Hoàn thành",$E2488="Hoàn thành kỳ")),IF(INDEX('Kế hoạch'!$B$6:$B$305,$O2488)="Đột xuất",INDEX('Kế hoạch'!$AY$6:$AY$305,$O2488),IF(N($P2488)=0,"",IF(INT($B2488)&lt;$P2488,$P2488,IF($Q2488&gt;0,$P2488+ROUND((INT($B2488)-$P2488)/$Q2488,0)*$Q2488,IF($R2488&gt;0,EDATE($P2488,ROUND((DATEDIF($P2488,INT($B2488),"m")+(INT($B2488)-EDATE($P2488,DATEDIF($P2488,INT($B2488),"m")))/(EDATE($P2488,DATEDIF($P2488,INT($B2488),"m")+1)-EDATE($P2488,DATEDIF($P2488,INT($B2488),"m"))))/$R2488,0)*$R2488),$P2488))))),"")))</f>
      </c>
      <c r="M2488" s="223">
        <f>IF(OR($C2488="",N($L2488)=0,N($B2488)=0),"",IF(IF(MOD($L2488,1)=0,INT($B2488),$B2488)&lt;=$L2488,"Đúng hạn","Trễ hạn"))</f>
      </c>
      <c r="N2488" s="225">
        <f>IF($C2488="","",ROW())</f>
      </c>
      <c r="O2488" s="225">
        <f>IF($I2488="Công việc",MATCH($C2488,'Kế hoạch'!$A$6:$A$305,0),"")</f>
      </c>
      <c r="P2488" s="234">
        <f>IF($O2488="","",INDEX('Kế hoạch'!$I$6:$I$305,$O2488))</f>
      </c>
      <c r="Q2488" s="225">
        <f>IF($O2488="","",INDEX('Kế hoạch'!$AJ$6:$AJ$305,$O2488))</f>
      </c>
      <c r="R2488" s="225">
        <f>IF($O2488="","",INDEX('Kế hoạch'!$AK$6:$AK$305,$O2488))</f>
      </c>
    </row>
    <row r="2489">
      <c r="A2489" s="223">
        <f>IF($C2489="","",COUNTIF($C$6:$C2489,"?*"))</f>
      </c>
      <c r="B2489" s="217"/>
      <c r="C2489" s="216"/>
      <c r="D2489" s="240"/>
      <c r="E2489" s="218"/>
      <c r="F2489" s="218"/>
      <c r="G2489" s="218"/>
      <c r="H2489" s="219"/>
      <c r="I2489" s="223">
        <f>IF($C2489="","",IF(ISNUMBER(MATCH($C2489,'Phản ánh'!$A$6:$A$505,0)),"Phản ánh",IF(ISNUMBER(MATCH($C2489,'Kế hoạch'!$A$6:$A$305,0)),"Công việc","Mã chưa có")))</f>
      </c>
      <c r="J2489" s="221">
        <f>IF($I2489="Phản ánh",INDEX('Phản ánh'!$C$6:$C$505,MATCH($C2489,'Phản ánh'!$A$6:$A$505,0)),IF($I2489="Công việc",INDEX('Kế hoạch'!$C$6:$C$305,$O2489),""))</f>
      </c>
      <c r="K2489" s="221">
        <f>IF($I2489="Phản ánh",INDEX('Phản ánh'!$K$6:$K$505,MATCH($C2489,'Phản ánh'!$A$6:$A$505,0))&amp;"",IF($I2489="Công việc",INDEX('Kế hoạch'!$N$6:$N$305,$O2489)&amp;"",""))</f>
      </c>
      <c r="L2489" s="220">
        <f>IF(OR($C2489="",N($B2489)=0),"",IF(AND($I2489="Phản ánh",$E2489="Đã xử lý"),INDEX('Phản ánh'!$U$6:$U$505,MATCH($C2489,'Phản ánh'!$A$6:$A$505,0)),IF(AND($I2489="Công việc",OR($E2489="Hoàn thành",$E2489="Hoàn thành kỳ")),IF(INDEX('Kế hoạch'!$B$6:$B$305,$O2489)="Đột xuất",INDEX('Kế hoạch'!$AY$6:$AY$305,$O2489),IF(N($P2489)=0,"",IF(INT($B2489)&lt;$P2489,$P2489,IF($Q2489&gt;0,$P2489+ROUND((INT($B2489)-$P2489)/$Q2489,0)*$Q2489,IF($R2489&gt;0,EDATE($P2489,ROUND((DATEDIF($P2489,INT($B2489),"m")+(INT($B2489)-EDATE($P2489,DATEDIF($P2489,INT($B2489),"m")))/(EDATE($P2489,DATEDIF($P2489,INT($B2489),"m")+1)-EDATE($P2489,DATEDIF($P2489,INT($B2489),"m"))))/$R2489,0)*$R2489),$P2489))))),"")))</f>
      </c>
      <c r="M2489" s="223">
        <f>IF(OR($C2489="",N($L2489)=0,N($B2489)=0),"",IF(IF(MOD($L2489,1)=0,INT($B2489),$B2489)&lt;=$L2489,"Đúng hạn","Trễ hạn"))</f>
      </c>
      <c r="N2489" s="225">
        <f>IF($C2489="","",ROW())</f>
      </c>
      <c r="O2489" s="225">
        <f>IF($I2489="Công việc",MATCH($C2489,'Kế hoạch'!$A$6:$A$305,0),"")</f>
      </c>
      <c r="P2489" s="234">
        <f>IF($O2489="","",INDEX('Kế hoạch'!$I$6:$I$305,$O2489))</f>
      </c>
      <c r="Q2489" s="225">
        <f>IF($O2489="","",INDEX('Kế hoạch'!$AJ$6:$AJ$305,$O2489))</f>
      </c>
      <c r="R2489" s="225">
        <f>IF($O2489="","",INDEX('Kế hoạch'!$AK$6:$AK$305,$O2489))</f>
      </c>
    </row>
    <row r="2490">
      <c r="A2490" s="223">
        <f>IF($C2490="","",COUNTIF($C$6:$C2490,"?*"))</f>
      </c>
      <c r="B2490" s="217"/>
      <c r="C2490" s="216"/>
      <c r="D2490" s="240"/>
      <c r="E2490" s="218"/>
      <c r="F2490" s="218"/>
      <c r="G2490" s="218"/>
      <c r="H2490" s="219"/>
      <c r="I2490" s="223">
        <f>IF($C2490="","",IF(ISNUMBER(MATCH($C2490,'Phản ánh'!$A$6:$A$505,0)),"Phản ánh",IF(ISNUMBER(MATCH($C2490,'Kế hoạch'!$A$6:$A$305,0)),"Công việc","Mã chưa có")))</f>
      </c>
      <c r="J2490" s="221">
        <f>IF($I2490="Phản ánh",INDEX('Phản ánh'!$C$6:$C$505,MATCH($C2490,'Phản ánh'!$A$6:$A$505,0)),IF($I2490="Công việc",INDEX('Kế hoạch'!$C$6:$C$305,$O2490),""))</f>
      </c>
      <c r="K2490" s="221">
        <f>IF($I2490="Phản ánh",INDEX('Phản ánh'!$K$6:$K$505,MATCH($C2490,'Phản ánh'!$A$6:$A$505,0))&amp;"",IF($I2490="Công việc",INDEX('Kế hoạch'!$N$6:$N$305,$O2490)&amp;"",""))</f>
      </c>
      <c r="L2490" s="220">
        <f>IF(OR($C2490="",N($B2490)=0),"",IF(AND($I2490="Phản ánh",$E2490="Đã xử lý"),INDEX('Phản ánh'!$U$6:$U$505,MATCH($C2490,'Phản ánh'!$A$6:$A$505,0)),IF(AND($I2490="Công việc",OR($E2490="Hoàn thành",$E2490="Hoàn thành kỳ")),IF(INDEX('Kế hoạch'!$B$6:$B$305,$O2490)="Đột xuất",INDEX('Kế hoạch'!$AY$6:$AY$305,$O2490),IF(N($P2490)=0,"",IF(INT($B2490)&lt;$P2490,$P2490,IF($Q2490&gt;0,$P2490+ROUND((INT($B2490)-$P2490)/$Q2490,0)*$Q2490,IF($R2490&gt;0,EDATE($P2490,ROUND((DATEDIF($P2490,INT($B2490),"m")+(INT($B2490)-EDATE($P2490,DATEDIF($P2490,INT($B2490),"m")))/(EDATE($P2490,DATEDIF($P2490,INT($B2490),"m")+1)-EDATE($P2490,DATEDIF($P2490,INT($B2490),"m"))))/$R2490,0)*$R2490),$P2490))))),"")))</f>
      </c>
      <c r="M2490" s="223">
        <f>IF(OR($C2490="",N($L2490)=0,N($B2490)=0),"",IF(IF(MOD($L2490,1)=0,INT($B2490),$B2490)&lt;=$L2490,"Đúng hạn","Trễ hạn"))</f>
      </c>
      <c r="N2490" s="225">
        <f>IF($C2490="","",ROW())</f>
      </c>
      <c r="O2490" s="225">
        <f>IF($I2490="Công việc",MATCH($C2490,'Kế hoạch'!$A$6:$A$305,0),"")</f>
      </c>
      <c r="P2490" s="234">
        <f>IF($O2490="","",INDEX('Kế hoạch'!$I$6:$I$305,$O2490))</f>
      </c>
      <c r="Q2490" s="225">
        <f>IF($O2490="","",INDEX('Kế hoạch'!$AJ$6:$AJ$305,$O2490))</f>
      </c>
      <c r="R2490" s="225">
        <f>IF($O2490="","",INDEX('Kế hoạch'!$AK$6:$AK$305,$O2490))</f>
      </c>
    </row>
    <row r="2491">
      <c r="A2491" s="223">
        <f>IF($C2491="","",COUNTIF($C$6:$C2491,"?*"))</f>
      </c>
      <c r="B2491" s="217"/>
      <c r="C2491" s="216"/>
      <c r="D2491" s="240"/>
      <c r="E2491" s="218"/>
      <c r="F2491" s="218"/>
      <c r="G2491" s="218"/>
      <c r="H2491" s="219"/>
      <c r="I2491" s="223">
        <f>IF($C2491="","",IF(ISNUMBER(MATCH($C2491,'Phản ánh'!$A$6:$A$505,0)),"Phản ánh",IF(ISNUMBER(MATCH($C2491,'Kế hoạch'!$A$6:$A$305,0)),"Công việc","Mã chưa có")))</f>
      </c>
      <c r="J2491" s="221">
        <f>IF($I2491="Phản ánh",INDEX('Phản ánh'!$C$6:$C$505,MATCH($C2491,'Phản ánh'!$A$6:$A$505,0)),IF($I2491="Công việc",INDEX('Kế hoạch'!$C$6:$C$305,$O2491),""))</f>
      </c>
      <c r="K2491" s="221">
        <f>IF($I2491="Phản ánh",INDEX('Phản ánh'!$K$6:$K$505,MATCH($C2491,'Phản ánh'!$A$6:$A$505,0))&amp;"",IF($I2491="Công việc",INDEX('Kế hoạch'!$N$6:$N$305,$O2491)&amp;"",""))</f>
      </c>
      <c r="L2491" s="220">
        <f>IF(OR($C2491="",N($B2491)=0),"",IF(AND($I2491="Phản ánh",$E2491="Đã xử lý"),INDEX('Phản ánh'!$U$6:$U$505,MATCH($C2491,'Phản ánh'!$A$6:$A$505,0)),IF(AND($I2491="Công việc",OR($E2491="Hoàn thành",$E2491="Hoàn thành kỳ")),IF(INDEX('Kế hoạch'!$B$6:$B$305,$O2491)="Đột xuất",INDEX('Kế hoạch'!$AY$6:$AY$305,$O2491),IF(N($P2491)=0,"",IF(INT($B2491)&lt;$P2491,$P2491,IF($Q2491&gt;0,$P2491+ROUND((INT($B2491)-$P2491)/$Q2491,0)*$Q2491,IF($R2491&gt;0,EDATE($P2491,ROUND((DATEDIF($P2491,INT($B2491),"m")+(INT($B2491)-EDATE($P2491,DATEDIF($P2491,INT($B2491),"m")))/(EDATE($P2491,DATEDIF($P2491,INT($B2491),"m")+1)-EDATE($P2491,DATEDIF($P2491,INT($B2491),"m"))))/$R2491,0)*$R2491),$P2491))))),"")))</f>
      </c>
      <c r="M2491" s="223">
        <f>IF(OR($C2491="",N($L2491)=0,N($B2491)=0),"",IF(IF(MOD($L2491,1)=0,INT($B2491),$B2491)&lt;=$L2491,"Đúng hạn","Trễ hạn"))</f>
      </c>
      <c r="N2491" s="225">
        <f>IF($C2491="","",ROW())</f>
      </c>
      <c r="O2491" s="225">
        <f>IF($I2491="Công việc",MATCH($C2491,'Kế hoạch'!$A$6:$A$305,0),"")</f>
      </c>
      <c r="P2491" s="234">
        <f>IF($O2491="","",INDEX('Kế hoạch'!$I$6:$I$305,$O2491))</f>
      </c>
      <c r="Q2491" s="225">
        <f>IF($O2491="","",INDEX('Kế hoạch'!$AJ$6:$AJ$305,$O2491))</f>
      </c>
      <c r="R2491" s="225">
        <f>IF($O2491="","",INDEX('Kế hoạch'!$AK$6:$AK$305,$O2491))</f>
      </c>
    </row>
    <row r="2492">
      <c r="A2492" s="223">
        <f>IF($C2492="","",COUNTIF($C$6:$C2492,"?*"))</f>
      </c>
      <c r="B2492" s="217"/>
      <c r="C2492" s="216"/>
      <c r="D2492" s="240"/>
      <c r="E2492" s="218"/>
      <c r="F2492" s="218"/>
      <c r="G2492" s="218"/>
      <c r="H2492" s="219"/>
      <c r="I2492" s="223">
        <f>IF($C2492="","",IF(ISNUMBER(MATCH($C2492,'Phản ánh'!$A$6:$A$505,0)),"Phản ánh",IF(ISNUMBER(MATCH($C2492,'Kế hoạch'!$A$6:$A$305,0)),"Công việc","Mã chưa có")))</f>
      </c>
      <c r="J2492" s="221">
        <f>IF($I2492="Phản ánh",INDEX('Phản ánh'!$C$6:$C$505,MATCH($C2492,'Phản ánh'!$A$6:$A$505,0)),IF($I2492="Công việc",INDEX('Kế hoạch'!$C$6:$C$305,$O2492),""))</f>
      </c>
      <c r="K2492" s="221">
        <f>IF($I2492="Phản ánh",INDEX('Phản ánh'!$K$6:$K$505,MATCH($C2492,'Phản ánh'!$A$6:$A$505,0))&amp;"",IF($I2492="Công việc",INDEX('Kế hoạch'!$N$6:$N$305,$O2492)&amp;"",""))</f>
      </c>
      <c r="L2492" s="220">
        <f>IF(OR($C2492="",N($B2492)=0),"",IF(AND($I2492="Phản ánh",$E2492="Đã xử lý"),INDEX('Phản ánh'!$U$6:$U$505,MATCH($C2492,'Phản ánh'!$A$6:$A$505,0)),IF(AND($I2492="Công việc",OR($E2492="Hoàn thành",$E2492="Hoàn thành kỳ")),IF(INDEX('Kế hoạch'!$B$6:$B$305,$O2492)="Đột xuất",INDEX('Kế hoạch'!$AY$6:$AY$305,$O2492),IF(N($P2492)=0,"",IF(INT($B2492)&lt;$P2492,$P2492,IF($Q2492&gt;0,$P2492+ROUND((INT($B2492)-$P2492)/$Q2492,0)*$Q2492,IF($R2492&gt;0,EDATE($P2492,ROUND((DATEDIF($P2492,INT($B2492),"m")+(INT($B2492)-EDATE($P2492,DATEDIF($P2492,INT($B2492),"m")))/(EDATE($P2492,DATEDIF($P2492,INT($B2492),"m")+1)-EDATE($P2492,DATEDIF($P2492,INT($B2492),"m"))))/$R2492,0)*$R2492),$P2492))))),"")))</f>
      </c>
      <c r="M2492" s="223">
        <f>IF(OR($C2492="",N($L2492)=0,N($B2492)=0),"",IF(IF(MOD($L2492,1)=0,INT($B2492),$B2492)&lt;=$L2492,"Đúng hạn","Trễ hạn"))</f>
      </c>
      <c r="N2492" s="225">
        <f>IF($C2492="","",ROW())</f>
      </c>
      <c r="O2492" s="225">
        <f>IF($I2492="Công việc",MATCH($C2492,'Kế hoạch'!$A$6:$A$305,0),"")</f>
      </c>
      <c r="P2492" s="234">
        <f>IF($O2492="","",INDEX('Kế hoạch'!$I$6:$I$305,$O2492))</f>
      </c>
      <c r="Q2492" s="225">
        <f>IF($O2492="","",INDEX('Kế hoạch'!$AJ$6:$AJ$305,$O2492))</f>
      </c>
      <c r="R2492" s="225">
        <f>IF($O2492="","",INDEX('Kế hoạch'!$AK$6:$AK$305,$O2492))</f>
      </c>
    </row>
    <row r="2493">
      <c r="A2493" s="223">
        <f>IF($C2493="","",COUNTIF($C$6:$C2493,"?*"))</f>
      </c>
      <c r="B2493" s="217"/>
      <c r="C2493" s="216"/>
      <c r="D2493" s="240"/>
      <c r="E2493" s="218"/>
      <c r="F2493" s="218"/>
      <c r="G2493" s="218"/>
      <c r="H2493" s="219"/>
      <c r="I2493" s="223">
        <f>IF($C2493="","",IF(ISNUMBER(MATCH($C2493,'Phản ánh'!$A$6:$A$505,0)),"Phản ánh",IF(ISNUMBER(MATCH($C2493,'Kế hoạch'!$A$6:$A$305,0)),"Công việc","Mã chưa có")))</f>
      </c>
      <c r="J2493" s="221">
        <f>IF($I2493="Phản ánh",INDEX('Phản ánh'!$C$6:$C$505,MATCH($C2493,'Phản ánh'!$A$6:$A$505,0)),IF($I2493="Công việc",INDEX('Kế hoạch'!$C$6:$C$305,$O2493),""))</f>
      </c>
      <c r="K2493" s="221">
        <f>IF($I2493="Phản ánh",INDEX('Phản ánh'!$K$6:$K$505,MATCH($C2493,'Phản ánh'!$A$6:$A$505,0))&amp;"",IF($I2493="Công việc",INDEX('Kế hoạch'!$N$6:$N$305,$O2493)&amp;"",""))</f>
      </c>
      <c r="L2493" s="220">
        <f>IF(OR($C2493="",N($B2493)=0),"",IF(AND($I2493="Phản ánh",$E2493="Đã xử lý"),INDEX('Phản ánh'!$U$6:$U$505,MATCH($C2493,'Phản ánh'!$A$6:$A$505,0)),IF(AND($I2493="Công việc",OR($E2493="Hoàn thành",$E2493="Hoàn thành kỳ")),IF(INDEX('Kế hoạch'!$B$6:$B$305,$O2493)="Đột xuất",INDEX('Kế hoạch'!$AY$6:$AY$305,$O2493),IF(N($P2493)=0,"",IF(INT($B2493)&lt;$P2493,$P2493,IF($Q2493&gt;0,$P2493+ROUND((INT($B2493)-$P2493)/$Q2493,0)*$Q2493,IF($R2493&gt;0,EDATE($P2493,ROUND((DATEDIF($P2493,INT($B2493),"m")+(INT($B2493)-EDATE($P2493,DATEDIF($P2493,INT($B2493),"m")))/(EDATE($P2493,DATEDIF($P2493,INT($B2493),"m")+1)-EDATE($P2493,DATEDIF($P2493,INT($B2493),"m"))))/$R2493,0)*$R2493),$P2493))))),"")))</f>
      </c>
      <c r="M2493" s="223">
        <f>IF(OR($C2493="",N($L2493)=0,N($B2493)=0),"",IF(IF(MOD($L2493,1)=0,INT($B2493),$B2493)&lt;=$L2493,"Đúng hạn","Trễ hạn"))</f>
      </c>
      <c r="N2493" s="225">
        <f>IF($C2493="","",ROW())</f>
      </c>
      <c r="O2493" s="225">
        <f>IF($I2493="Công việc",MATCH($C2493,'Kế hoạch'!$A$6:$A$305,0),"")</f>
      </c>
      <c r="P2493" s="234">
        <f>IF($O2493="","",INDEX('Kế hoạch'!$I$6:$I$305,$O2493))</f>
      </c>
      <c r="Q2493" s="225">
        <f>IF($O2493="","",INDEX('Kế hoạch'!$AJ$6:$AJ$305,$O2493))</f>
      </c>
      <c r="R2493" s="225">
        <f>IF($O2493="","",INDEX('Kế hoạch'!$AK$6:$AK$305,$O2493))</f>
      </c>
    </row>
    <row r="2494">
      <c r="A2494" s="223">
        <f>IF($C2494="","",COUNTIF($C$6:$C2494,"?*"))</f>
      </c>
      <c r="B2494" s="217"/>
      <c r="C2494" s="216"/>
      <c r="D2494" s="240"/>
      <c r="E2494" s="218"/>
      <c r="F2494" s="218"/>
      <c r="G2494" s="218"/>
      <c r="H2494" s="219"/>
      <c r="I2494" s="223">
        <f>IF($C2494="","",IF(ISNUMBER(MATCH($C2494,'Phản ánh'!$A$6:$A$505,0)),"Phản ánh",IF(ISNUMBER(MATCH($C2494,'Kế hoạch'!$A$6:$A$305,0)),"Công việc","Mã chưa có")))</f>
      </c>
      <c r="J2494" s="221">
        <f>IF($I2494="Phản ánh",INDEX('Phản ánh'!$C$6:$C$505,MATCH($C2494,'Phản ánh'!$A$6:$A$505,0)),IF($I2494="Công việc",INDEX('Kế hoạch'!$C$6:$C$305,$O2494),""))</f>
      </c>
      <c r="K2494" s="221">
        <f>IF($I2494="Phản ánh",INDEX('Phản ánh'!$K$6:$K$505,MATCH($C2494,'Phản ánh'!$A$6:$A$505,0))&amp;"",IF($I2494="Công việc",INDEX('Kế hoạch'!$N$6:$N$305,$O2494)&amp;"",""))</f>
      </c>
      <c r="L2494" s="220">
        <f>IF(OR($C2494="",N($B2494)=0),"",IF(AND($I2494="Phản ánh",$E2494="Đã xử lý"),INDEX('Phản ánh'!$U$6:$U$505,MATCH($C2494,'Phản ánh'!$A$6:$A$505,0)),IF(AND($I2494="Công việc",OR($E2494="Hoàn thành",$E2494="Hoàn thành kỳ")),IF(INDEX('Kế hoạch'!$B$6:$B$305,$O2494)="Đột xuất",INDEX('Kế hoạch'!$AY$6:$AY$305,$O2494),IF(N($P2494)=0,"",IF(INT($B2494)&lt;$P2494,$P2494,IF($Q2494&gt;0,$P2494+ROUND((INT($B2494)-$P2494)/$Q2494,0)*$Q2494,IF($R2494&gt;0,EDATE($P2494,ROUND((DATEDIF($P2494,INT($B2494),"m")+(INT($B2494)-EDATE($P2494,DATEDIF($P2494,INT($B2494),"m")))/(EDATE($P2494,DATEDIF($P2494,INT($B2494),"m")+1)-EDATE($P2494,DATEDIF($P2494,INT($B2494),"m"))))/$R2494,0)*$R2494),$P2494))))),"")))</f>
      </c>
      <c r="M2494" s="223">
        <f>IF(OR($C2494="",N($L2494)=0,N($B2494)=0),"",IF(IF(MOD($L2494,1)=0,INT($B2494),$B2494)&lt;=$L2494,"Đúng hạn","Trễ hạn"))</f>
      </c>
      <c r="N2494" s="225">
        <f>IF($C2494="","",ROW())</f>
      </c>
      <c r="O2494" s="225">
        <f>IF($I2494="Công việc",MATCH($C2494,'Kế hoạch'!$A$6:$A$305,0),"")</f>
      </c>
      <c r="P2494" s="234">
        <f>IF($O2494="","",INDEX('Kế hoạch'!$I$6:$I$305,$O2494))</f>
      </c>
      <c r="Q2494" s="225">
        <f>IF($O2494="","",INDEX('Kế hoạch'!$AJ$6:$AJ$305,$O2494))</f>
      </c>
      <c r="R2494" s="225">
        <f>IF($O2494="","",INDEX('Kế hoạch'!$AK$6:$AK$305,$O2494))</f>
      </c>
    </row>
    <row r="2495">
      <c r="A2495" s="223">
        <f>IF($C2495="","",COUNTIF($C$6:$C2495,"?*"))</f>
      </c>
      <c r="B2495" s="217"/>
      <c r="C2495" s="216"/>
      <c r="D2495" s="240"/>
      <c r="E2495" s="218"/>
      <c r="F2495" s="218"/>
      <c r="G2495" s="218"/>
      <c r="H2495" s="219"/>
      <c r="I2495" s="223">
        <f>IF($C2495="","",IF(ISNUMBER(MATCH($C2495,'Phản ánh'!$A$6:$A$505,0)),"Phản ánh",IF(ISNUMBER(MATCH($C2495,'Kế hoạch'!$A$6:$A$305,0)),"Công việc","Mã chưa có")))</f>
      </c>
      <c r="J2495" s="221">
        <f>IF($I2495="Phản ánh",INDEX('Phản ánh'!$C$6:$C$505,MATCH($C2495,'Phản ánh'!$A$6:$A$505,0)),IF($I2495="Công việc",INDEX('Kế hoạch'!$C$6:$C$305,$O2495),""))</f>
      </c>
      <c r="K2495" s="221">
        <f>IF($I2495="Phản ánh",INDEX('Phản ánh'!$K$6:$K$505,MATCH($C2495,'Phản ánh'!$A$6:$A$505,0))&amp;"",IF($I2495="Công việc",INDEX('Kế hoạch'!$N$6:$N$305,$O2495)&amp;"",""))</f>
      </c>
      <c r="L2495" s="220">
        <f>IF(OR($C2495="",N($B2495)=0),"",IF(AND($I2495="Phản ánh",$E2495="Đã xử lý"),INDEX('Phản ánh'!$U$6:$U$505,MATCH($C2495,'Phản ánh'!$A$6:$A$505,0)),IF(AND($I2495="Công việc",OR($E2495="Hoàn thành",$E2495="Hoàn thành kỳ")),IF(INDEX('Kế hoạch'!$B$6:$B$305,$O2495)="Đột xuất",INDEX('Kế hoạch'!$AY$6:$AY$305,$O2495),IF(N($P2495)=0,"",IF(INT($B2495)&lt;$P2495,$P2495,IF($Q2495&gt;0,$P2495+ROUND((INT($B2495)-$P2495)/$Q2495,0)*$Q2495,IF($R2495&gt;0,EDATE($P2495,ROUND((DATEDIF($P2495,INT($B2495),"m")+(INT($B2495)-EDATE($P2495,DATEDIF($P2495,INT($B2495),"m")))/(EDATE($P2495,DATEDIF($P2495,INT($B2495),"m")+1)-EDATE($P2495,DATEDIF($P2495,INT($B2495),"m"))))/$R2495,0)*$R2495),$P2495))))),"")))</f>
      </c>
      <c r="M2495" s="223">
        <f>IF(OR($C2495="",N($L2495)=0,N($B2495)=0),"",IF(IF(MOD($L2495,1)=0,INT($B2495),$B2495)&lt;=$L2495,"Đúng hạn","Trễ hạn"))</f>
      </c>
      <c r="N2495" s="225">
        <f>IF($C2495="","",ROW())</f>
      </c>
      <c r="O2495" s="225">
        <f>IF($I2495="Công việc",MATCH($C2495,'Kế hoạch'!$A$6:$A$305,0),"")</f>
      </c>
      <c r="P2495" s="234">
        <f>IF($O2495="","",INDEX('Kế hoạch'!$I$6:$I$305,$O2495))</f>
      </c>
      <c r="Q2495" s="225">
        <f>IF($O2495="","",INDEX('Kế hoạch'!$AJ$6:$AJ$305,$O2495))</f>
      </c>
      <c r="R2495" s="225">
        <f>IF($O2495="","",INDEX('Kế hoạch'!$AK$6:$AK$305,$O2495))</f>
      </c>
    </row>
    <row r="2496">
      <c r="A2496" s="223">
        <f>IF($C2496="","",COUNTIF($C$6:$C2496,"?*"))</f>
      </c>
      <c r="B2496" s="217"/>
      <c r="C2496" s="216"/>
      <c r="D2496" s="240"/>
      <c r="E2496" s="218"/>
      <c r="F2496" s="218"/>
      <c r="G2496" s="218"/>
      <c r="H2496" s="219"/>
      <c r="I2496" s="223">
        <f>IF($C2496="","",IF(ISNUMBER(MATCH($C2496,'Phản ánh'!$A$6:$A$505,0)),"Phản ánh",IF(ISNUMBER(MATCH($C2496,'Kế hoạch'!$A$6:$A$305,0)),"Công việc","Mã chưa có")))</f>
      </c>
      <c r="J2496" s="221">
        <f>IF($I2496="Phản ánh",INDEX('Phản ánh'!$C$6:$C$505,MATCH($C2496,'Phản ánh'!$A$6:$A$505,0)),IF($I2496="Công việc",INDEX('Kế hoạch'!$C$6:$C$305,$O2496),""))</f>
      </c>
      <c r="K2496" s="221">
        <f>IF($I2496="Phản ánh",INDEX('Phản ánh'!$K$6:$K$505,MATCH($C2496,'Phản ánh'!$A$6:$A$505,0))&amp;"",IF($I2496="Công việc",INDEX('Kế hoạch'!$N$6:$N$305,$O2496)&amp;"",""))</f>
      </c>
      <c r="L2496" s="220">
        <f>IF(OR($C2496="",N($B2496)=0),"",IF(AND($I2496="Phản ánh",$E2496="Đã xử lý"),INDEX('Phản ánh'!$U$6:$U$505,MATCH($C2496,'Phản ánh'!$A$6:$A$505,0)),IF(AND($I2496="Công việc",OR($E2496="Hoàn thành",$E2496="Hoàn thành kỳ")),IF(INDEX('Kế hoạch'!$B$6:$B$305,$O2496)="Đột xuất",INDEX('Kế hoạch'!$AY$6:$AY$305,$O2496),IF(N($P2496)=0,"",IF(INT($B2496)&lt;$P2496,$P2496,IF($Q2496&gt;0,$P2496+ROUND((INT($B2496)-$P2496)/$Q2496,0)*$Q2496,IF($R2496&gt;0,EDATE($P2496,ROUND((DATEDIF($P2496,INT($B2496),"m")+(INT($B2496)-EDATE($P2496,DATEDIF($P2496,INT($B2496),"m")))/(EDATE($P2496,DATEDIF($P2496,INT($B2496),"m")+1)-EDATE($P2496,DATEDIF($P2496,INT($B2496),"m"))))/$R2496,0)*$R2496),$P2496))))),"")))</f>
      </c>
      <c r="M2496" s="223">
        <f>IF(OR($C2496="",N($L2496)=0,N($B2496)=0),"",IF(IF(MOD($L2496,1)=0,INT($B2496),$B2496)&lt;=$L2496,"Đúng hạn","Trễ hạn"))</f>
      </c>
      <c r="N2496" s="225">
        <f>IF($C2496="","",ROW())</f>
      </c>
      <c r="O2496" s="225">
        <f>IF($I2496="Công việc",MATCH($C2496,'Kế hoạch'!$A$6:$A$305,0),"")</f>
      </c>
      <c r="P2496" s="234">
        <f>IF($O2496="","",INDEX('Kế hoạch'!$I$6:$I$305,$O2496))</f>
      </c>
      <c r="Q2496" s="225">
        <f>IF($O2496="","",INDEX('Kế hoạch'!$AJ$6:$AJ$305,$O2496))</f>
      </c>
      <c r="R2496" s="225">
        <f>IF($O2496="","",INDEX('Kế hoạch'!$AK$6:$AK$305,$O2496))</f>
      </c>
    </row>
    <row r="2497">
      <c r="A2497" s="223">
        <f>IF($C2497="","",COUNTIF($C$6:$C2497,"?*"))</f>
      </c>
      <c r="B2497" s="217"/>
      <c r="C2497" s="216"/>
      <c r="D2497" s="240"/>
      <c r="E2497" s="218"/>
      <c r="F2497" s="218"/>
      <c r="G2497" s="218"/>
      <c r="H2497" s="219"/>
      <c r="I2497" s="223">
        <f>IF($C2497="","",IF(ISNUMBER(MATCH($C2497,'Phản ánh'!$A$6:$A$505,0)),"Phản ánh",IF(ISNUMBER(MATCH($C2497,'Kế hoạch'!$A$6:$A$305,0)),"Công việc","Mã chưa có")))</f>
      </c>
      <c r="J2497" s="221">
        <f>IF($I2497="Phản ánh",INDEX('Phản ánh'!$C$6:$C$505,MATCH($C2497,'Phản ánh'!$A$6:$A$505,0)),IF($I2497="Công việc",INDEX('Kế hoạch'!$C$6:$C$305,$O2497),""))</f>
      </c>
      <c r="K2497" s="221">
        <f>IF($I2497="Phản ánh",INDEX('Phản ánh'!$K$6:$K$505,MATCH($C2497,'Phản ánh'!$A$6:$A$505,0))&amp;"",IF($I2497="Công việc",INDEX('Kế hoạch'!$N$6:$N$305,$O2497)&amp;"",""))</f>
      </c>
      <c r="L2497" s="220">
        <f>IF(OR($C2497="",N($B2497)=0),"",IF(AND($I2497="Phản ánh",$E2497="Đã xử lý"),INDEX('Phản ánh'!$U$6:$U$505,MATCH($C2497,'Phản ánh'!$A$6:$A$505,0)),IF(AND($I2497="Công việc",OR($E2497="Hoàn thành",$E2497="Hoàn thành kỳ")),IF(INDEX('Kế hoạch'!$B$6:$B$305,$O2497)="Đột xuất",INDEX('Kế hoạch'!$AY$6:$AY$305,$O2497),IF(N($P2497)=0,"",IF(INT($B2497)&lt;$P2497,$P2497,IF($Q2497&gt;0,$P2497+ROUND((INT($B2497)-$P2497)/$Q2497,0)*$Q2497,IF($R2497&gt;0,EDATE($P2497,ROUND((DATEDIF($P2497,INT($B2497),"m")+(INT($B2497)-EDATE($P2497,DATEDIF($P2497,INT($B2497),"m")))/(EDATE($P2497,DATEDIF($P2497,INT($B2497),"m")+1)-EDATE($P2497,DATEDIF($P2497,INT($B2497),"m"))))/$R2497,0)*$R2497),$P2497))))),"")))</f>
      </c>
      <c r="M2497" s="223">
        <f>IF(OR($C2497="",N($L2497)=0,N($B2497)=0),"",IF(IF(MOD($L2497,1)=0,INT($B2497),$B2497)&lt;=$L2497,"Đúng hạn","Trễ hạn"))</f>
      </c>
      <c r="N2497" s="225">
        <f>IF($C2497="","",ROW())</f>
      </c>
      <c r="O2497" s="225">
        <f>IF($I2497="Công việc",MATCH($C2497,'Kế hoạch'!$A$6:$A$305,0),"")</f>
      </c>
      <c r="P2497" s="234">
        <f>IF($O2497="","",INDEX('Kế hoạch'!$I$6:$I$305,$O2497))</f>
      </c>
      <c r="Q2497" s="225">
        <f>IF($O2497="","",INDEX('Kế hoạch'!$AJ$6:$AJ$305,$O2497))</f>
      </c>
      <c r="R2497" s="225">
        <f>IF($O2497="","",INDEX('Kế hoạch'!$AK$6:$AK$305,$O2497))</f>
      </c>
    </row>
    <row r="2498">
      <c r="A2498" s="223">
        <f>IF($C2498="","",COUNTIF($C$6:$C2498,"?*"))</f>
      </c>
      <c r="B2498" s="217"/>
      <c r="C2498" s="216"/>
      <c r="D2498" s="240"/>
      <c r="E2498" s="218"/>
      <c r="F2498" s="218"/>
      <c r="G2498" s="218"/>
      <c r="H2498" s="219"/>
      <c r="I2498" s="223">
        <f>IF($C2498="","",IF(ISNUMBER(MATCH($C2498,'Phản ánh'!$A$6:$A$505,0)),"Phản ánh",IF(ISNUMBER(MATCH($C2498,'Kế hoạch'!$A$6:$A$305,0)),"Công việc","Mã chưa có")))</f>
      </c>
      <c r="J2498" s="221">
        <f>IF($I2498="Phản ánh",INDEX('Phản ánh'!$C$6:$C$505,MATCH($C2498,'Phản ánh'!$A$6:$A$505,0)),IF($I2498="Công việc",INDEX('Kế hoạch'!$C$6:$C$305,$O2498),""))</f>
      </c>
      <c r="K2498" s="221">
        <f>IF($I2498="Phản ánh",INDEX('Phản ánh'!$K$6:$K$505,MATCH($C2498,'Phản ánh'!$A$6:$A$505,0))&amp;"",IF($I2498="Công việc",INDEX('Kế hoạch'!$N$6:$N$305,$O2498)&amp;"",""))</f>
      </c>
      <c r="L2498" s="220">
        <f>IF(OR($C2498="",N($B2498)=0),"",IF(AND($I2498="Phản ánh",$E2498="Đã xử lý"),INDEX('Phản ánh'!$U$6:$U$505,MATCH($C2498,'Phản ánh'!$A$6:$A$505,0)),IF(AND($I2498="Công việc",OR($E2498="Hoàn thành",$E2498="Hoàn thành kỳ")),IF(INDEX('Kế hoạch'!$B$6:$B$305,$O2498)="Đột xuất",INDEX('Kế hoạch'!$AY$6:$AY$305,$O2498),IF(N($P2498)=0,"",IF(INT($B2498)&lt;$P2498,$P2498,IF($Q2498&gt;0,$P2498+ROUND((INT($B2498)-$P2498)/$Q2498,0)*$Q2498,IF($R2498&gt;0,EDATE($P2498,ROUND((DATEDIF($P2498,INT($B2498),"m")+(INT($B2498)-EDATE($P2498,DATEDIF($P2498,INT($B2498),"m")))/(EDATE($P2498,DATEDIF($P2498,INT($B2498),"m")+1)-EDATE($P2498,DATEDIF($P2498,INT($B2498),"m"))))/$R2498,0)*$R2498),$P2498))))),"")))</f>
      </c>
      <c r="M2498" s="223">
        <f>IF(OR($C2498="",N($L2498)=0,N($B2498)=0),"",IF(IF(MOD($L2498,1)=0,INT($B2498),$B2498)&lt;=$L2498,"Đúng hạn","Trễ hạn"))</f>
      </c>
      <c r="N2498" s="225">
        <f>IF($C2498="","",ROW())</f>
      </c>
      <c r="O2498" s="225">
        <f>IF($I2498="Công việc",MATCH($C2498,'Kế hoạch'!$A$6:$A$305,0),"")</f>
      </c>
      <c r="P2498" s="234">
        <f>IF($O2498="","",INDEX('Kế hoạch'!$I$6:$I$305,$O2498))</f>
      </c>
      <c r="Q2498" s="225">
        <f>IF($O2498="","",INDEX('Kế hoạch'!$AJ$6:$AJ$305,$O2498))</f>
      </c>
      <c r="R2498" s="225">
        <f>IF($O2498="","",INDEX('Kế hoạch'!$AK$6:$AK$305,$O2498))</f>
      </c>
    </row>
    <row r="2499">
      <c r="A2499" s="223">
        <f>IF($C2499="","",COUNTIF($C$6:$C2499,"?*"))</f>
      </c>
      <c r="B2499" s="217"/>
      <c r="C2499" s="216"/>
      <c r="D2499" s="240"/>
      <c r="E2499" s="218"/>
      <c r="F2499" s="218"/>
      <c r="G2499" s="218"/>
      <c r="H2499" s="219"/>
      <c r="I2499" s="223">
        <f>IF($C2499="","",IF(ISNUMBER(MATCH($C2499,'Phản ánh'!$A$6:$A$505,0)),"Phản ánh",IF(ISNUMBER(MATCH($C2499,'Kế hoạch'!$A$6:$A$305,0)),"Công việc","Mã chưa có")))</f>
      </c>
      <c r="J2499" s="221">
        <f>IF($I2499="Phản ánh",INDEX('Phản ánh'!$C$6:$C$505,MATCH($C2499,'Phản ánh'!$A$6:$A$505,0)),IF($I2499="Công việc",INDEX('Kế hoạch'!$C$6:$C$305,$O2499),""))</f>
      </c>
      <c r="K2499" s="221">
        <f>IF($I2499="Phản ánh",INDEX('Phản ánh'!$K$6:$K$505,MATCH($C2499,'Phản ánh'!$A$6:$A$505,0))&amp;"",IF($I2499="Công việc",INDEX('Kế hoạch'!$N$6:$N$305,$O2499)&amp;"",""))</f>
      </c>
      <c r="L2499" s="220">
        <f>IF(OR($C2499="",N($B2499)=0),"",IF(AND($I2499="Phản ánh",$E2499="Đã xử lý"),INDEX('Phản ánh'!$U$6:$U$505,MATCH($C2499,'Phản ánh'!$A$6:$A$505,0)),IF(AND($I2499="Công việc",OR($E2499="Hoàn thành",$E2499="Hoàn thành kỳ")),IF(INDEX('Kế hoạch'!$B$6:$B$305,$O2499)="Đột xuất",INDEX('Kế hoạch'!$AY$6:$AY$305,$O2499),IF(N($P2499)=0,"",IF(INT($B2499)&lt;$P2499,$P2499,IF($Q2499&gt;0,$P2499+ROUND((INT($B2499)-$P2499)/$Q2499,0)*$Q2499,IF($R2499&gt;0,EDATE($P2499,ROUND((DATEDIF($P2499,INT($B2499),"m")+(INT($B2499)-EDATE($P2499,DATEDIF($P2499,INT($B2499),"m")))/(EDATE($P2499,DATEDIF($P2499,INT($B2499),"m")+1)-EDATE($P2499,DATEDIF($P2499,INT($B2499),"m"))))/$R2499,0)*$R2499),$P2499))))),"")))</f>
      </c>
      <c r="M2499" s="223">
        <f>IF(OR($C2499="",N($L2499)=0,N($B2499)=0),"",IF(IF(MOD($L2499,1)=0,INT($B2499),$B2499)&lt;=$L2499,"Đúng hạn","Trễ hạn"))</f>
      </c>
      <c r="N2499" s="225">
        <f>IF($C2499="","",ROW())</f>
      </c>
      <c r="O2499" s="225">
        <f>IF($I2499="Công việc",MATCH($C2499,'Kế hoạch'!$A$6:$A$305,0),"")</f>
      </c>
      <c r="P2499" s="234">
        <f>IF($O2499="","",INDEX('Kế hoạch'!$I$6:$I$305,$O2499))</f>
      </c>
      <c r="Q2499" s="225">
        <f>IF($O2499="","",INDEX('Kế hoạch'!$AJ$6:$AJ$305,$O2499))</f>
      </c>
      <c r="R2499" s="225">
        <f>IF($O2499="","",INDEX('Kế hoạch'!$AK$6:$AK$305,$O2499))</f>
      </c>
    </row>
    <row r="2500">
      <c r="A2500" s="223">
        <f>IF($C2500="","",COUNTIF($C$6:$C2500,"?*"))</f>
      </c>
      <c r="B2500" s="217"/>
      <c r="C2500" s="216"/>
      <c r="D2500" s="240"/>
      <c r="E2500" s="218"/>
      <c r="F2500" s="218"/>
      <c r="G2500" s="218"/>
      <c r="H2500" s="219"/>
      <c r="I2500" s="223">
        <f>IF($C2500="","",IF(ISNUMBER(MATCH($C2500,'Phản ánh'!$A$6:$A$505,0)),"Phản ánh",IF(ISNUMBER(MATCH($C2500,'Kế hoạch'!$A$6:$A$305,0)),"Công việc","Mã chưa có")))</f>
      </c>
      <c r="J2500" s="221">
        <f>IF($I2500="Phản ánh",INDEX('Phản ánh'!$C$6:$C$505,MATCH($C2500,'Phản ánh'!$A$6:$A$505,0)),IF($I2500="Công việc",INDEX('Kế hoạch'!$C$6:$C$305,$O2500),""))</f>
      </c>
      <c r="K2500" s="221">
        <f>IF($I2500="Phản ánh",INDEX('Phản ánh'!$K$6:$K$505,MATCH($C2500,'Phản ánh'!$A$6:$A$505,0))&amp;"",IF($I2500="Công việc",INDEX('Kế hoạch'!$N$6:$N$305,$O2500)&amp;"",""))</f>
      </c>
      <c r="L2500" s="220">
        <f>IF(OR($C2500="",N($B2500)=0),"",IF(AND($I2500="Phản ánh",$E2500="Đã xử lý"),INDEX('Phản ánh'!$U$6:$U$505,MATCH($C2500,'Phản ánh'!$A$6:$A$505,0)),IF(AND($I2500="Công việc",OR($E2500="Hoàn thành",$E2500="Hoàn thành kỳ")),IF(INDEX('Kế hoạch'!$B$6:$B$305,$O2500)="Đột xuất",INDEX('Kế hoạch'!$AY$6:$AY$305,$O2500),IF(N($P2500)=0,"",IF(INT($B2500)&lt;$P2500,$P2500,IF($Q2500&gt;0,$P2500+ROUND((INT($B2500)-$P2500)/$Q2500,0)*$Q2500,IF($R2500&gt;0,EDATE($P2500,ROUND((DATEDIF($P2500,INT($B2500),"m")+(INT($B2500)-EDATE($P2500,DATEDIF($P2500,INT($B2500),"m")))/(EDATE($P2500,DATEDIF($P2500,INT($B2500),"m")+1)-EDATE($P2500,DATEDIF($P2500,INT($B2500),"m"))))/$R2500,0)*$R2500),$P2500))))),"")))</f>
      </c>
      <c r="M2500" s="223">
        <f>IF(OR($C2500="",N($L2500)=0,N($B2500)=0),"",IF(IF(MOD($L2500,1)=0,INT($B2500),$B2500)&lt;=$L2500,"Đúng hạn","Trễ hạn"))</f>
      </c>
      <c r="N2500" s="225">
        <f>IF($C2500="","",ROW())</f>
      </c>
      <c r="O2500" s="225">
        <f>IF($I2500="Công việc",MATCH($C2500,'Kế hoạch'!$A$6:$A$305,0),"")</f>
      </c>
      <c r="P2500" s="234">
        <f>IF($O2500="","",INDEX('Kế hoạch'!$I$6:$I$305,$O2500))</f>
      </c>
      <c r="Q2500" s="225">
        <f>IF($O2500="","",INDEX('Kế hoạch'!$AJ$6:$AJ$305,$O2500))</f>
      </c>
      <c r="R2500" s="225">
        <f>IF($O2500="","",INDEX('Kế hoạch'!$AK$6:$AK$305,$O2500))</f>
      </c>
    </row>
    <row r="2501">
      <c r="A2501" s="223">
        <f>IF($C2501="","",COUNTIF($C$6:$C2501,"?*"))</f>
      </c>
      <c r="B2501" s="217"/>
      <c r="C2501" s="216"/>
      <c r="D2501" s="240"/>
      <c r="E2501" s="218"/>
      <c r="F2501" s="218"/>
      <c r="G2501" s="218"/>
      <c r="H2501" s="219"/>
      <c r="I2501" s="223">
        <f>IF($C2501="","",IF(ISNUMBER(MATCH($C2501,'Phản ánh'!$A$6:$A$505,0)),"Phản ánh",IF(ISNUMBER(MATCH($C2501,'Kế hoạch'!$A$6:$A$305,0)),"Công việc","Mã chưa có")))</f>
      </c>
      <c r="J2501" s="221">
        <f>IF($I2501="Phản ánh",INDEX('Phản ánh'!$C$6:$C$505,MATCH($C2501,'Phản ánh'!$A$6:$A$505,0)),IF($I2501="Công việc",INDEX('Kế hoạch'!$C$6:$C$305,$O2501),""))</f>
      </c>
      <c r="K2501" s="221">
        <f>IF($I2501="Phản ánh",INDEX('Phản ánh'!$K$6:$K$505,MATCH($C2501,'Phản ánh'!$A$6:$A$505,0))&amp;"",IF($I2501="Công việc",INDEX('Kế hoạch'!$N$6:$N$305,$O2501)&amp;"",""))</f>
      </c>
      <c r="L2501" s="220">
        <f>IF(OR($C2501="",N($B2501)=0),"",IF(AND($I2501="Phản ánh",$E2501="Đã xử lý"),INDEX('Phản ánh'!$U$6:$U$505,MATCH($C2501,'Phản ánh'!$A$6:$A$505,0)),IF(AND($I2501="Công việc",OR($E2501="Hoàn thành",$E2501="Hoàn thành kỳ")),IF(INDEX('Kế hoạch'!$B$6:$B$305,$O2501)="Đột xuất",INDEX('Kế hoạch'!$AY$6:$AY$305,$O2501),IF(N($P2501)=0,"",IF(INT($B2501)&lt;$P2501,$P2501,IF($Q2501&gt;0,$P2501+ROUND((INT($B2501)-$P2501)/$Q2501,0)*$Q2501,IF($R2501&gt;0,EDATE($P2501,ROUND((DATEDIF($P2501,INT($B2501),"m")+(INT($B2501)-EDATE($P2501,DATEDIF($P2501,INT($B2501),"m")))/(EDATE($P2501,DATEDIF($P2501,INT($B2501),"m")+1)-EDATE($P2501,DATEDIF($P2501,INT($B2501),"m"))))/$R2501,0)*$R2501),$P2501))))),"")))</f>
      </c>
      <c r="M2501" s="223">
        <f>IF(OR($C2501="",N($L2501)=0,N($B2501)=0),"",IF(IF(MOD($L2501,1)=0,INT($B2501),$B2501)&lt;=$L2501,"Đúng hạn","Trễ hạn"))</f>
      </c>
      <c r="N2501" s="225">
        <f>IF($C2501="","",ROW())</f>
      </c>
      <c r="O2501" s="225">
        <f>IF($I2501="Công việc",MATCH($C2501,'Kế hoạch'!$A$6:$A$305,0),"")</f>
      </c>
      <c r="P2501" s="234">
        <f>IF($O2501="","",INDEX('Kế hoạch'!$I$6:$I$305,$O2501))</f>
      </c>
      <c r="Q2501" s="225">
        <f>IF($O2501="","",INDEX('Kế hoạch'!$AJ$6:$AJ$305,$O2501))</f>
      </c>
      <c r="R2501" s="225">
        <f>IF($O2501="","",INDEX('Kế hoạch'!$AK$6:$AK$305,$O2501))</f>
      </c>
    </row>
    <row r="2502">
      <c r="A2502" s="223">
        <f>IF($C2502="","",COUNTIF($C$6:$C2502,"?*"))</f>
      </c>
      <c r="B2502" s="217"/>
      <c r="C2502" s="216"/>
      <c r="D2502" s="240"/>
      <c r="E2502" s="218"/>
      <c r="F2502" s="218"/>
      <c r="G2502" s="218"/>
      <c r="H2502" s="219"/>
      <c r="I2502" s="223">
        <f>IF($C2502="","",IF(ISNUMBER(MATCH($C2502,'Phản ánh'!$A$6:$A$505,0)),"Phản ánh",IF(ISNUMBER(MATCH($C2502,'Kế hoạch'!$A$6:$A$305,0)),"Công việc","Mã chưa có")))</f>
      </c>
      <c r="J2502" s="221">
        <f>IF($I2502="Phản ánh",INDEX('Phản ánh'!$C$6:$C$505,MATCH($C2502,'Phản ánh'!$A$6:$A$505,0)),IF($I2502="Công việc",INDEX('Kế hoạch'!$C$6:$C$305,$O2502),""))</f>
      </c>
      <c r="K2502" s="221">
        <f>IF($I2502="Phản ánh",INDEX('Phản ánh'!$K$6:$K$505,MATCH($C2502,'Phản ánh'!$A$6:$A$505,0))&amp;"",IF($I2502="Công việc",INDEX('Kế hoạch'!$N$6:$N$305,$O2502)&amp;"",""))</f>
      </c>
      <c r="L2502" s="220">
        <f>IF(OR($C2502="",N($B2502)=0),"",IF(AND($I2502="Phản ánh",$E2502="Đã xử lý"),INDEX('Phản ánh'!$U$6:$U$505,MATCH($C2502,'Phản ánh'!$A$6:$A$505,0)),IF(AND($I2502="Công việc",OR($E2502="Hoàn thành",$E2502="Hoàn thành kỳ")),IF(INDEX('Kế hoạch'!$B$6:$B$305,$O2502)="Đột xuất",INDEX('Kế hoạch'!$AY$6:$AY$305,$O2502),IF(N($P2502)=0,"",IF(INT($B2502)&lt;$P2502,$P2502,IF($Q2502&gt;0,$P2502+ROUND((INT($B2502)-$P2502)/$Q2502,0)*$Q2502,IF($R2502&gt;0,EDATE($P2502,ROUND((DATEDIF($P2502,INT($B2502),"m")+(INT($B2502)-EDATE($P2502,DATEDIF($P2502,INT($B2502),"m")))/(EDATE($P2502,DATEDIF($P2502,INT($B2502),"m")+1)-EDATE($P2502,DATEDIF($P2502,INT($B2502),"m"))))/$R2502,0)*$R2502),$P2502))))),"")))</f>
      </c>
      <c r="M2502" s="223">
        <f>IF(OR($C2502="",N($L2502)=0,N($B2502)=0),"",IF(IF(MOD($L2502,1)=0,INT($B2502),$B2502)&lt;=$L2502,"Đúng hạn","Trễ hạn"))</f>
      </c>
      <c r="N2502" s="225">
        <f>IF($C2502="","",ROW())</f>
      </c>
      <c r="O2502" s="225">
        <f>IF($I2502="Công việc",MATCH($C2502,'Kế hoạch'!$A$6:$A$305,0),"")</f>
      </c>
      <c r="P2502" s="234">
        <f>IF($O2502="","",INDEX('Kế hoạch'!$I$6:$I$305,$O2502))</f>
      </c>
      <c r="Q2502" s="225">
        <f>IF($O2502="","",INDEX('Kế hoạch'!$AJ$6:$AJ$305,$O2502))</f>
      </c>
      <c r="R2502" s="225">
        <f>IF($O2502="","",INDEX('Kế hoạch'!$AK$6:$AK$305,$O2502))</f>
      </c>
    </row>
    <row r="2503">
      <c r="A2503" s="223">
        <f>IF($C2503="","",COUNTIF($C$6:$C2503,"?*"))</f>
      </c>
      <c r="B2503" s="217"/>
      <c r="C2503" s="216"/>
      <c r="D2503" s="240"/>
      <c r="E2503" s="218"/>
      <c r="F2503" s="218"/>
      <c r="G2503" s="218"/>
      <c r="H2503" s="219"/>
      <c r="I2503" s="223">
        <f>IF($C2503="","",IF(ISNUMBER(MATCH($C2503,'Phản ánh'!$A$6:$A$505,0)),"Phản ánh",IF(ISNUMBER(MATCH($C2503,'Kế hoạch'!$A$6:$A$305,0)),"Công việc","Mã chưa có")))</f>
      </c>
      <c r="J2503" s="221">
        <f>IF($I2503="Phản ánh",INDEX('Phản ánh'!$C$6:$C$505,MATCH($C2503,'Phản ánh'!$A$6:$A$505,0)),IF($I2503="Công việc",INDEX('Kế hoạch'!$C$6:$C$305,$O2503),""))</f>
      </c>
      <c r="K2503" s="221">
        <f>IF($I2503="Phản ánh",INDEX('Phản ánh'!$K$6:$K$505,MATCH($C2503,'Phản ánh'!$A$6:$A$505,0))&amp;"",IF($I2503="Công việc",INDEX('Kế hoạch'!$N$6:$N$305,$O2503)&amp;"",""))</f>
      </c>
      <c r="L2503" s="220">
        <f>IF(OR($C2503="",N($B2503)=0),"",IF(AND($I2503="Phản ánh",$E2503="Đã xử lý"),INDEX('Phản ánh'!$U$6:$U$505,MATCH($C2503,'Phản ánh'!$A$6:$A$505,0)),IF(AND($I2503="Công việc",OR($E2503="Hoàn thành",$E2503="Hoàn thành kỳ")),IF(INDEX('Kế hoạch'!$B$6:$B$305,$O2503)="Đột xuất",INDEX('Kế hoạch'!$AY$6:$AY$305,$O2503),IF(N($P2503)=0,"",IF(INT($B2503)&lt;$P2503,$P2503,IF($Q2503&gt;0,$P2503+ROUND((INT($B2503)-$P2503)/$Q2503,0)*$Q2503,IF($R2503&gt;0,EDATE($P2503,ROUND((DATEDIF($P2503,INT($B2503),"m")+(INT($B2503)-EDATE($P2503,DATEDIF($P2503,INT($B2503),"m")))/(EDATE($P2503,DATEDIF($P2503,INT($B2503),"m")+1)-EDATE($P2503,DATEDIF($P2503,INT($B2503),"m"))))/$R2503,0)*$R2503),$P2503))))),"")))</f>
      </c>
      <c r="M2503" s="223">
        <f>IF(OR($C2503="",N($L2503)=0,N($B2503)=0),"",IF(IF(MOD($L2503,1)=0,INT($B2503),$B2503)&lt;=$L2503,"Đúng hạn","Trễ hạn"))</f>
      </c>
      <c r="N2503" s="225">
        <f>IF($C2503="","",ROW())</f>
      </c>
      <c r="O2503" s="225">
        <f>IF($I2503="Công việc",MATCH($C2503,'Kế hoạch'!$A$6:$A$305,0),"")</f>
      </c>
      <c r="P2503" s="234">
        <f>IF($O2503="","",INDEX('Kế hoạch'!$I$6:$I$305,$O2503))</f>
      </c>
      <c r="Q2503" s="225">
        <f>IF($O2503="","",INDEX('Kế hoạch'!$AJ$6:$AJ$305,$O2503))</f>
      </c>
      <c r="R2503" s="225">
        <f>IF($O2503="","",INDEX('Kế hoạch'!$AK$6:$AK$305,$O2503))</f>
      </c>
    </row>
    <row r="2504">
      <c r="A2504" s="223">
        <f>IF($C2504="","",COUNTIF($C$6:$C2504,"?*"))</f>
      </c>
      <c r="B2504" s="217"/>
      <c r="C2504" s="216"/>
      <c r="D2504" s="240"/>
      <c r="E2504" s="218"/>
      <c r="F2504" s="218"/>
      <c r="G2504" s="218"/>
      <c r="H2504" s="219"/>
      <c r="I2504" s="223">
        <f>IF($C2504="","",IF(ISNUMBER(MATCH($C2504,'Phản ánh'!$A$6:$A$505,0)),"Phản ánh",IF(ISNUMBER(MATCH($C2504,'Kế hoạch'!$A$6:$A$305,0)),"Công việc","Mã chưa có")))</f>
      </c>
      <c r="J2504" s="221">
        <f>IF($I2504="Phản ánh",INDEX('Phản ánh'!$C$6:$C$505,MATCH($C2504,'Phản ánh'!$A$6:$A$505,0)),IF($I2504="Công việc",INDEX('Kế hoạch'!$C$6:$C$305,$O2504),""))</f>
      </c>
      <c r="K2504" s="221">
        <f>IF($I2504="Phản ánh",INDEX('Phản ánh'!$K$6:$K$505,MATCH($C2504,'Phản ánh'!$A$6:$A$505,0))&amp;"",IF($I2504="Công việc",INDEX('Kế hoạch'!$N$6:$N$305,$O2504)&amp;"",""))</f>
      </c>
      <c r="L2504" s="220">
        <f>IF(OR($C2504="",N($B2504)=0),"",IF(AND($I2504="Phản ánh",$E2504="Đã xử lý"),INDEX('Phản ánh'!$U$6:$U$505,MATCH($C2504,'Phản ánh'!$A$6:$A$505,0)),IF(AND($I2504="Công việc",OR($E2504="Hoàn thành",$E2504="Hoàn thành kỳ")),IF(INDEX('Kế hoạch'!$B$6:$B$305,$O2504)="Đột xuất",INDEX('Kế hoạch'!$AY$6:$AY$305,$O2504),IF(N($P2504)=0,"",IF(INT($B2504)&lt;$P2504,$P2504,IF($Q2504&gt;0,$P2504+ROUND((INT($B2504)-$P2504)/$Q2504,0)*$Q2504,IF($R2504&gt;0,EDATE($P2504,ROUND((DATEDIF($P2504,INT($B2504),"m")+(INT($B2504)-EDATE($P2504,DATEDIF($P2504,INT($B2504),"m")))/(EDATE($P2504,DATEDIF($P2504,INT($B2504),"m")+1)-EDATE($P2504,DATEDIF($P2504,INT($B2504),"m"))))/$R2504,0)*$R2504),$P2504))))),"")))</f>
      </c>
      <c r="M2504" s="223">
        <f>IF(OR($C2504="",N($L2504)=0,N($B2504)=0),"",IF(IF(MOD($L2504,1)=0,INT($B2504),$B2504)&lt;=$L2504,"Đúng hạn","Trễ hạn"))</f>
      </c>
      <c r="N2504" s="225">
        <f>IF($C2504="","",ROW())</f>
      </c>
      <c r="O2504" s="225">
        <f>IF($I2504="Công việc",MATCH($C2504,'Kế hoạch'!$A$6:$A$305,0),"")</f>
      </c>
      <c r="P2504" s="234">
        <f>IF($O2504="","",INDEX('Kế hoạch'!$I$6:$I$305,$O2504))</f>
      </c>
      <c r="Q2504" s="225">
        <f>IF($O2504="","",INDEX('Kế hoạch'!$AJ$6:$AJ$305,$O2504))</f>
      </c>
      <c r="R2504" s="225">
        <f>IF($O2504="","",INDEX('Kế hoạch'!$AK$6:$AK$305,$O2504))</f>
      </c>
    </row>
    <row r="2505">
      <c r="A2505" s="223">
        <f>IF($C2505="","",COUNTIF($C$6:$C2505,"?*"))</f>
      </c>
      <c r="B2505" s="217"/>
      <c r="C2505" s="216"/>
      <c r="D2505" s="240"/>
      <c r="E2505" s="218"/>
      <c r="F2505" s="218"/>
      <c r="G2505" s="218"/>
      <c r="H2505" s="219"/>
      <c r="I2505" s="223">
        <f>IF($C2505="","",IF(ISNUMBER(MATCH($C2505,'Phản ánh'!$A$6:$A$505,0)),"Phản ánh",IF(ISNUMBER(MATCH($C2505,'Kế hoạch'!$A$6:$A$305,0)),"Công việc","Mã chưa có")))</f>
      </c>
      <c r="J2505" s="221">
        <f>IF($I2505="Phản ánh",INDEX('Phản ánh'!$C$6:$C$505,MATCH($C2505,'Phản ánh'!$A$6:$A$505,0)),IF($I2505="Công việc",INDEX('Kế hoạch'!$C$6:$C$305,$O2505),""))</f>
      </c>
      <c r="K2505" s="221">
        <f>IF($I2505="Phản ánh",INDEX('Phản ánh'!$K$6:$K$505,MATCH($C2505,'Phản ánh'!$A$6:$A$505,0))&amp;"",IF($I2505="Công việc",INDEX('Kế hoạch'!$N$6:$N$305,$O2505)&amp;"",""))</f>
      </c>
      <c r="L2505" s="220">
        <f>IF(OR($C2505="",N($B2505)=0),"",IF(AND($I2505="Phản ánh",$E2505="Đã xử lý"),INDEX('Phản ánh'!$U$6:$U$505,MATCH($C2505,'Phản ánh'!$A$6:$A$505,0)),IF(AND($I2505="Công việc",OR($E2505="Hoàn thành",$E2505="Hoàn thành kỳ")),IF(INDEX('Kế hoạch'!$B$6:$B$305,$O2505)="Đột xuất",INDEX('Kế hoạch'!$AY$6:$AY$305,$O2505),IF(N($P2505)=0,"",IF(INT($B2505)&lt;$P2505,$P2505,IF($Q2505&gt;0,$P2505+ROUND((INT($B2505)-$P2505)/$Q2505,0)*$Q2505,IF($R2505&gt;0,EDATE($P2505,ROUND((DATEDIF($P2505,INT($B2505),"m")+(INT($B2505)-EDATE($P2505,DATEDIF($P2505,INT($B2505),"m")))/(EDATE($P2505,DATEDIF($P2505,INT($B2505),"m")+1)-EDATE($P2505,DATEDIF($P2505,INT($B2505),"m"))))/$R2505,0)*$R2505),$P2505))))),"")))</f>
      </c>
      <c r="M2505" s="223">
        <f>IF(OR($C2505="",N($L2505)=0,N($B2505)=0),"",IF(IF(MOD($L2505,1)=0,INT($B2505),$B2505)&lt;=$L2505,"Đúng hạn","Trễ hạn"))</f>
      </c>
      <c r="N2505" s="225">
        <f>IF($C2505="","",ROW())</f>
      </c>
      <c r="O2505" s="225">
        <f>IF($I2505="Công việc",MATCH($C2505,'Kế hoạch'!$A$6:$A$305,0),"")</f>
      </c>
      <c r="P2505" s="234">
        <f>IF($O2505="","",INDEX('Kế hoạch'!$I$6:$I$305,$O2505))</f>
      </c>
      <c r="Q2505" s="225">
        <f>IF($O2505="","",INDEX('Kế hoạch'!$AJ$6:$AJ$305,$O2505))</f>
      </c>
      <c r="R2505" s="225">
        <f>IF($O2505="","",INDEX('Kế hoạch'!$AK$6:$AK$305,$O2505))</f>
      </c>
    </row>
    <row r="2506">
      <c r="A2506" s="223">
        <f>IF($C2506="","",COUNTIF($C$6:$C2506,"?*"))</f>
      </c>
      <c r="B2506" s="217"/>
      <c r="C2506" s="216"/>
      <c r="D2506" s="240"/>
      <c r="E2506" s="218"/>
      <c r="F2506" s="218"/>
      <c r="G2506" s="218"/>
      <c r="H2506" s="219"/>
      <c r="I2506" s="223">
        <f>IF($C2506="","",IF(ISNUMBER(MATCH($C2506,'Phản ánh'!$A$6:$A$505,0)),"Phản ánh",IF(ISNUMBER(MATCH($C2506,'Kế hoạch'!$A$6:$A$305,0)),"Công việc","Mã chưa có")))</f>
      </c>
      <c r="J2506" s="221">
        <f>IF($I2506="Phản ánh",INDEX('Phản ánh'!$C$6:$C$505,MATCH($C2506,'Phản ánh'!$A$6:$A$505,0)),IF($I2506="Công việc",INDEX('Kế hoạch'!$C$6:$C$305,$O2506),""))</f>
      </c>
      <c r="K2506" s="221">
        <f>IF($I2506="Phản ánh",INDEX('Phản ánh'!$K$6:$K$505,MATCH($C2506,'Phản ánh'!$A$6:$A$505,0))&amp;"",IF($I2506="Công việc",INDEX('Kế hoạch'!$N$6:$N$305,$O2506)&amp;"",""))</f>
      </c>
      <c r="L2506" s="220">
        <f>IF(OR($C2506="",N($B2506)=0),"",IF(AND($I2506="Phản ánh",$E2506="Đã xử lý"),INDEX('Phản ánh'!$U$6:$U$505,MATCH($C2506,'Phản ánh'!$A$6:$A$505,0)),IF(AND($I2506="Công việc",OR($E2506="Hoàn thành",$E2506="Hoàn thành kỳ")),IF(INDEX('Kế hoạch'!$B$6:$B$305,$O2506)="Đột xuất",INDEX('Kế hoạch'!$AY$6:$AY$305,$O2506),IF(N($P2506)=0,"",IF(INT($B2506)&lt;$P2506,$P2506,IF($Q2506&gt;0,$P2506+ROUND((INT($B2506)-$P2506)/$Q2506,0)*$Q2506,IF($R2506&gt;0,EDATE($P2506,ROUND((DATEDIF($P2506,INT($B2506),"m")+(INT($B2506)-EDATE($P2506,DATEDIF($P2506,INT($B2506),"m")))/(EDATE($P2506,DATEDIF($P2506,INT($B2506),"m")+1)-EDATE($P2506,DATEDIF($P2506,INT($B2506),"m"))))/$R2506,0)*$R2506),$P2506))))),"")))</f>
      </c>
      <c r="M2506" s="223">
        <f>IF(OR($C2506="",N($L2506)=0,N($B2506)=0),"",IF(IF(MOD($L2506,1)=0,INT($B2506),$B2506)&lt;=$L2506,"Đúng hạn","Trễ hạn"))</f>
      </c>
      <c r="N2506" s="225">
        <f>IF($C2506="","",ROW())</f>
      </c>
      <c r="O2506" s="225">
        <f>IF($I2506="Công việc",MATCH($C2506,'Kế hoạch'!$A$6:$A$305,0),"")</f>
      </c>
      <c r="P2506" s="234">
        <f>IF($O2506="","",INDEX('Kế hoạch'!$I$6:$I$305,$O2506))</f>
      </c>
      <c r="Q2506" s="225">
        <f>IF($O2506="","",INDEX('Kế hoạch'!$AJ$6:$AJ$305,$O2506))</f>
      </c>
      <c r="R2506" s="225">
        <f>IF($O2506="","",INDEX('Kế hoạch'!$AK$6:$AK$305,$O2506))</f>
      </c>
    </row>
    <row r="2507">
      <c r="A2507" s="223">
        <f>IF($C2507="","",COUNTIF($C$6:$C2507,"?*"))</f>
      </c>
      <c r="B2507" s="217"/>
      <c r="C2507" s="216"/>
      <c r="D2507" s="240"/>
      <c r="E2507" s="218"/>
      <c r="F2507" s="218"/>
      <c r="G2507" s="218"/>
      <c r="H2507" s="219"/>
      <c r="I2507" s="223">
        <f>IF($C2507="","",IF(ISNUMBER(MATCH($C2507,'Phản ánh'!$A$6:$A$505,0)),"Phản ánh",IF(ISNUMBER(MATCH($C2507,'Kế hoạch'!$A$6:$A$305,0)),"Công việc","Mã chưa có")))</f>
      </c>
      <c r="J2507" s="221">
        <f>IF($I2507="Phản ánh",INDEX('Phản ánh'!$C$6:$C$505,MATCH($C2507,'Phản ánh'!$A$6:$A$505,0)),IF($I2507="Công việc",INDEX('Kế hoạch'!$C$6:$C$305,$O2507),""))</f>
      </c>
      <c r="K2507" s="221">
        <f>IF($I2507="Phản ánh",INDEX('Phản ánh'!$K$6:$K$505,MATCH($C2507,'Phản ánh'!$A$6:$A$505,0))&amp;"",IF($I2507="Công việc",INDEX('Kế hoạch'!$N$6:$N$305,$O2507)&amp;"",""))</f>
      </c>
      <c r="L2507" s="220">
        <f>IF(OR($C2507="",N($B2507)=0),"",IF(AND($I2507="Phản ánh",$E2507="Đã xử lý"),INDEX('Phản ánh'!$U$6:$U$505,MATCH($C2507,'Phản ánh'!$A$6:$A$505,0)),IF(AND($I2507="Công việc",OR($E2507="Hoàn thành",$E2507="Hoàn thành kỳ")),IF(INDEX('Kế hoạch'!$B$6:$B$305,$O2507)="Đột xuất",INDEX('Kế hoạch'!$AY$6:$AY$305,$O2507),IF(N($P2507)=0,"",IF(INT($B2507)&lt;$P2507,$P2507,IF($Q2507&gt;0,$P2507+ROUND((INT($B2507)-$P2507)/$Q2507,0)*$Q2507,IF($R2507&gt;0,EDATE($P2507,ROUND((DATEDIF($P2507,INT($B2507),"m")+(INT($B2507)-EDATE($P2507,DATEDIF($P2507,INT($B2507),"m")))/(EDATE($P2507,DATEDIF($P2507,INT($B2507),"m")+1)-EDATE($P2507,DATEDIF($P2507,INT($B2507),"m"))))/$R2507,0)*$R2507),$P2507))))),"")))</f>
      </c>
      <c r="M2507" s="223">
        <f>IF(OR($C2507="",N($L2507)=0,N($B2507)=0),"",IF(IF(MOD($L2507,1)=0,INT($B2507),$B2507)&lt;=$L2507,"Đúng hạn","Trễ hạn"))</f>
      </c>
      <c r="N2507" s="225">
        <f>IF($C2507="","",ROW())</f>
      </c>
      <c r="O2507" s="225">
        <f>IF($I2507="Công việc",MATCH($C2507,'Kế hoạch'!$A$6:$A$305,0),"")</f>
      </c>
      <c r="P2507" s="234">
        <f>IF($O2507="","",INDEX('Kế hoạch'!$I$6:$I$305,$O2507))</f>
      </c>
      <c r="Q2507" s="225">
        <f>IF($O2507="","",INDEX('Kế hoạch'!$AJ$6:$AJ$305,$O2507))</f>
      </c>
      <c r="R2507" s="225">
        <f>IF($O2507="","",INDEX('Kế hoạch'!$AK$6:$AK$305,$O2507))</f>
      </c>
    </row>
    <row r="2508">
      <c r="A2508" s="223">
        <f>IF($C2508="","",COUNTIF($C$6:$C2508,"?*"))</f>
      </c>
      <c r="B2508" s="217"/>
      <c r="C2508" s="216"/>
      <c r="D2508" s="240"/>
      <c r="E2508" s="218"/>
      <c r="F2508" s="218"/>
      <c r="G2508" s="218"/>
      <c r="H2508" s="219"/>
      <c r="I2508" s="223">
        <f>IF($C2508="","",IF(ISNUMBER(MATCH($C2508,'Phản ánh'!$A$6:$A$505,0)),"Phản ánh",IF(ISNUMBER(MATCH($C2508,'Kế hoạch'!$A$6:$A$305,0)),"Công việc","Mã chưa có")))</f>
      </c>
      <c r="J2508" s="221">
        <f>IF($I2508="Phản ánh",INDEX('Phản ánh'!$C$6:$C$505,MATCH($C2508,'Phản ánh'!$A$6:$A$505,0)),IF($I2508="Công việc",INDEX('Kế hoạch'!$C$6:$C$305,$O2508),""))</f>
      </c>
      <c r="K2508" s="221">
        <f>IF($I2508="Phản ánh",INDEX('Phản ánh'!$K$6:$K$505,MATCH($C2508,'Phản ánh'!$A$6:$A$505,0))&amp;"",IF($I2508="Công việc",INDEX('Kế hoạch'!$N$6:$N$305,$O2508)&amp;"",""))</f>
      </c>
      <c r="L2508" s="220">
        <f>IF(OR($C2508="",N($B2508)=0),"",IF(AND($I2508="Phản ánh",$E2508="Đã xử lý"),INDEX('Phản ánh'!$U$6:$U$505,MATCH($C2508,'Phản ánh'!$A$6:$A$505,0)),IF(AND($I2508="Công việc",OR($E2508="Hoàn thành",$E2508="Hoàn thành kỳ")),IF(INDEX('Kế hoạch'!$B$6:$B$305,$O2508)="Đột xuất",INDEX('Kế hoạch'!$AY$6:$AY$305,$O2508),IF(N($P2508)=0,"",IF(INT($B2508)&lt;$P2508,$P2508,IF($Q2508&gt;0,$P2508+ROUND((INT($B2508)-$P2508)/$Q2508,0)*$Q2508,IF($R2508&gt;0,EDATE($P2508,ROUND((DATEDIF($P2508,INT($B2508),"m")+(INT($B2508)-EDATE($P2508,DATEDIF($P2508,INT($B2508),"m")))/(EDATE($P2508,DATEDIF($P2508,INT($B2508),"m")+1)-EDATE($P2508,DATEDIF($P2508,INT($B2508),"m"))))/$R2508,0)*$R2508),$P2508))))),"")))</f>
      </c>
      <c r="M2508" s="223">
        <f>IF(OR($C2508="",N($L2508)=0,N($B2508)=0),"",IF(IF(MOD($L2508,1)=0,INT($B2508),$B2508)&lt;=$L2508,"Đúng hạn","Trễ hạn"))</f>
      </c>
      <c r="N2508" s="225">
        <f>IF($C2508="","",ROW())</f>
      </c>
      <c r="O2508" s="225">
        <f>IF($I2508="Công việc",MATCH($C2508,'Kế hoạch'!$A$6:$A$305,0),"")</f>
      </c>
      <c r="P2508" s="234">
        <f>IF($O2508="","",INDEX('Kế hoạch'!$I$6:$I$305,$O2508))</f>
      </c>
      <c r="Q2508" s="225">
        <f>IF($O2508="","",INDEX('Kế hoạch'!$AJ$6:$AJ$305,$O2508))</f>
      </c>
      <c r="R2508" s="225">
        <f>IF($O2508="","",INDEX('Kế hoạch'!$AK$6:$AK$305,$O2508))</f>
      </c>
    </row>
    <row r="2509">
      <c r="A2509" s="223">
        <f>IF($C2509="","",COUNTIF($C$6:$C2509,"?*"))</f>
      </c>
      <c r="B2509" s="217"/>
      <c r="C2509" s="216"/>
      <c r="D2509" s="240"/>
      <c r="E2509" s="218"/>
      <c r="F2509" s="218"/>
      <c r="G2509" s="218"/>
      <c r="H2509" s="219"/>
      <c r="I2509" s="223">
        <f>IF($C2509="","",IF(ISNUMBER(MATCH($C2509,'Phản ánh'!$A$6:$A$505,0)),"Phản ánh",IF(ISNUMBER(MATCH($C2509,'Kế hoạch'!$A$6:$A$305,0)),"Công việc","Mã chưa có")))</f>
      </c>
      <c r="J2509" s="221">
        <f>IF($I2509="Phản ánh",INDEX('Phản ánh'!$C$6:$C$505,MATCH($C2509,'Phản ánh'!$A$6:$A$505,0)),IF($I2509="Công việc",INDEX('Kế hoạch'!$C$6:$C$305,$O2509),""))</f>
      </c>
      <c r="K2509" s="221">
        <f>IF($I2509="Phản ánh",INDEX('Phản ánh'!$K$6:$K$505,MATCH($C2509,'Phản ánh'!$A$6:$A$505,0))&amp;"",IF($I2509="Công việc",INDEX('Kế hoạch'!$N$6:$N$305,$O2509)&amp;"",""))</f>
      </c>
      <c r="L2509" s="220">
        <f>IF(OR($C2509="",N($B2509)=0),"",IF(AND($I2509="Phản ánh",$E2509="Đã xử lý"),INDEX('Phản ánh'!$U$6:$U$505,MATCH($C2509,'Phản ánh'!$A$6:$A$505,0)),IF(AND($I2509="Công việc",OR($E2509="Hoàn thành",$E2509="Hoàn thành kỳ")),IF(INDEX('Kế hoạch'!$B$6:$B$305,$O2509)="Đột xuất",INDEX('Kế hoạch'!$AY$6:$AY$305,$O2509),IF(N($P2509)=0,"",IF(INT($B2509)&lt;$P2509,$P2509,IF($Q2509&gt;0,$P2509+ROUND((INT($B2509)-$P2509)/$Q2509,0)*$Q2509,IF($R2509&gt;0,EDATE($P2509,ROUND((DATEDIF($P2509,INT($B2509),"m")+(INT($B2509)-EDATE($P2509,DATEDIF($P2509,INT($B2509),"m")))/(EDATE($P2509,DATEDIF($P2509,INT($B2509),"m")+1)-EDATE($P2509,DATEDIF($P2509,INT($B2509),"m"))))/$R2509,0)*$R2509),$P2509))))),"")))</f>
      </c>
      <c r="M2509" s="223">
        <f>IF(OR($C2509="",N($L2509)=0,N($B2509)=0),"",IF(IF(MOD($L2509,1)=0,INT($B2509),$B2509)&lt;=$L2509,"Đúng hạn","Trễ hạn"))</f>
      </c>
      <c r="N2509" s="225">
        <f>IF($C2509="","",ROW())</f>
      </c>
      <c r="O2509" s="225">
        <f>IF($I2509="Công việc",MATCH($C2509,'Kế hoạch'!$A$6:$A$305,0),"")</f>
      </c>
      <c r="P2509" s="234">
        <f>IF($O2509="","",INDEX('Kế hoạch'!$I$6:$I$305,$O2509))</f>
      </c>
      <c r="Q2509" s="225">
        <f>IF($O2509="","",INDEX('Kế hoạch'!$AJ$6:$AJ$305,$O2509))</f>
      </c>
      <c r="R2509" s="225">
        <f>IF($O2509="","",INDEX('Kế hoạch'!$AK$6:$AK$305,$O2509))</f>
      </c>
    </row>
    <row r="2510">
      <c r="A2510" s="223">
        <f>IF($C2510="","",COUNTIF($C$6:$C2510,"?*"))</f>
      </c>
      <c r="B2510" s="217"/>
      <c r="C2510" s="216"/>
      <c r="D2510" s="240"/>
      <c r="E2510" s="218"/>
      <c r="F2510" s="218"/>
      <c r="G2510" s="218"/>
      <c r="H2510" s="219"/>
      <c r="I2510" s="223">
        <f>IF($C2510="","",IF(ISNUMBER(MATCH($C2510,'Phản ánh'!$A$6:$A$505,0)),"Phản ánh",IF(ISNUMBER(MATCH($C2510,'Kế hoạch'!$A$6:$A$305,0)),"Công việc","Mã chưa có")))</f>
      </c>
      <c r="J2510" s="221">
        <f>IF($I2510="Phản ánh",INDEX('Phản ánh'!$C$6:$C$505,MATCH($C2510,'Phản ánh'!$A$6:$A$505,0)),IF($I2510="Công việc",INDEX('Kế hoạch'!$C$6:$C$305,$O2510),""))</f>
      </c>
      <c r="K2510" s="221">
        <f>IF($I2510="Phản ánh",INDEX('Phản ánh'!$K$6:$K$505,MATCH($C2510,'Phản ánh'!$A$6:$A$505,0))&amp;"",IF($I2510="Công việc",INDEX('Kế hoạch'!$N$6:$N$305,$O2510)&amp;"",""))</f>
      </c>
      <c r="L2510" s="220">
        <f>IF(OR($C2510="",N($B2510)=0),"",IF(AND($I2510="Phản ánh",$E2510="Đã xử lý"),INDEX('Phản ánh'!$U$6:$U$505,MATCH($C2510,'Phản ánh'!$A$6:$A$505,0)),IF(AND($I2510="Công việc",OR($E2510="Hoàn thành",$E2510="Hoàn thành kỳ")),IF(INDEX('Kế hoạch'!$B$6:$B$305,$O2510)="Đột xuất",INDEX('Kế hoạch'!$AY$6:$AY$305,$O2510),IF(N($P2510)=0,"",IF(INT($B2510)&lt;$P2510,$P2510,IF($Q2510&gt;0,$P2510+ROUND((INT($B2510)-$P2510)/$Q2510,0)*$Q2510,IF($R2510&gt;0,EDATE($P2510,ROUND((DATEDIF($P2510,INT($B2510),"m")+(INT($B2510)-EDATE($P2510,DATEDIF($P2510,INT($B2510),"m")))/(EDATE($P2510,DATEDIF($P2510,INT($B2510),"m")+1)-EDATE($P2510,DATEDIF($P2510,INT($B2510),"m"))))/$R2510,0)*$R2510),$P2510))))),"")))</f>
      </c>
      <c r="M2510" s="223">
        <f>IF(OR($C2510="",N($L2510)=0,N($B2510)=0),"",IF(IF(MOD($L2510,1)=0,INT($B2510),$B2510)&lt;=$L2510,"Đúng hạn","Trễ hạn"))</f>
      </c>
      <c r="N2510" s="225">
        <f>IF($C2510="","",ROW())</f>
      </c>
      <c r="O2510" s="225">
        <f>IF($I2510="Công việc",MATCH($C2510,'Kế hoạch'!$A$6:$A$305,0),"")</f>
      </c>
      <c r="P2510" s="234">
        <f>IF($O2510="","",INDEX('Kế hoạch'!$I$6:$I$305,$O2510))</f>
      </c>
      <c r="Q2510" s="225">
        <f>IF($O2510="","",INDEX('Kế hoạch'!$AJ$6:$AJ$305,$O2510))</f>
      </c>
      <c r="R2510" s="225">
        <f>IF($O2510="","",INDEX('Kế hoạch'!$AK$6:$AK$305,$O2510))</f>
      </c>
    </row>
    <row r="2511">
      <c r="A2511" s="223">
        <f>IF($C2511="","",COUNTIF($C$6:$C2511,"?*"))</f>
      </c>
      <c r="B2511" s="217"/>
      <c r="C2511" s="216"/>
      <c r="D2511" s="240"/>
      <c r="E2511" s="218"/>
      <c r="F2511" s="218"/>
      <c r="G2511" s="218"/>
      <c r="H2511" s="219"/>
      <c r="I2511" s="223">
        <f>IF($C2511="","",IF(ISNUMBER(MATCH($C2511,'Phản ánh'!$A$6:$A$505,0)),"Phản ánh",IF(ISNUMBER(MATCH($C2511,'Kế hoạch'!$A$6:$A$305,0)),"Công việc","Mã chưa có")))</f>
      </c>
      <c r="J2511" s="221">
        <f>IF($I2511="Phản ánh",INDEX('Phản ánh'!$C$6:$C$505,MATCH($C2511,'Phản ánh'!$A$6:$A$505,0)),IF($I2511="Công việc",INDEX('Kế hoạch'!$C$6:$C$305,$O2511),""))</f>
      </c>
      <c r="K2511" s="221">
        <f>IF($I2511="Phản ánh",INDEX('Phản ánh'!$K$6:$K$505,MATCH($C2511,'Phản ánh'!$A$6:$A$505,0))&amp;"",IF($I2511="Công việc",INDEX('Kế hoạch'!$N$6:$N$305,$O2511)&amp;"",""))</f>
      </c>
      <c r="L2511" s="220">
        <f>IF(OR($C2511="",N($B2511)=0),"",IF(AND($I2511="Phản ánh",$E2511="Đã xử lý"),INDEX('Phản ánh'!$U$6:$U$505,MATCH($C2511,'Phản ánh'!$A$6:$A$505,0)),IF(AND($I2511="Công việc",OR($E2511="Hoàn thành",$E2511="Hoàn thành kỳ")),IF(INDEX('Kế hoạch'!$B$6:$B$305,$O2511)="Đột xuất",INDEX('Kế hoạch'!$AY$6:$AY$305,$O2511),IF(N($P2511)=0,"",IF(INT($B2511)&lt;$P2511,$P2511,IF($Q2511&gt;0,$P2511+ROUND((INT($B2511)-$P2511)/$Q2511,0)*$Q2511,IF($R2511&gt;0,EDATE($P2511,ROUND((DATEDIF($P2511,INT($B2511),"m")+(INT($B2511)-EDATE($P2511,DATEDIF($P2511,INT($B2511),"m")))/(EDATE($P2511,DATEDIF($P2511,INT($B2511),"m")+1)-EDATE($P2511,DATEDIF($P2511,INT($B2511),"m"))))/$R2511,0)*$R2511),$P2511))))),"")))</f>
      </c>
      <c r="M2511" s="223">
        <f>IF(OR($C2511="",N($L2511)=0,N($B2511)=0),"",IF(IF(MOD($L2511,1)=0,INT($B2511),$B2511)&lt;=$L2511,"Đúng hạn","Trễ hạn"))</f>
      </c>
      <c r="N2511" s="225">
        <f>IF($C2511="","",ROW())</f>
      </c>
      <c r="O2511" s="225">
        <f>IF($I2511="Công việc",MATCH($C2511,'Kế hoạch'!$A$6:$A$305,0),"")</f>
      </c>
      <c r="P2511" s="234">
        <f>IF($O2511="","",INDEX('Kế hoạch'!$I$6:$I$305,$O2511))</f>
      </c>
      <c r="Q2511" s="225">
        <f>IF($O2511="","",INDEX('Kế hoạch'!$AJ$6:$AJ$305,$O2511))</f>
      </c>
      <c r="R2511" s="225">
        <f>IF($O2511="","",INDEX('Kế hoạch'!$AK$6:$AK$305,$O2511))</f>
      </c>
    </row>
    <row r="2512">
      <c r="A2512" s="223">
        <f>IF($C2512="","",COUNTIF($C$6:$C2512,"?*"))</f>
      </c>
      <c r="B2512" s="217"/>
      <c r="C2512" s="216"/>
      <c r="D2512" s="240"/>
      <c r="E2512" s="218"/>
      <c r="F2512" s="218"/>
      <c r="G2512" s="218"/>
      <c r="H2512" s="219"/>
      <c r="I2512" s="223">
        <f>IF($C2512="","",IF(ISNUMBER(MATCH($C2512,'Phản ánh'!$A$6:$A$505,0)),"Phản ánh",IF(ISNUMBER(MATCH($C2512,'Kế hoạch'!$A$6:$A$305,0)),"Công việc","Mã chưa có")))</f>
      </c>
      <c r="J2512" s="221">
        <f>IF($I2512="Phản ánh",INDEX('Phản ánh'!$C$6:$C$505,MATCH($C2512,'Phản ánh'!$A$6:$A$505,0)),IF($I2512="Công việc",INDEX('Kế hoạch'!$C$6:$C$305,$O2512),""))</f>
      </c>
      <c r="K2512" s="221">
        <f>IF($I2512="Phản ánh",INDEX('Phản ánh'!$K$6:$K$505,MATCH($C2512,'Phản ánh'!$A$6:$A$505,0))&amp;"",IF($I2512="Công việc",INDEX('Kế hoạch'!$N$6:$N$305,$O2512)&amp;"",""))</f>
      </c>
      <c r="L2512" s="220">
        <f>IF(OR($C2512="",N($B2512)=0),"",IF(AND($I2512="Phản ánh",$E2512="Đã xử lý"),INDEX('Phản ánh'!$U$6:$U$505,MATCH($C2512,'Phản ánh'!$A$6:$A$505,0)),IF(AND($I2512="Công việc",OR($E2512="Hoàn thành",$E2512="Hoàn thành kỳ")),IF(INDEX('Kế hoạch'!$B$6:$B$305,$O2512)="Đột xuất",INDEX('Kế hoạch'!$AY$6:$AY$305,$O2512),IF(N($P2512)=0,"",IF(INT($B2512)&lt;$P2512,$P2512,IF($Q2512&gt;0,$P2512+ROUND((INT($B2512)-$P2512)/$Q2512,0)*$Q2512,IF($R2512&gt;0,EDATE($P2512,ROUND((DATEDIF($P2512,INT($B2512),"m")+(INT($B2512)-EDATE($P2512,DATEDIF($P2512,INT($B2512),"m")))/(EDATE($P2512,DATEDIF($P2512,INT($B2512),"m")+1)-EDATE($P2512,DATEDIF($P2512,INT($B2512),"m"))))/$R2512,0)*$R2512),$P2512))))),"")))</f>
      </c>
      <c r="M2512" s="223">
        <f>IF(OR($C2512="",N($L2512)=0,N($B2512)=0),"",IF(IF(MOD($L2512,1)=0,INT($B2512),$B2512)&lt;=$L2512,"Đúng hạn","Trễ hạn"))</f>
      </c>
      <c r="N2512" s="225">
        <f>IF($C2512="","",ROW())</f>
      </c>
      <c r="O2512" s="225">
        <f>IF($I2512="Công việc",MATCH($C2512,'Kế hoạch'!$A$6:$A$305,0),"")</f>
      </c>
      <c r="P2512" s="234">
        <f>IF($O2512="","",INDEX('Kế hoạch'!$I$6:$I$305,$O2512))</f>
      </c>
      <c r="Q2512" s="225">
        <f>IF($O2512="","",INDEX('Kế hoạch'!$AJ$6:$AJ$305,$O2512))</f>
      </c>
      <c r="R2512" s="225">
        <f>IF($O2512="","",INDEX('Kế hoạch'!$AK$6:$AK$305,$O2512))</f>
      </c>
    </row>
    <row r="2513">
      <c r="A2513" s="223">
        <f>IF($C2513="","",COUNTIF($C$6:$C2513,"?*"))</f>
      </c>
      <c r="B2513" s="217"/>
      <c r="C2513" s="216"/>
      <c r="D2513" s="240"/>
      <c r="E2513" s="218"/>
      <c r="F2513" s="218"/>
      <c r="G2513" s="218"/>
      <c r="H2513" s="219"/>
      <c r="I2513" s="223">
        <f>IF($C2513="","",IF(ISNUMBER(MATCH($C2513,'Phản ánh'!$A$6:$A$505,0)),"Phản ánh",IF(ISNUMBER(MATCH($C2513,'Kế hoạch'!$A$6:$A$305,0)),"Công việc","Mã chưa có")))</f>
      </c>
      <c r="J2513" s="221">
        <f>IF($I2513="Phản ánh",INDEX('Phản ánh'!$C$6:$C$505,MATCH($C2513,'Phản ánh'!$A$6:$A$505,0)),IF($I2513="Công việc",INDEX('Kế hoạch'!$C$6:$C$305,$O2513),""))</f>
      </c>
      <c r="K2513" s="221">
        <f>IF($I2513="Phản ánh",INDEX('Phản ánh'!$K$6:$K$505,MATCH($C2513,'Phản ánh'!$A$6:$A$505,0))&amp;"",IF($I2513="Công việc",INDEX('Kế hoạch'!$N$6:$N$305,$O2513)&amp;"",""))</f>
      </c>
      <c r="L2513" s="220">
        <f>IF(OR($C2513="",N($B2513)=0),"",IF(AND($I2513="Phản ánh",$E2513="Đã xử lý"),INDEX('Phản ánh'!$U$6:$U$505,MATCH($C2513,'Phản ánh'!$A$6:$A$505,0)),IF(AND($I2513="Công việc",OR($E2513="Hoàn thành",$E2513="Hoàn thành kỳ")),IF(INDEX('Kế hoạch'!$B$6:$B$305,$O2513)="Đột xuất",INDEX('Kế hoạch'!$AY$6:$AY$305,$O2513),IF(N($P2513)=0,"",IF(INT($B2513)&lt;$P2513,$P2513,IF($Q2513&gt;0,$P2513+ROUND((INT($B2513)-$P2513)/$Q2513,0)*$Q2513,IF($R2513&gt;0,EDATE($P2513,ROUND((DATEDIF($P2513,INT($B2513),"m")+(INT($B2513)-EDATE($P2513,DATEDIF($P2513,INT($B2513),"m")))/(EDATE($P2513,DATEDIF($P2513,INT($B2513),"m")+1)-EDATE($P2513,DATEDIF($P2513,INT($B2513),"m"))))/$R2513,0)*$R2513),$P2513))))),"")))</f>
      </c>
      <c r="M2513" s="223">
        <f>IF(OR($C2513="",N($L2513)=0,N($B2513)=0),"",IF(IF(MOD($L2513,1)=0,INT($B2513),$B2513)&lt;=$L2513,"Đúng hạn","Trễ hạn"))</f>
      </c>
      <c r="N2513" s="225">
        <f>IF($C2513="","",ROW())</f>
      </c>
      <c r="O2513" s="225">
        <f>IF($I2513="Công việc",MATCH($C2513,'Kế hoạch'!$A$6:$A$305,0),"")</f>
      </c>
      <c r="P2513" s="234">
        <f>IF($O2513="","",INDEX('Kế hoạch'!$I$6:$I$305,$O2513))</f>
      </c>
      <c r="Q2513" s="225">
        <f>IF($O2513="","",INDEX('Kế hoạch'!$AJ$6:$AJ$305,$O2513))</f>
      </c>
      <c r="R2513" s="225">
        <f>IF($O2513="","",INDEX('Kế hoạch'!$AK$6:$AK$305,$O2513))</f>
      </c>
    </row>
    <row r="2514">
      <c r="A2514" s="223">
        <f>IF($C2514="","",COUNTIF($C$6:$C2514,"?*"))</f>
      </c>
      <c r="B2514" s="217"/>
      <c r="C2514" s="216"/>
      <c r="D2514" s="240"/>
      <c r="E2514" s="218"/>
      <c r="F2514" s="218"/>
      <c r="G2514" s="218"/>
      <c r="H2514" s="219"/>
      <c r="I2514" s="223">
        <f>IF($C2514="","",IF(ISNUMBER(MATCH($C2514,'Phản ánh'!$A$6:$A$505,0)),"Phản ánh",IF(ISNUMBER(MATCH($C2514,'Kế hoạch'!$A$6:$A$305,0)),"Công việc","Mã chưa có")))</f>
      </c>
      <c r="J2514" s="221">
        <f>IF($I2514="Phản ánh",INDEX('Phản ánh'!$C$6:$C$505,MATCH($C2514,'Phản ánh'!$A$6:$A$505,0)),IF($I2514="Công việc",INDEX('Kế hoạch'!$C$6:$C$305,$O2514),""))</f>
      </c>
      <c r="K2514" s="221">
        <f>IF($I2514="Phản ánh",INDEX('Phản ánh'!$K$6:$K$505,MATCH($C2514,'Phản ánh'!$A$6:$A$505,0))&amp;"",IF($I2514="Công việc",INDEX('Kế hoạch'!$N$6:$N$305,$O2514)&amp;"",""))</f>
      </c>
      <c r="L2514" s="220">
        <f>IF(OR($C2514="",N($B2514)=0),"",IF(AND($I2514="Phản ánh",$E2514="Đã xử lý"),INDEX('Phản ánh'!$U$6:$U$505,MATCH($C2514,'Phản ánh'!$A$6:$A$505,0)),IF(AND($I2514="Công việc",OR($E2514="Hoàn thành",$E2514="Hoàn thành kỳ")),IF(INDEX('Kế hoạch'!$B$6:$B$305,$O2514)="Đột xuất",INDEX('Kế hoạch'!$AY$6:$AY$305,$O2514),IF(N($P2514)=0,"",IF(INT($B2514)&lt;$P2514,$P2514,IF($Q2514&gt;0,$P2514+ROUND((INT($B2514)-$P2514)/$Q2514,0)*$Q2514,IF($R2514&gt;0,EDATE($P2514,ROUND((DATEDIF($P2514,INT($B2514),"m")+(INT($B2514)-EDATE($P2514,DATEDIF($P2514,INT($B2514),"m")))/(EDATE($P2514,DATEDIF($P2514,INT($B2514),"m")+1)-EDATE($P2514,DATEDIF($P2514,INT($B2514),"m"))))/$R2514,0)*$R2514),$P2514))))),"")))</f>
      </c>
      <c r="M2514" s="223">
        <f>IF(OR($C2514="",N($L2514)=0,N($B2514)=0),"",IF(IF(MOD($L2514,1)=0,INT($B2514),$B2514)&lt;=$L2514,"Đúng hạn","Trễ hạn"))</f>
      </c>
      <c r="N2514" s="225">
        <f>IF($C2514="","",ROW())</f>
      </c>
      <c r="O2514" s="225">
        <f>IF($I2514="Công việc",MATCH($C2514,'Kế hoạch'!$A$6:$A$305,0),"")</f>
      </c>
      <c r="P2514" s="234">
        <f>IF($O2514="","",INDEX('Kế hoạch'!$I$6:$I$305,$O2514))</f>
      </c>
      <c r="Q2514" s="225">
        <f>IF($O2514="","",INDEX('Kế hoạch'!$AJ$6:$AJ$305,$O2514))</f>
      </c>
      <c r="R2514" s="225">
        <f>IF($O2514="","",INDEX('Kế hoạch'!$AK$6:$AK$305,$O2514))</f>
      </c>
    </row>
    <row r="2515">
      <c r="A2515" s="223">
        <f>IF($C2515="","",COUNTIF($C$6:$C2515,"?*"))</f>
      </c>
      <c r="B2515" s="217"/>
      <c r="C2515" s="216"/>
      <c r="D2515" s="240"/>
      <c r="E2515" s="218"/>
      <c r="F2515" s="218"/>
      <c r="G2515" s="218"/>
      <c r="H2515" s="219"/>
      <c r="I2515" s="223">
        <f>IF($C2515="","",IF(ISNUMBER(MATCH($C2515,'Phản ánh'!$A$6:$A$505,0)),"Phản ánh",IF(ISNUMBER(MATCH($C2515,'Kế hoạch'!$A$6:$A$305,0)),"Công việc","Mã chưa có")))</f>
      </c>
      <c r="J2515" s="221">
        <f>IF($I2515="Phản ánh",INDEX('Phản ánh'!$C$6:$C$505,MATCH($C2515,'Phản ánh'!$A$6:$A$505,0)),IF($I2515="Công việc",INDEX('Kế hoạch'!$C$6:$C$305,$O2515),""))</f>
      </c>
      <c r="K2515" s="221">
        <f>IF($I2515="Phản ánh",INDEX('Phản ánh'!$K$6:$K$505,MATCH($C2515,'Phản ánh'!$A$6:$A$505,0))&amp;"",IF($I2515="Công việc",INDEX('Kế hoạch'!$N$6:$N$305,$O2515)&amp;"",""))</f>
      </c>
      <c r="L2515" s="220">
        <f>IF(OR($C2515="",N($B2515)=0),"",IF(AND($I2515="Phản ánh",$E2515="Đã xử lý"),INDEX('Phản ánh'!$U$6:$U$505,MATCH($C2515,'Phản ánh'!$A$6:$A$505,0)),IF(AND($I2515="Công việc",OR($E2515="Hoàn thành",$E2515="Hoàn thành kỳ")),IF(INDEX('Kế hoạch'!$B$6:$B$305,$O2515)="Đột xuất",INDEX('Kế hoạch'!$AY$6:$AY$305,$O2515),IF(N($P2515)=0,"",IF(INT($B2515)&lt;$P2515,$P2515,IF($Q2515&gt;0,$P2515+ROUND((INT($B2515)-$P2515)/$Q2515,0)*$Q2515,IF($R2515&gt;0,EDATE($P2515,ROUND((DATEDIF($P2515,INT($B2515),"m")+(INT($B2515)-EDATE($P2515,DATEDIF($P2515,INT($B2515),"m")))/(EDATE($P2515,DATEDIF($P2515,INT($B2515),"m")+1)-EDATE($P2515,DATEDIF($P2515,INT($B2515),"m"))))/$R2515,0)*$R2515),$P2515))))),"")))</f>
      </c>
      <c r="M2515" s="223">
        <f>IF(OR($C2515="",N($L2515)=0,N($B2515)=0),"",IF(IF(MOD($L2515,1)=0,INT($B2515),$B2515)&lt;=$L2515,"Đúng hạn","Trễ hạn"))</f>
      </c>
      <c r="N2515" s="225">
        <f>IF($C2515="","",ROW())</f>
      </c>
      <c r="O2515" s="225">
        <f>IF($I2515="Công việc",MATCH($C2515,'Kế hoạch'!$A$6:$A$305,0),"")</f>
      </c>
      <c r="P2515" s="234">
        <f>IF($O2515="","",INDEX('Kế hoạch'!$I$6:$I$305,$O2515))</f>
      </c>
      <c r="Q2515" s="225">
        <f>IF($O2515="","",INDEX('Kế hoạch'!$AJ$6:$AJ$305,$O2515))</f>
      </c>
      <c r="R2515" s="225">
        <f>IF($O2515="","",INDEX('Kế hoạch'!$AK$6:$AK$305,$O2515))</f>
      </c>
    </row>
    <row r="2516">
      <c r="A2516" s="223">
        <f>IF($C2516="","",COUNTIF($C$6:$C2516,"?*"))</f>
      </c>
      <c r="B2516" s="217"/>
      <c r="C2516" s="216"/>
      <c r="D2516" s="240"/>
      <c r="E2516" s="218"/>
      <c r="F2516" s="218"/>
      <c r="G2516" s="218"/>
      <c r="H2516" s="219"/>
      <c r="I2516" s="223">
        <f>IF($C2516="","",IF(ISNUMBER(MATCH($C2516,'Phản ánh'!$A$6:$A$505,0)),"Phản ánh",IF(ISNUMBER(MATCH($C2516,'Kế hoạch'!$A$6:$A$305,0)),"Công việc","Mã chưa có")))</f>
      </c>
      <c r="J2516" s="221">
        <f>IF($I2516="Phản ánh",INDEX('Phản ánh'!$C$6:$C$505,MATCH($C2516,'Phản ánh'!$A$6:$A$505,0)),IF($I2516="Công việc",INDEX('Kế hoạch'!$C$6:$C$305,$O2516),""))</f>
      </c>
      <c r="K2516" s="221">
        <f>IF($I2516="Phản ánh",INDEX('Phản ánh'!$K$6:$K$505,MATCH($C2516,'Phản ánh'!$A$6:$A$505,0))&amp;"",IF($I2516="Công việc",INDEX('Kế hoạch'!$N$6:$N$305,$O2516)&amp;"",""))</f>
      </c>
      <c r="L2516" s="220">
        <f>IF(OR($C2516="",N($B2516)=0),"",IF(AND($I2516="Phản ánh",$E2516="Đã xử lý"),INDEX('Phản ánh'!$U$6:$U$505,MATCH($C2516,'Phản ánh'!$A$6:$A$505,0)),IF(AND($I2516="Công việc",OR($E2516="Hoàn thành",$E2516="Hoàn thành kỳ")),IF(INDEX('Kế hoạch'!$B$6:$B$305,$O2516)="Đột xuất",INDEX('Kế hoạch'!$AY$6:$AY$305,$O2516),IF(N($P2516)=0,"",IF(INT($B2516)&lt;$P2516,$P2516,IF($Q2516&gt;0,$P2516+ROUND((INT($B2516)-$P2516)/$Q2516,0)*$Q2516,IF($R2516&gt;0,EDATE($P2516,ROUND((DATEDIF($P2516,INT($B2516),"m")+(INT($B2516)-EDATE($P2516,DATEDIF($P2516,INT($B2516),"m")))/(EDATE($P2516,DATEDIF($P2516,INT($B2516),"m")+1)-EDATE($P2516,DATEDIF($P2516,INT($B2516),"m"))))/$R2516,0)*$R2516),$P2516))))),"")))</f>
      </c>
      <c r="M2516" s="223">
        <f>IF(OR($C2516="",N($L2516)=0,N($B2516)=0),"",IF(IF(MOD($L2516,1)=0,INT($B2516),$B2516)&lt;=$L2516,"Đúng hạn","Trễ hạn"))</f>
      </c>
      <c r="N2516" s="225">
        <f>IF($C2516="","",ROW())</f>
      </c>
      <c r="O2516" s="225">
        <f>IF($I2516="Công việc",MATCH($C2516,'Kế hoạch'!$A$6:$A$305,0),"")</f>
      </c>
      <c r="P2516" s="234">
        <f>IF($O2516="","",INDEX('Kế hoạch'!$I$6:$I$305,$O2516))</f>
      </c>
      <c r="Q2516" s="225">
        <f>IF($O2516="","",INDEX('Kế hoạch'!$AJ$6:$AJ$305,$O2516))</f>
      </c>
      <c r="R2516" s="225">
        <f>IF($O2516="","",INDEX('Kế hoạch'!$AK$6:$AK$305,$O2516))</f>
      </c>
    </row>
    <row r="2517">
      <c r="A2517" s="223">
        <f>IF($C2517="","",COUNTIF($C$6:$C2517,"?*"))</f>
      </c>
      <c r="B2517" s="217"/>
      <c r="C2517" s="216"/>
      <c r="D2517" s="240"/>
      <c r="E2517" s="218"/>
      <c r="F2517" s="218"/>
      <c r="G2517" s="218"/>
      <c r="H2517" s="219"/>
      <c r="I2517" s="223">
        <f>IF($C2517="","",IF(ISNUMBER(MATCH($C2517,'Phản ánh'!$A$6:$A$505,0)),"Phản ánh",IF(ISNUMBER(MATCH($C2517,'Kế hoạch'!$A$6:$A$305,0)),"Công việc","Mã chưa có")))</f>
      </c>
      <c r="J2517" s="221">
        <f>IF($I2517="Phản ánh",INDEX('Phản ánh'!$C$6:$C$505,MATCH($C2517,'Phản ánh'!$A$6:$A$505,0)),IF($I2517="Công việc",INDEX('Kế hoạch'!$C$6:$C$305,$O2517),""))</f>
      </c>
      <c r="K2517" s="221">
        <f>IF($I2517="Phản ánh",INDEX('Phản ánh'!$K$6:$K$505,MATCH($C2517,'Phản ánh'!$A$6:$A$505,0))&amp;"",IF($I2517="Công việc",INDEX('Kế hoạch'!$N$6:$N$305,$O2517)&amp;"",""))</f>
      </c>
      <c r="L2517" s="220">
        <f>IF(OR($C2517="",N($B2517)=0),"",IF(AND($I2517="Phản ánh",$E2517="Đã xử lý"),INDEX('Phản ánh'!$U$6:$U$505,MATCH($C2517,'Phản ánh'!$A$6:$A$505,0)),IF(AND($I2517="Công việc",OR($E2517="Hoàn thành",$E2517="Hoàn thành kỳ")),IF(INDEX('Kế hoạch'!$B$6:$B$305,$O2517)="Đột xuất",INDEX('Kế hoạch'!$AY$6:$AY$305,$O2517),IF(N($P2517)=0,"",IF(INT($B2517)&lt;$P2517,$P2517,IF($Q2517&gt;0,$P2517+ROUND((INT($B2517)-$P2517)/$Q2517,0)*$Q2517,IF($R2517&gt;0,EDATE($P2517,ROUND((DATEDIF($P2517,INT($B2517),"m")+(INT($B2517)-EDATE($P2517,DATEDIF($P2517,INT($B2517),"m")))/(EDATE($P2517,DATEDIF($P2517,INT($B2517),"m")+1)-EDATE($P2517,DATEDIF($P2517,INT($B2517),"m"))))/$R2517,0)*$R2517),$P2517))))),"")))</f>
      </c>
      <c r="M2517" s="223">
        <f>IF(OR($C2517="",N($L2517)=0,N($B2517)=0),"",IF(IF(MOD($L2517,1)=0,INT($B2517),$B2517)&lt;=$L2517,"Đúng hạn","Trễ hạn"))</f>
      </c>
      <c r="N2517" s="225">
        <f>IF($C2517="","",ROW())</f>
      </c>
      <c r="O2517" s="225">
        <f>IF($I2517="Công việc",MATCH($C2517,'Kế hoạch'!$A$6:$A$305,0),"")</f>
      </c>
      <c r="P2517" s="234">
        <f>IF($O2517="","",INDEX('Kế hoạch'!$I$6:$I$305,$O2517))</f>
      </c>
      <c r="Q2517" s="225">
        <f>IF($O2517="","",INDEX('Kế hoạch'!$AJ$6:$AJ$305,$O2517))</f>
      </c>
      <c r="R2517" s="225">
        <f>IF($O2517="","",INDEX('Kế hoạch'!$AK$6:$AK$305,$O2517))</f>
      </c>
    </row>
    <row r="2518">
      <c r="A2518" s="223">
        <f>IF($C2518="","",COUNTIF($C$6:$C2518,"?*"))</f>
      </c>
      <c r="B2518" s="217"/>
      <c r="C2518" s="216"/>
      <c r="D2518" s="240"/>
      <c r="E2518" s="218"/>
      <c r="F2518" s="218"/>
      <c r="G2518" s="218"/>
      <c r="H2518" s="219"/>
      <c r="I2518" s="223">
        <f>IF($C2518="","",IF(ISNUMBER(MATCH($C2518,'Phản ánh'!$A$6:$A$505,0)),"Phản ánh",IF(ISNUMBER(MATCH($C2518,'Kế hoạch'!$A$6:$A$305,0)),"Công việc","Mã chưa có")))</f>
      </c>
      <c r="J2518" s="221">
        <f>IF($I2518="Phản ánh",INDEX('Phản ánh'!$C$6:$C$505,MATCH($C2518,'Phản ánh'!$A$6:$A$505,0)),IF($I2518="Công việc",INDEX('Kế hoạch'!$C$6:$C$305,$O2518),""))</f>
      </c>
      <c r="K2518" s="221">
        <f>IF($I2518="Phản ánh",INDEX('Phản ánh'!$K$6:$K$505,MATCH($C2518,'Phản ánh'!$A$6:$A$505,0))&amp;"",IF($I2518="Công việc",INDEX('Kế hoạch'!$N$6:$N$305,$O2518)&amp;"",""))</f>
      </c>
      <c r="L2518" s="220">
        <f>IF(OR($C2518="",N($B2518)=0),"",IF(AND($I2518="Phản ánh",$E2518="Đã xử lý"),INDEX('Phản ánh'!$U$6:$U$505,MATCH($C2518,'Phản ánh'!$A$6:$A$505,0)),IF(AND($I2518="Công việc",OR($E2518="Hoàn thành",$E2518="Hoàn thành kỳ")),IF(INDEX('Kế hoạch'!$B$6:$B$305,$O2518)="Đột xuất",INDEX('Kế hoạch'!$AY$6:$AY$305,$O2518),IF(N($P2518)=0,"",IF(INT($B2518)&lt;$P2518,$P2518,IF($Q2518&gt;0,$P2518+ROUND((INT($B2518)-$P2518)/$Q2518,0)*$Q2518,IF($R2518&gt;0,EDATE($P2518,ROUND((DATEDIF($P2518,INT($B2518),"m")+(INT($B2518)-EDATE($P2518,DATEDIF($P2518,INT($B2518),"m")))/(EDATE($P2518,DATEDIF($P2518,INT($B2518),"m")+1)-EDATE($P2518,DATEDIF($P2518,INT($B2518),"m"))))/$R2518,0)*$R2518),$P2518))))),"")))</f>
      </c>
      <c r="M2518" s="223">
        <f>IF(OR($C2518="",N($L2518)=0,N($B2518)=0),"",IF(IF(MOD($L2518,1)=0,INT($B2518),$B2518)&lt;=$L2518,"Đúng hạn","Trễ hạn"))</f>
      </c>
      <c r="N2518" s="225">
        <f>IF($C2518="","",ROW())</f>
      </c>
      <c r="O2518" s="225">
        <f>IF($I2518="Công việc",MATCH($C2518,'Kế hoạch'!$A$6:$A$305,0),"")</f>
      </c>
      <c r="P2518" s="234">
        <f>IF($O2518="","",INDEX('Kế hoạch'!$I$6:$I$305,$O2518))</f>
      </c>
      <c r="Q2518" s="225">
        <f>IF($O2518="","",INDEX('Kế hoạch'!$AJ$6:$AJ$305,$O2518))</f>
      </c>
      <c r="R2518" s="225">
        <f>IF($O2518="","",INDEX('Kế hoạch'!$AK$6:$AK$305,$O2518))</f>
      </c>
    </row>
    <row r="2519">
      <c r="A2519" s="223">
        <f>IF($C2519="","",COUNTIF($C$6:$C2519,"?*"))</f>
      </c>
      <c r="B2519" s="217"/>
      <c r="C2519" s="216"/>
      <c r="D2519" s="240"/>
      <c r="E2519" s="218"/>
      <c r="F2519" s="218"/>
      <c r="G2519" s="218"/>
      <c r="H2519" s="219"/>
      <c r="I2519" s="223">
        <f>IF($C2519="","",IF(ISNUMBER(MATCH($C2519,'Phản ánh'!$A$6:$A$505,0)),"Phản ánh",IF(ISNUMBER(MATCH($C2519,'Kế hoạch'!$A$6:$A$305,0)),"Công việc","Mã chưa có")))</f>
      </c>
      <c r="J2519" s="221">
        <f>IF($I2519="Phản ánh",INDEX('Phản ánh'!$C$6:$C$505,MATCH($C2519,'Phản ánh'!$A$6:$A$505,0)),IF($I2519="Công việc",INDEX('Kế hoạch'!$C$6:$C$305,$O2519),""))</f>
      </c>
      <c r="K2519" s="221">
        <f>IF($I2519="Phản ánh",INDEX('Phản ánh'!$K$6:$K$505,MATCH($C2519,'Phản ánh'!$A$6:$A$505,0))&amp;"",IF($I2519="Công việc",INDEX('Kế hoạch'!$N$6:$N$305,$O2519)&amp;"",""))</f>
      </c>
      <c r="L2519" s="220">
        <f>IF(OR($C2519="",N($B2519)=0),"",IF(AND($I2519="Phản ánh",$E2519="Đã xử lý"),INDEX('Phản ánh'!$U$6:$U$505,MATCH($C2519,'Phản ánh'!$A$6:$A$505,0)),IF(AND($I2519="Công việc",OR($E2519="Hoàn thành",$E2519="Hoàn thành kỳ")),IF(INDEX('Kế hoạch'!$B$6:$B$305,$O2519)="Đột xuất",INDEX('Kế hoạch'!$AY$6:$AY$305,$O2519),IF(N($P2519)=0,"",IF(INT($B2519)&lt;$P2519,$P2519,IF($Q2519&gt;0,$P2519+ROUND((INT($B2519)-$P2519)/$Q2519,0)*$Q2519,IF($R2519&gt;0,EDATE($P2519,ROUND((DATEDIF($P2519,INT($B2519),"m")+(INT($B2519)-EDATE($P2519,DATEDIF($P2519,INT($B2519),"m")))/(EDATE($P2519,DATEDIF($P2519,INT($B2519),"m")+1)-EDATE($P2519,DATEDIF($P2519,INT($B2519),"m"))))/$R2519,0)*$R2519),$P2519))))),"")))</f>
      </c>
      <c r="M2519" s="223">
        <f>IF(OR($C2519="",N($L2519)=0,N($B2519)=0),"",IF(IF(MOD($L2519,1)=0,INT($B2519),$B2519)&lt;=$L2519,"Đúng hạn","Trễ hạn"))</f>
      </c>
      <c r="N2519" s="225">
        <f>IF($C2519="","",ROW())</f>
      </c>
      <c r="O2519" s="225">
        <f>IF($I2519="Công việc",MATCH($C2519,'Kế hoạch'!$A$6:$A$305,0),"")</f>
      </c>
      <c r="P2519" s="234">
        <f>IF($O2519="","",INDEX('Kế hoạch'!$I$6:$I$305,$O2519))</f>
      </c>
      <c r="Q2519" s="225">
        <f>IF($O2519="","",INDEX('Kế hoạch'!$AJ$6:$AJ$305,$O2519))</f>
      </c>
      <c r="R2519" s="225">
        <f>IF($O2519="","",INDEX('Kế hoạch'!$AK$6:$AK$305,$O2519))</f>
      </c>
    </row>
    <row r="2520">
      <c r="A2520" s="223">
        <f>IF($C2520="","",COUNTIF($C$6:$C2520,"?*"))</f>
      </c>
      <c r="B2520" s="217"/>
      <c r="C2520" s="216"/>
      <c r="D2520" s="240"/>
      <c r="E2520" s="218"/>
      <c r="F2520" s="218"/>
      <c r="G2520" s="218"/>
      <c r="H2520" s="219"/>
      <c r="I2520" s="223">
        <f>IF($C2520="","",IF(ISNUMBER(MATCH($C2520,'Phản ánh'!$A$6:$A$505,0)),"Phản ánh",IF(ISNUMBER(MATCH($C2520,'Kế hoạch'!$A$6:$A$305,0)),"Công việc","Mã chưa có")))</f>
      </c>
      <c r="J2520" s="221">
        <f>IF($I2520="Phản ánh",INDEX('Phản ánh'!$C$6:$C$505,MATCH($C2520,'Phản ánh'!$A$6:$A$505,0)),IF($I2520="Công việc",INDEX('Kế hoạch'!$C$6:$C$305,$O2520),""))</f>
      </c>
      <c r="K2520" s="221">
        <f>IF($I2520="Phản ánh",INDEX('Phản ánh'!$K$6:$K$505,MATCH($C2520,'Phản ánh'!$A$6:$A$505,0))&amp;"",IF($I2520="Công việc",INDEX('Kế hoạch'!$N$6:$N$305,$O2520)&amp;"",""))</f>
      </c>
      <c r="L2520" s="220">
        <f>IF(OR($C2520="",N($B2520)=0),"",IF(AND($I2520="Phản ánh",$E2520="Đã xử lý"),INDEX('Phản ánh'!$U$6:$U$505,MATCH($C2520,'Phản ánh'!$A$6:$A$505,0)),IF(AND($I2520="Công việc",OR($E2520="Hoàn thành",$E2520="Hoàn thành kỳ")),IF(INDEX('Kế hoạch'!$B$6:$B$305,$O2520)="Đột xuất",INDEX('Kế hoạch'!$AY$6:$AY$305,$O2520),IF(N($P2520)=0,"",IF(INT($B2520)&lt;$P2520,$P2520,IF($Q2520&gt;0,$P2520+ROUND((INT($B2520)-$P2520)/$Q2520,0)*$Q2520,IF($R2520&gt;0,EDATE($P2520,ROUND((DATEDIF($P2520,INT($B2520),"m")+(INT($B2520)-EDATE($P2520,DATEDIF($P2520,INT($B2520),"m")))/(EDATE($P2520,DATEDIF($P2520,INT($B2520),"m")+1)-EDATE($P2520,DATEDIF($P2520,INT($B2520),"m"))))/$R2520,0)*$R2520),$P2520))))),"")))</f>
      </c>
      <c r="M2520" s="223">
        <f>IF(OR($C2520="",N($L2520)=0,N($B2520)=0),"",IF(IF(MOD($L2520,1)=0,INT($B2520),$B2520)&lt;=$L2520,"Đúng hạn","Trễ hạn"))</f>
      </c>
      <c r="N2520" s="225">
        <f>IF($C2520="","",ROW())</f>
      </c>
      <c r="O2520" s="225">
        <f>IF($I2520="Công việc",MATCH($C2520,'Kế hoạch'!$A$6:$A$305,0),"")</f>
      </c>
      <c r="P2520" s="234">
        <f>IF($O2520="","",INDEX('Kế hoạch'!$I$6:$I$305,$O2520))</f>
      </c>
      <c r="Q2520" s="225">
        <f>IF($O2520="","",INDEX('Kế hoạch'!$AJ$6:$AJ$305,$O2520))</f>
      </c>
      <c r="R2520" s="225">
        <f>IF($O2520="","",INDEX('Kế hoạch'!$AK$6:$AK$305,$O2520))</f>
      </c>
    </row>
    <row r="2521">
      <c r="A2521" s="223">
        <f>IF($C2521="","",COUNTIF($C$6:$C2521,"?*"))</f>
      </c>
      <c r="B2521" s="217"/>
      <c r="C2521" s="216"/>
      <c r="D2521" s="240"/>
      <c r="E2521" s="218"/>
      <c r="F2521" s="218"/>
      <c r="G2521" s="218"/>
      <c r="H2521" s="219"/>
      <c r="I2521" s="223">
        <f>IF($C2521="","",IF(ISNUMBER(MATCH($C2521,'Phản ánh'!$A$6:$A$505,0)),"Phản ánh",IF(ISNUMBER(MATCH($C2521,'Kế hoạch'!$A$6:$A$305,0)),"Công việc","Mã chưa có")))</f>
      </c>
      <c r="J2521" s="221">
        <f>IF($I2521="Phản ánh",INDEX('Phản ánh'!$C$6:$C$505,MATCH($C2521,'Phản ánh'!$A$6:$A$505,0)),IF($I2521="Công việc",INDEX('Kế hoạch'!$C$6:$C$305,$O2521),""))</f>
      </c>
      <c r="K2521" s="221">
        <f>IF($I2521="Phản ánh",INDEX('Phản ánh'!$K$6:$K$505,MATCH($C2521,'Phản ánh'!$A$6:$A$505,0))&amp;"",IF($I2521="Công việc",INDEX('Kế hoạch'!$N$6:$N$305,$O2521)&amp;"",""))</f>
      </c>
      <c r="L2521" s="220">
        <f>IF(OR($C2521="",N($B2521)=0),"",IF(AND($I2521="Phản ánh",$E2521="Đã xử lý"),INDEX('Phản ánh'!$U$6:$U$505,MATCH($C2521,'Phản ánh'!$A$6:$A$505,0)),IF(AND($I2521="Công việc",OR($E2521="Hoàn thành",$E2521="Hoàn thành kỳ")),IF(INDEX('Kế hoạch'!$B$6:$B$305,$O2521)="Đột xuất",INDEX('Kế hoạch'!$AY$6:$AY$305,$O2521),IF(N($P2521)=0,"",IF(INT($B2521)&lt;$P2521,$P2521,IF($Q2521&gt;0,$P2521+ROUND((INT($B2521)-$P2521)/$Q2521,0)*$Q2521,IF($R2521&gt;0,EDATE($P2521,ROUND((DATEDIF($P2521,INT($B2521),"m")+(INT($B2521)-EDATE($P2521,DATEDIF($P2521,INT($B2521),"m")))/(EDATE($P2521,DATEDIF($P2521,INT($B2521),"m")+1)-EDATE($P2521,DATEDIF($P2521,INT($B2521),"m"))))/$R2521,0)*$R2521),$P2521))))),"")))</f>
      </c>
      <c r="M2521" s="223">
        <f>IF(OR($C2521="",N($L2521)=0,N($B2521)=0),"",IF(IF(MOD($L2521,1)=0,INT($B2521),$B2521)&lt;=$L2521,"Đúng hạn","Trễ hạn"))</f>
      </c>
      <c r="N2521" s="225">
        <f>IF($C2521="","",ROW())</f>
      </c>
      <c r="O2521" s="225">
        <f>IF($I2521="Công việc",MATCH($C2521,'Kế hoạch'!$A$6:$A$305,0),"")</f>
      </c>
      <c r="P2521" s="234">
        <f>IF($O2521="","",INDEX('Kế hoạch'!$I$6:$I$305,$O2521))</f>
      </c>
      <c r="Q2521" s="225">
        <f>IF($O2521="","",INDEX('Kế hoạch'!$AJ$6:$AJ$305,$O2521))</f>
      </c>
      <c r="R2521" s="225">
        <f>IF($O2521="","",INDEX('Kế hoạch'!$AK$6:$AK$305,$O2521))</f>
      </c>
    </row>
    <row r="2522">
      <c r="A2522" s="223">
        <f>IF($C2522="","",COUNTIF($C$6:$C2522,"?*"))</f>
      </c>
      <c r="B2522" s="217"/>
      <c r="C2522" s="216"/>
      <c r="D2522" s="240"/>
      <c r="E2522" s="218"/>
      <c r="F2522" s="218"/>
      <c r="G2522" s="218"/>
      <c r="H2522" s="219"/>
      <c r="I2522" s="223">
        <f>IF($C2522="","",IF(ISNUMBER(MATCH($C2522,'Phản ánh'!$A$6:$A$505,0)),"Phản ánh",IF(ISNUMBER(MATCH($C2522,'Kế hoạch'!$A$6:$A$305,0)),"Công việc","Mã chưa có")))</f>
      </c>
      <c r="J2522" s="221">
        <f>IF($I2522="Phản ánh",INDEX('Phản ánh'!$C$6:$C$505,MATCH($C2522,'Phản ánh'!$A$6:$A$505,0)),IF($I2522="Công việc",INDEX('Kế hoạch'!$C$6:$C$305,$O2522),""))</f>
      </c>
      <c r="K2522" s="221">
        <f>IF($I2522="Phản ánh",INDEX('Phản ánh'!$K$6:$K$505,MATCH($C2522,'Phản ánh'!$A$6:$A$505,0))&amp;"",IF($I2522="Công việc",INDEX('Kế hoạch'!$N$6:$N$305,$O2522)&amp;"",""))</f>
      </c>
      <c r="L2522" s="220">
        <f>IF(OR($C2522="",N($B2522)=0),"",IF(AND($I2522="Phản ánh",$E2522="Đã xử lý"),INDEX('Phản ánh'!$U$6:$U$505,MATCH($C2522,'Phản ánh'!$A$6:$A$505,0)),IF(AND($I2522="Công việc",OR($E2522="Hoàn thành",$E2522="Hoàn thành kỳ")),IF(INDEX('Kế hoạch'!$B$6:$B$305,$O2522)="Đột xuất",INDEX('Kế hoạch'!$AY$6:$AY$305,$O2522),IF(N($P2522)=0,"",IF(INT($B2522)&lt;$P2522,$P2522,IF($Q2522&gt;0,$P2522+ROUND((INT($B2522)-$P2522)/$Q2522,0)*$Q2522,IF($R2522&gt;0,EDATE($P2522,ROUND((DATEDIF($P2522,INT($B2522),"m")+(INT($B2522)-EDATE($P2522,DATEDIF($P2522,INT($B2522),"m")))/(EDATE($P2522,DATEDIF($P2522,INT($B2522),"m")+1)-EDATE($P2522,DATEDIF($P2522,INT($B2522),"m"))))/$R2522,0)*$R2522),$P2522))))),"")))</f>
      </c>
      <c r="M2522" s="223">
        <f>IF(OR($C2522="",N($L2522)=0,N($B2522)=0),"",IF(IF(MOD($L2522,1)=0,INT($B2522),$B2522)&lt;=$L2522,"Đúng hạn","Trễ hạn"))</f>
      </c>
      <c r="N2522" s="225">
        <f>IF($C2522="","",ROW())</f>
      </c>
      <c r="O2522" s="225">
        <f>IF($I2522="Công việc",MATCH($C2522,'Kế hoạch'!$A$6:$A$305,0),"")</f>
      </c>
      <c r="P2522" s="234">
        <f>IF($O2522="","",INDEX('Kế hoạch'!$I$6:$I$305,$O2522))</f>
      </c>
      <c r="Q2522" s="225">
        <f>IF($O2522="","",INDEX('Kế hoạch'!$AJ$6:$AJ$305,$O2522))</f>
      </c>
      <c r="R2522" s="225">
        <f>IF($O2522="","",INDEX('Kế hoạch'!$AK$6:$AK$305,$O2522))</f>
      </c>
    </row>
    <row r="2523">
      <c r="A2523" s="223">
        <f>IF($C2523="","",COUNTIF($C$6:$C2523,"?*"))</f>
      </c>
      <c r="B2523" s="217"/>
      <c r="C2523" s="216"/>
      <c r="D2523" s="240"/>
      <c r="E2523" s="218"/>
      <c r="F2523" s="218"/>
      <c r="G2523" s="218"/>
      <c r="H2523" s="219"/>
      <c r="I2523" s="223">
        <f>IF($C2523="","",IF(ISNUMBER(MATCH($C2523,'Phản ánh'!$A$6:$A$505,0)),"Phản ánh",IF(ISNUMBER(MATCH($C2523,'Kế hoạch'!$A$6:$A$305,0)),"Công việc","Mã chưa có")))</f>
      </c>
      <c r="J2523" s="221">
        <f>IF($I2523="Phản ánh",INDEX('Phản ánh'!$C$6:$C$505,MATCH($C2523,'Phản ánh'!$A$6:$A$505,0)),IF($I2523="Công việc",INDEX('Kế hoạch'!$C$6:$C$305,$O2523),""))</f>
      </c>
      <c r="K2523" s="221">
        <f>IF($I2523="Phản ánh",INDEX('Phản ánh'!$K$6:$K$505,MATCH($C2523,'Phản ánh'!$A$6:$A$505,0))&amp;"",IF($I2523="Công việc",INDEX('Kế hoạch'!$N$6:$N$305,$O2523)&amp;"",""))</f>
      </c>
      <c r="L2523" s="220">
        <f>IF(OR($C2523="",N($B2523)=0),"",IF(AND($I2523="Phản ánh",$E2523="Đã xử lý"),INDEX('Phản ánh'!$U$6:$U$505,MATCH($C2523,'Phản ánh'!$A$6:$A$505,0)),IF(AND($I2523="Công việc",OR($E2523="Hoàn thành",$E2523="Hoàn thành kỳ")),IF(INDEX('Kế hoạch'!$B$6:$B$305,$O2523)="Đột xuất",INDEX('Kế hoạch'!$AY$6:$AY$305,$O2523),IF(N($P2523)=0,"",IF(INT($B2523)&lt;$P2523,$P2523,IF($Q2523&gt;0,$P2523+ROUND((INT($B2523)-$P2523)/$Q2523,0)*$Q2523,IF($R2523&gt;0,EDATE($P2523,ROUND((DATEDIF($P2523,INT($B2523),"m")+(INT($B2523)-EDATE($P2523,DATEDIF($P2523,INT($B2523),"m")))/(EDATE($P2523,DATEDIF($P2523,INT($B2523),"m")+1)-EDATE($P2523,DATEDIF($P2523,INT($B2523),"m"))))/$R2523,0)*$R2523),$P2523))))),"")))</f>
      </c>
      <c r="M2523" s="223">
        <f>IF(OR($C2523="",N($L2523)=0,N($B2523)=0),"",IF(IF(MOD($L2523,1)=0,INT($B2523),$B2523)&lt;=$L2523,"Đúng hạn","Trễ hạn"))</f>
      </c>
      <c r="N2523" s="225">
        <f>IF($C2523="","",ROW())</f>
      </c>
      <c r="O2523" s="225">
        <f>IF($I2523="Công việc",MATCH($C2523,'Kế hoạch'!$A$6:$A$305,0),"")</f>
      </c>
      <c r="P2523" s="234">
        <f>IF($O2523="","",INDEX('Kế hoạch'!$I$6:$I$305,$O2523))</f>
      </c>
      <c r="Q2523" s="225">
        <f>IF($O2523="","",INDEX('Kế hoạch'!$AJ$6:$AJ$305,$O2523))</f>
      </c>
      <c r="R2523" s="225">
        <f>IF($O2523="","",INDEX('Kế hoạch'!$AK$6:$AK$305,$O2523))</f>
      </c>
    </row>
    <row r="2524">
      <c r="A2524" s="223">
        <f>IF($C2524="","",COUNTIF($C$6:$C2524,"?*"))</f>
      </c>
      <c r="B2524" s="217"/>
      <c r="C2524" s="216"/>
      <c r="D2524" s="240"/>
      <c r="E2524" s="218"/>
      <c r="F2524" s="218"/>
      <c r="G2524" s="218"/>
      <c r="H2524" s="219"/>
      <c r="I2524" s="223">
        <f>IF($C2524="","",IF(ISNUMBER(MATCH($C2524,'Phản ánh'!$A$6:$A$505,0)),"Phản ánh",IF(ISNUMBER(MATCH($C2524,'Kế hoạch'!$A$6:$A$305,0)),"Công việc","Mã chưa có")))</f>
      </c>
      <c r="J2524" s="221">
        <f>IF($I2524="Phản ánh",INDEX('Phản ánh'!$C$6:$C$505,MATCH($C2524,'Phản ánh'!$A$6:$A$505,0)),IF($I2524="Công việc",INDEX('Kế hoạch'!$C$6:$C$305,$O2524),""))</f>
      </c>
      <c r="K2524" s="221">
        <f>IF($I2524="Phản ánh",INDEX('Phản ánh'!$K$6:$K$505,MATCH($C2524,'Phản ánh'!$A$6:$A$505,0))&amp;"",IF($I2524="Công việc",INDEX('Kế hoạch'!$N$6:$N$305,$O2524)&amp;"",""))</f>
      </c>
      <c r="L2524" s="220">
        <f>IF(OR($C2524="",N($B2524)=0),"",IF(AND($I2524="Phản ánh",$E2524="Đã xử lý"),INDEX('Phản ánh'!$U$6:$U$505,MATCH($C2524,'Phản ánh'!$A$6:$A$505,0)),IF(AND($I2524="Công việc",OR($E2524="Hoàn thành",$E2524="Hoàn thành kỳ")),IF(INDEX('Kế hoạch'!$B$6:$B$305,$O2524)="Đột xuất",INDEX('Kế hoạch'!$AY$6:$AY$305,$O2524),IF(N($P2524)=0,"",IF(INT($B2524)&lt;$P2524,$P2524,IF($Q2524&gt;0,$P2524+ROUND((INT($B2524)-$P2524)/$Q2524,0)*$Q2524,IF($R2524&gt;0,EDATE($P2524,ROUND((DATEDIF($P2524,INT($B2524),"m")+(INT($B2524)-EDATE($P2524,DATEDIF($P2524,INT($B2524),"m")))/(EDATE($P2524,DATEDIF($P2524,INT($B2524),"m")+1)-EDATE($P2524,DATEDIF($P2524,INT($B2524),"m"))))/$R2524,0)*$R2524),$P2524))))),"")))</f>
      </c>
      <c r="M2524" s="223">
        <f>IF(OR($C2524="",N($L2524)=0,N($B2524)=0),"",IF(IF(MOD($L2524,1)=0,INT($B2524),$B2524)&lt;=$L2524,"Đúng hạn","Trễ hạn"))</f>
      </c>
      <c r="N2524" s="225">
        <f>IF($C2524="","",ROW())</f>
      </c>
      <c r="O2524" s="225">
        <f>IF($I2524="Công việc",MATCH($C2524,'Kế hoạch'!$A$6:$A$305,0),"")</f>
      </c>
      <c r="P2524" s="234">
        <f>IF($O2524="","",INDEX('Kế hoạch'!$I$6:$I$305,$O2524))</f>
      </c>
      <c r="Q2524" s="225">
        <f>IF($O2524="","",INDEX('Kế hoạch'!$AJ$6:$AJ$305,$O2524))</f>
      </c>
      <c r="R2524" s="225">
        <f>IF($O2524="","",INDEX('Kế hoạch'!$AK$6:$AK$305,$O2524))</f>
      </c>
    </row>
    <row r="2525">
      <c r="A2525" s="223">
        <f>IF($C2525="","",COUNTIF($C$6:$C2525,"?*"))</f>
      </c>
      <c r="B2525" s="217"/>
      <c r="C2525" s="216"/>
      <c r="D2525" s="240"/>
      <c r="E2525" s="218"/>
      <c r="F2525" s="218"/>
      <c r="G2525" s="218"/>
      <c r="H2525" s="219"/>
      <c r="I2525" s="223">
        <f>IF($C2525="","",IF(ISNUMBER(MATCH($C2525,'Phản ánh'!$A$6:$A$505,0)),"Phản ánh",IF(ISNUMBER(MATCH($C2525,'Kế hoạch'!$A$6:$A$305,0)),"Công việc","Mã chưa có")))</f>
      </c>
      <c r="J2525" s="221">
        <f>IF($I2525="Phản ánh",INDEX('Phản ánh'!$C$6:$C$505,MATCH($C2525,'Phản ánh'!$A$6:$A$505,0)),IF($I2525="Công việc",INDEX('Kế hoạch'!$C$6:$C$305,$O2525),""))</f>
      </c>
      <c r="K2525" s="221">
        <f>IF($I2525="Phản ánh",INDEX('Phản ánh'!$K$6:$K$505,MATCH($C2525,'Phản ánh'!$A$6:$A$505,0))&amp;"",IF($I2525="Công việc",INDEX('Kế hoạch'!$N$6:$N$305,$O2525)&amp;"",""))</f>
      </c>
      <c r="L2525" s="220">
        <f>IF(OR($C2525="",N($B2525)=0),"",IF(AND($I2525="Phản ánh",$E2525="Đã xử lý"),INDEX('Phản ánh'!$U$6:$U$505,MATCH($C2525,'Phản ánh'!$A$6:$A$505,0)),IF(AND($I2525="Công việc",OR($E2525="Hoàn thành",$E2525="Hoàn thành kỳ")),IF(INDEX('Kế hoạch'!$B$6:$B$305,$O2525)="Đột xuất",INDEX('Kế hoạch'!$AY$6:$AY$305,$O2525),IF(N($P2525)=0,"",IF(INT($B2525)&lt;$P2525,$P2525,IF($Q2525&gt;0,$P2525+ROUND((INT($B2525)-$P2525)/$Q2525,0)*$Q2525,IF($R2525&gt;0,EDATE($P2525,ROUND((DATEDIF($P2525,INT($B2525),"m")+(INT($B2525)-EDATE($P2525,DATEDIF($P2525,INT($B2525),"m")))/(EDATE($P2525,DATEDIF($P2525,INT($B2525),"m")+1)-EDATE($P2525,DATEDIF($P2525,INT($B2525),"m"))))/$R2525,0)*$R2525),$P2525))))),"")))</f>
      </c>
      <c r="M2525" s="223">
        <f>IF(OR($C2525="",N($L2525)=0,N($B2525)=0),"",IF(IF(MOD($L2525,1)=0,INT($B2525),$B2525)&lt;=$L2525,"Đúng hạn","Trễ hạn"))</f>
      </c>
      <c r="N2525" s="225">
        <f>IF($C2525="","",ROW())</f>
      </c>
      <c r="O2525" s="225">
        <f>IF($I2525="Công việc",MATCH($C2525,'Kế hoạch'!$A$6:$A$305,0),"")</f>
      </c>
      <c r="P2525" s="234">
        <f>IF($O2525="","",INDEX('Kế hoạch'!$I$6:$I$305,$O2525))</f>
      </c>
      <c r="Q2525" s="225">
        <f>IF($O2525="","",INDEX('Kế hoạch'!$AJ$6:$AJ$305,$O2525))</f>
      </c>
      <c r="R2525" s="225">
        <f>IF($O2525="","",INDEX('Kế hoạch'!$AK$6:$AK$305,$O2525))</f>
      </c>
    </row>
    <row r="2526">
      <c r="A2526" s="223">
        <f>IF($C2526="","",COUNTIF($C$6:$C2526,"?*"))</f>
      </c>
      <c r="B2526" s="217"/>
      <c r="C2526" s="216"/>
      <c r="D2526" s="240"/>
      <c r="E2526" s="218"/>
      <c r="F2526" s="218"/>
      <c r="G2526" s="218"/>
      <c r="H2526" s="219"/>
      <c r="I2526" s="223">
        <f>IF($C2526="","",IF(ISNUMBER(MATCH($C2526,'Phản ánh'!$A$6:$A$505,0)),"Phản ánh",IF(ISNUMBER(MATCH($C2526,'Kế hoạch'!$A$6:$A$305,0)),"Công việc","Mã chưa có")))</f>
      </c>
      <c r="J2526" s="221">
        <f>IF($I2526="Phản ánh",INDEX('Phản ánh'!$C$6:$C$505,MATCH($C2526,'Phản ánh'!$A$6:$A$505,0)),IF($I2526="Công việc",INDEX('Kế hoạch'!$C$6:$C$305,$O2526),""))</f>
      </c>
      <c r="K2526" s="221">
        <f>IF($I2526="Phản ánh",INDEX('Phản ánh'!$K$6:$K$505,MATCH($C2526,'Phản ánh'!$A$6:$A$505,0))&amp;"",IF($I2526="Công việc",INDEX('Kế hoạch'!$N$6:$N$305,$O2526)&amp;"",""))</f>
      </c>
      <c r="L2526" s="220">
        <f>IF(OR($C2526="",N($B2526)=0),"",IF(AND($I2526="Phản ánh",$E2526="Đã xử lý"),INDEX('Phản ánh'!$U$6:$U$505,MATCH($C2526,'Phản ánh'!$A$6:$A$505,0)),IF(AND($I2526="Công việc",OR($E2526="Hoàn thành",$E2526="Hoàn thành kỳ")),IF(INDEX('Kế hoạch'!$B$6:$B$305,$O2526)="Đột xuất",INDEX('Kế hoạch'!$AY$6:$AY$305,$O2526),IF(N($P2526)=0,"",IF(INT($B2526)&lt;$P2526,$P2526,IF($Q2526&gt;0,$P2526+ROUND((INT($B2526)-$P2526)/$Q2526,0)*$Q2526,IF($R2526&gt;0,EDATE($P2526,ROUND((DATEDIF($P2526,INT($B2526),"m")+(INT($B2526)-EDATE($P2526,DATEDIF($P2526,INT($B2526),"m")))/(EDATE($P2526,DATEDIF($P2526,INT($B2526),"m")+1)-EDATE($P2526,DATEDIF($P2526,INT($B2526),"m"))))/$R2526,0)*$R2526),$P2526))))),"")))</f>
      </c>
      <c r="M2526" s="223">
        <f>IF(OR($C2526="",N($L2526)=0,N($B2526)=0),"",IF(IF(MOD($L2526,1)=0,INT($B2526),$B2526)&lt;=$L2526,"Đúng hạn","Trễ hạn"))</f>
      </c>
      <c r="N2526" s="225">
        <f>IF($C2526="","",ROW())</f>
      </c>
      <c r="O2526" s="225">
        <f>IF($I2526="Công việc",MATCH($C2526,'Kế hoạch'!$A$6:$A$305,0),"")</f>
      </c>
      <c r="P2526" s="234">
        <f>IF($O2526="","",INDEX('Kế hoạch'!$I$6:$I$305,$O2526))</f>
      </c>
      <c r="Q2526" s="225">
        <f>IF($O2526="","",INDEX('Kế hoạch'!$AJ$6:$AJ$305,$O2526))</f>
      </c>
      <c r="R2526" s="225">
        <f>IF($O2526="","",INDEX('Kế hoạch'!$AK$6:$AK$305,$O2526))</f>
      </c>
    </row>
    <row r="2527">
      <c r="A2527" s="223">
        <f>IF($C2527="","",COUNTIF($C$6:$C2527,"?*"))</f>
      </c>
      <c r="B2527" s="217"/>
      <c r="C2527" s="216"/>
      <c r="D2527" s="240"/>
      <c r="E2527" s="218"/>
      <c r="F2527" s="218"/>
      <c r="G2527" s="218"/>
      <c r="H2527" s="219"/>
      <c r="I2527" s="223">
        <f>IF($C2527="","",IF(ISNUMBER(MATCH($C2527,'Phản ánh'!$A$6:$A$505,0)),"Phản ánh",IF(ISNUMBER(MATCH($C2527,'Kế hoạch'!$A$6:$A$305,0)),"Công việc","Mã chưa có")))</f>
      </c>
      <c r="J2527" s="221">
        <f>IF($I2527="Phản ánh",INDEX('Phản ánh'!$C$6:$C$505,MATCH($C2527,'Phản ánh'!$A$6:$A$505,0)),IF($I2527="Công việc",INDEX('Kế hoạch'!$C$6:$C$305,$O2527),""))</f>
      </c>
      <c r="K2527" s="221">
        <f>IF($I2527="Phản ánh",INDEX('Phản ánh'!$K$6:$K$505,MATCH($C2527,'Phản ánh'!$A$6:$A$505,0))&amp;"",IF($I2527="Công việc",INDEX('Kế hoạch'!$N$6:$N$305,$O2527)&amp;"",""))</f>
      </c>
      <c r="L2527" s="220">
        <f>IF(OR($C2527="",N($B2527)=0),"",IF(AND($I2527="Phản ánh",$E2527="Đã xử lý"),INDEX('Phản ánh'!$U$6:$U$505,MATCH($C2527,'Phản ánh'!$A$6:$A$505,0)),IF(AND($I2527="Công việc",OR($E2527="Hoàn thành",$E2527="Hoàn thành kỳ")),IF(INDEX('Kế hoạch'!$B$6:$B$305,$O2527)="Đột xuất",INDEX('Kế hoạch'!$AY$6:$AY$305,$O2527),IF(N($P2527)=0,"",IF(INT($B2527)&lt;$P2527,$P2527,IF($Q2527&gt;0,$P2527+ROUND((INT($B2527)-$P2527)/$Q2527,0)*$Q2527,IF($R2527&gt;0,EDATE($P2527,ROUND((DATEDIF($P2527,INT($B2527),"m")+(INT($B2527)-EDATE($P2527,DATEDIF($P2527,INT($B2527),"m")))/(EDATE($P2527,DATEDIF($P2527,INT($B2527),"m")+1)-EDATE($P2527,DATEDIF($P2527,INT($B2527),"m"))))/$R2527,0)*$R2527),$P2527))))),"")))</f>
      </c>
      <c r="M2527" s="223">
        <f>IF(OR($C2527="",N($L2527)=0,N($B2527)=0),"",IF(IF(MOD($L2527,1)=0,INT($B2527),$B2527)&lt;=$L2527,"Đúng hạn","Trễ hạn"))</f>
      </c>
      <c r="N2527" s="225">
        <f>IF($C2527="","",ROW())</f>
      </c>
      <c r="O2527" s="225">
        <f>IF($I2527="Công việc",MATCH($C2527,'Kế hoạch'!$A$6:$A$305,0),"")</f>
      </c>
      <c r="P2527" s="234">
        <f>IF($O2527="","",INDEX('Kế hoạch'!$I$6:$I$305,$O2527))</f>
      </c>
      <c r="Q2527" s="225">
        <f>IF($O2527="","",INDEX('Kế hoạch'!$AJ$6:$AJ$305,$O2527))</f>
      </c>
      <c r="R2527" s="225">
        <f>IF($O2527="","",INDEX('Kế hoạch'!$AK$6:$AK$305,$O2527))</f>
      </c>
    </row>
    <row r="2528">
      <c r="A2528" s="223">
        <f>IF($C2528="","",COUNTIF($C$6:$C2528,"?*"))</f>
      </c>
      <c r="B2528" s="217"/>
      <c r="C2528" s="216"/>
      <c r="D2528" s="240"/>
      <c r="E2528" s="218"/>
      <c r="F2528" s="218"/>
      <c r="G2528" s="218"/>
      <c r="H2528" s="219"/>
      <c r="I2528" s="223">
        <f>IF($C2528="","",IF(ISNUMBER(MATCH($C2528,'Phản ánh'!$A$6:$A$505,0)),"Phản ánh",IF(ISNUMBER(MATCH($C2528,'Kế hoạch'!$A$6:$A$305,0)),"Công việc","Mã chưa có")))</f>
      </c>
      <c r="J2528" s="221">
        <f>IF($I2528="Phản ánh",INDEX('Phản ánh'!$C$6:$C$505,MATCH($C2528,'Phản ánh'!$A$6:$A$505,0)),IF($I2528="Công việc",INDEX('Kế hoạch'!$C$6:$C$305,$O2528),""))</f>
      </c>
      <c r="K2528" s="221">
        <f>IF($I2528="Phản ánh",INDEX('Phản ánh'!$K$6:$K$505,MATCH($C2528,'Phản ánh'!$A$6:$A$505,0))&amp;"",IF($I2528="Công việc",INDEX('Kế hoạch'!$N$6:$N$305,$O2528)&amp;"",""))</f>
      </c>
      <c r="L2528" s="220">
        <f>IF(OR($C2528="",N($B2528)=0),"",IF(AND($I2528="Phản ánh",$E2528="Đã xử lý"),INDEX('Phản ánh'!$U$6:$U$505,MATCH($C2528,'Phản ánh'!$A$6:$A$505,0)),IF(AND($I2528="Công việc",OR($E2528="Hoàn thành",$E2528="Hoàn thành kỳ")),IF(INDEX('Kế hoạch'!$B$6:$B$305,$O2528)="Đột xuất",INDEX('Kế hoạch'!$AY$6:$AY$305,$O2528),IF(N($P2528)=0,"",IF(INT($B2528)&lt;$P2528,$P2528,IF($Q2528&gt;0,$P2528+ROUND((INT($B2528)-$P2528)/$Q2528,0)*$Q2528,IF($R2528&gt;0,EDATE($P2528,ROUND((DATEDIF($P2528,INT($B2528),"m")+(INT($B2528)-EDATE($P2528,DATEDIF($P2528,INT($B2528),"m")))/(EDATE($P2528,DATEDIF($P2528,INT($B2528),"m")+1)-EDATE($P2528,DATEDIF($P2528,INT($B2528),"m"))))/$R2528,0)*$R2528),$P2528))))),"")))</f>
      </c>
      <c r="M2528" s="223">
        <f>IF(OR($C2528="",N($L2528)=0,N($B2528)=0),"",IF(IF(MOD($L2528,1)=0,INT($B2528),$B2528)&lt;=$L2528,"Đúng hạn","Trễ hạn"))</f>
      </c>
      <c r="N2528" s="225">
        <f>IF($C2528="","",ROW())</f>
      </c>
      <c r="O2528" s="225">
        <f>IF($I2528="Công việc",MATCH($C2528,'Kế hoạch'!$A$6:$A$305,0),"")</f>
      </c>
      <c r="P2528" s="234">
        <f>IF($O2528="","",INDEX('Kế hoạch'!$I$6:$I$305,$O2528))</f>
      </c>
      <c r="Q2528" s="225">
        <f>IF($O2528="","",INDEX('Kế hoạch'!$AJ$6:$AJ$305,$O2528))</f>
      </c>
      <c r="R2528" s="225">
        <f>IF($O2528="","",INDEX('Kế hoạch'!$AK$6:$AK$305,$O2528))</f>
      </c>
    </row>
    <row r="2529">
      <c r="A2529" s="223">
        <f>IF($C2529="","",COUNTIF($C$6:$C2529,"?*"))</f>
      </c>
      <c r="B2529" s="217"/>
      <c r="C2529" s="216"/>
      <c r="D2529" s="240"/>
      <c r="E2529" s="218"/>
      <c r="F2529" s="218"/>
      <c r="G2529" s="218"/>
      <c r="H2529" s="219"/>
      <c r="I2529" s="223">
        <f>IF($C2529="","",IF(ISNUMBER(MATCH($C2529,'Phản ánh'!$A$6:$A$505,0)),"Phản ánh",IF(ISNUMBER(MATCH($C2529,'Kế hoạch'!$A$6:$A$305,0)),"Công việc","Mã chưa có")))</f>
      </c>
      <c r="J2529" s="221">
        <f>IF($I2529="Phản ánh",INDEX('Phản ánh'!$C$6:$C$505,MATCH($C2529,'Phản ánh'!$A$6:$A$505,0)),IF($I2529="Công việc",INDEX('Kế hoạch'!$C$6:$C$305,$O2529),""))</f>
      </c>
      <c r="K2529" s="221">
        <f>IF($I2529="Phản ánh",INDEX('Phản ánh'!$K$6:$K$505,MATCH($C2529,'Phản ánh'!$A$6:$A$505,0))&amp;"",IF($I2529="Công việc",INDEX('Kế hoạch'!$N$6:$N$305,$O2529)&amp;"",""))</f>
      </c>
      <c r="L2529" s="220">
        <f>IF(OR($C2529="",N($B2529)=0),"",IF(AND($I2529="Phản ánh",$E2529="Đã xử lý"),INDEX('Phản ánh'!$U$6:$U$505,MATCH($C2529,'Phản ánh'!$A$6:$A$505,0)),IF(AND($I2529="Công việc",OR($E2529="Hoàn thành",$E2529="Hoàn thành kỳ")),IF(INDEX('Kế hoạch'!$B$6:$B$305,$O2529)="Đột xuất",INDEX('Kế hoạch'!$AY$6:$AY$305,$O2529),IF(N($P2529)=0,"",IF(INT($B2529)&lt;$P2529,$P2529,IF($Q2529&gt;0,$P2529+ROUND((INT($B2529)-$P2529)/$Q2529,0)*$Q2529,IF($R2529&gt;0,EDATE($P2529,ROUND((DATEDIF($P2529,INT($B2529),"m")+(INT($B2529)-EDATE($P2529,DATEDIF($P2529,INT($B2529),"m")))/(EDATE($P2529,DATEDIF($P2529,INT($B2529),"m")+1)-EDATE($P2529,DATEDIF($P2529,INT($B2529),"m"))))/$R2529,0)*$R2529),$P2529))))),"")))</f>
      </c>
      <c r="M2529" s="223">
        <f>IF(OR($C2529="",N($L2529)=0,N($B2529)=0),"",IF(IF(MOD($L2529,1)=0,INT($B2529),$B2529)&lt;=$L2529,"Đúng hạn","Trễ hạn"))</f>
      </c>
      <c r="N2529" s="225">
        <f>IF($C2529="","",ROW())</f>
      </c>
      <c r="O2529" s="225">
        <f>IF($I2529="Công việc",MATCH($C2529,'Kế hoạch'!$A$6:$A$305,0),"")</f>
      </c>
      <c r="P2529" s="234">
        <f>IF($O2529="","",INDEX('Kế hoạch'!$I$6:$I$305,$O2529))</f>
      </c>
      <c r="Q2529" s="225">
        <f>IF($O2529="","",INDEX('Kế hoạch'!$AJ$6:$AJ$305,$O2529))</f>
      </c>
      <c r="R2529" s="225">
        <f>IF($O2529="","",INDEX('Kế hoạch'!$AK$6:$AK$305,$O2529))</f>
      </c>
    </row>
    <row r="2530">
      <c r="A2530" s="223">
        <f>IF($C2530="","",COUNTIF($C$6:$C2530,"?*"))</f>
      </c>
      <c r="B2530" s="217"/>
      <c r="C2530" s="216"/>
      <c r="D2530" s="240"/>
      <c r="E2530" s="218"/>
      <c r="F2530" s="218"/>
      <c r="G2530" s="218"/>
      <c r="H2530" s="219"/>
      <c r="I2530" s="223">
        <f>IF($C2530="","",IF(ISNUMBER(MATCH($C2530,'Phản ánh'!$A$6:$A$505,0)),"Phản ánh",IF(ISNUMBER(MATCH($C2530,'Kế hoạch'!$A$6:$A$305,0)),"Công việc","Mã chưa có")))</f>
      </c>
      <c r="J2530" s="221">
        <f>IF($I2530="Phản ánh",INDEX('Phản ánh'!$C$6:$C$505,MATCH($C2530,'Phản ánh'!$A$6:$A$505,0)),IF($I2530="Công việc",INDEX('Kế hoạch'!$C$6:$C$305,$O2530),""))</f>
      </c>
      <c r="K2530" s="221">
        <f>IF($I2530="Phản ánh",INDEX('Phản ánh'!$K$6:$K$505,MATCH($C2530,'Phản ánh'!$A$6:$A$505,0))&amp;"",IF($I2530="Công việc",INDEX('Kế hoạch'!$N$6:$N$305,$O2530)&amp;"",""))</f>
      </c>
      <c r="L2530" s="220">
        <f>IF(OR($C2530="",N($B2530)=0),"",IF(AND($I2530="Phản ánh",$E2530="Đã xử lý"),INDEX('Phản ánh'!$U$6:$U$505,MATCH($C2530,'Phản ánh'!$A$6:$A$505,0)),IF(AND($I2530="Công việc",OR($E2530="Hoàn thành",$E2530="Hoàn thành kỳ")),IF(INDEX('Kế hoạch'!$B$6:$B$305,$O2530)="Đột xuất",INDEX('Kế hoạch'!$AY$6:$AY$305,$O2530),IF(N($P2530)=0,"",IF(INT($B2530)&lt;$P2530,$P2530,IF($Q2530&gt;0,$P2530+ROUND((INT($B2530)-$P2530)/$Q2530,0)*$Q2530,IF($R2530&gt;0,EDATE($P2530,ROUND((DATEDIF($P2530,INT($B2530),"m")+(INT($B2530)-EDATE($P2530,DATEDIF($P2530,INT($B2530),"m")))/(EDATE($P2530,DATEDIF($P2530,INT($B2530),"m")+1)-EDATE($P2530,DATEDIF($P2530,INT($B2530),"m"))))/$R2530,0)*$R2530),$P2530))))),"")))</f>
      </c>
      <c r="M2530" s="223">
        <f>IF(OR($C2530="",N($L2530)=0,N($B2530)=0),"",IF(IF(MOD($L2530,1)=0,INT($B2530),$B2530)&lt;=$L2530,"Đúng hạn","Trễ hạn"))</f>
      </c>
      <c r="N2530" s="225">
        <f>IF($C2530="","",ROW())</f>
      </c>
      <c r="O2530" s="225">
        <f>IF($I2530="Công việc",MATCH($C2530,'Kế hoạch'!$A$6:$A$305,0),"")</f>
      </c>
      <c r="P2530" s="234">
        <f>IF($O2530="","",INDEX('Kế hoạch'!$I$6:$I$305,$O2530))</f>
      </c>
      <c r="Q2530" s="225">
        <f>IF($O2530="","",INDEX('Kế hoạch'!$AJ$6:$AJ$305,$O2530))</f>
      </c>
      <c r="R2530" s="225">
        <f>IF($O2530="","",INDEX('Kế hoạch'!$AK$6:$AK$305,$O2530))</f>
      </c>
    </row>
    <row r="2531">
      <c r="A2531" s="223">
        <f>IF($C2531="","",COUNTIF($C$6:$C2531,"?*"))</f>
      </c>
      <c r="B2531" s="217"/>
      <c r="C2531" s="216"/>
      <c r="D2531" s="240"/>
      <c r="E2531" s="218"/>
      <c r="F2531" s="218"/>
      <c r="G2531" s="218"/>
      <c r="H2531" s="219"/>
      <c r="I2531" s="223">
        <f>IF($C2531="","",IF(ISNUMBER(MATCH($C2531,'Phản ánh'!$A$6:$A$505,0)),"Phản ánh",IF(ISNUMBER(MATCH($C2531,'Kế hoạch'!$A$6:$A$305,0)),"Công việc","Mã chưa có")))</f>
      </c>
      <c r="J2531" s="221">
        <f>IF($I2531="Phản ánh",INDEX('Phản ánh'!$C$6:$C$505,MATCH($C2531,'Phản ánh'!$A$6:$A$505,0)),IF($I2531="Công việc",INDEX('Kế hoạch'!$C$6:$C$305,$O2531),""))</f>
      </c>
      <c r="K2531" s="221">
        <f>IF($I2531="Phản ánh",INDEX('Phản ánh'!$K$6:$K$505,MATCH($C2531,'Phản ánh'!$A$6:$A$505,0))&amp;"",IF($I2531="Công việc",INDEX('Kế hoạch'!$N$6:$N$305,$O2531)&amp;"",""))</f>
      </c>
      <c r="L2531" s="220">
        <f>IF(OR($C2531="",N($B2531)=0),"",IF(AND($I2531="Phản ánh",$E2531="Đã xử lý"),INDEX('Phản ánh'!$U$6:$U$505,MATCH($C2531,'Phản ánh'!$A$6:$A$505,0)),IF(AND($I2531="Công việc",OR($E2531="Hoàn thành",$E2531="Hoàn thành kỳ")),IF(INDEX('Kế hoạch'!$B$6:$B$305,$O2531)="Đột xuất",INDEX('Kế hoạch'!$AY$6:$AY$305,$O2531),IF(N($P2531)=0,"",IF(INT($B2531)&lt;$P2531,$P2531,IF($Q2531&gt;0,$P2531+ROUND((INT($B2531)-$P2531)/$Q2531,0)*$Q2531,IF($R2531&gt;0,EDATE($P2531,ROUND((DATEDIF($P2531,INT($B2531),"m")+(INT($B2531)-EDATE($P2531,DATEDIF($P2531,INT($B2531),"m")))/(EDATE($P2531,DATEDIF($P2531,INT($B2531),"m")+1)-EDATE($P2531,DATEDIF($P2531,INT($B2531),"m"))))/$R2531,0)*$R2531),$P2531))))),"")))</f>
      </c>
      <c r="M2531" s="223">
        <f>IF(OR($C2531="",N($L2531)=0,N($B2531)=0),"",IF(IF(MOD($L2531,1)=0,INT($B2531),$B2531)&lt;=$L2531,"Đúng hạn","Trễ hạn"))</f>
      </c>
      <c r="N2531" s="225">
        <f>IF($C2531="","",ROW())</f>
      </c>
      <c r="O2531" s="225">
        <f>IF($I2531="Công việc",MATCH($C2531,'Kế hoạch'!$A$6:$A$305,0),"")</f>
      </c>
      <c r="P2531" s="234">
        <f>IF($O2531="","",INDEX('Kế hoạch'!$I$6:$I$305,$O2531))</f>
      </c>
      <c r="Q2531" s="225">
        <f>IF($O2531="","",INDEX('Kế hoạch'!$AJ$6:$AJ$305,$O2531))</f>
      </c>
      <c r="R2531" s="225">
        <f>IF($O2531="","",INDEX('Kế hoạch'!$AK$6:$AK$305,$O2531))</f>
      </c>
    </row>
    <row r="2532">
      <c r="A2532" s="223">
        <f>IF($C2532="","",COUNTIF($C$6:$C2532,"?*"))</f>
      </c>
      <c r="B2532" s="217"/>
      <c r="C2532" s="216"/>
      <c r="D2532" s="240"/>
      <c r="E2532" s="218"/>
      <c r="F2532" s="218"/>
      <c r="G2532" s="218"/>
      <c r="H2532" s="219"/>
      <c r="I2532" s="223">
        <f>IF($C2532="","",IF(ISNUMBER(MATCH($C2532,'Phản ánh'!$A$6:$A$505,0)),"Phản ánh",IF(ISNUMBER(MATCH($C2532,'Kế hoạch'!$A$6:$A$305,0)),"Công việc","Mã chưa có")))</f>
      </c>
      <c r="J2532" s="221">
        <f>IF($I2532="Phản ánh",INDEX('Phản ánh'!$C$6:$C$505,MATCH($C2532,'Phản ánh'!$A$6:$A$505,0)),IF($I2532="Công việc",INDEX('Kế hoạch'!$C$6:$C$305,$O2532),""))</f>
      </c>
      <c r="K2532" s="221">
        <f>IF($I2532="Phản ánh",INDEX('Phản ánh'!$K$6:$K$505,MATCH($C2532,'Phản ánh'!$A$6:$A$505,0))&amp;"",IF($I2532="Công việc",INDEX('Kế hoạch'!$N$6:$N$305,$O2532)&amp;"",""))</f>
      </c>
      <c r="L2532" s="220">
        <f>IF(OR($C2532="",N($B2532)=0),"",IF(AND($I2532="Phản ánh",$E2532="Đã xử lý"),INDEX('Phản ánh'!$U$6:$U$505,MATCH($C2532,'Phản ánh'!$A$6:$A$505,0)),IF(AND($I2532="Công việc",OR($E2532="Hoàn thành",$E2532="Hoàn thành kỳ")),IF(INDEX('Kế hoạch'!$B$6:$B$305,$O2532)="Đột xuất",INDEX('Kế hoạch'!$AY$6:$AY$305,$O2532),IF(N($P2532)=0,"",IF(INT($B2532)&lt;$P2532,$P2532,IF($Q2532&gt;0,$P2532+ROUND((INT($B2532)-$P2532)/$Q2532,0)*$Q2532,IF($R2532&gt;0,EDATE($P2532,ROUND((DATEDIF($P2532,INT($B2532),"m")+(INT($B2532)-EDATE($P2532,DATEDIF($P2532,INT($B2532),"m")))/(EDATE($P2532,DATEDIF($P2532,INT($B2532),"m")+1)-EDATE($P2532,DATEDIF($P2532,INT($B2532),"m"))))/$R2532,0)*$R2532),$P2532))))),"")))</f>
      </c>
      <c r="M2532" s="223">
        <f>IF(OR($C2532="",N($L2532)=0,N($B2532)=0),"",IF(IF(MOD($L2532,1)=0,INT($B2532),$B2532)&lt;=$L2532,"Đúng hạn","Trễ hạn"))</f>
      </c>
      <c r="N2532" s="225">
        <f>IF($C2532="","",ROW())</f>
      </c>
      <c r="O2532" s="225">
        <f>IF($I2532="Công việc",MATCH($C2532,'Kế hoạch'!$A$6:$A$305,0),"")</f>
      </c>
      <c r="P2532" s="234">
        <f>IF($O2532="","",INDEX('Kế hoạch'!$I$6:$I$305,$O2532))</f>
      </c>
      <c r="Q2532" s="225">
        <f>IF($O2532="","",INDEX('Kế hoạch'!$AJ$6:$AJ$305,$O2532))</f>
      </c>
      <c r="R2532" s="225">
        <f>IF($O2532="","",INDEX('Kế hoạch'!$AK$6:$AK$305,$O2532))</f>
      </c>
    </row>
    <row r="2533">
      <c r="A2533" s="223">
        <f>IF($C2533="","",COUNTIF($C$6:$C2533,"?*"))</f>
      </c>
      <c r="B2533" s="217"/>
      <c r="C2533" s="216"/>
      <c r="D2533" s="240"/>
      <c r="E2533" s="218"/>
      <c r="F2533" s="218"/>
      <c r="G2533" s="218"/>
      <c r="H2533" s="219"/>
      <c r="I2533" s="223">
        <f>IF($C2533="","",IF(ISNUMBER(MATCH($C2533,'Phản ánh'!$A$6:$A$505,0)),"Phản ánh",IF(ISNUMBER(MATCH($C2533,'Kế hoạch'!$A$6:$A$305,0)),"Công việc","Mã chưa có")))</f>
      </c>
      <c r="J2533" s="221">
        <f>IF($I2533="Phản ánh",INDEX('Phản ánh'!$C$6:$C$505,MATCH($C2533,'Phản ánh'!$A$6:$A$505,0)),IF($I2533="Công việc",INDEX('Kế hoạch'!$C$6:$C$305,$O2533),""))</f>
      </c>
      <c r="K2533" s="221">
        <f>IF($I2533="Phản ánh",INDEX('Phản ánh'!$K$6:$K$505,MATCH($C2533,'Phản ánh'!$A$6:$A$505,0))&amp;"",IF($I2533="Công việc",INDEX('Kế hoạch'!$N$6:$N$305,$O2533)&amp;"",""))</f>
      </c>
      <c r="L2533" s="220">
        <f>IF(OR($C2533="",N($B2533)=0),"",IF(AND($I2533="Phản ánh",$E2533="Đã xử lý"),INDEX('Phản ánh'!$U$6:$U$505,MATCH($C2533,'Phản ánh'!$A$6:$A$505,0)),IF(AND($I2533="Công việc",OR($E2533="Hoàn thành",$E2533="Hoàn thành kỳ")),IF(INDEX('Kế hoạch'!$B$6:$B$305,$O2533)="Đột xuất",INDEX('Kế hoạch'!$AY$6:$AY$305,$O2533),IF(N($P2533)=0,"",IF(INT($B2533)&lt;$P2533,$P2533,IF($Q2533&gt;0,$P2533+ROUND((INT($B2533)-$P2533)/$Q2533,0)*$Q2533,IF($R2533&gt;0,EDATE($P2533,ROUND((DATEDIF($P2533,INT($B2533),"m")+(INT($B2533)-EDATE($P2533,DATEDIF($P2533,INT($B2533),"m")))/(EDATE($P2533,DATEDIF($P2533,INT($B2533),"m")+1)-EDATE($P2533,DATEDIF($P2533,INT($B2533),"m"))))/$R2533,0)*$R2533),$P2533))))),"")))</f>
      </c>
      <c r="M2533" s="223">
        <f>IF(OR($C2533="",N($L2533)=0,N($B2533)=0),"",IF(IF(MOD($L2533,1)=0,INT($B2533),$B2533)&lt;=$L2533,"Đúng hạn","Trễ hạn"))</f>
      </c>
      <c r="N2533" s="225">
        <f>IF($C2533="","",ROW())</f>
      </c>
      <c r="O2533" s="225">
        <f>IF($I2533="Công việc",MATCH($C2533,'Kế hoạch'!$A$6:$A$305,0),"")</f>
      </c>
      <c r="P2533" s="234">
        <f>IF($O2533="","",INDEX('Kế hoạch'!$I$6:$I$305,$O2533))</f>
      </c>
      <c r="Q2533" s="225">
        <f>IF($O2533="","",INDEX('Kế hoạch'!$AJ$6:$AJ$305,$O2533))</f>
      </c>
      <c r="R2533" s="225">
        <f>IF($O2533="","",INDEX('Kế hoạch'!$AK$6:$AK$305,$O2533))</f>
      </c>
    </row>
    <row r="2534">
      <c r="A2534" s="223">
        <f>IF($C2534="","",COUNTIF($C$6:$C2534,"?*"))</f>
      </c>
      <c r="B2534" s="217"/>
      <c r="C2534" s="216"/>
      <c r="D2534" s="240"/>
      <c r="E2534" s="218"/>
      <c r="F2534" s="218"/>
      <c r="G2534" s="218"/>
      <c r="H2534" s="219"/>
      <c r="I2534" s="223">
        <f>IF($C2534="","",IF(ISNUMBER(MATCH($C2534,'Phản ánh'!$A$6:$A$505,0)),"Phản ánh",IF(ISNUMBER(MATCH($C2534,'Kế hoạch'!$A$6:$A$305,0)),"Công việc","Mã chưa có")))</f>
      </c>
      <c r="J2534" s="221">
        <f>IF($I2534="Phản ánh",INDEX('Phản ánh'!$C$6:$C$505,MATCH($C2534,'Phản ánh'!$A$6:$A$505,0)),IF($I2534="Công việc",INDEX('Kế hoạch'!$C$6:$C$305,$O2534),""))</f>
      </c>
      <c r="K2534" s="221">
        <f>IF($I2534="Phản ánh",INDEX('Phản ánh'!$K$6:$K$505,MATCH($C2534,'Phản ánh'!$A$6:$A$505,0))&amp;"",IF($I2534="Công việc",INDEX('Kế hoạch'!$N$6:$N$305,$O2534)&amp;"",""))</f>
      </c>
      <c r="L2534" s="220">
        <f>IF(OR($C2534="",N($B2534)=0),"",IF(AND($I2534="Phản ánh",$E2534="Đã xử lý"),INDEX('Phản ánh'!$U$6:$U$505,MATCH($C2534,'Phản ánh'!$A$6:$A$505,0)),IF(AND($I2534="Công việc",OR($E2534="Hoàn thành",$E2534="Hoàn thành kỳ")),IF(INDEX('Kế hoạch'!$B$6:$B$305,$O2534)="Đột xuất",INDEX('Kế hoạch'!$AY$6:$AY$305,$O2534),IF(N($P2534)=0,"",IF(INT($B2534)&lt;$P2534,$P2534,IF($Q2534&gt;0,$P2534+ROUND((INT($B2534)-$P2534)/$Q2534,0)*$Q2534,IF($R2534&gt;0,EDATE($P2534,ROUND((DATEDIF($P2534,INT($B2534),"m")+(INT($B2534)-EDATE($P2534,DATEDIF($P2534,INT($B2534),"m")))/(EDATE($P2534,DATEDIF($P2534,INT($B2534),"m")+1)-EDATE($P2534,DATEDIF($P2534,INT($B2534),"m"))))/$R2534,0)*$R2534),$P2534))))),"")))</f>
      </c>
      <c r="M2534" s="223">
        <f>IF(OR($C2534="",N($L2534)=0,N($B2534)=0),"",IF(IF(MOD($L2534,1)=0,INT($B2534),$B2534)&lt;=$L2534,"Đúng hạn","Trễ hạn"))</f>
      </c>
      <c r="N2534" s="225">
        <f>IF($C2534="","",ROW())</f>
      </c>
      <c r="O2534" s="225">
        <f>IF($I2534="Công việc",MATCH($C2534,'Kế hoạch'!$A$6:$A$305,0),"")</f>
      </c>
      <c r="P2534" s="234">
        <f>IF($O2534="","",INDEX('Kế hoạch'!$I$6:$I$305,$O2534))</f>
      </c>
      <c r="Q2534" s="225">
        <f>IF($O2534="","",INDEX('Kế hoạch'!$AJ$6:$AJ$305,$O2534))</f>
      </c>
      <c r="R2534" s="225">
        <f>IF($O2534="","",INDEX('Kế hoạch'!$AK$6:$AK$305,$O2534))</f>
      </c>
    </row>
    <row r="2535">
      <c r="A2535" s="223">
        <f>IF($C2535="","",COUNTIF($C$6:$C2535,"?*"))</f>
      </c>
      <c r="B2535" s="217"/>
      <c r="C2535" s="216"/>
      <c r="D2535" s="240"/>
      <c r="E2535" s="218"/>
      <c r="F2535" s="218"/>
      <c r="G2535" s="218"/>
      <c r="H2535" s="219"/>
      <c r="I2535" s="223">
        <f>IF($C2535="","",IF(ISNUMBER(MATCH($C2535,'Phản ánh'!$A$6:$A$505,0)),"Phản ánh",IF(ISNUMBER(MATCH($C2535,'Kế hoạch'!$A$6:$A$305,0)),"Công việc","Mã chưa có")))</f>
      </c>
      <c r="J2535" s="221">
        <f>IF($I2535="Phản ánh",INDEX('Phản ánh'!$C$6:$C$505,MATCH($C2535,'Phản ánh'!$A$6:$A$505,0)),IF($I2535="Công việc",INDEX('Kế hoạch'!$C$6:$C$305,$O2535),""))</f>
      </c>
      <c r="K2535" s="221">
        <f>IF($I2535="Phản ánh",INDEX('Phản ánh'!$K$6:$K$505,MATCH($C2535,'Phản ánh'!$A$6:$A$505,0))&amp;"",IF($I2535="Công việc",INDEX('Kế hoạch'!$N$6:$N$305,$O2535)&amp;"",""))</f>
      </c>
      <c r="L2535" s="220">
        <f>IF(OR($C2535="",N($B2535)=0),"",IF(AND($I2535="Phản ánh",$E2535="Đã xử lý"),INDEX('Phản ánh'!$U$6:$U$505,MATCH($C2535,'Phản ánh'!$A$6:$A$505,0)),IF(AND($I2535="Công việc",OR($E2535="Hoàn thành",$E2535="Hoàn thành kỳ")),IF(INDEX('Kế hoạch'!$B$6:$B$305,$O2535)="Đột xuất",INDEX('Kế hoạch'!$AY$6:$AY$305,$O2535),IF(N($P2535)=0,"",IF(INT($B2535)&lt;$P2535,$P2535,IF($Q2535&gt;0,$P2535+ROUND((INT($B2535)-$P2535)/$Q2535,0)*$Q2535,IF($R2535&gt;0,EDATE($P2535,ROUND((DATEDIF($P2535,INT($B2535),"m")+(INT($B2535)-EDATE($P2535,DATEDIF($P2535,INT($B2535),"m")))/(EDATE($P2535,DATEDIF($P2535,INT($B2535),"m")+1)-EDATE($P2535,DATEDIF($P2535,INT($B2535),"m"))))/$R2535,0)*$R2535),$P2535))))),"")))</f>
      </c>
      <c r="M2535" s="223">
        <f>IF(OR($C2535="",N($L2535)=0,N($B2535)=0),"",IF(IF(MOD($L2535,1)=0,INT($B2535),$B2535)&lt;=$L2535,"Đúng hạn","Trễ hạn"))</f>
      </c>
      <c r="N2535" s="225">
        <f>IF($C2535="","",ROW())</f>
      </c>
      <c r="O2535" s="225">
        <f>IF($I2535="Công việc",MATCH($C2535,'Kế hoạch'!$A$6:$A$305,0),"")</f>
      </c>
      <c r="P2535" s="234">
        <f>IF($O2535="","",INDEX('Kế hoạch'!$I$6:$I$305,$O2535))</f>
      </c>
      <c r="Q2535" s="225">
        <f>IF($O2535="","",INDEX('Kế hoạch'!$AJ$6:$AJ$305,$O2535))</f>
      </c>
      <c r="R2535" s="225">
        <f>IF($O2535="","",INDEX('Kế hoạch'!$AK$6:$AK$305,$O2535))</f>
      </c>
    </row>
    <row r="2536">
      <c r="A2536" s="223">
        <f>IF($C2536="","",COUNTIF($C$6:$C2536,"?*"))</f>
      </c>
      <c r="B2536" s="217"/>
      <c r="C2536" s="216"/>
      <c r="D2536" s="240"/>
      <c r="E2536" s="218"/>
      <c r="F2536" s="218"/>
      <c r="G2536" s="218"/>
      <c r="H2536" s="219"/>
      <c r="I2536" s="223">
        <f>IF($C2536="","",IF(ISNUMBER(MATCH($C2536,'Phản ánh'!$A$6:$A$505,0)),"Phản ánh",IF(ISNUMBER(MATCH($C2536,'Kế hoạch'!$A$6:$A$305,0)),"Công việc","Mã chưa có")))</f>
      </c>
      <c r="J2536" s="221">
        <f>IF($I2536="Phản ánh",INDEX('Phản ánh'!$C$6:$C$505,MATCH($C2536,'Phản ánh'!$A$6:$A$505,0)),IF($I2536="Công việc",INDEX('Kế hoạch'!$C$6:$C$305,$O2536),""))</f>
      </c>
      <c r="K2536" s="221">
        <f>IF($I2536="Phản ánh",INDEX('Phản ánh'!$K$6:$K$505,MATCH($C2536,'Phản ánh'!$A$6:$A$505,0))&amp;"",IF($I2536="Công việc",INDEX('Kế hoạch'!$N$6:$N$305,$O2536)&amp;"",""))</f>
      </c>
      <c r="L2536" s="220">
        <f>IF(OR($C2536="",N($B2536)=0),"",IF(AND($I2536="Phản ánh",$E2536="Đã xử lý"),INDEX('Phản ánh'!$U$6:$U$505,MATCH($C2536,'Phản ánh'!$A$6:$A$505,0)),IF(AND($I2536="Công việc",OR($E2536="Hoàn thành",$E2536="Hoàn thành kỳ")),IF(INDEX('Kế hoạch'!$B$6:$B$305,$O2536)="Đột xuất",INDEX('Kế hoạch'!$AY$6:$AY$305,$O2536),IF(N($P2536)=0,"",IF(INT($B2536)&lt;$P2536,$P2536,IF($Q2536&gt;0,$P2536+ROUND((INT($B2536)-$P2536)/$Q2536,0)*$Q2536,IF($R2536&gt;0,EDATE($P2536,ROUND((DATEDIF($P2536,INT($B2536),"m")+(INT($B2536)-EDATE($P2536,DATEDIF($P2536,INT($B2536),"m")))/(EDATE($P2536,DATEDIF($P2536,INT($B2536),"m")+1)-EDATE($P2536,DATEDIF($P2536,INT($B2536),"m"))))/$R2536,0)*$R2536),$P2536))))),"")))</f>
      </c>
      <c r="M2536" s="223">
        <f>IF(OR($C2536="",N($L2536)=0,N($B2536)=0),"",IF(IF(MOD($L2536,1)=0,INT($B2536),$B2536)&lt;=$L2536,"Đúng hạn","Trễ hạn"))</f>
      </c>
      <c r="N2536" s="225">
        <f>IF($C2536="","",ROW())</f>
      </c>
      <c r="O2536" s="225">
        <f>IF($I2536="Công việc",MATCH($C2536,'Kế hoạch'!$A$6:$A$305,0),"")</f>
      </c>
      <c r="P2536" s="234">
        <f>IF($O2536="","",INDEX('Kế hoạch'!$I$6:$I$305,$O2536))</f>
      </c>
      <c r="Q2536" s="225">
        <f>IF($O2536="","",INDEX('Kế hoạch'!$AJ$6:$AJ$305,$O2536))</f>
      </c>
      <c r="R2536" s="225">
        <f>IF($O2536="","",INDEX('Kế hoạch'!$AK$6:$AK$305,$O2536))</f>
      </c>
    </row>
    <row r="2537">
      <c r="A2537" s="223">
        <f>IF($C2537="","",COUNTIF($C$6:$C2537,"?*"))</f>
      </c>
      <c r="B2537" s="217"/>
      <c r="C2537" s="216"/>
      <c r="D2537" s="240"/>
      <c r="E2537" s="218"/>
      <c r="F2537" s="218"/>
      <c r="G2537" s="218"/>
      <c r="H2537" s="219"/>
      <c r="I2537" s="223">
        <f>IF($C2537="","",IF(ISNUMBER(MATCH($C2537,'Phản ánh'!$A$6:$A$505,0)),"Phản ánh",IF(ISNUMBER(MATCH($C2537,'Kế hoạch'!$A$6:$A$305,0)),"Công việc","Mã chưa có")))</f>
      </c>
      <c r="J2537" s="221">
        <f>IF($I2537="Phản ánh",INDEX('Phản ánh'!$C$6:$C$505,MATCH($C2537,'Phản ánh'!$A$6:$A$505,0)),IF($I2537="Công việc",INDEX('Kế hoạch'!$C$6:$C$305,$O2537),""))</f>
      </c>
      <c r="K2537" s="221">
        <f>IF($I2537="Phản ánh",INDEX('Phản ánh'!$K$6:$K$505,MATCH($C2537,'Phản ánh'!$A$6:$A$505,0))&amp;"",IF($I2537="Công việc",INDEX('Kế hoạch'!$N$6:$N$305,$O2537)&amp;"",""))</f>
      </c>
      <c r="L2537" s="220">
        <f>IF(OR($C2537="",N($B2537)=0),"",IF(AND($I2537="Phản ánh",$E2537="Đã xử lý"),INDEX('Phản ánh'!$U$6:$U$505,MATCH($C2537,'Phản ánh'!$A$6:$A$505,0)),IF(AND($I2537="Công việc",OR($E2537="Hoàn thành",$E2537="Hoàn thành kỳ")),IF(INDEX('Kế hoạch'!$B$6:$B$305,$O2537)="Đột xuất",INDEX('Kế hoạch'!$AY$6:$AY$305,$O2537),IF(N($P2537)=0,"",IF(INT($B2537)&lt;$P2537,$P2537,IF($Q2537&gt;0,$P2537+ROUND((INT($B2537)-$P2537)/$Q2537,0)*$Q2537,IF($R2537&gt;0,EDATE($P2537,ROUND((DATEDIF($P2537,INT($B2537),"m")+(INT($B2537)-EDATE($P2537,DATEDIF($P2537,INT($B2537),"m")))/(EDATE($P2537,DATEDIF($P2537,INT($B2537),"m")+1)-EDATE($P2537,DATEDIF($P2537,INT($B2537),"m"))))/$R2537,0)*$R2537),$P2537))))),"")))</f>
      </c>
      <c r="M2537" s="223">
        <f>IF(OR($C2537="",N($L2537)=0,N($B2537)=0),"",IF(IF(MOD($L2537,1)=0,INT($B2537),$B2537)&lt;=$L2537,"Đúng hạn","Trễ hạn"))</f>
      </c>
      <c r="N2537" s="225">
        <f>IF($C2537="","",ROW())</f>
      </c>
      <c r="O2537" s="225">
        <f>IF($I2537="Công việc",MATCH($C2537,'Kế hoạch'!$A$6:$A$305,0),"")</f>
      </c>
      <c r="P2537" s="234">
        <f>IF($O2537="","",INDEX('Kế hoạch'!$I$6:$I$305,$O2537))</f>
      </c>
      <c r="Q2537" s="225">
        <f>IF($O2537="","",INDEX('Kế hoạch'!$AJ$6:$AJ$305,$O2537))</f>
      </c>
      <c r="R2537" s="225">
        <f>IF($O2537="","",INDEX('Kế hoạch'!$AK$6:$AK$305,$O2537))</f>
      </c>
    </row>
    <row r="2538">
      <c r="A2538" s="223">
        <f>IF($C2538="","",COUNTIF($C$6:$C2538,"?*"))</f>
      </c>
      <c r="B2538" s="217"/>
      <c r="C2538" s="216"/>
      <c r="D2538" s="240"/>
      <c r="E2538" s="218"/>
      <c r="F2538" s="218"/>
      <c r="G2538" s="218"/>
      <c r="H2538" s="219"/>
      <c r="I2538" s="223">
        <f>IF($C2538="","",IF(ISNUMBER(MATCH($C2538,'Phản ánh'!$A$6:$A$505,0)),"Phản ánh",IF(ISNUMBER(MATCH($C2538,'Kế hoạch'!$A$6:$A$305,0)),"Công việc","Mã chưa có")))</f>
      </c>
      <c r="J2538" s="221">
        <f>IF($I2538="Phản ánh",INDEX('Phản ánh'!$C$6:$C$505,MATCH($C2538,'Phản ánh'!$A$6:$A$505,0)),IF($I2538="Công việc",INDEX('Kế hoạch'!$C$6:$C$305,$O2538),""))</f>
      </c>
      <c r="K2538" s="221">
        <f>IF($I2538="Phản ánh",INDEX('Phản ánh'!$K$6:$K$505,MATCH($C2538,'Phản ánh'!$A$6:$A$505,0))&amp;"",IF($I2538="Công việc",INDEX('Kế hoạch'!$N$6:$N$305,$O2538)&amp;"",""))</f>
      </c>
      <c r="L2538" s="220">
        <f>IF(OR($C2538="",N($B2538)=0),"",IF(AND($I2538="Phản ánh",$E2538="Đã xử lý"),INDEX('Phản ánh'!$U$6:$U$505,MATCH($C2538,'Phản ánh'!$A$6:$A$505,0)),IF(AND($I2538="Công việc",OR($E2538="Hoàn thành",$E2538="Hoàn thành kỳ")),IF(INDEX('Kế hoạch'!$B$6:$B$305,$O2538)="Đột xuất",INDEX('Kế hoạch'!$AY$6:$AY$305,$O2538),IF(N($P2538)=0,"",IF(INT($B2538)&lt;$P2538,$P2538,IF($Q2538&gt;0,$P2538+ROUND((INT($B2538)-$P2538)/$Q2538,0)*$Q2538,IF($R2538&gt;0,EDATE($P2538,ROUND((DATEDIF($P2538,INT($B2538),"m")+(INT($B2538)-EDATE($P2538,DATEDIF($P2538,INT($B2538),"m")))/(EDATE($P2538,DATEDIF($P2538,INT($B2538),"m")+1)-EDATE($P2538,DATEDIF($P2538,INT($B2538),"m"))))/$R2538,0)*$R2538),$P2538))))),"")))</f>
      </c>
      <c r="M2538" s="223">
        <f>IF(OR($C2538="",N($L2538)=0,N($B2538)=0),"",IF(IF(MOD($L2538,1)=0,INT($B2538),$B2538)&lt;=$L2538,"Đúng hạn","Trễ hạn"))</f>
      </c>
      <c r="N2538" s="225">
        <f>IF($C2538="","",ROW())</f>
      </c>
      <c r="O2538" s="225">
        <f>IF($I2538="Công việc",MATCH($C2538,'Kế hoạch'!$A$6:$A$305,0),"")</f>
      </c>
      <c r="P2538" s="234">
        <f>IF($O2538="","",INDEX('Kế hoạch'!$I$6:$I$305,$O2538))</f>
      </c>
      <c r="Q2538" s="225">
        <f>IF($O2538="","",INDEX('Kế hoạch'!$AJ$6:$AJ$305,$O2538))</f>
      </c>
      <c r="R2538" s="225">
        <f>IF($O2538="","",INDEX('Kế hoạch'!$AK$6:$AK$305,$O2538))</f>
      </c>
    </row>
    <row r="2539">
      <c r="A2539" s="223">
        <f>IF($C2539="","",COUNTIF($C$6:$C2539,"?*"))</f>
      </c>
      <c r="B2539" s="217"/>
      <c r="C2539" s="216"/>
      <c r="D2539" s="240"/>
      <c r="E2539" s="218"/>
      <c r="F2539" s="218"/>
      <c r="G2539" s="218"/>
      <c r="H2539" s="219"/>
      <c r="I2539" s="223">
        <f>IF($C2539="","",IF(ISNUMBER(MATCH($C2539,'Phản ánh'!$A$6:$A$505,0)),"Phản ánh",IF(ISNUMBER(MATCH($C2539,'Kế hoạch'!$A$6:$A$305,0)),"Công việc","Mã chưa có")))</f>
      </c>
      <c r="J2539" s="221">
        <f>IF($I2539="Phản ánh",INDEX('Phản ánh'!$C$6:$C$505,MATCH($C2539,'Phản ánh'!$A$6:$A$505,0)),IF($I2539="Công việc",INDEX('Kế hoạch'!$C$6:$C$305,$O2539),""))</f>
      </c>
      <c r="K2539" s="221">
        <f>IF($I2539="Phản ánh",INDEX('Phản ánh'!$K$6:$K$505,MATCH($C2539,'Phản ánh'!$A$6:$A$505,0))&amp;"",IF($I2539="Công việc",INDEX('Kế hoạch'!$N$6:$N$305,$O2539)&amp;"",""))</f>
      </c>
      <c r="L2539" s="220">
        <f>IF(OR($C2539="",N($B2539)=0),"",IF(AND($I2539="Phản ánh",$E2539="Đã xử lý"),INDEX('Phản ánh'!$U$6:$U$505,MATCH($C2539,'Phản ánh'!$A$6:$A$505,0)),IF(AND($I2539="Công việc",OR($E2539="Hoàn thành",$E2539="Hoàn thành kỳ")),IF(INDEX('Kế hoạch'!$B$6:$B$305,$O2539)="Đột xuất",INDEX('Kế hoạch'!$AY$6:$AY$305,$O2539),IF(N($P2539)=0,"",IF(INT($B2539)&lt;$P2539,$P2539,IF($Q2539&gt;0,$P2539+ROUND((INT($B2539)-$P2539)/$Q2539,0)*$Q2539,IF($R2539&gt;0,EDATE($P2539,ROUND((DATEDIF($P2539,INT($B2539),"m")+(INT($B2539)-EDATE($P2539,DATEDIF($P2539,INT($B2539),"m")))/(EDATE($P2539,DATEDIF($P2539,INT($B2539),"m")+1)-EDATE($P2539,DATEDIF($P2539,INT($B2539),"m"))))/$R2539,0)*$R2539),$P2539))))),"")))</f>
      </c>
      <c r="M2539" s="223">
        <f>IF(OR($C2539="",N($L2539)=0,N($B2539)=0),"",IF(IF(MOD($L2539,1)=0,INT($B2539),$B2539)&lt;=$L2539,"Đúng hạn","Trễ hạn"))</f>
      </c>
      <c r="N2539" s="225">
        <f>IF($C2539="","",ROW())</f>
      </c>
      <c r="O2539" s="225">
        <f>IF($I2539="Công việc",MATCH($C2539,'Kế hoạch'!$A$6:$A$305,0),"")</f>
      </c>
      <c r="P2539" s="234">
        <f>IF($O2539="","",INDEX('Kế hoạch'!$I$6:$I$305,$O2539))</f>
      </c>
      <c r="Q2539" s="225">
        <f>IF($O2539="","",INDEX('Kế hoạch'!$AJ$6:$AJ$305,$O2539))</f>
      </c>
      <c r="R2539" s="225">
        <f>IF($O2539="","",INDEX('Kế hoạch'!$AK$6:$AK$305,$O2539))</f>
      </c>
    </row>
    <row r="2540">
      <c r="A2540" s="223">
        <f>IF($C2540="","",COUNTIF($C$6:$C2540,"?*"))</f>
      </c>
      <c r="B2540" s="217"/>
      <c r="C2540" s="216"/>
      <c r="D2540" s="240"/>
      <c r="E2540" s="218"/>
      <c r="F2540" s="218"/>
      <c r="G2540" s="218"/>
      <c r="H2540" s="219"/>
      <c r="I2540" s="223">
        <f>IF($C2540="","",IF(ISNUMBER(MATCH($C2540,'Phản ánh'!$A$6:$A$505,0)),"Phản ánh",IF(ISNUMBER(MATCH($C2540,'Kế hoạch'!$A$6:$A$305,0)),"Công việc","Mã chưa có")))</f>
      </c>
      <c r="J2540" s="221">
        <f>IF($I2540="Phản ánh",INDEX('Phản ánh'!$C$6:$C$505,MATCH($C2540,'Phản ánh'!$A$6:$A$505,0)),IF($I2540="Công việc",INDEX('Kế hoạch'!$C$6:$C$305,$O2540),""))</f>
      </c>
      <c r="K2540" s="221">
        <f>IF($I2540="Phản ánh",INDEX('Phản ánh'!$K$6:$K$505,MATCH($C2540,'Phản ánh'!$A$6:$A$505,0))&amp;"",IF($I2540="Công việc",INDEX('Kế hoạch'!$N$6:$N$305,$O2540)&amp;"",""))</f>
      </c>
      <c r="L2540" s="220">
        <f>IF(OR($C2540="",N($B2540)=0),"",IF(AND($I2540="Phản ánh",$E2540="Đã xử lý"),INDEX('Phản ánh'!$U$6:$U$505,MATCH($C2540,'Phản ánh'!$A$6:$A$505,0)),IF(AND($I2540="Công việc",OR($E2540="Hoàn thành",$E2540="Hoàn thành kỳ")),IF(INDEX('Kế hoạch'!$B$6:$B$305,$O2540)="Đột xuất",INDEX('Kế hoạch'!$AY$6:$AY$305,$O2540),IF(N($P2540)=0,"",IF(INT($B2540)&lt;$P2540,$P2540,IF($Q2540&gt;0,$P2540+ROUND((INT($B2540)-$P2540)/$Q2540,0)*$Q2540,IF($R2540&gt;0,EDATE($P2540,ROUND((DATEDIF($P2540,INT($B2540),"m")+(INT($B2540)-EDATE($P2540,DATEDIF($P2540,INT($B2540),"m")))/(EDATE($P2540,DATEDIF($P2540,INT($B2540),"m")+1)-EDATE($P2540,DATEDIF($P2540,INT($B2540),"m"))))/$R2540,0)*$R2540),$P2540))))),"")))</f>
      </c>
      <c r="M2540" s="223">
        <f>IF(OR($C2540="",N($L2540)=0,N($B2540)=0),"",IF(IF(MOD($L2540,1)=0,INT($B2540),$B2540)&lt;=$L2540,"Đúng hạn","Trễ hạn"))</f>
      </c>
      <c r="N2540" s="225">
        <f>IF($C2540="","",ROW())</f>
      </c>
      <c r="O2540" s="225">
        <f>IF($I2540="Công việc",MATCH($C2540,'Kế hoạch'!$A$6:$A$305,0),"")</f>
      </c>
      <c r="P2540" s="234">
        <f>IF($O2540="","",INDEX('Kế hoạch'!$I$6:$I$305,$O2540))</f>
      </c>
      <c r="Q2540" s="225">
        <f>IF($O2540="","",INDEX('Kế hoạch'!$AJ$6:$AJ$305,$O2540))</f>
      </c>
      <c r="R2540" s="225">
        <f>IF($O2540="","",INDEX('Kế hoạch'!$AK$6:$AK$305,$O2540))</f>
      </c>
    </row>
    <row r="2541">
      <c r="A2541" s="223">
        <f>IF($C2541="","",COUNTIF($C$6:$C2541,"?*"))</f>
      </c>
      <c r="B2541" s="217"/>
      <c r="C2541" s="216"/>
      <c r="D2541" s="240"/>
      <c r="E2541" s="218"/>
      <c r="F2541" s="218"/>
      <c r="G2541" s="218"/>
      <c r="H2541" s="219"/>
      <c r="I2541" s="223">
        <f>IF($C2541="","",IF(ISNUMBER(MATCH($C2541,'Phản ánh'!$A$6:$A$505,0)),"Phản ánh",IF(ISNUMBER(MATCH($C2541,'Kế hoạch'!$A$6:$A$305,0)),"Công việc","Mã chưa có")))</f>
      </c>
      <c r="J2541" s="221">
        <f>IF($I2541="Phản ánh",INDEX('Phản ánh'!$C$6:$C$505,MATCH($C2541,'Phản ánh'!$A$6:$A$505,0)),IF($I2541="Công việc",INDEX('Kế hoạch'!$C$6:$C$305,$O2541),""))</f>
      </c>
      <c r="K2541" s="221">
        <f>IF($I2541="Phản ánh",INDEX('Phản ánh'!$K$6:$K$505,MATCH($C2541,'Phản ánh'!$A$6:$A$505,0))&amp;"",IF($I2541="Công việc",INDEX('Kế hoạch'!$N$6:$N$305,$O2541)&amp;"",""))</f>
      </c>
      <c r="L2541" s="220">
        <f>IF(OR($C2541="",N($B2541)=0),"",IF(AND($I2541="Phản ánh",$E2541="Đã xử lý"),INDEX('Phản ánh'!$U$6:$U$505,MATCH($C2541,'Phản ánh'!$A$6:$A$505,0)),IF(AND($I2541="Công việc",OR($E2541="Hoàn thành",$E2541="Hoàn thành kỳ")),IF(INDEX('Kế hoạch'!$B$6:$B$305,$O2541)="Đột xuất",INDEX('Kế hoạch'!$AY$6:$AY$305,$O2541),IF(N($P2541)=0,"",IF(INT($B2541)&lt;$P2541,$P2541,IF($Q2541&gt;0,$P2541+ROUND((INT($B2541)-$P2541)/$Q2541,0)*$Q2541,IF($R2541&gt;0,EDATE($P2541,ROUND((DATEDIF($P2541,INT($B2541),"m")+(INT($B2541)-EDATE($P2541,DATEDIF($P2541,INT($B2541),"m")))/(EDATE($P2541,DATEDIF($P2541,INT($B2541),"m")+1)-EDATE($P2541,DATEDIF($P2541,INT($B2541),"m"))))/$R2541,0)*$R2541),$P2541))))),"")))</f>
      </c>
      <c r="M2541" s="223">
        <f>IF(OR($C2541="",N($L2541)=0,N($B2541)=0),"",IF(IF(MOD($L2541,1)=0,INT($B2541),$B2541)&lt;=$L2541,"Đúng hạn","Trễ hạn"))</f>
      </c>
      <c r="N2541" s="225">
        <f>IF($C2541="","",ROW())</f>
      </c>
      <c r="O2541" s="225">
        <f>IF($I2541="Công việc",MATCH($C2541,'Kế hoạch'!$A$6:$A$305,0),"")</f>
      </c>
      <c r="P2541" s="234">
        <f>IF($O2541="","",INDEX('Kế hoạch'!$I$6:$I$305,$O2541))</f>
      </c>
      <c r="Q2541" s="225">
        <f>IF($O2541="","",INDEX('Kế hoạch'!$AJ$6:$AJ$305,$O2541))</f>
      </c>
      <c r="R2541" s="225">
        <f>IF($O2541="","",INDEX('Kế hoạch'!$AK$6:$AK$305,$O2541))</f>
      </c>
    </row>
    <row r="2542">
      <c r="A2542" s="223">
        <f>IF($C2542="","",COUNTIF($C$6:$C2542,"?*"))</f>
      </c>
      <c r="B2542" s="217"/>
      <c r="C2542" s="216"/>
      <c r="D2542" s="240"/>
      <c r="E2542" s="218"/>
      <c r="F2542" s="218"/>
      <c r="G2542" s="218"/>
      <c r="H2542" s="219"/>
      <c r="I2542" s="223">
        <f>IF($C2542="","",IF(ISNUMBER(MATCH($C2542,'Phản ánh'!$A$6:$A$505,0)),"Phản ánh",IF(ISNUMBER(MATCH($C2542,'Kế hoạch'!$A$6:$A$305,0)),"Công việc","Mã chưa có")))</f>
      </c>
      <c r="J2542" s="221">
        <f>IF($I2542="Phản ánh",INDEX('Phản ánh'!$C$6:$C$505,MATCH($C2542,'Phản ánh'!$A$6:$A$505,0)),IF($I2542="Công việc",INDEX('Kế hoạch'!$C$6:$C$305,$O2542),""))</f>
      </c>
      <c r="K2542" s="221">
        <f>IF($I2542="Phản ánh",INDEX('Phản ánh'!$K$6:$K$505,MATCH($C2542,'Phản ánh'!$A$6:$A$505,0))&amp;"",IF($I2542="Công việc",INDEX('Kế hoạch'!$N$6:$N$305,$O2542)&amp;"",""))</f>
      </c>
      <c r="L2542" s="220">
        <f>IF(OR($C2542="",N($B2542)=0),"",IF(AND($I2542="Phản ánh",$E2542="Đã xử lý"),INDEX('Phản ánh'!$U$6:$U$505,MATCH($C2542,'Phản ánh'!$A$6:$A$505,0)),IF(AND($I2542="Công việc",OR($E2542="Hoàn thành",$E2542="Hoàn thành kỳ")),IF(INDEX('Kế hoạch'!$B$6:$B$305,$O2542)="Đột xuất",INDEX('Kế hoạch'!$AY$6:$AY$305,$O2542),IF(N($P2542)=0,"",IF(INT($B2542)&lt;$P2542,$P2542,IF($Q2542&gt;0,$P2542+ROUND((INT($B2542)-$P2542)/$Q2542,0)*$Q2542,IF($R2542&gt;0,EDATE($P2542,ROUND((DATEDIF($P2542,INT($B2542),"m")+(INT($B2542)-EDATE($P2542,DATEDIF($P2542,INT($B2542),"m")))/(EDATE($P2542,DATEDIF($P2542,INT($B2542),"m")+1)-EDATE($P2542,DATEDIF($P2542,INT($B2542),"m"))))/$R2542,0)*$R2542),$P2542))))),"")))</f>
      </c>
      <c r="M2542" s="223">
        <f>IF(OR($C2542="",N($L2542)=0,N($B2542)=0),"",IF(IF(MOD($L2542,1)=0,INT($B2542),$B2542)&lt;=$L2542,"Đúng hạn","Trễ hạn"))</f>
      </c>
      <c r="N2542" s="225">
        <f>IF($C2542="","",ROW())</f>
      </c>
      <c r="O2542" s="225">
        <f>IF($I2542="Công việc",MATCH($C2542,'Kế hoạch'!$A$6:$A$305,0),"")</f>
      </c>
      <c r="P2542" s="234">
        <f>IF($O2542="","",INDEX('Kế hoạch'!$I$6:$I$305,$O2542))</f>
      </c>
      <c r="Q2542" s="225">
        <f>IF($O2542="","",INDEX('Kế hoạch'!$AJ$6:$AJ$305,$O2542))</f>
      </c>
      <c r="R2542" s="225">
        <f>IF($O2542="","",INDEX('Kế hoạch'!$AK$6:$AK$305,$O2542))</f>
      </c>
    </row>
    <row r="2543">
      <c r="A2543" s="223">
        <f>IF($C2543="","",COUNTIF($C$6:$C2543,"?*"))</f>
      </c>
      <c r="B2543" s="217"/>
      <c r="C2543" s="216"/>
      <c r="D2543" s="240"/>
      <c r="E2543" s="218"/>
      <c r="F2543" s="218"/>
      <c r="G2543" s="218"/>
      <c r="H2543" s="219"/>
      <c r="I2543" s="223">
        <f>IF($C2543="","",IF(ISNUMBER(MATCH($C2543,'Phản ánh'!$A$6:$A$505,0)),"Phản ánh",IF(ISNUMBER(MATCH($C2543,'Kế hoạch'!$A$6:$A$305,0)),"Công việc","Mã chưa có")))</f>
      </c>
      <c r="J2543" s="221">
        <f>IF($I2543="Phản ánh",INDEX('Phản ánh'!$C$6:$C$505,MATCH($C2543,'Phản ánh'!$A$6:$A$505,0)),IF($I2543="Công việc",INDEX('Kế hoạch'!$C$6:$C$305,$O2543),""))</f>
      </c>
      <c r="K2543" s="221">
        <f>IF($I2543="Phản ánh",INDEX('Phản ánh'!$K$6:$K$505,MATCH($C2543,'Phản ánh'!$A$6:$A$505,0))&amp;"",IF($I2543="Công việc",INDEX('Kế hoạch'!$N$6:$N$305,$O2543)&amp;"",""))</f>
      </c>
      <c r="L2543" s="220">
        <f>IF(OR($C2543="",N($B2543)=0),"",IF(AND($I2543="Phản ánh",$E2543="Đã xử lý"),INDEX('Phản ánh'!$U$6:$U$505,MATCH($C2543,'Phản ánh'!$A$6:$A$505,0)),IF(AND($I2543="Công việc",OR($E2543="Hoàn thành",$E2543="Hoàn thành kỳ")),IF(INDEX('Kế hoạch'!$B$6:$B$305,$O2543)="Đột xuất",INDEX('Kế hoạch'!$AY$6:$AY$305,$O2543),IF(N($P2543)=0,"",IF(INT($B2543)&lt;$P2543,$P2543,IF($Q2543&gt;0,$P2543+ROUND((INT($B2543)-$P2543)/$Q2543,0)*$Q2543,IF($R2543&gt;0,EDATE($P2543,ROUND((DATEDIF($P2543,INT($B2543),"m")+(INT($B2543)-EDATE($P2543,DATEDIF($P2543,INT($B2543),"m")))/(EDATE($P2543,DATEDIF($P2543,INT($B2543),"m")+1)-EDATE($P2543,DATEDIF($P2543,INT($B2543),"m"))))/$R2543,0)*$R2543),$P2543))))),"")))</f>
      </c>
      <c r="M2543" s="223">
        <f>IF(OR($C2543="",N($L2543)=0,N($B2543)=0),"",IF(IF(MOD($L2543,1)=0,INT($B2543),$B2543)&lt;=$L2543,"Đúng hạn","Trễ hạn"))</f>
      </c>
      <c r="N2543" s="225">
        <f>IF($C2543="","",ROW())</f>
      </c>
      <c r="O2543" s="225">
        <f>IF($I2543="Công việc",MATCH($C2543,'Kế hoạch'!$A$6:$A$305,0),"")</f>
      </c>
      <c r="P2543" s="234">
        <f>IF($O2543="","",INDEX('Kế hoạch'!$I$6:$I$305,$O2543))</f>
      </c>
      <c r="Q2543" s="225">
        <f>IF($O2543="","",INDEX('Kế hoạch'!$AJ$6:$AJ$305,$O2543))</f>
      </c>
      <c r="R2543" s="225">
        <f>IF($O2543="","",INDEX('Kế hoạch'!$AK$6:$AK$305,$O2543))</f>
      </c>
    </row>
    <row r="2544">
      <c r="A2544" s="223">
        <f>IF($C2544="","",COUNTIF($C$6:$C2544,"?*"))</f>
      </c>
      <c r="B2544" s="217"/>
      <c r="C2544" s="216"/>
      <c r="D2544" s="240"/>
      <c r="E2544" s="218"/>
      <c r="F2544" s="218"/>
      <c r="G2544" s="218"/>
      <c r="H2544" s="219"/>
      <c r="I2544" s="223">
        <f>IF($C2544="","",IF(ISNUMBER(MATCH($C2544,'Phản ánh'!$A$6:$A$505,0)),"Phản ánh",IF(ISNUMBER(MATCH($C2544,'Kế hoạch'!$A$6:$A$305,0)),"Công việc","Mã chưa có")))</f>
      </c>
      <c r="J2544" s="221">
        <f>IF($I2544="Phản ánh",INDEX('Phản ánh'!$C$6:$C$505,MATCH($C2544,'Phản ánh'!$A$6:$A$505,0)),IF($I2544="Công việc",INDEX('Kế hoạch'!$C$6:$C$305,$O2544),""))</f>
      </c>
      <c r="K2544" s="221">
        <f>IF($I2544="Phản ánh",INDEX('Phản ánh'!$K$6:$K$505,MATCH($C2544,'Phản ánh'!$A$6:$A$505,0))&amp;"",IF($I2544="Công việc",INDEX('Kế hoạch'!$N$6:$N$305,$O2544)&amp;"",""))</f>
      </c>
      <c r="L2544" s="220">
        <f>IF(OR($C2544="",N($B2544)=0),"",IF(AND($I2544="Phản ánh",$E2544="Đã xử lý"),INDEX('Phản ánh'!$U$6:$U$505,MATCH($C2544,'Phản ánh'!$A$6:$A$505,0)),IF(AND($I2544="Công việc",OR($E2544="Hoàn thành",$E2544="Hoàn thành kỳ")),IF(INDEX('Kế hoạch'!$B$6:$B$305,$O2544)="Đột xuất",INDEX('Kế hoạch'!$AY$6:$AY$305,$O2544),IF(N($P2544)=0,"",IF(INT($B2544)&lt;$P2544,$P2544,IF($Q2544&gt;0,$P2544+ROUND((INT($B2544)-$P2544)/$Q2544,0)*$Q2544,IF($R2544&gt;0,EDATE($P2544,ROUND((DATEDIF($P2544,INT($B2544),"m")+(INT($B2544)-EDATE($P2544,DATEDIF($P2544,INT($B2544),"m")))/(EDATE($P2544,DATEDIF($P2544,INT($B2544),"m")+1)-EDATE($P2544,DATEDIF($P2544,INT($B2544),"m"))))/$R2544,0)*$R2544),$P2544))))),"")))</f>
      </c>
      <c r="M2544" s="223">
        <f>IF(OR($C2544="",N($L2544)=0,N($B2544)=0),"",IF(IF(MOD($L2544,1)=0,INT($B2544),$B2544)&lt;=$L2544,"Đúng hạn","Trễ hạn"))</f>
      </c>
      <c r="N2544" s="225">
        <f>IF($C2544="","",ROW())</f>
      </c>
      <c r="O2544" s="225">
        <f>IF($I2544="Công việc",MATCH($C2544,'Kế hoạch'!$A$6:$A$305,0),"")</f>
      </c>
      <c r="P2544" s="234">
        <f>IF($O2544="","",INDEX('Kế hoạch'!$I$6:$I$305,$O2544))</f>
      </c>
      <c r="Q2544" s="225">
        <f>IF($O2544="","",INDEX('Kế hoạch'!$AJ$6:$AJ$305,$O2544))</f>
      </c>
      <c r="R2544" s="225">
        <f>IF($O2544="","",INDEX('Kế hoạch'!$AK$6:$AK$305,$O2544))</f>
      </c>
    </row>
    <row r="2545">
      <c r="A2545" s="223">
        <f>IF($C2545="","",COUNTIF($C$6:$C2545,"?*"))</f>
      </c>
      <c r="B2545" s="217"/>
      <c r="C2545" s="216"/>
      <c r="D2545" s="240"/>
      <c r="E2545" s="218"/>
      <c r="F2545" s="218"/>
      <c r="G2545" s="218"/>
      <c r="H2545" s="219"/>
      <c r="I2545" s="223">
        <f>IF($C2545="","",IF(ISNUMBER(MATCH($C2545,'Phản ánh'!$A$6:$A$505,0)),"Phản ánh",IF(ISNUMBER(MATCH($C2545,'Kế hoạch'!$A$6:$A$305,0)),"Công việc","Mã chưa có")))</f>
      </c>
      <c r="J2545" s="221">
        <f>IF($I2545="Phản ánh",INDEX('Phản ánh'!$C$6:$C$505,MATCH($C2545,'Phản ánh'!$A$6:$A$505,0)),IF($I2545="Công việc",INDEX('Kế hoạch'!$C$6:$C$305,$O2545),""))</f>
      </c>
      <c r="K2545" s="221">
        <f>IF($I2545="Phản ánh",INDEX('Phản ánh'!$K$6:$K$505,MATCH($C2545,'Phản ánh'!$A$6:$A$505,0))&amp;"",IF($I2545="Công việc",INDEX('Kế hoạch'!$N$6:$N$305,$O2545)&amp;"",""))</f>
      </c>
      <c r="L2545" s="220">
        <f>IF(OR($C2545="",N($B2545)=0),"",IF(AND($I2545="Phản ánh",$E2545="Đã xử lý"),INDEX('Phản ánh'!$U$6:$U$505,MATCH($C2545,'Phản ánh'!$A$6:$A$505,0)),IF(AND($I2545="Công việc",OR($E2545="Hoàn thành",$E2545="Hoàn thành kỳ")),IF(INDEX('Kế hoạch'!$B$6:$B$305,$O2545)="Đột xuất",INDEX('Kế hoạch'!$AY$6:$AY$305,$O2545),IF(N($P2545)=0,"",IF(INT($B2545)&lt;$P2545,$P2545,IF($Q2545&gt;0,$P2545+ROUND((INT($B2545)-$P2545)/$Q2545,0)*$Q2545,IF($R2545&gt;0,EDATE($P2545,ROUND((DATEDIF($P2545,INT($B2545),"m")+(INT($B2545)-EDATE($P2545,DATEDIF($P2545,INT($B2545),"m")))/(EDATE($P2545,DATEDIF($P2545,INT($B2545),"m")+1)-EDATE($P2545,DATEDIF($P2545,INT($B2545),"m"))))/$R2545,0)*$R2545),$P2545))))),"")))</f>
      </c>
      <c r="M2545" s="223">
        <f>IF(OR($C2545="",N($L2545)=0,N($B2545)=0),"",IF(IF(MOD($L2545,1)=0,INT($B2545),$B2545)&lt;=$L2545,"Đúng hạn","Trễ hạn"))</f>
      </c>
      <c r="N2545" s="225">
        <f>IF($C2545="","",ROW())</f>
      </c>
      <c r="O2545" s="225">
        <f>IF($I2545="Công việc",MATCH($C2545,'Kế hoạch'!$A$6:$A$305,0),"")</f>
      </c>
      <c r="P2545" s="234">
        <f>IF($O2545="","",INDEX('Kế hoạch'!$I$6:$I$305,$O2545))</f>
      </c>
      <c r="Q2545" s="225">
        <f>IF($O2545="","",INDEX('Kế hoạch'!$AJ$6:$AJ$305,$O2545))</f>
      </c>
      <c r="R2545" s="225">
        <f>IF($O2545="","",INDEX('Kế hoạch'!$AK$6:$AK$305,$O2545))</f>
      </c>
    </row>
    <row r="2546">
      <c r="A2546" s="223">
        <f>IF($C2546="","",COUNTIF($C$6:$C2546,"?*"))</f>
      </c>
      <c r="B2546" s="217"/>
      <c r="C2546" s="216"/>
      <c r="D2546" s="240"/>
      <c r="E2546" s="218"/>
      <c r="F2546" s="218"/>
      <c r="G2546" s="218"/>
      <c r="H2546" s="219"/>
      <c r="I2546" s="223">
        <f>IF($C2546="","",IF(ISNUMBER(MATCH($C2546,'Phản ánh'!$A$6:$A$505,0)),"Phản ánh",IF(ISNUMBER(MATCH($C2546,'Kế hoạch'!$A$6:$A$305,0)),"Công việc","Mã chưa có")))</f>
      </c>
      <c r="J2546" s="221">
        <f>IF($I2546="Phản ánh",INDEX('Phản ánh'!$C$6:$C$505,MATCH($C2546,'Phản ánh'!$A$6:$A$505,0)),IF($I2546="Công việc",INDEX('Kế hoạch'!$C$6:$C$305,$O2546),""))</f>
      </c>
      <c r="K2546" s="221">
        <f>IF($I2546="Phản ánh",INDEX('Phản ánh'!$K$6:$K$505,MATCH($C2546,'Phản ánh'!$A$6:$A$505,0))&amp;"",IF($I2546="Công việc",INDEX('Kế hoạch'!$N$6:$N$305,$O2546)&amp;"",""))</f>
      </c>
      <c r="L2546" s="220">
        <f>IF(OR($C2546="",N($B2546)=0),"",IF(AND($I2546="Phản ánh",$E2546="Đã xử lý"),INDEX('Phản ánh'!$U$6:$U$505,MATCH($C2546,'Phản ánh'!$A$6:$A$505,0)),IF(AND($I2546="Công việc",OR($E2546="Hoàn thành",$E2546="Hoàn thành kỳ")),IF(INDEX('Kế hoạch'!$B$6:$B$305,$O2546)="Đột xuất",INDEX('Kế hoạch'!$AY$6:$AY$305,$O2546),IF(N($P2546)=0,"",IF(INT($B2546)&lt;$P2546,$P2546,IF($Q2546&gt;0,$P2546+ROUND((INT($B2546)-$P2546)/$Q2546,0)*$Q2546,IF($R2546&gt;0,EDATE($P2546,ROUND((DATEDIF($P2546,INT($B2546),"m")+(INT($B2546)-EDATE($P2546,DATEDIF($P2546,INT($B2546),"m")))/(EDATE($P2546,DATEDIF($P2546,INT($B2546),"m")+1)-EDATE($P2546,DATEDIF($P2546,INT($B2546),"m"))))/$R2546,0)*$R2546),$P2546))))),"")))</f>
      </c>
      <c r="M2546" s="223">
        <f>IF(OR($C2546="",N($L2546)=0,N($B2546)=0),"",IF(IF(MOD($L2546,1)=0,INT($B2546),$B2546)&lt;=$L2546,"Đúng hạn","Trễ hạn"))</f>
      </c>
      <c r="N2546" s="225">
        <f>IF($C2546="","",ROW())</f>
      </c>
      <c r="O2546" s="225">
        <f>IF($I2546="Công việc",MATCH($C2546,'Kế hoạch'!$A$6:$A$305,0),"")</f>
      </c>
      <c r="P2546" s="234">
        <f>IF($O2546="","",INDEX('Kế hoạch'!$I$6:$I$305,$O2546))</f>
      </c>
      <c r="Q2546" s="225">
        <f>IF($O2546="","",INDEX('Kế hoạch'!$AJ$6:$AJ$305,$O2546))</f>
      </c>
      <c r="R2546" s="225">
        <f>IF($O2546="","",INDEX('Kế hoạch'!$AK$6:$AK$305,$O2546))</f>
      </c>
    </row>
    <row r="2547">
      <c r="A2547" s="223">
        <f>IF($C2547="","",COUNTIF($C$6:$C2547,"?*"))</f>
      </c>
      <c r="B2547" s="217"/>
      <c r="C2547" s="216"/>
      <c r="D2547" s="240"/>
      <c r="E2547" s="218"/>
      <c r="F2547" s="218"/>
      <c r="G2547" s="218"/>
      <c r="H2547" s="219"/>
      <c r="I2547" s="223">
        <f>IF($C2547="","",IF(ISNUMBER(MATCH($C2547,'Phản ánh'!$A$6:$A$505,0)),"Phản ánh",IF(ISNUMBER(MATCH($C2547,'Kế hoạch'!$A$6:$A$305,0)),"Công việc","Mã chưa có")))</f>
      </c>
      <c r="J2547" s="221">
        <f>IF($I2547="Phản ánh",INDEX('Phản ánh'!$C$6:$C$505,MATCH($C2547,'Phản ánh'!$A$6:$A$505,0)),IF($I2547="Công việc",INDEX('Kế hoạch'!$C$6:$C$305,$O2547),""))</f>
      </c>
      <c r="K2547" s="221">
        <f>IF($I2547="Phản ánh",INDEX('Phản ánh'!$K$6:$K$505,MATCH($C2547,'Phản ánh'!$A$6:$A$505,0))&amp;"",IF($I2547="Công việc",INDEX('Kế hoạch'!$N$6:$N$305,$O2547)&amp;"",""))</f>
      </c>
      <c r="L2547" s="220">
        <f>IF(OR($C2547="",N($B2547)=0),"",IF(AND($I2547="Phản ánh",$E2547="Đã xử lý"),INDEX('Phản ánh'!$U$6:$U$505,MATCH($C2547,'Phản ánh'!$A$6:$A$505,0)),IF(AND($I2547="Công việc",OR($E2547="Hoàn thành",$E2547="Hoàn thành kỳ")),IF(INDEX('Kế hoạch'!$B$6:$B$305,$O2547)="Đột xuất",INDEX('Kế hoạch'!$AY$6:$AY$305,$O2547),IF(N($P2547)=0,"",IF(INT($B2547)&lt;$P2547,$P2547,IF($Q2547&gt;0,$P2547+ROUND((INT($B2547)-$P2547)/$Q2547,0)*$Q2547,IF($R2547&gt;0,EDATE($P2547,ROUND((DATEDIF($P2547,INT($B2547),"m")+(INT($B2547)-EDATE($P2547,DATEDIF($P2547,INT($B2547),"m")))/(EDATE($P2547,DATEDIF($P2547,INT($B2547),"m")+1)-EDATE($P2547,DATEDIF($P2547,INT($B2547),"m"))))/$R2547,0)*$R2547),$P2547))))),"")))</f>
      </c>
      <c r="M2547" s="223">
        <f>IF(OR($C2547="",N($L2547)=0,N($B2547)=0),"",IF(IF(MOD($L2547,1)=0,INT($B2547),$B2547)&lt;=$L2547,"Đúng hạn","Trễ hạn"))</f>
      </c>
      <c r="N2547" s="225">
        <f>IF($C2547="","",ROW())</f>
      </c>
      <c r="O2547" s="225">
        <f>IF($I2547="Công việc",MATCH($C2547,'Kế hoạch'!$A$6:$A$305,0),"")</f>
      </c>
      <c r="P2547" s="234">
        <f>IF($O2547="","",INDEX('Kế hoạch'!$I$6:$I$305,$O2547))</f>
      </c>
      <c r="Q2547" s="225">
        <f>IF($O2547="","",INDEX('Kế hoạch'!$AJ$6:$AJ$305,$O2547))</f>
      </c>
      <c r="R2547" s="225">
        <f>IF($O2547="","",INDEX('Kế hoạch'!$AK$6:$AK$305,$O2547))</f>
      </c>
    </row>
    <row r="2548">
      <c r="A2548" s="223">
        <f>IF($C2548="","",COUNTIF($C$6:$C2548,"?*"))</f>
      </c>
      <c r="B2548" s="217"/>
      <c r="C2548" s="216"/>
      <c r="D2548" s="240"/>
      <c r="E2548" s="218"/>
      <c r="F2548" s="218"/>
      <c r="G2548" s="218"/>
      <c r="H2548" s="219"/>
      <c r="I2548" s="223">
        <f>IF($C2548="","",IF(ISNUMBER(MATCH($C2548,'Phản ánh'!$A$6:$A$505,0)),"Phản ánh",IF(ISNUMBER(MATCH($C2548,'Kế hoạch'!$A$6:$A$305,0)),"Công việc","Mã chưa có")))</f>
      </c>
      <c r="J2548" s="221">
        <f>IF($I2548="Phản ánh",INDEX('Phản ánh'!$C$6:$C$505,MATCH($C2548,'Phản ánh'!$A$6:$A$505,0)),IF($I2548="Công việc",INDEX('Kế hoạch'!$C$6:$C$305,$O2548),""))</f>
      </c>
      <c r="K2548" s="221">
        <f>IF($I2548="Phản ánh",INDEX('Phản ánh'!$K$6:$K$505,MATCH($C2548,'Phản ánh'!$A$6:$A$505,0))&amp;"",IF($I2548="Công việc",INDEX('Kế hoạch'!$N$6:$N$305,$O2548)&amp;"",""))</f>
      </c>
      <c r="L2548" s="220">
        <f>IF(OR($C2548="",N($B2548)=0),"",IF(AND($I2548="Phản ánh",$E2548="Đã xử lý"),INDEX('Phản ánh'!$U$6:$U$505,MATCH($C2548,'Phản ánh'!$A$6:$A$505,0)),IF(AND($I2548="Công việc",OR($E2548="Hoàn thành",$E2548="Hoàn thành kỳ")),IF(INDEX('Kế hoạch'!$B$6:$B$305,$O2548)="Đột xuất",INDEX('Kế hoạch'!$AY$6:$AY$305,$O2548),IF(N($P2548)=0,"",IF(INT($B2548)&lt;$P2548,$P2548,IF($Q2548&gt;0,$P2548+ROUND((INT($B2548)-$P2548)/$Q2548,0)*$Q2548,IF($R2548&gt;0,EDATE($P2548,ROUND((DATEDIF($P2548,INT($B2548),"m")+(INT($B2548)-EDATE($P2548,DATEDIF($P2548,INT($B2548),"m")))/(EDATE($P2548,DATEDIF($P2548,INT($B2548),"m")+1)-EDATE($P2548,DATEDIF($P2548,INT($B2548),"m"))))/$R2548,0)*$R2548),$P2548))))),"")))</f>
      </c>
      <c r="M2548" s="223">
        <f>IF(OR($C2548="",N($L2548)=0,N($B2548)=0),"",IF(IF(MOD($L2548,1)=0,INT($B2548),$B2548)&lt;=$L2548,"Đúng hạn","Trễ hạn"))</f>
      </c>
      <c r="N2548" s="225">
        <f>IF($C2548="","",ROW())</f>
      </c>
      <c r="O2548" s="225">
        <f>IF($I2548="Công việc",MATCH($C2548,'Kế hoạch'!$A$6:$A$305,0),"")</f>
      </c>
      <c r="P2548" s="234">
        <f>IF($O2548="","",INDEX('Kế hoạch'!$I$6:$I$305,$O2548))</f>
      </c>
      <c r="Q2548" s="225">
        <f>IF($O2548="","",INDEX('Kế hoạch'!$AJ$6:$AJ$305,$O2548))</f>
      </c>
      <c r="R2548" s="225">
        <f>IF($O2548="","",INDEX('Kế hoạch'!$AK$6:$AK$305,$O2548))</f>
      </c>
    </row>
    <row r="2549">
      <c r="A2549" s="223">
        <f>IF($C2549="","",COUNTIF($C$6:$C2549,"?*"))</f>
      </c>
      <c r="B2549" s="217"/>
      <c r="C2549" s="216"/>
      <c r="D2549" s="240"/>
      <c r="E2549" s="218"/>
      <c r="F2549" s="218"/>
      <c r="G2549" s="218"/>
      <c r="H2549" s="219"/>
      <c r="I2549" s="223">
        <f>IF($C2549="","",IF(ISNUMBER(MATCH($C2549,'Phản ánh'!$A$6:$A$505,0)),"Phản ánh",IF(ISNUMBER(MATCH($C2549,'Kế hoạch'!$A$6:$A$305,0)),"Công việc","Mã chưa có")))</f>
      </c>
      <c r="J2549" s="221">
        <f>IF($I2549="Phản ánh",INDEX('Phản ánh'!$C$6:$C$505,MATCH($C2549,'Phản ánh'!$A$6:$A$505,0)),IF($I2549="Công việc",INDEX('Kế hoạch'!$C$6:$C$305,$O2549),""))</f>
      </c>
      <c r="K2549" s="221">
        <f>IF($I2549="Phản ánh",INDEX('Phản ánh'!$K$6:$K$505,MATCH($C2549,'Phản ánh'!$A$6:$A$505,0))&amp;"",IF($I2549="Công việc",INDEX('Kế hoạch'!$N$6:$N$305,$O2549)&amp;"",""))</f>
      </c>
      <c r="L2549" s="220">
        <f>IF(OR($C2549="",N($B2549)=0),"",IF(AND($I2549="Phản ánh",$E2549="Đã xử lý"),INDEX('Phản ánh'!$U$6:$U$505,MATCH($C2549,'Phản ánh'!$A$6:$A$505,0)),IF(AND($I2549="Công việc",OR($E2549="Hoàn thành",$E2549="Hoàn thành kỳ")),IF(INDEX('Kế hoạch'!$B$6:$B$305,$O2549)="Đột xuất",INDEX('Kế hoạch'!$AY$6:$AY$305,$O2549),IF(N($P2549)=0,"",IF(INT($B2549)&lt;$P2549,$P2549,IF($Q2549&gt;0,$P2549+ROUND((INT($B2549)-$P2549)/$Q2549,0)*$Q2549,IF($R2549&gt;0,EDATE($P2549,ROUND((DATEDIF($P2549,INT($B2549),"m")+(INT($B2549)-EDATE($P2549,DATEDIF($P2549,INT($B2549),"m")))/(EDATE($P2549,DATEDIF($P2549,INT($B2549),"m")+1)-EDATE($P2549,DATEDIF($P2549,INT($B2549),"m"))))/$R2549,0)*$R2549),$P2549))))),"")))</f>
      </c>
      <c r="M2549" s="223">
        <f>IF(OR($C2549="",N($L2549)=0,N($B2549)=0),"",IF(IF(MOD($L2549,1)=0,INT($B2549),$B2549)&lt;=$L2549,"Đúng hạn","Trễ hạn"))</f>
      </c>
      <c r="N2549" s="225">
        <f>IF($C2549="","",ROW())</f>
      </c>
      <c r="O2549" s="225">
        <f>IF($I2549="Công việc",MATCH($C2549,'Kế hoạch'!$A$6:$A$305,0),"")</f>
      </c>
      <c r="P2549" s="234">
        <f>IF($O2549="","",INDEX('Kế hoạch'!$I$6:$I$305,$O2549))</f>
      </c>
      <c r="Q2549" s="225">
        <f>IF($O2549="","",INDEX('Kế hoạch'!$AJ$6:$AJ$305,$O2549))</f>
      </c>
      <c r="R2549" s="225">
        <f>IF($O2549="","",INDEX('Kế hoạch'!$AK$6:$AK$305,$O2549))</f>
      </c>
    </row>
    <row r="2550">
      <c r="A2550" s="223">
        <f>IF($C2550="","",COUNTIF($C$6:$C2550,"?*"))</f>
      </c>
      <c r="B2550" s="217"/>
      <c r="C2550" s="216"/>
      <c r="D2550" s="240"/>
      <c r="E2550" s="218"/>
      <c r="F2550" s="218"/>
      <c r="G2550" s="218"/>
      <c r="H2550" s="219"/>
      <c r="I2550" s="223">
        <f>IF($C2550="","",IF(ISNUMBER(MATCH($C2550,'Phản ánh'!$A$6:$A$505,0)),"Phản ánh",IF(ISNUMBER(MATCH($C2550,'Kế hoạch'!$A$6:$A$305,0)),"Công việc","Mã chưa có")))</f>
      </c>
      <c r="J2550" s="221">
        <f>IF($I2550="Phản ánh",INDEX('Phản ánh'!$C$6:$C$505,MATCH($C2550,'Phản ánh'!$A$6:$A$505,0)),IF($I2550="Công việc",INDEX('Kế hoạch'!$C$6:$C$305,$O2550),""))</f>
      </c>
      <c r="K2550" s="221">
        <f>IF($I2550="Phản ánh",INDEX('Phản ánh'!$K$6:$K$505,MATCH($C2550,'Phản ánh'!$A$6:$A$505,0))&amp;"",IF($I2550="Công việc",INDEX('Kế hoạch'!$N$6:$N$305,$O2550)&amp;"",""))</f>
      </c>
      <c r="L2550" s="220">
        <f>IF(OR($C2550="",N($B2550)=0),"",IF(AND($I2550="Phản ánh",$E2550="Đã xử lý"),INDEX('Phản ánh'!$U$6:$U$505,MATCH($C2550,'Phản ánh'!$A$6:$A$505,0)),IF(AND($I2550="Công việc",OR($E2550="Hoàn thành",$E2550="Hoàn thành kỳ")),IF(INDEX('Kế hoạch'!$B$6:$B$305,$O2550)="Đột xuất",INDEX('Kế hoạch'!$AY$6:$AY$305,$O2550),IF(N($P2550)=0,"",IF(INT($B2550)&lt;$P2550,$P2550,IF($Q2550&gt;0,$P2550+ROUND((INT($B2550)-$P2550)/$Q2550,0)*$Q2550,IF($R2550&gt;0,EDATE($P2550,ROUND((DATEDIF($P2550,INT($B2550),"m")+(INT($B2550)-EDATE($P2550,DATEDIF($P2550,INT($B2550),"m")))/(EDATE($P2550,DATEDIF($P2550,INT($B2550),"m")+1)-EDATE($P2550,DATEDIF($P2550,INT($B2550),"m"))))/$R2550,0)*$R2550),$P2550))))),"")))</f>
      </c>
      <c r="M2550" s="223">
        <f>IF(OR($C2550="",N($L2550)=0,N($B2550)=0),"",IF(IF(MOD($L2550,1)=0,INT($B2550),$B2550)&lt;=$L2550,"Đúng hạn","Trễ hạn"))</f>
      </c>
      <c r="N2550" s="225">
        <f>IF($C2550="","",ROW())</f>
      </c>
      <c r="O2550" s="225">
        <f>IF($I2550="Công việc",MATCH($C2550,'Kế hoạch'!$A$6:$A$305,0),"")</f>
      </c>
      <c r="P2550" s="234">
        <f>IF($O2550="","",INDEX('Kế hoạch'!$I$6:$I$305,$O2550))</f>
      </c>
      <c r="Q2550" s="225">
        <f>IF($O2550="","",INDEX('Kế hoạch'!$AJ$6:$AJ$305,$O2550))</f>
      </c>
      <c r="R2550" s="225">
        <f>IF($O2550="","",INDEX('Kế hoạch'!$AK$6:$AK$305,$O2550))</f>
      </c>
    </row>
    <row r="2551">
      <c r="A2551" s="223">
        <f>IF($C2551="","",COUNTIF($C$6:$C2551,"?*"))</f>
      </c>
      <c r="B2551" s="217"/>
      <c r="C2551" s="216"/>
      <c r="D2551" s="240"/>
      <c r="E2551" s="218"/>
      <c r="F2551" s="218"/>
      <c r="G2551" s="218"/>
      <c r="H2551" s="219"/>
      <c r="I2551" s="223">
        <f>IF($C2551="","",IF(ISNUMBER(MATCH($C2551,'Phản ánh'!$A$6:$A$505,0)),"Phản ánh",IF(ISNUMBER(MATCH($C2551,'Kế hoạch'!$A$6:$A$305,0)),"Công việc","Mã chưa có")))</f>
      </c>
      <c r="J2551" s="221">
        <f>IF($I2551="Phản ánh",INDEX('Phản ánh'!$C$6:$C$505,MATCH($C2551,'Phản ánh'!$A$6:$A$505,0)),IF($I2551="Công việc",INDEX('Kế hoạch'!$C$6:$C$305,$O2551),""))</f>
      </c>
      <c r="K2551" s="221">
        <f>IF($I2551="Phản ánh",INDEX('Phản ánh'!$K$6:$K$505,MATCH($C2551,'Phản ánh'!$A$6:$A$505,0))&amp;"",IF($I2551="Công việc",INDEX('Kế hoạch'!$N$6:$N$305,$O2551)&amp;"",""))</f>
      </c>
      <c r="L2551" s="220">
        <f>IF(OR($C2551="",N($B2551)=0),"",IF(AND($I2551="Phản ánh",$E2551="Đã xử lý"),INDEX('Phản ánh'!$U$6:$U$505,MATCH($C2551,'Phản ánh'!$A$6:$A$505,0)),IF(AND($I2551="Công việc",OR($E2551="Hoàn thành",$E2551="Hoàn thành kỳ")),IF(INDEX('Kế hoạch'!$B$6:$B$305,$O2551)="Đột xuất",INDEX('Kế hoạch'!$AY$6:$AY$305,$O2551),IF(N($P2551)=0,"",IF(INT($B2551)&lt;$P2551,$P2551,IF($Q2551&gt;0,$P2551+ROUND((INT($B2551)-$P2551)/$Q2551,0)*$Q2551,IF($R2551&gt;0,EDATE($P2551,ROUND((DATEDIF($P2551,INT($B2551),"m")+(INT($B2551)-EDATE($P2551,DATEDIF($P2551,INT($B2551),"m")))/(EDATE($P2551,DATEDIF($P2551,INT($B2551),"m")+1)-EDATE($P2551,DATEDIF($P2551,INT($B2551),"m"))))/$R2551,0)*$R2551),$P2551))))),"")))</f>
      </c>
      <c r="M2551" s="223">
        <f>IF(OR($C2551="",N($L2551)=0,N($B2551)=0),"",IF(IF(MOD($L2551,1)=0,INT($B2551),$B2551)&lt;=$L2551,"Đúng hạn","Trễ hạn"))</f>
      </c>
      <c r="N2551" s="225">
        <f>IF($C2551="","",ROW())</f>
      </c>
      <c r="O2551" s="225">
        <f>IF($I2551="Công việc",MATCH($C2551,'Kế hoạch'!$A$6:$A$305,0),"")</f>
      </c>
      <c r="P2551" s="234">
        <f>IF($O2551="","",INDEX('Kế hoạch'!$I$6:$I$305,$O2551))</f>
      </c>
      <c r="Q2551" s="225">
        <f>IF($O2551="","",INDEX('Kế hoạch'!$AJ$6:$AJ$305,$O2551))</f>
      </c>
      <c r="R2551" s="225">
        <f>IF($O2551="","",INDEX('Kế hoạch'!$AK$6:$AK$305,$O2551))</f>
      </c>
    </row>
    <row r="2552">
      <c r="A2552" s="223">
        <f>IF($C2552="","",COUNTIF($C$6:$C2552,"?*"))</f>
      </c>
      <c r="B2552" s="217"/>
      <c r="C2552" s="216"/>
      <c r="D2552" s="240"/>
      <c r="E2552" s="218"/>
      <c r="F2552" s="218"/>
      <c r="G2552" s="218"/>
      <c r="H2552" s="219"/>
      <c r="I2552" s="223">
        <f>IF($C2552="","",IF(ISNUMBER(MATCH($C2552,'Phản ánh'!$A$6:$A$505,0)),"Phản ánh",IF(ISNUMBER(MATCH($C2552,'Kế hoạch'!$A$6:$A$305,0)),"Công việc","Mã chưa có")))</f>
      </c>
      <c r="J2552" s="221">
        <f>IF($I2552="Phản ánh",INDEX('Phản ánh'!$C$6:$C$505,MATCH($C2552,'Phản ánh'!$A$6:$A$505,0)),IF($I2552="Công việc",INDEX('Kế hoạch'!$C$6:$C$305,$O2552),""))</f>
      </c>
      <c r="K2552" s="221">
        <f>IF($I2552="Phản ánh",INDEX('Phản ánh'!$K$6:$K$505,MATCH($C2552,'Phản ánh'!$A$6:$A$505,0))&amp;"",IF($I2552="Công việc",INDEX('Kế hoạch'!$N$6:$N$305,$O2552)&amp;"",""))</f>
      </c>
      <c r="L2552" s="220">
        <f>IF(OR($C2552="",N($B2552)=0),"",IF(AND($I2552="Phản ánh",$E2552="Đã xử lý"),INDEX('Phản ánh'!$U$6:$U$505,MATCH($C2552,'Phản ánh'!$A$6:$A$505,0)),IF(AND($I2552="Công việc",OR($E2552="Hoàn thành",$E2552="Hoàn thành kỳ")),IF(INDEX('Kế hoạch'!$B$6:$B$305,$O2552)="Đột xuất",INDEX('Kế hoạch'!$AY$6:$AY$305,$O2552),IF(N($P2552)=0,"",IF(INT($B2552)&lt;$P2552,$P2552,IF($Q2552&gt;0,$P2552+ROUND((INT($B2552)-$P2552)/$Q2552,0)*$Q2552,IF($R2552&gt;0,EDATE($P2552,ROUND((DATEDIF($P2552,INT($B2552),"m")+(INT($B2552)-EDATE($P2552,DATEDIF($P2552,INT($B2552),"m")))/(EDATE($P2552,DATEDIF($P2552,INT($B2552),"m")+1)-EDATE($P2552,DATEDIF($P2552,INT($B2552),"m"))))/$R2552,0)*$R2552),$P2552))))),"")))</f>
      </c>
      <c r="M2552" s="223">
        <f>IF(OR($C2552="",N($L2552)=0,N($B2552)=0),"",IF(IF(MOD($L2552,1)=0,INT($B2552),$B2552)&lt;=$L2552,"Đúng hạn","Trễ hạn"))</f>
      </c>
      <c r="N2552" s="225">
        <f>IF($C2552="","",ROW())</f>
      </c>
      <c r="O2552" s="225">
        <f>IF($I2552="Công việc",MATCH($C2552,'Kế hoạch'!$A$6:$A$305,0),"")</f>
      </c>
      <c r="P2552" s="234">
        <f>IF($O2552="","",INDEX('Kế hoạch'!$I$6:$I$305,$O2552))</f>
      </c>
      <c r="Q2552" s="225">
        <f>IF($O2552="","",INDEX('Kế hoạch'!$AJ$6:$AJ$305,$O2552))</f>
      </c>
      <c r="R2552" s="225">
        <f>IF($O2552="","",INDEX('Kế hoạch'!$AK$6:$AK$305,$O2552))</f>
      </c>
    </row>
    <row r="2553">
      <c r="A2553" s="223">
        <f>IF($C2553="","",COUNTIF($C$6:$C2553,"?*"))</f>
      </c>
      <c r="B2553" s="217"/>
      <c r="C2553" s="216"/>
      <c r="D2553" s="240"/>
      <c r="E2553" s="218"/>
      <c r="F2553" s="218"/>
      <c r="G2553" s="218"/>
      <c r="H2553" s="219"/>
      <c r="I2553" s="223">
        <f>IF($C2553="","",IF(ISNUMBER(MATCH($C2553,'Phản ánh'!$A$6:$A$505,0)),"Phản ánh",IF(ISNUMBER(MATCH($C2553,'Kế hoạch'!$A$6:$A$305,0)),"Công việc","Mã chưa có")))</f>
      </c>
      <c r="J2553" s="221">
        <f>IF($I2553="Phản ánh",INDEX('Phản ánh'!$C$6:$C$505,MATCH($C2553,'Phản ánh'!$A$6:$A$505,0)),IF($I2553="Công việc",INDEX('Kế hoạch'!$C$6:$C$305,$O2553),""))</f>
      </c>
      <c r="K2553" s="221">
        <f>IF($I2553="Phản ánh",INDEX('Phản ánh'!$K$6:$K$505,MATCH($C2553,'Phản ánh'!$A$6:$A$505,0))&amp;"",IF($I2553="Công việc",INDEX('Kế hoạch'!$N$6:$N$305,$O2553)&amp;"",""))</f>
      </c>
      <c r="L2553" s="220">
        <f>IF(OR($C2553="",N($B2553)=0),"",IF(AND($I2553="Phản ánh",$E2553="Đã xử lý"),INDEX('Phản ánh'!$U$6:$U$505,MATCH($C2553,'Phản ánh'!$A$6:$A$505,0)),IF(AND($I2553="Công việc",OR($E2553="Hoàn thành",$E2553="Hoàn thành kỳ")),IF(INDEX('Kế hoạch'!$B$6:$B$305,$O2553)="Đột xuất",INDEX('Kế hoạch'!$AY$6:$AY$305,$O2553),IF(N($P2553)=0,"",IF(INT($B2553)&lt;$P2553,$P2553,IF($Q2553&gt;0,$P2553+ROUND((INT($B2553)-$P2553)/$Q2553,0)*$Q2553,IF($R2553&gt;0,EDATE($P2553,ROUND((DATEDIF($P2553,INT($B2553),"m")+(INT($B2553)-EDATE($P2553,DATEDIF($P2553,INT($B2553),"m")))/(EDATE($P2553,DATEDIF($P2553,INT($B2553),"m")+1)-EDATE($P2553,DATEDIF($P2553,INT($B2553),"m"))))/$R2553,0)*$R2553),$P2553))))),"")))</f>
      </c>
      <c r="M2553" s="223">
        <f>IF(OR($C2553="",N($L2553)=0,N($B2553)=0),"",IF(IF(MOD($L2553,1)=0,INT($B2553),$B2553)&lt;=$L2553,"Đúng hạn","Trễ hạn"))</f>
      </c>
      <c r="N2553" s="225">
        <f>IF($C2553="","",ROW())</f>
      </c>
      <c r="O2553" s="225">
        <f>IF($I2553="Công việc",MATCH($C2553,'Kế hoạch'!$A$6:$A$305,0),"")</f>
      </c>
      <c r="P2553" s="234">
        <f>IF($O2553="","",INDEX('Kế hoạch'!$I$6:$I$305,$O2553))</f>
      </c>
      <c r="Q2553" s="225">
        <f>IF($O2553="","",INDEX('Kế hoạch'!$AJ$6:$AJ$305,$O2553))</f>
      </c>
      <c r="R2553" s="225">
        <f>IF($O2553="","",INDEX('Kế hoạch'!$AK$6:$AK$305,$O2553))</f>
      </c>
    </row>
    <row r="2554">
      <c r="A2554" s="223">
        <f>IF($C2554="","",COUNTIF($C$6:$C2554,"?*"))</f>
      </c>
      <c r="B2554" s="217"/>
      <c r="C2554" s="216"/>
      <c r="D2554" s="240"/>
      <c r="E2554" s="218"/>
      <c r="F2554" s="218"/>
      <c r="G2554" s="218"/>
      <c r="H2554" s="219"/>
      <c r="I2554" s="223">
        <f>IF($C2554="","",IF(ISNUMBER(MATCH($C2554,'Phản ánh'!$A$6:$A$505,0)),"Phản ánh",IF(ISNUMBER(MATCH($C2554,'Kế hoạch'!$A$6:$A$305,0)),"Công việc","Mã chưa có")))</f>
      </c>
      <c r="J2554" s="221">
        <f>IF($I2554="Phản ánh",INDEX('Phản ánh'!$C$6:$C$505,MATCH($C2554,'Phản ánh'!$A$6:$A$505,0)),IF($I2554="Công việc",INDEX('Kế hoạch'!$C$6:$C$305,$O2554),""))</f>
      </c>
      <c r="K2554" s="221">
        <f>IF($I2554="Phản ánh",INDEX('Phản ánh'!$K$6:$K$505,MATCH($C2554,'Phản ánh'!$A$6:$A$505,0))&amp;"",IF($I2554="Công việc",INDEX('Kế hoạch'!$N$6:$N$305,$O2554)&amp;"",""))</f>
      </c>
      <c r="L2554" s="220">
        <f>IF(OR($C2554="",N($B2554)=0),"",IF(AND($I2554="Phản ánh",$E2554="Đã xử lý"),INDEX('Phản ánh'!$U$6:$U$505,MATCH($C2554,'Phản ánh'!$A$6:$A$505,0)),IF(AND($I2554="Công việc",OR($E2554="Hoàn thành",$E2554="Hoàn thành kỳ")),IF(INDEX('Kế hoạch'!$B$6:$B$305,$O2554)="Đột xuất",INDEX('Kế hoạch'!$AY$6:$AY$305,$O2554),IF(N($P2554)=0,"",IF(INT($B2554)&lt;$P2554,$P2554,IF($Q2554&gt;0,$P2554+ROUND((INT($B2554)-$P2554)/$Q2554,0)*$Q2554,IF($R2554&gt;0,EDATE($P2554,ROUND((DATEDIF($P2554,INT($B2554),"m")+(INT($B2554)-EDATE($P2554,DATEDIF($P2554,INT($B2554),"m")))/(EDATE($P2554,DATEDIF($P2554,INT($B2554),"m")+1)-EDATE($P2554,DATEDIF($P2554,INT($B2554),"m"))))/$R2554,0)*$R2554),$P2554))))),"")))</f>
      </c>
      <c r="M2554" s="223">
        <f>IF(OR($C2554="",N($L2554)=0,N($B2554)=0),"",IF(IF(MOD($L2554,1)=0,INT($B2554),$B2554)&lt;=$L2554,"Đúng hạn","Trễ hạn"))</f>
      </c>
      <c r="N2554" s="225">
        <f>IF($C2554="","",ROW())</f>
      </c>
      <c r="O2554" s="225">
        <f>IF($I2554="Công việc",MATCH($C2554,'Kế hoạch'!$A$6:$A$305,0),"")</f>
      </c>
      <c r="P2554" s="234">
        <f>IF($O2554="","",INDEX('Kế hoạch'!$I$6:$I$305,$O2554))</f>
      </c>
      <c r="Q2554" s="225">
        <f>IF($O2554="","",INDEX('Kế hoạch'!$AJ$6:$AJ$305,$O2554))</f>
      </c>
      <c r="R2554" s="225">
        <f>IF($O2554="","",INDEX('Kế hoạch'!$AK$6:$AK$305,$O2554))</f>
      </c>
    </row>
    <row r="2555">
      <c r="A2555" s="223">
        <f>IF($C2555="","",COUNTIF($C$6:$C2555,"?*"))</f>
      </c>
      <c r="B2555" s="217"/>
      <c r="C2555" s="216"/>
      <c r="D2555" s="240"/>
      <c r="E2555" s="218"/>
      <c r="F2555" s="218"/>
      <c r="G2555" s="218"/>
      <c r="H2555" s="219"/>
      <c r="I2555" s="223">
        <f>IF($C2555="","",IF(ISNUMBER(MATCH($C2555,'Phản ánh'!$A$6:$A$505,0)),"Phản ánh",IF(ISNUMBER(MATCH($C2555,'Kế hoạch'!$A$6:$A$305,0)),"Công việc","Mã chưa có")))</f>
      </c>
      <c r="J2555" s="221">
        <f>IF($I2555="Phản ánh",INDEX('Phản ánh'!$C$6:$C$505,MATCH($C2555,'Phản ánh'!$A$6:$A$505,0)),IF($I2555="Công việc",INDEX('Kế hoạch'!$C$6:$C$305,$O2555),""))</f>
      </c>
      <c r="K2555" s="221">
        <f>IF($I2555="Phản ánh",INDEX('Phản ánh'!$K$6:$K$505,MATCH($C2555,'Phản ánh'!$A$6:$A$505,0))&amp;"",IF($I2555="Công việc",INDEX('Kế hoạch'!$N$6:$N$305,$O2555)&amp;"",""))</f>
      </c>
      <c r="L2555" s="220">
        <f>IF(OR($C2555="",N($B2555)=0),"",IF(AND($I2555="Phản ánh",$E2555="Đã xử lý"),INDEX('Phản ánh'!$U$6:$U$505,MATCH($C2555,'Phản ánh'!$A$6:$A$505,0)),IF(AND($I2555="Công việc",OR($E2555="Hoàn thành",$E2555="Hoàn thành kỳ")),IF(INDEX('Kế hoạch'!$B$6:$B$305,$O2555)="Đột xuất",INDEX('Kế hoạch'!$AY$6:$AY$305,$O2555),IF(N($P2555)=0,"",IF(INT($B2555)&lt;$P2555,$P2555,IF($Q2555&gt;0,$P2555+ROUND((INT($B2555)-$P2555)/$Q2555,0)*$Q2555,IF($R2555&gt;0,EDATE($P2555,ROUND((DATEDIF($P2555,INT($B2555),"m")+(INT($B2555)-EDATE($P2555,DATEDIF($P2555,INT($B2555),"m")))/(EDATE($P2555,DATEDIF($P2555,INT($B2555),"m")+1)-EDATE($P2555,DATEDIF($P2555,INT($B2555),"m"))))/$R2555,0)*$R2555),$P2555))))),"")))</f>
      </c>
      <c r="M2555" s="223">
        <f>IF(OR($C2555="",N($L2555)=0,N($B2555)=0),"",IF(IF(MOD($L2555,1)=0,INT($B2555),$B2555)&lt;=$L2555,"Đúng hạn","Trễ hạn"))</f>
      </c>
      <c r="N2555" s="225">
        <f>IF($C2555="","",ROW())</f>
      </c>
      <c r="O2555" s="225">
        <f>IF($I2555="Công việc",MATCH($C2555,'Kế hoạch'!$A$6:$A$305,0),"")</f>
      </c>
      <c r="P2555" s="234">
        <f>IF($O2555="","",INDEX('Kế hoạch'!$I$6:$I$305,$O2555))</f>
      </c>
      <c r="Q2555" s="225">
        <f>IF($O2555="","",INDEX('Kế hoạch'!$AJ$6:$AJ$305,$O2555))</f>
      </c>
      <c r="R2555" s="225">
        <f>IF($O2555="","",INDEX('Kế hoạch'!$AK$6:$AK$305,$O2555))</f>
      </c>
    </row>
    <row r="2556">
      <c r="A2556" s="223">
        <f>IF($C2556="","",COUNTIF($C$6:$C2556,"?*"))</f>
      </c>
      <c r="B2556" s="217"/>
      <c r="C2556" s="216"/>
      <c r="D2556" s="240"/>
      <c r="E2556" s="218"/>
      <c r="F2556" s="218"/>
      <c r="G2556" s="218"/>
      <c r="H2556" s="219"/>
      <c r="I2556" s="223">
        <f>IF($C2556="","",IF(ISNUMBER(MATCH($C2556,'Phản ánh'!$A$6:$A$505,0)),"Phản ánh",IF(ISNUMBER(MATCH($C2556,'Kế hoạch'!$A$6:$A$305,0)),"Công việc","Mã chưa có")))</f>
      </c>
      <c r="J2556" s="221">
        <f>IF($I2556="Phản ánh",INDEX('Phản ánh'!$C$6:$C$505,MATCH($C2556,'Phản ánh'!$A$6:$A$505,0)),IF($I2556="Công việc",INDEX('Kế hoạch'!$C$6:$C$305,$O2556),""))</f>
      </c>
      <c r="K2556" s="221">
        <f>IF($I2556="Phản ánh",INDEX('Phản ánh'!$K$6:$K$505,MATCH($C2556,'Phản ánh'!$A$6:$A$505,0))&amp;"",IF($I2556="Công việc",INDEX('Kế hoạch'!$N$6:$N$305,$O2556)&amp;"",""))</f>
      </c>
      <c r="L2556" s="220">
        <f>IF(OR($C2556="",N($B2556)=0),"",IF(AND($I2556="Phản ánh",$E2556="Đã xử lý"),INDEX('Phản ánh'!$U$6:$U$505,MATCH($C2556,'Phản ánh'!$A$6:$A$505,0)),IF(AND($I2556="Công việc",OR($E2556="Hoàn thành",$E2556="Hoàn thành kỳ")),IF(INDEX('Kế hoạch'!$B$6:$B$305,$O2556)="Đột xuất",INDEX('Kế hoạch'!$AY$6:$AY$305,$O2556),IF(N($P2556)=0,"",IF(INT($B2556)&lt;$P2556,$P2556,IF($Q2556&gt;0,$P2556+ROUND((INT($B2556)-$P2556)/$Q2556,0)*$Q2556,IF($R2556&gt;0,EDATE($P2556,ROUND((DATEDIF($P2556,INT($B2556),"m")+(INT($B2556)-EDATE($P2556,DATEDIF($P2556,INT($B2556),"m")))/(EDATE($P2556,DATEDIF($P2556,INT($B2556),"m")+1)-EDATE($P2556,DATEDIF($P2556,INT($B2556),"m"))))/$R2556,0)*$R2556),$P2556))))),"")))</f>
      </c>
      <c r="M2556" s="223">
        <f>IF(OR($C2556="",N($L2556)=0,N($B2556)=0),"",IF(IF(MOD($L2556,1)=0,INT($B2556),$B2556)&lt;=$L2556,"Đúng hạn","Trễ hạn"))</f>
      </c>
      <c r="N2556" s="225">
        <f>IF($C2556="","",ROW())</f>
      </c>
      <c r="O2556" s="225">
        <f>IF($I2556="Công việc",MATCH($C2556,'Kế hoạch'!$A$6:$A$305,0),"")</f>
      </c>
      <c r="P2556" s="234">
        <f>IF($O2556="","",INDEX('Kế hoạch'!$I$6:$I$305,$O2556))</f>
      </c>
      <c r="Q2556" s="225">
        <f>IF($O2556="","",INDEX('Kế hoạch'!$AJ$6:$AJ$305,$O2556))</f>
      </c>
      <c r="R2556" s="225">
        <f>IF($O2556="","",INDEX('Kế hoạch'!$AK$6:$AK$305,$O2556))</f>
      </c>
    </row>
    <row r="2557">
      <c r="A2557" s="223">
        <f>IF($C2557="","",COUNTIF($C$6:$C2557,"?*"))</f>
      </c>
      <c r="B2557" s="217"/>
      <c r="C2557" s="216"/>
      <c r="D2557" s="240"/>
      <c r="E2557" s="218"/>
      <c r="F2557" s="218"/>
      <c r="G2557" s="218"/>
      <c r="H2557" s="219"/>
      <c r="I2557" s="223">
        <f>IF($C2557="","",IF(ISNUMBER(MATCH($C2557,'Phản ánh'!$A$6:$A$505,0)),"Phản ánh",IF(ISNUMBER(MATCH($C2557,'Kế hoạch'!$A$6:$A$305,0)),"Công việc","Mã chưa có")))</f>
      </c>
      <c r="J2557" s="221">
        <f>IF($I2557="Phản ánh",INDEX('Phản ánh'!$C$6:$C$505,MATCH($C2557,'Phản ánh'!$A$6:$A$505,0)),IF($I2557="Công việc",INDEX('Kế hoạch'!$C$6:$C$305,$O2557),""))</f>
      </c>
      <c r="K2557" s="221">
        <f>IF($I2557="Phản ánh",INDEX('Phản ánh'!$K$6:$K$505,MATCH($C2557,'Phản ánh'!$A$6:$A$505,0))&amp;"",IF($I2557="Công việc",INDEX('Kế hoạch'!$N$6:$N$305,$O2557)&amp;"",""))</f>
      </c>
      <c r="L2557" s="220">
        <f>IF(OR($C2557="",N($B2557)=0),"",IF(AND($I2557="Phản ánh",$E2557="Đã xử lý"),INDEX('Phản ánh'!$U$6:$U$505,MATCH($C2557,'Phản ánh'!$A$6:$A$505,0)),IF(AND($I2557="Công việc",OR($E2557="Hoàn thành",$E2557="Hoàn thành kỳ")),IF(INDEX('Kế hoạch'!$B$6:$B$305,$O2557)="Đột xuất",INDEX('Kế hoạch'!$AY$6:$AY$305,$O2557),IF(N($P2557)=0,"",IF(INT($B2557)&lt;$P2557,$P2557,IF($Q2557&gt;0,$P2557+ROUND((INT($B2557)-$P2557)/$Q2557,0)*$Q2557,IF($R2557&gt;0,EDATE($P2557,ROUND((DATEDIF($P2557,INT($B2557),"m")+(INT($B2557)-EDATE($P2557,DATEDIF($P2557,INT($B2557),"m")))/(EDATE($P2557,DATEDIF($P2557,INT($B2557),"m")+1)-EDATE($P2557,DATEDIF($P2557,INT($B2557),"m"))))/$R2557,0)*$R2557),$P2557))))),"")))</f>
      </c>
      <c r="M2557" s="223">
        <f>IF(OR($C2557="",N($L2557)=0,N($B2557)=0),"",IF(IF(MOD($L2557,1)=0,INT($B2557),$B2557)&lt;=$L2557,"Đúng hạn","Trễ hạn"))</f>
      </c>
      <c r="N2557" s="225">
        <f>IF($C2557="","",ROW())</f>
      </c>
      <c r="O2557" s="225">
        <f>IF($I2557="Công việc",MATCH($C2557,'Kế hoạch'!$A$6:$A$305,0),"")</f>
      </c>
      <c r="P2557" s="234">
        <f>IF($O2557="","",INDEX('Kế hoạch'!$I$6:$I$305,$O2557))</f>
      </c>
      <c r="Q2557" s="225">
        <f>IF($O2557="","",INDEX('Kế hoạch'!$AJ$6:$AJ$305,$O2557))</f>
      </c>
      <c r="R2557" s="225">
        <f>IF($O2557="","",INDEX('Kế hoạch'!$AK$6:$AK$305,$O2557))</f>
      </c>
    </row>
    <row r="2558">
      <c r="A2558" s="223">
        <f>IF($C2558="","",COUNTIF($C$6:$C2558,"?*"))</f>
      </c>
      <c r="B2558" s="217"/>
      <c r="C2558" s="216"/>
      <c r="D2558" s="240"/>
      <c r="E2558" s="218"/>
      <c r="F2558" s="218"/>
      <c r="G2558" s="218"/>
      <c r="H2558" s="219"/>
      <c r="I2558" s="223">
        <f>IF($C2558="","",IF(ISNUMBER(MATCH($C2558,'Phản ánh'!$A$6:$A$505,0)),"Phản ánh",IF(ISNUMBER(MATCH($C2558,'Kế hoạch'!$A$6:$A$305,0)),"Công việc","Mã chưa có")))</f>
      </c>
      <c r="J2558" s="221">
        <f>IF($I2558="Phản ánh",INDEX('Phản ánh'!$C$6:$C$505,MATCH($C2558,'Phản ánh'!$A$6:$A$505,0)),IF($I2558="Công việc",INDEX('Kế hoạch'!$C$6:$C$305,$O2558),""))</f>
      </c>
      <c r="K2558" s="221">
        <f>IF($I2558="Phản ánh",INDEX('Phản ánh'!$K$6:$K$505,MATCH($C2558,'Phản ánh'!$A$6:$A$505,0))&amp;"",IF($I2558="Công việc",INDEX('Kế hoạch'!$N$6:$N$305,$O2558)&amp;"",""))</f>
      </c>
      <c r="L2558" s="220">
        <f>IF(OR($C2558="",N($B2558)=0),"",IF(AND($I2558="Phản ánh",$E2558="Đã xử lý"),INDEX('Phản ánh'!$U$6:$U$505,MATCH($C2558,'Phản ánh'!$A$6:$A$505,0)),IF(AND($I2558="Công việc",OR($E2558="Hoàn thành",$E2558="Hoàn thành kỳ")),IF(INDEX('Kế hoạch'!$B$6:$B$305,$O2558)="Đột xuất",INDEX('Kế hoạch'!$AY$6:$AY$305,$O2558),IF(N($P2558)=0,"",IF(INT($B2558)&lt;$P2558,$P2558,IF($Q2558&gt;0,$P2558+ROUND((INT($B2558)-$P2558)/$Q2558,0)*$Q2558,IF($R2558&gt;0,EDATE($P2558,ROUND((DATEDIF($P2558,INT($B2558),"m")+(INT($B2558)-EDATE($P2558,DATEDIF($P2558,INT($B2558),"m")))/(EDATE($P2558,DATEDIF($P2558,INT($B2558),"m")+1)-EDATE($P2558,DATEDIF($P2558,INT($B2558),"m"))))/$R2558,0)*$R2558),$P2558))))),"")))</f>
      </c>
      <c r="M2558" s="223">
        <f>IF(OR($C2558="",N($L2558)=0,N($B2558)=0),"",IF(IF(MOD($L2558,1)=0,INT($B2558),$B2558)&lt;=$L2558,"Đúng hạn","Trễ hạn"))</f>
      </c>
      <c r="N2558" s="225">
        <f>IF($C2558="","",ROW())</f>
      </c>
      <c r="O2558" s="225">
        <f>IF($I2558="Công việc",MATCH($C2558,'Kế hoạch'!$A$6:$A$305,0),"")</f>
      </c>
      <c r="P2558" s="234">
        <f>IF($O2558="","",INDEX('Kế hoạch'!$I$6:$I$305,$O2558))</f>
      </c>
      <c r="Q2558" s="225">
        <f>IF($O2558="","",INDEX('Kế hoạch'!$AJ$6:$AJ$305,$O2558))</f>
      </c>
      <c r="R2558" s="225">
        <f>IF($O2558="","",INDEX('Kế hoạch'!$AK$6:$AK$305,$O2558))</f>
      </c>
    </row>
    <row r="2559">
      <c r="A2559" s="223">
        <f>IF($C2559="","",COUNTIF($C$6:$C2559,"?*"))</f>
      </c>
      <c r="B2559" s="217"/>
      <c r="C2559" s="216"/>
      <c r="D2559" s="240"/>
      <c r="E2559" s="218"/>
      <c r="F2559" s="218"/>
      <c r="G2559" s="218"/>
      <c r="H2559" s="219"/>
      <c r="I2559" s="223">
        <f>IF($C2559="","",IF(ISNUMBER(MATCH($C2559,'Phản ánh'!$A$6:$A$505,0)),"Phản ánh",IF(ISNUMBER(MATCH($C2559,'Kế hoạch'!$A$6:$A$305,0)),"Công việc","Mã chưa có")))</f>
      </c>
      <c r="J2559" s="221">
        <f>IF($I2559="Phản ánh",INDEX('Phản ánh'!$C$6:$C$505,MATCH($C2559,'Phản ánh'!$A$6:$A$505,0)),IF($I2559="Công việc",INDEX('Kế hoạch'!$C$6:$C$305,$O2559),""))</f>
      </c>
      <c r="K2559" s="221">
        <f>IF($I2559="Phản ánh",INDEX('Phản ánh'!$K$6:$K$505,MATCH($C2559,'Phản ánh'!$A$6:$A$505,0))&amp;"",IF($I2559="Công việc",INDEX('Kế hoạch'!$N$6:$N$305,$O2559)&amp;"",""))</f>
      </c>
      <c r="L2559" s="220">
        <f>IF(OR($C2559="",N($B2559)=0),"",IF(AND($I2559="Phản ánh",$E2559="Đã xử lý"),INDEX('Phản ánh'!$U$6:$U$505,MATCH($C2559,'Phản ánh'!$A$6:$A$505,0)),IF(AND($I2559="Công việc",OR($E2559="Hoàn thành",$E2559="Hoàn thành kỳ")),IF(INDEX('Kế hoạch'!$B$6:$B$305,$O2559)="Đột xuất",INDEX('Kế hoạch'!$AY$6:$AY$305,$O2559),IF(N($P2559)=0,"",IF(INT($B2559)&lt;$P2559,$P2559,IF($Q2559&gt;0,$P2559+ROUND((INT($B2559)-$P2559)/$Q2559,0)*$Q2559,IF($R2559&gt;0,EDATE($P2559,ROUND((DATEDIF($P2559,INT($B2559),"m")+(INT($B2559)-EDATE($P2559,DATEDIF($P2559,INT($B2559),"m")))/(EDATE($P2559,DATEDIF($P2559,INT($B2559),"m")+1)-EDATE($P2559,DATEDIF($P2559,INT($B2559),"m"))))/$R2559,0)*$R2559),$P2559))))),"")))</f>
      </c>
      <c r="M2559" s="223">
        <f>IF(OR($C2559="",N($L2559)=0,N($B2559)=0),"",IF(IF(MOD($L2559,1)=0,INT($B2559),$B2559)&lt;=$L2559,"Đúng hạn","Trễ hạn"))</f>
      </c>
      <c r="N2559" s="225">
        <f>IF($C2559="","",ROW())</f>
      </c>
      <c r="O2559" s="225">
        <f>IF($I2559="Công việc",MATCH($C2559,'Kế hoạch'!$A$6:$A$305,0),"")</f>
      </c>
      <c r="P2559" s="234">
        <f>IF($O2559="","",INDEX('Kế hoạch'!$I$6:$I$305,$O2559))</f>
      </c>
      <c r="Q2559" s="225">
        <f>IF($O2559="","",INDEX('Kế hoạch'!$AJ$6:$AJ$305,$O2559))</f>
      </c>
      <c r="R2559" s="225">
        <f>IF($O2559="","",INDEX('Kế hoạch'!$AK$6:$AK$305,$O2559))</f>
      </c>
    </row>
    <row r="2560">
      <c r="A2560" s="223">
        <f>IF($C2560="","",COUNTIF($C$6:$C2560,"?*"))</f>
      </c>
      <c r="B2560" s="217"/>
      <c r="C2560" s="216"/>
      <c r="D2560" s="240"/>
      <c r="E2560" s="218"/>
      <c r="F2560" s="218"/>
      <c r="G2560" s="218"/>
      <c r="H2560" s="219"/>
      <c r="I2560" s="223">
        <f>IF($C2560="","",IF(ISNUMBER(MATCH($C2560,'Phản ánh'!$A$6:$A$505,0)),"Phản ánh",IF(ISNUMBER(MATCH($C2560,'Kế hoạch'!$A$6:$A$305,0)),"Công việc","Mã chưa có")))</f>
      </c>
      <c r="J2560" s="221">
        <f>IF($I2560="Phản ánh",INDEX('Phản ánh'!$C$6:$C$505,MATCH($C2560,'Phản ánh'!$A$6:$A$505,0)),IF($I2560="Công việc",INDEX('Kế hoạch'!$C$6:$C$305,$O2560),""))</f>
      </c>
      <c r="K2560" s="221">
        <f>IF($I2560="Phản ánh",INDEX('Phản ánh'!$K$6:$K$505,MATCH($C2560,'Phản ánh'!$A$6:$A$505,0))&amp;"",IF($I2560="Công việc",INDEX('Kế hoạch'!$N$6:$N$305,$O2560)&amp;"",""))</f>
      </c>
      <c r="L2560" s="220">
        <f>IF(OR($C2560="",N($B2560)=0),"",IF(AND($I2560="Phản ánh",$E2560="Đã xử lý"),INDEX('Phản ánh'!$U$6:$U$505,MATCH($C2560,'Phản ánh'!$A$6:$A$505,0)),IF(AND($I2560="Công việc",OR($E2560="Hoàn thành",$E2560="Hoàn thành kỳ")),IF(INDEX('Kế hoạch'!$B$6:$B$305,$O2560)="Đột xuất",INDEX('Kế hoạch'!$AY$6:$AY$305,$O2560),IF(N($P2560)=0,"",IF(INT($B2560)&lt;$P2560,$P2560,IF($Q2560&gt;0,$P2560+ROUND((INT($B2560)-$P2560)/$Q2560,0)*$Q2560,IF($R2560&gt;0,EDATE($P2560,ROUND((DATEDIF($P2560,INT($B2560),"m")+(INT($B2560)-EDATE($P2560,DATEDIF($P2560,INT($B2560),"m")))/(EDATE($P2560,DATEDIF($P2560,INT($B2560),"m")+1)-EDATE($P2560,DATEDIF($P2560,INT($B2560),"m"))))/$R2560,0)*$R2560),$P2560))))),"")))</f>
      </c>
      <c r="M2560" s="223">
        <f>IF(OR($C2560="",N($L2560)=0,N($B2560)=0),"",IF(IF(MOD($L2560,1)=0,INT($B2560),$B2560)&lt;=$L2560,"Đúng hạn","Trễ hạn"))</f>
      </c>
      <c r="N2560" s="225">
        <f>IF($C2560="","",ROW())</f>
      </c>
      <c r="O2560" s="225">
        <f>IF($I2560="Công việc",MATCH($C2560,'Kế hoạch'!$A$6:$A$305,0),"")</f>
      </c>
      <c r="P2560" s="234">
        <f>IF($O2560="","",INDEX('Kế hoạch'!$I$6:$I$305,$O2560))</f>
      </c>
      <c r="Q2560" s="225">
        <f>IF($O2560="","",INDEX('Kế hoạch'!$AJ$6:$AJ$305,$O2560))</f>
      </c>
      <c r="R2560" s="225">
        <f>IF($O2560="","",INDEX('Kế hoạch'!$AK$6:$AK$305,$O2560))</f>
      </c>
    </row>
    <row r="2561">
      <c r="A2561" s="223">
        <f>IF($C2561="","",COUNTIF($C$6:$C2561,"?*"))</f>
      </c>
      <c r="B2561" s="217"/>
      <c r="C2561" s="216"/>
      <c r="D2561" s="240"/>
      <c r="E2561" s="218"/>
      <c r="F2561" s="218"/>
      <c r="G2561" s="218"/>
      <c r="H2561" s="219"/>
      <c r="I2561" s="223">
        <f>IF($C2561="","",IF(ISNUMBER(MATCH($C2561,'Phản ánh'!$A$6:$A$505,0)),"Phản ánh",IF(ISNUMBER(MATCH($C2561,'Kế hoạch'!$A$6:$A$305,0)),"Công việc","Mã chưa có")))</f>
      </c>
      <c r="J2561" s="221">
        <f>IF($I2561="Phản ánh",INDEX('Phản ánh'!$C$6:$C$505,MATCH($C2561,'Phản ánh'!$A$6:$A$505,0)),IF($I2561="Công việc",INDEX('Kế hoạch'!$C$6:$C$305,$O2561),""))</f>
      </c>
      <c r="K2561" s="221">
        <f>IF($I2561="Phản ánh",INDEX('Phản ánh'!$K$6:$K$505,MATCH($C2561,'Phản ánh'!$A$6:$A$505,0))&amp;"",IF($I2561="Công việc",INDEX('Kế hoạch'!$N$6:$N$305,$O2561)&amp;"",""))</f>
      </c>
      <c r="L2561" s="220">
        <f>IF(OR($C2561="",N($B2561)=0),"",IF(AND($I2561="Phản ánh",$E2561="Đã xử lý"),INDEX('Phản ánh'!$U$6:$U$505,MATCH($C2561,'Phản ánh'!$A$6:$A$505,0)),IF(AND($I2561="Công việc",OR($E2561="Hoàn thành",$E2561="Hoàn thành kỳ")),IF(INDEX('Kế hoạch'!$B$6:$B$305,$O2561)="Đột xuất",INDEX('Kế hoạch'!$AY$6:$AY$305,$O2561),IF(N($P2561)=0,"",IF(INT($B2561)&lt;$P2561,$P2561,IF($Q2561&gt;0,$P2561+ROUND((INT($B2561)-$P2561)/$Q2561,0)*$Q2561,IF($R2561&gt;0,EDATE($P2561,ROUND((DATEDIF($P2561,INT($B2561),"m")+(INT($B2561)-EDATE($P2561,DATEDIF($P2561,INT($B2561),"m")))/(EDATE($P2561,DATEDIF($P2561,INT($B2561),"m")+1)-EDATE($P2561,DATEDIF($P2561,INT($B2561),"m"))))/$R2561,0)*$R2561),$P2561))))),"")))</f>
      </c>
      <c r="M2561" s="223">
        <f>IF(OR($C2561="",N($L2561)=0,N($B2561)=0),"",IF(IF(MOD($L2561,1)=0,INT($B2561),$B2561)&lt;=$L2561,"Đúng hạn","Trễ hạn"))</f>
      </c>
      <c r="N2561" s="225">
        <f>IF($C2561="","",ROW())</f>
      </c>
      <c r="O2561" s="225">
        <f>IF($I2561="Công việc",MATCH($C2561,'Kế hoạch'!$A$6:$A$305,0),"")</f>
      </c>
      <c r="P2561" s="234">
        <f>IF($O2561="","",INDEX('Kế hoạch'!$I$6:$I$305,$O2561))</f>
      </c>
      <c r="Q2561" s="225">
        <f>IF($O2561="","",INDEX('Kế hoạch'!$AJ$6:$AJ$305,$O2561))</f>
      </c>
      <c r="R2561" s="225">
        <f>IF($O2561="","",INDEX('Kế hoạch'!$AK$6:$AK$305,$O2561))</f>
      </c>
    </row>
    <row r="2562">
      <c r="A2562" s="223">
        <f>IF($C2562="","",COUNTIF($C$6:$C2562,"?*"))</f>
      </c>
      <c r="B2562" s="217"/>
      <c r="C2562" s="216"/>
      <c r="D2562" s="240"/>
      <c r="E2562" s="218"/>
      <c r="F2562" s="218"/>
      <c r="G2562" s="218"/>
      <c r="H2562" s="219"/>
      <c r="I2562" s="223">
        <f>IF($C2562="","",IF(ISNUMBER(MATCH($C2562,'Phản ánh'!$A$6:$A$505,0)),"Phản ánh",IF(ISNUMBER(MATCH($C2562,'Kế hoạch'!$A$6:$A$305,0)),"Công việc","Mã chưa có")))</f>
      </c>
      <c r="J2562" s="221">
        <f>IF($I2562="Phản ánh",INDEX('Phản ánh'!$C$6:$C$505,MATCH($C2562,'Phản ánh'!$A$6:$A$505,0)),IF($I2562="Công việc",INDEX('Kế hoạch'!$C$6:$C$305,$O2562),""))</f>
      </c>
      <c r="K2562" s="221">
        <f>IF($I2562="Phản ánh",INDEX('Phản ánh'!$K$6:$K$505,MATCH($C2562,'Phản ánh'!$A$6:$A$505,0))&amp;"",IF($I2562="Công việc",INDEX('Kế hoạch'!$N$6:$N$305,$O2562)&amp;"",""))</f>
      </c>
      <c r="L2562" s="220">
        <f>IF(OR($C2562="",N($B2562)=0),"",IF(AND($I2562="Phản ánh",$E2562="Đã xử lý"),INDEX('Phản ánh'!$U$6:$U$505,MATCH($C2562,'Phản ánh'!$A$6:$A$505,0)),IF(AND($I2562="Công việc",OR($E2562="Hoàn thành",$E2562="Hoàn thành kỳ")),IF(INDEX('Kế hoạch'!$B$6:$B$305,$O2562)="Đột xuất",INDEX('Kế hoạch'!$AY$6:$AY$305,$O2562),IF(N($P2562)=0,"",IF(INT($B2562)&lt;$P2562,$P2562,IF($Q2562&gt;0,$P2562+ROUND((INT($B2562)-$P2562)/$Q2562,0)*$Q2562,IF($R2562&gt;0,EDATE($P2562,ROUND((DATEDIF($P2562,INT($B2562),"m")+(INT($B2562)-EDATE($P2562,DATEDIF($P2562,INT($B2562),"m")))/(EDATE($P2562,DATEDIF($P2562,INT($B2562),"m")+1)-EDATE($P2562,DATEDIF($P2562,INT($B2562),"m"))))/$R2562,0)*$R2562),$P2562))))),"")))</f>
      </c>
      <c r="M2562" s="223">
        <f>IF(OR($C2562="",N($L2562)=0,N($B2562)=0),"",IF(IF(MOD($L2562,1)=0,INT($B2562),$B2562)&lt;=$L2562,"Đúng hạn","Trễ hạn"))</f>
      </c>
      <c r="N2562" s="225">
        <f>IF($C2562="","",ROW())</f>
      </c>
      <c r="O2562" s="225">
        <f>IF($I2562="Công việc",MATCH($C2562,'Kế hoạch'!$A$6:$A$305,0),"")</f>
      </c>
      <c r="P2562" s="234">
        <f>IF($O2562="","",INDEX('Kế hoạch'!$I$6:$I$305,$O2562))</f>
      </c>
      <c r="Q2562" s="225">
        <f>IF($O2562="","",INDEX('Kế hoạch'!$AJ$6:$AJ$305,$O2562))</f>
      </c>
      <c r="R2562" s="225">
        <f>IF($O2562="","",INDEX('Kế hoạch'!$AK$6:$AK$305,$O2562))</f>
      </c>
    </row>
    <row r="2563">
      <c r="A2563" s="223">
        <f>IF($C2563="","",COUNTIF($C$6:$C2563,"?*"))</f>
      </c>
      <c r="B2563" s="217"/>
      <c r="C2563" s="216"/>
      <c r="D2563" s="240"/>
      <c r="E2563" s="218"/>
      <c r="F2563" s="218"/>
      <c r="G2563" s="218"/>
      <c r="H2563" s="219"/>
      <c r="I2563" s="223">
        <f>IF($C2563="","",IF(ISNUMBER(MATCH($C2563,'Phản ánh'!$A$6:$A$505,0)),"Phản ánh",IF(ISNUMBER(MATCH($C2563,'Kế hoạch'!$A$6:$A$305,0)),"Công việc","Mã chưa có")))</f>
      </c>
      <c r="J2563" s="221">
        <f>IF($I2563="Phản ánh",INDEX('Phản ánh'!$C$6:$C$505,MATCH($C2563,'Phản ánh'!$A$6:$A$505,0)),IF($I2563="Công việc",INDEX('Kế hoạch'!$C$6:$C$305,$O2563),""))</f>
      </c>
      <c r="K2563" s="221">
        <f>IF($I2563="Phản ánh",INDEX('Phản ánh'!$K$6:$K$505,MATCH($C2563,'Phản ánh'!$A$6:$A$505,0))&amp;"",IF($I2563="Công việc",INDEX('Kế hoạch'!$N$6:$N$305,$O2563)&amp;"",""))</f>
      </c>
      <c r="L2563" s="220">
        <f>IF(OR($C2563="",N($B2563)=0),"",IF(AND($I2563="Phản ánh",$E2563="Đã xử lý"),INDEX('Phản ánh'!$U$6:$U$505,MATCH($C2563,'Phản ánh'!$A$6:$A$505,0)),IF(AND($I2563="Công việc",OR($E2563="Hoàn thành",$E2563="Hoàn thành kỳ")),IF(INDEX('Kế hoạch'!$B$6:$B$305,$O2563)="Đột xuất",INDEX('Kế hoạch'!$AY$6:$AY$305,$O2563),IF(N($P2563)=0,"",IF(INT($B2563)&lt;$P2563,$P2563,IF($Q2563&gt;0,$P2563+ROUND((INT($B2563)-$P2563)/$Q2563,0)*$Q2563,IF($R2563&gt;0,EDATE($P2563,ROUND((DATEDIF($P2563,INT($B2563),"m")+(INT($B2563)-EDATE($P2563,DATEDIF($P2563,INT($B2563),"m")))/(EDATE($P2563,DATEDIF($P2563,INT($B2563),"m")+1)-EDATE($P2563,DATEDIF($P2563,INT($B2563),"m"))))/$R2563,0)*$R2563),$P2563))))),"")))</f>
      </c>
      <c r="M2563" s="223">
        <f>IF(OR($C2563="",N($L2563)=0,N($B2563)=0),"",IF(IF(MOD($L2563,1)=0,INT($B2563),$B2563)&lt;=$L2563,"Đúng hạn","Trễ hạn"))</f>
      </c>
      <c r="N2563" s="225">
        <f>IF($C2563="","",ROW())</f>
      </c>
      <c r="O2563" s="225">
        <f>IF($I2563="Công việc",MATCH($C2563,'Kế hoạch'!$A$6:$A$305,0),"")</f>
      </c>
      <c r="P2563" s="234">
        <f>IF($O2563="","",INDEX('Kế hoạch'!$I$6:$I$305,$O2563))</f>
      </c>
      <c r="Q2563" s="225">
        <f>IF($O2563="","",INDEX('Kế hoạch'!$AJ$6:$AJ$305,$O2563))</f>
      </c>
      <c r="R2563" s="225">
        <f>IF($O2563="","",INDEX('Kế hoạch'!$AK$6:$AK$305,$O2563))</f>
      </c>
    </row>
    <row r="2564">
      <c r="A2564" s="223">
        <f>IF($C2564="","",COUNTIF($C$6:$C2564,"?*"))</f>
      </c>
      <c r="B2564" s="217"/>
      <c r="C2564" s="216"/>
      <c r="D2564" s="240"/>
      <c r="E2564" s="218"/>
      <c r="F2564" s="218"/>
      <c r="G2564" s="218"/>
      <c r="H2564" s="219"/>
      <c r="I2564" s="223">
        <f>IF($C2564="","",IF(ISNUMBER(MATCH($C2564,'Phản ánh'!$A$6:$A$505,0)),"Phản ánh",IF(ISNUMBER(MATCH($C2564,'Kế hoạch'!$A$6:$A$305,0)),"Công việc","Mã chưa có")))</f>
      </c>
      <c r="J2564" s="221">
        <f>IF($I2564="Phản ánh",INDEX('Phản ánh'!$C$6:$C$505,MATCH($C2564,'Phản ánh'!$A$6:$A$505,0)),IF($I2564="Công việc",INDEX('Kế hoạch'!$C$6:$C$305,$O2564),""))</f>
      </c>
      <c r="K2564" s="221">
        <f>IF($I2564="Phản ánh",INDEX('Phản ánh'!$K$6:$K$505,MATCH($C2564,'Phản ánh'!$A$6:$A$505,0))&amp;"",IF($I2564="Công việc",INDEX('Kế hoạch'!$N$6:$N$305,$O2564)&amp;"",""))</f>
      </c>
      <c r="L2564" s="220">
        <f>IF(OR($C2564="",N($B2564)=0),"",IF(AND($I2564="Phản ánh",$E2564="Đã xử lý"),INDEX('Phản ánh'!$U$6:$U$505,MATCH($C2564,'Phản ánh'!$A$6:$A$505,0)),IF(AND($I2564="Công việc",OR($E2564="Hoàn thành",$E2564="Hoàn thành kỳ")),IF(INDEX('Kế hoạch'!$B$6:$B$305,$O2564)="Đột xuất",INDEX('Kế hoạch'!$AY$6:$AY$305,$O2564),IF(N($P2564)=0,"",IF(INT($B2564)&lt;$P2564,$P2564,IF($Q2564&gt;0,$P2564+ROUND((INT($B2564)-$P2564)/$Q2564,0)*$Q2564,IF($R2564&gt;0,EDATE($P2564,ROUND((DATEDIF($P2564,INT($B2564),"m")+(INT($B2564)-EDATE($P2564,DATEDIF($P2564,INT($B2564),"m")))/(EDATE($P2564,DATEDIF($P2564,INT($B2564),"m")+1)-EDATE($P2564,DATEDIF($P2564,INT($B2564),"m"))))/$R2564,0)*$R2564),$P2564))))),"")))</f>
      </c>
      <c r="M2564" s="223">
        <f>IF(OR($C2564="",N($L2564)=0,N($B2564)=0),"",IF(IF(MOD($L2564,1)=0,INT($B2564),$B2564)&lt;=$L2564,"Đúng hạn","Trễ hạn"))</f>
      </c>
      <c r="N2564" s="225">
        <f>IF($C2564="","",ROW())</f>
      </c>
      <c r="O2564" s="225">
        <f>IF($I2564="Công việc",MATCH($C2564,'Kế hoạch'!$A$6:$A$305,0),"")</f>
      </c>
      <c r="P2564" s="234">
        <f>IF($O2564="","",INDEX('Kế hoạch'!$I$6:$I$305,$O2564))</f>
      </c>
      <c r="Q2564" s="225">
        <f>IF($O2564="","",INDEX('Kế hoạch'!$AJ$6:$AJ$305,$O2564))</f>
      </c>
      <c r="R2564" s="225">
        <f>IF($O2564="","",INDEX('Kế hoạch'!$AK$6:$AK$305,$O2564))</f>
      </c>
    </row>
    <row r="2565">
      <c r="A2565" s="223">
        <f>IF($C2565="","",COUNTIF($C$6:$C2565,"?*"))</f>
      </c>
      <c r="B2565" s="217"/>
      <c r="C2565" s="216"/>
      <c r="D2565" s="240"/>
      <c r="E2565" s="218"/>
      <c r="F2565" s="218"/>
      <c r="G2565" s="218"/>
      <c r="H2565" s="219"/>
      <c r="I2565" s="223">
        <f>IF($C2565="","",IF(ISNUMBER(MATCH($C2565,'Phản ánh'!$A$6:$A$505,0)),"Phản ánh",IF(ISNUMBER(MATCH($C2565,'Kế hoạch'!$A$6:$A$305,0)),"Công việc","Mã chưa có")))</f>
      </c>
      <c r="J2565" s="221">
        <f>IF($I2565="Phản ánh",INDEX('Phản ánh'!$C$6:$C$505,MATCH($C2565,'Phản ánh'!$A$6:$A$505,0)),IF($I2565="Công việc",INDEX('Kế hoạch'!$C$6:$C$305,$O2565),""))</f>
      </c>
      <c r="K2565" s="221">
        <f>IF($I2565="Phản ánh",INDEX('Phản ánh'!$K$6:$K$505,MATCH($C2565,'Phản ánh'!$A$6:$A$505,0))&amp;"",IF($I2565="Công việc",INDEX('Kế hoạch'!$N$6:$N$305,$O2565)&amp;"",""))</f>
      </c>
      <c r="L2565" s="220">
        <f>IF(OR($C2565="",N($B2565)=0),"",IF(AND($I2565="Phản ánh",$E2565="Đã xử lý"),INDEX('Phản ánh'!$U$6:$U$505,MATCH($C2565,'Phản ánh'!$A$6:$A$505,0)),IF(AND($I2565="Công việc",OR($E2565="Hoàn thành",$E2565="Hoàn thành kỳ")),IF(INDEX('Kế hoạch'!$B$6:$B$305,$O2565)="Đột xuất",INDEX('Kế hoạch'!$AY$6:$AY$305,$O2565),IF(N($P2565)=0,"",IF(INT($B2565)&lt;$P2565,$P2565,IF($Q2565&gt;0,$P2565+ROUND((INT($B2565)-$P2565)/$Q2565,0)*$Q2565,IF($R2565&gt;0,EDATE($P2565,ROUND((DATEDIF($P2565,INT($B2565),"m")+(INT($B2565)-EDATE($P2565,DATEDIF($P2565,INT($B2565),"m")))/(EDATE($P2565,DATEDIF($P2565,INT($B2565),"m")+1)-EDATE($P2565,DATEDIF($P2565,INT($B2565),"m"))))/$R2565,0)*$R2565),$P2565))))),"")))</f>
      </c>
      <c r="M2565" s="223">
        <f>IF(OR($C2565="",N($L2565)=0,N($B2565)=0),"",IF(IF(MOD($L2565,1)=0,INT($B2565),$B2565)&lt;=$L2565,"Đúng hạn","Trễ hạn"))</f>
      </c>
      <c r="N2565" s="225">
        <f>IF($C2565="","",ROW())</f>
      </c>
      <c r="O2565" s="225">
        <f>IF($I2565="Công việc",MATCH($C2565,'Kế hoạch'!$A$6:$A$305,0),"")</f>
      </c>
      <c r="P2565" s="234">
        <f>IF($O2565="","",INDEX('Kế hoạch'!$I$6:$I$305,$O2565))</f>
      </c>
      <c r="Q2565" s="225">
        <f>IF($O2565="","",INDEX('Kế hoạch'!$AJ$6:$AJ$305,$O2565))</f>
      </c>
      <c r="R2565" s="225">
        <f>IF($O2565="","",INDEX('Kế hoạch'!$AK$6:$AK$305,$O2565))</f>
      </c>
    </row>
    <row r="2566">
      <c r="A2566" s="223">
        <f>IF($C2566="","",COUNTIF($C$6:$C2566,"?*"))</f>
      </c>
      <c r="B2566" s="217"/>
      <c r="C2566" s="216"/>
      <c r="D2566" s="240"/>
      <c r="E2566" s="218"/>
      <c r="F2566" s="218"/>
      <c r="G2566" s="218"/>
      <c r="H2566" s="219"/>
      <c r="I2566" s="223">
        <f>IF($C2566="","",IF(ISNUMBER(MATCH($C2566,'Phản ánh'!$A$6:$A$505,0)),"Phản ánh",IF(ISNUMBER(MATCH($C2566,'Kế hoạch'!$A$6:$A$305,0)),"Công việc","Mã chưa có")))</f>
      </c>
      <c r="J2566" s="221">
        <f>IF($I2566="Phản ánh",INDEX('Phản ánh'!$C$6:$C$505,MATCH($C2566,'Phản ánh'!$A$6:$A$505,0)),IF($I2566="Công việc",INDEX('Kế hoạch'!$C$6:$C$305,$O2566),""))</f>
      </c>
      <c r="K2566" s="221">
        <f>IF($I2566="Phản ánh",INDEX('Phản ánh'!$K$6:$K$505,MATCH($C2566,'Phản ánh'!$A$6:$A$505,0))&amp;"",IF($I2566="Công việc",INDEX('Kế hoạch'!$N$6:$N$305,$O2566)&amp;"",""))</f>
      </c>
      <c r="L2566" s="220">
        <f>IF(OR($C2566="",N($B2566)=0),"",IF(AND($I2566="Phản ánh",$E2566="Đã xử lý"),INDEX('Phản ánh'!$U$6:$U$505,MATCH($C2566,'Phản ánh'!$A$6:$A$505,0)),IF(AND($I2566="Công việc",OR($E2566="Hoàn thành",$E2566="Hoàn thành kỳ")),IF(INDEX('Kế hoạch'!$B$6:$B$305,$O2566)="Đột xuất",INDEX('Kế hoạch'!$AY$6:$AY$305,$O2566),IF(N($P2566)=0,"",IF(INT($B2566)&lt;$P2566,$P2566,IF($Q2566&gt;0,$P2566+ROUND((INT($B2566)-$P2566)/$Q2566,0)*$Q2566,IF($R2566&gt;0,EDATE($P2566,ROUND((DATEDIF($P2566,INT($B2566),"m")+(INT($B2566)-EDATE($P2566,DATEDIF($P2566,INT($B2566),"m")))/(EDATE($P2566,DATEDIF($P2566,INT($B2566),"m")+1)-EDATE($P2566,DATEDIF($P2566,INT($B2566),"m"))))/$R2566,0)*$R2566),$P2566))))),"")))</f>
      </c>
      <c r="M2566" s="223">
        <f>IF(OR($C2566="",N($L2566)=0,N($B2566)=0),"",IF(IF(MOD($L2566,1)=0,INT($B2566),$B2566)&lt;=$L2566,"Đúng hạn","Trễ hạn"))</f>
      </c>
      <c r="N2566" s="225">
        <f>IF($C2566="","",ROW())</f>
      </c>
      <c r="O2566" s="225">
        <f>IF($I2566="Công việc",MATCH($C2566,'Kế hoạch'!$A$6:$A$305,0),"")</f>
      </c>
      <c r="P2566" s="234">
        <f>IF($O2566="","",INDEX('Kế hoạch'!$I$6:$I$305,$O2566))</f>
      </c>
      <c r="Q2566" s="225">
        <f>IF($O2566="","",INDEX('Kế hoạch'!$AJ$6:$AJ$305,$O2566))</f>
      </c>
      <c r="R2566" s="225">
        <f>IF($O2566="","",INDEX('Kế hoạch'!$AK$6:$AK$305,$O2566))</f>
      </c>
    </row>
    <row r="2567">
      <c r="A2567" s="223">
        <f>IF($C2567="","",COUNTIF($C$6:$C2567,"?*"))</f>
      </c>
      <c r="B2567" s="217"/>
      <c r="C2567" s="216"/>
      <c r="D2567" s="240"/>
      <c r="E2567" s="218"/>
      <c r="F2567" s="218"/>
      <c r="G2567" s="218"/>
      <c r="H2567" s="219"/>
      <c r="I2567" s="223">
        <f>IF($C2567="","",IF(ISNUMBER(MATCH($C2567,'Phản ánh'!$A$6:$A$505,0)),"Phản ánh",IF(ISNUMBER(MATCH($C2567,'Kế hoạch'!$A$6:$A$305,0)),"Công việc","Mã chưa có")))</f>
      </c>
      <c r="J2567" s="221">
        <f>IF($I2567="Phản ánh",INDEX('Phản ánh'!$C$6:$C$505,MATCH($C2567,'Phản ánh'!$A$6:$A$505,0)),IF($I2567="Công việc",INDEX('Kế hoạch'!$C$6:$C$305,$O2567),""))</f>
      </c>
      <c r="K2567" s="221">
        <f>IF($I2567="Phản ánh",INDEX('Phản ánh'!$K$6:$K$505,MATCH($C2567,'Phản ánh'!$A$6:$A$505,0))&amp;"",IF($I2567="Công việc",INDEX('Kế hoạch'!$N$6:$N$305,$O2567)&amp;"",""))</f>
      </c>
      <c r="L2567" s="220">
        <f>IF(OR($C2567="",N($B2567)=0),"",IF(AND($I2567="Phản ánh",$E2567="Đã xử lý"),INDEX('Phản ánh'!$U$6:$U$505,MATCH($C2567,'Phản ánh'!$A$6:$A$505,0)),IF(AND($I2567="Công việc",OR($E2567="Hoàn thành",$E2567="Hoàn thành kỳ")),IF(INDEX('Kế hoạch'!$B$6:$B$305,$O2567)="Đột xuất",INDEX('Kế hoạch'!$AY$6:$AY$305,$O2567),IF(N($P2567)=0,"",IF(INT($B2567)&lt;$P2567,$P2567,IF($Q2567&gt;0,$P2567+ROUND((INT($B2567)-$P2567)/$Q2567,0)*$Q2567,IF($R2567&gt;0,EDATE($P2567,ROUND((DATEDIF($P2567,INT($B2567),"m")+(INT($B2567)-EDATE($P2567,DATEDIF($P2567,INT($B2567),"m")))/(EDATE($P2567,DATEDIF($P2567,INT($B2567),"m")+1)-EDATE($P2567,DATEDIF($P2567,INT($B2567),"m"))))/$R2567,0)*$R2567),$P2567))))),"")))</f>
      </c>
      <c r="M2567" s="223">
        <f>IF(OR($C2567="",N($L2567)=0,N($B2567)=0),"",IF(IF(MOD($L2567,1)=0,INT($B2567),$B2567)&lt;=$L2567,"Đúng hạn","Trễ hạn"))</f>
      </c>
      <c r="N2567" s="225">
        <f>IF($C2567="","",ROW())</f>
      </c>
      <c r="O2567" s="225">
        <f>IF($I2567="Công việc",MATCH($C2567,'Kế hoạch'!$A$6:$A$305,0),"")</f>
      </c>
      <c r="P2567" s="234">
        <f>IF($O2567="","",INDEX('Kế hoạch'!$I$6:$I$305,$O2567))</f>
      </c>
      <c r="Q2567" s="225">
        <f>IF($O2567="","",INDEX('Kế hoạch'!$AJ$6:$AJ$305,$O2567))</f>
      </c>
      <c r="R2567" s="225">
        <f>IF($O2567="","",INDEX('Kế hoạch'!$AK$6:$AK$305,$O2567))</f>
      </c>
    </row>
    <row r="2568">
      <c r="A2568" s="223">
        <f>IF($C2568="","",COUNTIF($C$6:$C2568,"?*"))</f>
      </c>
      <c r="B2568" s="217"/>
      <c r="C2568" s="216"/>
      <c r="D2568" s="240"/>
      <c r="E2568" s="218"/>
      <c r="F2568" s="218"/>
      <c r="G2568" s="218"/>
      <c r="H2568" s="219"/>
      <c r="I2568" s="223">
        <f>IF($C2568="","",IF(ISNUMBER(MATCH($C2568,'Phản ánh'!$A$6:$A$505,0)),"Phản ánh",IF(ISNUMBER(MATCH($C2568,'Kế hoạch'!$A$6:$A$305,0)),"Công việc","Mã chưa có")))</f>
      </c>
      <c r="J2568" s="221">
        <f>IF($I2568="Phản ánh",INDEX('Phản ánh'!$C$6:$C$505,MATCH($C2568,'Phản ánh'!$A$6:$A$505,0)),IF($I2568="Công việc",INDEX('Kế hoạch'!$C$6:$C$305,$O2568),""))</f>
      </c>
      <c r="K2568" s="221">
        <f>IF($I2568="Phản ánh",INDEX('Phản ánh'!$K$6:$K$505,MATCH($C2568,'Phản ánh'!$A$6:$A$505,0))&amp;"",IF($I2568="Công việc",INDEX('Kế hoạch'!$N$6:$N$305,$O2568)&amp;"",""))</f>
      </c>
      <c r="L2568" s="220">
        <f>IF(OR($C2568="",N($B2568)=0),"",IF(AND($I2568="Phản ánh",$E2568="Đã xử lý"),INDEX('Phản ánh'!$U$6:$U$505,MATCH($C2568,'Phản ánh'!$A$6:$A$505,0)),IF(AND($I2568="Công việc",OR($E2568="Hoàn thành",$E2568="Hoàn thành kỳ")),IF(INDEX('Kế hoạch'!$B$6:$B$305,$O2568)="Đột xuất",INDEX('Kế hoạch'!$AY$6:$AY$305,$O2568),IF(N($P2568)=0,"",IF(INT($B2568)&lt;$P2568,$P2568,IF($Q2568&gt;0,$P2568+ROUND((INT($B2568)-$P2568)/$Q2568,0)*$Q2568,IF($R2568&gt;0,EDATE($P2568,ROUND((DATEDIF($P2568,INT($B2568),"m")+(INT($B2568)-EDATE($P2568,DATEDIF($P2568,INT($B2568),"m")))/(EDATE($P2568,DATEDIF($P2568,INT($B2568),"m")+1)-EDATE($P2568,DATEDIF($P2568,INT($B2568),"m"))))/$R2568,0)*$R2568),$P2568))))),"")))</f>
      </c>
      <c r="M2568" s="223">
        <f>IF(OR($C2568="",N($L2568)=0,N($B2568)=0),"",IF(IF(MOD($L2568,1)=0,INT($B2568),$B2568)&lt;=$L2568,"Đúng hạn","Trễ hạn"))</f>
      </c>
      <c r="N2568" s="225">
        <f>IF($C2568="","",ROW())</f>
      </c>
      <c r="O2568" s="225">
        <f>IF($I2568="Công việc",MATCH($C2568,'Kế hoạch'!$A$6:$A$305,0),"")</f>
      </c>
      <c r="P2568" s="234">
        <f>IF($O2568="","",INDEX('Kế hoạch'!$I$6:$I$305,$O2568))</f>
      </c>
      <c r="Q2568" s="225">
        <f>IF($O2568="","",INDEX('Kế hoạch'!$AJ$6:$AJ$305,$O2568))</f>
      </c>
      <c r="R2568" s="225">
        <f>IF($O2568="","",INDEX('Kế hoạch'!$AK$6:$AK$305,$O2568))</f>
      </c>
    </row>
    <row r="2569">
      <c r="A2569" s="223">
        <f>IF($C2569="","",COUNTIF($C$6:$C2569,"?*"))</f>
      </c>
      <c r="B2569" s="217"/>
      <c r="C2569" s="216"/>
      <c r="D2569" s="240"/>
      <c r="E2569" s="218"/>
      <c r="F2569" s="218"/>
      <c r="G2569" s="218"/>
      <c r="H2569" s="219"/>
      <c r="I2569" s="223">
        <f>IF($C2569="","",IF(ISNUMBER(MATCH($C2569,'Phản ánh'!$A$6:$A$505,0)),"Phản ánh",IF(ISNUMBER(MATCH($C2569,'Kế hoạch'!$A$6:$A$305,0)),"Công việc","Mã chưa có")))</f>
      </c>
      <c r="J2569" s="221">
        <f>IF($I2569="Phản ánh",INDEX('Phản ánh'!$C$6:$C$505,MATCH($C2569,'Phản ánh'!$A$6:$A$505,0)),IF($I2569="Công việc",INDEX('Kế hoạch'!$C$6:$C$305,$O2569),""))</f>
      </c>
      <c r="K2569" s="221">
        <f>IF($I2569="Phản ánh",INDEX('Phản ánh'!$K$6:$K$505,MATCH($C2569,'Phản ánh'!$A$6:$A$505,0))&amp;"",IF($I2569="Công việc",INDEX('Kế hoạch'!$N$6:$N$305,$O2569)&amp;"",""))</f>
      </c>
      <c r="L2569" s="220">
        <f>IF(OR($C2569="",N($B2569)=0),"",IF(AND($I2569="Phản ánh",$E2569="Đã xử lý"),INDEX('Phản ánh'!$U$6:$U$505,MATCH($C2569,'Phản ánh'!$A$6:$A$505,0)),IF(AND($I2569="Công việc",OR($E2569="Hoàn thành",$E2569="Hoàn thành kỳ")),IF(INDEX('Kế hoạch'!$B$6:$B$305,$O2569)="Đột xuất",INDEX('Kế hoạch'!$AY$6:$AY$305,$O2569),IF(N($P2569)=0,"",IF(INT($B2569)&lt;$P2569,$P2569,IF($Q2569&gt;0,$P2569+ROUND((INT($B2569)-$P2569)/$Q2569,0)*$Q2569,IF($R2569&gt;0,EDATE($P2569,ROUND((DATEDIF($P2569,INT($B2569),"m")+(INT($B2569)-EDATE($P2569,DATEDIF($P2569,INT($B2569),"m")))/(EDATE($P2569,DATEDIF($P2569,INT($B2569),"m")+1)-EDATE($P2569,DATEDIF($P2569,INT($B2569),"m"))))/$R2569,0)*$R2569),$P2569))))),"")))</f>
      </c>
      <c r="M2569" s="223">
        <f>IF(OR($C2569="",N($L2569)=0,N($B2569)=0),"",IF(IF(MOD($L2569,1)=0,INT($B2569),$B2569)&lt;=$L2569,"Đúng hạn","Trễ hạn"))</f>
      </c>
      <c r="N2569" s="225">
        <f>IF($C2569="","",ROW())</f>
      </c>
      <c r="O2569" s="225">
        <f>IF($I2569="Công việc",MATCH($C2569,'Kế hoạch'!$A$6:$A$305,0),"")</f>
      </c>
      <c r="P2569" s="234">
        <f>IF($O2569="","",INDEX('Kế hoạch'!$I$6:$I$305,$O2569))</f>
      </c>
      <c r="Q2569" s="225">
        <f>IF($O2569="","",INDEX('Kế hoạch'!$AJ$6:$AJ$305,$O2569))</f>
      </c>
      <c r="R2569" s="225">
        <f>IF($O2569="","",INDEX('Kế hoạch'!$AK$6:$AK$305,$O2569))</f>
      </c>
    </row>
    <row r="2570">
      <c r="A2570" s="223">
        <f>IF($C2570="","",COUNTIF($C$6:$C2570,"?*"))</f>
      </c>
      <c r="B2570" s="217"/>
      <c r="C2570" s="216"/>
      <c r="D2570" s="240"/>
      <c r="E2570" s="218"/>
      <c r="F2570" s="218"/>
      <c r="G2570" s="218"/>
      <c r="H2570" s="219"/>
      <c r="I2570" s="223">
        <f>IF($C2570="","",IF(ISNUMBER(MATCH($C2570,'Phản ánh'!$A$6:$A$505,0)),"Phản ánh",IF(ISNUMBER(MATCH($C2570,'Kế hoạch'!$A$6:$A$305,0)),"Công việc","Mã chưa có")))</f>
      </c>
      <c r="J2570" s="221">
        <f>IF($I2570="Phản ánh",INDEX('Phản ánh'!$C$6:$C$505,MATCH($C2570,'Phản ánh'!$A$6:$A$505,0)),IF($I2570="Công việc",INDEX('Kế hoạch'!$C$6:$C$305,$O2570),""))</f>
      </c>
      <c r="K2570" s="221">
        <f>IF($I2570="Phản ánh",INDEX('Phản ánh'!$K$6:$K$505,MATCH($C2570,'Phản ánh'!$A$6:$A$505,0))&amp;"",IF($I2570="Công việc",INDEX('Kế hoạch'!$N$6:$N$305,$O2570)&amp;"",""))</f>
      </c>
      <c r="L2570" s="220">
        <f>IF(OR($C2570="",N($B2570)=0),"",IF(AND($I2570="Phản ánh",$E2570="Đã xử lý"),INDEX('Phản ánh'!$U$6:$U$505,MATCH($C2570,'Phản ánh'!$A$6:$A$505,0)),IF(AND($I2570="Công việc",OR($E2570="Hoàn thành",$E2570="Hoàn thành kỳ")),IF(INDEX('Kế hoạch'!$B$6:$B$305,$O2570)="Đột xuất",INDEX('Kế hoạch'!$AY$6:$AY$305,$O2570),IF(N($P2570)=0,"",IF(INT($B2570)&lt;$P2570,$P2570,IF($Q2570&gt;0,$P2570+ROUND((INT($B2570)-$P2570)/$Q2570,0)*$Q2570,IF($R2570&gt;0,EDATE($P2570,ROUND((DATEDIF($P2570,INT($B2570),"m")+(INT($B2570)-EDATE($P2570,DATEDIF($P2570,INT($B2570),"m")))/(EDATE($P2570,DATEDIF($P2570,INT($B2570),"m")+1)-EDATE($P2570,DATEDIF($P2570,INT($B2570),"m"))))/$R2570,0)*$R2570),$P2570))))),"")))</f>
      </c>
      <c r="M2570" s="223">
        <f>IF(OR($C2570="",N($L2570)=0,N($B2570)=0),"",IF(IF(MOD($L2570,1)=0,INT($B2570),$B2570)&lt;=$L2570,"Đúng hạn","Trễ hạn"))</f>
      </c>
      <c r="N2570" s="225">
        <f>IF($C2570="","",ROW())</f>
      </c>
      <c r="O2570" s="225">
        <f>IF($I2570="Công việc",MATCH($C2570,'Kế hoạch'!$A$6:$A$305,0),"")</f>
      </c>
      <c r="P2570" s="234">
        <f>IF($O2570="","",INDEX('Kế hoạch'!$I$6:$I$305,$O2570))</f>
      </c>
      <c r="Q2570" s="225">
        <f>IF($O2570="","",INDEX('Kế hoạch'!$AJ$6:$AJ$305,$O2570))</f>
      </c>
      <c r="R2570" s="225">
        <f>IF($O2570="","",INDEX('Kế hoạch'!$AK$6:$AK$305,$O2570))</f>
      </c>
    </row>
    <row r="2571">
      <c r="A2571" s="223">
        <f>IF($C2571="","",COUNTIF($C$6:$C2571,"?*"))</f>
      </c>
      <c r="B2571" s="217"/>
      <c r="C2571" s="216"/>
      <c r="D2571" s="240"/>
      <c r="E2571" s="218"/>
      <c r="F2571" s="218"/>
      <c r="G2571" s="218"/>
      <c r="H2571" s="219"/>
      <c r="I2571" s="223">
        <f>IF($C2571="","",IF(ISNUMBER(MATCH($C2571,'Phản ánh'!$A$6:$A$505,0)),"Phản ánh",IF(ISNUMBER(MATCH($C2571,'Kế hoạch'!$A$6:$A$305,0)),"Công việc","Mã chưa có")))</f>
      </c>
      <c r="J2571" s="221">
        <f>IF($I2571="Phản ánh",INDEX('Phản ánh'!$C$6:$C$505,MATCH($C2571,'Phản ánh'!$A$6:$A$505,0)),IF($I2571="Công việc",INDEX('Kế hoạch'!$C$6:$C$305,$O2571),""))</f>
      </c>
      <c r="K2571" s="221">
        <f>IF($I2571="Phản ánh",INDEX('Phản ánh'!$K$6:$K$505,MATCH($C2571,'Phản ánh'!$A$6:$A$505,0))&amp;"",IF($I2571="Công việc",INDEX('Kế hoạch'!$N$6:$N$305,$O2571)&amp;"",""))</f>
      </c>
      <c r="L2571" s="220">
        <f>IF(OR($C2571="",N($B2571)=0),"",IF(AND($I2571="Phản ánh",$E2571="Đã xử lý"),INDEX('Phản ánh'!$U$6:$U$505,MATCH($C2571,'Phản ánh'!$A$6:$A$505,0)),IF(AND($I2571="Công việc",OR($E2571="Hoàn thành",$E2571="Hoàn thành kỳ")),IF(INDEX('Kế hoạch'!$B$6:$B$305,$O2571)="Đột xuất",INDEX('Kế hoạch'!$AY$6:$AY$305,$O2571),IF(N($P2571)=0,"",IF(INT($B2571)&lt;$P2571,$P2571,IF($Q2571&gt;0,$P2571+ROUND((INT($B2571)-$P2571)/$Q2571,0)*$Q2571,IF($R2571&gt;0,EDATE($P2571,ROUND((DATEDIF($P2571,INT($B2571),"m")+(INT($B2571)-EDATE($P2571,DATEDIF($P2571,INT($B2571),"m")))/(EDATE($P2571,DATEDIF($P2571,INT($B2571),"m")+1)-EDATE($P2571,DATEDIF($P2571,INT($B2571),"m"))))/$R2571,0)*$R2571),$P2571))))),"")))</f>
      </c>
      <c r="M2571" s="223">
        <f>IF(OR($C2571="",N($L2571)=0,N($B2571)=0),"",IF(IF(MOD($L2571,1)=0,INT($B2571),$B2571)&lt;=$L2571,"Đúng hạn","Trễ hạn"))</f>
      </c>
      <c r="N2571" s="225">
        <f>IF($C2571="","",ROW())</f>
      </c>
      <c r="O2571" s="225">
        <f>IF($I2571="Công việc",MATCH($C2571,'Kế hoạch'!$A$6:$A$305,0),"")</f>
      </c>
      <c r="P2571" s="234">
        <f>IF($O2571="","",INDEX('Kế hoạch'!$I$6:$I$305,$O2571))</f>
      </c>
      <c r="Q2571" s="225">
        <f>IF($O2571="","",INDEX('Kế hoạch'!$AJ$6:$AJ$305,$O2571))</f>
      </c>
      <c r="R2571" s="225">
        <f>IF($O2571="","",INDEX('Kế hoạch'!$AK$6:$AK$305,$O2571))</f>
      </c>
    </row>
    <row r="2572">
      <c r="A2572" s="223">
        <f>IF($C2572="","",COUNTIF($C$6:$C2572,"?*"))</f>
      </c>
      <c r="B2572" s="217"/>
      <c r="C2572" s="216"/>
      <c r="D2572" s="240"/>
      <c r="E2572" s="218"/>
      <c r="F2572" s="218"/>
      <c r="G2572" s="218"/>
      <c r="H2572" s="219"/>
      <c r="I2572" s="223">
        <f>IF($C2572="","",IF(ISNUMBER(MATCH($C2572,'Phản ánh'!$A$6:$A$505,0)),"Phản ánh",IF(ISNUMBER(MATCH($C2572,'Kế hoạch'!$A$6:$A$305,0)),"Công việc","Mã chưa có")))</f>
      </c>
      <c r="J2572" s="221">
        <f>IF($I2572="Phản ánh",INDEX('Phản ánh'!$C$6:$C$505,MATCH($C2572,'Phản ánh'!$A$6:$A$505,0)),IF($I2572="Công việc",INDEX('Kế hoạch'!$C$6:$C$305,$O2572),""))</f>
      </c>
      <c r="K2572" s="221">
        <f>IF($I2572="Phản ánh",INDEX('Phản ánh'!$K$6:$K$505,MATCH($C2572,'Phản ánh'!$A$6:$A$505,0))&amp;"",IF($I2572="Công việc",INDEX('Kế hoạch'!$N$6:$N$305,$O2572)&amp;"",""))</f>
      </c>
      <c r="L2572" s="220">
        <f>IF(OR($C2572="",N($B2572)=0),"",IF(AND($I2572="Phản ánh",$E2572="Đã xử lý"),INDEX('Phản ánh'!$U$6:$U$505,MATCH($C2572,'Phản ánh'!$A$6:$A$505,0)),IF(AND($I2572="Công việc",OR($E2572="Hoàn thành",$E2572="Hoàn thành kỳ")),IF(INDEX('Kế hoạch'!$B$6:$B$305,$O2572)="Đột xuất",INDEX('Kế hoạch'!$AY$6:$AY$305,$O2572),IF(N($P2572)=0,"",IF(INT($B2572)&lt;$P2572,$P2572,IF($Q2572&gt;0,$P2572+ROUND((INT($B2572)-$P2572)/$Q2572,0)*$Q2572,IF($R2572&gt;0,EDATE($P2572,ROUND((DATEDIF($P2572,INT($B2572),"m")+(INT($B2572)-EDATE($P2572,DATEDIF($P2572,INT($B2572),"m")))/(EDATE($P2572,DATEDIF($P2572,INT($B2572),"m")+1)-EDATE($P2572,DATEDIF($P2572,INT($B2572),"m"))))/$R2572,0)*$R2572),$P2572))))),"")))</f>
      </c>
      <c r="M2572" s="223">
        <f>IF(OR($C2572="",N($L2572)=0,N($B2572)=0),"",IF(IF(MOD($L2572,1)=0,INT($B2572),$B2572)&lt;=$L2572,"Đúng hạn","Trễ hạn"))</f>
      </c>
      <c r="N2572" s="225">
        <f>IF($C2572="","",ROW())</f>
      </c>
      <c r="O2572" s="225">
        <f>IF($I2572="Công việc",MATCH($C2572,'Kế hoạch'!$A$6:$A$305,0),"")</f>
      </c>
      <c r="P2572" s="234">
        <f>IF($O2572="","",INDEX('Kế hoạch'!$I$6:$I$305,$O2572))</f>
      </c>
      <c r="Q2572" s="225">
        <f>IF($O2572="","",INDEX('Kế hoạch'!$AJ$6:$AJ$305,$O2572))</f>
      </c>
      <c r="R2572" s="225">
        <f>IF($O2572="","",INDEX('Kế hoạch'!$AK$6:$AK$305,$O2572))</f>
      </c>
    </row>
    <row r="2573">
      <c r="A2573" s="223">
        <f>IF($C2573="","",COUNTIF($C$6:$C2573,"?*"))</f>
      </c>
      <c r="B2573" s="217"/>
      <c r="C2573" s="216"/>
      <c r="D2573" s="240"/>
      <c r="E2573" s="218"/>
      <c r="F2573" s="218"/>
      <c r="G2573" s="218"/>
      <c r="H2573" s="219"/>
      <c r="I2573" s="223">
        <f>IF($C2573="","",IF(ISNUMBER(MATCH($C2573,'Phản ánh'!$A$6:$A$505,0)),"Phản ánh",IF(ISNUMBER(MATCH($C2573,'Kế hoạch'!$A$6:$A$305,0)),"Công việc","Mã chưa có")))</f>
      </c>
      <c r="J2573" s="221">
        <f>IF($I2573="Phản ánh",INDEX('Phản ánh'!$C$6:$C$505,MATCH($C2573,'Phản ánh'!$A$6:$A$505,0)),IF($I2573="Công việc",INDEX('Kế hoạch'!$C$6:$C$305,$O2573),""))</f>
      </c>
      <c r="K2573" s="221">
        <f>IF($I2573="Phản ánh",INDEX('Phản ánh'!$K$6:$K$505,MATCH($C2573,'Phản ánh'!$A$6:$A$505,0))&amp;"",IF($I2573="Công việc",INDEX('Kế hoạch'!$N$6:$N$305,$O2573)&amp;"",""))</f>
      </c>
      <c r="L2573" s="220">
        <f>IF(OR($C2573="",N($B2573)=0),"",IF(AND($I2573="Phản ánh",$E2573="Đã xử lý"),INDEX('Phản ánh'!$U$6:$U$505,MATCH($C2573,'Phản ánh'!$A$6:$A$505,0)),IF(AND($I2573="Công việc",OR($E2573="Hoàn thành",$E2573="Hoàn thành kỳ")),IF(INDEX('Kế hoạch'!$B$6:$B$305,$O2573)="Đột xuất",INDEX('Kế hoạch'!$AY$6:$AY$305,$O2573),IF(N($P2573)=0,"",IF(INT($B2573)&lt;$P2573,$P2573,IF($Q2573&gt;0,$P2573+ROUND((INT($B2573)-$P2573)/$Q2573,0)*$Q2573,IF($R2573&gt;0,EDATE($P2573,ROUND((DATEDIF($P2573,INT($B2573),"m")+(INT($B2573)-EDATE($P2573,DATEDIF($P2573,INT($B2573),"m")))/(EDATE($P2573,DATEDIF($P2573,INT($B2573),"m")+1)-EDATE($P2573,DATEDIF($P2573,INT($B2573),"m"))))/$R2573,0)*$R2573),$P2573))))),"")))</f>
      </c>
      <c r="M2573" s="223">
        <f>IF(OR($C2573="",N($L2573)=0,N($B2573)=0),"",IF(IF(MOD($L2573,1)=0,INT($B2573),$B2573)&lt;=$L2573,"Đúng hạn","Trễ hạn"))</f>
      </c>
      <c r="N2573" s="225">
        <f>IF($C2573="","",ROW())</f>
      </c>
      <c r="O2573" s="225">
        <f>IF($I2573="Công việc",MATCH($C2573,'Kế hoạch'!$A$6:$A$305,0),"")</f>
      </c>
      <c r="P2573" s="234">
        <f>IF($O2573="","",INDEX('Kế hoạch'!$I$6:$I$305,$O2573))</f>
      </c>
      <c r="Q2573" s="225">
        <f>IF($O2573="","",INDEX('Kế hoạch'!$AJ$6:$AJ$305,$O2573))</f>
      </c>
      <c r="R2573" s="225">
        <f>IF($O2573="","",INDEX('Kế hoạch'!$AK$6:$AK$305,$O2573))</f>
      </c>
    </row>
    <row r="2574">
      <c r="A2574" s="223">
        <f>IF($C2574="","",COUNTIF($C$6:$C2574,"?*"))</f>
      </c>
      <c r="B2574" s="217"/>
      <c r="C2574" s="216"/>
      <c r="D2574" s="240"/>
      <c r="E2574" s="218"/>
      <c r="F2574" s="218"/>
      <c r="G2574" s="218"/>
      <c r="H2574" s="219"/>
      <c r="I2574" s="223">
        <f>IF($C2574="","",IF(ISNUMBER(MATCH($C2574,'Phản ánh'!$A$6:$A$505,0)),"Phản ánh",IF(ISNUMBER(MATCH($C2574,'Kế hoạch'!$A$6:$A$305,0)),"Công việc","Mã chưa có")))</f>
      </c>
      <c r="J2574" s="221">
        <f>IF($I2574="Phản ánh",INDEX('Phản ánh'!$C$6:$C$505,MATCH($C2574,'Phản ánh'!$A$6:$A$505,0)),IF($I2574="Công việc",INDEX('Kế hoạch'!$C$6:$C$305,$O2574),""))</f>
      </c>
      <c r="K2574" s="221">
        <f>IF($I2574="Phản ánh",INDEX('Phản ánh'!$K$6:$K$505,MATCH($C2574,'Phản ánh'!$A$6:$A$505,0))&amp;"",IF($I2574="Công việc",INDEX('Kế hoạch'!$N$6:$N$305,$O2574)&amp;"",""))</f>
      </c>
      <c r="L2574" s="220">
        <f>IF(OR($C2574="",N($B2574)=0),"",IF(AND($I2574="Phản ánh",$E2574="Đã xử lý"),INDEX('Phản ánh'!$U$6:$U$505,MATCH($C2574,'Phản ánh'!$A$6:$A$505,0)),IF(AND($I2574="Công việc",OR($E2574="Hoàn thành",$E2574="Hoàn thành kỳ")),IF(INDEX('Kế hoạch'!$B$6:$B$305,$O2574)="Đột xuất",INDEX('Kế hoạch'!$AY$6:$AY$305,$O2574),IF(N($P2574)=0,"",IF(INT($B2574)&lt;$P2574,$P2574,IF($Q2574&gt;0,$P2574+ROUND((INT($B2574)-$P2574)/$Q2574,0)*$Q2574,IF($R2574&gt;0,EDATE($P2574,ROUND((DATEDIF($P2574,INT($B2574),"m")+(INT($B2574)-EDATE($P2574,DATEDIF($P2574,INT($B2574),"m")))/(EDATE($P2574,DATEDIF($P2574,INT($B2574),"m")+1)-EDATE($P2574,DATEDIF($P2574,INT($B2574),"m"))))/$R2574,0)*$R2574),$P2574))))),"")))</f>
      </c>
      <c r="M2574" s="223">
        <f>IF(OR($C2574="",N($L2574)=0,N($B2574)=0),"",IF(IF(MOD($L2574,1)=0,INT($B2574),$B2574)&lt;=$L2574,"Đúng hạn","Trễ hạn"))</f>
      </c>
      <c r="N2574" s="225">
        <f>IF($C2574="","",ROW())</f>
      </c>
      <c r="O2574" s="225">
        <f>IF($I2574="Công việc",MATCH($C2574,'Kế hoạch'!$A$6:$A$305,0),"")</f>
      </c>
      <c r="P2574" s="234">
        <f>IF($O2574="","",INDEX('Kế hoạch'!$I$6:$I$305,$O2574))</f>
      </c>
      <c r="Q2574" s="225">
        <f>IF($O2574="","",INDEX('Kế hoạch'!$AJ$6:$AJ$305,$O2574))</f>
      </c>
      <c r="R2574" s="225">
        <f>IF($O2574="","",INDEX('Kế hoạch'!$AK$6:$AK$305,$O2574))</f>
      </c>
    </row>
    <row r="2575">
      <c r="A2575" s="223">
        <f>IF($C2575="","",COUNTIF($C$6:$C2575,"?*"))</f>
      </c>
      <c r="B2575" s="217"/>
      <c r="C2575" s="216"/>
      <c r="D2575" s="240"/>
      <c r="E2575" s="218"/>
      <c r="F2575" s="218"/>
      <c r="G2575" s="218"/>
      <c r="H2575" s="219"/>
      <c r="I2575" s="223">
        <f>IF($C2575="","",IF(ISNUMBER(MATCH($C2575,'Phản ánh'!$A$6:$A$505,0)),"Phản ánh",IF(ISNUMBER(MATCH($C2575,'Kế hoạch'!$A$6:$A$305,0)),"Công việc","Mã chưa có")))</f>
      </c>
      <c r="J2575" s="221">
        <f>IF($I2575="Phản ánh",INDEX('Phản ánh'!$C$6:$C$505,MATCH($C2575,'Phản ánh'!$A$6:$A$505,0)),IF($I2575="Công việc",INDEX('Kế hoạch'!$C$6:$C$305,$O2575),""))</f>
      </c>
      <c r="K2575" s="221">
        <f>IF($I2575="Phản ánh",INDEX('Phản ánh'!$K$6:$K$505,MATCH($C2575,'Phản ánh'!$A$6:$A$505,0))&amp;"",IF($I2575="Công việc",INDEX('Kế hoạch'!$N$6:$N$305,$O2575)&amp;"",""))</f>
      </c>
      <c r="L2575" s="220">
        <f>IF(OR($C2575="",N($B2575)=0),"",IF(AND($I2575="Phản ánh",$E2575="Đã xử lý"),INDEX('Phản ánh'!$U$6:$U$505,MATCH($C2575,'Phản ánh'!$A$6:$A$505,0)),IF(AND($I2575="Công việc",OR($E2575="Hoàn thành",$E2575="Hoàn thành kỳ")),IF(INDEX('Kế hoạch'!$B$6:$B$305,$O2575)="Đột xuất",INDEX('Kế hoạch'!$AY$6:$AY$305,$O2575),IF(N($P2575)=0,"",IF(INT($B2575)&lt;$P2575,$P2575,IF($Q2575&gt;0,$P2575+ROUND((INT($B2575)-$P2575)/$Q2575,0)*$Q2575,IF($R2575&gt;0,EDATE($P2575,ROUND((DATEDIF($P2575,INT($B2575),"m")+(INT($B2575)-EDATE($P2575,DATEDIF($P2575,INT($B2575),"m")))/(EDATE($P2575,DATEDIF($P2575,INT($B2575),"m")+1)-EDATE($P2575,DATEDIF($P2575,INT($B2575),"m"))))/$R2575,0)*$R2575),$P2575))))),"")))</f>
      </c>
      <c r="M2575" s="223">
        <f>IF(OR($C2575="",N($L2575)=0,N($B2575)=0),"",IF(IF(MOD($L2575,1)=0,INT($B2575),$B2575)&lt;=$L2575,"Đúng hạn","Trễ hạn"))</f>
      </c>
      <c r="N2575" s="225">
        <f>IF($C2575="","",ROW())</f>
      </c>
      <c r="O2575" s="225">
        <f>IF($I2575="Công việc",MATCH($C2575,'Kế hoạch'!$A$6:$A$305,0),"")</f>
      </c>
      <c r="P2575" s="234">
        <f>IF($O2575="","",INDEX('Kế hoạch'!$I$6:$I$305,$O2575))</f>
      </c>
      <c r="Q2575" s="225">
        <f>IF($O2575="","",INDEX('Kế hoạch'!$AJ$6:$AJ$305,$O2575))</f>
      </c>
      <c r="R2575" s="225">
        <f>IF($O2575="","",INDEX('Kế hoạch'!$AK$6:$AK$305,$O2575))</f>
      </c>
    </row>
    <row r="2576">
      <c r="A2576" s="223">
        <f>IF($C2576="","",COUNTIF($C$6:$C2576,"?*"))</f>
      </c>
      <c r="B2576" s="217"/>
      <c r="C2576" s="216"/>
      <c r="D2576" s="240"/>
      <c r="E2576" s="218"/>
      <c r="F2576" s="218"/>
      <c r="G2576" s="218"/>
      <c r="H2576" s="219"/>
      <c r="I2576" s="223">
        <f>IF($C2576="","",IF(ISNUMBER(MATCH($C2576,'Phản ánh'!$A$6:$A$505,0)),"Phản ánh",IF(ISNUMBER(MATCH($C2576,'Kế hoạch'!$A$6:$A$305,0)),"Công việc","Mã chưa có")))</f>
      </c>
      <c r="J2576" s="221">
        <f>IF($I2576="Phản ánh",INDEX('Phản ánh'!$C$6:$C$505,MATCH($C2576,'Phản ánh'!$A$6:$A$505,0)),IF($I2576="Công việc",INDEX('Kế hoạch'!$C$6:$C$305,$O2576),""))</f>
      </c>
      <c r="K2576" s="221">
        <f>IF($I2576="Phản ánh",INDEX('Phản ánh'!$K$6:$K$505,MATCH($C2576,'Phản ánh'!$A$6:$A$505,0))&amp;"",IF($I2576="Công việc",INDEX('Kế hoạch'!$N$6:$N$305,$O2576)&amp;"",""))</f>
      </c>
      <c r="L2576" s="220">
        <f>IF(OR($C2576="",N($B2576)=0),"",IF(AND($I2576="Phản ánh",$E2576="Đã xử lý"),INDEX('Phản ánh'!$U$6:$U$505,MATCH($C2576,'Phản ánh'!$A$6:$A$505,0)),IF(AND($I2576="Công việc",OR($E2576="Hoàn thành",$E2576="Hoàn thành kỳ")),IF(INDEX('Kế hoạch'!$B$6:$B$305,$O2576)="Đột xuất",INDEX('Kế hoạch'!$AY$6:$AY$305,$O2576),IF(N($P2576)=0,"",IF(INT($B2576)&lt;$P2576,$P2576,IF($Q2576&gt;0,$P2576+ROUND((INT($B2576)-$P2576)/$Q2576,0)*$Q2576,IF($R2576&gt;0,EDATE($P2576,ROUND((DATEDIF($P2576,INT($B2576),"m")+(INT($B2576)-EDATE($P2576,DATEDIF($P2576,INT($B2576),"m")))/(EDATE($P2576,DATEDIF($P2576,INT($B2576),"m")+1)-EDATE($P2576,DATEDIF($P2576,INT($B2576),"m"))))/$R2576,0)*$R2576),$P2576))))),"")))</f>
      </c>
      <c r="M2576" s="223">
        <f>IF(OR($C2576="",N($L2576)=0,N($B2576)=0),"",IF(IF(MOD($L2576,1)=0,INT($B2576),$B2576)&lt;=$L2576,"Đúng hạn","Trễ hạn"))</f>
      </c>
      <c r="N2576" s="225">
        <f>IF($C2576="","",ROW())</f>
      </c>
      <c r="O2576" s="225">
        <f>IF($I2576="Công việc",MATCH($C2576,'Kế hoạch'!$A$6:$A$305,0),"")</f>
      </c>
      <c r="P2576" s="234">
        <f>IF($O2576="","",INDEX('Kế hoạch'!$I$6:$I$305,$O2576))</f>
      </c>
      <c r="Q2576" s="225">
        <f>IF($O2576="","",INDEX('Kế hoạch'!$AJ$6:$AJ$305,$O2576))</f>
      </c>
      <c r="R2576" s="225">
        <f>IF($O2576="","",INDEX('Kế hoạch'!$AK$6:$AK$305,$O2576))</f>
      </c>
    </row>
    <row r="2577">
      <c r="A2577" s="223">
        <f>IF($C2577="","",COUNTIF($C$6:$C2577,"?*"))</f>
      </c>
      <c r="B2577" s="217"/>
      <c r="C2577" s="216"/>
      <c r="D2577" s="240"/>
      <c r="E2577" s="218"/>
      <c r="F2577" s="218"/>
      <c r="G2577" s="218"/>
      <c r="H2577" s="219"/>
      <c r="I2577" s="223">
        <f>IF($C2577="","",IF(ISNUMBER(MATCH($C2577,'Phản ánh'!$A$6:$A$505,0)),"Phản ánh",IF(ISNUMBER(MATCH($C2577,'Kế hoạch'!$A$6:$A$305,0)),"Công việc","Mã chưa có")))</f>
      </c>
      <c r="J2577" s="221">
        <f>IF($I2577="Phản ánh",INDEX('Phản ánh'!$C$6:$C$505,MATCH($C2577,'Phản ánh'!$A$6:$A$505,0)),IF($I2577="Công việc",INDEX('Kế hoạch'!$C$6:$C$305,$O2577),""))</f>
      </c>
      <c r="K2577" s="221">
        <f>IF($I2577="Phản ánh",INDEX('Phản ánh'!$K$6:$K$505,MATCH($C2577,'Phản ánh'!$A$6:$A$505,0))&amp;"",IF($I2577="Công việc",INDEX('Kế hoạch'!$N$6:$N$305,$O2577)&amp;"",""))</f>
      </c>
      <c r="L2577" s="220">
        <f>IF(OR($C2577="",N($B2577)=0),"",IF(AND($I2577="Phản ánh",$E2577="Đã xử lý"),INDEX('Phản ánh'!$U$6:$U$505,MATCH($C2577,'Phản ánh'!$A$6:$A$505,0)),IF(AND($I2577="Công việc",OR($E2577="Hoàn thành",$E2577="Hoàn thành kỳ")),IF(INDEX('Kế hoạch'!$B$6:$B$305,$O2577)="Đột xuất",INDEX('Kế hoạch'!$AY$6:$AY$305,$O2577),IF(N($P2577)=0,"",IF(INT($B2577)&lt;$P2577,$P2577,IF($Q2577&gt;0,$P2577+ROUND((INT($B2577)-$P2577)/$Q2577,0)*$Q2577,IF($R2577&gt;0,EDATE($P2577,ROUND((DATEDIF($P2577,INT($B2577),"m")+(INT($B2577)-EDATE($P2577,DATEDIF($P2577,INT($B2577),"m")))/(EDATE($P2577,DATEDIF($P2577,INT($B2577),"m")+1)-EDATE($P2577,DATEDIF($P2577,INT($B2577),"m"))))/$R2577,0)*$R2577),$P2577))))),"")))</f>
      </c>
      <c r="M2577" s="223">
        <f>IF(OR($C2577="",N($L2577)=0,N($B2577)=0),"",IF(IF(MOD($L2577,1)=0,INT($B2577),$B2577)&lt;=$L2577,"Đúng hạn","Trễ hạn"))</f>
      </c>
      <c r="N2577" s="225">
        <f>IF($C2577="","",ROW())</f>
      </c>
      <c r="O2577" s="225">
        <f>IF($I2577="Công việc",MATCH($C2577,'Kế hoạch'!$A$6:$A$305,0),"")</f>
      </c>
      <c r="P2577" s="234">
        <f>IF($O2577="","",INDEX('Kế hoạch'!$I$6:$I$305,$O2577))</f>
      </c>
      <c r="Q2577" s="225">
        <f>IF($O2577="","",INDEX('Kế hoạch'!$AJ$6:$AJ$305,$O2577))</f>
      </c>
      <c r="R2577" s="225">
        <f>IF($O2577="","",INDEX('Kế hoạch'!$AK$6:$AK$305,$O2577))</f>
      </c>
    </row>
    <row r="2578">
      <c r="A2578" s="223">
        <f>IF($C2578="","",COUNTIF($C$6:$C2578,"?*"))</f>
      </c>
      <c r="B2578" s="217"/>
      <c r="C2578" s="216"/>
      <c r="D2578" s="240"/>
      <c r="E2578" s="218"/>
      <c r="F2578" s="218"/>
      <c r="G2578" s="218"/>
      <c r="H2578" s="219"/>
      <c r="I2578" s="223">
        <f>IF($C2578="","",IF(ISNUMBER(MATCH($C2578,'Phản ánh'!$A$6:$A$505,0)),"Phản ánh",IF(ISNUMBER(MATCH($C2578,'Kế hoạch'!$A$6:$A$305,0)),"Công việc","Mã chưa có")))</f>
      </c>
      <c r="J2578" s="221">
        <f>IF($I2578="Phản ánh",INDEX('Phản ánh'!$C$6:$C$505,MATCH($C2578,'Phản ánh'!$A$6:$A$505,0)),IF($I2578="Công việc",INDEX('Kế hoạch'!$C$6:$C$305,$O2578),""))</f>
      </c>
      <c r="K2578" s="221">
        <f>IF($I2578="Phản ánh",INDEX('Phản ánh'!$K$6:$K$505,MATCH($C2578,'Phản ánh'!$A$6:$A$505,0))&amp;"",IF($I2578="Công việc",INDEX('Kế hoạch'!$N$6:$N$305,$O2578)&amp;"",""))</f>
      </c>
      <c r="L2578" s="220">
        <f>IF(OR($C2578="",N($B2578)=0),"",IF(AND($I2578="Phản ánh",$E2578="Đã xử lý"),INDEX('Phản ánh'!$U$6:$U$505,MATCH($C2578,'Phản ánh'!$A$6:$A$505,0)),IF(AND($I2578="Công việc",OR($E2578="Hoàn thành",$E2578="Hoàn thành kỳ")),IF(INDEX('Kế hoạch'!$B$6:$B$305,$O2578)="Đột xuất",INDEX('Kế hoạch'!$AY$6:$AY$305,$O2578),IF(N($P2578)=0,"",IF(INT($B2578)&lt;$P2578,$P2578,IF($Q2578&gt;0,$P2578+ROUND((INT($B2578)-$P2578)/$Q2578,0)*$Q2578,IF($R2578&gt;0,EDATE($P2578,ROUND((DATEDIF($P2578,INT($B2578),"m")+(INT($B2578)-EDATE($P2578,DATEDIF($P2578,INT($B2578),"m")))/(EDATE($P2578,DATEDIF($P2578,INT($B2578),"m")+1)-EDATE($P2578,DATEDIF($P2578,INT($B2578),"m"))))/$R2578,0)*$R2578),$P2578))))),"")))</f>
      </c>
      <c r="M2578" s="223">
        <f>IF(OR($C2578="",N($L2578)=0,N($B2578)=0),"",IF(IF(MOD($L2578,1)=0,INT($B2578),$B2578)&lt;=$L2578,"Đúng hạn","Trễ hạn"))</f>
      </c>
      <c r="N2578" s="225">
        <f>IF($C2578="","",ROW())</f>
      </c>
      <c r="O2578" s="225">
        <f>IF($I2578="Công việc",MATCH($C2578,'Kế hoạch'!$A$6:$A$305,0),"")</f>
      </c>
      <c r="P2578" s="234">
        <f>IF($O2578="","",INDEX('Kế hoạch'!$I$6:$I$305,$O2578))</f>
      </c>
      <c r="Q2578" s="225">
        <f>IF($O2578="","",INDEX('Kế hoạch'!$AJ$6:$AJ$305,$O2578))</f>
      </c>
      <c r="R2578" s="225">
        <f>IF($O2578="","",INDEX('Kế hoạch'!$AK$6:$AK$305,$O2578))</f>
      </c>
    </row>
    <row r="2579">
      <c r="A2579" s="223">
        <f>IF($C2579="","",COUNTIF($C$6:$C2579,"?*"))</f>
      </c>
      <c r="B2579" s="217"/>
      <c r="C2579" s="216"/>
      <c r="D2579" s="240"/>
      <c r="E2579" s="218"/>
      <c r="F2579" s="218"/>
      <c r="G2579" s="218"/>
      <c r="H2579" s="219"/>
      <c r="I2579" s="223">
        <f>IF($C2579="","",IF(ISNUMBER(MATCH($C2579,'Phản ánh'!$A$6:$A$505,0)),"Phản ánh",IF(ISNUMBER(MATCH($C2579,'Kế hoạch'!$A$6:$A$305,0)),"Công việc","Mã chưa có")))</f>
      </c>
      <c r="J2579" s="221">
        <f>IF($I2579="Phản ánh",INDEX('Phản ánh'!$C$6:$C$505,MATCH($C2579,'Phản ánh'!$A$6:$A$505,0)),IF($I2579="Công việc",INDEX('Kế hoạch'!$C$6:$C$305,$O2579),""))</f>
      </c>
      <c r="K2579" s="221">
        <f>IF($I2579="Phản ánh",INDEX('Phản ánh'!$K$6:$K$505,MATCH($C2579,'Phản ánh'!$A$6:$A$505,0))&amp;"",IF($I2579="Công việc",INDEX('Kế hoạch'!$N$6:$N$305,$O2579)&amp;"",""))</f>
      </c>
      <c r="L2579" s="220">
        <f>IF(OR($C2579="",N($B2579)=0),"",IF(AND($I2579="Phản ánh",$E2579="Đã xử lý"),INDEX('Phản ánh'!$U$6:$U$505,MATCH($C2579,'Phản ánh'!$A$6:$A$505,0)),IF(AND($I2579="Công việc",OR($E2579="Hoàn thành",$E2579="Hoàn thành kỳ")),IF(INDEX('Kế hoạch'!$B$6:$B$305,$O2579)="Đột xuất",INDEX('Kế hoạch'!$AY$6:$AY$305,$O2579),IF(N($P2579)=0,"",IF(INT($B2579)&lt;$P2579,$P2579,IF($Q2579&gt;0,$P2579+ROUND((INT($B2579)-$P2579)/$Q2579,0)*$Q2579,IF($R2579&gt;0,EDATE($P2579,ROUND((DATEDIF($P2579,INT($B2579),"m")+(INT($B2579)-EDATE($P2579,DATEDIF($P2579,INT($B2579),"m")))/(EDATE($P2579,DATEDIF($P2579,INT($B2579),"m")+1)-EDATE($P2579,DATEDIF($P2579,INT($B2579),"m"))))/$R2579,0)*$R2579),$P2579))))),"")))</f>
      </c>
      <c r="M2579" s="223">
        <f>IF(OR($C2579="",N($L2579)=0,N($B2579)=0),"",IF(IF(MOD($L2579,1)=0,INT($B2579),$B2579)&lt;=$L2579,"Đúng hạn","Trễ hạn"))</f>
      </c>
      <c r="N2579" s="225">
        <f>IF($C2579="","",ROW())</f>
      </c>
      <c r="O2579" s="225">
        <f>IF($I2579="Công việc",MATCH($C2579,'Kế hoạch'!$A$6:$A$305,0),"")</f>
      </c>
      <c r="P2579" s="234">
        <f>IF($O2579="","",INDEX('Kế hoạch'!$I$6:$I$305,$O2579))</f>
      </c>
      <c r="Q2579" s="225">
        <f>IF($O2579="","",INDEX('Kế hoạch'!$AJ$6:$AJ$305,$O2579))</f>
      </c>
      <c r="R2579" s="225">
        <f>IF($O2579="","",INDEX('Kế hoạch'!$AK$6:$AK$305,$O2579))</f>
      </c>
    </row>
    <row r="2580">
      <c r="A2580" s="223">
        <f>IF($C2580="","",COUNTIF($C$6:$C2580,"?*"))</f>
      </c>
      <c r="B2580" s="217"/>
      <c r="C2580" s="216"/>
      <c r="D2580" s="240"/>
      <c r="E2580" s="218"/>
      <c r="F2580" s="218"/>
      <c r="G2580" s="218"/>
      <c r="H2580" s="219"/>
      <c r="I2580" s="223">
        <f>IF($C2580="","",IF(ISNUMBER(MATCH($C2580,'Phản ánh'!$A$6:$A$505,0)),"Phản ánh",IF(ISNUMBER(MATCH($C2580,'Kế hoạch'!$A$6:$A$305,0)),"Công việc","Mã chưa có")))</f>
      </c>
      <c r="J2580" s="221">
        <f>IF($I2580="Phản ánh",INDEX('Phản ánh'!$C$6:$C$505,MATCH($C2580,'Phản ánh'!$A$6:$A$505,0)),IF($I2580="Công việc",INDEX('Kế hoạch'!$C$6:$C$305,$O2580),""))</f>
      </c>
      <c r="K2580" s="221">
        <f>IF($I2580="Phản ánh",INDEX('Phản ánh'!$K$6:$K$505,MATCH($C2580,'Phản ánh'!$A$6:$A$505,0))&amp;"",IF($I2580="Công việc",INDEX('Kế hoạch'!$N$6:$N$305,$O2580)&amp;"",""))</f>
      </c>
      <c r="L2580" s="220">
        <f>IF(OR($C2580="",N($B2580)=0),"",IF(AND($I2580="Phản ánh",$E2580="Đã xử lý"),INDEX('Phản ánh'!$U$6:$U$505,MATCH($C2580,'Phản ánh'!$A$6:$A$505,0)),IF(AND($I2580="Công việc",OR($E2580="Hoàn thành",$E2580="Hoàn thành kỳ")),IF(INDEX('Kế hoạch'!$B$6:$B$305,$O2580)="Đột xuất",INDEX('Kế hoạch'!$AY$6:$AY$305,$O2580),IF(N($P2580)=0,"",IF(INT($B2580)&lt;$P2580,$P2580,IF($Q2580&gt;0,$P2580+ROUND((INT($B2580)-$P2580)/$Q2580,0)*$Q2580,IF($R2580&gt;0,EDATE($P2580,ROUND((DATEDIF($P2580,INT($B2580),"m")+(INT($B2580)-EDATE($P2580,DATEDIF($P2580,INT($B2580),"m")))/(EDATE($P2580,DATEDIF($P2580,INT($B2580),"m")+1)-EDATE($P2580,DATEDIF($P2580,INT($B2580),"m"))))/$R2580,0)*$R2580),$P2580))))),"")))</f>
      </c>
      <c r="M2580" s="223">
        <f>IF(OR($C2580="",N($L2580)=0,N($B2580)=0),"",IF(IF(MOD($L2580,1)=0,INT($B2580),$B2580)&lt;=$L2580,"Đúng hạn","Trễ hạn"))</f>
      </c>
      <c r="N2580" s="225">
        <f>IF($C2580="","",ROW())</f>
      </c>
      <c r="O2580" s="225">
        <f>IF($I2580="Công việc",MATCH($C2580,'Kế hoạch'!$A$6:$A$305,0),"")</f>
      </c>
      <c r="P2580" s="234">
        <f>IF($O2580="","",INDEX('Kế hoạch'!$I$6:$I$305,$O2580))</f>
      </c>
      <c r="Q2580" s="225">
        <f>IF($O2580="","",INDEX('Kế hoạch'!$AJ$6:$AJ$305,$O2580))</f>
      </c>
      <c r="R2580" s="225">
        <f>IF($O2580="","",INDEX('Kế hoạch'!$AK$6:$AK$305,$O2580))</f>
      </c>
    </row>
    <row r="2581">
      <c r="A2581" s="223">
        <f>IF($C2581="","",COUNTIF($C$6:$C2581,"?*"))</f>
      </c>
      <c r="B2581" s="217"/>
      <c r="C2581" s="216"/>
      <c r="D2581" s="240"/>
      <c r="E2581" s="218"/>
      <c r="F2581" s="218"/>
      <c r="G2581" s="218"/>
      <c r="H2581" s="219"/>
      <c r="I2581" s="223">
        <f>IF($C2581="","",IF(ISNUMBER(MATCH($C2581,'Phản ánh'!$A$6:$A$505,0)),"Phản ánh",IF(ISNUMBER(MATCH($C2581,'Kế hoạch'!$A$6:$A$305,0)),"Công việc","Mã chưa có")))</f>
      </c>
      <c r="J2581" s="221">
        <f>IF($I2581="Phản ánh",INDEX('Phản ánh'!$C$6:$C$505,MATCH($C2581,'Phản ánh'!$A$6:$A$505,0)),IF($I2581="Công việc",INDEX('Kế hoạch'!$C$6:$C$305,$O2581),""))</f>
      </c>
      <c r="K2581" s="221">
        <f>IF($I2581="Phản ánh",INDEX('Phản ánh'!$K$6:$K$505,MATCH($C2581,'Phản ánh'!$A$6:$A$505,0))&amp;"",IF($I2581="Công việc",INDEX('Kế hoạch'!$N$6:$N$305,$O2581)&amp;"",""))</f>
      </c>
      <c r="L2581" s="220">
        <f>IF(OR($C2581="",N($B2581)=0),"",IF(AND($I2581="Phản ánh",$E2581="Đã xử lý"),INDEX('Phản ánh'!$U$6:$U$505,MATCH($C2581,'Phản ánh'!$A$6:$A$505,0)),IF(AND($I2581="Công việc",OR($E2581="Hoàn thành",$E2581="Hoàn thành kỳ")),IF(INDEX('Kế hoạch'!$B$6:$B$305,$O2581)="Đột xuất",INDEX('Kế hoạch'!$AY$6:$AY$305,$O2581),IF(N($P2581)=0,"",IF(INT($B2581)&lt;$P2581,$P2581,IF($Q2581&gt;0,$P2581+ROUND((INT($B2581)-$P2581)/$Q2581,0)*$Q2581,IF($R2581&gt;0,EDATE($P2581,ROUND((DATEDIF($P2581,INT($B2581),"m")+(INT($B2581)-EDATE($P2581,DATEDIF($P2581,INT($B2581),"m")))/(EDATE($P2581,DATEDIF($P2581,INT($B2581),"m")+1)-EDATE($P2581,DATEDIF($P2581,INT($B2581),"m"))))/$R2581,0)*$R2581),$P2581))))),"")))</f>
      </c>
      <c r="M2581" s="223">
        <f>IF(OR($C2581="",N($L2581)=0,N($B2581)=0),"",IF(IF(MOD($L2581,1)=0,INT($B2581),$B2581)&lt;=$L2581,"Đúng hạn","Trễ hạn"))</f>
      </c>
      <c r="N2581" s="225">
        <f>IF($C2581="","",ROW())</f>
      </c>
      <c r="O2581" s="225">
        <f>IF($I2581="Công việc",MATCH($C2581,'Kế hoạch'!$A$6:$A$305,0),"")</f>
      </c>
      <c r="P2581" s="234">
        <f>IF($O2581="","",INDEX('Kế hoạch'!$I$6:$I$305,$O2581))</f>
      </c>
      <c r="Q2581" s="225">
        <f>IF($O2581="","",INDEX('Kế hoạch'!$AJ$6:$AJ$305,$O2581))</f>
      </c>
      <c r="R2581" s="225">
        <f>IF($O2581="","",INDEX('Kế hoạch'!$AK$6:$AK$305,$O2581))</f>
      </c>
    </row>
    <row r="2582">
      <c r="A2582" s="223">
        <f>IF($C2582="","",COUNTIF($C$6:$C2582,"?*"))</f>
      </c>
      <c r="B2582" s="217"/>
      <c r="C2582" s="216"/>
      <c r="D2582" s="240"/>
      <c r="E2582" s="218"/>
      <c r="F2582" s="218"/>
      <c r="G2582" s="218"/>
      <c r="H2582" s="219"/>
      <c r="I2582" s="223">
        <f>IF($C2582="","",IF(ISNUMBER(MATCH($C2582,'Phản ánh'!$A$6:$A$505,0)),"Phản ánh",IF(ISNUMBER(MATCH($C2582,'Kế hoạch'!$A$6:$A$305,0)),"Công việc","Mã chưa có")))</f>
      </c>
      <c r="J2582" s="221">
        <f>IF($I2582="Phản ánh",INDEX('Phản ánh'!$C$6:$C$505,MATCH($C2582,'Phản ánh'!$A$6:$A$505,0)),IF($I2582="Công việc",INDEX('Kế hoạch'!$C$6:$C$305,$O2582),""))</f>
      </c>
      <c r="K2582" s="221">
        <f>IF($I2582="Phản ánh",INDEX('Phản ánh'!$K$6:$K$505,MATCH($C2582,'Phản ánh'!$A$6:$A$505,0))&amp;"",IF($I2582="Công việc",INDEX('Kế hoạch'!$N$6:$N$305,$O2582)&amp;"",""))</f>
      </c>
      <c r="L2582" s="220">
        <f>IF(OR($C2582="",N($B2582)=0),"",IF(AND($I2582="Phản ánh",$E2582="Đã xử lý"),INDEX('Phản ánh'!$U$6:$U$505,MATCH($C2582,'Phản ánh'!$A$6:$A$505,0)),IF(AND($I2582="Công việc",OR($E2582="Hoàn thành",$E2582="Hoàn thành kỳ")),IF(INDEX('Kế hoạch'!$B$6:$B$305,$O2582)="Đột xuất",INDEX('Kế hoạch'!$AY$6:$AY$305,$O2582),IF(N($P2582)=0,"",IF(INT($B2582)&lt;$P2582,$P2582,IF($Q2582&gt;0,$P2582+ROUND((INT($B2582)-$P2582)/$Q2582,0)*$Q2582,IF($R2582&gt;0,EDATE($P2582,ROUND((DATEDIF($P2582,INT($B2582),"m")+(INT($B2582)-EDATE($P2582,DATEDIF($P2582,INT($B2582),"m")))/(EDATE($P2582,DATEDIF($P2582,INT($B2582),"m")+1)-EDATE($P2582,DATEDIF($P2582,INT($B2582),"m"))))/$R2582,0)*$R2582),$P2582))))),"")))</f>
      </c>
      <c r="M2582" s="223">
        <f>IF(OR($C2582="",N($L2582)=0,N($B2582)=0),"",IF(IF(MOD($L2582,1)=0,INT($B2582),$B2582)&lt;=$L2582,"Đúng hạn","Trễ hạn"))</f>
      </c>
      <c r="N2582" s="225">
        <f>IF($C2582="","",ROW())</f>
      </c>
      <c r="O2582" s="225">
        <f>IF($I2582="Công việc",MATCH($C2582,'Kế hoạch'!$A$6:$A$305,0),"")</f>
      </c>
      <c r="P2582" s="234">
        <f>IF($O2582="","",INDEX('Kế hoạch'!$I$6:$I$305,$O2582))</f>
      </c>
      <c r="Q2582" s="225">
        <f>IF($O2582="","",INDEX('Kế hoạch'!$AJ$6:$AJ$305,$O2582))</f>
      </c>
      <c r="R2582" s="225">
        <f>IF($O2582="","",INDEX('Kế hoạch'!$AK$6:$AK$305,$O2582))</f>
      </c>
    </row>
    <row r="2583">
      <c r="A2583" s="223">
        <f>IF($C2583="","",COUNTIF($C$6:$C2583,"?*"))</f>
      </c>
      <c r="B2583" s="217"/>
      <c r="C2583" s="216"/>
      <c r="D2583" s="240"/>
      <c r="E2583" s="218"/>
      <c r="F2583" s="218"/>
      <c r="G2583" s="218"/>
      <c r="H2583" s="219"/>
      <c r="I2583" s="223">
        <f>IF($C2583="","",IF(ISNUMBER(MATCH($C2583,'Phản ánh'!$A$6:$A$505,0)),"Phản ánh",IF(ISNUMBER(MATCH($C2583,'Kế hoạch'!$A$6:$A$305,0)),"Công việc","Mã chưa có")))</f>
      </c>
      <c r="J2583" s="221">
        <f>IF($I2583="Phản ánh",INDEX('Phản ánh'!$C$6:$C$505,MATCH($C2583,'Phản ánh'!$A$6:$A$505,0)),IF($I2583="Công việc",INDEX('Kế hoạch'!$C$6:$C$305,$O2583),""))</f>
      </c>
      <c r="K2583" s="221">
        <f>IF($I2583="Phản ánh",INDEX('Phản ánh'!$K$6:$K$505,MATCH($C2583,'Phản ánh'!$A$6:$A$505,0))&amp;"",IF($I2583="Công việc",INDEX('Kế hoạch'!$N$6:$N$305,$O2583)&amp;"",""))</f>
      </c>
      <c r="L2583" s="220">
        <f>IF(OR($C2583="",N($B2583)=0),"",IF(AND($I2583="Phản ánh",$E2583="Đã xử lý"),INDEX('Phản ánh'!$U$6:$U$505,MATCH($C2583,'Phản ánh'!$A$6:$A$505,0)),IF(AND($I2583="Công việc",OR($E2583="Hoàn thành",$E2583="Hoàn thành kỳ")),IF(INDEX('Kế hoạch'!$B$6:$B$305,$O2583)="Đột xuất",INDEX('Kế hoạch'!$AY$6:$AY$305,$O2583),IF(N($P2583)=0,"",IF(INT($B2583)&lt;$P2583,$P2583,IF($Q2583&gt;0,$P2583+ROUND((INT($B2583)-$P2583)/$Q2583,0)*$Q2583,IF($R2583&gt;0,EDATE($P2583,ROUND((DATEDIF($P2583,INT($B2583),"m")+(INT($B2583)-EDATE($P2583,DATEDIF($P2583,INT($B2583),"m")))/(EDATE($P2583,DATEDIF($P2583,INT($B2583),"m")+1)-EDATE($P2583,DATEDIF($P2583,INT($B2583),"m"))))/$R2583,0)*$R2583),$P2583))))),"")))</f>
      </c>
      <c r="M2583" s="223">
        <f>IF(OR($C2583="",N($L2583)=0,N($B2583)=0),"",IF(IF(MOD($L2583,1)=0,INT($B2583),$B2583)&lt;=$L2583,"Đúng hạn","Trễ hạn"))</f>
      </c>
      <c r="N2583" s="225">
        <f>IF($C2583="","",ROW())</f>
      </c>
      <c r="O2583" s="225">
        <f>IF($I2583="Công việc",MATCH($C2583,'Kế hoạch'!$A$6:$A$305,0),"")</f>
      </c>
      <c r="P2583" s="234">
        <f>IF($O2583="","",INDEX('Kế hoạch'!$I$6:$I$305,$O2583))</f>
      </c>
      <c r="Q2583" s="225">
        <f>IF($O2583="","",INDEX('Kế hoạch'!$AJ$6:$AJ$305,$O2583))</f>
      </c>
      <c r="R2583" s="225">
        <f>IF($O2583="","",INDEX('Kế hoạch'!$AK$6:$AK$305,$O2583))</f>
      </c>
    </row>
    <row r="2584">
      <c r="A2584" s="223">
        <f>IF($C2584="","",COUNTIF($C$6:$C2584,"?*"))</f>
      </c>
      <c r="B2584" s="217"/>
      <c r="C2584" s="216"/>
      <c r="D2584" s="240"/>
      <c r="E2584" s="218"/>
      <c r="F2584" s="218"/>
      <c r="G2584" s="218"/>
      <c r="H2584" s="219"/>
      <c r="I2584" s="223">
        <f>IF($C2584="","",IF(ISNUMBER(MATCH($C2584,'Phản ánh'!$A$6:$A$505,0)),"Phản ánh",IF(ISNUMBER(MATCH($C2584,'Kế hoạch'!$A$6:$A$305,0)),"Công việc","Mã chưa có")))</f>
      </c>
      <c r="J2584" s="221">
        <f>IF($I2584="Phản ánh",INDEX('Phản ánh'!$C$6:$C$505,MATCH($C2584,'Phản ánh'!$A$6:$A$505,0)),IF($I2584="Công việc",INDEX('Kế hoạch'!$C$6:$C$305,$O2584),""))</f>
      </c>
      <c r="K2584" s="221">
        <f>IF($I2584="Phản ánh",INDEX('Phản ánh'!$K$6:$K$505,MATCH($C2584,'Phản ánh'!$A$6:$A$505,0))&amp;"",IF($I2584="Công việc",INDEX('Kế hoạch'!$N$6:$N$305,$O2584)&amp;"",""))</f>
      </c>
      <c r="L2584" s="220">
        <f>IF(OR($C2584="",N($B2584)=0),"",IF(AND($I2584="Phản ánh",$E2584="Đã xử lý"),INDEX('Phản ánh'!$U$6:$U$505,MATCH($C2584,'Phản ánh'!$A$6:$A$505,0)),IF(AND($I2584="Công việc",OR($E2584="Hoàn thành",$E2584="Hoàn thành kỳ")),IF(INDEX('Kế hoạch'!$B$6:$B$305,$O2584)="Đột xuất",INDEX('Kế hoạch'!$AY$6:$AY$305,$O2584),IF(N($P2584)=0,"",IF(INT($B2584)&lt;$P2584,$P2584,IF($Q2584&gt;0,$P2584+ROUND((INT($B2584)-$P2584)/$Q2584,0)*$Q2584,IF($R2584&gt;0,EDATE($P2584,ROUND((DATEDIF($P2584,INT($B2584),"m")+(INT($B2584)-EDATE($P2584,DATEDIF($P2584,INT($B2584),"m")))/(EDATE($P2584,DATEDIF($P2584,INT($B2584),"m")+1)-EDATE($P2584,DATEDIF($P2584,INT($B2584),"m"))))/$R2584,0)*$R2584),$P2584))))),"")))</f>
      </c>
      <c r="M2584" s="223">
        <f>IF(OR($C2584="",N($L2584)=0,N($B2584)=0),"",IF(IF(MOD($L2584,1)=0,INT($B2584),$B2584)&lt;=$L2584,"Đúng hạn","Trễ hạn"))</f>
      </c>
      <c r="N2584" s="225">
        <f>IF($C2584="","",ROW())</f>
      </c>
      <c r="O2584" s="225">
        <f>IF($I2584="Công việc",MATCH($C2584,'Kế hoạch'!$A$6:$A$305,0),"")</f>
      </c>
      <c r="P2584" s="234">
        <f>IF($O2584="","",INDEX('Kế hoạch'!$I$6:$I$305,$O2584))</f>
      </c>
      <c r="Q2584" s="225">
        <f>IF($O2584="","",INDEX('Kế hoạch'!$AJ$6:$AJ$305,$O2584))</f>
      </c>
      <c r="R2584" s="225">
        <f>IF($O2584="","",INDEX('Kế hoạch'!$AK$6:$AK$305,$O2584))</f>
      </c>
    </row>
    <row r="2585">
      <c r="A2585" s="223">
        <f>IF($C2585="","",COUNTIF($C$6:$C2585,"?*"))</f>
      </c>
      <c r="B2585" s="217"/>
      <c r="C2585" s="216"/>
      <c r="D2585" s="240"/>
      <c r="E2585" s="218"/>
      <c r="F2585" s="218"/>
      <c r="G2585" s="218"/>
      <c r="H2585" s="219"/>
      <c r="I2585" s="223">
        <f>IF($C2585="","",IF(ISNUMBER(MATCH($C2585,'Phản ánh'!$A$6:$A$505,0)),"Phản ánh",IF(ISNUMBER(MATCH($C2585,'Kế hoạch'!$A$6:$A$305,0)),"Công việc","Mã chưa có")))</f>
      </c>
      <c r="J2585" s="221">
        <f>IF($I2585="Phản ánh",INDEX('Phản ánh'!$C$6:$C$505,MATCH($C2585,'Phản ánh'!$A$6:$A$505,0)),IF($I2585="Công việc",INDEX('Kế hoạch'!$C$6:$C$305,$O2585),""))</f>
      </c>
      <c r="K2585" s="221">
        <f>IF($I2585="Phản ánh",INDEX('Phản ánh'!$K$6:$K$505,MATCH($C2585,'Phản ánh'!$A$6:$A$505,0))&amp;"",IF($I2585="Công việc",INDEX('Kế hoạch'!$N$6:$N$305,$O2585)&amp;"",""))</f>
      </c>
      <c r="L2585" s="220">
        <f>IF(OR($C2585="",N($B2585)=0),"",IF(AND($I2585="Phản ánh",$E2585="Đã xử lý"),INDEX('Phản ánh'!$U$6:$U$505,MATCH($C2585,'Phản ánh'!$A$6:$A$505,0)),IF(AND($I2585="Công việc",OR($E2585="Hoàn thành",$E2585="Hoàn thành kỳ")),IF(INDEX('Kế hoạch'!$B$6:$B$305,$O2585)="Đột xuất",INDEX('Kế hoạch'!$AY$6:$AY$305,$O2585),IF(N($P2585)=0,"",IF(INT($B2585)&lt;$P2585,$P2585,IF($Q2585&gt;0,$P2585+ROUND((INT($B2585)-$P2585)/$Q2585,0)*$Q2585,IF($R2585&gt;0,EDATE($P2585,ROUND((DATEDIF($P2585,INT($B2585),"m")+(INT($B2585)-EDATE($P2585,DATEDIF($P2585,INT($B2585),"m")))/(EDATE($P2585,DATEDIF($P2585,INT($B2585),"m")+1)-EDATE($P2585,DATEDIF($P2585,INT($B2585),"m"))))/$R2585,0)*$R2585),$P2585))))),"")))</f>
      </c>
      <c r="M2585" s="223">
        <f>IF(OR($C2585="",N($L2585)=0,N($B2585)=0),"",IF(IF(MOD($L2585,1)=0,INT($B2585),$B2585)&lt;=$L2585,"Đúng hạn","Trễ hạn"))</f>
      </c>
      <c r="N2585" s="225">
        <f>IF($C2585="","",ROW())</f>
      </c>
      <c r="O2585" s="225">
        <f>IF($I2585="Công việc",MATCH($C2585,'Kế hoạch'!$A$6:$A$305,0),"")</f>
      </c>
      <c r="P2585" s="234">
        <f>IF($O2585="","",INDEX('Kế hoạch'!$I$6:$I$305,$O2585))</f>
      </c>
      <c r="Q2585" s="225">
        <f>IF($O2585="","",INDEX('Kế hoạch'!$AJ$6:$AJ$305,$O2585))</f>
      </c>
      <c r="R2585" s="225">
        <f>IF($O2585="","",INDEX('Kế hoạch'!$AK$6:$AK$305,$O2585))</f>
      </c>
    </row>
    <row r="2586">
      <c r="A2586" s="223">
        <f>IF($C2586="","",COUNTIF($C$6:$C2586,"?*"))</f>
      </c>
      <c r="B2586" s="217"/>
      <c r="C2586" s="216"/>
      <c r="D2586" s="240"/>
      <c r="E2586" s="218"/>
      <c r="F2586" s="218"/>
      <c r="G2586" s="218"/>
      <c r="H2586" s="219"/>
      <c r="I2586" s="223">
        <f>IF($C2586="","",IF(ISNUMBER(MATCH($C2586,'Phản ánh'!$A$6:$A$505,0)),"Phản ánh",IF(ISNUMBER(MATCH($C2586,'Kế hoạch'!$A$6:$A$305,0)),"Công việc","Mã chưa có")))</f>
      </c>
      <c r="J2586" s="221">
        <f>IF($I2586="Phản ánh",INDEX('Phản ánh'!$C$6:$C$505,MATCH($C2586,'Phản ánh'!$A$6:$A$505,0)),IF($I2586="Công việc",INDEX('Kế hoạch'!$C$6:$C$305,$O2586),""))</f>
      </c>
      <c r="K2586" s="221">
        <f>IF($I2586="Phản ánh",INDEX('Phản ánh'!$K$6:$K$505,MATCH($C2586,'Phản ánh'!$A$6:$A$505,0))&amp;"",IF($I2586="Công việc",INDEX('Kế hoạch'!$N$6:$N$305,$O2586)&amp;"",""))</f>
      </c>
      <c r="L2586" s="220">
        <f>IF(OR($C2586="",N($B2586)=0),"",IF(AND($I2586="Phản ánh",$E2586="Đã xử lý"),INDEX('Phản ánh'!$U$6:$U$505,MATCH($C2586,'Phản ánh'!$A$6:$A$505,0)),IF(AND($I2586="Công việc",OR($E2586="Hoàn thành",$E2586="Hoàn thành kỳ")),IF(INDEX('Kế hoạch'!$B$6:$B$305,$O2586)="Đột xuất",INDEX('Kế hoạch'!$AY$6:$AY$305,$O2586),IF(N($P2586)=0,"",IF(INT($B2586)&lt;$P2586,$P2586,IF($Q2586&gt;0,$P2586+ROUND((INT($B2586)-$P2586)/$Q2586,0)*$Q2586,IF($R2586&gt;0,EDATE($P2586,ROUND((DATEDIF($P2586,INT($B2586),"m")+(INT($B2586)-EDATE($P2586,DATEDIF($P2586,INT($B2586),"m")))/(EDATE($P2586,DATEDIF($P2586,INT($B2586),"m")+1)-EDATE($P2586,DATEDIF($P2586,INT($B2586),"m"))))/$R2586,0)*$R2586),$P2586))))),"")))</f>
      </c>
      <c r="M2586" s="223">
        <f>IF(OR($C2586="",N($L2586)=0,N($B2586)=0),"",IF(IF(MOD($L2586,1)=0,INT($B2586),$B2586)&lt;=$L2586,"Đúng hạn","Trễ hạn"))</f>
      </c>
      <c r="N2586" s="225">
        <f>IF($C2586="","",ROW())</f>
      </c>
      <c r="O2586" s="225">
        <f>IF($I2586="Công việc",MATCH($C2586,'Kế hoạch'!$A$6:$A$305,0),"")</f>
      </c>
      <c r="P2586" s="234">
        <f>IF($O2586="","",INDEX('Kế hoạch'!$I$6:$I$305,$O2586))</f>
      </c>
      <c r="Q2586" s="225">
        <f>IF($O2586="","",INDEX('Kế hoạch'!$AJ$6:$AJ$305,$O2586))</f>
      </c>
      <c r="R2586" s="225">
        <f>IF($O2586="","",INDEX('Kế hoạch'!$AK$6:$AK$305,$O2586))</f>
      </c>
    </row>
    <row r="2587">
      <c r="A2587" s="223">
        <f>IF($C2587="","",COUNTIF($C$6:$C2587,"?*"))</f>
      </c>
      <c r="B2587" s="217"/>
      <c r="C2587" s="216"/>
      <c r="D2587" s="240"/>
      <c r="E2587" s="218"/>
      <c r="F2587" s="218"/>
      <c r="G2587" s="218"/>
      <c r="H2587" s="219"/>
      <c r="I2587" s="223">
        <f>IF($C2587="","",IF(ISNUMBER(MATCH($C2587,'Phản ánh'!$A$6:$A$505,0)),"Phản ánh",IF(ISNUMBER(MATCH($C2587,'Kế hoạch'!$A$6:$A$305,0)),"Công việc","Mã chưa có")))</f>
      </c>
      <c r="J2587" s="221">
        <f>IF($I2587="Phản ánh",INDEX('Phản ánh'!$C$6:$C$505,MATCH($C2587,'Phản ánh'!$A$6:$A$505,0)),IF($I2587="Công việc",INDEX('Kế hoạch'!$C$6:$C$305,$O2587),""))</f>
      </c>
      <c r="K2587" s="221">
        <f>IF($I2587="Phản ánh",INDEX('Phản ánh'!$K$6:$K$505,MATCH($C2587,'Phản ánh'!$A$6:$A$505,0))&amp;"",IF($I2587="Công việc",INDEX('Kế hoạch'!$N$6:$N$305,$O2587)&amp;"",""))</f>
      </c>
      <c r="L2587" s="220">
        <f>IF(OR($C2587="",N($B2587)=0),"",IF(AND($I2587="Phản ánh",$E2587="Đã xử lý"),INDEX('Phản ánh'!$U$6:$U$505,MATCH($C2587,'Phản ánh'!$A$6:$A$505,0)),IF(AND($I2587="Công việc",OR($E2587="Hoàn thành",$E2587="Hoàn thành kỳ")),IF(INDEX('Kế hoạch'!$B$6:$B$305,$O2587)="Đột xuất",INDEX('Kế hoạch'!$AY$6:$AY$305,$O2587),IF(N($P2587)=0,"",IF(INT($B2587)&lt;$P2587,$P2587,IF($Q2587&gt;0,$P2587+ROUND((INT($B2587)-$P2587)/$Q2587,0)*$Q2587,IF($R2587&gt;0,EDATE($P2587,ROUND((DATEDIF($P2587,INT($B2587),"m")+(INT($B2587)-EDATE($P2587,DATEDIF($P2587,INT($B2587),"m")))/(EDATE($P2587,DATEDIF($P2587,INT($B2587),"m")+1)-EDATE($P2587,DATEDIF($P2587,INT($B2587),"m"))))/$R2587,0)*$R2587),$P2587))))),"")))</f>
      </c>
      <c r="M2587" s="223">
        <f>IF(OR($C2587="",N($L2587)=0,N($B2587)=0),"",IF(IF(MOD($L2587,1)=0,INT($B2587),$B2587)&lt;=$L2587,"Đúng hạn","Trễ hạn"))</f>
      </c>
      <c r="N2587" s="225">
        <f>IF($C2587="","",ROW())</f>
      </c>
      <c r="O2587" s="225">
        <f>IF($I2587="Công việc",MATCH($C2587,'Kế hoạch'!$A$6:$A$305,0),"")</f>
      </c>
      <c r="P2587" s="234">
        <f>IF($O2587="","",INDEX('Kế hoạch'!$I$6:$I$305,$O2587))</f>
      </c>
      <c r="Q2587" s="225">
        <f>IF($O2587="","",INDEX('Kế hoạch'!$AJ$6:$AJ$305,$O2587))</f>
      </c>
      <c r="R2587" s="225">
        <f>IF($O2587="","",INDEX('Kế hoạch'!$AK$6:$AK$305,$O2587))</f>
      </c>
    </row>
    <row r="2588">
      <c r="A2588" s="223">
        <f>IF($C2588="","",COUNTIF($C$6:$C2588,"?*"))</f>
      </c>
      <c r="B2588" s="217"/>
      <c r="C2588" s="216"/>
      <c r="D2588" s="240"/>
      <c r="E2588" s="218"/>
      <c r="F2588" s="218"/>
      <c r="G2588" s="218"/>
      <c r="H2588" s="219"/>
      <c r="I2588" s="223">
        <f>IF($C2588="","",IF(ISNUMBER(MATCH($C2588,'Phản ánh'!$A$6:$A$505,0)),"Phản ánh",IF(ISNUMBER(MATCH($C2588,'Kế hoạch'!$A$6:$A$305,0)),"Công việc","Mã chưa có")))</f>
      </c>
      <c r="J2588" s="221">
        <f>IF($I2588="Phản ánh",INDEX('Phản ánh'!$C$6:$C$505,MATCH($C2588,'Phản ánh'!$A$6:$A$505,0)),IF($I2588="Công việc",INDEX('Kế hoạch'!$C$6:$C$305,$O2588),""))</f>
      </c>
      <c r="K2588" s="221">
        <f>IF($I2588="Phản ánh",INDEX('Phản ánh'!$K$6:$K$505,MATCH($C2588,'Phản ánh'!$A$6:$A$505,0))&amp;"",IF($I2588="Công việc",INDEX('Kế hoạch'!$N$6:$N$305,$O2588)&amp;"",""))</f>
      </c>
      <c r="L2588" s="220">
        <f>IF(OR($C2588="",N($B2588)=0),"",IF(AND($I2588="Phản ánh",$E2588="Đã xử lý"),INDEX('Phản ánh'!$U$6:$U$505,MATCH($C2588,'Phản ánh'!$A$6:$A$505,0)),IF(AND($I2588="Công việc",OR($E2588="Hoàn thành",$E2588="Hoàn thành kỳ")),IF(INDEX('Kế hoạch'!$B$6:$B$305,$O2588)="Đột xuất",INDEX('Kế hoạch'!$AY$6:$AY$305,$O2588),IF(N($P2588)=0,"",IF(INT($B2588)&lt;$P2588,$P2588,IF($Q2588&gt;0,$P2588+ROUND((INT($B2588)-$P2588)/$Q2588,0)*$Q2588,IF($R2588&gt;0,EDATE($P2588,ROUND((DATEDIF($P2588,INT($B2588),"m")+(INT($B2588)-EDATE($P2588,DATEDIF($P2588,INT($B2588),"m")))/(EDATE($P2588,DATEDIF($P2588,INT($B2588),"m")+1)-EDATE($P2588,DATEDIF($P2588,INT($B2588),"m"))))/$R2588,0)*$R2588),$P2588))))),"")))</f>
      </c>
      <c r="M2588" s="223">
        <f>IF(OR($C2588="",N($L2588)=0,N($B2588)=0),"",IF(IF(MOD($L2588,1)=0,INT($B2588),$B2588)&lt;=$L2588,"Đúng hạn","Trễ hạn"))</f>
      </c>
      <c r="N2588" s="225">
        <f>IF($C2588="","",ROW())</f>
      </c>
      <c r="O2588" s="225">
        <f>IF($I2588="Công việc",MATCH($C2588,'Kế hoạch'!$A$6:$A$305,0),"")</f>
      </c>
      <c r="P2588" s="234">
        <f>IF($O2588="","",INDEX('Kế hoạch'!$I$6:$I$305,$O2588))</f>
      </c>
      <c r="Q2588" s="225">
        <f>IF($O2588="","",INDEX('Kế hoạch'!$AJ$6:$AJ$305,$O2588))</f>
      </c>
      <c r="R2588" s="225">
        <f>IF($O2588="","",INDEX('Kế hoạch'!$AK$6:$AK$305,$O2588))</f>
      </c>
    </row>
    <row r="2589">
      <c r="A2589" s="223">
        <f>IF($C2589="","",COUNTIF($C$6:$C2589,"?*"))</f>
      </c>
      <c r="B2589" s="217"/>
      <c r="C2589" s="216"/>
      <c r="D2589" s="240"/>
      <c r="E2589" s="218"/>
      <c r="F2589" s="218"/>
      <c r="G2589" s="218"/>
      <c r="H2589" s="219"/>
      <c r="I2589" s="223">
        <f>IF($C2589="","",IF(ISNUMBER(MATCH($C2589,'Phản ánh'!$A$6:$A$505,0)),"Phản ánh",IF(ISNUMBER(MATCH($C2589,'Kế hoạch'!$A$6:$A$305,0)),"Công việc","Mã chưa có")))</f>
      </c>
      <c r="J2589" s="221">
        <f>IF($I2589="Phản ánh",INDEX('Phản ánh'!$C$6:$C$505,MATCH($C2589,'Phản ánh'!$A$6:$A$505,0)),IF($I2589="Công việc",INDEX('Kế hoạch'!$C$6:$C$305,$O2589),""))</f>
      </c>
      <c r="K2589" s="221">
        <f>IF($I2589="Phản ánh",INDEX('Phản ánh'!$K$6:$K$505,MATCH($C2589,'Phản ánh'!$A$6:$A$505,0))&amp;"",IF($I2589="Công việc",INDEX('Kế hoạch'!$N$6:$N$305,$O2589)&amp;"",""))</f>
      </c>
      <c r="L2589" s="220">
        <f>IF(OR($C2589="",N($B2589)=0),"",IF(AND($I2589="Phản ánh",$E2589="Đã xử lý"),INDEX('Phản ánh'!$U$6:$U$505,MATCH($C2589,'Phản ánh'!$A$6:$A$505,0)),IF(AND($I2589="Công việc",OR($E2589="Hoàn thành",$E2589="Hoàn thành kỳ")),IF(INDEX('Kế hoạch'!$B$6:$B$305,$O2589)="Đột xuất",INDEX('Kế hoạch'!$AY$6:$AY$305,$O2589),IF(N($P2589)=0,"",IF(INT($B2589)&lt;$P2589,$P2589,IF($Q2589&gt;0,$P2589+ROUND((INT($B2589)-$P2589)/$Q2589,0)*$Q2589,IF($R2589&gt;0,EDATE($P2589,ROUND((DATEDIF($P2589,INT($B2589),"m")+(INT($B2589)-EDATE($P2589,DATEDIF($P2589,INT($B2589),"m")))/(EDATE($P2589,DATEDIF($P2589,INT($B2589),"m")+1)-EDATE($P2589,DATEDIF($P2589,INT($B2589),"m"))))/$R2589,0)*$R2589),$P2589))))),"")))</f>
      </c>
      <c r="M2589" s="223">
        <f>IF(OR($C2589="",N($L2589)=0,N($B2589)=0),"",IF(IF(MOD($L2589,1)=0,INT($B2589),$B2589)&lt;=$L2589,"Đúng hạn","Trễ hạn"))</f>
      </c>
      <c r="N2589" s="225">
        <f>IF($C2589="","",ROW())</f>
      </c>
      <c r="O2589" s="225">
        <f>IF($I2589="Công việc",MATCH($C2589,'Kế hoạch'!$A$6:$A$305,0),"")</f>
      </c>
      <c r="P2589" s="234">
        <f>IF($O2589="","",INDEX('Kế hoạch'!$I$6:$I$305,$O2589))</f>
      </c>
      <c r="Q2589" s="225">
        <f>IF($O2589="","",INDEX('Kế hoạch'!$AJ$6:$AJ$305,$O2589))</f>
      </c>
      <c r="R2589" s="225">
        <f>IF($O2589="","",INDEX('Kế hoạch'!$AK$6:$AK$305,$O2589))</f>
      </c>
    </row>
    <row r="2590">
      <c r="A2590" s="223">
        <f>IF($C2590="","",COUNTIF($C$6:$C2590,"?*"))</f>
      </c>
      <c r="B2590" s="217"/>
      <c r="C2590" s="216"/>
      <c r="D2590" s="240"/>
      <c r="E2590" s="218"/>
      <c r="F2590" s="218"/>
      <c r="G2590" s="218"/>
      <c r="H2590" s="219"/>
      <c r="I2590" s="223">
        <f>IF($C2590="","",IF(ISNUMBER(MATCH($C2590,'Phản ánh'!$A$6:$A$505,0)),"Phản ánh",IF(ISNUMBER(MATCH($C2590,'Kế hoạch'!$A$6:$A$305,0)),"Công việc","Mã chưa có")))</f>
      </c>
      <c r="J2590" s="221">
        <f>IF($I2590="Phản ánh",INDEX('Phản ánh'!$C$6:$C$505,MATCH($C2590,'Phản ánh'!$A$6:$A$505,0)),IF($I2590="Công việc",INDEX('Kế hoạch'!$C$6:$C$305,$O2590),""))</f>
      </c>
      <c r="K2590" s="221">
        <f>IF($I2590="Phản ánh",INDEX('Phản ánh'!$K$6:$K$505,MATCH($C2590,'Phản ánh'!$A$6:$A$505,0))&amp;"",IF($I2590="Công việc",INDEX('Kế hoạch'!$N$6:$N$305,$O2590)&amp;"",""))</f>
      </c>
      <c r="L2590" s="220">
        <f>IF(OR($C2590="",N($B2590)=0),"",IF(AND($I2590="Phản ánh",$E2590="Đã xử lý"),INDEX('Phản ánh'!$U$6:$U$505,MATCH($C2590,'Phản ánh'!$A$6:$A$505,0)),IF(AND($I2590="Công việc",OR($E2590="Hoàn thành",$E2590="Hoàn thành kỳ")),IF(INDEX('Kế hoạch'!$B$6:$B$305,$O2590)="Đột xuất",INDEX('Kế hoạch'!$AY$6:$AY$305,$O2590),IF(N($P2590)=0,"",IF(INT($B2590)&lt;$P2590,$P2590,IF($Q2590&gt;0,$P2590+ROUND((INT($B2590)-$P2590)/$Q2590,0)*$Q2590,IF($R2590&gt;0,EDATE($P2590,ROUND((DATEDIF($P2590,INT($B2590),"m")+(INT($B2590)-EDATE($P2590,DATEDIF($P2590,INT($B2590),"m")))/(EDATE($P2590,DATEDIF($P2590,INT($B2590),"m")+1)-EDATE($P2590,DATEDIF($P2590,INT($B2590),"m"))))/$R2590,0)*$R2590),$P2590))))),"")))</f>
      </c>
      <c r="M2590" s="223">
        <f>IF(OR($C2590="",N($L2590)=0,N($B2590)=0),"",IF(IF(MOD($L2590,1)=0,INT($B2590),$B2590)&lt;=$L2590,"Đúng hạn","Trễ hạn"))</f>
      </c>
      <c r="N2590" s="225">
        <f>IF($C2590="","",ROW())</f>
      </c>
      <c r="O2590" s="225">
        <f>IF($I2590="Công việc",MATCH($C2590,'Kế hoạch'!$A$6:$A$305,0),"")</f>
      </c>
      <c r="P2590" s="234">
        <f>IF($O2590="","",INDEX('Kế hoạch'!$I$6:$I$305,$O2590))</f>
      </c>
      <c r="Q2590" s="225">
        <f>IF($O2590="","",INDEX('Kế hoạch'!$AJ$6:$AJ$305,$O2590))</f>
      </c>
      <c r="R2590" s="225">
        <f>IF($O2590="","",INDEX('Kế hoạch'!$AK$6:$AK$305,$O2590))</f>
      </c>
    </row>
    <row r="2591">
      <c r="A2591" s="223">
        <f>IF($C2591="","",COUNTIF($C$6:$C2591,"?*"))</f>
      </c>
      <c r="B2591" s="217"/>
      <c r="C2591" s="216"/>
      <c r="D2591" s="240"/>
      <c r="E2591" s="218"/>
      <c r="F2591" s="218"/>
      <c r="G2591" s="218"/>
      <c r="H2591" s="219"/>
      <c r="I2591" s="223">
        <f>IF($C2591="","",IF(ISNUMBER(MATCH($C2591,'Phản ánh'!$A$6:$A$505,0)),"Phản ánh",IF(ISNUMBER(MATCH($C2591,'Kế hoạch'!$A$6:$A$305,0)),"Công việc","Mã chưa có")))</f>
      </c>
      <c r="J2591" s="221">
        <f>IF($I2591="Phản ánh",INDEX('Phản ánh'!$C$6:$C$505,MATCH($C2591,'Phản ánh'!$A$6:$A$505,0)),IF($I2591="Công việc",INDEX('Kế hoạch'!$C$6:$C$305,$O2591),""))</f>
      </c>
      <c r="K2591" s="221">
        <f>IF($I2591="Phản ánh",INDEX('Phản ánh'!$K$6:$K$505,MATCH($C2591,'Phản ánh'!$A$6:$A$505,0))&amp;"",IF($I2591="Công việc",INDEX('Kế hoạch'!$N$6:$N$305,$O2591)&amp;"",""))</f>
      </c>
      <c r="L2591" s="220">
        <f>IF(OR($C2591="",N($B2591)=0),"",IF(AND($I2591="Phản ánh",$E2591="Đã xử lý"),INDEX('Phản ánh'!$U$6:$U$505,MATCH($C2591,'Phản ánh'!$A$6:$A$505,0)),IF(AND($I2591="Công việc",OR($E2591="Hoàn thành",$E2591="Hoàn thành kỳ")),IF(INDEX('Kế hoạch'!$B$6:$B$305,$O2591)="Đột xuất",INDEX('Kế hoạch'!$AY$6:$AY$305,$O2591),IF(N($P2591)=0,"",IF(INT($B2591)&lt;$P2591,$P2591,IF($Q2591&gt;0,$P2591+ROUND((INT($B2591)-$P2591)/$Q2591,0)*$Q2591,IF($R2591&gt;0,EDATE($P2591,ROUND((DATEDIF($P2591,INT($B2591),"m")+(INT($B2591)-EDATE($P2591,DATEDIF($P2591,INT($B2591),"m")))/(EDATE($P2591,DATEDIF($P2591,INT($B2591),"m")+1)-EDATE($P2591,DATEDIF($P2591,INT($B2591),"m"))))/$R2591,0)*$R2591),$P2591))))),"")))</f>
      </c>
      <c r="M2591" s="223">
        <f>IF(OR($C2591="",N($L2591)=0,N($B2591)=0),"",IF(IF(MOD($L2591,1)=0,INT($B2591),$B2591)&lt;=$L2591,"Đúng hạn","Trễ hạn"))</f>
      </c>
      <c r="N2591" s="225">
        <f>IF($C2591="","",ROW())</f>
      </c>
      <c r="O2591" s="225">
        <f>IF($I2591="Công việc",MATCH($C2591,'Kế hoạch'!$A$6:$A$305,0),"")</f>
      </c>
      <c r="P2591" s="234">
        <f>IF($O2591="","",INDEX('Kế hoạch'!$I$6:$I$305,$O2591))</f>
      </c>
      <c r="Q2591" s="225">
        <f>IF($O2591="","",INDEX('Kế hoạch'!$AJ$6:$AJ$305,$O2591))</f>
      </c>
      <c r="R2591" s="225">
        <f>IF($O2591="","",INDEX('Kế hoạch'!$AK$6:$AK$305,$O2591))</f>
      </c>
    </row>
    <row r="2592">
      <c r="A2592" s="223">
        <f>IF($C2592="","",COUNTIF($C$6:$C2592,"?*"))</f>
      </c>
      <c r="B2592" s="217"/>
      <c r="C2592" s="216"/>
      <c r="D2592" s="240"/>
      <c r="E2592" s="218"/>
      <c r="F2592" s="218"/>
      <c r="G2592" s="218"/>
      <c r="H2592" s="219"/>
      <c r="I2592" s="223">
        <f>IF($C2592="","",IF(ISNUMBER(MATCH($C2592,'Phản ánh'!$A$6:$A$505,0)),"Phản ánh",IF(ISNUMBER(MATCH($C2592,'Kế hoạch'!$A$6:$A$305,0)),"Công việc","Mã chưa có")))</f>
      </c>
      <c r="J2592" s="221">
        <f>IF($I2592="Phản ánh",INDEX('Phản ánh'!$C$6:$C$505,MATCH($C2592,'Phản ánh'!$A$6:$A$505,0)),IF($I2592="Công việc",INDEX('Kế hoạch'!$C$6:$C$305,$O2592),""))</f>
      </c>
      <c r="K2592" s="221">
        <f>IF($I2592="Phản ánh",INDEX('Phản ánh'!$K$6:$K$505,MATCH($C2592,'Phản ánh'!$A$6:$A$505,0))&amp;"",IF($I2592="Công việc",INDEX('Kế hoạch'!$N$6:$N$305,$O2592)&amp;"",""))</f>
      </c>
      <c r="L2592" s="220">
        <f>IF(OR($C2592="",N($B2592)=0),"",IF(AND($I2592="Phản ánh",$E2592="Đã xử lý"),INDEX('Phản ánh'!$U$6:$U$505,MATCH($C2592,'Phản ánh'!$A$6:$A$505,0)),IF(AND($I2592="Công việc",OR($E2592="Hoàn thành",$E2592="Hoàn thành kỳ")),IF(INDEX('Kế hoạch'!$B$6:$B$305,$O2592)="Đột xuất",INDEX('Kế hoạch'!$AY$6:$AY$305,$O2592),IF(N($P2592)=0,"",IF(INT($B2592)&lt;$P2592,$P2592,IF($Q2592&gt;0,$P2592+ROUND((INT($B2592)-$P2592)/$Q2592,0)*$Q2592,IF($R2592&gt;0,EDATE($P2592,ROUND((DATEDIF($P2592,INT($B2592),"m")+(INT($B2592)-EDATE($P2592,DATEDIF($P2592,INT($B2592),"m")))/(EDATE($P2592,DATEDIF($P2592,INT($B2592),"m")+1)-EDATE($P2592,DATEDIF($P2592,INT($B2592),"m"))))/$R2592,0)*$R2592),$P2592))))),"")))</f>
      </c>
      <c r="M2592" s="223">
        <f>IF(OR($C2592="",N($L2592)=0,N($B2592)=0),"",IF(IF(MOD($L2592,1)=0,INT($B2592),$B2592)&lt;=$L2592,"Đúng hạn","Trễ hạn"))</f>
      </c>
      <c r="N2592" s="225">
        <f>IF($C2592="","",ROW())</f>
      </c>
      <c r="O2592" s="225">
        <f>IF($I2592="Công việc",MATCH($C2592,'Kế hoạch'!$A$6:$A$305,0),"")</f>
      </c>
      <c r="P2592" s="234">
        <f>IF($O2592="","",INDEX('Kế hoạch'!$I$6:$I$305,$O2592))</f>
      </c>
      <c r="Q2592" s="225">
        <f>IF($O2592="","",INDEX('Kế hoạch'!$AJ$6:$AJ$305,$O2592))</f>
      </c>
      <c r="R2592" s="225">
        <f>IF($O2592="","",INDEX('Kế hoạch'!$AK$6:$AK$305,$O2592))</f>
      </c>
    </row>
    <row r="2593">
      <c r="A2593" s="223">
        <f>IF($C2593="","",COUNTIF($C$6:$C2593,"?*"))</f>
      </c>
      <c r="B2593" s="217"/>
      <c r="C2593" s="216"/>
      <c r="D2593" s="240"/>
      <c r="E2593" s="218"/>
      <c r="F2593" s="218"/>
      <c r="G2593" s="218"/>
      <c r="H2593" s="219"/>
      <c r="I2593" s="223">
        <f>IF($C2593="","",IF(ISNUMBER(MATCH($C2593,'Phản ánh'!$A$6:$A$505,0)),"Phản ánh",IF(ISNUMBER(MATCH($C2593,'Kế hoạch'!$A$6:$A$305,0)),"Công việc","Mã chưa có")))</f>
      </c>
      <c r="J2593" s="221">
        <f>IF($I2593="Phản ánh",INDEX('Phản ánh'!$C$6:$C$505,MATCH($C2593,'Phản ánh'!$A$6:$A$505,0)),IF($I2593="Công việc",INDEX('Kế hoạch'!$C$6:$C$305,$O2593),""))</f>
      </c>
      <c r="K2593" s="221">
        <f>IF($I2593="Phản ánh",INDEX('Phản ánh'!$K$6:$K$505,MATCH($C2593,'Phản ánh'!$A$6:$A$505,0))&amp;"",IF($I2593="Công việc",INDEX('Kế hoạch'!$N$6:$N$305,$O2593)&amp;"",""))</f>
      </c>
      <c r="L2593" s="220">
        <f>IF(OR($C2593="",N($B2593)=0),"",IF(AND($I2593="Phản ánh",$E2593="Đã xử lý"),INDEX('Phản ánh'!$U$6:$U$505,MATCH($C2593,'Phản ánh'!$A$6:$A$505,0)),IF(AND($I2593="Công việc",OR($E2593="Hoàn thành",$E2593="Hoàn thành kỳ")),IF(INDEX('Kế hoạch'!$B$6:$B$305,$O2593)="Đột xuất",INDEX('Kế hoạch'!$AY$6:$AY$305,$O2593),IF(N($P2593)=0,"",IF(INT($B2593)&lt;$P2593,$P2593,IF($Q2593&gt;0,$P2593+ROUND((INT($B2593)-$P2593)/$Q2593,0)*$Q2593,IF($R2593&gt;0,EDATE($P2593,ROUND((DATEDIF($P2593,INT($B2593),"m")+(INT($B2593)-EDATE($P2593,DATEDIF($P2593,INT($B2593),"m")))/(EDATE($P2593,DATEDIF($P2593,INT($B2593),"m")+1)-EDATE($P2593,DATEDIF($P2593,INT($B2593),"m"))))/$R2593,0)*$R2593),$P2593))))),"")))</f>
      </c>
      <c r="M2593" s="223">
        <f>IF(OR($C2593="",N($L2593)=0,N($B2593)=0),"",IF(IF(MOD($L2593,1)=0,INT($B2593),$B2593)&lt;=$L2593,"Đúng hạn","Trễ hạn"))</f>
      </c>
      <c r="N2593" s="225">
        <f>IF($C2593="","",ROW())</f>
      </c>
      <c r="O2593" s="225">
        <f>IF($I2593="Công việc",MATCH($C2593,'Kế hoạch'!$A$6:$A$305,0),"")</f>
      </c>
      <c r="P2593" s="234">
        <f>IF($O2593="","",INDEX('Kế hoạch'!$I$6:$I$305,$O2593))</f>
      </c>
      <c r="Q2593" s="225">
        <f>IF($O2593="","",INDEX('Kế hoạch'!$AJ$6:$AJ$305,$O2593))</f>
      </c>
      <c r="R2593" s="225">
        <f>IF($O2593="","",INDEX('Kế hoạch'!$AK$6:$AK$305,$O2593))</f>
      </c>
    </row>
    <row r="2594">
      <c r="A2594" s="223">
        <f>IF($C2594="","",COUNTIF($C$6:$C2594,"?*"))</f>
      </c>
      <c r="B2594" s="217"/>
      <c r="C2594" s="216"/>
      <c r="D2594" s="240"/>
      <c r="E2594" s="218"/>
      <c r="F2594" s="218"/>
      <c r="G2594" s="218"/>
      <c r="H2594" s="219"/>
      <c r="I2594" s="223">
        <f>IF($C2594="","",IF(ISNUMBER(MATCH($C2594,'Phản ánh'!$A$6:$A$505,0)),"Phản ánh",IF(ISNUMBER(MATCH($C2594,'Kế hoạch'!$A$6:$A$305,0)),"Công việc","Mã chưa có")))</f>
      </c>
      <c r="J2594" s="221">
        <f>IF($I2594="Phản ánh",INDEX('Phản ánh'!$C$6:$C$505,MATCH($C2594,'Phản ánh'!$A$6:$A$505,0)),IF($I2594="Công việc",INDEX('Kế hoạch'!$C$6:$C$305,$O2594),""))</f>
      </c>
      <c r="K2594" s="221">
        <f>IF($I2594="Phản ánh",INDEX('Phản ánh'!$K$6:$K$505,MATCH($C2594,'Phản ánh'!$A$6:$A$505,0))&amp;"",IF($I2594="Công việc",INDEX('Kế hoạch'!$N$6:$N$305,$O2594)&amp;"",""))</f>
      </c>
      <c r="L2594" s="220">
        <f>IF(OR($C2594="",N($B2594)=0),"",IF(AND($I2594="Phản ánh",$E2594="Đã xử lý"),INDEX('Phản ánh'!$U$6:$U$505,MATCH($C2594,'Phản ánh'!$A$6:$A$505,0)),IF(AND($I2594="Công việc",OR($E2594="Hoàn thành",$E2594="Hoàn thành kỳ")),IF(INDEX('Kế hoạch'!$B$6:$B$305,$O2594)="Đột xuất",INDEX('Kế hoạch'!$AY$6:$AY$305,$O2594),IF(N($P2594)=0,"",IF(INT($B2594)&lt;$P2594,$P2594,IF($Q2594&gt;0,$P2594+ROUND((INT($B2594)-$P2594)/$Q2594,0)*$Q2594,IF($R2594&gt;0,EDATE($P2594,ROUND((DATEDIF($P2594,INT($B2594),"m")+(INT($B2594)-EDATE($P2594,DATEDIF($P2594,INT($B2594),"m")))/(EDATE($P2594,DATEDIF($P2594,INT($B2594),"m")+1)-EDATE($P2594,DATEDIF($P2594,INT($B2594),"m"))))/$R2594,0)*$R2594),$P2594))))),"")))</f>
      </c>
      <c r="M2594" s="223">
        <f>IF(OR($C2594="",N($L2594)=0,N($B2594)=0),"",IF(IF(MOD($L2594,1)=0,INT($B2594),$B2594)&lt;=$L2594,"Đúng hạn","Trễ hạn"))</f>
      </c>
      <c r="N2594" s="225">
        <f>IF($C2594="","",ROW())</f>
      </c>
      <c r="O2594" s="225">
        <f>IF($I2594="Công việc",MATCH($C2594,'Kế hoạch'!$A$6:$A$305,0),"")</f>
      </c>
      <c r="P2594" s="234">
        <f>IF($O2594="","",INDEX('Kế hoạch'!$I$6:$I$305,$O2594))</f>
      </c>
      <c r="Q2594" s="225">
        <f>IF($O2594="","",INDEX('Kế hoạch'!$AJ$6:$AJ$305,$O2594))</f>
      </c>
      <c r="R2594" s="225">
        <f>IF($O2594="","",INDEX('Kế hoạch'!$AK$6:$AK$305,$O2594))</f>
      </c>
    </row>
    <row r="2595">
      <c r="A2595" s="223">
        <f>IF($C2595="","",COUNTIF($C$6:$C2595,"?*"))</f>
      </c>
      <c r="B2595" s="217"/>
      <c r="C2595" s="216"/>
      <c r="D2595" s="240"/>
      <c r="E2595" s="218"/>
      <c r="F2595" s="218"/>
      <c r="G2595" s="218"/>
      <c r="H2595" s="219"/>
      <c r="I2595" s="223">
        <f>IF($C2595="","",IF(ISNUMBER(MATCH($C2595,'Phản ánh'!$A$6:$A$505,0)),"Phản ánh",IF(ISNUMBER(MATCH($C2595,'Kế hoạch'!$A$6:$A$305,0)),"Công việc","Mã chưa có")))</f>
      </c>
      <c r="J2595" s="221">
        <f>IF($I2595="Phản ánh",INDEX('Phản ánh'!$C$6:$C$505,MATCH($C2595,'Phản ánh'!$A$6:$A$505,0)),IF($I2595="Công việc",INDEX('Kế hoạch'!$C$6:$C$305,$O2595),""))</f>
      </c>
      <c r="K2595" s="221">
        <f>IF($I2595="Phản ánh",INDEX('Phản ánh'!$K$6:$K$505,MATCH($C2595,'Phản ánh'!$A$6:$A$505,0))&amp;"",IF($I2595="Công việc",INDEX('Kế hoạch'!$N$6:$N$305,$O2595)&amp;"",""))</f>
      </c>
      <c r="L2595" s="220">
        <f>IF(OR($C2595="",N($B2595)=0),"",IF(AND($I2595="Phản ánh",$E2595="Đã xử lý"),INDEX('Phản ánh'!$U$6:$U$505,MATCH($C2595,'Phản ánh'!$A$6:$A$505,0)),IF(AND($I2595="Công việc",OR($E2595="Hoàn thành",$E2595="Hoàn thành kỳ")),IF(INDEX('Kế hoạch'!$B$6:$B$305,$O2595)="Đột xuất",INDEX('Kế hoạch'!$AY$6:$AY$305,$O2595),IF(N($P2595)=0,"",IF(INT($B2595)&lt;$P2595,$P2595,IF($Q2595&gt;0,$P2595+ROUND((INT($B2595)-$P2595)/$Q2595,0)*$Q2595,IF($R2595&gt;0,EDATE($P2595,ROUND((DATEDIF($P2595,INT($B2595),"m")+(INT($B2595)-EDATE($P2595,DATEDIF($P2595,INT($B2595),"m")))/(EDATE($P2595,DATEDIF($P2595,INT($B2595),"m")+1)-EDATE($P2595,DATEDIF($P2595,INT($B2595),"m"))))/$R2595,0)*$R2595),$P2595))))),"")))</f>
      </c>
      <c r="M2595" s="223">
        <f>IF(OR($C2595="",N($L2595)=0,N($B2595)=0),"",IF(IF(MOD($L2595,1)=0,INT($B2595),$B2595)&lt;=$L2595,"Đúng hạn","Trễ hạn"))</f>
      </c>
      <c r="N2595" s="225">
        <f>IF($C2595="","",ROW())</f>
      </c>
      <c r="O2595" s="225">
        <f>IF($I2595="Công việc",MATCH($C2595,'Kế hoạch'!$A$6:$A$305,0),"")</f>
      </c>
      <c r="P2595" s="234">
        <f>IF($O2595="","",INDEX('Kế hoạch'!$I$6:$I$305,$O2595))</f>
      </c>
      <c r="Q2595" s="225">
        <f>IF($O2595="","",INDEX('Kế hoạch'!$AJ$6:$AJ$305,$O2595))</f>
      </c>
      <c r="R2595" s="225">
        <f>IF($O2595="","",INDEX('Kế hoạch'!$AK$6:$AK$305,$O2595))</f>
      </c>
    </row>
    <row r="2596">
      <c r="A2596" s="223">
        <f>IF($C2596="","",COUNTIF($C$6:$C2596,"?*"))</f>
      </c>
      <c r="B2596" s="217"/>
      <c r="C2596" s="216"/>
      <c r="D2596" s="240"/>
      <c r="E2596" s="218"/>
      <c r="F2596" s="218"/>
      <c r="G2596" s="218"/>
      <c r="H2596" s="219"/>
      <c r="I2596" s="223">
        <f>IF($C2596="","",IF(ISNUMBER(MATCH($C2596,'Phản ánh'!$A$6:$A$505,0)),"Phản ánh",IF(ISNUMBER(MATCH($C2596,'Kế hoạch'!$A$6:$A$305,0)),"Công việc","Mã chưa có")))</f>
      </c>
      <c r="J2596" s="221">
        <f>IF($I2596="Phản ánh",INDEX('Phản ánh'!$C$6:$C$505,MATCH($C2596,'Phản ánh'!$A$6:$A$505,0)),IF($I2596="Công việc",INDEX('Kế hoạch'!$C$6:$C$305,$O2596),""))</f>
      </c>
      <c r="K2596" s="221">
        <f>IF($I2596="Phản ánh",INDEX('Phản ánh'!$K$6:$K$505,MATCH($C2596,'Phản ánh'!$A$6:$A$505,0))&amp;"",IF($I2596="Công việc",INDEX('Kế hoạch'!$N$6:$N$305,$O2596)&amp;"",""))</f>
      </c>
      <c r="L2596" s="220">
        <f>IF(OR($C2596="",N($B2596)=0),"",IF(AND($I2596="Phản ánh",$E2596="Đã xử lý"),INDEX('Phản ánh'!$U$6:$U$505,MATCH($C2596,'Phản ánh'!$A$6:$A$505,0)),IF(AND($I2596="Công việc",OR($E2596="Hoàn thành",$E2596="Hoàn thành kỳ")),IF(INDEX('Kế hoạch'!$B$6:$B$305,$O2596)="Đột xuất",INDEX('Kế hoạch'!$AY$6:$AY$305,$O2596),IF(N($P2596)=0,"",IF(INT($B2596)&lt;$P2596,$P2596,IF($Q2596&gt;0,$P2596+ROUND((INT($B2596)-$P2596)/$Q2596,0)*$Q2596,IF($R2596&gt;0,EDATE($P2596,ROUND((DATEDIF($P2596,INT($B2596),"m")+(INT($B2596)-EDATE($P2596,DATEDIF($P2596,INT($B2596),"m")))/(EDATE($P2596,DATEDIF($P2596,INT($B2596),"m")+1)-EDATE($P2596,DATEDIF($P2596,INT($B2596),"m"))))/$R2596,0)*$R2596),$P2596))))),"")))</f>
      </c>
      <c r="M2596" s="223">
        <f>IF(OR($C2596="",N($L2596)=0,N($B2596)=0),"",IF(IF(MOD($L2596,1)=0,INT($B2596),$B2596)&lt;=$L2596,"Đúng hạn","Trễ hạn"))</f>
      </c>
      <c r="N2596" s="225">
        <f>IF($C2596="","",ROW())</f>
      </c>
      <c r="O2596" s="225">
        <f>IF($I2596="Công việc",MATCH($C2596,'Kế hoạch'!$A$6:$A$305,0),"")</f>
      </c>
      <c r="P2596" s="234">
        <f>IF($O2596="","",INDEX('Kế hoạch'!$I$6:$I$305,$O2596))</f>
      </c>
      <c r="Q2596" s="225">
        <f>IF($O2596="","",INDEX('Kế hoạch'!$AJ$6:$AJ$305,$O2596))</f>
      </c>
      <c r="R2596" s="225">
        <f>IF($O2596="","",INDEX('Kế hoạch'!$AK$6:$AK$305,$O2596))</f>
      </c>
    </row>
    <row r="2597">
      <c r="A2597" s="223">
        <f>IF($C2597="","",COUNTIF($C$6:$C2597,"?*"))</f>
      </c>
      <c r="B2597" s="217"/>
      <c r="C2597" s="216"/>
      <c r="D2597" s="240"/>
      <c r="E2597" s="218"/>
      <c r="F2597" s="218"/>
      <c r="G2597" s="218"/>
      <c r="H2597" s="219"/>
      <c r="I2597" s="223">
        <f>IF($C2597="","",IF(ISNUMBER(MATCH($C2597,'Phản ánh'!$A$6:$A$505,0)),"Phản ánh",IF(ISNUMBER(MATCH($C2597,'Kế hoạch'!$A$6:$A$305,0)),"Công việc","Mã chưa có")))</f>
      </c>
      <c r="J2597" s="221">
        <f>IF($I2597="Phản ánh",INDEX('Phản ánh'!$C$6:$C$505,MATCH($C2597,'Phản ánh'!$A$6:$A$505,0)),IF($I2597="Công việc",INDEX('Kế hoạch'!$C$6:$C$305,$O2597),""))</f>
      </c>
      <c r="K2597" s="221">
        <f>IF($I2597="Phản ánh",INDEX('Phản ánh'!$K$6:$K$505,MATCH($C2597,'Phản ánh'!$A$6:$A$505,0))&amp;"",IF($I2597="Công việc",INDEX('Kế hoạch'!$N$6:$N$305,$O2597)&amp;"",""))</f>
      </c>
      <c r="L2597" s="220">
        <f>IF(OR($C2597="",N($B2597)=0),"",IF(AND($I2597="Phản ánh",$E2597="Đã xử lý"),INDEX('Phản ánh'!$U$6:$U$505,MATCH($C2597,'Phản ánh'!$A$6:$A$505,0)),IF(AND($I2597="Công việc",OR($E2597="Hoàn thành",$E2597="Hoàn thành kỳ")),IF(INDEX('Kế hoạch'!$B$6:$B$305,$O2597)="Đột xuất",INDEX('Kế hoạch'!$AY$6:$AY$305,$O2597),IF(N($P2597)=0,"",IF(INT($B2597)&lt;$P2597,$P2597,IF($Q2597&gt;0,$P2597+ROUND((INT($B2597)-$P2597)/$Q2597,0)*$Q2597,IF($R2597&gt;0,EDATE($P2597,ROUND((DATEDIF($P2597,INT($B2597),"m")+(INT($B2597)-EDATE($P2597,DATEDIF($P2597,INT($B2597),"m")))/(EDATE($P2597,DATEDIF($P2597,INT($B2597),"m")+1)-EDATE($P2597,DATEDIF($P2597,INT($B2597),"m"))))/$R2597,0)*$R2597),$P2597))))),"")))</f>
      </c>
      <c r="M2597" s="223">
        <f>IF(OR($C2597="",N($L2597)=0,N($B2597)=0),"",IF(IF(MOD($L2597,1)=0,INT($B2597),$B2597)&lt;=$L2597,"Đúng hạn","Trễ hạn"))</f>
      </c>
      <c r="N2597" s="225">
        <f>IF($C2597="","",ROW())</f>
      </c>
      <c r="O2597" s="225">
        <f>IF($I2597="Công việc",MATCH($C2597,'Kế hoạch'!$A$6:$A$305,0),"")</f>
      </c>
      <c r="P2597" s="234">
        <f>IF($O2597="","",INDEX('Kế hoạch'!$I$6:$I$305,$O2597))</f>
      </c>
      <c r="Q2597" s="225">
        <f>IF($O2597="","",INDEX('Kế hoạch'!$AJ$6:$AJ$305,$O2597))</f>
      </c>
      <c r="R2597" s="225">
        <f>IF($O2597="","",INDEX('Kế hoạch'!$AK$6:$AK$305,$O2597))</f>
      </c>
    </row>
    <row r="2598">
      <c r="A2598" s="223">
        <f>IF($C2598="","",COUNTIF($C$6:$C2598,"?*"))</f>
      </c>
      <c r="B2598" s="217"/>
      <c r="C2598" s="216"/>
      <c r="D2598" s="240"/>
      <c r="E2598" s="218"/>
      <c r="F2598" s="218"/>
      <c r="G2598" s="218"/>
      <c r="H2598" s="219"/>
      <c r="I2598" s="223">
        <f>IF($C2598="","",IF(ISNUMBER(MATCH($C2598,'Phản ánh'!$A$6:$A$505,0)),"Phản ánh",IF(ISNUMBER(MATCH($C2598,'Kế hoạch'!$A$6:$A$305,0)),"Công việc","Mã chưa có")))</f>
      </c>
      <c r="J2598" s="221">
        <f>IF($I2598="Phản ánh",INDEX('Phản ánh'!$C$6:$C$505,MATCH($C2598,'Phản ánh'!$A$6:$A$505,0)),IF($I2598="Công việc",INDEX('Kế hoạch'!$C$6:$C$305,$O2598),""))</f>
      </c>
      <c r="K2598" s="221">
        <f>IF($I2598="Phản ánh",INDEX('Phản ánh'!$K$6:$K$505,MATCH($C2598,'Phản ánh'!$A$6:$A$505,0))&amp;"",IF($I2598="Công việc",INDEX('Kế hoạch'!$N$6:$N$305,$O2598)&amp;"",""))</f>
      </c>
      <c r="L2598" s="220">
        <f>IF(OR($C2598="",N($B2598)=0),"",IF(AND($I2598="Phản ánh",$E2598="Đã xử lý"),INDEX('Phản ánh'!$U$6:$U$505,MATCH($C2598,'Phản ánh'!$A$6:$A$505,0)),IF(AND($I2598="Công việc",OR($E2598="Hoàn thành",$E2598="Hoàn thành kỳ")),IF(INDEX('Kế hoạch'!$B$6:$B$305,$O2598)="Đột xuất",INDEX('Kế hoạch'!$AY$6:$AY$305,$O2598),IF(N($P2598)=0,"",IF(INT($B2598)&lt;$P2598,$P2598,IF($Q2598&gt;0,$P2598+ROUND((INT($B2598)-$P2598)/$Q2598,0)*$Q2598,IF($R2598&gt;0,EDATE($P2598,ROUND((DATEDIF($P2598,INT($B2598),"m")+(INT($B2598)-EDATE($P2598,DATEDIF($P2598,INT($B2598),"m")))/(EDATE($P2598,DATEDIF($P2598,INT($B2598),"m")+1)-EDATE($P2598,DATEDIF($P2598,INT($B2598),"m"))))/$R2598,0)*$R2598),$P2598))))),"")))</f>
      </c>
      <c r="M2598" s="223">
        <f>IF(OR($C2598="",N($L2598)=0,N($B2598)=0),"",IF(IF(MOD($L2598,1)=0,INT($B2598),$B2598)&lt;=$L2598,"Đúng hạn","Trễ hạn"))</f>
      </c>
      <c r="N2598" s="225">
        <f>IF($C2598="","",ROW())</f>
      </c>
      <c r="O2598" s="225">
        <f>IF($I2598="Công việc",MATCH($C2598,'Kế hoạch'!$A$6:$A$305,0),"")</f>
      </c>
      <c r="P2598" s="234">
        <f>IF($O2598="","",INDEX('Kế hoạch'!$I$6:$I$305,$O2598))</f>
      </c>
      <c r="Q2598" s="225">
        <f>IF($O2598="","",INDEX('Kế hoạch'!$AJ$6:$AJ$305,$O2598))</f>
      </c>
      <c r="R2598" s="225">
        <f>IF($O2598="","",INDEX('Kế hoạch'!$AK$6:$AK$305,$O2598))</f>
      </c>
    </row>
    <row r="2599">
      <c r="A2599" s="223">
        <f>IF($C2599="","",COUNTIF($C$6:$C2599,"?*"))</f>
      </c>
      <c r="B2599" s="217"/>
      <c r="C2599" s="216"/>
      <c r="D2599" s="240"/>
      <c r="E2599" s="218"/>
      <c r="F2599" s="218"/>
      <c r="G2599" s="218"/>
      <c r="H2599" s="219"/>
      <c r="I2599" s="223">
        <f>IF($C2599="","",IF(ISNUMBER(MATCH($C2599,'Phản ánh'!$A$6:$A$505,0)),"Phản ánh",IF(ISNUMBER(MATCH($C2599,'Kế hoạch'!$A$6:$A$305,0)),"Công việc","Mã chưa có")))</f>
      </c>
      <c r="J2599" s="221">
        <f>IF($I2599="Phản ánh",INDEX('Phản ánh'!$C$6:$C$505,MATCH($C2599,'Phản ánh'!$A$6:$A$505,0)),IF($I2599="Công việc",INDEX('Kế hoạch'!$C$6:$C$305,$O2599),""))</f>
      </c>
      <c r="K2599" s="221">
        <f>IF($I2599="Phản ánh",INDEX('Phản ánh'!$K$6:$K$505,MATCH($C2599,'Phản ánh'!$A$6:$A$505,0))&amp;"",IF($I2599="Công việc",INDEX('Kế hoạch'!$N$6:$N$305,$O2599)&amp;"",""))</f>
      </c>
      <c r="L2599" s="220">
        <f>IF(OR($C2599="",N($B2599)=0),"",IF(AND($I2599="Phản ánh",$E2599="Đã xử lý"),INDEX('Phản ánh'!$U$6:$U$505,MATCH($C2599,'Phản ánh'!$A$6:$A$505,0)),IF(AND($I2599="Công việc",OR($E2599="Hoàn thành",$E2599="Hoàn thành kỳ")),IF(INDEX('Kế hoạch'!$B$6:$B$305,$O2599)="Đột xuất",INDEX('Kế hoạch'!$AY$6:$AY$305,$O2599),IF(N($P2599)=0,"",IF(INT($B2599)&lt;$P2599,$P2599,IF($Q2599&gt;0,$P2599+ROUND((INT($B2599)-$P2599)/$Q2599,0)*$Q2599,IF($R2599&gt;0,EDATE($P2599,ROUND((DATEDIF($P2599,INT($B2599),"m")+(INT($B2599)-EDATE($P2599,DATEDIF($P2599,INT($B2599),"m")))/(EDATE($P2599,DATEDIF($P2599,INT($B2599),"m")+1)-EDATE($P2599,DATEDIF($P2599,INT($B2599),"m"))))/$R2599,0)*$R2599),$P2599))))),"")))</f>
      </c>
      <c r="M2599" s="223">
        <f>IF(OR($C2599="",N($L2599)=0,N($B2599)=0),"",IF(IF(MOD($L2599,1)=0,INT($B2599),$B2599)&lt;=$L2599,"Đúng hạn","Trễ hạn"))</f>
      </c>
      <c r="N2599" s="225">
        <f>IF($C2599="","",ROW())</f>
      </c>
      <c r="O2599" s="225">
        <f>IF($I2599="Công việc",MATCH($C2599,'Kế hoạch'!$A$6:$A$305,0),"")</f>
      </c>
      <c r="P2599" s="234">
        <f>IF($O2599="","",INDEX('Kế hoạch'!$I$6:$I$305,$O2599))</f>
      </c>
      <c r="Q2599" s="225">
        <f>IF($O2599="","",INDEX('Kế hoạch'!$AJ$6:$AJ$305,$O2599))</f>
      </c>
      <c r="R2599" s="225">
        <f>IF($O2599="","",INDEX('Kế hoạch'!$AK$6:$AK$305,$O2599))</f>
      </c>
    </row>
    <row r="2600">
      <c r="A2600" s="223">
        <f>IF($C2600="","",COUNTIF($C$6:$C2600,"?*"))</f>
      </c>
      <c r="B2600" s="217"/>
      <c r="C2600" s="216"/>
      <c r="D2600" s="240"/>
      <c r="E2600" s="218"/>
      <c r="F2600" s="218"/>
      <c r="G2600" s="218"/>
      <c r="H2600" s="219"/>
      <c r="I2600" s="223">
        <f>IF($C2600="","",IF(ISNUMBER(MATCH($C2600,'Phản ánh'!$A$6:$A$505,0)),"Phản ánh",IF(ISNUMBER(MATCH($C2600,'Kế hoạch'!$A$6:$A$305,0)),"Công việc","Mã chưa có")))</f>
      </c>
      <c r="J2600" s="221">
        <f>IF($I2600="Phản ánh",INDEX('Phản ánh'!$C$6:$C$505,MATCH($C2600,'Phản ánh'!$A$6:$A$505,0)),IF($I2600="Công việc",INDEX('Kế hoạch'!$C$6:$C$305,$O2600),""))</f>
      </c>
      <c r="K2600" s="221">
        <f>IF($I2600="Phản ánh",INDEX('Phản ánh'!$K$6:$K$505,MATCH($C2600,'Phản ánh'!$A$6:$A$505,0))&amp;"",IF($I2600="Công việc",INDEX('Kế hoạch'!$N$6:$N$305,$O2600)&amp;"",""))</f>
      </c>
      <c r="L2600" s="220">
        <f>IF(OR($C2600="",N($B2600)=0),"",IF(AND($I2600="Phản ánh",$E2600="Đã xử lý"),INDEX('Phản ánh'!$U$6:$U$505,MATCH($C2600,'Phản ánh'!$A$6:$A$505,0)),IF(AND($I2600="Công việc",OR($E2600="Hoàn thành",$E2600="Hoàn thành kỳ")),IF(INDEX('Kế hoạch'!$B$6:$B$305,$O2600)="Đột xuất",INDEX('Kế hoạch'!$AY$6:$AY$305,$O2600),IF(N($P2600)=0,"",IF(INT($B2600)&lt;$P2600,$P2600,IF($Q2600&gt;0,$P2600+ROUND((INT($B2600)-$P2600)/$Q2600,0)*$Q2600,IF($R2600&gt;0,EDATE($P2600,ROUND((DATEDIF($P2600,INT($B2600),"m")+(INT($B2600)-EDATE($P2600,DATEDIF($P2600,INT($B2600),"m")))/(EDATE($P2600,DATEDIF($P2600,INT($B2600),"m")+1)-EDATE($P2600,DATEDIF($P2600,INT($B2600),"m"))))/$R2600,0)*$R2600),$P2600))))),"")))</f>
      </c>
      <c r="M2600" s="223">
        <f>IF(OR($C2600="",N($L2600)=0,N($B2600)=0),"",IF(IF(MOD($L2600,1)=0,INT($B2600),$B2600)&lt;=$L2600,"Đúng hạn","Trễ hạn"))</f>
      </c>
      <c r="N2600" s="225">
        <f>IF($C2600="","",ROW())</f>
      </c>
      <c r="O2600" s="225">
        <f>IF($I2600="Công việc",MATCH($C2600,'Kế hoạch'!$A$6:$A$305,0),"")</f>
      </c>
      <c r="P2600" s="234">
        <f>IF($O2600="","",INDEX('Kế hoạch'!$I$6:$I$305,$O2600))</f>
      </c>
      <c r="Q2600" s="225">
        <f>IF($O2600="","",INDEX('Kế hoạch'!$AJ$6:$AJ$305,$O2600))</f>
      </c>
      <c r="R2600" s="225">
        <f>IF($O2600="","",INDEX('Kế hoạch'!$AK$6:$AK$305,$O2600))</f>
      </c>
    </row>
    <row r="2601">
      <c r="A2601" s="223">
        <f>IF($C2601="","",COUNTIF($C$6:$C2601,"?*"))</f>
      </c>
      <c r="B2601" s="217"/>
      <c r="C2601" s="216"/>
      <c r="D2601" s="240"/>
      <c r="E2601" s="218"/>
      <c r="F2601" s="218"/>
      <c r="G2601" s="218"/>
      <c r="H2601" s="219"/>
      <c r="I2601" s="223">
        <f>IF($C2601="","",IF(ISNUMBER(MATCH($C2601,'Phản ánh'!$A$6:$A$505,0)),"Phản ánh",IF(ISNUMBER(MATCH($C2601,'Kế hoạch'!$A$6:$A$305,0)),"Công việc","Mã chưa có")))</f>
      </c>
      <c r="J2601" s="221">
        <f>IF($I2601="Phản ánh",INDEX('Phản ánh'!$C$6:$C$505,MATCH($C2601,'Phản ánh'!$A$6:$A$505,0)),IF($I2601="Công việc",INDEX('Kế hoạch'!$C$6:$C$305,$O2601),""))</f>
      </c>
      <c r="K2601" s="221">
        <f>IF($I2601="Phản ánh",INDEX('Phản ánh'!$K$6:$K$505,MATCH($C2601,'Phản ánh'!$A$6:$A$505,0))&amp;"",IF($I2601="Công việc",INDEX('Kế hoạch'!$N$6:$N$305,$O2601)&amp;"",""))</f>
      </c>
      <c r="L2601" s="220">
        <f>IF(OR($C2601="",N($B2601)=0),"",IF(AND($I2601="Phản ánh",$E2601="Đã xử lý"),INDEX('Phản ánh'!$U$6:$U$505,MATCH($C2601,'Phản ánh'!$A$6:$A$505,0)),IF(AND($I2601="Công việc",OR($E2601="Hoàn thành",$E2601="Hoàn thành kỳ")),IF(INDEX('Kế hoạch'!$B$6:$B$305,$O2601)="Đột xuất",INDEX('Kế hoạch'!$AY$6:$AY$305,$O2601),IF(N($P2601)=0,"",IF(INT($B2601)&lt;$P2601,$P2601,IF($Q2601&gt;0,$P2601+ROUND((INT($B2601)-$P2601)/$Q2601,0)*$Q2601,IF($R2601&gt;0,EDATE($P2601,ROUND((DATEDIF($P2601,INT($B2601),"m")+(INT($B2601)-EDATE($P2601,DATEDIF($P2601,INT($B2601),"m")))/(EDATE($P2601,DATEDIF($P2601,INT($B2601),"m")+1)-EDATE($P2601,DATEDIF($P2601,INT($B2601),"m"))))/$R2601,0)*$R2601),$P2601))))),"")))</f>
      </c>
      <c r="M2601" s="223">
        <f>IF(OR($C2601="",N($L2601)=0,N($B2601)=0),"",IF(IF(MOD($L2601,1)=0,INT($B2601),$B2601)&lt;=$L2601,"Đúng hạn","Trễ hạn"))</f>
      </c>
      <c r="N2601" s="225">
        <f>IF($C2601="","",ROW())</f>
      </c>
      <c r="O2601" s="225">
        <f>IF($I2601="Công việc",MATCH($C2601,'Kế hoạch'!$A$6:$A$305,0),"")</f>
      </c>
      <c r="P2601" s="234">
        <f>IF($O2601="","",INDEX('Kế hoạch'!$I$6:$I$305,$O2601))</f>
      </c>
      <c r="Q2601" s="225">
        <f>IF($O2601="","",INDEX('Kế hoạch'!$AJ$6:$AJ$305,$O2601))</f>
      </c>
      <c r="R2601" s="225">
        <f>IF($O2601="","",INDEX('Kế hoạch'!$AK$6:$AK$305,$O2601))</f>
      </c>
    </row>
    <row r="2602">
      <c r="A2602" s="223">
        <f>IF($C2602="","",COUNTIF($C$6:$C2602,"?*"))</f>
      </c>
      <c r="B2602" s="217"/>
      <c r="C2602" s="216"/>
      <c r="D2602" s="240"/>
      <c r="E2602" s="218"/>
      <c r="F2602" s="218"/>
      <c r="G2602" s="218"/>
      <c r="H2602" s="219"/>
      <c r="I2602" s="223">
        <f>IF($C2602="","",IF(ISNUMBER(MATCH($C2602,'Phản ánh'!$A$6:$A$505,0)),"Phản ánh",IF(ISNUMBER(MATCH($C2602,'Kế hoạch'!$A$6:$A$305,0)),"Công việc","Mã chưa có")))</f>
      </c>
      <c r="J2602" s="221">
        <f>IF($I2602="Phản ánh",INDEX('Phản ánh'!$C$6:$C$505,MATCH($C2602,'Phản ánh'!$A$6:$A$505,0)),IF($I2602="Công việc",INDEX('Kế hoạch'!$C$6:$C$305,$O2602),""))</f>
      </c>
      <c r="K2602" s="221">
        <f>IF($I2602="Phản ánh",INDEX('Phản ánh'!$K$6:$K$505,MATCH($C2602,'Phản ánh'!$A$6:$A$505,0))&amp;"",IF($I2602="Công việc",INDEX('Kế hoạch'!$N$6:$N$305,$O2602)&amp;"",""))</f>
      </c>
      <c r="L2602" s="220">
        <f>IF(OR($C2602="",N($B2602)=0),"",IF(AND($I2602="Phản ánh",$E2602="Đã xử lý"),INDEX('Phản ánh'!$U$6:$U$505,MATCH($C2602,'Phản ánh'!$A$6:$A$505,0)),IF(AND($I2602="Công việc",OR($E2602="Hoàn thành",$E2602="Hoàn thành kỳ")),IF(INDEX('Kế hoạch'!$B$6:$B$305,$O2602)="Đột xuất",INDEX('Kế hoạch'!$AY$6:$AY$305,$O2602),IF(N($P2602)=0,"",IF(INT($B2602)&lt;$P2602,$P2602,IF($Q2602&gt;0,$P2602+ROUND((INT($B2602)-$P2602)/$Q2602,0)*$Q2602,IF($R2602&gt;0,EDATE($P2602,ROUND((DATEDIF($P2602,INT($B2602),"m")+(INT($B2602)-EDATE($P2602,DATEDIF($P2602,INT($B2602),"m")))/(EDATE($P2602,DATEDIF($P2602,INT($B2602),"m")+1)-EDATE($P2602,DATEDIF($P2602,INT($B2602),"m"))))/$R2602,0)*$R2602),$P2602))))),"")))</f>
      </c>
      <c r="M2602" s="223">
        <f>IF(OR($C2602="",N($L2602)=0,N($B2602)=0),"",IF(IF(MOD($L2602,1)=0,INT($B2602),$B2602)&lt;=$L2602,"Đúng hạn","Trễ hạn"))</f>
      </c>
      <c r="N2602" s="225">
        <f>IF($C2602="","",ROW())</f>
      </c>
      <c r="O2602" s="225">
        <f>IF($I2602="Công việc",MATCH($C2602,'Kế hoạch'!$A$6:$A$305,0),"")</f>
      </c>
      <c r="P2602" s="234">
        <f>IF($O2602="","",INDEX('Kế hoạch'!$I$6:$I$305,$O2602))</f>
      </c>
      <c r="Q2602" s="225">
        <f>IF($O2602="","",INDEX('Kế hoạch'!$AJ$6:$AJ$305,$O2602))</f>
      </c>
      <c r="R2602" s="225">
        <f>IF($O2602="","",INDEX('Kế hoạch'!$AK$6:$AK$305,$O2602))</f>
      </c>
    </row>
    <row r="2603">
      <c r="A2603" s="223">
        <f>IF($C2603="","",COUNTIF($C$6:$C2603,"?*"))</f>
      </c>
      <c r="B2603" s="217"/>
      <c r="C2603" s="216"/>
      <c r="D2603" s="240"/>
      <c r="E2603" s="218"/>
      <c r="F2603" s="218"/>
      <c r="G2603" s="218"/>
      <c r="H2603" s="219"/>
      <c r="I2603" s="223">
        <f>IF($C2603="","",IF(ISNUMBER(MATCH($C2603,'Phản ánh'!$A$6:$A$505,0)),"Phản ánh",IF(ISNUMBER(MATCH($C2603,'Kế hoạch'!$A$6:$A$305,0)),"Công việc","Mã chưa có")))</f>
      </c>
      <c r="J2603" s="221">
        <f>IF($I2603="Phản ánh",INDEX('Phản ánh'!$C$6:$C$505,MATCH($C2603,'Phản ánh'!$A$6:$A$505,0)),IF($I2603="Công việc",INDEX('Kế hoạch'!$C$6:$C$305,$O2603),""))</f>
      </c>
      <c r="K2603" s="221">
        <f>IF($I2603="Phản ánh",INDEX('Phản ánh'!$K$6:$K$505,MATCH($C2603,'Phản ánh'!$A$6:$A$505,0))&amp;"",IF($I2603="Công việc",INDEX('Kế hoạch'!$N$6:$N$305,$O2603)&amp;"",""))</f>
      </c>
      <c r="L2603" s="220">
        <f>IF(OR($C2603="",N($B2603)=0),"",IF(AND($I2603="Phản ánh",$E2603="Đã xử lý"),INDEX('Phản ánh'!$U$6:$U$505,MATCH($C2603,'Phản ánh'!$A$6:$A$505,0)),IF(AND($I2603="Công việc",OR($E2603="Hoàn thành",$E2603="Hoàn thành kỳ")),IF(INDEX('Kế hoạch'!$B$6:$B$305,$O2603)="Đột xuất",INDEX('Kế hoạch'!$AY$6:$AY$305,$O2603),IF(N($P2603)=0,"",IF(INT($B2603)&lt;$P2603,$P2603,IF($Q2603&gt;0,$P2603+ROUND((INT($B2603)-$P2603)/$Q2603,0)*$Q2603,IF($R2603&gt;0,EDATE($P2603,ROUND((DATEDIF($P2603,INT($B2603),"m")+(INT($B2603)-EDATE($P2603,DATEDIF($P2603,INT($B2603),"m")))/(EDATE($P2603,DATEDIF($P2603,INT($B2603),"m")+1)-EDATE($P2603,DATEDIF($P2603,INT($B2603),"m"))))/$R2603,0)*$R2603),$P2603))))),"")))</f>
      </c>
      <c r="M2603" s="223">
        <f>IF(OR($C2603="",N($L2603)=0,N($B2603)=0),"",IF(IF(MOD($L2603,1)=0,INT($B2603),$B2603)&lt;=$L2603,"Đúng hạn","Trễ hạn"))</f>
      </c>
      <c r="N2603" s="225">
        <f>IF($C2603="","",ROW())</f>
      </c>
      <c r="O2603" s="225">
        <f>IF($I2603="Công việc",MATCH($C2603,'Kế hoạch'!$A$6:$A$305,0),"")</f>
      </c>
      <c r="P2603" s="234">
        <f>IF($O2603="","",INDEX('Kế hoạch'!$I$6:$I$305,$O2603))</f>
      </c>
      <c r="Q2603" s="225">
        <f>IF($O2603="","",INDEX('Kế hoạch'!$AJ$6:$AJ$305,$O2603))</f>
      </c>
      <c r="R2603" s="225">
        <f>IF($O2603="","",INDEX('Kế hoạch'!$AK$6:$AK$305,$O2603))</f>
      </c>
    </row>
    <row r="2604">
      <c r="A2604" s="223">
        <f>IF($C2604="","",COUNTIF($C$6:$C2604,"?*"))</f>
      </c>
      <c r="B2604" s="217"/>
      <c r="C2604" s="216"/>
      <c r="D2604" s="240"/>
      <c r="E2604" s="218"/>
      <c r="F2604" s="218"/>
      <c r="G2604" s="218"/>
      <c r="H2604" s="219"/>
      <c r="I2604" s="223">
        <f>IF($C2604="","",IF(ISNUMBER(MATCH($C2604,'Phản ánh'!$A$6:$A$505,0)),"Phản ánh",IF(ISNUMBER(MATCH($C2604,'Kế hoạch'!$A$6:$A$305,0)),"Công việc","Mã chưa có")))</f>
      </c>
      <c r="J2604" s="221">
        <f>IF($I2604="Phản ánh",INDEX('Phản ánh'!$C$6:$C$505,MATCH($C2604,'Phản ánh'!$A$6:$A$505,0)),IF($I2604="Công việc",INDEX('Kế hoạch'!$C$6:$C$305,$O2604),""))</f>
      </c>
      <c r="K2604" s="221">
        <f>IF($I2604="Phản ánh",INDEX('Phản ánh'!$K$6:$K$505,MATCH($C2604,'Phản ánh'!$A$6:$A$505,0))&amp;"",IF($I2604="Công việc",INDEX('Kế hoạch'!$N$6:$N$305,$O2604)&amp;"",""))</f>
      </c>
      <c r="L2604" s="220">
        <f>IF(OR($C2604="",N($B2604)=0),"",IF(AND($I2604="Phản ánh",$E2604="Đã xử lý"),INDEX('Phản ánh'!$U$6:$U$505,MATCH($C2604,'Phản ánh'!$A$6:$A$505,0)),IF(AND($I2604="Công việc",OR($E2604="Hoàn thành",$E2604="Hoàn thành kỳ")),IF(INDEX('Kế hoạch'!$B$6:$B$305,$O2604)="Đột xuất",INDEX('Kế hoạch'!$AY$6:$AY$305,$O2604),IF(N($P2604)=0,"",IF(INT($B2604)&lt;$P2604,$P2604,IF($Q2604&gt;0,$P2604+ROUND((INT($B2604)-$P2604)/$Q2604,0)*$Q2604,IF($R2604&gt;0,EDATE($P2604,ROUND((DATEDIF($P2604,INT($B2604),"m")+(INT($B2604)-EDATE($P2604,DATEDIF($P2604,INT($B2604),"m")))/(EDATE($P2604,DATEDIF($P2604,INT($B2604),"m")+1)-EDATE($P2604,DATEDIF($P2604,INT($B2604),"m"))))/$R2604,0)*$R2604),$P2604))))),"")))</f>
      </c>
      <c r="M2604" s="223">
        <f>IF(OR($C2604="",N($L2604)=0,N($B2604)=0),"",IF(IF(MOD($L2604,1)=0,INT($B2604),$B2604)&lt;=$L2604,"Đúng hạn","Trễ hạn"))</f>
      </c>
      <c r="N2604" s="225">
        <f>IF($C2604="","",ROW())</f>
      </c>
      <c r="O2604" s="225">
        <f>IF($I2604="Công việc",MATCH($C2604,'Kế hoạch'!$A$6:$A$305,0),"")</f>
      </c>
      <c r="P2604" s="234">
        <f>IF($O2604="","",INDEX('Kế hoạch'!$I$6:$I$305,$O2604))</f>
      </c>
      <c r="Q2604" s="225">
        <f>IF($O2604="","",INDEX('Kế hoạch'!$AJ$6:$AJ$305,$O2604))</f>
      </c>
      <c r="R2604" s="225">
        <f>IF($O2604="","",INDEX('Kế hoạch'!$AK$6:$AK$305,$O2604))</f>
      </c>
    </row>
    <row r="2605">
      <c r="A2605" s="223">
        <f>IF($C2605="","",COUNTIF($C$6:$C2605,"?*"))</f>
      </c>
      <c r="B2605" s="217"/>
      <c r="C2605" s="216"/>
      <c r="D2605" s="240"/>
      <c r="E2605" s="218"/>
      <c r="F2605" s="218"/>
      <c r="G2605" s="218"/>
      <c r="H2605" s="219"/>
      <c r="I2605" s="223">
        <f>IF($C2605="","",IF(ISNUMBER(MATCH($C2605,'Phản ánh'!$A$6:$A$505,0)),"Phản ánh",IF(ISNUMBER(MATCH($C2605,'Kế hoạch'!$A$6:$A$305,0)),"Công việc","Mã chưa có")))</f>
      </c>
      <c r="J2605" s="221">
        <f>IF($I2605="Phản ánh",INDEX('Phản ánh'!$C$6:$C$505,MATCH($C2605,'Phản ánh'!$A$6:$A$505,0)),IF($I2605="Công việc",INDEX('Kế hoạch'!$C$6:$C$305,$O2605),""))</f>
      </c>
      <c r="K2605" s="221">
        <f>IF($I2605="Phản ánh",INDEX('Phản ánh'!$K$6:$K$505,MATCH($C2605,'Phản ánh'!$A$6:$A$505,0))&amp;"",IF($I2605="Công việc",INDEX('Kế hoạch'!$N$6:$N$305,$O2605)&amp;"",""))</f>
      </c>
      <c r="L2605" s="220">
        <f>IF(OR($C2605="",N($B2605)=0),"",IF(AND($I2605="Phản ánh",$E2605="Đã xử lý"),INDEX('Phản ánh'!$U$6:$U$505,MATCH($C2605,'Phản ánh'!$A$6:$A$505,0)),IF(AND($I2605="Công việc",OR($E2605="Hoàn thành",$E2605="Hoàn thành kỳ")),IF(INDEX('Kế hoạch'!$B$6:$B$305,$O2605)="Đột xuất",INDEX('Kế hoạch'!$AY$6:$AY$305,$O2605),IF(N($P2605)=0,"",IF(INT($B2605)&lt;$P2605,$P2605,IF($Q2605&gt;0,$P2605+ROUND((INT($B2605)-$P2605)/$Q2605,0)*$Q2605,IF($R2605&gt;0,EDATE($P2605,ROUND((DATEDIF($P2605,INT($B2605),"m")+(INT($B2605)-EDATE($P2605,DATEDIF($P2605,INT($B2605),"m")))/(EDATE($P2605,DATEDIF($P2605,INT($B2605),"m")+1)-EDATE($P2605,DATEDIF($P2605,INT($B2605),"m"))))/$R2605,0)*$R2605),$P2605))))),"")))</f>
      </c>
      <c r="M2605" s="223">
        <f>IF(OR($C2605="",N($L2605)=0,N($B2605)=0),"",IF(IF(MOD($L2605,1)=0,INT($B2605),$B2605)&lt;=$L2605,"Đúng hạn","Trễ hạn"))</f>
      </c>
      <c r="N2605" s="225">
        <f>IF($C2605="","",ROW())</f>
      </c>
      <c r="O2605" s="225">
        <f>IF($I2605="Công việc",MATCH($C2605,'Kế hoạch'!$A$6:$A$305,0),"")</f>
      </c>
      <c r="P2605" s="234">
        <f>IF($O2605="","",INDEX('Kế hoạch'!$I$6:$I$305,$O2605))</f>
      </c>
      <c r="Q2605" s="225">
        <f>IF($O2605="","",INDEX('Kế hoạch'!$AJ$6:$AJ$305,$O2605))</f>
      </c>
      <c r="R2605" s="225">
        <f>IF($O2605="","",INDEX('Kế hoạch'!$AK$6:$AK$305,$O2605))</f>
      </c>
    </row>
    <row r="2606">
      <c r="A2606" s="223">
        <f>IF($C2606="","",COUNTIF($C$6:$C2606,"?*"))</f>
      </c>
      <c r="B2606" s="217"/>
      <c r="C2606" s="216"/>
      <c r="D2606" s="240"/>
      <c r="E2606" s="218"/>
      <c r="F2606" s="218"/>
      <c r="G2606" s="218"/>
      <c r="H2606" s="219"/>
      <c r="I2606" s="223">
        <f>IF($C2606="","",IF(ISNUMBER(MATCH($C2606,'Phản ánh'!$A$6:$A$505,0)),"Phản ánh",IF(ISNUMBER(MATCH($C2606,'Kế hoạch'!$A$6:$A$305,0)),"Công việc","Mã chưa có")))</f>
      </c>
      <c r="J2606" s="221">
        <f>IF($I2606="Phản ánh",INDEX('Phản ánh'!$C$6:$C$505,MATCH($C2606,'Phản ánh'!$A$6:$A$505,0)),IF($I2606="Công việc",INDEX('Kế hoạch'!$C$6:$C$305,$O2606),""))</f>
      </c>
      <c r="K2606" s="221">
        <f>IF($I2606="Phản ánh",INDEX('Phản ánh'!$K$6:$K$505,MATCH($C2606,'Phản ánh'!$A$6:$A$505,0))&amp;"",IF($I2606="Công việc",INDEX('Kế hoạch'!$N$6:$N$305,$O2606)&amp;"",""))</f>
      </c>
      <c r="L2606" s="220">
        <f>IF(OR($C2606="",N($B2606)=0),"",IF(AND($I2606="Phản ánh",$E2606="Đã xử lý"),INDEX('Phản ánh'!$U$6:$U$505,MATCH($C2606,'Phản ánh'!$A$6:$A$505,0)),IF(AND($I2606="Công việc",OR($E2606="Hoàn thành",$E2606="Hoàn thành kỳ")),IF(INDEX('Kế hoạch'!$B$6:$B$305,$O2606)="Đột xuất",INDEX('Kế hoạch'!$AY$6:$AY$305,$O2606),IF(N($P2606)=0,"",IF(INT($B2606)&lt;$P2606,$P2606,IF($Q2606&gt;0,$P2606+ROUND((INT($B2606)-$P2606)/$Q2606,0)*$Q2606,IF($R2606&gt;0,EDATE($P2606,ROUND((DATEDIF($P2606,INT($B2606),"m")+(INT($B2606)-EDATE($P2606,DATEDIF($P2606,INT($B2606),"m")))/(EDATE($P2606,DATEDIF($P2606,INT($B2606),"m")+1)-EDATE($P2606,DATEDIF($P2606,INT($B2606),"m"))))/$R2606,0)*$R2606),$P2606))))),"")))</f>
      </c>
      <c r="M2606" s="223">
        <f>IF(OR($C2606="",N($L2606)=0,N($B2606)=0),"",IF(IF(MOD($L2606,1)=0,INT($B2606),$B2606)&lt;=$L2606,"Đúng hạn","Trễ hạn"))</f>
      </c>
      <c r="N2606" s="225">
        <f>IF($C2606="","",ROW())</f>
      </c>
      <c r="O2606" s="225">
        <f>IF($I2606="Công việc",MATCH($C2606,'Kế hoạch'!$A$6:$A$305,0),"")</f>
      </c>
      <c r="P2606" s="234">
        <f>IF($O2606="","",INDEX('Kế hoạch'!$I$6:$I$305,$O2606))</f>
      </c>
      <c r="Q2606" s="225">
        <f>IF($O2606="","",INDEX('Kế hoạch'!$AJ$6:$AJ$305,$O2606))</f>
      </c>
      <c r="R2606" s="225">
        <f>IF($O2606="","",INDEX('Kế hoạch'!$AK$6:$AK$305,$O2606))</f>
      </c>
    </row>
    <row r="2607">
      <c r="A2607" s="223">
        <f>IF($C2607="","",COUNTIF($C$6:$C2607,"?*"))</f>
      </c>
      <c r="B2607" s="217"/>
      <c r="C2607" s="216"/>
      <c r="D2607" s="240"/>
      <c r="E2607" s="218"/>
      <c r="F2607" s="218"/>
      <c r="G2607" s="218"/>
      <c r="H2607" s="219"/>
      <c r="I2607" s="223">
        <f>IF($C2607="","",IF(ISNUMBER(MATCH($C2607,'Phản ánh'!$A$6:$A$505,0)),"Phản ánh",IF(ISNUMBER(MATCH($C2607,'Kế hoạch'!$A$6:$A$305,0)),"Công việc","Mã chưa có")))</f>
      </c>
      <c r="J2607" s="221">
        <f>IF($I2607="Phản ánh",INDEX('Phản ánh'!$C$6:$C$505,MATCH($C2607,'Phản ánh'!$A$6:$A$505,0)),IF($I2607="Công việc",INDEX('Kế hoạch'!$C$6:$C$305,$O2607),""))</f>
      </c>
      <c r="K2607" s="221">
        <f>IF($I2607="Phản ánh",INDEX('Phản ánh'!$K$6:$K$505,MATCH($C2607,'Phản ánh'!$A$6:$A$505,0))&amp;"",IF($I2607="Công việc",INDEX('Kế hoạch'!$N$6:$N$305,$O2607)&amp;"",""))</f>
      </c>
      <c r="L2607" s="220">
        <f>IF(OR($C2607="",N($B2607)=0),"",IF(AND($I2607="Phản ánh",$E2607="Đã xử lý"),INDEX('Phản ánh'!$U$6:$U$505,MATCH($C2607,'Phản ánh'!$A$6:$A$505,0)),IF(AND($I2607="Công việc",OR($E2607="Hoàn thành",$E2607="Hoàn thành kỳ")),IF(INDEX('Kế hoạch'!$B$6:$B$305,$O2607)="Đột xuất",INDEX('Kế hoạch'!$AY$6:$AY$305,$O2607),IF(N($P2607)=0,"",IF(INT($B2607)&lt;$P2607,$P2607,IF($Q2607&gt;0,$P2607+ROUND((INT($B2607)-$P2607)/$Q2607,0)*$Q2607,IF($R2607&gt;0,EDATE($P2607,ROUND((DATEDIF($P2607,INT($B2607),"m")+(INT($B2607)-EDATE($P2607,DATEDIF($P2607,INT($B2607),"m")))/(EDATE($P2607,DATEDIF($P2607,INT($B2607),"m")+1)-EDATE($P2607,DATEDIF($P2607,INT($B2607),"m"))))/$R2607,0)*$R2607),$P2607))))),"")))</f>
      </c>
      <c r="M2607" s="223">
        <f>IF(OR($C2607="",N($L2607)=0,N($B2607)=0),"",IF(IF(MOD($L2607,1)=0,INT($B2607),$B2607)&lt;=$L2607,"Đúng hạn","Trễ hạn"))</f>
      </c>
      <c r="N2607" s="225">
        <f>IF($C2607="","",ROW())</f>
      </c>
      <c r="O2607" s="225">
        <f>IF($I2607="Công việc",MATCH($C2607,'Kế hoạch'!$A$6:$A$305,0),"")</f>
      </c>
      <c r="P2607" s="234">
        <f>IF($O2607="","",INDEX('Kế hoạch'!$I$6:$I$305,$O2607))</f>
      </c>
      <c r="Q2607" s="225">
        <f>IF($O2607="","",INDEX('Kế hoạch'!$AJ$6:$AJ$305,$O2607))</f>
      </c>
      <c r="R2607" s="225">
        <f>IF($O2607="","",INDEX('Kế hoạch'!$AK$6:$AK$305,$O2607))</f>
      </c>
    </row>
    <row r="2608">
      <c r="A2608" s="223">
        <f>IF($C2608="","",COUNTIF($C$6:$C2608,"?*"))</f>
      </c>
      <c r="B2608" s="217"/>
      <c r="C2608" s="216"/>
      <c r="D2608" s="240"/>
      <c r="E2608" s="218"/>
      <c r="F2608" s="218"/>
      <c r="G2608" s="218"/>
      <c r="H2608" s="219"/>
      <c r="I2608" s="223">
        <f>IF($C2608="","",IF(ISNUMBER(MATCH($C2608,'Phản ánh'!$A$6:$A$505,0)),"Phản ánh",IF(ISNUMBER(MATCH($C2608,'Kế hoạch'!$A$6:$A$305,0)),"Công việc","Mã chưa có")))</f>
      </c>
      <c r="J2608" s="221">
        <f>IF($I2608="Phản ánh",INDEX('Phản ánh'!$C$6:$C$505,MATCH($C2608,'Phản ánh'!$A$6:$A$505,0)),IF($I2608="Công việc",INDEX('Kế hoạch'!$C$6:$C$305,$O2608),""))</f>
      </c>
      <c r="K2608" s="221">
        <f>IF($I2608="Phản ánh",INDEX('Phản ánh'!$K$6:$K$505,MATCH($C2608,'Phản ánh'!$A$6:$A$505,0))&amp;"",IF($I2608="Công việc",INDEX('Kế hoạch'!$N$6:$N$305,$O2608)&amp;"",""))</f>
      </c>
      <c r="L2608" s="220">
        <f>IF(OR($C2608="",N($B2608)=0),"",IF(AND($I2608="Phản ánh",$E2608="Đã xử lý"),INDEX('Phản ánh'!$U$6:$U$505,MATCH($C2608,'Phản ánh'!$A$6:$A$505,0)),IF(AND($I2608="Công việc",OR($E2608="Hoàn thành",$E2608="Hoàn thành kỳ")),IF(INDEX('Kế hoạch'!$B$6:$B$305,$O2608)="Đột xuất",INDEX('Kế hoạch'!$AY$6:$AY$305,$O2608),IF(N($P2608)=0,"",IF(INT($B2608)&lt;$P2608,$P2608,IF($Q2608&gt;0,$P2608+ROUND((INT($B2608)-$P2608)/$Q2608,0)*$Q2608,IF($R2608&gt;0,EDATE($P2608,ROUND((DATEDIF($P2608,INT($B2608),"m")+(INT($B2608)-EDATE($P2608,DATEDIF($P2608,INT($B2608),"m")))/(EDATE($P2608,DATEDIF($P2608,INT($B2608),"m")+1)-EDATE($P2608,DATEDIF($P2608,INT($B2608),"m"))))/$R2608,0)*$R2608),$P2608))))),"")))</f>
      </c>
      <c r="M2608" s="223">
        <f>IF(OR($C2608="",N($L2608)=0,N($B2608)=0),"",IF(IF(MOD($L2608,1)=0,INT($B2608),$B2608)&lt;=$L2608,"Đúng hạn","Trễ hạn"))</f>
      </c>
      <c r="N2608" s="225">
        <f>IF($C2608="","",ROW())</f>
      </c>
      <c r="O2608" s="225">
        <f>IF($I2608="Công việc",MATCH($C2608,'Kế hoạch'!$A$6:$A$305,0),"")</f>
      </c>
      <c r="P2608" s="234">
        <f>IF($O2608="","",INDEX('Kế hoạch'!$I$6:$I$305,$O2608))</f>
      </c>
      <c r="Q2608" s="225">
        <f>IF($O2608="","",INDEX('Kế hoạch'!$AJ$6:$AJ$305,$O2608))</f>
      </c>
      <c r="R2608" s="225">
        <f>IF($O2608="","",INDEX('Kế hoạch'!$AK$6:$AK$305,$O2608))</f>
      </c>
    </row>
    <row r="2609">
      <c r="A2609" s="223">
        <f>IF($C2609="","",COUNTIF($C$6:$C2609,"?*"))</f>
      </c>
      <c r="B2609" s="217"/>
      <c r="C2609" s="216"/>
      <c r="D2609" s="240"/>
      <c r="E2609" s="218"/>
      <c r="F2609" s="218"/>
      <c r="G2609" s="218"/>
      <c r="H2609" s="219"/>
      <c r="I2609" s="223">
        <f>IF($C2609="","",IF(ISNUMBER(MATCH($C2609,'Phản ánh'!$A$6:$A$505,0)),"Phản ánh",IF(ISNUMBER(MATCH($C2609,'Kế hoạch'!$A$6:$A$305,0)),"Công việc","Mã chưa có")))</f>
      </c>
      <c r="J2609" s="221">
        <f>IF($I2609="Phản ánh",INDEX('Phản ánh'!$C$6:$C$505,MATCH($C2609,'Phản ánh'!$A$6:$A$505,0)),IF($I2609="Công việc",INDEX('Kế hoạch'!$C$6:$C$305,$O2609),""))</f>
      </c>
      <c r="K2609" s="221">
        <f>IF($I2609="Phản ánh",INDEX('Phản ánh'!$K$6:$K$505,MATCH($C2609,'Phản ánh'!$A$6:$A$505,0))&amp;"",IF($I2609="Công việc",INDEX('Kế hoạch'!$N$6:$N$305,$O2609)&amp;"",""))</f>
      </c>
      <c r="L2609" s="220">
        <f>IF(OR($C2609="",N($B2609)=0),"",IF(AND($I2609="Phản ánh",$E2609="Đã xử lý"),INDEX('Phản ánh'!$U$6:$U$505,MATCH($C2609,'Phản ánh'!$A$6:$A$505,0)),IF(AND($I2609="Công việc",OR($E2609="Hoàn thành",$E2609="Hoàn thành kỳ")),IF(INDEX('Kế hoạch'!$B$6:$B$305,$O2609)="Đột xuất",INDEX('Kế hoạch'!$AY$6:$AY$305,$O2609),IF(N($P2609)=0,"",IF(INT($B2609)&lt;$P2609,$P2609,IF($Q2609&gt;0,$P2609+ROUND((INT($B2609)-$P2609)/$Q2609,0)*$Q2609,IF($R2609&gt;0,EDATE($P2609,ROUND((DATEDIF($P2609,INT($B2609),"m")+(INT($B2609)-EDATE($P2609,DATEDIF($P2609,INT($B2609),"m")))/(EDATE($P2609,DATEDIF($P2609,INT($B2609),"m")+1)-EDATE($P2609,DATEDIF($P2609,INT($B2609),"m"))))/$R2609,0)*$R2609),$P2609))))),"")))</f>
      </c>
      <c r="M2609" s="223">
        <f>IF(OR($C2609="",N($L2609)=0,N($B2609)=0),"",IF(IF(MOD($L2609,1)=0,INT($B2609),$B2609)&lt;=$L2609,"Đúng hạn","Trễ hạn"))</f>
      </c>
      <c r="N2609" s="225">
        <f>IF($C2609="","",ROW())</f>
      </c>
      <c r="O2609" s="225">
        <f>IF($I2609="Công việc",MATCH($C2609,'Kế hoạch'!$A$6:$A$305,0),"")</f>
      </c>
      <c r="P2609" s="234">
        <f>IF($O2609="","",INDEX('Kế hoạch'!$I$6:$I$305,$O2609))</f>
      </c>
      <c r="Q2609" s="225">
        <f>IF($O2609="","",INDEX('Kế hoạch'!$AJ$6:$AJ$305,$O2609))</f>
      </c>
      <c r="R2609" s="225">
        <f>IF($O2609="","",INDEX('Kế hoạch'!$AK$6:$AK$305,$O2609))</f>
      </c>
    </row>
    <row r="2610">
      <c r="A2610" s="223">
        <f>IF($C2610="","",COUNTIF($C$6:$C2610,"?*"))</f>
      </c>
      <c r="B2610" s="217"/>
      <c r="C2610" s="216"/>
      <c r="D2610" s="240"/>
      <c r="E2610" s="218"/>
      <c r="F2610" s="218"/>
      <c r="G2610" s="218"/>
      <c r="H2610" s="219"/>
      <c r="I2610" s="223">
        <f>IF($C2610="","",IF(ISNUMBER(MATCH($C2610,'Phản ánh'!$A$6:$A$505,0)),"Phản ánh",IF(ISNUMBER(MATCH($C2610,'Kế hoạch'!$A$6:$A$305,0)),"Công việc","Mã chưa có")))</f>
      </c>
      <c r="J2610" s="221">
        <f>IF($I2610="Phản ánh",INDEX('Phản ánh'!$C$6:$C$505,MATCH($C2610,'Phản ánh'!$A$6:$A$505,0)),IF($I2610="Công việc",INDEX('Kế hoạch'!$C$6:$C$305,$O2610),""))</f>
      </c>
      <c r="K2610" s="221">
        <f>IF($I2610="Phản ánh",INDEX('Phản ánh'!$K$6:$K$505,MATCH($C2610,'Phản ánh'!$A$6:$A$505,0))&amp;"",IF($I2610="Công việc",INDEX('Kế hoạch'!$N$6:$N$305,$O2610)&amp;"",""))</f>
      </c>
      <c r="L2610" s="220">
        <f>IF(OR($C2610="",N($B2610)=0),"",IF(AND($I2610="Phản ánh",$E2610="Đã xử lý"),INDEX('Phản ánh'!$U$6:$U$505,MATCH($C2610,'Phản ánh'!$A$6:$A$505,0)),IF(AND($I2610="Công việc",OR($E2610="Hoàn thành",$E2610="Hoàn thành kỳ")),IF(INDEX('Kế hoạch'!$B$6:$B$305,$O2610)="Đột xuất",INDEX('Kế hoạch'!$AY$6:$AY$305,$O2610),IF(N($P2610)=0,"",IF(INT($B2610)&lt;$P2610,$P2610,IF($Q2610&gt;0,$P2610+ROUND((INT($B2610)-$P2610)/$Q2610,0)*$Q2610,IF($R2610&gt;0,EDATE($P2610,ROUND((DATEDIF($P2610,INT($B2610),"m")+(INT($B2610)-EDATE($P2610,DATEDIF($P2610,INT($B2610),"m")))/(EDATE($P2610,DATEDIF($P2610,INT($B2610),"m")+1)-EDATE($P2610,DATEDIF($P2610,INT($B2610),"m"))))/$R2610,0)*$R2610),$P2610))))),"")))</f>
      </c>
      <c r="M2610" s="223">
        <f>IF(OR($C2610="",N($L2610)=0,N($B2610)=0),"",IF(IF(MOD($L2610,1)=0,INT($B2610),$B2610)&lt;=$L2610,"Đúng hạn","Trễ hạn"))</f>
      </c>
      <c r="N2610" s="225">
        <f>IF($C2610="","",ROW())</f>
      </c>
      <c r="O2610" s="225">
        <f>IF($I2610="Công việc",MATCH($C2610,'Kế hoạch'!$A$6:$A$305,0),"")</f>
      </c>
      <c r="P2610" s="234">
        <f>IF($O2610="","",INDEX('Kế hoạch'!$I$6:$I$305,$O2610))</f>
      </c>
      <c r="Q2610" s="225">
        <f>IF($O2610="","",INDEX('Kế hoạch'!$AJ$6:$AJ$305,$O2610))</f>
      </c>
      <c r="R2610" s="225">
        <f>IF($O2610="","",INDEX('Kế hoạch'!$AK$6:$AK$305,$O2610))</f>
      </c>
    </row>
    <row r="2611">
      <c r="A2611" s="223">
        <f>IF($C2611="","",COUNTIF($C$6:$C2611,"?*"))</f>
      </c>
      <c r="B2611" s="217"/>
      <c r="C2611" s="216"/>
      <c r="D2611" s="240"/>
      <c r="E2611" s="218"/>
      <c r="F2611" s="218"/>
      <c r="G2611" s="218"/>
      <c r="H2611" s="219"/>
      <c r="I2611" s="223">
        <f>IF($C2611="","",IF(ISNUMBER(MATCH($C2611,'Phản ánh'!$A$6:$A$505,0)),"Phản ánh",IF(ISNUMBER(MATCH($C2611,'Kế hoạch'!$A$6:$A$305,0)),"Công việc","Mã chưa có")))</f>
      </c>
      <c r="J2611" s="221">
        <f>IF($I2611="Phản ánh",INDEX('Phản ánh'!$C$6:$C$505,MATCH($C2611,'Phản ánh'!$A$6:$A$505,0)),IF($I2611="Công việc",INDEX('Kế hoạch'!$C$6:$C$305,$O2611),""))</f>
      </c>
      <c r="K2611" s="221">
        <f>IF($I2611="Phản ánh",INDEX('Phản ánh'!$K$6:$K$505,MATCH($C2611,'Phản ánh'!$A$6:$A$505,0))&amp;"",IF($I2611="Công việc",INDEX('Kế hoạch'!$N$6:$N$305,$O2611)&amp;"",""))</f>
      </c>
      <c r="L2611" s="220">
        <f>IF(OR($C2611="",N($B2611)=0),"",IF(AND($I2611="Phản ánh",$E2611="Đã xử lý"),INDEX('Phản ánh'!$U$6:$U$505,MATCH($C2611,'Phản ánh'!$A$6:$A$505,0)),IF(AND($I2611="Công việc",OR($E2611="Hoàn thành",$E2611="Hoàn thành kỳ")),IF(INDEX('Kế hoạch'!$B$6:$B$305,$O2611)="Đột xuất",INDEX('Kế hoạch'!$AY$6:$AY$305,$O2611),IF(N($P2611)=0,"",IF(INT($B2611)&lt;$P2611,$P2611,IF($Q2611&gt;0,$P2611+ROUND((INT($B2611)-$P2611)/$Q2611,0)*$Q2611,IF($R2611&gt;0,EDATE($P2611,ROUND((DATEDIF($P2611,INT($B2611),"m")+(INT($B2611)-EDATE($P2611,DATEDIF($P2611,INT($B2611),"m")))/(EDATE($P2611,DATEDIF($P2611,INT($B2611),"m")+1)-EDATE($P2611,DATEDIF($P2611,INT($B2611),"m"))))/$R2611,0)*$R2611),$P2611))))),"")))</f>
      </c>
      <c r="M2611" s="223">
        <f>IF(OR($C2611="",N($L2611)=0,N($B2611)=0),"",IF(IF(MOD($L2611,1)=0,INT($B2611),$B2611)&lt;=$L2611,"Đúng hạn","Trễ hạn"))</f>
      </c>
      <c r="N2611" s="225">
        <f>IF($C2611="","",ROW())</f>
      </c>
      <c r="O2611" s="225">
        <f>IF($I2611="Công việc",MATCH($C2611,'Kế hoạch'!$A$6:$A$305,0),"")</f>
      </c>
      <c r="P2611" s="234">
        <f>IF($O2611="","",INDEX('Kế hoạch'!$I$6:$I$305,$O2611))</f>
      </c>
      <c r="Q2611" s="225">
        <f>IF($O2611="","",INDEX('Kế hoạch'!$AJ$6:$AJ$305,$O2611))</f>
      </c>
      <c r="R2611" s="225">
        <f>IF($O2611="","",INDEX('Kế hoạch'!$AK$6:$AK$305,$O2611))</f>
      </c>
    </row>
    <row r="2612">
      <c r="A2612" s="223">
        <f>IF($C2612="","",COUNTIF($C$6:$C2612,"?*"))</f>
      </c>
      <c r="B2612" s="217"/>
      <c r="C2612" s="216"/>
      <c r="D2612" s="240"/>
      <c r="E2612" s="218"/>
      <c r="F2612" s="218"/>
      <c r="G2612" s="218"/>
      <c r="H2612" s="219"/>
      <c r="I2612" s="223">
        <f>IF($C2612="","",IF(ISNUMBER(MATCH($C2612,'Phản ánh'!$A$6:$A$505,0)),"Phản ánh",IF(ISNUMBER(MATCH($C2612,'Kế hoạch'!$A$6:$A$305,0)),"Công việc","Mã chưa có")))</f>
      </c>
      <c r="J2612" s="221">
        <f>IF($I2612="Phản ánh",INDEX('Phản ánh'!$C$6:$C$505,MATCH($C2612,'Phản ánh'!$A$6:$A$505,0)),IF($I2612="Công việc",INDEX('Kế hoạch'!$C$6:$C$305,$O2612),""))</f>
      </c>
      <c r="K2612" s="221">
        <f>IF($I2612="Phản ánh",INDEX('Phản ánh'!$K$6:$K$505,MATCH($C2612,'Phản ánh'!$A$6:$A$505,0))&amp;"",IF($I2612="Công việc",INDEX('Kế hoạch'!$N$6:$N$305,$O2612)&amp;"",""))</f>
      </c>
      <c r="L2612" s="220">
        <f>IF(OR($C2612="",N($B2612)=0),"",IF(AND($I2612="Phản ánh",$E2612="Đã xử lý"),INDEX('Phản ánh'!$U$6:$U$505,MATCH($C2612,'Phản ánh'!$A$6:$A$505,0)),IF(AND($I2612="Công việc",OR($E2612="Hoàn thành",$E2612="Hoàn thành kỳ")),IF(INDEX('Kế hoạch'!$B$6:$B$305,$O2612)="Đột xuất",INDEX('Kế hoạch'!$AY$6:$AY$305,$O2612),IF(N($P2612)=0,"",IF(INT($B2612)&lt;$P2612,$P2612,IF($Q2612&gt;0,$P2612+ROUND((INT($B2612)-$P2612)/$Q2612,0)*$Q2612,IF($R2612&gt;0,EDATE($P2612,ROUND((DATEDIF($P2612,INT($B2612),"m")+(INT($B2612)-EDATE($P2612,DATEDIF($P2612,INT($B2612),"m")))/(EDATE($P2612,DATEDIF($P2612,INT($B2612),"m")+1)-EDATE($P2612,DATEDIF($P2612,INT($B2612),"m"))))/$R2612,0)*$R2612),$P2612))))),"")))</f>
      </c>
      <c r="M2612" s="223">
        <f>IF(OR($C2612="",N($L2612)=0,N($B2612)=0),"",IF(IF(MOD($L2612,1)=0,INT($B2612),$B2612)&lt;=$L2612,"Đúng hạn","Trễ hạn"))</f>
      </c>
      <c r="N2612" s="225">
        <f>IF($C2612="","",ROW())</f>
      </c>
      <c r="O2612" s="225">
        <f>IF($I2612="Công việc",MATCH($C2612,'Kế hoạch'!$A$6:$A$305,0),"")</f>
      </c>
      <c r="P2612" s="234">
        <f>IF($O2612="","",INDEX('Kế hoạch'!$I$6:$I$305,$O2612))</f>
      </c>
      <c r="Q2612" s="225">
        <f>IF($O2612="","",INDEX('Kế hoạch'!$AJ$6:$AJ$305,$O2612))</f>
      </c>
      <c r="R2612" s="225">
        <f>IF($O2612="","",INDEX('Kế hoạch'!$AK$6:$AK$305,$O2612))</f>
      </c>
    </row>
    <row r="2613">
      <c r="A2613" s="223">
        <f>IF($C2613="","",COUNTIF($C$6:$C2613,"?*"))</f>
      </c>
      <c r="B2613" s="217"/>
      <c r="C2613" s="216"/>
      <c r="D2613" s="240"/>
      <c r="E2613" s="218"/>
      <c r="F2613" s="218"/>
      <c r="G2613" s="218"/>
      <c r="H2613" s="219"/>
      <c r="I2613" s="223">
        <f>IF($C2613="","",IF(ISNUMBER(MATCH($C2613,'Phản ánh'!$A$6:$A$505,0)),"Phản ánh",IF(ISNUMBER(MATCH($C2613,'Kế hoạch'!$A$6:$A$305,0)),"Công việc","Mã chưa có")))</f>
      </c>
      <c r="J2613" s="221">
        <f>IF($I2613="Phản ánh",INDEX('Phản ánh'!$C$6:$C$505,MATCH($C2613,'Phản ánh'!$A$6:$A$505,0)),IF($I2613="Công việc",INDEX('Kế hoạch'!$C$6:$C$305,$O2613),""))</f>
      </c>
      <c r="K2613" s="221">
        <f>IF($I2613="Phản ánh",INDEX('Phản ánh'!$K$6:$K$505,MATCH($C2613,'Phản ánh'!$A$6:$A$505,0))&amp;"",IF($I2613="Công việc",INDEX('Kế hoạch'!$N$6:$N$305,$O2613)&amp;"",""))</f>
      </c>
      <c r="L2613" s="220">
        <f>IF(OR($C2613="",N($B2613)=0),"",IF(AND($I2613="Phản ánh",$E2613="Đã xử lý"),INDEX('Phản ánh'!$U$6:$U$505,MATCH($C2613,'Phản ánh'!$A$6:$A$505,0)),IF(AND($I2613="Công việc",OR($E2613="Hoàn thành",$E2613="Hoàn thành kỳ")),IF(INDEX('Kế hoạch'!$B$6:$B$305,$O2613)="Đột xuất",INDEX('Kế hoạch'!$AY$6:$AY$305,$O2613),IF(N($P2613)=0,"",IF(INT($B2613)&lt;$P2613,$P2613,IF($Q2613&gt;0,$P2613+ROUND((INT($B2613)-$P2613)/$Q2613,0)*$Q2613,IF($R2613&gt;0,EDATE($P2613,ROUND((DATEDIF($P2613,INT($B2613),"m")+(INT($B2613)-EDATE($P2613,DATEDIF($P2613,INT($B2613),"m")))/(EDATE($P2613,DATEDIF($P2613,INT($B2613),"m")+1)-EDATE($P2613,DATEDIF($P2613,INT($B2613),"m"))))/$R2613,0)*$R2613),$P2613))))),"")))</f>
      </c>
      <c r="M2613" s="223">
        <f>IF(OR($C2613="",N($L2613)=0,N($B2613)=0),"",IF(IF(MOD($L2613,1)=0,INT($B2613),$B2613)&lt;=$L2613,"Đúng hạn","Trễ hạn"))</f>
      </c>
      <c r="N2613" s="225">
        <f>IF($C2613="","",ROW())</f>
      </c>
      <c r="O2613" s="225">
        <f>IF($I2613="Công việc",MATCH($C2613,'Kế hoạch'!$A$6:$A$305,0),"")</f>
      </c>
      <c r="P2613" s="234">
        <f>IF($O2613="","",INDEX('Kế hoạch'!$I$6:$I$305,$O2613))</f>
      </c>
      <c r="Q2613" s="225">
        <f>IF($O2613="","",INDEX('Kế hoạch'!$AJ$6:$AJ$305,$O2613))</f>
      </c>
      <c r="R2613" s="225">
        <f>IF($O2613="","",INDEX('Kế hoạch'!$AK$6:$AK$305,$O2613))</f>
      </c>
    </row>
    <row r="2614">
      <c r="A2614" s="223">
        <f>IF($C2614="","",COUNTIF($C$6:$C2614,"?*"))</f>
      </c>
      <c r="B2614" s="217"/>
      <c r="C2614" s="216"/>
      <c r="D2614" s="240"/>
      <c r="E2614" s="218"/>
      <c r="F2614" s="218"/>
      <c r="G2614" s="218"/>
      <c r="H2614" s="219"/>
      <c r="I2614" s="223">
        <f>IF($C2614="","",IF(ISNUMBER(MATCH($C2614,'Phản ánh'!$A$6:$A$505,0)),"Phản ánh",IF(ISNUMBER(MATCH($C2614,'Kế hoạch'!$A$6:$A$305,0)),"Công việc","Mã chưa có")))</f>
      </c>
      <c r="J2614" s="221">
        <f>IF($I2614="Phản ánh",INDEX('Phản ánh'!$C$6:$C$505,MATCH($C2614,'Phản ánh'!$A$6:$A$505,0)),IF($I2614="Công việc",INDEX('Kế hoạch'!$C$6:$C$305,$O2614),""))</f>
      </c>
      <c r="K2614" s="221">
        <f>IF($I2614="Phản ánh",INDEX('Phản ánh'!$K$6:$K$505,MATCH($C2614,'Phản ánh'!$A$6:$A$505,0))&amp;"",IF($I2614="Công việc",INDEX('Kế hoạch'!$N$6:$N$305,$O2614)&amp;"",""))</f>
      </c>
      <c r="L2614" s="220">
        <f>IF(OR($C2614="",N($B2614)=0),"",IF(AND($I2614="Phản ánh",$E2614="Đã xử lý"),INDEX('Phản ánh'!$U$6:$U$505,MATCH($C2614,'Phản ánh'!$A$6:$A$505,0)),IF(AND($I2614="Công việc",OR($E2614="Hoàn thành",$E2614="Hoàn thành kỳ")),IF(INDEX('Kế hoạch'!$B$6:$B$305,$O2614)="Đột xuất",INDEX('Kế hoạch'!$AY$6:$AY$305,$O2614),IF(N($P2614)=0,"",IF(INT($B2614)&lt;$P2614,$P2614,IF($Q2614&gt;0,$P2614+ROUND((INT($B2614)-$P2614)/$Q2614,0)*$Q2614,IF($R2614&gt;0,EDATE($P2614,ROUND((DATEDIF($P2614,INT($B2614),"m")+(INT($B2614)-EDATE($P2614,DATEDIF($P2614,INT($B2614),"m")))/(EDATE($P2614,DATEDIF($P2614,INT($B2614),"m")+1)-EDATE($P2614,DATEDIF($P2614,INT($B2614),"m"))))/$R2614,0)*$R2614),$P2614))))),"")))</f>
      </c>
      <c r="M2614" s="223">
        <f>IF(OR($C2614="",N($L2614)=0,N($B2614)=0),"",IF(IF(MOD($L2614,1)=0,INT($B2614),$B2614)&lt;=$L2614,"Đúng hạn","Trễ hạn"))</f>
      </c>
      <c r="N2614" s="225">
        <f>IF($C2614="","",ROW())</f>
      </c>
      <c r="O2614" s="225">
        <f>IF($I2614="Công việc",MATCH($C2614,'Kế hoạch'!$A$6:$A$305,0),"")</f>
      </c>
      <c r="P2614" s="234">
        <f>IF($O2614="","",INDEX('Kế hoạch'!$I$6:$I$305,$O2614))</f>
      </c>
      <c r="Q2614" s="225">
        <f>IF($O2614="","",INDEX('Kế hoạch'!$AJ$6:$AJ$305,$O2614))</f>
      </c>
      <c r="R2614" s="225">
        <f>IF($O2614="","",INDEX('Kế hoạch'!$AK$6:$AK$305,$O2614))</f>
      </c>
    </row>
    <row r="2615">
      <c r="A2615" s="223">
        <f>IF($C2615="","",COUNTIF($C$6:$C2615,"?*"))</f>
      </c>
      <c r="B2615" s="217"/>
      <c r="C2615" s="216"/>
      <c r="D2615" s="240"/>
      <c r="E2615" s="218"/>
      <c r="F2615" s="218"/>
      <c r="G2615" s="218"/>
      <c r="H2615" s="219"/>
      <c r="I2615" s="223">
        <f>IF($C2615="","",IF(ISNUMBER(MATCH($C2615,'Phản ánh'!$A$6:$A$505,0)),"Phản ánh",IF(ISNUMBER(MATCH($C2615,'Kế hoạch'!$A$6:$A$305,0)),"Công việc","Mã chưa có")))</f>
      </c>
      <c r="J2615" s="221">
        <f>IF($I2615="Phản ánh",INDEX('Phản ánh'!$C$6:$C$505,MATCH($C2615,'Phản ánh'!$A$6:$A$505,0)),IF($I2615="Công việc",INDEX('Kế hoạch'!$C$6:$C$305,$O2615),""))</f>
      </c>
      <c r="K2615" s="221">
        <f>IF($I2615="Phản ánh",INDEX('Phản ánh'!$K$6:$K$505,MATCH($C2615,'Phản ánh'!$A$6:$A$505,0))&amp;"",IF($I2615="Công việc",INDEX('Kế hoạch'!$N$6:$N$305,$O2615)&amp;"",""))</f>
      </c>
      <c r="L2615" s="220">
        <f>IF(OR($C2615="",N($B2615)=0),"",IF(AND($I2615="Phản ánh",$E2615="Đã xử lý"),INDEX('Phản ánh'!$U$6:$U$505,MATCH($C2615,'Phản ánh'!$A$6:$A$505,0)),IF(AND($I2615="Công việc",OR($E2615="Hoàn thành",$E2615="Hoàn thành kỳ")),IF(INDEX('Kế hoạch'!$B$6:$B$305,$O2615)="Đột xuất",INDEX('Kế hoạch'!$AY$6:$AY$305,$O2615),IF(N($P2615)=0,"",IF(INT($B2615)&lt;$P2615,$P2615,IF($Q2615&gt;0,$P2615+ROUND((INT($B2615)-$P2615)/$Q2615,0)*$Q2615,IF($R2615&gt;0,EDATE($P2615,ROUND((DATEDIF($P2615,INT($B2615),"m")+(INT($B2615)-EDATE($P2615,DATEDIF($P2615,INT($B2615),"m")))/(EDATE($P2615,DATEDIF($P2615,INT($B2615),"m")+1)-EDATE($P2615,DATEDIF($P2615,INT($B2615),"m"))))/$R2615,0)*$R2615),$P2615))))),"")))</f>
      </c>
      <c r="M2615" s="223">
        <f>IF(OR($C2615="",N($L2615)=0,N($B2615)=0),"",IF(IF(MOD($L2615,1)=0,INT($B2615),$B2615)&lt;=$L2615,"Đúng hạn","Trễ hạn"))</f>
      </c>
      <c r="N2615" s="225">
        <f>IF($C2615="","",ROW())</f>
      </c>
      <c r="O2615" s="225">
        <f>IF($I2615="Công việc",MATCH($C2615,'Kế hoạch'!$A$6:$A$305,0),"")</f>
      </c>
      <c r="P2615" s="234">
        <f>IF($O2615="","",INDEX('Kế hoạch'!$I$6:$I$305,$O2615))</f>
      </c>
      <c r="Q2615" s="225">
        <f>IF($O2615="","",INDEX('Kế hoạch'!$AJ$6:$AJ$305,$O2615))</f>
      </c>
      <c r="R2615" s="225">
        <f>IF($O2615="","",INDEX('Kế hoạch'!$AK$6:$AK$305,$O2615))</f>
      </c>
    </row>
    <row r="2616">
      <c r="A2616" s="223">
        <f>IF($C2616="","",COUNTIF($C$6:$C2616,"?*"))</f>
      </c>
      <c r="B2616" s="217"/>
      <c r="C2616" s="216"/>
      <c r="D2616" s="240"/>
      <c r="E2616" s="218"/>
      <c r="F2616" s="218"/>
      <c r="G2616" s="218"/>
      <c r="H2616" s="219"/>
      <c r="I2616" s="223">
        <f>IF($C2616="","",IF(ISNUMBER(MATCH($C2616,'Phản ánh'!$A$6:$A$505,0)),"Phản ánh",IF(ISNUMBER(MATCH($C2616,'Kế hoạch'!$A$6:$A$305,0)),"Công việc","Mã chưa có")))</f>
      </c>
      <c r="J2616" s="221">
        <f>IF($I2616="Phản ánh",INDEX('Phản ánh'!$C$6:$C$505,MATCH($C2616,'Phản ánh'!$A$6:$A$505,0)),IF($I2616="Công việc",INDEX('Kế hoạch'!$C$6:$C$305,$O2616),""))</f>
      </c>
      <c r="K2616" s="221">
        <f>IF($I2616="Phản ánh",INDEX('Phản ánh'!$K$6:$K$505,MATCH($C2616,'Phản ánh'!$A$6:$A$505,0))&amp;"",IF($I2616="Công việc",INDEX('Kế hoạch'!$N$6:$N$305,$O2616)&amp;"",""))</f>
      </c>
      <c r="L2616" s="220">
        <f>IF(OR($C2616="",N($B2616)=0),"",IF(AND($I2616="Phản ánh",$E2616="Đã xử lý"),INDEX('Phản ánh'!$U$6:$U$505,MATCH($C2616,'Phản ánh'!$A$6:$A$505,0)),IF(AND($I2616="Công việc",OR($E2616="Hoàn thành",$E2616="Hoàn thành kỳ")),IF(INDEX('Kế hoạch'!$B$6:$B$305,$O2616)="Đột xuất",INDEX('Kế hoạch'!$AY$6:$AY$305,$O2616),IF(N($P2616)=0,"",IF(INT($B2616)&lt;$P2616,$P2616,IF($Q2616&gt;0,$P2616+ROUND((INT($B2616)-$P2616)/$Q2616,0)*$Q2616,IF($R2616&gt;0,EDATE($P2616,ROUND((DATEDIF($P2616,INT($B2616),"m")+(INT($B2616)-EDATE($P2616,DATEDIF($P2616,INT($B2616),"m")))/(EDATE($P2616,DATEDIF($P2616,INT($B2616),"m")+1)-EDATE($P2616,DATEDIF($P2616,INT($B2616),"m"))))/$R2616,0)*$R2616),$P2616))))),"")))</f>
      </c>
      <c r="M2616" s="223">
        <f>IF(OR($C2616="",N($L2616)=0,N($B2616)=0),"",IF(IF(MOD($L2616,1)=0,INT($B2616),$B2616)&lt;=$L2616,"Đúng hạn","Trễ hạn"))</f>
      </c>
      <c r="N2616" s="225">
        <f>IF($C2616="","",ROW())</f>
      </c>
      <c r="O2616" s="225">
        <f>IF($I2616="Công việc",MATCH($C2616,'Kế hoạch'!$A$6:$A$305,0),"")</f>
      </c>
      <c r="P2616" s="234">
        <f>IF($O2616="","",INDEX('Kế hoạch'!$I$6:$I$305,$O2616))</f>
      </c>
      <c r="Q2616" s="225">
        <f>IF($O2616="","",INDEX('Kế hoạch'!$AJ$6:$AJ$305,$O2616))</f>
      </c>
      <c r="R2616" s="225">
        <f>IF($O2616="","",INDEX('Kế hoạch'!$AK$6:$AK$305,$O2616))</f>
      </c>
    </row>
    <row r="2617">
      <c r="A2617" s="223">
        <f>IF($C2617="","",COUNTIF($C$6:$C2617,"?*"))</f>
      </c>
      <c r="B2617" s="217"/>
      <c r="C2617" s="216"/>
      <c r="D2617" s="240"/>
      <c r="E2617" s="218"/>
      <c r="F2617" s="218"/>
      <c r="G2617" s="218"/>
      <c r="H2617" s="219"/>
      <c r="I2617" s="223">
        <f>IF($C2617="","",IF(ISNUMBER(MATCH($C2617,'Phản ánh'!$A$6:$A$505,0)),"Phản ánh",IF(ISNUMBER(MATCH($C2617,'Kế hoạch'!$A$6:$A$305,0)),"Công việc","Mã chưa có")))</f>
      </c>
      <c r="J2617" s="221">
        <f>IF($I2617="Phản ánh",INDEX('Phản ánh'!$C$6:$C$505,MATCH($C2617,'Phản ánh'!$A$6:$A$505,0)),IF($I2617="Công việc",INDEX('Kế hoạch'!$C$6:$C$305,$O2617),""))</f>
      </c>
      <c r="K2617" s="221">
        <f>IF($I2617="Phản ánh",INDEX('Phản ánh'!$K$6:$K$505,MATCH($C2617,'Phản ánh'!$A$6:$A$505,0))&amp;"",IF($I2617="Công việc",INDEX('Kế hoạch'!$N$6:$N$305,$O2617)&amp;"",""))</f>
      </c>
      <c r="L2617" s="220">
        <f>IF(OR($C2617="",N($B2617)=0),"",IF(AND($I2617="Phản ánh",$E2617="Đã xử lý"),INDEX('Phản ánh'!$U$6:$U$505,MATCH($C2617,'Phản ánh'!$A$6:$A$505,0)),IF(AND($I2617="Công việc",OR($E2617="Hoàn thành",$E2617="Hoàn thành kỳ")),IF(INDEX('Kế hoạch'!$B$6:$B$305,$O2617)="Đột xuất",INDEX('Kế hoạch'!$AY$6:$AY$305,$O2617),IF(N($P2617)=0,"",IF(INT($B2617)&lt;$P2617,$P2617,IF($Q2617&gt;0,$P2617+ROUND((INT($B2617)-$P2617)/$Q2617,0)*$Q2617,IF($R2617&gt;0,EDATE($P2617,ROUND((DATEDIF($P2617,INT($B2617),"m")+(INT($B2617)-EDATE($P2617,DATEDIF($P2617,INT($B2617),"m")))/(EDATE($P2617,DATEDIF($P2617,INT($B2617),"m")+1)-EDATE($P2617,DATEDIF($P2617,INT($B2617),"m"))))/$R2617,0)*$R2617),$P2617))))),"")))</f>
      </c>
      <c r="M2617" s="223">
        <f>IF(OR($C2617="",N($L2617)=0,N($B2617)=0),"",IF(IF(MOD($L2617,1)=0,INT($B2617),$B2617)&lt;=$L2617,"Đúng hạn","Trễ hạn"))</f>
      </c>
      <c r="N2617" s="225">
        <f>IF($C2617="","",ROW())</f>
      </c>
      <c r="O2617" s="225">
        <f>IF($I2617="Công việc",MATCH($C2617,'Kế hoạch'!$A$6:$A$305,0),"")</f>
      </c>
      <c r="P2617" s="234">
        <f>IF($O2617="","",INDEX('Kế hoạch'!$I$6:$I$305,$O2617))</f>
      </c>
      <c r="Q2617" s="225">
        <f>IF($O2617="","",INDEX('Kế hoạch'!$AJ$6:$AJ$305,$O2617))</f>
      </c>
      <c r="R2617" s="225">
        <f>IF($O2617="","",INDEX('Kế hoạch'!$AK$6:$AK$305,$O2617))</f>
      </c>
    </row>
    <row r="2618">
      <c r="A2618" s="223">
        <f>IF($C2618="","",COUNTIF($C$6:$C2618,"?*"))</f>
      </c>
      <c r="B2618" s="217"/>
      <c r="C2618" s="216"/>
      <c r="D2618" s="240"/>
      <c r="E2618" s="218"/>
      <c r="F2618" s="218"/>
      <c r="G2618" s="218"/>
      <c r="H2618" s="219"/>
      <c r="I2618" s="223">
        <f>IF($C2618="","",IF(ISNUMBER(MATCH($C2618,'Phản ánh'!$A$6:$A$505,0)),"Phản ánh",IF(ISNUMBER(MATCH($C2618,'Kế hoạch'!$A$6:$A$305,0)),"Công việc","Mã chưa có")))</f>
      </c>
      <c r="J2618" s="221">
        <f>IF($I2618="Phản ánh",INDEX('Phản ánh'!$C$6:$C$505,MATCH($C2618,'Phản ánh'!$A$6:$A$505,0)),IF($I2618="Công việc",INDEX('Kế hoạch'!$C$6:$C$305,$O2618),""))</f>
      </c>
      <c r="K2618" s="221">
        <f>IF($I2618="Phản ánh",INDEX('Phản ánh'!$K$6:$K$505,MATCH($C2618,'Phản ánh'!$A$6:$A$505,0))&amp;"",IF($I2618="Công việc",INDEX('Kế hoạch'!$N$6:$N$305,$O2618)&amp;"",""))</f>
      </c>
      <c r="L2618" s="220">
        <f>IF(OR($C2618="",N($B2618)=0),"",IF(AND($I2618="Phản ánh",$E2618="Đã xử lý"),INDEX('Phản ánh'!$U$6:$U$505,MATCH($C2618,'Phản ánh'!$A$6:$A$505,0)),IF(AND($I2618="Công việc",OR($E2618="Hoàn thành",$E2618="Hoàn thành kỳ")),IF(INDEX('Kế hoạch'!$B$6:$B$305,$O2618)="Đột xuất",INDEX('Kế hoạch'!$AY$6:$AY$305,$O2618),IF(N($P2618)=0,"",IF(INT($B2618)&lt;$P2618,$P2618,IF($Q2618&gt;0,$P2618+ROUND((INT($B2618)-$P2618)/$Q2618,0)*$Q2618,IF($R2618&gt;0,EDATE($P2618,ROUND((DATEDIF($P2618,INT($B2618),"m")+(INT($B2618)-EDATE($P2618,DATEDIF($P2618,INT($B2618),"m")))/(EDATE($P2618,DATEDIF($P2618,INT($B2618),"m")+1)-EDATE($P2618,DATEDIF($P2618,INT($B2618),"m"))))/$R2618,0)*$R2618),$P2618))))),"")))</f>
      </c>
      <c r="M2618" s="223">
        <f>IF(OR($C2618="",N($L2618)=0,N($B2618)=0),"",IF(IF(MOD($L2618,1)=0,INT($B2618),$B2618)&lt;=$L2618,"Đúng hạn","Trễ hạn"))</f>
      </c>
      <c r="N2618" s="225">
        <f>IF($C2618="","",ROW())</f>
      </c>
      <c r="O2618" s="225">
        <f>IF($I2618="Công việc",MATCH($C2618,'Kế hoạch'!$A$6:$A$305,0),"")</f>
      </c>
      <c r="P2618" s="234">
        <f>IF($O2618="","",INDEX('Kế hoạch'!$I$6:$I$305,$O2618))</f>
      </c>
      <c r="Q2618" s="225">
        <f>IF($O2618="","",INDEX('Kế hoạch'!$AJ$6:$AJ$305,$O2618))</f>
      </c>
      <c r="R2618" s="225">
        <f>IF($O2618="","",INDEX('Kế hoạch'!$AK$6:$AK$305,$O2618))</f>
      </c>
    </row>
    <row r="2619">
      <c r="A2619" s="223">
        <f>IF($C2619="","",COUNTIF($C$6:$C2619,"?*"))</f>
      </c>
      <c r="B2619" s="217"/>
      <c r="C2619" s="216"/>
      <c r="D2619" s="240"/>
      <c r="E2619" s="218"/>
      <c r="F2619" s="218"/>
      <c r="G2619" s="218"/>
      <c r="H2619" s="219"/>
      <c r="I2619" s="223">
        <f>IF($C2619="","",IF(ISNUMBER(MATCH($C2619,'Phản ánh'!$A$6:$A$505,0)),"Phản ánh",IF(ISNUMBER(MATCH($C2619,'Kế hoạch'!$A$6:$A$305,0)),"Công việc","Mã chưa có")))</f>
      </c>
      <c r="J2619" s="221">
        <f>IF($I2619="Phản ánh",INDEX('Phản ánh'!$C$6:$C$505,MATCH($C2619,'Phản ánh'!$A$6:$A$505,0)),IF($I2619="Công việc",INDEX('Kế hoạch'!$C$6:$C$305,$O2619),""))</f>
      </c>
      <c r="K2619" s="221">
        <f>IF($I2619="Phản ánh",INDEX('Phản ánh'!$K$6:$K$505,MATCH($C2619,'Phản ánh'!$A$6:$A$505,0))&amp;"",IF($I2619="Công việc",INDEX('Kế hoạch'!$N$6:$N$305,$O2619)&amp;"",""))</f>
      </c>
      <c r="L2619" s="220">
        <f>IF(OR($C2619="",N($B2619)=0),"",IF(AND($I2619="Phản ánh",$E2619="Đã xử lý"),INDEX('Phản ánh'!$U$6:$U$505,MATCH($C2619,'Phản ánh'!$A$6:$A$505,0)),IF(AND($I2619="Công việc",OR($E2619="Hoàn thành",$E2619="Hoàn thành kỳ")),IF(INDEX('Kế hoạch'!$B$6:$B$305,$O2619)="Đột xuất",INDEX('Kế hoạch'!$AY$6:$AY$305,$O2619),IF(N($P2619)=0,"",IF(INT($B2619)&lt;$P2619,$P2619,IF($Q2619&gt;0,$P2619+ROUND((INT($B2619)-$P2619)/$Q2619,0)*$Q2619,IF($R2619&gt;0,EDATE($P2619,ROUND((DATEDIF($P2619,INT($B2619),"m")+(INT($B2619)-EDATE($P2619,DATEDIF($P2619,INT($B2619),"m")))/(EDATE($P2619,DATEDIF($P2619,INT($B2619),"m")+1)-EDATE($P2619,DATEDIF($P2619,INT($B2619),"m"))))/$R2619,0)*$R2619),$P2619))))),"")))</f>
      </c>
      <c r="M2619" s="223">
        <f>IF(OR($C2619="",N($L2619)=0,N($B2619)=0),"",IF(IF(MOD($L2619,1)=0,INT($B2619),$B2619)&lt;=$L2619,"Đúng hạn","Trễ hạn"))</f>
      </c>
      <c r="N2619" s="225">
        <f>IF($C2619="","",ROW())</f>
      </c>
      <c r="O2619" s="225">
        <f>IF($I2619="Công việc",MATCH($C2619,'Kế hoạch'!$A$6:$A$305,0),"")</f>
      </c>
      <c r="P2619" s="234">
        <f>IF($O2619="","",INDEX('Kế hoạch'!$I$6:$I$305,$O2619))</f>
      </c>
      <c r="Q2619" s="225">
        <f>IF($O2619="","",INDEX('Kế hoạch'!$AJ$6:$AJ$305,$O2619))</f>
      </c>
      <c r="R2619" s="225">
        <f>IF($O2619="","",INDEX('Kế hoạch'!$AK$6:$AK$305,$O2619))</f>
      </c>
    </row>
    <row r="2620">
      <c r="A2620" s="223">
        <f>IF($C2620="","",COUNTIF($C$6:$C2620,"?*"))</f>
      </c>
      <c r="B2620" s="217"/>
      <c r="C2620" s="216"/>
      <c r="D2620" s="240"/>
      <c r="E2620" s="218"/>
      <c r="F2620" s="218"/>
      <c r="G2620" s="218"/>
      <c r="H2620" s="219"/>
      <c r="I2620" s="223">
        <f>IF($C2620="","",IF(ISNUMBER(MATCH($C2620,'Phản ánh'!$A$6:$A$505,0)),"Phản ánh",IF(ISNUMBER(MATCH($C2620,'Kế hoạch'!$A$6:$A$305,0)),"Công việc","Mã chưa có")))</f>
      </c>
      <c r="J2620" s="221">
        <f>IF($I2620="Phản ánh",INDEX('Phản ánh'!$C$6:$C$505,MATCH($C2620,'Phản ánh'!$A$6:$A$505,0)),IF($I2620="Công việc",INDEX('Kế hoạch'!$C$6:$C$305,$O2620),""))</f>
      </c>
      <c r="K2620" s="221">
        <f>IF($I2620="Phản ánh",INDEX('Phản ánh'!$K$6:$K$505,MATCH($C2620,'Phản ánh'!$A$6:$A$505,0))&amp;"",IF($I2620="Công việc",INDEX('Kế hoạch'!$N$6:$N$305,$O2620)&amp;"",""))</f>
      </c>
      <c r="L2620" s="220">
        <f>IF(OR($C2620="",N($B2620)=0),"",IF(AND($I2620="Phản ánh",$E2620="Đã xử lý"),INDEX('Phản ánh'!$U$6:$U$505,MATCH($C2620,'Phản ánh'!$A$6:$A$505,0)),IF(AND($I2620="Công việc",OR($E2620="Hoàn thành",$E2620="Hoàn thành kỳ")),IF(INDEX('Kế hoạch'!$B$6:$B$305,$O2620)="Đột xuất",INDEX('Kế hoạch'!$AY$6:$AY$305,$O2620),IF(N($P2620)=0,"",IF(INT($B2620)&lt;$P2620,$P2620,IF($Q2620&gt;0,$P2620+ROUND((INT($B2620)-$P2620)/$Q2620,0)*$Q2620,IF($R2620&gt;0,EDATE($P2620,ROUND((DATEDIF($P2620,INT($B2620),"m")+(INT($B2620)-EDATE($P2620,DATEDIF($P2620,INT($B2620),"m")))/(EDATE($P2620,DATEDIF($P2620,INT($B2620),"m")+1)-EDATE($P2620,DATEDIF($P2620,INT($B2620),"m"))))/$R2620,0)*$R2620),$P2620))))),"")))</f>
      </c>
      <c r="M2620" s="223">
        <f>IF(OR($C2620="",N($L2620)=0,N($B2620)=0),"",IF(IF(MOD($L2620,1)=0,INT($B2620),$B2620)&lt;=$L2620,"Đúng hạn","Trễ hạn"))</f>
      </c>
      <c r="N2620" s="225">
        <f>IF($C2620="","",ROW())</f>
      </c>
      <c r="O2620" s="225">
        <f>IF($I2620="Công việc",MATCH($C2620,'Kế hoạch'!$A$6:$A$305,0),"")</f>
      </c>
      <c r="P2620" s="234">
        <f>IF($O2620="","",INDEX('Kế hoạch'!$I$6:$I$305,$O2620))</f>
      </c>
      <c r="Q2620" s="225">
        <f>IF($O2620="","",INDEX('Kế hoạch'!$AJ$6:$AJ$305,$O2620))</f>
      </c>
      <c r="R2620" s="225">
        <f>IF($O2620="","",INDEX('Kế hoạch'!$AK$6:$AK$305,$O2620))</f>
      </c>
    </row>
    <row r="2621">
      <c r="A2621" s="223">
        <f>IF($C2621="","",COUNTIF($C$6:$C2621,"?*"))</f>
      </c>
      <c r="B2621" s="217"/>
      <c r="C2621" s="216"/>
      <c r="D2621" s="240"/>
      <c r="E2621" s="218"/>
      <c r="F2621" s="218"/>
      <c r="G2621" s="218"/>
      <c r="H2621" s="219"/>
      <c r="I2621" s="223">
        <f>IF($C2621="","",IF(ISNUMBER(MATCH($C2621,'Phản ánh'!$A$6:$A$505,0)),"Phản ánh",IF(ISNUMBER(MATCH($C2621,'Kế hoạch'!$A$6:$A$305,0)),"Công việc","Mã chưa có")))</f>
      </c>
      <c r="J2621" s="221">
        <f>IF($I2621="Phản ánh",INDEX('Phản ánh'!$C$6:$C$505,MATCH($C2621,'Phản ánh'!$A$6:$A$505,0)),IF($I2621="Công việc",INDEX('Kế hoạch'!$C$6:$C$305,$O2621),""))</f>
      </c>
      <c r="K2621" s="221">
        <f>IF($I2621="Phản ánh",INDEX('Phản ánh'!$K$6:$K$505,MATCH($C2621,'Phản ánh'!$A$6:$A$505,0))&amp;"",IF($I2621="Công việc",INDEX('Kế hoạch'!$N$6:$N$305,$O2621)&amp;"",""))</f>
      </c>
      <c r="L2621" s="220">
        <f>IF(OR($C2621="",N($B2621)=0),"",IF(AND($I2621="Phản ánh",$E2621="Đã xử lý"),INDEX('Phản ánh'!$U$6:$U$505,MATCH($C2621,'Phản ánh'!$A$6:$A$505,0)),IF(AND($I2621="Công việc",OR($E2621="Hoàn thành",$E2621="Hoàn thành kỳ")),IF(INDEX('Kế hoạch'!$B$6:$B$305,$O2621)="Đột xuất",INDEX('Kế hoạch'!$AY$6:$AY$305,$O2621),IF(N($P2621)=0,"",IF(INT($B2621)&lt;$P2621,$P2621,IF($Q2621&gt;0,$P2621+ROUND((INT($B2621)-$P2621)/$Q2621,0)*$Q2621,IF($R2621&gt;0,EDATE($P2621,ROUND((DATEDIF($P2621,INT($B2621),"m")+(INT($B2621)-EDATE($P2621,DATEDIF($P2621,INT($B2621),"m")))/(EDATE($P2621,DATEDIF($P2621,INT($B2621),"m")+1)-EDATE($P2621,DATEDIF($P2621,INT($B2621),"m"))))/$R2621,0)*$R2621),$P2621))))),"")))</f>
      </c>
      <c r="M2621" s="223">
        <f>IF(OR($C2621="",N($L2621)=0,N($B2621)=0),"",IF(IF(MOD($L2621,1)=0,INT($B2621),$B2621)&lt;=$L2621,"Đúng hạn","Trễ hạn"))</f>
      </c>
      <c r="N2621" s="225">
        <f>IF($C2621="","",ROW())</f>
      </c>
      <c r="O2621" s="225">
        <f>IF($I2621="Công việc",MATCH($C2621,'Kế hoạch'!$A$6:$A$305,0),"")</f>
      </c>
      <c r="P2621" s="234">
        <f>IF($O2621="","",INDEX('Kế hoạch'!$I$6:$I$305,$O2621))</f>
      </c>
      <c r="Q2621" s="225">
        <f>IF($O2621="","",INDEX('Kế hoạch'!$AJ$6:$AJ$305,$O2621))</f>
      </c>
      <c r="R2621" s="225">
        <f>IF($O2621="","",INDEX('Kế hoạch'!$AK$6:$AK$305,$O2621))</f>
      </c>
    </row>
    <row r="2622">
      <c r="A2622" s="223">
        <f>IF($C2622="","",COUNTIF($C$6:$C2622,"?*"))</f>
      </c>
      <c r="B2622" s="217"/>
      <c r="C2622" s="216"/>
      <c r="D2622" s="240"/>
      <c r="E2622" s="218"/>
      <c r="F2622" s="218"/>
      <c r="G2622" s="218"/>
      <c r="H2622" s="219"/>
      <c r="I2622" s="223">
        <f>IF($C2622="","",IF(ISNUMBER(MATCH($C2622,'Phản ánh'!$A$6:$A$505,0)),"Phản ánh",IF(ISNUMBER(MATCH($C2622,'Kế hoạch'!$A$6:$A$305,0)),"Công việc","Mã chưa có")))</f>
      </c>
      <c r="J2622" s="221">
        <f>IF($I2622="Phản ánh",INDEX('Phản ánh'!$C$6:$C$505,MATCH($C2622,'Phản ánh'!$A$6:$A$505,0)),IF($I2622="Công việc",INDEX('Kế hoạch'!$C$6:$C$305,$O2622),""))</f>
      </c>
      <c r="K2622" s="221">
        <f>IF($I2622="Phản ánh",INDEX('Phản ánh'!$K$6:$K$505,MATCH($C2622,'Phản ánh'!$A$6:$A$505,0))&amp;"",IF($I2622="Công việc",INDEX('Kế hoạch'!$N$6:$N$305,$O2622)&amp;"",""))</f>
      </c>
      <c r="L2622" s="220">
        <f>IF(OR($C2622="",N($B2622)=0),"",IF(AND($I2622="Phản ánh",$E2622="Đã xử lý"),INDEX('Phản ánh'!$U$6:$U$505,MATCH($C2622,'Phản ánh'!$A$6:$A$505,0)),IF(AND($I2622="Công việc",OR($E2622="Hoàn thành",$E2622="Hoàn thành kỳ")),IF(INDEX('Kế hoạch'!$B$6:$B$305,$O2622)="Đột xuất",INDEX('Kế hoạch'!$AY$6:$AY$305,$O2622),IF(N($P2622)=0,"",IF(INT($B2622)&lt;$P2622,$P2622,IF($Q2622&gt;0,$P2622+ROUND((INT($B2622)-$P2622)/$Q2622,0)*$Q2622,IF($R2622&gt;0,EDATE($P2622,ROUND((DATEDIF($P2622,INT($B2622),"m")+(INT($B2622)-EDATE($P2622,DATEDIF($P2622,INT($B2622),"m")))/(EDATE($P2622,DATEDIF($P2622,INT($B2622),"m")+1)-EDATE($P2622,DATEDIF($P2622,INT($B2622),"m"))))/$R2622,0)*$R2622),$P2622))))),"")))</f>
      </c>
      <c r="M2622" s="223">
        <f>IF(OR($C2622="",N($L2622)=0,N($B2622)=0),"",IF(IF(MOD($L2622,1)=0,INT($B2622),$B2622)&lt;=$L2622,"Đúng hạn","Trễ hạn"))</f>
      </c>
      <c r="N2622" s="225">
        <f>IF($C2622="","",ROW())</f>
      </c>
      <c r="O2622" s="225">
        <f>IF($I2622="Công việc",MATCH($C2622,'Kế hoạch'!$A$6:$A$305,0),"")</f>
      </c>
      <c r="P2622" s="234">
        <f>IF($O2622="","",INDEX('Kế hoạch'!$I$6:$I$305,$O2622))</f>
      </c>
      <c r="Q2622" s="225">
        <f>IF($O2622="","",INDEX('Kế hoạch'!$AJ$6:$AJ$305,$O2622))</f>
      </c>
      <c r="R2622" s="225">
        <f>IF($O2622="","",INDEX('Kế hoạch'!$AK$6:$AK$305,$O2622))</f>
      </c>
    </row>
    <row r="2623">
      <c r="A2623" s="223">
        <f>IF($C2623="","",COUNTIF($C$6:$C2623,"?*"))</f>
      </c>
      <c r="B2623" s="217"/>
      <c r="C2623" s="216"/>
      <c r="D2623" s="240"/>
      <c r="E2623" s="218"/>
      <c r="F2623" s="218"/>
      <c r="G2623" s="218"/>
      <c r="H2623" s="219"/>
      <c r="I2623" s="223">
        <f>IF($C2623="","",IF(ISNUMBER(MATCH($C2623,'Phản ánh'!$A$6:$A$505,0)),"Phản ánh",IF(ISNUMBER(MATCH($C2623,'Kế hoạch'!$A$6:$A$305,0)),"Công việc","Mã chưa có")))</f>
      </c>
      <c r="J2623" s="221">
        <f>IF($I2623="Phản ánh",INDEX('Phản ánh'!$C$6:$C$505,MATCH($C2623,'Phản ánh'!$A$6:$A$505,0)),IF($I2623="Công việc",INDEX('Kế hoạch'!$C$6:$C$305,$O2623),""))</f>
      </c>
      <c r="K2623" s="221">
        <f>IF($I2623="Phản ánh",INDEX('Phản ánh'!$K$6:$K$505,MATCH($C2623,'Phản ánh'!$A$6:$A$505,0))&amp;"",IF($I2623="Công việc",INDEX('Kế hoạch'!$N$6:$N$305,$O2623)&amp;"",""))</f>
      </c>
      <c r="L2623" s="220">
        <f>IF(OR($C2623="",N($B2623)=0),"",IF(AND($I2623="Phản ánh",$E2623="Đã xử lý"),INDEX('Phản ánh'!$U$6:$U$505,MATCH($C2623,'Phản ánh'!$A$6:$A$505,0)),IF(AND($I2623="Công việc",OR($E2623="Hoàn thành",$E2623="Hoàn thành kỳ")),IF(INDEX('Kế hoạch'!$B$6:$B$305,$O2623)="Đột xuất",INDEX('Kế hoạch'!$AY$6:$AY$305,$O2623),IF(N($P2623)=0,"",IF(INT($B2623)&lt;$P2623,$P2623,IF($Q2623&gt;0,$P2623+ROUND((INT($B2623)-$P2623)/$Q2623,0)*$Q2623,IF($R2623&gt;0,EDATE($P2623,ROUND((DATEDIF($P2623,INT($B2623),"m")+(INT($B2623)-EDATE($P2623,DATEDIF($P2623,INT($B2623),"m")))/(EDATE($P2623,DATEDIF($P2623,INT($B2623),"m")+1)-EDATE($P2623,DATEDIF($P2623,INT($B2623),"m"))))/$R2623,0)*$R2623),$P2623))))),"")))</f>
      </c>
      <c r="M2623" s="223">
        <f>IF(OR($C2623="",N($L2623)=0,N($B2623)=0),"",IF(IF(MOD($L2623,1)=0,INT($B2623),$B2623)&lt;=$L2623,"Đúng hạn","Trễ hạn"))</f>
      </c>
      <c r="N2623" s="225">
        <f>IF($C2623="","",ROW())</f>
      </c>
      <c r="O2623" s="225">
        <f>IF($I2623="Công việc",MATCH($C2623,'Kế hoạch'!$A$6:$A$305,0),"")</f>
      </c>
      <c r="P2623" s="234">
        <f>IF($O2623="","",INDEX('Kế hoạch'!$I$6:$I$305,$O2623))</f>
      </c>
      <c r="Q2623" s="225">
        <f>IF($O2623="","",INDEX('Kế hoạch'!$AJ$6:$AJ$305,$O2623))</f>
      </c>
      <c r="R2623" s="225">
        <f>IF($O2623="","",INDEX('Kế hoạch'!$AK$6:$AK$305,$O2623))</f>
      </c>
    </row>
    <row r="2624">
      <c r="A2624" s="223">
        <f>IF($C2624="","",COUNTIF($C$6:$C2624,"?*"))</f>
      </c>
      <c r="B2624" s="217"/>
      <c r="C2624" s="216"/>
      <c r="D2624" s="240"/>
      <c r="E2624" s="218"/>
      <c r="F2624" s="218"/>
      <c r="G2624" s="218"/>
      <c r="H2624" s="219"/>
      <c r="I2624" s="223">
        <f>IF($C2624="","",IF(ISNUMBER(MATCH($C2624,'Phản ánh'!$A$6:$A$505,0)),"Phản ánh",IF(ISNUMBER(MATCH($C2624,'Kế hoạch'!$A$6:$A$305,0)),"Công việc","Mã chưa có")))</f>
      </c>
      <c r="J2624" s="221">
        <f>IF($I2624="Phản ánh",INDEX('Phản ánh'!$C$6:$C$505,MATCH($C2624,'Phản ánh'!$A$6:$A$505,0)),IF($I2624="Công việc",INDEX('Kế hoạch'!$C$6:$C$305,$O2624),""))</f>
      </c>
      <c r="K2624" s="221">
        <f>IF($I2624="Phản ánh",INDEX('Phản ánh'!$K$6:$K$505,MATCH($C2624,'Phản ánh'!$A$6:$A$505,0))&amp;"",IF($I2624="Công việc",INDEX('Kế hoạch'!$N$6:$N$305,$O2624)&amp;"",""))</f>
      </c>
      <c r="L2624" s="220">
        <f>IF(OR($C2624="",N($B2624)=0),"",IF(AND($I2624="Phản ánh",$E2624="Đã xử lý"),INDEX('Phản ánh'!$U$6:$U$505,MATCH($C2624,'Phản ánh'!$A$6:$A$505,0)),IF(AND($I2624="Công việc",OR($E2624="Hoàn thành",$E2624="Hoàn thành kỳ")),IF(INDEX('Kế hoạch'!$B$6:$B$305,$O2624)="Đột xuất",INDEX('Kế hoạch'!$AY$6:$AY$305,$O2624),IF(N($P2624)=0,"",IF(INT($B2624)&lt;$P2624,$P2624,IF($Q2624&gt;0,$P2624+ROUND((INT($B2624)-$P2624)/$Q2624,0)*$Q2624,IF($R2624&gt;0,EDATE($P2624,ROUND((DATEDIF($P2624,INT($B2624),"m")+(INT($B2624)-EDATE($P2624,DATEDIF($P2624,INT($B2624),"m")))/(EDATE($P2624,DATEDIF($P2624,INT($B2624),"m")+1)-EDATE($P2624,DATEDIF($P2624,INT($B2624),"m"))))/$R2624,0)*$R2624),$P2624))))),"")))</f>
      </c>
      <c r="M2624" s="223">
        <f>IF(OR($C2624="",N($L2624)=0,N($B2624)=0),"",IF(IF(MOD($L2624,1)=0,INT($B2624),$B2624)&lt;=$L2624,"Đúng hạn","Trễ hạn"))</f>
      </c>
      <c r="N2624" s="225">
        <f>IF($C2624="","",ROW())</f>
      </c>
      <c r="O2624" s="225">
        <f>IF($I2624="Công việc",MATCH($C2624,'Kế hoạch'!$A$6:$A$305,0),"")</f>
      </c>
      <c r="P2624" s="234">
        <f>IF($O2624="","",INDEX('Kế hoạch'!$I$6:$I$305,$O2624))</f>
      </c>
      <c r="Q2624" s="225">
        <f>IF($O2624="","",INDEX('Kế hoạch'!$AJ$6:$AJ$305,$O2624))</f>
      </c>
      <c r="R2624" s="225">
        <f>IF($O2624="","",INDEX('Kế hoạch'!$AK$6:$AK$305,$O2624))</f>
      </c>
    </row>
    <row r="2625">
      <c r="A2625" s="223">
        <f>IF($C2625="","",COUNTIF($C$6:$C2625,"?*"))</f>
      </c>
      <c r="B2625" s="217"/>
      <c r="C2625" s="216"/>
      <c r="D2625" s="240"/>
      <c r="E2625" s="218"/>
      <c r="F2625" s="218"/>
      <c r="G2625" s="218"/>
      <c r="H2625" s="219"/>
      <c r="I2625" s="223">
        <f>IF($C2625="","",IF(ISNUMBER(MATCH($C2625,'Phản ánh'!$A$6:$A$505,0)),"Phản ánh",IF(ISNUMBER(MATCH($C2625,'Kế hoạch'!$A$6:$A$305,0)),"Công việc","Mã chưa có")))</f>
      </c>
      <c r="J2625" s="221">
        <f>IF($I2625="Phản ánh",INDEX('Phản ánh'!$C$6:$C$505,MATCH($C2625,'Phản ánh'!$A$6:$A$505,0)),IF($I2625="Công việc",INDEX('Kế hoạch'!$C$6:$C$305,$O2625),""))</f>
      </c>
      <c r="K2625" s="221">
        <f>IF($I2625="Phản ánh",INDEX('Phản ánh'!$K$6:$K$505,MATCH($C2625,'Phản ánh'!$A$6:$A$505,0))&amp;"",IF($I2625="Công việc",INDEX('Kế hoạch'!$N$6:$N$305,$O2625)&amp;"",""))</f>
      </c>
      <c r="L2625" s="220">
        <f>IF(OR($C2625="",N($B2625)=0),"",IF(AND($I2625="Phản ánh",$E2625="Đã xử lý"),INDEX('Phản ánh'!$U$6:$U$505,MATCH($C2625,'Phản ánh'!$A$6:$A$505,0)),IF(AND($I2625="Công việc",OR($E2625="Hoàn thành",$E2625="Hoàn thành kỳ")),IF(INDEX('Kế hoạch'!$B$6:$B$305,$O2625)="Đột xuất",INDEX('Kế hoạch'!$AY$6:$AY$305,$O2625),IF(N($P2625)=0,"",IF(INT($B2625)&lt;$P2625,$P2625,IF($Q2625&gt;0,$P2625+ROUND((INT($B2625)-$P2625)/$Q2625,0)*$Q2625,IF($R2625&gt;0,EDATE($P2625,ROUND((DATEDIF($P2625,INT($B2625),"m")+(INT($B2625)-EDATE($P2625,DATEDIF($P2625,INT($B2625),"m")))/(EDATE($P2625,DATEDIF($P2625,INT($B2625),"m")+1)-EDATE($P2625,DATEDIF($P2625,INT($B2625),"m"))))/$R2625,0)*$R2625),$P2625))))),"")))</f>
      </c>
      <c r="M2625" s="223">
        <f>IF(OR($C2625="",N($L2625)=0,N($B2625)=0),"",IF(IF(MOD($L2625,1)=0,INT($B2625),$B2625)&lt;=$L2625,"Đúng hạn","Trễ hạn"))</f>
      </c>
      <c r="N2625" s="225">
        <f>IF($C2625="","",ROW())</f>
      </c>
      <c r="O2625" s="225">
        <f>IF($I2625="Công việc",MATCH($C2625,'Kế hoạch'!$A$6:$A$305,0),"")</f>
      </c>
      <c r="P2625" s="234">
        <f>IF($O2625="","",INDEX('Kế hoạch'!$I$6:$I$305,$O2625))</f>
      </c>
      <c r="Q2625" s="225">
        <f>IF($O2625="","",INDEX('Kế hoạch'!$AJ$6:$AJ$305,$O2625))</f>
      </c>
      <c r="R2625" s="225">
        <f>IF($O2625="","",INDEX('Kế hoạch'!$AK$6:$AK$305,$O2625))</f>
      </c>
    </row>
    <row r="2626">
      <c r="A2626" s="223">
        <f>IF($C2626="","",COUNTIF($C$6:$C2626,"?*"))</f>
      </c>
      <c r="B2626" s="217"/>
      <c r="C2626" s="216"/>
      <c r="D2626" s="240"/>
      <c r="E2626" s="218"/>
      <c r="F2626" s="218"/>
      <c r="G2626" s="218"/>
      <c r="H2626" s="219"/>
      <c r="I2626" s="223">
        <f>IF($C2626="","",IF(ISNUMBER(MATCH($C2626,'Phản ánh'!$A$6:$A$505,0)),"Phản ánh",IF(ISNUMBER(MATCH($C2626,'Kế hoạch'!$A$6:$A$305,0)),"Công việc","Mã chưa có")))</f>
      </c>
      <c r="J2626" s="221">
        <f>IF($I2626="Phản ánh",INDEX('Phản ánh'!$C$6:$C$505,MATCH($C2626,'Phản ánh'!$A$6:$A$505,0)),IF($I2626="Công việc",INDEX('Kế hoạch'!$C$6:$C$305,$O2626),""))</f>
      </c>
      <c r="K2626" s="221">
        <f>IF($I2626="Phản ánh",INDEX('Phản ánh'!$K$6:$K$505,MATCH($C2626,'Phản ánh'!$A$6:$A$505,0))&amp;"",IF($I2626="Công việc",INDEX('Kế hoạch'!$N$6:$N$305,$O2626)&amp;"",""))</f>
      </c>
      <c r="L2626" s="220">
        <f>IF(OR($C2626="",N($B2626)=0),"",IF(AND($I2626="Phản ánh",$E2626="Đã xử lý"),INDEX('Phản ánh'!$U$6:$U$505,MATCH($C2626,'Phản ánh'!$A$6:$A$505,0)),IF(AND($I2626="Công việc",OR($E2626="Hoàn thành",$E2626="Hoàn thành kỳ")),IF(INDEX('Kế hoạch'!$B$6:$B$305,$O2626)="Đột xuất",INDEX('Kế hoạch'!$AY$6:$AY$305,$O2626),IF(N($P2626)=0,"",IF(INT($B2626)&lt;$P2626,$P2626,IF($Q2626&gt;0,$P2626+ROUND((INT($B2626)-$P2626)/$Q2626,0)*$Q2626,IF($R2626&gt;0,EDATE($P2626,ROUND((DATEDIF($P2626,INT($B2626),"m")+(INT($B2626)-EDATE($P2626,DATEDIF($P2626,INT($B2626),"m")))/(EDATE($P2626,DATEDIF($P2626,INT($B2626),"m")+1)-EDATE($P2626,DATEDIF($P2626,INT($B2626),"m"))))/$R2626,0)*$R2626),$P2626))))),"")))</f>
      </c>
      <c r="M2626" s="223">
        <f>IF(OR($C2626="",N($L2626)=0,N($B2626)=0),"",IF(IF(MOD($L2626,1)=0,INT($B2626),$B2626)&lt;=$L2626,"Đúng hạn","Trễ hạn"))</f>
      </c>
      <c r="N2626" s="225">
        <f>IF($C2626="","",ROW())</f>
      </c>
      <c r="O2626" s="225">
        <f>IF($I2626="Công việc",MATCH($C2626,'Kế hoạch'!$A$6:$A$305,0),"")</f>
      </c>
      <c r="P2626" s="234">
        <f>IF($O2626="","",INDEX('Kế hoạch'!$I$6:$I$305,$O2626))</f>
      </c>
      <c r="Q2626" s="225">
        <f>IF($O2626="","",INDEX('Kế hoạch'!$AJ$6:$AJ$305,$O2626))</f>
      </c>
      <c r="R2626" s="225">
        <f>IF($O2626="","",INDEX('Kế hoạch'!$AK$6:$AK$305,$O2626))</f>
      </c>
    </row>
    <row r="2627">
      <c r="A2627" s="223">
        <f>IF($C2627="","",COUNTIF($C$6:$C2627,"?*"))</f>
      </c>
      <c r="B2627" s="217"/>
      <c r="C2627" s="216"/>
      <c r="D2627" s="240"/>
      <c r="E2627" s="218"/>
      <c r="F2627" s="218"/>
      <c r="G2627" s="218"/>
      <c r="H2627" s="219"/>
      <c r="I2627" s="223">
        <f>IF($C2627="","",IF(ISNUMBER(MATCH($C2627,'Phản ánh'!$A$6:$A$505,0)),"Phản ánh",IF(ISNUMBER(MATCH($C2627,'Kế hoạch'!$A$6:$A$305,0)),"Công việc","Mã chưa có")))</f>
      </c>
      <c r="J2627" s="221">
        <f>IF($I2627="Phản ánh",INDEX('Phản ánh'!$C$6:$C$505,MATCH($C2627,'Phản ánh'!$A$6:$A$505,0)),IF($I2627="Công việc",INDEX('Kế hoạch'!$C$6:$C$305,$O2627),""))</f>
      </c>
      <c r="K2627" s="221">
        <f>IF($I2627="Phản ánh",INDEX('Phản ánh'!$K$6:$K$505,MATCH($C2627,'Phản ánh'!$A$6:$A$505,0))&amp;"",IF($I2627="Công việc",INDEX('Kế hoạch'!$N$6:$N$305,$O2627)&amp;"",""))</f>
      </c>
      <c r="L2627" s="220">
        <f>IF(OR($C2627="",N($B2627)=0),"",IF(AND($I2627="Phản ánh",$E2627="Đã xử lý"),INDEX('Phản ánh'!$U$6:$U$505,MATCH($C2627,'Phản ánh'!$A$6:$A$505,0)),IF(AND($I2627="Công việc",OR($E2627="Hoàn thành",$E2627="Hoàn thành kỳ")),IF(INDEX('Kế hoạch'!$B$6:$B$305,$O2627)="Đột xuất",INDEX('Kế hoạch'!$AY$6:$AY$305,$O2627),IF(N($P2627)=0,"",IF(INT($B2627)&lt;$P2627,$P2627,IF($Q2627&gt;0,$P2627+ROUND((INT($B2627)-$P2627)/$Q2627,0)*$Q2627,IF($R2627&gt;0,EDATE($P2627,ROUND((DATEDIF($P2627,INT($B2627),"m")+(INT($B2627)-EDATE($P2627,DATEDIF($P2627,INT($B2627),"m")))/(EDATE($P2627,DATEDIF($P2627,INT($B2627),"m")+1)-EDATE($P2627,DATEDIF($P2627,INT($B2627),"m"))))/$R2627,0)*$R2627),$P2627))))),"")))</f>
      </c>
      <c r="M2627" s="223">
        <f>IF(OR($C2627="",N($L2627)=0,N($B2627)=0),"",IF(IF(MOD($L2627,1)=0,INT($B2627),$B2627)&lt;=$L2627,"Đúng hạn","Trễ hạn"))</f>
      </c>
      <c r="N2627" s="225">
        <f>IF($C2627="","",ROW())</f>
      </c>
      <c r="O2627" s="225">
        <f>IF($I2627="Công việc",MATCH($C2627,'Kế hoạch'!$A$6:$A$305,0),"")</f>
      </c>
      <c r="P2627" s="234">
        <f>IF($O2627="","",INDEX('Kế hoạch'!$I$6:$I$305,$O2627))</f>
      </c>
      <c r="Q2627" s="225">
        <f>IF($O2627="","",INDEX('Kế hoạch'!$AJ$6:$AJ$305,$O2627))</f>
      </c>
      <c r="R2627" s="225">
        <f>IF($O2627="","",INDEX('Kế hoạch'!$AK$6:$AK$305,$O2627))</f>
      </c>
    </row>
    <row r="2628">
      <c r="A2628" s="223">
        <f>IF($C2628="","",COUNTIF($C$6:$C2628,"?*"))</f>
      </c>
      <c r="B2628" s="217"/>
      <c r="C2628" s="216"/>
      <c r="D2628" s="240"/>
      <c r="E2628" s="218"/>
      <c r="F2628" s="218"/>
      <c r="G2628" s="218"/>
      <c r="H2628" s="219"/>
      <c r="I2628" s="223">
        <f>IF($C2628="","",IF(ISNUMBER(MATCH($C2628,'Phản ánh'!$A$6:$A$505,0)),"Phản ánh",IF(ISNUMBER(MATCH($C2628,'Kế hoạch'!$A$6:$A$305,0)),"Công việc","Mã chưa có")))</f>
      </c>
      <c r="J2628" s="221">
        <f>IF($I2628="Phản ánh",INDEX('Phản ánh'!$C$6:$C$505,MATCH($C2628,'Phản ánh'!$A$6:$A$505,0)),IF($I2628="Công việc",INDEX('Kế hoạch'!$C$6:$C$305,$O2628),""))</f>
      </c>
      <c r="K2628" s="221">
        <f>IF($I2628="Phản ánh",INDEX('Phản ánh'!$K$6:$K$505,MATCH($C2628,'Phản ánh'!$A$6:$A$505,0))&amp;"",IF($I2628="Công việc",INDEX('Kế hoạch'!$N$6:$N$305,$O2628)&amp;"",""))</f>
      </c>
      <c r="L2628" s="220">
        <f>IF(OR($C2628="",N($B2628)=0),"",IF(AND($I2628="Phản ánh",$E2628="Đã xử lý"),INDEX('Phản ánh'!$U$6:$U$505,MATCH($C2628,'Phản ánh'!$A$6:$A$505,0)),IF(AND($I2628="Công việc",OR($E2628="Hoàn thành",$E2628="Hoàn thành kỳ")),IF(INDEX('Kế hoạch'!$B$6:$B$305,$O2628)="Đột xuất",INDEX('Kế hoạch'!$AY$6:$AY$305,$O2628),IF(N($P2628)=0,"",IF(INT($B2628)&lt;$P2628,$P2628,IF($Q2628&gt;0,$P2628+ROUND((INT($B2628)-$P2628)/$Q2628,0)*$Q2628,IF($R2628&gt;0,EDATE($P2628,ROUND((DATEDIF($P2628,INT($B2628),"m")+(INT($B2628)-EDATE($P2628,DATEDIF($P2628,INT($B2628),"m")))/(EDATE($P2628,DATEDIF($P2628,INT($B2628),"m")+1)-EDATE($P2628,DATEDIF($P2628,INT($B2628),"m"))))/$R2628,0)*$R2628),$P2628))))),"")))</f>
      </c>
      <c r="M2628" s="223">
        <f>IF(OR($C2628="",N($L2628)=0,N($B2628)=0),"",IF(IF(MOD($L2628,1)=0,INT($B2628),$B2628)&lt;=$L2628,"Đúng hạn","Trễ hạn"))</f>
      </c>
      <c r="N2628" s="225">
        <f>IF($C2628="","",ROW())</f>
      </c>
      <c r="O2628" s="225">
        <f>IF($I2628="Công việc",MATCH($C2628,'Kế hoạch'!$A$6:$A$305,0),"")</f>
      </c>
      <c r="P2628" s="234">
        <f>IF($O2628="","",INDEX('Kế hoạch'!$I$6:$I$305,$O2628))</f>
      </c>
      <c r="Q2628" s="225">
        <f>IF($O2628="","",INDEX('Kế hoạch'!$AJ$6:$AJ$305,$O2628))</f>
      </c>
      <c r="R2628" s="225">
        <f>IF($O2628="","",INDEX('Kế hoạch'!$AK$6:$AK$305,$O2628))</f>
      </c>
    </row>
    <row r="2629">
      <c r="A2629" s="223">
        <f>IF($C2629="","",COUNTIF($C$6:$C2629,"?*"))</f>
      </c>
      <c r="B2629" s="217"/>
      <c r="C2629" s="216"/>
      <c r="D2629" s="240"/>
      <c r="E2629" s="218"/>
      <c r="F2629" s="218"/>
      <c r="G2629" s="218"/>
      <c r="H2629" s="219"/>
      <c r="I2629" s="223">
        <f>IF($C2629="","",IF(ISNUMBER(MATCH($C2629,'Phản ánh'!$A$6:$A$505,0)),"Phản ánh",IF(ISNUMBER(MATCH($C2629,'Kế hoạch'!$A$6:$A$305,0)),"Công việc","Mã chưa có")))</f>
      </c>
      <c r="J2629" s="221">
        <f>IF($I2629="Phản ánh",INDEX('Phản ánh'!$C$6:$C$505,MATCH($C2629,'Phản ánh'!$A$6:$A$505,0)),IF($I2629="Công việc",INDEX('Kế hoạch'!$C$6:$C$305,$O2629),""))</f>
      </c>
      <c r="K2629" s="221">
        <f>IF($I2629="Phản ánh",INDEX('Phản ánh'!$K$6:$K$505,MATCH($C2629,'Phản ánh'!$A$6:$A$505,0))&amp;"",IF($I2629="Công việc",INDEX('Kế hoạch'!$N$6:$N$305,$O2629)&amp;"",""))</f>
      </c>
      <c r="L2629" s="220">
        <f>IF(OR($C2629="",N($B2629)=0),"",IF(AND($I2629="Phản ánh",$E2629="Đã xử lý"),INDEX('Phản ánh'!$U$6:$U$505,MATCH($C2629,'Phản ánh'!$A$6:$A$505,0)),IF(AND($I2629="Công việc",OR($E2629="Hoàn thành",$E2629="Hoàn thành kỳ")),IF(INDEX('Kế hoạch'!$B$6:$B$305,$O2629)="Đột xuất",INDEX('Kế hoạch'!$AY$6:$AY$305,$O2629),IF(N($P2629)=0,"",IF(INT($B2629)&lt;$P2629,$P2629,IF($Q2629&gt;0,$P2629+ROUND((INT($B2629)-$P2629)/$Q2629,0)*$Q2629,IF($R2629&gt;0,EDATE($P2629,ROUND((DATEDIF($P2629,INT($B2629),"m")+(INT($B2629)-EDATE($P2629,DATEDIF($P2629,INT($B2629),"m")))/(EDATE($P2629,DATEDIF($P2629,INT($B2629),"m")+1)-EDATE($P2629,DATEDIF($P2629,INT($B2629),"m"))))/$R2629,0)*$R2629),$P2629))))),"")))</f>
      </c>
      <c r="M2629" s="223">
        <f>IF(OR($C2629="",N($L2629)=0,N($B2629)=0),"",IF(IF(MOD($L2629,1)=0,INT($B2629),$B2629)&lt;=$L2629,"Đúng hạn","Trễ hạn"))</f>
      </c>
      <c r="N2629" s="225">
        <f>IF($C2629="","",ROW())</f>
      </c>
      <c r="O2629" s="225">
        <f>IF($I2629="Công việc",MATCH($C2629,'Kế hoạch'!$A$6:$A$305,0),"")</f>
      </c>
      <c r="P2629" s="234">
        <f>IF($O2629="","",INDEX('Kế hoạch'!$I$6:$I$305,$O2629))</f>
      </c>
      <c r="Q2629" s="225">
        <f>IF($O2629="","",INDEX('Kế hoạch'!$AJ$6:$AJ$305,$O2629))</f>
      </c>
      <c r="R2629" s="225">
        <f>IF($O2629="","",INDEX('Kế hoạch'!$AK$6:$AK$305,$O2629))</f>
      </c>
    </row>
    <row r="2630">
      <c r="A2630" s="223">
        <f>IF($C2630="","",COUNTIF($C$6:$C2630,"?*"))</f>
      </c>
      <c r="B2630" s="217"/>
      <c r="C2630" s="216"/>
      <c r="D2630" s="240"/>
      <c r="E2630" s="218"/>
      <c r="F2630" s="218"/>
      <c r="G2630" s="218"/>
      <c r="H2630" s="219"/>
      <c r="I2630" s="223">
        <f>IF($C2630="","",IF(ISNUMBER(MATCH($C2630,'Phản ánh'!$A$6:$A$505,0)),"Phản ánh",IF(ISNUMBER(MATCH($C2630,'Kế hoạch'!$A$6:$A$305,0)),"Công việc","Mã chưa có")))</f>
      </c>
      <c r="J2630" s="221">
        <f>IF($I2630="Phản ánh",INDEX('Phản ánh'!$C$6:$C$505,MATCH($C2630,'Phản ánh'!$A$6:$A$505,0)),IF($I2630="Công việc",INDEX('Kế hoạch'!$C$6:$C$305,$O2630),""))</f>
      </c>
      <c r="K2630" s="221">
        <f>IF($I2630="Phản ánh",INDEX('Phản ánh'!$K$6:$K$505,MATCH($C2630,'Phản ánh'!$A$6:$A$505,0))&amp;"",IF($I2630="Công việc",INDEX('Kế hoạch'!$N$6:$N$305,$O2630)&amp;"",""))</f>
      </c>
      <c r="L2630" s="220">
        <f>IF(OR($C2630="",N($B2630)=0),"",IF(AND($I2630="Phản ánh",$E2630="Đã xử lý"),INDEX('Phản ánh'!$U$6:$U$505,MATCH($C2630,'Phản ánh'!$A$6:$A$505,0)),IF(AND($I2630="Công việc",OR($E2630="Hoàn thành",$E2630="Hoàn thành kỳ")),IF(INDEX('Kế hoạch'!$B$6:$B$305,$O2630)="Đột xuất",INDEX('Kế hoạch'!$AY$6:$AY$305,$O2630),IF(N($P2630)=0,"",IF(INT($B2630)&lt;$P2630,$P2630,IF($Q2630&gt;0,$P2630+ROUND((INT($B2630)-$P2630)/$Q2630,0)*$Q2630,IF($R2630&gt;0,EDATE($P2630,ROUND((DATEDIF($P2630,INT($B2630),"m")+(INT($B2630)-EDATE($P2630,DATEDIF($P2630,INT($B2630),"m")))/(EDATE($P2630,DATEDIF($P2630,INT($B2630),"m")+1)-EDATE($P2630,DATEDIF($P2630,INT($B2630),"m"))))/$R2630,0)*$R2630),$P2630))))),"")))</f>
      </c>
      <c r="M2630" s="223">
        <f>IF(OR($C2630="",N($L2630)=0,N($B2630)=0),"",IF(IF(MOD($L2630,1)=0,INT($B2630),$B2630)&lt;=$L2630,"Đúng hạn","Trễ hạn"))</f>
      </c>
      <c r="N2630" s="225">
        <f>IF($C2630="","",ROW())</f>
      </c>
      <c r="O2630" s="225">
        <f>IF($I2630="Công việc",MATCH($C2630,'Kế hoạch'!$A$6:$A$305,0),"")</f>
      </c>
      <c r="P2630" s="234">
        <f>IF($O2630="","",INDEX('Kế hoạch'!$I$6:$I$305,$O2630))</f>
      </c>
      <c r="Q2630" s="225">
        <f>IF($O2630="","",INDEX('Kế hoạch'!$AJ$6:$AJ$305,$O2630))</f>
      </c>
      <c r="R2630" s="225">
        <f>IF($O2630="","",INDEX('Kế hoạch'!$AK$6:$AK$305,$O2630))</f>
      </c>
    </row>
    <row r="2631">
      <c r="A2631" s="223">
        <f>IF($C2631="","",COUNTIF($C$6:$C2631,"?*"))</f>
      </c>
      <c r="B2631" s="217"/>
      <c r="C2631" s="216"/>
      <c r="D2631" s="240"/>
      <c r="E2631" s="218"/>
      <c r="F2631" s="218"/>
      <c r="G2631" s="218"/>
      <c r="H2631" s="219"/>
      <c r="I2631" s="223">
        <f>IF($C2631="","",IF(ISNUMBER(MATCH($C2631,'Phản ánh'!$A$6:$A$505,0)),"Phản ánh",IF(ISNUMBER(MATCH($C2631,'Kế hoạch'!$A$6:$A$305,0)),"Công việc","Mã chưa có")))</f>
      </c>
      <c r="J2631" s="221">
        <f>IF($I2631="Phản ánh",INDEX('Phản ánh'!$C$6:$C$505,MATCH($C2631,'Phản ánh'!$A$6:$A$505,0)),IF($I2631="Công việc",INDEX('Kế hoạch'!$C$6:$C$305,$O2631),""))</f>
      </c>
      <c r="K2631" s="221">
        <f>IF($I2631="Phản ánh",INDEX('Phản ánh'!$K$6:$K$505,MATCH($C2631,'Phản ánh'!$A$6:$A$505,0))&amp;"",IF($I2631="Công việc",INDEX('Kế hoạch'!$N$6:$N$305,$O2631)&amp;"",""))</f>
      </c>
      <c r="L2631" s="220">
        <f>IF(OR($C2631="",N($B2631)=0),"",IF(AND($I2631="Phản ánh",$E2631="Đã xử lý"),INDEX('Phản ánh'!$U$6:$U$505,MATCH($C2631,'Phản ánh'!$A$6:$A$505,0)),IF(AND($I2631="Công việc",OR($E2631="Hoàn thành",$E2631="Hoàn thành kỳ")),IF(INDEX('Kế hoạch'!$B$6:$B$305,$O2631)="Đột xuất",INDEX('Kế hoạch'!$AY$6:$AY$305,$O2631),IF(N($P2631)=0,"",IF(INT($B2631)&lt;$P2631,$P2631,IF($Q2631&gt;0,$P2631+ROUND((INT($B2631)-$P2631)/$Q2631,0)*$Q2631,IF($R2631&gt;0,EDATE($P2631,ROUND((DATEDIF($P2631,INT($B2631),"m")+(INT($B2631)-EDATE($P2631,DATEDIF($P2631,INT($B2631),"m")))/(EDATE($P2631,DATEDIF($P2631,INT($B2631),"m")+1)-EDATE($P2631,DATEDIF($P2631,INT($B2631),"m"))))/$R2631,0)*$R2631),$P2631))))),"")))</f>
      </c>
      <c r="M2631" s="223">
        <f>IF(OR($C2631="",N($L2631)=0,N($B2631)=0),"",IF(IF(MOD($L2631,1)=0,INT($B2631),$B2631)&lt;=$L2631,"Đúng hạn","Trễ hạn"))</f>
      </c>
      <c r="N2631" s="225">
        <f>IF($C2631="","",ROW())</f>
      </c>
      <c r="O2631" s="225">
        <f>IF($I2631="Công việc",MATCH($C2631,'Kế hoạch'!$A$6:$A$305,0),"")</f>
      </c>
      <c r="P2631" s="234">
        <f>IF($O2631="","",INDEX('Kế hoạch'!$I$6:$I$305,$O2631))</f>
      </c>
      <c r="Q2631" s="225">
        <f>IF($O2631="","",INDEX('Kế hoạch'!$AJ$6:$AJ$305,$O2631))</f>
      </c>
      <c r="R2631" s="225">
        <f>IF($O2631="","",INDEX('Kế hoạch'!$AK$6:$AK$305,$O2631))</f>
      </c>
    </row>
    <row r="2632">
      <c r="A2632" s="223">
        <f>IF($C2632="","",COUNTIF($C$6:$C2632,"?*"))</f>
      </c>
      <c r="B2632" s="217"/>
      <c r="C2632" s="216"/>
      <c r="D2632" s="240"/>
      <c r="E2632" s="218"/>
      <c r="F2632" s="218"/>
      <c r="G2632" s="218"/>
      <c r="H2632" s="219"/>
      <c r="I2632" s="223">
        <f>IF($C2632="","",IF(ISNUMBER(MATCH($C2632,'Phản ánh'!$A$6:$A$505,0)),"Phản ánh",IF(ISNUMBER(MATCH($C2632,'Kế hoạch'!$A$6:$A$305,0)),"Công việc","Mã chưa có")))</f>
      </c>
      <c r="J2632" s="221">
        <f>IF($I2632="Phản ánh",INDEX('Phản ánh'!$C$6:$C$505,MATCH($C2632,'Phản ánh'!$A$6:$A$505,0)),IF($I2632="Công việc",INDEX('Kế hoạch'!$C$6:$C$305,$O2632),""))</f>
      </c>
      <c r="K2632" s="221">
        <f>IF($I2632="Phản ánh",INDEX('Phản ánh'!$K$6:$K$505,MATCH($C2632,'Phản ánh'!$A$6:$A$505,0))&amp;"",IF($I2632="Công việc",INDEX('Kế hoạch'!$N$6:$N$305,$O2632)&amp;"",""))</f>
      </c>
      <c r="L2632" s="220">
        <f>IF(OR($C2632="",N($B2632)=0),"",IF(AND($I2632="Phản ánh",$E2632="Đã xử lý"),INDEX('Phản ánh'!$U$6:$U$505,MATCH($C2632,'Phản ánh'!$A$6:$A$505,0)),IF(AND($I2632="Công việc",OR($E2632="Hoàn thành",$E2632="Hoàn thành kỳ")),IF(INDEX('Kế hoạch'!$B$6:$B$305,$O2632)="Đột xuất",INDEX('Kế hoạch'!$AY$6:$AY$305,$O2632),IF(N($P2632)=0,"",IF(INT($B2632)&lt;$P2632,$P2632,IF($Q2632&gt;0,$P2632+ROUND((INT($B2632)-$P2632)/$Q2632,0)*$Q2632,IF($R2632&gt;0,EDATE($P2632,ROUND((DATEDIF($P2632,INT($B2632),"m")+(INT($B2632)-EDATE($P2632,DATEDIF($P2632,INT($B2632),"m")))/(EDATE($P2632,DATEDIF($P2632,INT($B2632),"m")+1)-EDATE($P2632,DATEDIF($P2632,INT($B2632),"m"))))/$R2632,0)*$R2632),$P2632))))),"")))</f>
      </c>
      <c r="M2632" s="223">
        <f>IF(OR($C2632="",N($L2632)=0,N($B2632)=0),"",IF(IF(MOD($L2632,1)=0,INT($B2632),$B2632)&lt;=$L2632,"Đúng hạn","Trễ hạn"))</f>
      </c>
      <c r="N2632" s="225">
        <f>IF($C2632="","",ROW())</f>
      </c>
      <c r="O2632" s="225">
        <f>IF($I2632="Công việc",MATCH($C2632,'Kế hoạch'!$A$6:$A$305,0),"")</f>
      </c>
      <c r="P2632" s="234">
        <f>IF($O2632="","",INDEX('Kế hoạch'!$I$6:$I$305,$O2632))</f>
      </c>
      <c r="Q2632" s="225">
        <f>IF($O2632="","",INDEX('Kế hoạch'!$AJ$6:$AJ$305,$O2632))</f>
      </c>
      <c r="R2632" s="225">
        <f>IF($O2632="","",INDEX('Kế hoạch'!$AK$6:$AK$305,$O2632))</f>
      </c>
    </row>
    <row r="2633">
      <c r="A2633" s="223">
        <f>IF($C2633="","",COUNTIF($C$6:$C2633,"?*"))</f>
      </c>
      <c r="B2633" s="217"/>
      <c r="C2633" s="216"/>
      <c r="D2633" s="240"/>
      <c r="E2633" s="218"/>
      <c r="F2633" s="218"/>
      <c r="G2633" s="218"/>
      <c r="H2633" s="219"/>
      <c r="I2633" s="223">
        <f>IF($C2633="","",IF(ISNUMBER(MATCH($C2633,'Phản ánh'!$A$6:$A$505,0)),"Phản ánh",IF(ISNUMBER(MATCH($C2633,'Kế hoạch'!$A$6:$A$305,0)),"Công việc","Mã chưa có")))</f>
      </c>
      <c r="J2633" s="221">
        <f>IF($I2633="Phản ánh",INDEX('Phản ánh'!$C$6:$C$505,MATCH($C2633,'Phản ánh'!$A$6:$A$505,0)),IF($I2633="Công việc",INDEX('Kế hoạch'!$C$6:$C$305,$O2633),""))</f>
      </c>
      <c r="K2633" s="221">
        <f>IF($I2633="Phản ánh",INDEX('Phản ánh'!$K$6:$K$505,MATCH($C2633,'Phản ánh'!$A$6:$A$505,0))&amp;"",IF($I2633="Công việc",INDEX('Kế hoạch'!$N$6:$N$305,$O2633)&amp;"",""))</f>
      </c>
      <c r="L2633" s="220">
        <f>IF(OR($C2633="",N($B2633)=0),"",IF(AND($I2633="Phản ánh",$E2633="Đã xử lý"),INDEX('Phản ánh'!$U$6:$U$505,MATCH($C2633,'Phản ánh'!$A$6:$A$505,0)),IF(AND($I2633="Công việc",OR($E2633="Hoàn thành",$E2633="Hoàn thành kỳ")),IF(INDEX('Kế hoạch'!$B$6:$B$305,$O2633)="Đột xuất",INDEX('Kế hoạch'!$AY$6:$AY$305,$O2633),IF(N($P2633)=0,"",IF(INT($B2633)&lt;$P2633,$P2633,IF($Q2633&gt;0,$P2633+ROUND((INT($B2633)-$P2633)/$Q2633,0)*$Q2633,IF($R2633&gt;0,EDATE($P2633,ROUND((DATEDIF($P2633,INT($B2633),"m")+(INT($B2633)-EDATE($P2633,DATEDIF($P2633,INT($B2633),"m")))/(EDATE($P2633,DATEDIF($P2633,INT($B2633),"m")+1)-EDATE($P2633,DATEDIF($P2633,INT($B2633),"m"))))/$R2633,0)*$R2633),$P2633))))),"")))</f>
      </c>
      <c r="M2633" s="223">
        <f>IF(OR($C2633="",N($L2633)=0,N($B2633)=0),"",IF(IF(MOD($L2633,1)=0,INT($B2633),$B2633)&lt;=$L2633,"Đúng hạn","Trễ hạn"))</f>
      </c>
      <c r="N2633" s="225">
        <f>IF($C2633="","",ROW())</f>
      </c>
      <c r="O2633" s="225">
        <f>IF($I2633="Công việc",MATCH($C2633,'Kế hoạch'!$A$6:$A$305,0),"")</f>
      </c>
      <c r="P2633" s="234">
        <f>IF($O2633="","",INDEX('Kế hoạch'!$I$6:$I$305,$O2633))</f>
      </c>
      <c r="Q2633" s="225">
        <f>IF($O2633="","",INDEX('Kế hoạch'!$AJ$6:$AJ$305,$O2633))</f>
      </c>
      <c r="R2633" s="225">
        <f>IF($O2633="","",INDEX('Kế hoạch'!$AK$6:$AK$305,$O2633))</f>
      </c>
    </row>
    <row r="2634">
      <c r="A2634" s="223">
        <f>IF($C2634="","",COUNTIF($C$6:$C2634,"?*"))</f>
      </c>
      <c r="B2634" s="217"/>
      <c r="C2634" s="216"/>
      <c r="D2634" s="240"/>
      <c r="E2634" s="218"/>
      <c r="F2634" s="218"/>
      <c r="G2634" s="218"/>
      <c r="H2634" s="219"/>
      <c r="I2634" s="223">
        <f>IF($C2634="","",IF(ISNUMBER(MATCH($C2634,'Phản ánh'!$A$6:$A$505,0)),"Phản ánh",IF(ISNUMBER(MATCH($C2634,'Kế hoạch'!$A$6:$A$305,0)),"Công việc","Mã chưa có")))</f>
      </c>
      <c r="J2634" s="221">
        <f>IF($I2634="Phản ánh",INDEX('Phản ánh'!$C$6:$C$505,MATCH($C2634,'Phản ánh'!$A$6:$A$505,0)),IF($I2634="Công việc",INDEX('Kế hoạch'!$C$6:$C$305,$O2634),""))</f>
      </c>
      <c r="K2634" s="221">
        <f>IF($I2634="Phản ánh",INDEX('Phản ánh'!$K$6:$K$505,MATCH($C2634,'Phản ánh'!$A$6:$A$505,0))&amp;"",IF($I2634="Công việc",INDEX('Kế hoạch'!$N$6:$N$305,$O2634)&amp;"",""))</f>
      </c>
      <c r="L2634" s="220">
        <f>IF(OR($C2634="",N($B2634)=0),"",IF(AND($I2634="Phản ánh",$E2634="Đã xử lý"),INDEX('Phản ánh'!$U$6:$U$505,MATCH($C2634,'Phản ánh'!$A$6:$A$505,0)),IF(AND($I2634="Công việc",OR($E2634="Hoàn thành",$E2634="Hoàn thành kỳ")),IF(INDEX('Kế hoạch'!$B$6:$B$305,$O2634)="Đột xuất",INDEX('Kế hoạch'!$AY$6:$AY$305,$O2634),IF(N($P2634)=0,"",IF(INT($B2634)&lt;$P2634,$P2634,IF($Q2634&gt;0,$P2634+ROUND((INT($B2634)-$P2634)/$Q2634,0)*$Q2634,IF($R2634&gt;0,EDATE($P2634,ROUND((DATEDIF($P2634,INT($B2634),"m")+(INT($B2634)-EDATE($P2634,DATEDIF($P2634,INT($B2634),"m")))/(EDATE($P2634,DATEDIF($P2634,INT($B2634),"m")+1)-EDATE($P2634,DATEDIF($P2634,INT($B2634),"m"))))/$R2634,0)*$R2634),$P2634))))),"")))</f>
      </c>
      <c r="M2634" s="223">
        <f>IF(OR($C2634="",N($L2634)=0,N($B2634)=0),"",IF(IF(MOD($L2634,1)=0,INT($B2634),$B2634)&lt;=$L2634,"Đúng hạn","Trễ hạn"))</f>
      </c>
      <c r="N2634" s="225">
        <f>IF($C2634="","",ROW())</f>
      </c>
      <c r="O2634" s="225">
        <f>IF($I2634="Công việc",MATCH($C2634,'Kế hoạch'!$A$6:$A$305,0),"")</f>
      </c>
      <c r="P2634" s="234">
        <f>IF($O2634="","",INDEX('Kế hoạch'!$I$6:$I$305,$O2634))</f>
      </c>
      <c r="Q2634" s="225">
        <f>IF($O2634="","",INDEX('Kế hoạch'!$AJ$6:$AJ$305,$O2634))</f>
      </c>
      <c r="R2634" s="225">
        <f>IF($O2634="","",INDEX('Kế hoạch'!$AK$6:$AK$305,$O2634))</f>
      </c>
    </row>
    <row r="2635">
      <c r="A2635" s="223">
        <f>IF($C2635="","",COUNTIF($C$6:$C2635,"?*"))</f>
      </c>
      <c r="B2635" s="217"/>
      <c r="C2635" s="216"/>
      <c r="D2635" s="240"/>
      <c r="E2635" s="218"/>
      <c r="F2635" s="218"/>
      <c r="G2635" s="218"/>
      <c r="H2635" s="219"/>
      <c r="I2635" s="223">
        <f>IF($C2635="","",IF(ISNUMBER(MATCH($C2635,'Phản ánh'!$A$6:$A$505,0)),"Phản ánh",IF(ISNUMBER(MATCH($C2635,'Kế hoạch'!$A$6:$A$305,0)),"Công việc","Mã chưa có")))</f>
      </c>
      <c r="J2635" s="221">
        <f>IF($I2635="Phản ánh",INDEX('Phản ánh'!$C$6:$C$505,MATCH($C2635,'Phản ánh'!$A$6:$A$505,0)),IF($I2635="Công việc",INDEX('Kế hoạch'!$C$6:$C$305,$O2635),""))</f>
      </c>
      <c r="K2635" s="221">
        <f>IF($I2635="Phản ánh",INDEX('Phản ánh'!$K$6:$K$505,MATCH($C2635,'Phản ánh'!$A$6:$A$505,0))&amp;"",IF($I2635="Công việc",INDEX('Kế hoạch'!$N$6:$N$305,$O2635)&amp;"",""))</f>
      </c>
      <c r="L2635" s="220">
        <f>IF(OR($C2635="",N($B2635)=0),"",IF(AND($I2635="Phản ánh",$E2635="Đã xử lý"),INDEX('Phản ánh'!$U$6:$U$505,MATCH($C2635,'Phản ánh'!$A$6:$A$505,0)),IF(AND($I2635="Công việc",OR($E2635="Hoàn thành",$E2635="Hoàn thành kỳ")),IF(INDEX('Kế hoạch'!$B$6:$B$305,$O2635)="Đột xuất",INDEX('Kế hoạch'!$AY$6:$AY$305,$O2635),IF(N($P2635)=0,"",IF(INT($B2635)&lt;$P2635,$P2635,IF($Q2635&gt;0,$P2635+ROUND((INT($B2635)-$P2635)/$Q2635,0)*$Q2635,IF($R2635&gt;0,EDATE($P2635,ROUND((DATEDIF($P2635,INT($B2635),"m")+(INT($B2635)-EDATE($P2635,DATEDIF($P2635,INT($B2635),"m")))/(EDATE($P2635,DATEDIF($P2635,INT($B2635),"m")+1)-EDATE($P2635,DATEDIF($P2635,INT($B2635),"m"))))/$R2635,0)*$R2635),$P2635))))),"")))</f>
      </c>
      <c r="M2635" s="223">
        <f>IF(OR($C2635="",N($L2635)=0,N($B2635)=0),"",IF(IF(MOD($L2635,1)=0,INT($B2635),$B2635)&lt;=$L2635,"Đúng hạn","Trễ hạn"))</f>
      </c>
      <c r="N2635" s="225">
        <f>IF($C2635="","",ROW())</f>
      </c>
      <c r="O2635" s="225">
        <f>IF($I2635="Công việc",MATCH($C2635,'Kế hoạch'!$A$6:$A$305,0),"")</f>
      </c>
      <c r="P2635" s="234">
        <f>IF($O2635="","",INDEX('Kế hoạch'!$I$6:$I$305,$O2635))</f>
      </c>
      <c r="Q2635" s="225">
        <f>IF($O2635="","",INDEX('Kế hoạch'!$AJ$6:$AJ$305,$O2635))</f>
      </c>
      <c r="R2635" s="225">
        <f>IF($O2635="","",INDEX('Kế hoạch'!$AK$6:$AK$305,$O2635))</f>
      </c>
    </row>
    <row r="2636">
      <c r="A2636" s="223">
        <f>IF($C2636="","",COUNTIF($C$6:$C2636,"?*"))</f>
      </c>
      <c r="B2636" s="217"/>
      <c r="C2636" s="216"/>
      <c r="D2636" s="240"/>
      <c r="E2636" s="218"/>
      <c r="F2636" s="218"/>
      <c r="G2636" s="218"/>
      <c r="H2636" s="219"/>
      <c r="I2636" s="223">
        <f>IF($C2636="","",IF(ISNUMBER(MATCH($C2636,'Phản ánh'!$A$6:$A$505,0)),"Phản ánh",IF(ISNUMBER(MATCH($C2636,'Kế hoạch'!$A$6:$A$305,0)),"Công việc","Mã chưa có")))</f>
      </c>
      <c r="J2636" s="221">
        <f>IF($I2636="Phản ánh",INDEX('Phản ánh'!$C$6:$C$505,MATCH($C2636,'Phản ánh'!$A$6:$A$505,0)),IF($I2636="Công việc",INDEX('Kế hoạch'!$C$6:$C$305,$O2636),""))</f>
      </c>
      <c r="K2636" s="221">
        <f>IF($I2636="Phản ánh",INDEX('Phản ánh'!$K$6:$K$505,MATCH($C2636,'Phản ánh'!$A$6:$A$505,0))&amp;"",IF($I2636="Công việc",INDEX('Kế hoạch'!$N$6:$N$305,$O2636)&amp;"",""))</f>
      </c>
      <c r="L2636" s="220">
        <f>IF(OR($C2636="",N($B2636)=0),"",IF(AND($I2636="Phản ánh",$E2636="Đã xử lý"),INDEX('Phản ánh'!$U$6:$U$505,MATCH($C2636,'Phản ánh'!$A$6:$A$505,0)),IF(AND($I2636="Công việc",OR($E2636="Hoàn thành",$E2636="Hoàn thành kỳ")),IF(INDEX('Kế hoạch'!$B$6:$B$305,$O2636)="Đột xuất",INDEX('Kế hoạch'!$AY$6:$AY$305,$O2636),IF(N($P2636)=0,"",IF(INT($B2636)&lt;$P2636,$P2636,IF($Q2636&gt;0,$P2636+ROUND((INT($B2636)-$P2636)/$Q2636,0)*$Q2636,IF($R2636&gt;0,EDATE($P2636,ROUND((DATEDIF($P2636,INT($B2636),"m")+(INT($B2636)-EDATE($P2636,DATEDIF($P2636,INT($B2636),"m")))/(EDATE($P2636,DATEDIF($P2636,INT($B2636),"m")+1)-EDATE($P2636,DATEDIF($P2636,INT($B2636),"m"))))/$R2636,0)*$R2636),$P2636))))),"")))</f>
      </c>
      <c r="M2636" s="223">
        <f>IF(OR($C2636="",N($L2636)=0,N($B2636)=0),"",IF(IF(MOD($L2636,1)=0,INT($B2636),$B2636)&lt;=$L2636,"Đúng hạn","Trễ hạn"))</f>
      </c>
      <c r="N2636" s="225">
        <f>IF($C2636="","",ROW())</f>
      </c>
      <c r="O2636" s="225">
        <f>IF($I2636="Công việc",MATCH($C2636,'Kế hoạch'!$A$6:$A$305,0),"")</f>
      </c>
      <c r="P2636" s="234">
        <f>IF($O2636="","",INDEX('Kế hoạch'!$I$6:$I$305,$O2636))</f>
      </c>
      <c r="Q2636" s="225">
        <f>IF($O2636="","",INDEX('Kế hoạch'!$AJ$6:$AJ$305,$O2636))</f>
      </c>
      <c r="R2636" s="225">
        <f>IF($O2636="","",INDEX('Kế hoạch'!$AK$6:$AK$305,$O2636))</f>
      </c>
    </row>
    <row r="2637">
      <c r="A2637" s="223">
        <f>IF($C2637="","",COUNTIF($C$6:$C2637,"?*"))</f>
      </c>
      <c r="B2637" s="217"/>
      <c r="C2637" s="216"/>
      <c r="D2637" s="240"/>
      <c r="E2637" s="218"/>
      <c r="F2637" s="218"/>
      <c r="G2637" s="218"/>
      <c r="H2637" s="219"/>
      <c r="I2637" s="223">
        <f>IF($C2637="","",IF(ISNUMBER(MATCH($C2637,'Phản ánh'!$A$6:$A$505,0)),"Phản ánh",IF(ISNUMBER(MATCH($C2637,'Kế hoạch'!$A$6:$A$305,0)),"Công việc","Mã chưa có")))</f>
      </c>
      <c r="J2637" s="221">
        <f>IF($I2637="Phản ánh",INDEX('Phản ánh'!$C$6:$C$505,MATCH($C2637,'Phản ánh'!$A$6:$A$505,0)),IF($I2637="Công việc",INDEX('Kế hoạch'!$C$6:$C$305,$O2637),""))</f>
      </c>
      <c r="K2637" s="221">
        <f>IF($I2637="Phản ánh",INDEX('Phản ánh'!$K$6:$K$505,MATCH($C2637,'Phản ánh'!$A$6:$A$505,0))&amp;"",IF($I2637="Công việc",INDEX('Kế hoạch'!$N$6:$N$305,$O2637)&amp;"",""))</f>
      </c>
      <c r="L2637" s="220">
        <f>IF(OR($C2637="",N($B2637)=0),"",IF(AND($I2637="Phản ánh",$E2637="Đã xử lý"),INDEX('Phản ánh'!$U$6:$U$505,MATCH($C2637,'Phản ánh'!$A$6:$A$505,0)),IF(AND($I2637="Công việc",OR($E2637="Hoàn thành",$E2637="Hoàn thành kỳ")),IF(INDEX('Kế hoạch'!$B$6:$B$305,$O2637)="Đột xuất",INDEX('Kế hoạch'!$AY$6:$AY$305,$O2637),IF(N($P2637)=0,"",IF(INT($B2637)&lt;$P2637,$P2637,IF($Q2637&gt;0,$P2637+ROUND((INT($B2637)-$P2637)/$Q2637,0)*$Q2637,IF($R2637&gt;0,EDATE($P2637,ROUND((DATEDIF($P2637,INT($B2637),"m")+(INT($B2637)-EDATE($P2637,DATEDIF($P2637,INT($B2637),"m")))/(EDATE($P2637,DATEDIF($P2637,INT($B2637),"m")+1)-EDATE($P2637,DATEDIF($P2637,INT($B2637),"m"))))/$R2637,0)*$R2637),$P2637))))),"")))</f>
      </c>
      <c r="M2637" s="223">
        <f>IF(OR($C2637="",N($L2637)=0,N($B2637)=0),"",IF(IF(MOD($L2637,1)=0,INT($B2637),$B2637)&lt;=$L2637,"Đúng hạn","Trễ hạn"))</f>
      </c>
      <c r="N2637" s="225">
        <f>IF($C2637="","",ROW())</f>
      </c>
      <c r="O2637" s="225">
        <f>IF($I2637="Công việc",MATCH($C2637,'Kế hoạch'!$A$6:$A$305,0),"")</f>
      </c>
      <c r="P2637" s="234">
        <f>IF($O2637="","",INDEX('Kế hoạch'!$I$6:$I$305,$O2637))</f>
      </c>
      <c r="Q2637" s="225">
        <f>IF($O2637="","",INDEX('Kế hoạch'!$AJ$6:$AJ$305,$O2637))</f>
      </c>
      <c r="R2637" s="225">
        <f>IF($O2637="","",INDEX('Kế hoạch'!$AK$6:$AK$305,$O2637))</f>
      </c>
    </row>
    <row r="2638">
      <c r="A2638" s="223">
        <f>IF($C2638="","",COUNTIF($C$6:$C2638,"?*"))</f>
      </c>
      <c r="B2638" s="217"/>
      <c r="C2638" s="216"/>
      <c r="D2638" s="240"/>
      <c r="E2638" s="218"/>
      <c r="F2638" s="218"/>
      <c r="G2638" s="218"/>
      <c r="H2638" s="219"/>
      <c r="I2638" s="223">
        <f>IF($C2638="","",IF(ISNUMBER(MATCH($C2638,'Phản ánh'!$A$6:$A$505,0)),"Phản ánh",IF(ISNUMBER(MATCH($C2638,'Kế hoạch'!$A$6:$A$305,0)),"Công việc","Mã chưa có")))</f>
      </c>
      <c r="J2638" s="221">
        <f>IF($I2638="Phản ánh",INDEX('Phản ánh'!$C$6:$C$505,MATCH($C2638,'Phản ánh'!$A$6:$A$505,0)),IF($I2638="Công việc",INDEX('Kế hoạch'!$C$6:$C$305,$O2638),""))</f>
      </c>
      <c r="K2638" s="221">
        <f>IF($I2638="Phản ánh",INDEX('Phản ánh'!$K$6:$K$505,MATCH($C2638,'Phản ánh'!$A$6:$A$505,0))&amp;"",IF($I2638="Công việc",INDEX('Kế hoạch'!$N$6:$N$305,$O2638)&amp;"",""))</f>
      </c>
      <c r="L2638" s="220">
        <f>IF(OR($C2638="",N($B2638)=0),"",IF(AND($I2638="Phản ánh",$E2638="Đã xử lý"),INDEX('Phản ánh'!$U$6:$U$505,MATCH($C2638,'Phản ánh'!$A$6:$A$505,0)),IF(AND($I2638="Công việc",OR($E2638="Hoàn thành",$E2638="Hoàn thành kỳ")),IF(INDEX('Kế hoạch'!$B$6:$B$305,$O2638)="Đột xuất",INDEX('Kế hoạch'!$AY$6:$AY$305,$O2638),IF(N($P2638)=0,"",IF(INT($B2638)&lt;$P2638,$P2638,IF($Q2638&gt;0,$P2638+ROUND((INT($B2638)-$P2638)/$Q2638,0)*$Q2638,IF($R2638&gt;0,EDATE($P2638,ROUND((DATEDIF($P2638,INT($B2638),"m")+(INT($B2638)-EDATE($P2638,DATEDIF($P2638,INT($B2638),"m")))/(EDATE($P2638,DATEDIF($P2638,INT($B2638),"m")+1)-EDATE($P2638,DATEDIF($P2638,INT($B2638),"m"))))/$R2638,0)*$R2638),$P2638))))),"")))</f>
      </c>
      <c r="M2638" s="223">
        <f>IF(OR($C2638="",N($L2638)=0,N($B2638)=0),"",IF(IF(MOD($L2638,1)=0,INT($B2638),$B2638)&lt;=$L2638,"Đúng hạn","Trễ hạn"))</f>
      </c>
      <c r="N2638" s="225">
        <f>IF($C2638="","",ROW())</f>
      </c>
      <c r="O2638" s="225">
        <f>IF($I2638="Công việc",MATCH($C2638,'Kế hoạch'!$A$6:$A$305,0),"")</f>
      </c>
      <c r="P2638" s="234">
        <f>IF($O2638="","",INDEX('Kế hoạch'!$I$6:$I$305,$O2638))</f>
      </c>
      <c r="Q2638" s="225">
        <f>IF($O2638="","",INDEX('Kế hoạch'!$AJ$6:$AJ$305,$O2638))</f>
      </c>
      <c r="R2638" s="225">
        <f>IF($O2638="","",INDEX('Kế hoạch'!$AK$6:$AK$305,$O2638))</f>
      </c>
    </row>
    <row r="2639">
      <c r="A2639" s="223">
        <f>IF($C2639="","",COUNTIF($C$6:$C2639,"?*"))</f>
      </c>
      <c r="B2639" s="217"/>
      <c r="C2639" s="216"/>
      <c r="D2639" s="240"/>
      <c r="E2639" s="218"/>
      <c r="F2639" s="218"/>
      <c r="G2639" s="218"/>
      <c r="H2639" s="219"/>
      <c r="I2639" s="223">
        <f>IF($C2639="","",IF(ISNUMBER(MATCH($C2639,'Phản ánh'!$A$6:$A$505,0)),"Phản ánh",IF(ISNUMBER(MATCH($C2639,'Kế hoạch'!$A$6:$A$305,0)),"Công việc","Mã chưa có")))</f>
      </c>
      <c r="J2639" s="221">
        <f>IF($I2639="Phản ánh",INDEX('Phản ánh'!$C$6:$C$505,MATCH($C2639,'Phản ánh'!$A$6:$A$505,0)),IF($I2639="Công việc",INDEX('Kế hoạch'!$C$6:$C$305,$O2639),""))</f>
      </c>
      <c r="K2639" s="221">
        <f>IF($I2639="Phản ánh",INDEX('Phản ánh'!$K$6:$K$505,MATCH($C2639,'Phản ánh'!$A$6:$A$505,0))&amp;"",IF($I2639="Công việc",INDEX('Kế hoạch'!$N$6:$N$305,$O2639)&amp;"",""))</f>
      </c>
      <c r="L2639" s="220">
        <f>IF(OR($C2639="",N($B2639)=0),"",IF(AND($I2639="Phản ánh",$E2639="Đã xử lý"),INDEX('Phản ánh'!$U$6:$U$505,MATCH($C2639,'Phản ánh'!$A$6:$A$505,0)),IF(AND($I2639="Công việc",OR($E2639="Hoàn thành",$E2639="Hoàn thành kỳ")),IF(INDEX('Kế hoạch'!$B$6:$B$305,$O2639)="Đột xuất",INDEX('Kế hoạch'!$AY$6:$AY$305,$O2639),IF(N($P2639)=0,"",IF(INT($B2639)&lt;$P2639,$P2639,IF($Q2639&gt;0,$P2639+ROUND((INT($B2639)-$P2639)/$Q2639,0)*$Q2639,IF($R2639&gt;0,EDATE($P2639,ROUND((DATEDIF($P2639,INT($B2639),"m")+(INT($B2639)-EDATE($P2639,DATEDIF($P2639,INT($B2639),"m")))/(EDATE($P2639,DATEDIF($P2639,INT($B2639),"m")+1)-EDATE($P2639,DATEDIF($P2639,INT($B2639),"m"))))/$R2639,0)*$R2639),$P2639))))),"")))</f>
      </c>
      <c r="M2639" s="223">
        <f>IF(OR($C2639="",N($L2639)=0,N($B2639)=0),"",IF(IF(MOD($L2639,1)=0,INT($B2639),$B2639)&lt;=$L2639,"Đúng hạn","Trễ hạn"))</f>
      </c>
      <c r="N2639" s="225">
        <f>IF($C2639="","",ROW())</f>
      </c>
      <c r="O2639" s="225">
        <f>IF($I2639="Công việc",MATCH($C2639,'Kế hoạch'!$A$6:$A$305,0),"")</f>
      </c>
      <c r="P2639" s="234">
        <f>IF($O2639="","",INDEX('Kế hoạch'!$I$6:$I$305,$O2639))</f>
      </c>
      <c r="Q2639" s="225">
        <f>IF($O2639="","",INDEX('Kế hoạch'!$AJ$6:$AJ$305,$O2639))</f>
      </c>
      <c r="R2639" s="225">
        <f>IF($O2639="","",INDEX('Kế hoạch'!$AK$6:$AK$305,$O2639))</f>
      </c>
    </row>
    <row r="2640">
      <c r="A2640" s="223">
        <f>IF($C2640="","",COUNTIF($C$6:$C2640,"?*"))</f>
      </c>
      <c r="B2640" s="217"/>
      <c r="C2640" s="216"/>
      <c r="D2640" s="240"/>
      <c r="E2640" s="218"/>
      <c r="F2640" s="218"/>
      <c r="G2640" s="218"/>
      <c r="H2640" s="219"/>
      <c r="I2640" s="223">
        <f>IF($C2640="","",IF(ISNUMBER(MATCH($C2640,'Phản ánh'!$A$6:$A$505,0)),"Phản ánh",IF(ISNUMBER(MATCH($C2640,'Kế hoạch'!$A$6:$A$305,0)),"Công việc","Mã chưa có")))</f>
      </c>
      <c r="J2640" s="221">
        <f>IF($I2640="Phản ánh",INDEX('Phản ánh'!$C$6:$C$505,MATCH($C2640,'Phản ánh'!$A$6:$A$505,0)),IF($I2640="Công việc",INDEX('Kế hoạch'!$C$6:$C$305,$O2640),""))</f>
      </c>
      <c r="K2640" s="221">
        <f>IF($I2640="Phản ánh",INDEX('Phản ánh'!$K$6:$K$505,MATCH($C2640,'Phản ánh'!$A$6:$A$505,0))&amp;"",IF($I2640="Công việc",INDEX('Kế hoạch'!$N$6:$N$305,$O2640)&amp;"",""))</f>
      </c>
      <c r="L2640" s="220">
        <f>IF(OR($C2640="",N($B2640)=0),"",IF(AND($I2640="Phản ánh",$E2640="Đã xử lý"),INDEX('Phản ánh'!$U$6:$U$505,MATCH($C2640,'Phản ánh'!$A$6:$A$505,0)),IF(AND($I2640="Công việc",OR($E2640="Hoàn thành",$E2640="Hoàn thành kỳ")),IF(INDEX('Kế hoạch'!$B$6:$B$305,$O2640)="Đột xuất",INDEX('Kế hoạch'!$AY$6:$AY$305,$O2640),IF(N($P2640)=0,"",IF(INT($B2640)&lt;$P2640,$P2640,IF($Q2640&gt;0,$P2640+ROUND((INT($B2640)-$P2640)/$Q2640,0)*$Q2640,IF($R2640&gt;0,EDATE($P2640,ROUND((DATEDIF($P2640,INT($B2640),"m")+(INT($B2640)-EDATE($P2640,DATEDIF($P2640,INT($B2640),"m")))/(EDATE($P2640,DATEDIF($P2640,INT($B2640),"m")+1)-EDATE($P2640,DATEDIF($P2640,INT($B2640),"m"))))/$R2640,0)*$R2640),$P2640))))),"")))</f>
      </c>
      <c r="M2640" s="223">
        <f>IF(OR($C2640="",N($L2640)=0,N($B2640)=0),"",IF(IF(MOD($L2640,1)=0,INT($B2640),$B2640)&lt;=$L2640,"Đúng hạn","Trễ hạn"))</f>
      </c>
      <c r="N2640" s="225">
        <f>IF($C2640="","",ROW())</f>
      </c>
      <c r="O2640" s="225">
        <f>IF($I2640="Công việc",MATCH($C2640,'Kế hoạch'!$A$6:$A$305,0),"")</f>
      </c>
      <c r="P2640" s="234">
        <f>IF($O2640="","",INDEX('Kế hoạch'!$I$6:$I$305,$O2640))</f>
      </c>
      <c r="Q2640" s="225">
        <f>IF($O2640="","",INDEX('Kế hoạch'!$AJ$6:$AJ$305,$O2640))</f>
      </c>
      <c r="R2640" s="225">
        <f>IF($O2640="","",INDEX('Kế hoạch'!$AK$6:$AK$305,$O2640))</f>
      </c>
    </row>
    <row r="2641">
      <c r="A2641" s="223">
        <f>IF($C2641="","",COUNTIF($C$6:$C2641,"?*"))</f>
      </c>
      <c r="B2641" s="217"/>
      <c r="C2641" s="216"/>
      <c r="D2641" s="240"/>
      <c r="E2641" s="218"/>
      <c r="F2641" s="218"/>
      <c r="G2641" s="218"/>
      <c r="H2641" s="219"/>
      <c r="I2641" s="223">
        <f>IF($C2641="","",IF(ISNUMBER(MATCH($C2641,'Phản ánh'!$A$6:$A$505,0)),"Phản ánh",IF(ISNUMBER(MATCH($C2641,'Kế hoạch'!$A$6:$A$305,0)),"Công việc","Mã chưa có")))</f>
      </c>
      <c r="J2641" s="221">
        <f>IF($I2641="Phản ánh",INDEX('Phản ánh'!$C$6:$C$505,MATCH($C2641,'Phản ánh'!$A$6:$A$505,0)),IF($I2641="Công việc",INDEX('Kế hoạch'!$C$6:$C$305,$O2641),""))</f>
      </c>
      <c r="K2641" s="221">
        <f>IF($I2641="Phản ánh",INDEX('Phản ánh'!$K$6:$K$505,MATCH($C2641,'Phản ánh'!$A$6:$A$505,0))&amp;"",IF($I2641="Công việc",INDEX('Kế hoạch'!$N$6:$N$305,$O2641)&amp;"",""))</f>
      </c>
      <c r="L2641" s="220">
        <f>IF(OR($C2641="",N($B2641)=0),"",IF(AND($I2641="Phản ánh",$E2641="Đã xử lý"),INDEX('Phản ánh'!$U$6:$U$505,MATCH($C2641,'Phản ánh'!$A$6:$A$505,0)),IF(AND($I2641="Công việc",OR($E2641="Hoàn thành",$E2641="Hoàn thành kỳ")),IF(INDEX('Kế hoạch'!$B$6:$B$305,$O2641)="Đột xuất",INDEX('Kế hoạch'!$AY$6:$AY$305,$O2641),IF(N($P2641)=0,"",IF(INT($B2641)&lt;$P2641,$P2641,IF($Q2641&gt;0,$P2641+ROUND((INT($B2641)-$P2641)/$Q2641,0)*$Q2641,IF($R2641&gt;0,EDATE($P2641,ROUND((DATEDIF($P2641,INT($B2641),"m")+(INT($B2641)-EDATE($P2641,DATEDIF($P2641,INT($B2641),"m")))/(EDATE($P2641,DATEDIF($P2641,INT($B2641),"m")+1)-EDATE($P2641,DATEDIF($P2641,INT($B2641),"m"))))/$R2641,0)*$R2641),$P2641))))),"")))</f>
      </c>
      <c r="M2641" s="223">
        <f>IF(OR($C2641="",N($L2641)=0,N($B2641)=0),"",IF(IF(MOD($L2641,1)=0,INT($B2641),$B2641)&lt;=$L2641,"Đúng hạn","Trễ hạn"))</f>
      </c>
      <c r="N2641" s="225">
        <f>IF($C2641="","",ROW())</f>
      </c>
      <c r="O2641" s="225">
        <f>IF($I2641="Công việc",MATCH($C2641,'Kế hoạch'!$A$6:$A$305,0),"")</f>
      </c>
      <c r="P2641" s="234">
        <f>IF($O2641="","",INDEX('Kế hoạch'!$I$6:$I$305,$O2641))</f>
      </c>
      <c r="Q2641" s="225">
        <f>IF($O2641="","",INDEX('Kế hoạch'!$AJ$6:$AJ$305,$O2641))</f>
      </c>
      <c r="R2641" s="225">
        <f>IF($O2641="","",INDEX('Kế hoạch'!$AK$6:$AK$305,$O2641))</f>
      </c>
    </row>
    <row r="2642">
      <c r="A2642" s="223">
        <f>IF($C2642="","",COUNTIF($C$6:$C2642,"?*"))</f>
      </c>
      <c r="B2642" s="217"/>
      <c r="C2642" s="216"/>
      <c r="D2642" s="240"/>
      <c r="E2642" s="218"/>
      <c r="F2642" s="218"/>
      <c r="G2642" s="218"/>
      <c r="H2642" s="219"/>
      <c r="I2642" s="223">
        <f>IF($C2642="","",IF(ISNUMBER(MATCH($C2642,'Phản ánh'!$A$6:$A$505,0)),"Phản ánh",IF(ISNUMBER(MATCH($C2642,'Kế hoạch'!$A$6:$A$305,0)),"Công việc","Mã chưa có")))</f>
      </c>
      <c r="J2642" s="221">
        <f>IF($I2642="Phản ánh",INDEX('Phản ánh'!$C$6:$C$505,MATCH($C2642,'Phản ánh'!$A$6:$A$505,0)),IF($I2642="Công việc",INDEX('Kế hoạch'!$C$6:$C$305,$O2642),""))</f>
      </c>
      <c r="K2642" s="221">
        <f>IF($I2642="Phản ánh",INDEX('Phản ánh'!$K$6:$K$505,MATCH($C2642,'Phản ánh'!$A$6:$A$505,0))&amp;"",IF($I2642="Công việc",INDEX('Kế hoạch'!$N$6:$N$305,$O2642)&amp;"",""))</f>
      </c>
      <c r="L2642" s="220">
        <f>IF(OR($C2642="",N($B2642)=0),"",IF(AND($I2642="Phản ánh",$E2642="Đã xử lý"),INDEX('Phản ánh'!$U$6:$U$505,MATCH($C2642,'Phản ánh'!$A$6:$A$505,0)),IF(AND($I2642="Công việc",OR($E2642="Hoàn thành",$E2642="Hoàn thành kỳ")),IF(INDEX('Kế hoạch'!$B$6:$B$305,$O2642)="Đột xuất",INDEX('Kế hoạch'!$AY$6:$AY$305,$O2642),IF(N($P2642)=0,"",IF(INT($B2642)&lt;$P2642,$P2642,IF($Q2642&gt;0,$P2642+ROUND((INT($B2642)-$P2642)/$Q2642,0)*$Q2642,IF($R2642&gt;0,EDATE($P2642,ROUND((DATEDIF($P2642,INT($B2642),"m")+(INT($B2642)-EDATE($P2642,DATEDIF($P2642,INT($B2642),"m")))/(EDATE($P2642,DATEDIF($P2642,INT($B2642),"m")+1)-EDATE($P2642,DATEDIF($P2642,INT($B2642),"m"))))/$R2642,0)*$R2642),$P2642))))),"")))</f>
      </c>
      <c r="M2642" s="223">
        <f>IF(OR($C2642="",N($L2642)=0,N($B2642)=0),"",IF(IF(MOD($L2642,1)=0,INT($B2642),$B2642)&lt;=$L2642,"Đúng hạn","Trễ hạn"))</f>
      </c>
      <c r="N2642" s="225">
        <f>IF($C2642="","",ROW())</f>
      </c>
      <c r="O2642" s="225">
        <f>IF($I2642="Công việc",MATCH($C2642,'Kế hoạch'!$A$6:$A$305,0),"")</f>
      </c>
      <c r="P2642" s="234">
        <f>IF($O2642="","",INDEX('Kế hoạch'!$I$6:$I$305,$O2642))</f>
      </c>
      <c r="Q2642" s="225">
        <f>IF($O2642="","",INDEX('Kế hoạch'!$AJ$6:$AJ$305,$O2642))</f>
      </c>
      <c r="R2642" s="225">
        <f>IF($O2642="","",INDEX('Kế hoạch'!$AK$6:$AK$305,$O2642))</f>
      </c>
    </row>
    <row r="2643">
      <c r="A2643" s="223">
        <f>IF($C2643="","",COUNTIF($C$6:$C2643,"?*"))</f>
      </c>
      <c r="B2643" s="217"/>
      <c r="C2643" s="216"/>
      <c r="D2643" s="240"/>
      <c r="E2643" s="218"/>
      <c r="F2643" s="218"/>
      <c r="G2643" s="218"/>
      <c r="H2643" s="219"/>
      <c r="I2643" s="223">
        <f>IF($C2643="","",IF(ISNUMBER(MATCH($C2643,'Phản ánh'!$A$6:$A$505,0)),"Phản ánh",IF(ISNUMBER(MATCH($C2643,'Kế hoạch'!$A$6:$A$305,0)),"Công việc","Mã chưa có")))</f>
      </c>
      <c r="J2643" s="221">
        <f>IF($I2643="Phản ánh",INDEX('Phản ánh'!$C$6:$C$505,MATCH($C2643,'Phản ánh'!$A$6:$A$505,0)),IF($I2643="Công việc",INDEX('Kế hoạch'!$C$6:$C$305,$O2643),""))</f>
      </c>
      <c r="K2643" s="221">
        <f>IF($I2643="Phản ánh",INDEX('Phản ánh'!$K$6:$K$505,MATCH($C2643,'Phản ánh'!$A$6:$A$505,0))&amp;"",IF($I2643="Công việc",INDEX('Kế hoạch'!$N$6:$N$305,$O2643)&amp;"",""))</f>
      </c>
      <c r="L2643" s="220">
        <f>IF(OR($C2643="",N($B2643)=0),"",IF(AND($I2643="Phản ánh",$E2643="Đã xử lý"),INDEX('Phản ánh'!$U$6:$U$505,MATCH($C2643,'Phản ánh'!$A$6:$A$505,0)),IF(AND($I2643="Công việc",OR($E2643="Hoàn thành",$E2643="Hoàn thành kỳ")),IF(INDEX('Kế hoạch'!$B$6:$B$305,$O2643)="Đột xuất",INDEX('Kế hoạch'!$AY$6:$AY$305,$O2643),IF(N($P2643)=0,"",IF(INT($B2643)&lt;$P2643,$P2643,IF($Q2643&gt;0,$P2643+ROUND((INT($B2643)-$P2643)/$Q2643,0)*$Q2643,IF($R2643&gt;0,EDATE($P2643,ROUND((DATEDIF($P2643,INT($B2643),"m")+(INT($B2643)-EDATE($P2643,DATEDIF($P2643,INT($B2643),"m")))/(EDATE($P2643,DATEDIF($P2643,INT($B2643),"m")+1)-EDATE($P2643,DATEDIF($P2643,INT($B2643),"m"))))/$R2643,0)*$R2643),$P2643))))),"")))</f>
      </c>
      <c r="M2643" s="223">
        <f>IF(OR($C2643="",N($L2643)=0,N($B2643)=0),"",IF(IF(MOD($L2643,1)=0,INT($B2643),$B2643)&lt;=$L2643,"Đúng hạn","Trễ hạn"))</f>
      </c>
      <c r="N2643" s="225">
        <f>IF($C2643="","",ROW())</f>
      </c>
      <c r="O2643" s="225">
        <f>IF($I2643="Công việc",MATCH($C2643,'Kế hoạch'!$A$6:$A$305,0),"")</f>
      </c>
      <c r="P2643" s="234">
        <f>IF($O2643="","",INDEX('Kế hoạch'!$I$6:$I$305,$O2643))</f>
      </c>
      <c r="Q2643" s="225">
        <f>IF($O2643="","",INDEX('Kế hoạch'!$AJ$6:$AJ$305,$O2643))</f>
      </c>
      <c r="R2643" s="225">
        <f>IF($O2643="","",INDEX('Kế hoạch'!$AK$6:$AK$305,$O2643))</f>
      </c>
    </row>
    <row r="2644">
      <c r="A2644" s="223">
        <f>IF($C2644="","",COUNTIF($C$6:$C2644,"?*"))</f>
      </c>
      <c r="B2644" s="217"/>
      <c r="C2644" s="216"/>
      <c r="D2644" s="240"/>
      <c r="E2644" s="218"/>
      <c r="F2644" s="218"/>
      <c r="G2644" s="218"/>
      <c r="H2644" s="219"/>
      <c r="I2644" s="223">
        <f>IF($C2644="","",IF(ISNUMBER(MATCH($C2644,'Phản ánh'!$A$6:$A$505,0)),"Phản ánh",IF(ISNUMBER(MATCH($C2644,'Kế hoạch'!$A$6:$A$305,0)),"Công việc","Mã chưa có")))</f>
      </c>
      <c r="J2644" s="221">
        <f>IF($I2644="Phản ánh",INDEX('Phản ánh'!$C$6:$C$505,MATCH($C2644,'Phản ánh'!$A$6:$A$505,0)),IF($I2644="Công việc",INDEX('Kế hoạch'!$C$6:$C$305,$O2644),""))</f>
      </c>
      <c r="K2644" s="221">
        <f>IF($I2644="Phản ánh",INDEX('Phản ánh'!$K$6:$K$505,MATCH($C2644,'Phản ánh'!$A$6:$A$505,0))&amp;"",IF($I2644="Công việc",INDEX('Kế hoạch'!$N$6:$N$305,$O2644)&amp;"",""))</f>
      </c>
      <c r="L2644" s="220">
        <f>IF(OR($C2644="",N($B2644)=0),"",IF(AND($I2644="Phản ánh",$E2644="Đã xử lý"),INDEX('Phản ánh'!$U$6:$U$505,MATCH($C2644,'Phản ánh'!$A$6:$A$505,0)),IF(AND($I2644="Công việc",OR($E2644="Hoàn thành",$E2644="Hoàn thành kỳ")),IF(INDEX('Kế hoạch'!$B$6:$B$305,$O2644)="Đột xuất",INDEX('Kế hoạch'!$AY$6:$AY$305,$O2644),IF(N($P2644)=0,"",IF(INT($B2644)&lt;$P2644,$P2644,IF($Q2644&gt;0,$P2644+ROUND((INT($B2644)-$P2644)/$Q2644,0)*$Q2644,IF($R2644&gt;0,EDATE($P2644,ROUND((DATEDIF($P2644,INT($B2644),"m")+(INT($B2644)-EDATE($P2644,DATEDIF($P2644,INT($B2644),"m")))/(EDATE($P2644,DATEDIF($P2644,INT($B2644),"m")+1)-EDATE($P2644,DATEDIF($P2644,INT($B2644),"m"))))/$R2644,0)*$R2644),$P2644))))),"")))</f>
      </c>
      <c r="M2644" s="223">
        <f>IF(OR($C2644="",N($L2644)=0,N($B2644)=0),"",IF(IF(MOD($L2644,1)=0,INT($B2644),$B2644)&lt;=$L2644,"Đúng hạn","Trễ hạn"))</f>
      </c>
      <c r="N2644" s="225">
        <f>IF($C2644="","",ROW())</f>
      </c>
      <c r="O2644" s="225">
        <f>IF($I2644="Công việc",MATCH($C2644,'Kế hoạch'!$A$6:$A$305,0),"")</f>
      </c>
      <c r="P2644" s="234">
        <f>IF($O2644="","",INDEX('Kế hoạch'!$I$6:$I$305,$O2644))</f>
      </c>
      <c r="Q2644" s="225">
        <f>IF($O2644="","",INDEX('Kế hoạch'!$AJ$6:$AJ$305,$O2644))</f>
      </c>
      <c r="R2644" s="225">
        <f>IF($O2644="","",INDEX('Kế hoạch'!$AK$6:$AK$305,$O2644))</f>
      </c>
    </row>
    <row r="2645">
      <c r="A2645" s="223">
        <f>IF($C2645="","",COUNTIF($C$6:$C2645,"?*"))</f>
      </c>
      <c r="B2645" s="217"/>
      <c r="C2645" s="216"/>
      <c r="D2645" s="240"/>
      <c r="E2645" s="218"/>
      <c r="F2645" s="218"/>
      <c r="G2645" s="218"/>
      <c r="H2645" s="219"/>
      <c r="I2645" s="223">
        <f>IF($C2645="","",IF(ISNUMBER(MATCH($C2645,'Phản ánh'!$A$6:$A$505,0)),"Phản ánh",IF(ISNUMBER(MATCH($C2645,'Kế hoạch'!$A$6:$A$305,0)),"Công việc","Mã chưa có")))</f>
      </c>
      <c r="J2645" s="221">
        <f>IF($I2645="Phản ánh",INDEX('Phản ánh'!$C$6:$C$505,MATCH($C2645,'Phản ánh'!$A$6:$A$505,0)),IF($I2645="Công việc",INDEX('Kế hoạch'!$C$6:$C$305,$O2645),""))</f>
      </c>
      <c r="K2645" s="221">
        <f>IF($I2645="Phản ánh",INDEX('Phản ánh'!$K$6:$K$505,MATCH($C2645,'Phản ánh'!$A$6:$A$505,0))&amp;"",IF($I2645="Công việc",INDEX('Kế hoạch'!$N$6:$N$305,$O2645)&amp;"",""))</f>
      </c>
      <c r="L2645" s="220">
        <f>IF(OR($C2645="",N($B2645)=0),"",IF(AND($I2645="Phản ánh",$E2645="Đã xử lý"),INDEX('Phản ánh'!$U$6:$U$505,MATCH($C2645,'Phản ánh'!$A$6:$A$505,0)),IF(AND($I2645="Công việc",OR($E2645="Hoàn thành",$E2645="Hoàn thành kỳ")),IF(INDEX('Kế hoạch'!$B$6:$B$305,$O2645)="Đột xuất",INDEX('Kế hoạch'!$AY$6:$AY$305,$O2645),IF(N($P2645)=0,"",IF(INT($B2645)&lt;$P2645,$P2645,IF($Q2645&gt;0,$P2645+ROUND((INT($B2645)-$P2645)/$Q2645,0)*$Q2645,IF($R2645&gt;0,EDATE($P2645,ROUND((DATEDIF($P2645,INT($B2645),"m")+(INT($B2645)-EDATE($P2645,DATEDIF($P2645,INT($B2645),"m")))/(EDATE($P2645,DATEDIF($P2645,INT($B2645),"m")+1)-EDATE($P2645,DATEDIF($P2645,INT($B2645),"m"))))/$R2645,0)*$R2645),$P2645))))),"")))</f>
      </c>
      <c r="M2645" s="223">
        <f>IF(OR($C2645="",N($L2645)=0,N($B2645)=0),"",IF(IF(MOD($L2645,1)=0,INT($B2645),$B2645)&lt;=$L2645,"Đúng hạn","Trễ hạn"))</f>
      </c>
      <c r="N2645" s="225">
        <f>IF($C2645="","",ROW())</f>
      </c>
      <c r="O2645" s="225">
        <f>IF($I2645="Công việc",MATCH($C2645,'Kế hoạch'!$A$6:$A$305,0),"")</f>
      </c>
      <c r="P2645" s="234">
        <f>IF($O2645="","",INDEX('Kế hoạch'!$I$6:$I$305,$O2645))</f>
      </c>
      <c r="Q2645" s="225">
        <f>IF($O2645="","",INDEX('Kế hoạch'!$AJ$6:$AJ$305,$O2645))</f>
      </c>
      <c r="R2645" s="225">
        <f>IF($O2645="","",INDEX('Kế hoạch'!$AK$6:$AK$305,$O2645))</f>
      </c>
    </row>
    <row r="2646">
      <c r="A2646" s="223">
        <f>IF($C2646="","",COUNTIF($C$6:$C2646,"?*"))</f>
      </c>
      <c r="B2646" s="217"/>
      <c r="C2646" s="216"/>
      <c r="D2646" s="240"/>
      <c r="E2646" s="218"/>
      <c r="F2646" s="218"/>
      <c r="G2646" s="218"/>
      <c r="H2646" s="219"/>
      <c r="I2646" s="223">
        <f>IF($C2646="","",IF(ISNUMBER(MATCH($C2646,'Phản ánh'!$A$6:$A$505,0)),"Phản ánh",IF(ISNUMBER(MATCH($C2646,'Kế hoạch'!$A$6:$A$305,0)),"Công việc","Mã chưa có")))</f>
      </c>
      <c r="J2646" s="221">
        <f>IF($I2646="Phản ánh",INDEX('Phản ánh'!$C$6:$C$505,MATCH($C2646,'Phản ánh'!$A$6:$A$505,0)),IF($I2646="Công việc",INDEX('Kế hoạch'!$C$6:$C$305,$O2646),""))</f>
      </c>
      <c r="K2646" s="221">
        <f>IF($I2646="Phản ánh",INDEX('Phản ánh'!$K$6:$K$505,MATCH($C2646,'Phản ánh'!$A$6:$A$505,0))&amp;"",IF($I2646="Công việc",INDEX('Kế hoạch'!$N$6:$N$305,$O2646)&amp;"",""))</f>
      </c>
      <c r="L2646" s="220">
        <f>IF(OR($C2646="",N($B2646)=0),"",IF(AND($I2646="Phản ánh",$E2646="Đã xử lý"),INDEX('Phản ánh'!$U$6:$U$505,MATCH($C2646,'Phản ánh'!$A$6:$A$505,0)),IF(AND($I2646="Công việc",OR($E2646="Hoàn thành",$E2646="Hoàn thành kỳ")),IF(INDEX('Kế hoạch'!$B$6:$B$305,$O2646)="Đột xuất",INDEX('Kế hoạch'!$AY$6:$AY$305,$O2646),IF(N($P2646)=0,"",IF(INT($B2646)&lt;$P2646,$P2646,IF($Q2646&gt;0,$P2646+ROUND((INT($B2646)-$P2646)/$Q2646,0)*$Q2646,IF($R2646&gt;0,EDATE($P2646,ROUND((DATEDIF($P2646,INT($B2646),"m")+(INT($B2646)-EDATE($P2646,DATEDIF($P2646,INT($B2646),"m")))/(EDATE($P2646,DATEDIF($P2646,INT($B2646),"m")+1)-EDATE($P2646,DATEDIF($P2646,INT($B2646),"m"))))/$R2646,0)*$R2646),$P2646))))),"")))</f>
      </c>
      <c r="M2646" s="223">
        <f>IF(OR($C2646="",N($L2646)=0,N($B2646)=0),"",IF(IF(MOD($L2646,1)=0,INT($B2646),$B2646)&lt;=$L2646,"Đúng hạn","Trễ hạn"))</f>
      </c>
      <c r="N2646" s="225">
        <f>IF($C2646="","",ROW())</f>
      </c>
      <c r="O2646" s="225">
        <f>IF($I2646="Công việc",MATCH($C2646,'Kế hoạch'!$A$6:$A$305,0),"")</f>
      </c>
      <c r="P2646" s="234">
        <f>IF($O2646="","",INDEX('Kế hoạch'!$I$6:$I$305,$O2646))</f>
      </c>
      <c r="Q2646" s="225">
        <f>IF($O2646="","",INDEX('Kế hoạch'!$AJ$6:$AJ$305,$O2646))</f>
      </c>
      <c r="R2646" s="225">
        <f>IF($O2646="","",INDEX('Kế hoạch'!$AK$6:$AK$305,$O2646))</f>
      </c>
    </row>
    <row r="2647">
      <c r="A2647" s="223">
        <f>IF($C2647="","",COUNTIF($C$6:$C2647,"?*"))</f>
      </c>
      <c r="B2647" s="217"/>
      <c r="C2647" s="216"/>
      <c r="D2647" s="240"/>
      <c r="E2647" s="218"/>
      <c r="F2647" s="218"/>
      <c r="G2647" s="218"/>
      <c r="H2647" s="219"/>
      <c r="I2647" s="223">
        <f>IF($C2647="","",IF(ISNUMBER(MATCH($C2647,'Phản ánh'!$A$6:$A$505,0)),"Phản ánh",IF(ISNUMBER(MATCH($C2647,'Kế hoạch'!$A$6:$A$305,0)),"Công việc","Mã chưa có")))</f>
      </c>
      <c r="J2647" s="221">
        <f>IF($I2647="Phản ánh",INDEX('Phản ánh'!$C$6:$C$505,MATCH($C2647,'Phản ánh'!$A$6:$A$505,0)),IF($I2647="Công việc",INDEX('Kế hoạch'!$C$6:$C$305,$O2647),""))</f>
      </c>
      <c r="K2647" s="221">
        <f>IF($I2647="Phản ánh",INDEX('Phản ánh'!$K$6:$K$505,MATCH($C2647,'Phản ánh'!$A$6:$A$505,0))&amp;"",IF($I2647="Công việc",INDEX('Kế hoạch'!$N$6:$N$305,$O2647)&amp;"",""))</f>
      </c>
      <c r="L2647" s="220">
        <f>IF(OR($C2647="",N($B2647)=0),"",IF(AND($I2647="Phản ánh",$E2647="Đã xử lý"),INDEX('Phản ánh'!$U$6:$U$505,MATCH($C2647,'Phản ánh'!$A$6:$A$505,0)),IF(AND($I2647="Công việc",OR($E2647="Hoàn thành",$E2647="Hoàn thành kỳ")),IF(INDEX('Kế hoạch'!$B$6:$B$305,$O2647)="Đột xuất",INDEX('Kế hoạch'!$AY$6:$AY$305,$O2647),IF(N($P2647)=0,"",IF(INT($B2647)&lt;$P2647,$P2647,IF($Q2647&gt;0,$P2647+ROUND((INT($B2647)-$P2647)/$Q2647,0)*$Q2647,IF($R2647&gt;0,EDATE($P2647,ROUND((DATEDIF($P2647,INT($B2647),"m")+(INT($B2647)-EDATE($P2647,DATEDIF($P2647,INT($B2647),"m")))/(EDATE($P2647,DATEDIF($P2647,INT($B2647),"m")+1)-EDATE($P2647,DATEDIF($P2647,INT($B2647),"m"))))/$R2647,0)*$R2647),$P2647))))),"")))</f>
      </c>
      <c r="M2647" s="223">
        <f>IF(OR($C2647="",N($L2647)=0,N($B2647)=0),"",IF(IF(MOD($L2647,1)=0,INT($B2647),$B2647)&lt;=$L2647,"Đúng hạn","Trễ hạn"))</f>
      </c>
      <c r="N2647" s="225">
        <f>IF($C2647="","",ROW())</f>
      </c>
      <c r="O2647" s="225">
        <f>IF($I2647="Công việc",MATCH($C2647,'Kế hoạch'!$A$6:$A$305,0),"")</f>
      </c>
      <c r="P2647" s="234">
        <f>IF($O2647="","",INDEX('Kế hoạch'!$I$6:$I$305,$O2647))</f>
      </c>
      <c r="Q2647" s="225">
        <f>IF($O2647="","",INDEX('Kế hoạch'!$AJ$6:$AJ$305,$O2647))</f>
      </c>
      <c r="R2647" s="225">
        <f>IF($O2647="","",INDEX('Kế hoạch'!$AK$6:$AK$305,$O2647))</f>
      </c>
    </row>
    <row r="2648">
      <c r="A2648" s="223">
        <f>IF($C2648="","",COUNTIF($C$6:$C2648,"?*"))</f>
      </c>
      <c r="B2648" s="217"/>
      <c r="C2648" s="216"/>
      <c r="D2648" s="240"/>
      <c r="E2648" s="218"/>
      <c r="F2648" s="218"/>
      <c r="G2648" s="218"/>
      <c r="H2648" s="219"/>
      <c r="I2648" s="223">
        <f>IF($C2648="","",IF(ISNUMBER(MATCH($C2648,'Phản ánh'!$A$6:$A$505,0)),"Phản ánh",IF(ISNUMBER(MATCH($C2648,'Kế hoạch'!$A$6:$A$305,0)),"Công việc","Mã chưa có")))</f>
      </c>
      <c r="J2648" s="221">
        <f>IF($I2648="Phản ánh",INDEX('Phản ánh'!$C$6:$C$505,MATCH($C2648,'Phản ánh'!$A$6:$A$505,0)),IF($I2648="Công việc",INDEX('Kế hoạch'!$C$6:$C$305,$O2648),""))</f>
      </c>
      <c r="K2648" s="221">
        <f>IF($I2648="Phản ánh",INDEX('Phản ánh'!$K$6:$K$505,MATCH($C2648,'Phản ánh'!$A$6:$A$505,0))&amp;"",IF($I2648="Công việc",INDEX('Kế hoạch'!$N$6:$N$305,$O2648)&amp;"",""))</f>
      </c>
      <c r="L2648" s="220">
        <f>IF(OR($C2648="",N($B2648)=0),"",IF(AND($I2648="Phản ánh",$E2648="Đã xử lý"),INDEX('Phản ánh'!$U$6:$U$505,MATCH($C2648,'Phản ánh'!$A$6:$A$505,0)),IF(AND($I2648="Công việc",OR($E2648="Hoàn thành",$E2648="Hoàn thành kỳ")),IF(INDEX('Kế hoạch'!$B$6:$B$305,$O2648)="Đột xuất",INDEX('Kế hoạch'!$AY$6:$AY$305,$O2648),IF(N($P2648)=0,"",IF(INT($B2648)&lt;$P2648,$P2648,IF($Q2648&gt;0,$P2648+ROUND((INT($B2648)-$P2648)/$Q2648,0)*$Q2648,IF($R2648&gt;0,EDATE($P2648,ROUND((DATEDIF($P2648,INT($B2648),"m")+(INT($B2648)-EDATE($P2648,DATEDIF($P2648,INT($B2648),"m")))/(EDATE($P2648,DATEDIF($P2648,INT($B2648),"m")+1)-EDATE($P2648,DATEDIF($P2648,INT($B2648),"m"))))/$R2648,0)*$R2648),$P2648))))),"")))</f>
      </c>
      <c r="M2648" s="223">
        <f>IF(OR($C2648="",N($L2648)=0,N($B2648)=0),"",IF(IF(MOD($L2648,1)=0,INT($B2648),$B2648)&lt;=$L2648,"Đúng hạn","Trễ hạn"))</f>
      </c>
      <c r="N2648" s="225">
        <f>IF($C2648="","",ROW())</f>
      </c>
      <c r="O2648" s="225">
        <f>IF($I2648="Công việc",MATCH($C2648,'Kế hoạch'!$A$6:$A$305,0),"")</f>
      </c>
      <c r="P2648" s="234">
        <f>IF($O2648="","",INDEX('Kế hoạch'!$I$6:$I$305,$O2648))</f>
      </c>
      <c r="Q2648" s="225">
        <f>IF($O2648="","",INDEX('Kế hoạch'!$AJ$6:$AJ$305,$O2648))</f>
      </c>
      <c r="R2648" s="225">
        <f>IF($O2648="","",INDEX('Kế hoạch'!$AK$6:$AK$305,$O2648))</f>
      </c>
    </row>
    <row r="2649">
      <c r="A2649" s="223">
        <f>IF($C2649="","",COUNTIF($C$6:$C2649,"?*"))</f>
      </c>
      <c r="B2649" s="217"/>
      <c r="C2649" s="216"/>
      <c r="D2649" s="240"/>
      <c r="E2649" s="218"/>
      <c r="F2649" s="218"/>
      <c r="G2649" s="218"/>
      <c r="H2649" s="219"/>
      <c r="I2649" s="223">
        <f>IF($C2649="","",IF(ISNUMBER(MATCH($C2649,'Phản ánh'!$A$6:$A$505,0)),"Phản ánh",IF(ISNUMBER(MATCH($C2649,'Kế hoạch'!$A$6:$A$305,0)),"Công việc","Mã chưa có")))</f>
      </c>
      <c r="J2649" s="221">
        <f>IF($I2649="Phản ánh",INDEX('Phản ánh'!$C$6:$C$505,MATCH($C2649,'Phản ánh'!$A$6:$A$505,0)),IF($I2649="Công việc",INDEX('Kế hoạch'!$C$6:$C$305,$O2649),""))</f>
      </c>
      <c r="K2649" s="221">
        <f>IF($I2649="Phản ánh",INDEX('Phản ánh'!$K$6:$K$505,MATCH($C2649,'Phản ánh'!$A$6:$A$505,0))&amp;"",IF($I2649="Công việc",INDEX('Kế hoạch'!$N$6:$N$305,$O2649)&amp;"",""))</f>
      </c>
      <c r="L2649" s="220">
        <f>IF(OR($C2649="",N($B2649)=0),"",IF(AND($I2649="Phản ánh",$E2649="Đã xử lý"),INDEX('Phản ánh'!$U$6:$U$505,MATCH($C2649,'Phản ánh'!$A$6:$A$505,0)),IF(AND($I2649="Công việc",OR($E2649="Hoàn thành",$E2649="Hoàn thành kỳ")),IF(INDEX('Kế hoạch'!$B$6:$B$305,$O2649)="Đột xuất",INDEX('Kế hoạch'!$AY$6:$AY$305,$O2649),IF(N($P2649)=0,"",IF(INT($B2649)&lt;$P2649,$P2649,IF($Q2649&gt;0,$P2649+ROUND((INT($B2649)-$P2649)/$Q2649,0)*$Q2649,IF($R2649&gt;0,EDATE($P2649,ROUND((DATEDIF($P2649,INT($B2649),"m")+(INT($B2649)-EDATE($P2649,DATEDIF($P2649,INT($B2649),"m")))/(EDATE($P2649,DATEDIF($P2649,INT($B2649),"m")+1)-EDATE($P2649,DATEDIF($P2649,INT($B2649),"m"))))/$R2649,0)*$R2649),$P2649))))),"")))</f>
      </c>
      <c r="M2649" s="223">
        <f>IF(OR($C2649="",N($L2649)=0,N($B2649)=0),"",IF(IF(MOD($L2649,1)=0,INT($B2649),$B2649)&lt;=$L2649,"Đúng hạn","Trễ hạn"))</f>
      </c>
      <c r="N2649" s="225">
        <f>IF($C2649="","",ROW())</f>
      </c>
      <c r="O2649" s="225">
        <f>IF($I2649="Công việc",MATCH($C2649,'Kế hoạch'!$A$6:$A$305,0),"")</f>
      </c>
      <c r="P2649" s="234">
        <f>IF($O2649="","",INDEX('Kế hoạch'!$I$6:$I$305,$O2649))</f>
      </c>
      <c r="Q2649" s="225">
        <f>IF($O2649="","",INDEX('Kế hoạch'!$AJ$6:$AJ$305,$O2649))</f>
      </c>
      <c r="R2649" s="225">
        <f>IF($O2649="","",INDEX('Kế hoạch'!$AK$6:$AK$305,$O2649))</f>
      </c>
    </row>
    <row r="2650">
      <c r="A2650" s="223">
        <f>IF($C2650="","",COUNTIF($C$6:$C2650,"?*"))</f>
      </c>
      <c r="B2650" s="217"/>
      <c r="C2650" s="216"/>
      <c r="D2650" s="240"/>
      <c r="E2650" s="218"/>
      <c r="F2650" s="218"/>
      <c r="G2650" s="218"/>
      <c r="H2650" s="219"/>
      <c r="I2650" s="223">
        <f>IF($C2650="","",IF(ISNUMBER(MATCH($C2650,'Phản ánh'!$A$6:$A$505,0)),"Phản ánh",IF(ISNUMBER(MATCH($C2650,'Kế hoạch'!$A$6:$A$305,0)),"Công việc","Mã chưa có")))</f>
      </c>
      <c r="J2650" s="221">
        <f>IF($I2650="Phản ánh",INDEX('Phản ánh'!$C$6:$C$505,MATCH($C2650,'Phản ánh'!$A$6:$A$505,0)),IF($I2650="Công việc",INDEX('Kế hoạch'!$C$6:$C$305,$O2650),""))</f>
      </c>
      <c r="K2650" s="221">
        <f>IF($I2650="Phản ánh",INDEX('Phản ánh'!$K$6:$K$505,MATCH($C2650,'Phản ánh'!$A$6:$A$505,0))&amp;"",IF($I2650="Công việc",INDEX('Kế hoạch'!$N$6:$N$305,$O2650)&amp;"",""))</f>
      </c>
      <c r="L2650" s="220">
        <f>IF(OR($C2650="",N($B2650)=0),"",IF(AND($I2650="Phản ánh",$E2650="Đã xử lý"),INDEX('Phản ánh'!$U$6:$U$505,MATCH($C2650,'Phản ánh'!$A$6:$A$505,0)),IF(AND($I2650="Công việc",OR($E2650="Hoàn thành",$E2650="Hoàn thành kỳ")),IF(INDEX('Kế hoạch'!$B$6:$B$305,$O2650)="Đột xuất",INDEX('Kế hoạch'!$AY$6:$AY$305,$O2650),IF(N($P2650)=0,"",IF(INT($B2650)&lt;$P2650,$P2650,IF($Q2650&gt;0,$P2650+ROUND((INT($B2650)-$P2650)/$Q2650,0)*$Q2650,IF($R2650&gt;0,EDATE($P2650,ROUND((DATEDIF($P2650,INT($B2650),"m")+(INT($B2650)-EDATE($P2650,DATEDIF($P2650,INT($B2650),"m")))/(EDATE($P2650,DATEDIF($P2650,INT($B2650),"m")+1)-EDATE($P2650,DATEDIF($P2650,INT($B2650),"m"))))/$R2650,0)*$R2650),$P2650))))),"")))</f>
      </c>
      <c r="M2650" s="223">
        <f>IF(OR($C2650="",N($L2650)=0,N($B2650)=0),"",IF(IF(MOD($L2650,1)=0,INT($B2650),$B2650)&lt;=$L2650,"Đúng hạn","Trễ hạn"))</f>
      </c>
      <c r="N2650" s="225">
        <f>IF($C2650="","",ROW())</f>
      </c>
      <c r="O2650" s="225">
        <f>IF($I2650="Công việc",MATCH($C2650,'Kế hoạch'!$A$6:$A$305,0),"")</f>
      </c>
      <c r="P2650" s="234">
        <f>IF($O2650="","",INDEX('Kế hoạch'!$I$6:$I$305,$O2650))</f>
      </c>
      <c r="Q2650" s="225">
        <f>IF($O2650="","",INDEX('Kế hoạch'!$AJ$6:$AJ$305,$O2650))</f>
      </c>
      <c r="R2650" s="225">
        <f>IF($O2650="","",INDEX('Kế hoạch'!$AK$6:$AK$305,$O2650))</f>
      </c>
    </row>
    <row r="2651">
      <c r="A2651" s="223">
        <f>IF($C2651="","",COUNTIF($C$6:$C2651,"?*"))</f>
      </c>
      <c r="B2651" s="217"/>
      <c r="C2651" s="216"/>
      <c r="D2651" s="240"/>
      <c r="E2651" s="218"/>
      <c r="F2651" s="218"/>
      <c r="G2651" s="218"/>
      <c r="H2651" s="219"/>
      <c r="I2651" s="223">
        <f>IF($C2651="","",IF(ISNUMBER(MATCH($C2651,'Phản ánh'!$A$6:$A$505,0)),"Phản ánh",IF(ISNUMBER(MATCH($C2651,'Kế hoạch'!$A$6:$A$305,0)),"Công việc","Mã chưa có")))</f>
      </c>
      <c r="J2651" s="221">
        <f>IF($I2651="Phản ánh",INDEX('Phản ánh'!$C$6:$C$505,MATCH($C2651,'Phản ánh'!$A$6:$A$505,0)),IF($I2651="Công việc",INDEX('Kế hoạch'!$C$6:$C$305,$O2651),""))</f>
      </c>
      <c r="K2651" s="221">
        <f>IF($I2651="Phản ánh",INDEX('Phản ánh'!$K$6:$K$505,MATCH($C2651,'Phản ánh'!$A$6:$A$505,0))&amp;"",IF($I2651="Công việc",INDEX('Kế hoạch'!$N$6:$N$305,$O2651)&amp;"",""))</f>
      </c>
      <c r="L2651" s="220">
        <f>IF(OR($C2651="",N($B2651)=0),"",IF(AND($I2651="Phản ánh",$E2651="Đã xử lý"),INDEX('Phản ánh'!$U$6:$U$505,MATCH($C2651,'Phản ánh'!$A$6:$A$505,0)),IF(AND($I2651="Công việc",OR($E2651="Hoàn thành",$E2651="Hoàn thành kỳ")),IF(INDEX('Kế hoạch'!$B$6:$B$305,$O2651)="Đột xuất",INDEX('Kế hoạch'!$AY$6:$AY$305,$O2651),IF(N($P2651)=0,"",IF(INT($B2651)&lt;$P2651,$P2651,IF($Q2651&gt;0,$P2651+ROUND((INT($B2651)-$P2651)/$Q2651,0)*$Q2651,IF($R2651&gt;0,EDATE($P2651,ROUND((DATEDIF($P2651,INT($B2651),"m")+(INT($B2651)-EDATE($P2651,DATEDIF($P2651,INT($B2651),"m")))/(EDATE($P2651,DATEDIF($P2651,INT($B2651),"m")+1)-EDATE($P2651,DATEDIF($P2651,INT($B2651),"m"))))/$R2651,0)*$R2651),$P2651))))),"")))</f>
      </c>
      <c r="M2651" s="223">
        <f>IF(OR($C2651="",N($L2651)=0,N($B2651)=0),"",IF(IF(MOD($L2651,1)=0,INT($B2651),$B2651)&lt;=$L2651,"Đúng hạn","Trễ hạn"))</f>
      </c>
      <c r="N2651" s="225">
        <f>IF($C2651="","",ROW())</f>
      </c>
      <c r="O2651" s="225">
        <f>IF($I2651="Công việc",MATCH($C2651,'Kế hoạch'!$A$6:$A$305,0),"")</f>
      </c>
      <c r="P2651" s="234">
        <f>IF($O2651="","",INDEX('Kế hoạch'!$I$6:$I$305,$O2651))</f>
      </c>
      <c r="Q2651" s="225">
        <f>IF($O2651="","",INDEX('Kế hoạch'!$AJ$6:$AJ$305,$O2651))</f>
      </c>
      <c r="R2651" s="225">
        <f>IF($O2651="","",INDEX('Kế hoạch'!$AK$6:$AK$305,$O2651))</f>
      </c>
    </row>
    <row r="2652">
      <c r="A2652" s="223">
        <f>IF($C2652="","",COUNTIF($C$6:$C2652,"?*"))</f>
      </c>
      <c r="B2652" s="217"/>
      <c r="C2652" s="216"/>
      <c r="D2652" s="240"/>
      <c r="E2652" s="218"/>
      <c r="F2652" s="218"/>
      <c r="G2652" s="218"/>
      <c r="H2652" s="219"/>
      <c r="I2652" s="223">
        <f>IF($C2652="","",IF(ISNUMBER(MATCH($C2652,'Phản ánh'!$A$6:$A$505,0)),"Phản ánh",IF(ISNUMBER(MATCH($C2652,'Kế hoạch'!$A$6:$A$305,0)),"Công việc","Mã chưa có")))</f>
      </c>
      <c r="J2652" s="221">
        <f>IF($I2652="Phản ánh",INDEX('Phản ánh'!$C$6:$C$505,MATCH($C2652,'Phản ánh'!$A$6:$A$505,0)),IF($I2652="Công việc",INDEX('Kế hoạch'!$C$6:$C$305,$O2652),""))</f>
      </c>
      <c r="K2652" s="221">
        <f>IF($I2652="Phản ánh",INDEX('Phản ánh'!$K$6:$K$505,MATCH($C2652,'Phản ánh'!$A$6:$A$505,0))&amp;"",IF($I2652="Công việc",INDEX('Kế hoạch'!$N$6:$N$305,$O2652)&amp;"",""))</f>
      </c>
      <c r="L2652" s="220">
        <f>IF(OR($C2652="",N($B2652)=0),"",IF(AND($I2652="Phản ánh",$E2652="Đã xử lý"),INDEX('Phản ánh'!$U$6:$U$505,MATCH($C2652,'Phản ánh'!$A$6:$A$505,0)),IF(AND($I2652="Công việc",OR($E2652="Hoàn thành",$E2652="Hoàn thành kỳ")),IF(INDEX('Kế hoạch'!$B$6:$B$305,$O2652)="Đột xuất",INDEX('Kế hoạch'!$AY$6:$AY$305,$O2652),IF(N($P2652)=0,"",IF(INT($B2652)&lt;$P2652,$P2652,IF($Q2652&gt;0,$P2652+ROUND((INT($B2652)-$P2652)/$Q2652,0)*$Q2652,IF($R2652&gt;0,EDATE($P2652,ROUND((DATEDIF($P2652,INT($B2652),"m")+(INT($B2652)-EDATE($P2652,DATEDIF($P2652,INT($B2652),"m")))/(EDATE($P2652,DATEDIF($P2652,INT($B2652),"m")+1)-EDATE($P2652,DATEDIF($P2652,INT($B2652),"m"))))/$R2652,0)*$R2652),$P2652))))),"")))</f>
      </c>
      <c r="M2652" s="223">
        <f>IF(OR($C2652="",N($L2652)=0,N($B2652)=0),"",IF(IF(MOD($L2652,1)=0,INT($B2652),$B2652)&lt;=$L2652,"Đúng hạn","Trễ hạn"))</f>
      </c>
      <c r="N2652" s="225">
        <f>IF($C2652="","",ROW())</f>
      </c>
      <c r="O2652" s="225">
        <f>IF($I2652="Công việc",MATCH($C2652,'Kế hoạch'!$A$6:$A$305,0),"")</f>
      </c>
      <c r="P2652" s="234">
        <f>IF($O2652="","",INDEX('Kế hoạch'!$I$6:$I$305,$O2652))</f>
      </c>
      <c r="Q2652" s="225">
        <f>IF($O2652="","",INDEX('Kế hoạch'!$AJ$6:$AJ$305,$O2652))</f>
      </c>
      <c r="R2652" s="225">
        <f>IF($O2652="","",INDEX('Kế hoạch'!$AK$6:$AK$305,$O2652))</f>
      </c>
    </row>
    <row r="2653">
      <c r="A2653" s="223">
        <f>IF($C2653="","",COUNTIF($C$6:$C2653,"?*"))</f>
      </c>
      <c r="B2653" s="217"/>
      <c r="C2653" s="216"/>
      <c r="D2653" s="240"/>
      <c r="E2653" s="218"/>
      <c r="F2653" s="218"/>
      <c r="G2653" s="218"/>
      <c r="H2653" s="219"/>
      <c r="I2653" s="223">
        <f>IF($C2653="","",IF(ISNUMBER(MATCH($C2653,'Phản ánh'!$A$6:$A$505,0)),"Phản ánh",IF(ISNUMBER(MATCH($C2653,'Kế hoạch'!$A$6:$A$305,0)),"Công việc","Mã chưa có")))</f>
      </c>
      <c r="J2653" s="221">
        <f>IF($I2653="Phản ánh",INDEX('Phản ánh'!$C$6:$C$505,MATCH($C2653,'Phản ánh'!$A$6:$A$505,0)),IF($I2653="Công việc",INDEX('Kế hoạch'!$C$6:$C$305,$O2653),""))</f>
      </c>
      <c r="K2653" s="221">
        <f>IF($I2653="Phản ánh",INDEX('Phản ánh'!$K$6:$K$505,MATCH($C2653,'Phản ánh'!$A$6:$A$505,0))&amp;"",IF($I2653="Công việc",INDEX('Kế hoạch'!$N$6:$N$305,$O2653)&amp;"",""))</f>
      </c>
      <c r="L2653" s="220">
        <f>IF(OR($C2653="",N($B2653)=0),"",IF(AND($I2653="Phản ánh",$E2653="Đã xử lý"),INDEX('Phản ánh'!$U$6:$U$505,MATCH($C2653,'Phản ánh'!$A$6:$A$505,0)),IF(AND($I2653="Công việc",OR($E2653="Hoàn thành",$E2653="Hoàn thành kỳ")),IF(INDEX('Kế hoạch'!$B$6:$B$305,$O2653)="Đột xuất",INDEX('Kế hoạch'!$AY$6:$AY$305,$O2653),IF(N($P2653)=0,"",IF(INT($B2653)&lt;$P2653,$P2653,IF($Q2653&gt;0,$P2653+ROUND((INT($B2653)-$P2653)/$Q2653,0)*$Q2653,IF($R2653&gt;0,EDATE($P2653,ROUND((DATEDIF($P2653,INT($B2653),"m")+(INT($B2653)-EDATE($P2653,DATEDIF($P2653,INT($B2653),"m")))/(EDATE($P2653,DATEDIF($P2653,INT($B2653),"m")+1)-EDATE($P2653,DATEDIF($P2653,INT($B2653),"m"))))/$R2653,0)*$R2653),$P2653))))),"")))</f>
      </c>
      <c r="M2653" s="223">
        <f>IF(OR($C2653="",N($L2653)=0,N($B2653)=0),"",IF(IF(MOD($L2653,1)=0,INT($B2653),$B2653)&lt;=$L2653,"Đúng hạn","Trễ hạn"))</f>
      </c>
      <c r="N2653" s="225">
        <f>IF($C2653="","",ROW())</f>
      </c>
      <c r="O2653" s="225">
        <f>IF($I2653="Công việc",MATCH($C2653,'Kế hoạch'!$A$6:$A$305,0),"")</f>
      </c>
      <c r="P2653" s="234">
        <f>IF($O2653="","",INDEX('Kế hoạch'!$I$6:$I$305,$O2653))</f>
      </c>
      <c r="Q2653" s="225">
        <f>IF($O2653="","",INDEX('Kế hoạch'!$AJ$6:$AJ$305,$O2653))</f>
      </c>
      <c r="R2653" s="225">
        <f>IF($O2653="","",INDEX('Kế hoạch'!$AK$6:$AK$305,$O2653))</f>
      </c>
    </row>
    <row r="2654">
      <c r="A2654" s="223">
        <f>IF($C2654="","",COUNTIF($C$6:$C2654,"?*"))</f>
      </c>
      <c r="B2654" s="217"/>
      <c r="C2654" s="216"/>
      <c r="D2654" s="240"/>
      <c r="E2654" s="218"/>
      <c r="F2654" s="218"/>
      <c r="G2654" s="218"/>
      <c r="H2654" s="219"/>
      <c r="I2654" s="223">
        <f>IF($C2654="","",IF(ISNUMBER(MATCH($C2654,'Phản ánh'!$A$6:$A$505,0)),"Phản ánh",IF(ISNUMBER(MATCH($C2654,'Kế hoạch'!$A$6:$A$305,0)),"Công việc","Mã chưa có")))</f>
      </c>
      <c r="J2654" s="221">
        <f>IF($I2654="Phản ánh",INDEX('Phản ánh'!$C$6:$C$505,MATCH($C2654,'Phản ánh'!$A$6:$A$505,0)),IF($I2654="Công việc",INDEX('Kế hoạch'!$C$6:$C$305,$O2654),""))</f>
      </c>
      <c r="K2654" s="221">
        <f>IF($I2654="Phản ánh",INDEX('Phản ánh'!$K$6:$K$505,MATCH($C2654,'Phản ánh'!$A$6:$A$505,0))&amp;"",IF($I2654="Công việc",INDEX('Kế hoạch'!$N$6:$N$305,$O2654)&amp;"",""))</f>
      </c>
      <c r="L2654" s="220">
        <f>IF(OR($C2654="",N($B2654)=0),"",IF(AND($I2654="Phản ánh",$E2654="Đã xử lý"),INDEX('Phản ánh'!$U$6:$U$505,MATCH($C2654,'Phản ánh'!$A$6:$A$505,0)),IF(AND($I2654="Công việc",OR($E2654="Hoàn thành",$E2654="Hoàn thành kỳ")),IF(INDEX('Kế hoạch'!$B$6:$B$305,$O2654)="Đột xuất",INDEX('Kế hoạch'!$AY$6:$AY$305,$O2654),IF(N($P2654)=0,"",IF(INT($B2654)&lt;$P2654,$P2654,IF($Q2654&gt;0,$P2654+ROUND((INT($B2654)-$P2654)/$Q2654,0)*$Q2654,IF($R2654&gt;0,EDATE($P2654,ROUND((DATEDIF($P2654,INT($B2654),"m")+(INT($B2654)-EDATE($P2654,DATEDIF($P2654,INT($B2654),"m")))/(EDATE($P2654,DATEDIF($P2654,INT($B2654),"m")+1)-EDATE($P2654,DATEDIF($P2654,INT($B2654),"m"))))/$R2654,0)*$R2654),$P2654))))),"")))</f>
      </c>
      <c r="M2654" s="223">
        <f>IF(OR($C2654="",N($L2654)=0,N($B2654)=0),"",IF(IF(MOD($L2654,1)=0,INT($B2654),$B2654)&lt;=$L2654,"Đúng hạn","Trễ hạn"))</f>
      </c>
      <c r="N2654" s="225">
        <f>IF($C2654="","",ROW())</f>
      </c>
      <c r="O2654" s="225">
        <f>IF($I2654="Công việc",MATCH($C2654,'Kế hoạch'!$A$6:$A$305,0),"")</f>
      </c>
      <c r="P2654" s="234">
        <f>IF($O2654="","",INDEX('Kế hoạch'!$I$6:$I$305,$O2654))</f>
      </c>
      <c r="Q2654" s="225">
        <f>IF($O2654="","",INDEX('Kế hoạch'!$AJ$6:$AJ$305,$O2654))</f>
      </c>
      <c r="R2654" s="225">
        <f>IF($O2654="","",INDEX('Kế hoạch'!$AK$6:$AK$305,$O2654))</f>
      </c>
    </row>
    <row r="2655">
      <c r="A2655" s="223">
        <f>IF($C2655="","",COUNTIF($C$6:$C2655,"?*"))</f>
      </c>
      <c r="B2655" s="217"/>
      <c r="C2655" s="216"/>
      <c r="D2655" s="240"/>
      <c r="E2655" s="218"/>
      <c r="F2655" s="218"/>
      <c r="G2655" s="218"/>
      <c r="H2655" s="219"/>
      <c r="I2655" s="223">
        <f>IF($C2655="","",IF(ISNUMBER(MATCH($C2655,'Phản ánh'!$A$6:$A$505,0)),"Phản ánh",IF(ISNUMBER(MATCH($C2655,'Kế hoạch'!$A$6:$A$305,0)),"Công việc","Mã chưa có")))</f>
      </c>
      <c r="J2655" s="221">
        <f>IF($I2655="Phản ánh",INDEX('Phản ánh'!$C$6:$C$505,MATCH($C2655,'Phản ánh'!$A$6:$A$505,0)),IF($I2655="Công việc",INDEX('Kế hoạch'!$C$6:$C$305,$O2655),""))</f>
      </c>
      <c r="K2655" s="221">
        <f>IF($I2655="Phản ánh",INDEX('Phản ánh'!$K$6:$K$505,MATCH($C2655,'Phản ánh'!$A$6:$A$505,0))&amp;"",IF($I2655="Công việc",INDEX('Kế hoạch'!$N$6:$N$305,$O2655)&amp;"",""))</f>
      </c>
      <c r="L2655" s="220">
        <f>IF(OR($C2655="",N($B2655)=0),"",IF(AND($I2655="Phản ánh",$E2655="Đã xử lý"),INDEX('Phản ánh'!$U$6:$U$505,MATCH($C2655,'Phản ánh'!$A$6:$A$505,0)),IF(AND($I2655="Công việc",OR($E2655="Hoàn thành",$E2655="Hoàn thành kỳ")),IF(INDEX('Kế hoạch'!$B$6:$B$305,$O2655)="Đột xuất",INDEX('Kế hoạch'!$AY$6:$AY$305,$O2655),IF(N($P2655)=0,"",IF(INT($B2655)&lt;$P2655,$P2655,IF($Q2655&gt;0,$P2655+ROUND((INT($B2655)-$P2655)/$Q2655,0)*$Q2655,IF($R2655&gt;0,EDATE($P2655,ROUND((DATEDIF($P2655,INT($B2655),"m")+(INT($B2655)-EDATE($P2655,DATEDIF($P2655,INT($B2655),"m")))/(EDATE($P2655,DATEDIF($P2655,INT($B2655),"m")+1)-EDATE($P2655,DATEDIF($P2655,INT($B2655),"m"))))/$R2655,0)*$R2655),$P2655))))),"")))</f>
      </c>
      <c r="M2655" s="223">
        <f>IF(OR($C2655="",N($L2655)=0,N($B2655)=0),"",IF(IF(MOD($L2655,1)=0,INT($B2655),$B2655)&lt;=$L2655,"Đúng hạn","Trễ hạn"))</f>
      </c>
      <c r="N2655" s="225">
        <f>IF($C2655="","",ROW())</f>
      </c>
      <c r="O2655" s="225">
        <f>IF($I2655="Công việc",MATCH($C2655,'Kế hoạch'!$A$6:$A$305,0),"")</f>
      </c>
      <c r="P2655" s="234">
        <f>IF($O2655="","",INDEX('Kế hoạch'!$I$6:$I$305,$O2655))</f>
      </c>
      <c r="Q2655" s="225">
        <f>IF($O2655="","",INDEX('Kế hoạch'!$AJ$6:$AJ$305,$O2655))</f>
      </c>
      <c r="R2655" s="225">
        <f>IF($O2655="","",INDEX('Kế hoạch'!$AK$6:$AK$305,$O2655))</f>
      </c>
    </row>
    <row r="2656">
      <c r="A2656" s="223">
        <f>IF($C2656="","",COUNTIF($C$6:$C2656,"?*"))</f>
      </c>
      <c r="B2656" s="217"/>
      <c r="C2656" s="216"/>
      <c r="D2656" s="240"/>
      <c r="E2656" s="218"/>
      <c r="F2656" s="218"/>
      <c r="G2656" s="218"/>
      <c r="H2656" s="219"/>
      <c r="I2656" s="223">
        <f>IF($C2656="","",IF(ISNUMBER(MATCH($C2656,'Phản ánh'!$A$6:$A$505,0)),"Phản ánh",IF(ISNUMBER(MATCH($C2656,'Kế hoạch'!$A$6:$A$305,0)),"Công việc","Mã chưa có")))</f>
      </c>
      <c r="J2656" s="221">
        <f>IF($I2656="Phản ánh",INDEX('Phản ánh'!$C$6:$C$505,MATCH($C2656,'Phản ánh'!$A$6:$A$505,0)),IF($I2656="Công việc",INDEX('Kế hoạch'!$C$6:$C$305,$O2656),""))</f>
      </c>
      <c r="K2656" s="221">
        <f>IF($I2656="Phản ánh",INDEX('Phản ánh'!$K$6:$K$505,MATCH($C2656,'Phản ánh'!$A$6:$A$505,0))&amp;"",IF($I2656="Công việc",INDEX('Kế hoạch'!$N$6:$N$305,$O2656)&amp;"",""))</f>
      </c>
      <c r="L2656" s="220">
        <f>IF(OR($C2656="",N($B2656)=0),"",IF(AND($I2656="Phản ánh",$E2656="Đã xử lý"),INDEX('Phản ánh'!$U$6:$U$505,MATCH($C2656,'Phản ánh'!$A$6:$A$505,0)),IF(AND($I2656="Công việc",OR($E2656="Hoàn thành",$E2656="Hoàn thành kỳ")),IF(INDEX('Kế hoạch'!$B$6:$B$305,$O2656)="Đột xuất",INDEX('Kế hoạch'!$AY$6:$AY$305,$O2656),IF(N($P2656)=0,"",IF(INT($B2656)&lt;$P2656,$P2656,IF($Q2656&gt;0,$P2656+ROUND((INT($B2656)-$P2656)/$Q2656,0)*$Q2656,IF($R2656&gt;0,EDATE($P2656,ROUND((DATEDIF($P2656,INT($B2656),"m")+(INT($B2656)-EDATE($P2656,DATEDIF($P2656,INT($B2656),"m")))/(EDATE($P2656,DATEDIF($P2656,INT($B2656),"m")+1)-EDATE($P2656,DATEDIF($P2656,INT($B2656),"m"))))/$R2656,0)*$R2656),$P2656))))),"")))</f>
      </c>
      <c r="M2656" s="223">
        <f>IF(OR($C2656="",N($L2656)=0,N($B2656)=0),"",IF(IF(MOD($L2656,1)=0,INT($B2656),$B2656)&lt;=$L2656,"Đúng hạn","Trễ hạn"))</f>
      </c>
      <c r="N2656" s="225">
        <f>IF($C2656="","",ROW())</f>
      </c>
      <c r="O2656" s="225">
        <f>IF($I2656="Công việc",MATCH($C2656,'Kế hoạch'!$A$6:$A$305,0),"")</f>
      </c>
      <c r="P2656" s="234">
        <f>IF($O2656="","",INDEX('Kế hoạch'!$I$6:$I$305,$O2656))</f>
      </c>
      <c r="Q2656" s="225">
        <f>IF($O2656="","",INDEX('Kế hoạch'!$AJ$6:$AJ$305,$O2656))</f>
      </c>
      <c r="R2656" s="225">
        <f>IF($O2656="","",INDEX('Kế hoạch'!$AK$6:$AK$305,$O2656))</f>
      </c>
    </row>
    <row r="2657">
      <c r="A2657" s="223">
        <f>IF($C2657="","",COUNTIF($C$6:$C2657,"?*"))</f>
      </c>
      <c r="B2657" s="217"/>
      <c r="C2657" s="216"/>
      <c r="D2657" s="240"/>
      <c r="E2657" s="218"/>
      <c r="F2657" s="218"/>
      <c r="G2657" s="218"/>
      <c r="H2657" s="219"/>
      <c r="I2657" s="223">
        <f>IF($C2657="","",IF(ISNUMBER(MATCH($C2657,'Phản ánh'!$A$6:$A$505,0)),"Phản ánh",IF(ISNUMBER(MATCH($C2657,'Kế hoạch'!$A$6:$A$305,0)),"Công việc","Mã chưa có")))</f>
      </c>
      <c r="J2657" s="221">
        <f>IF($I2657="Phản ánh",INDEX('Phản ánh'!$C$6:$C$505,MATCH($C2657,'Phản ánh'!$A$6:$A$505,0)),IF($I2657="Công việc",INDEX('Kế hoạch'!$C$6:$C$305,$O2657),""))</f>
      </c>
      <c r="K2657" s="221">
        <f>IF($I2657="Phản ánh",INDEX('Phản ánh'!$K$6:$K$505,MATCH($C2657,'Phản ánh'!$A$6:$A$505,0))&amp;"",IF($I2657="Công việc",INDEX('Kế hoạch'!$N$6:$N$305,$O2657)&amp;"",""))</f>
      </c>
      <c r="L2657" s="220">
        <f>IF(OR($C2657="",N($B2657)=0),"",IF(AND($I2657="Phản ánh",$E2657="Đã xử lý"),INDEX('Phản ánh'!$U$6:$U$505,MATCH($C2657,'Phản ánh'!$A$6:$A$505,0)),IF(AND($I2657="Công việc",OR($E2657="Hoàn thành",$E2657="Hoàn thành kỳ")),IF(INDEX('Kế hoạch'!$B$6:$B$305,$O2657)="Đột xuất",INDEX('Kế hoạch'!$AY$6:$AY$305,$O2657),IF(N($P2657)=0,"",IF(INT($B2657)&lt;$P2657,$P2657,IF($Q2657&gt;0,$P2657+ROUND((INT($B2657)-$P2657)/$Q2657,0)*$Q2657,IF($R2657&gt;0,EDATE($P2657,ROUND((DATEDIF($P2657,INT($B2657),"m")+(INT($B2657)-EDATE($P2657,DATEDIF($P2657,INT($B2657),"m")))/(EDATE($P2657,DATEDIF($P2657,INT($B2657),"m")+1)-EDATE($P2657,DATEDIF($P2657,INT($B2657),"m"))))/$R2657,0)*$R2657),$P2657))))),"")))</f>
      </c>
      <c r="M2657" s="223">
        <f>IF(OR($C2657="",N($L2657)=0,N($B2657)=0),"",IF(IF(MOD($L2657,1)=0,INT($B2657),$B2657)&lt;=$L2657,"Đúng hạn","Trễ hạn"))</f>
      </c>
      <c r="N2657" s="225">
        <f>IF($C2657="","",ROW())</f>
      </c>
      <c r="O2657" s="225">
        <f>IF($I2657="Công việc",MATCH($C2657,'Kế hoạch'!$A$6:$A$305,0),"")</f>
      </c>
      <c r="P2657" s="234">
        <f>IF($O2657="","",INDEX('Kế hoạch'!$I$6:$I$305,$O2657))</f>
      </c>
      <c r="Q2657" s="225">
        <f>IF($O2657="","",INDEX('Kế hoạch'!$AJ$6:$AJ$305,$O2657))</f>
      </c>
      <c r="R2657" s="225">
        <f>IF($O2657="","",INDEX('Kế hoạch'!$AK$6:$AK$305,$O2657))</f>
      </c>
    </row>
    <row r="2658">
      <c r="A2658" s="223">
        <f>IF($C2658="","",COUNTIF($C$6:$C2658,"?*"))</f>
      </c>
      <c r="B2658" s="217"/>
      <c r="C2658" s="216"/>
      <c r="D2658" s="240"/>
      <c r="E2658" s="218"/>
      <c r="F2658" s="218"/>
      <c r="G2658" s="218"/>
      <c r="H2658" s="219"/>
      <c r="I2658" s="223">
        <f>IF($C2658="","",IF(ISNUMBER(MATCH($C2658,'Phản ánh'!$A$6:$A$505,0)),"Phản ánh",IF(ISNUMBER(MATCH($C2658,'Kế hoạch'!$A$6:$A$305,0)),"Công việc","Mã chưa có")))</f>
      </c>
      <c r="J2658" s="221">
        <f>IF($I2658="Phản ánh",INDEX('Phản ánh'!$C$6:$C$505,MATCH($C2658,'Phản ánh'!$A$6:$A$505,0)),IF($I2658="Công việc",INDEX('Kế hoạch'!$C$6:$C$305,$O2658),""))</f>
      </c>
      <c r="K2658" s="221">
        <f>IF($I2658="Phản ánh",INDEX('Phản ánh'!$K$6:$K$505,MATCH($C2658,'Phản ánh'!$A$6:$A$505,0))&amp;"",IF($I2658="Công việc",INDEX('Kế hoạch'!$N$6:$N$305,$O2658)&amp;"",""))</f>
      </c>
      <c r="L2658" s="220">
        <f>IF(OR($C2658="",N($B2658)=0),"",IF(AND($I2658="Phản ánh",$E2658="Đã xử lý"),INDEX('Phản ánh'!$U$6:$U$505,MATCH($C2658,'Phản ánh'!$A$6:$A$505,0)),IF(AND($I2658="Công việc",OR($E2658="Hoàn thành",$E2658="Hoàn thành kỳ")),IF(INDEX('Kế hoạch'!$B$6:$B$305,$O2658)="Đột xuất",INDEX('Kế hoạch'!$AY$6:$AY$305,$O2658),IF(N($P2658)=0,"",IF(INT($B2658)&lt;$P2658,$P2658,IF($Q2658&gt;0,$P2658+ROUND((INT($B2658)-$P2658)/$Q2658,0)*$Q2658,IF($R2658&gt;0,EDATE($P2658,ROUND((DATEDIF($P2658,INT($B2658),"m")+(INT($B2658)-EDATE($P2658,DATEDIF($P2658,INT($B2658),"m")))/(EDATE($P2658,DATEDIF($P2658,INT($B2658),"m")+1)-EDATE($P2658,DATEDIF($P2658,INT($B2658),"m"))))/$R2658,0)*$R2658),$P2658))))),"")))</f>
      </c>
      <c r="M2658" s="223">
        <f>IF(OR($C2658="",N($L2658)=0,N($B2658)=0),"",IF(IF(MOD($L2658,1)=0,INT($B2658),$B2658)&lt;=$L2658,"Đúng hạn","Trễ hạn"))</f>
      </c>
      <c r="N2658" s="225">
        <f>IF($C2658="","",ROW())</f>
      </c>
      <c r="O2658" s="225">
        <f>IF($I2658="Công việc",MATCH($C2658,'Kế hoạch'!$A$6:$A$305,0),"")</f>
      </c>
      <c r="P2658" s="234">
        <f>IF($O2658="","",INDEX('Kế hoạch'!$I$6:$I$305,$O2658))</f>
      </c>
      <c r="Q2658" s="225">
        <f>IF($O2658="","",INDEX('Kế hoạch'!$AJ$6:$AJ$305,$O2658))</f>
      </c>
      <c r="R2658" s="225">
        <f>IF($O2658="","",INDEX('Kế hoạch'!$AK$6:$AK$305,$O2658))</f>
      </c>
    </row>
    <row r="2659">
      <c r="A2659" s="223">
        <f>IF($C2659="","",COUNTIF($C$6:$C2659,"?*"))</f>
      </c>
      <c r="B2659" s="217"/>
      <c r="C2659" s="216"/>
      <c r="D2659" s="240"/>
      <c r="E2659" s="218"/>
      <c r="F2659" s="218"/>
      <c r="G2659" s="218"/>
      <c r="H2659" s="219"/>
      <c r="I2659" s="223">
        <f>IF($C2659="","",IF(ISNUMBER(MATCH($C2659,'Phản ánh'!$A$6:$A$505,0)),"Phản ánh",IF(ISNUMBER(MATCH($C2659,'Kế hoạch'!$A$6:$A$305,0)),"Công việc","Mã chưa có")))</f>
      </c>
      <c r="J2659" s="221">
        <f>IF($I2659="Phản ánh",INDEX('Phản ánh'!$C$6:$C$505,MATCH($C2659,'Phản ánh'!$A$6:$A$505,0)),IF($I2659="Công việc",INDEX('Kế hoạch'!$C$6:$C$305,$O2659),""))</f>
      </c>
      <c r="K2659" s="221">
        <f>IF($I2659="Phản ánh",INDEX('Phản ánh'!$K$6:$K$505,MATCH($C2659,'Phản ánh'!$A$6:$A$505,0))&amp;"",IF($I2659="Công việc",INDEX('Kế hoạch'!$N$6:$N$305,$O2659)&amp;"",""))</f>
      </c>
      <c r="L2659" s="220">
        <f>IF(OR($C2659="",N($B2659)=0),"",IF(AND($I2659="Phản ánh",$E2659="Đã xử lý"),INDEX('Phản ánh'!$U$6:$U$505,MATCH($C2659,'Phản ánh'!$A$6:$A$505,0)),IF(AND($I2659="Công việc",OR($E2659="Hoàn thành",$E2659="Hoàn thành kỳ")),IF(INDEX('Kế hoạch'!$B$6:$B$305,$O2659)="Đột xuất",INDEX('Kế hoạch'!$AY$6:$AY$305,$O2659),IF(N($P2659)=0,"",IF(INT($B2659)&lt;$P2659,$P2659,IF($Q2659&gt;0,$P2659+ROUND((INT($B2659)-$P2659)/$Q2659,0)*$Q2659,IF($R2659&gt;0,EDATE($P2659,ROUND((DATEDIF($P2659,INT($B2659),"m")+(INT($B2659)-EDATE($P2659,DATEDIF($P2659,INT($B2659),"m")))/(EDATE($P2659,DATEDIF($P2659,INT($B2659),"m")+1)-EDATE($P2659,DATEDIF($P2659,INT($B2659),"m"))))/$R2659,0)*$R2659),$P2659))))),"")))</f>
      </c>
      <c r="M2659" s="223">
        <f>IF(OR($C2659="",N($L2659)=0,N($B2659)=0),"",IF(IF(MOD($L2659,1)=0,INT($B2659),$B2659)&lt;=$L2659,"Đúng hạn","Trễ hạn"))</f>
      </c>
      <c r="N2659" s="225">
        <f>IF($C2659="","",ROW())</f>
      </c>
      <c r="O2659" s="225">
        <f>IF($I2659="Công việc",MATCH($C2659,'Kế hoạch'!$A$6:$A$305,0),"")</f>
      </c>
      <c r="P2659" s="234">
        <f>IF($O2659="","",INDEX('Kế hoạch'!$I$6:$I$305,$O2659))</f>
      </c>
      <c r="Q2659" s="225">
        <f>IF($O2659="","",INDEX('Kế hoạch'!$AJ$6:$AJ$305,$O2659))</f>
      </c>
      <c r="R2659" s="225">
        <f>IF($O2659="","",INDEX('Kế hoạch'!$AK$6:$AK$305,$O2659))</f>
      </c>
    </row>
    <row r="2660">
      <c r="A2660" s="223">
        <f>IF($C2660="","",COUNTIF($C$6:$C2660,"?*"))</f>
      </c>
      <c r="B2660" s="217"/>
      <c r="C2660" s="216"/>
      <c r="D2660" s="240"/>
      <c r="E2660" s="218"/>
      <c r="F2660" s="218"/>
      <c r="G2660" s="218"/>
      <c r="H2660" s="219"/>
      <c r="I2660" s="223">
        <f>IF($C2660="","",IF(ISNUMBER(MATCH($C2660,'Phản ánh'!$A$6:$A$505,0)),"Phản ánh",IF(ISNUMBER(MATCH($C2660,'Kế hoạch'!$A$6:$A$305,0)),"Công việc","Mã chưa có")))</f>
      </c>
      <c r="J2660" s="221">
        <f>IF($I2660="Phản ánh",INDEX('Phản ánh'!$C$6:$C$505,MATCH($C2660,'Phản ánh'!$A$6:$A$505,0)),IF($I2660="Công việc",INDEX('Kế hoạch'!$C$6:$C$305,$O2660),""))</f>
      </c>
      <c r="K2660" s="221">
        <f>IF($I2660="Phản ánh",INDEX('Phản ánh'!$K$6:$K$505,MATCH($C2660,'Phản ánh'!$A$6:$A$505,0))&amp;"",IF($I2660="Công việc",INDEX('Kế hoạch'!$N$6:$N$305,$O2660)&amp;"",""))</f>
      </c>
      <c r="L2660" s="220">
        <f>IF(OR($C2660="",N($B2660)=0),"",IF(AND($I2660="Phản ánh",$E2660="Đã xử lý"),INDEX('Phản ánh'!$U$6:$U$505,MATCH($C2660,'Phản ánh'!$A$6:$A$505,0)),IF(AND($I2660="Công việc",OR($E2660="Hoàn thành",$E2660="Hoàn thành kỳ")),IF(INDEX('Kế hoạch'!$B$6:$B$305,$O2660)="Đột xuất",INDEX('Kế hoạch'!$AY$6:$AY$305,$O2660),IF(N($P2660)=0,"",IF(INT($B2660)&lt;$P2660,$P2660,IF($Q2660&gt;0,$P2660+ROUND((INT($B2660)-$P2660)/$Q2660,0)*$Q2660,IF($R2660&gt;0,EDATE($P2660,ROUND((DATEDIF($P2660,INT($B2660),"m")+(INT($B2660)-EDATE($P2660,DATEDIF($P2660,INT($B2660),"m")))/(EDATE($P2660,DATEDIF($P2660,INT($B2660),"m")+1)-EDATE($P2660,DATEDIF($P2660,INT($B2660),"m"))))/$R2660,0)*$R2660),$P2660))))),"")))</f>
      </c>
      <c r="M2660" s="223">
        <f>IF(OR($C2660="",N($L2660)=0,N($B2660)=0),"",IF(IF(MOD($L2660,1)=0,INT($B2660),$B2660)&lt;=$L2660,"Đúng hạn","Trễ hạn"))</f>
      </c>
      <c r="N2660" s="225">
        <f>IF($C2660="","",ROW())</f>
      </c>
      <c r="O2660" s="225">
        <f>IF($I2660="Công việc",MATCH($C2660,'Kế hoạch'!$A$6:$A$305,0),"")</f>
      </c>
      <c r="P2660" s="234">
        <f>IF($O2660="","",INDEX('Kế hoạch'!$I$6:$I$305,$O2660))</f>
      </c>
      <c r="Q2660" s="225">
        <f>IF($O2660="","",INDEX('Kế hoạch'!$AJ$6:$AJ$305,$O2660))</f>
      </c>
      <c r="R2660" s="225">
        <f>IF($O2660="","",INDEX('Kế hoạch'!$AK$6:$AK$305,$O2660))</f>
      </c>
    </row>
    <row r="2661">
      <c r="A2661" s="223">
        <f>IF($C2661="","",COUNTIF($C$6:$C2661,"?*"))</f>
      </c>
      <c r="B2661" s="217"/>
      <c r="C2661" s="216"/>
      <c r="D2661" s="240"/>
      <c r="E2661" s="218"/>
      <c r="F2661" s="218"/>
      <c r="G2661" s="218"/>
      <c r="H2661" s="219"/>
      <c r="I2661" s="223">
        <f>IF($C2661="","",IF(ISNUMBER(MATCH($C2661,'Phản ánh'!$A$6:$A$505,0)),"Phản ánh",IF(ISNUMBER(MATCH($C2661,'Kế hoạch'!$A$6:$A$305,0)),"Công việc","Mã chưa có")))</f>
      </c>
      <c r="J2661" s="221">
        <f>IF($I2661="Phản ánh",INDEX('Phản ánh'!$C$6:$C$505,MATCH($C2661,'Phản ánh'!$A$6:$A$505,0)),IF($I2661="Công việc",INDEX('Kế hoạch'!$C$6:$C$305,$O2661),""))</f>
      </c>
      <c r="K2661" s="221">
        <f>IF($I2661="Phản ánh",INDEX('Phản ánh'!$K$6:$K$505,MATCH($C2661,'Phản ánh'!$A$6:$A$505,0))&amp;"",IF($I2661="Công việc",INDEX('Kế hoạch'!$N$6:$N$305,$O2661)&amp;"",""))</f>
      </c>
      <c r="L2661" s="220">
        <f>IF(OR($C2661="",N($B2661)=0),"",IF(AND($I2661="Phản ánh",$E2661="Đã xử lý"),INDEX('Phản ánh'!$U$6:$U$505,MATCH($C2661,'Phản ánh'!$A$6:$A$505,0)),IF(AND($I2661="Công việc",OR($E2661="Hoàn thành",$E2661="Hoàn thành kỳ")),IF(INDEX('Kế hoạch'!$B$6:$B$305,$O2661)="Đột xuất",INDEX('Kế hoạch'!$AY$6:$AY$305,$O2661),IF(N($P2661)=0,"",IF(INT($B2661)&lt;$P2661,$P2661,IF($Q2661&gt;0,$P2661+ROUND((INT($B2661)-$P2661)/$Q2661,0)*$Q2661,IF($R2661&gt;0,EDATE($P2661,ROUND((DATEDIF($P2661,INT($B2661),"m")+(INT($B2661)-EDATE($P2661,DATEDIF($P2661,INT($B2661),"m")))/(EDATE($P2661,DATEDIF($P2661,INT($B2661),"m")+1)-EDATE($P2661,DATEDIF($P2661,INT($B2661),"m"))))/$R2661,0)*$R2661),$P2661))))),"")))</f>
      </c>
      <c r="M2661" s="223">
        <f>IF(OR($C2661="",N($L2661)=0,N($B2661)=0),"",IF(IF(MOD($L2661,1)=0,INT($B2661),$B2661)&lt;=$L2661,"Đúng hạn","Trễ hạn"))</f>
      </c>
      <c r="N2661" s="225">
        <f>IF($C2661="","",ROW())</f>
      </c>
      <c r="O2661" s="225">
        <f>IF($I2661="Công việc",MATCH($C2661,'Kế hoạch'!$A$6:$A$305,0),"")</f>
      </c>
      <c r="P2661" s="234">
        <f>IF($O2661="","",INDEX('Kế hoạch'!$I$6:$I$305,$O2661))</f>
      </c>
      <c r="Q2661" s="225">
        <f>IF($O2661="","",INDEX('Kế hoạch'!$AJ$6:$AJ$305,$O2661))</f>
      </c>
      <c r="R2661" s="225">
        <f>IF($O2661="","",INDEX('Kế hoạch'!$AK$6:$AK$305,$O2661))</f>
      </c>
    </row>
    <row r="2662">
      <c r="A2662" s="223">
        <f>IF($C2662="","",COUNTIF($C$6:$C2662,"?*"))</f>
      </c>
      <c r="B2662" s="217"/>
      <c r="C2662" s="216"/>
      <c r="D2662" s="240"/>
      <c r="E2662" s="218"/>
      <c r="F2662" s="218"/>
      <c r="G2662" s="218"/>
      <c r="H2662" s="219"/>
      <c r="I2662" s="223">
        <f>IF($C2662="","",IF(ISNUMBER(MATCH($C2662,'Phản ánh'!$A$6:$A$505,0)),"Phản ánh",IF(ISNUMBER(MATCH($C2662,'Kế hoạch'!$A$6:$A$305,0)),"Công việc","Mã chưa có")))</f>
      </c>
      <c r="J2662" s="221">
        <f>IF($I2662="Phản ánh",INDEX('Phản ánh'!$C$6:$C$505,MATCH($C2662,'Phản ánh'!$A$6:$A$505,0)),IF($I2662="Công việc",INDEX('Kế hoạch'!$C$6:$C$305,$O2662),""))</f>
      </c>
      <c r="K2662" s="221">
        <f>IF($I2662="Phản ánh",INDEX('Phản ánh'!$K$6:$K$505,MATCH($C2662,'Phản ánh'!$A$6:$A$505,0))&amp;"",IF($I2662="Công việc",INDEX('Kế hoạch'!$N$6:$N$305,$O2662)&amp;"",""))</f>
      </c>
      <c r="L2662" s="220">
        <f>IF(OR($C2662="",N($B2662)=0),"",IF(AND($I2662="Phản ánh",$E2662="Đã xử lý"),INDEX('Phản ánh'!$U$6:$U$505,MATCH($C2662,'Phản ánh'!$A$6:$A$505,0)),IF(AND($I2662="Công việc",OR($E2662="Hoàn thành",$E2662="Hoàn thành kỳ")),IF(INDEX('Kế hoạch'!$B$6:$B$305,$O2662)="Đột xuất",INDEX('Kế hoạch'!$AY$6:$AY$305,$O2662),IF(N($P2662)=0,"",IF(INT($B2662)&lt;$P2662,$P2662,IF($Q2662&gt;0,$P2662+ROUND((INT($B2662)-$P2662)/$Q2662,0)*$Q2662,IF($R2662&gt;0,EDATE($P2662,ROUND((DATEDIF($P2662,INT($B2662),"m")+(INT($B2662)-EDATE($P2662,DATEDIF($P2662,INT($B2662),"m")))/(EDATE($P2662,DATEDIF($P2662,INT($B2662),"m")+1)-EDATE($P2662,DATEDIF($P2662,INT($B2662),"m"))))/$R2662,0)*$R2662),$P2662))))),"")))</f>
      </c>
      <c r="M2662" s="223">
        <f>IF(OR($C2662="",N($L2662)=0,N($B2662)=0),"",IF(IF(MOD($L2662,1)=0,INT($B2662),$B2662)&lt;=$L2662,"Đúng hạn","Trễ hạn"))</f>
      </c>
      <c r="N2662" s="225">
        <f>IF($C2662="","",ROW())</f>
      </c>
      <c r="O2662" s="225">
        <f>IF($I2662="Công việc",MATCH($C2662,'Kế hoạch'!$A$6:$A$305,0),"")</f>
      </c>
      <c r="P2662" s="234">
        <f>IF($O2662="","",INDEX('Kế hoạch'!$I$6:$I$305,$O2662))</f>
      </c>
      <c r="Q2662" s="225">
        <f>IF($O2662="","",INDEX('Kế hoạch'!$AJ$6:$AJ$305,$O2662))</f>
      </c>
      <c r="R2662" s="225">
        <f>IF($O2662="","",INDEX('Kế hoạch'!$AK$6:$AK$305,$O2662))</f>
      </c>
    </row>
    <row r="2663">
      <c r="A2663" s="223">
        <f>IF($C2663="","",COUNTIF($C$6:$C2663,"?*"))</f>
      </c>
      <c r="B2663" s="217"/>
      <c r="C2663" s="216"/>
      <c r="D2663" s="240"/>
      <c r="E2663" s="218"/>
      <c r="F2663" s="218"/>
      <c r="G2663" s="218"/>
      <c r="H2663" s="219"/>
      <c r="I2663" s="223">
        <f>IF($C2663="","",IF(ISNUMBER(MATCH($C2663,'Phản ánh'!$A$6:$A$505,0)),"Phản ánh",IF(ISNUMBER(MATCH($C2663,'Kế hoạch'!$A$6:$A$305,0)),"Công việc","Mã chưa có")))</f>
      </c>
      <c r="J2663" s="221">
        <f>IF($I2663="Phản ánh",INDEX('Phản ánh'!$C$6:$C$505,MATCH($C2663,'Phản ánh'!$A$6:$A$505,0)),IF($I2663="Công việc",INDEX('Kế hoạch'!$C$6:$C$305,$O2663),""))</f>
      </c>
      <c r="K2663" s="221">
        <f>IF($I2663="Phản ánh",INDEX('Phản ánh'!$K$6:$K$505,MATCH($C2663,'Phản ánh'!$A$6:$A$505,0))&amp;"",IF($I2663="Công việc",INDEX('Kế hoạch'!$N$6:$N$305,$O2663)&amp;"",""))</f>
      </c>
      <c r="L2663" s="220">
        <f>IF(OR($C2663="",N($B2663)=0),"",IF(AND($I2663="Phản ánh",$E2663="Đã xử lý"),INDEX('Phản ánh'!$U$6:$U$505,MATCH($C2663,'Phản ánh'!$A$6:$A$505,0)),IF(AND($I2663="Công việc",OR($E2663="Hoàn thành",$E2663="Hoàn thành kỳ")),IF(INDEX('Kế hoạch'!$B$6:$B$305,$O2663)="Đột xuất",INDEX('Kế hoạch'!$AY$6:$AY$305,$O2663),IF(N($P2663)=0,"",IF(INT($B2663)&lt;$P2663,$P2663,IF($Q2663&gt;0,$P2663+ROUND((INT($B2663)-$P2663)/$Q2663,0)*$Q2663,IF($R2663&gt;0,EDATE($P2663,ROUND((DATEDIF($P2663,INT($B2663),"m")+(INT($B2663)-EDATE($P2663,DATEDIF($P2663,INT($B2663),"m")))/(EDATE($P2663,DATEDIF($P2663,INT($B2663),"m")+1)-EDATE($P2663,DATEDIF($P2663,INT($B2663),"m"))))/$R2663,0)*$R2663),$P2663))))),"")))</f>
      </c>
      <c r="M2663" s="223">
        <f>IF(OR($C2663="",N($L2663)=0,N($B2663)=0),"",IF(IF(MOD($L2663,1)=0,INT($B2663),$B2663)&lt;=$L2663,"Đúng hạn","Trễ hạn"))</f>
      </c>
      <c r="N2663" s="225">
        <f>IF($C2663="","",ROW())</f>
      </c>
      <c r="O2663" s="225">
        <f>IF($I2663="Công việc",MATCH($C2663,'Kế hoạch'!$A$6:$A$305,0),"")</f>
      </c>
      <c r="P2663" s="234">
        <f>IF($O2663="","",INDEX('Kế hoạch'!$I$6:$I$305,$O2663))</f>
      </c>
      <c r="Q2663" s="225">
        <f>IF($O2663="","",INDEX('Kế hoạch'!$AJ$6:$AJ$305,$O2663))</f>
      </c>
      <c r="R2663" s="225">
        <f>IF($O2663="","",INDEX('Kế hoạch'!$AK$6:$AK$305,$O2663))</f>
      </c>
    </row>
    <row r="2664">
      <c r="A2664" s="223">
        <f>IF($C2664="","",COUNTIF($C$6:$C2664,"?*"))</f>
      </c>
      <c r="B2664" s="217"/>
      <c r="C2664" s="216"/>
      <c r="D2664" s="240"/>
      <c r="E2664" s="218"/>
      <c r="F2664" s="218"/>
      <c r="G2664" s="218"/>
      <c r="H2664" s="219"/>
      <c r="I2664" s="223">
        <f>IF($C2664="","",IF(ISNUMBER(MATCH($C2664,'Phản ánh'!$A$6:$A$505,0)),"Phản ánh",IF(ISNUMBER(MATCH($C2664,'Kế hoạch'!$A$6:$A$305,0)),"Công việc","Mã chưa có")))</f>
      </c>
      <c r="J2664" s="221">
        <f>IF($I2664="Phản ánh",INDEX('Phản ánh'!$C$6:$C$505,MATCH($C2664,'Phản ánh'!$A$6:$A$505,0)),IF($I2664="Công việc",INDEX('Kế hoạch'!$C$6:$C$305,$O2664),""))</f>
      </c>
      <c r="K2664" s="221">
        <f>IF($I2664="Phản ánh",INDEX('Phản ánh'!$K$6:$K$505,MATCH($C2664,'Phản ánh'!$A$6:$A$505,0))&amp;"",IF($I2664="Công việc",INDEX('Kế hoạch'!$N$6:$N$305,$O2664)&amp;"",""))</f>
      </c>
      <c r="L2664" s="220">
        <f>IF(OR($C2664="",N($B2664)=0),"",IF(AND($I2664="Phản ánh",$E2664="Đã xử lý"),INDEX('Phản ánh'!$U$6:$U$505,MATCH($C2664,'Phản ánh'!$A$6:$A$505,0)),IF(AND($I2664="Công việc",OR($E2664="Hoàn thành",$E2664="Hoàn thành kỳ")),IF(INDEX('Kế hoạch'!$B$6:$B$305,$O2664)="Đột xuất",INDEX('Kế hoạch'!$AY$6:$AY$305,$O2664),IF(N($P2664)=0,"",IF(INT($B2664)&lt;$P2664,$P2664,IF($Q2664&gt;0,$P2664+ROUND((INT($B2664)-$P2664)/$Q2664,0)*$Q2664,IF($R2664&gt;0,EDATE($P2664,ROUND((DATEDIF($P2664,INT($B2664),"m")+(INT($B2664)-EDATE($P2664,DATEDIF($P2664,INT($B2664),"m")))/(EDATE($P2664,DATEDIF($P2664,INT($B2664),"m")+1)-EDATE($P2664,DATEDIF($P2664,INT($B2664),"m"))))/$R2664,0)*$R2664),$P2664))))),"")))</f>
      </c>
      <c r="M2664" s="223">
        <f>IF(OR($C2664="",N($L2664)=0,N($B2664)=0),"",IF(IF(MOD($L2664,1)=0,INT($B2664),$B2664)&lt;=$L2664,"Đúng hạn","Trễ hạn"))</f>
      </c>
      <c r="N2664" s="225">
        <f>IF($C2664="","",ROW())</f>
      </c>
      <c r="O2664" s="225">
        <f>IF($I2664="Công việc",MATCH($C2664,'Kế hoạch'!$A$6:$A$305,0),"")</f>
      </c>
      <c r="P2664" s="234">
        <f>IF($O2664="","",INDEX('Kế hoạch'!$I$6:$I$305,$O2664))</f>
      </c>
      <c r="Q2664" s="225">
        <f>IF($O2664="","",INDEX('Kế hoạch'!$AJ$6:$AJ$305,$O2664))</f>
      </c>
      <c r="R2664" s="225">
        <f>IF($O2664="","",INDEX('Kế hoạch'!$AK$6:$AK$305,$O2664))</f>
      </c>
    </row>
    <row r="2665">
      <c r="A2665" s="223">
        <f>IF($C2665="","",COUNTIF($C$6:$C2665,"?*"))</f>
      </c>
      <c r="B2665" s="217"/>
      <c r="C2665" s="216"/>
      <c r="D2665" s="240"/>
      <c r="E2665" s="218"/>
      <c r="F2665" s="218"/>
      <c r="G2665" s="218"/>
      <c r="H2665" s="219"/>
      <c r="I2665" s="223">
        <f>IF($C2665="","",IF(ISNUMBER(MATCH($C2665,'Phản ánh'!$A$6:$A$505,0)),"Phản ánh",IF(ISNUMBER(MATCH($C2665,'Kế hoạch'!$A$6:$A$305,0)),"Công việc","Mã chưa có")))</f>
      </c>
      <c r="J2665" s="221">
        <f>IF($I2665="Phản ánh",INDEX('Phản ánh'!$C$6:$C$505,MATCH($C2665,'Phản ánh'!$A$6:$A$505,0)),IF($I2665="Công việc",INDEX('Kế hoạch'!$C$6:$C$305,$O2665),""))</f>
      </c>
      <c r="K2665" s="221">
        <f>IF($I2665="Phản ánh",INDEX('Phản ánh'!$K$6:$K$505,MATCH($C2665,'Phản ánh'!$A$6:$A$505,0))&amp;"",IF($I2665="Công việc",INDEX('Kế hoạch'!$N$6:$N$305,$O2665)&amp;"",""))</f>
      </c>
      <c r="L2665" s="220">
        <f>IF(OR($C2665="",N($B2665)=0),"",IF(AND($I2665="Phản ánh",$E2665="Đã xử lý"),INDEX('Phản ánh'!$U$6:$U$505,MATCH($C2665,'Phản ánh'!$A$6:$A$505,0)),IF(AND($I2665="Công việc",OR($E2665="Hoàn thành",$E2665="Hoàn thành kỳ")),IF(INDEX('Kế hoạch'!$B$6:$B$305,$O2665)="Đột xuất",INDEX('Kế hoạch'!$AY$6:$AY$305,$O2665),IF(N($P2665)=0,"",IF(INT($B2665)&lt;$P2665,$P2665,IF($Q2665&gt;0,$P2665+ROUND((INT($B2665)-$P2665)/$Q2665,0)*$Q2665,IF($R2665&gt;0,EDATE($P2665,ROUND((DATEDIF($P2665,INT($B2665),"m")+(INT($B2665)-EDATE($P2665,DATEDIF($P2665,INT($B2665),"m")))/(EDATE($P2665,DATEDIF($P2665,INT($B2665),"m")+1)-EDATE($P2665,DATEDIF($P2665,INT($B2665),"m"))))/$R2665,0)*$R2665),$P2665))))),"")))</f>
      </c>
      <c r="M2665" s="223">
        <f>IF(OR($C2665="",N($L2665)=0,N($B2665)=0),"",IF(IF(MOD($L2665,1)=0,INT($B2665),$B2665)&lt;=$L2665,"Đúng hạn","Trễ hạn"))</f>
      </c>
      <c r="N2665" s="225">
        <f>IF($C2665="","",ROW())</f>
      </c>
      <c r="O2665" s="225">
        <f>IF($I2665="Công việc",MATCH($C2665,'Kế hoạch'!$A$6:$A$305,0),"")</f>
      </c>
      <c r="P2665" s="234">
        <f>IF($O2665="","",INDEX('Kế hoạch'!$I$6:$I$305,$O2665))</f>
      </c>
      <c r="Q2665" s="225">
        <f>IF($O2665="","",INDEX('Kế hoạch'!$AJ$6:$AJ$305,$O2665))</f>
      </c>
      <c r="R2665" s="225">
        <f>IF($O2665="","",INDEX('Kế hoạch'!$AK$6:$AK$305,$O2665))</f>
      </c>
    </row>
    <row r="2666">
      <c r="A2666" s="223">
        <f>IF($C2666="","",COUNTIF($C$6:$C2666,"?*"))</f>
      </c>
      <c r="B2666" s="217"/>
      <c r="C2666" s="216"/>
      <c r="D2666" s="240"/>
      <c r="E2666" s="218"/>
      <c r="F2666" s="218"/>
      <c r="G2666" s="218"/>
      <c r="H2666" s="219"/>
      <c r="I2666" s="223">
        <f>IF($C2666="","",IF(ISNUMBER(MATCH($C2666,'Phản ánh'!$A$6:$A$505,0)),"Phản ánh",IF(ISNUMBER(MATCH($C2666,'Kế hoạch'!$A$6:$A$305,0)),"Công việc","Mã chưa có")))</f>
      </c>
      <c r="J2666" s="221">
        <f>IF($I2666="Phản ánh",INDEX('Phản ánh'!$C$6:$C$505,MATCH($C2666,'Phản ánh'!$A$6:$A$505,0)),IF($I2666="Công việc",INDEX('Kế hoạch'!$C$6:$C$305,$O2666),""))</f>
      </c>
      <c r="K2666" s="221">
        <f>IF($I2666="Phản ánh",INDEX('Phản ánh'!$K$6:$K$505,MATCH($C2666,'Phản ánh'!$A$6:$A$505,0))&amp;"",IF($I2666="Công việc",INDEX('Kế hoạch'!$N$6:$N$305,$O2666)&amp;"",""))</f>
      </c>
      <c r="L2666" s="220">
        <f>IF(OR($C2666="",N($B2666)=0),"",IF(AND($I2666="Phản ánh",$E2666="Đã xử lý"),INDEX('Phản ánh'!$U$6:$U$505,MATCH($C2666,'Phản ánh'!$A$6:$A$505,0)),IF(AND($I2666="Công việc",OR($E2666="Hoàn thành",$E2666="Hoàn thành kỳ")),IF(INDEX('Kế hoạch'!$B$6:$B$305,$O2666)="Đột xuất",INDEX('Kế hoạch'!$AY$6:$AY$305,$O2666),IF(N($P2666)=0,"",IF(INT($B2666)&lt;$P2666,$P2666,IF($Q2666&gt;0,$P2666+ROUND((INT($B2666)-$P2666)/$Q2666,0)*$Q2666,IF($R2666&gt;0,EDATE($P2666,ROUND((DATEDIF($P2666,INT($B2666),"m")+(INT($B2666)-EDATE($P2666,DATEDIF($P2666,INT($B2666),"m")))/(EDATE($P2666,DATEDIF($P2666,INT($B2666),"m")+1)-EDATE($P2666,DATEDIF($P2666,INT($B2666),"m"))))/$R2666,0)*$R2666),$P2666))))),"")))</f>
      </c>
      <c r="M2666" s="223">
        <f>IF(OR($C2666="",N($L2666)=0,N($B2666)=0),"",IF(IF(MOD($L2666,1)=0,INT($B2666),$B2666)&lt;=$L2666,"Đúng hạn","Trễ hạn"))</f>
      </c>
      <c r="N2666" s="225">
        <f>IF($C2666="","",ROW())</f>
      </c>
      <c r="O2666" s="225">
        <f>IF($I2666="Công việc",MATCH($C2666,'Kế hoạch'!$A$6:$A$305,0),"")</f>
      </c>
      <c r="P2666" s="234">
        <f>IF($O2666="","",INDEX('Kế hoạch'!$I$6:$I$305,$O2666))</f>
      </c>
      <c r="Q2666" s="225">
        <f>IF($O2666="","",INDEX('Kế hoạch'!$AJ$6:$AJ$305,$O2666))</f>
      </c>
      <c r="R2666" s="225">
        <f>IF($O2666="","",INDEX('Kế hoạch'!$AK$6:$AK$305,$O2666))</f>
      </c>
    </row>
    <row r="2667">
      <c r="A2667" s="223">
        <f>IF($C2667="","",COUNTIF($C$6:$C2667,"?*"))</f>
      </c>
      <c r="B2667" s="217"/>
      <c r="C2667" s="216"/>
      <c r="D2667" s="240"/>
      <c r="E2667" s="218"/>
      <c r="F2667" s="218"/>
      <c r="G2667" s="218"/>
      <c r="H2667" s="219"/>
      <c r="I2667" s="223">
        <f>IF($C2667="","",IF(ISNUMBER(MATCH($C2667,'Phản ánh'!$A$6:$A$505,0)),"Phản ánh",IF(ISNUMBER(MATCH($C2667,'Kế hoạch'!$A$6:$A$305,0)),"Công việc","Mã chưa có")))</f>
      </c>
      <c r="J2667" s="221">
        <f>IF($I2667="Phản ánh",INDEX('Phản ánh'!$C$6:$C$505,MATCH($C2667,'Phản ánh'!$A$6:$A$505,0)),IF($I2667="Công việc",INDEX('Kế hoạch'!$C$6:$C$305,$O2667),""))</f>
      </c>
      <c r="K2667" s="221">
        <f>IF($I2667="Phản ánh",INDEX('Phản ánh'!$K$6:$K$505,MATCH($C2667,'Phản ánh'!$A$6:$A$505,0))&amp;"",IF($I2667="Công việc",INDEX('Kế hoạch'!$N$6:$N$305,$O2667)&amp;"",""))</f>
      </c>
      <c r="L2667" s="220">
        <f>IF(OR($C2667="",N($B2667)=0),"",IF(AND($I2667="Phản ánh",$E2667="Đã xử lý"),INDEX('Phản ánh'!$U$6:$U$505,MATCH($C2667,'Phản ánh'!$A$6:$A$505,0)),IF(AND($I2667="Công việc",OR($E2667="Hoàn thành",$E2667="Hoàn thành kỳ")),IF(INDEX('Kế hoạch'!$B$6:$B$305,$O2667)="Đột xuất",INDEX('Kế hoạch'!$AY$6:$AY$305,$O2667),IF(N($P2667)=0,"",IF(INT($B2667)&lt;$P2667,$P2667,IF($Q2667&gt;0,$P2667+ROUND((INT($B2667)-$P2667)/$Q2667,0)*$Q2667,IF($R2667&gt;0,EDATE($P2667,ROUND((DATEDIF($P2667,INT($B2667),"m")+(INT($B2667)-EDATE($P2667,DATEDIF($P2667,INT($B2667),"m")))/(EDATE($P2667,DATEDIF($P2667,INT($B2667),"m")+1)-EDATE($P2667,DATEDIF($P2667,INT($B2667),"m"))))/$R2667,0)*$R2667),$P2667))))),"")))</f>
      </c>
      <c r="M2667" s="223">
        <f>IF(OR($C2667="",N($L2667)=0,N($B2667)=0),"",IF(IF(MOD($L2667,1)=0,INT($B2667),$B2667)&lt;=$L2667,"Đúng hạn","Trễ hạn"))</f>
      </c>
      <c r="N2667" s="225">
        <f>IF($C2667="","",ROW())</f>
      </c>
      <c r="O2667" s="225">
        <f>IF($I2667="Công việc",MATCH($C2667,'Kế hoạch'!$A$6:$A$305,0),"")</f>
      </c>
      <c r="P2667" s="234">
        <f>IF($O2667="","",INDEX('Kế hoạch'!$I$6:$I$305,$O2667))</f>
      </c>
      <c r="Q2667" s="225">
        <f>IF($O2667="","",INDEX('Kế hoạch'!$AJ$6:$AJ$305,$O2667))</f>
      </c>
      <c r="R2667" s="225">
        <f>IF($O2667="","",INDEX('Kế hoạch'!$AK$6:$AK$305,$O2667))</f>
      </c>
    </row>
    <row r="2668">
      <c r="A2668" s="223">
        <f>IF($C2668="","",COUNTIF($C$6:$C2668,"?*"))</f>
      </c>
      <c r="B2668" s="217"/>
      <c r="C2668" s="216"/>
      <c r="D2668" s="240"/>
      <c r="E2668" s="218"/>
      <c r="F2668" s="218"/>
      <c r="G2668" s="218"/>
      <c r="H2668" s="219"/>
      <c r="I2668" s="223">
        <f>IF($C2668="","",IF(ISNUMBER(MATCH($C2668,'Phản ánh'!$A$6:$A$505,0)),"Phản ánh",IF(ISNUMBER(MATCH($C2668,'Kế hoạch'!$A$6:$A$305,0)),"Công việc","Mã chưa có")))</f>
      </c>
      <c r="J2668" s="221">
        <f>IF($I2668="Phản ánh",INDEX('Phản ánh'!$C$6:$C$505,MATCH($C2668,'Phản ánh'!$A$6:$A$505,0)),IF($I2668="Công việc",INDEX('Kế hoạch'!$C$6:$C$305,$O2668),""))</f>
      </c>
      <c r="K2668" s="221">
        <f>IF($I2668="Phản ánh",INDEX('Phản ánh'!$K$6:$K$505,MATCH($C2668,'Phản ánh'!$A$6:$A$505,0))&amp;"",IF($I2668="Công việc",INDEX('Kế hoạch'!$N$6:$N$305,$O2668)&amp;"",""))</f>
      </c>
      <c r="L2668" s="220">
        <f>IF(OR($C2668="",N($B2668)=0),"",IF(AND($I2668="Phản ánh",$E2668="Đã xử lý"),INDEX('Phản ánh'!$U$6:$U$505,MATCH($C2668,'Phản ánh'!$A$6:$A$505,0)),IF(AND($I2668="Công việc",OR($E2668="Hoàn thành",$E2668="Hoàn thành kỳ")),IF(INDEX('Kế hoạch'!$B$6:$B$305,$O2668)="Đột xuất",INDEX('Kế hoạch'!$AY$6:$AY$305,$O2668),IF(N($P2668)=0,"",IF(INT($B2668)&lt;$P2668,$P2668,IF($Q2668&gt;0,$P2668+ROUND((INT($B2668)-$P2668)/$Q2668,0)*$Q2668,IF($R2668&gt;0,EDATE($P2668,ROUND((DATEDIF($P2668,INT($B2668),"m")+(INT($B2668)-EDATE($P2668,DATEDIF($P2668,INT($B2668),"m")))/(EDATE($P2668,DATEDIF($P2668,INT($B2668),"m")+1)-EDATE($P2668,DATEDIF($P2668,INT($B2668),"m"))))/$R2668,0)*$R2668),$P2668))))),"")))</f>
      </c>
      <c r="M2668" s="223">
        <f>IF(OR($C2668="",N($L2668)=0,N($B2668)=0),"",IF(IF(MOD($L2668,1)=0,INT($B2668),$B2668)&lt;=$L2668,"Đúng hạn","Trễ hạn"))</f>
      </c>
      <c r="N2668" s="225">
        <f>IF($C2668="","",ROW())</f>
      </c>
      <c r="O2668" s="225">
        <f>IF($I2668="Công việc",MATCH($C2668,'Kế hoạch'!$A$6:$A$305,0),"")</f>
      </c>
      <c r="P2668" s="234">
        <f>IF($O2668="","",INDEX('Kế hoạch'!$I$6:$I$305,$O2668))</f>
      </c>
      <c r="Q2668" s="225">
        <f>IF($O2668="","",INDEX('Kế hoạch'!$AJ$6:$AJ$305,$O2668))</f>
      </c>
      <c r="R2668" s="225">
        <f>IF($O2668="","",INDEX('Kế hoạch'!$AK$6:$AK$305,$O2668))</f>
      </c>
    </row>
    <row r="2669">
      <c r="A2669" s="223">
        <f>IF($C2669="","",COUNTIF($C$6:$C2669,"?*"))</f>
      </c>
      <c r="B2669" s="217"/>
      <c r="C2669" s="216"/>
      <c r="D2669" s="240"/>
      <c r="E2669" s="218"/>
      <c r="F2669" s="218"/>
      <c r="G2669" s="218"/>
      <c r="H2669" s="219"/>
      <c r="I2669" s="223">
        <f>IF($C2669="","",IF(ISNUMBER(MATCH($C2669,'Phản ánh'!$A$6:$A$505,0)),"Phản ánh",IF(ISNUMBER(MATCH($C2669,'Kế hoạch'!$A$6:$A$305,0)),"Công việc","Mã chưa có")))</f>
      </c>
      <c r="J2669" s="221">
        <f>IF($I2669="Phản ánh",INDEX('Phản ánh'!$C$6:$C$505,MATCH($C2669,'Phản ánh'!$A$6:$A$505,0)),IF($I2669="Công việc",INDEX('Kế hoạch'!$C$6:$C$305,$O2669),""))</f>
      </c>
      <c r="K2669" s="221">
        <f>IF($I2669="Phản ánh",INDEX('Phản ánh'!$K$6:$K$505,MATCH($C2669,'Phản ánh'!$A$6:$A$505,0))&amp;"",IF($I2669="Công việc",INDEX('Kế hoạch'!$N$6:$N$305,$O2669)&amp;"",""))</f>
      </c>
      <c r="L2669" s="220">
        <f>IF(OR($C2669="",N($B2669)=0),"",IF(AND($I2669="Phản ánh",$E2669="Đã xử lý"),INDEX('Phản ánh'!$U$6:$U$505,MATCH($C2669,'Phản ánh'!$A$6:$A$505,0)),IF(AND($I2669="Công việc",OR($E2669="Hoàn thành",$E2669="Hoàn thành kỳ")),IF(INDEX('Kế hoạch'!$B$6:$B$305,$O2669)="Đột xuất",INDEX('Kế hoạch'!$AY$6:$AY$305,$O2669),IF(N($P2669)=0,"",IF(INT($B2669)&lt;$P2669,$P2669,IF($Q2669&gt;0,$P2669+ROUND((INT($B2669)-$P2669)/$Q2669,0)*$Q2669,IF($R2669&gt;0,EDATE($P2669,ROUND((DATEDIF($P2669,INT($B2669),"m")+(INT($B2669)-EDATE($P2669,DATEDIF($P2669,INT($B2669),"m")))/(EDATE($P2669,DATEDIF($P2669,INT($B2669),"m")+1)-EDATE($P2669,DATEDIF($P2669,INT($B2669),"m"))))/$R2669,0)*$R2669),$P2669))))),"")))</f>
      </c>
      <c r="M2669" s="223">
        <f>IF(OR($C2669="",N($L2669)=0,N($B2669)=0),"",IF(IF(MOD($L2669,1)=0,INT($B2669),$B2669)&lt;=$L2669,"Đúng hạn","Trễ hạn"))</f>
      </c>
      <c r="N2669" s="225">
        <f>IF($C2669="","",ROW())</f>
      </c>
      <c r="O2669" s="225">
        <f>IF($I2669="Công việc",MATCH($C2669,'Kế hoạch'!$A$6:$A$305,0),"")</f>
      </c>
      <c r="P2669" s="234">
        <f>IF($O2669="","",INDEX('Kế hoạch'!$I$6:$I$305,$O2669))</f>
      </c>
      <c r="Q2669" s="225">
        <f>IF($O2669="","",INDEX('Kế hoạch'!$AJ$6:$AJ$305,$O2669))</f>
      </c>
      <c r="R2669" s="225">
        <f>IF($O2669="","",INDEX('Kế hoạch'!$AK$6:$AK$305,$O2669))</f>
      </c>
    </row>
    <row r="2670">
      <c r="A2670" s="223">
        <f>IF($C2670="","",COUNTIF($C$6:$C2670,"?*"))</f>
      </c>
      <c r="B2670" s="217"/>
      <c r="C2670" s="216"/>
      <c r="D2670" s="240"/>
      <c r="E2670" s="218"/>
      <c r="F2670" s="218"/>
      <c r="G2670" s="218"/>
      <c r="H2670" s="219"/>
      <c r="I2670" s="223">
        <f>IF($C2670="","",IF(ISNUMBER(MATCH($C2670,'Phản ánh'!$A$6:$A$505,0)),"Phản ánh",IF(ISNUMBER(MATCH($C2670,'Kế hoạch'!$A$6:$A$305,0)),"Công việc","Mã chưa có")))</f>
      </c>
      <c r="J2670" s="221">
        <f>IF($I2670="Phản ánh",INDEX('Phản ánh'!$C$6:$C$505,MATCH($C2670,'Phản ánh'!$A$6:$A$505,0)),IF($I2670="Công việc",INDEX('Kế hoạch'!$C$6:$C$305,$O2670),""))</f>
      </c>
      <c r="K2670" s="221">
        <f>IF($I2670="Phản ánh",INDEX('Phản ánh'!$K$6:$K$505,MATCH($C2670,'Phản ánh'!$A$6:$A$505,0))&amp;"",IF($I2670="Công việc",INDEX('Kế hoạch'!$N$6:$N$305,$O2670)&amp;"",""))</f>
      </c>
      <c r="L2670" s="220">
        <f>IF(OR($C2670="",N($B2670)=0),"",IF(AND($I2670="Phản ánh",$E2670="Đã xử lý"),INDEX('Phản ánh'!$U$6:$U$505,MATCH($C2670,'Phản ánh'!$A$6:$A$505,0)),IF(AND($I2670="Công việc",OR($E2670="Hoàn thành",$E2670="Hoàn thành kỳ")),IF(INDEX('Kế hoạch'!$B$6:$B$305,$O2670)="Đột xuất",INDEX('Kế hoạch'!$AY$6:$AY$305,$O2670),IF(N($P2670)=0,"",IF(INT($B2670)&lt;$P2670,$P2670,IF($Q2670&gt;0,$P2670+ROUND((INT($B2670)-$P2670)/$Q2670,0)*$Q2670,IF($R2670&gt;0,EDATE($P2670,ROUND((DATEDIF($P2670,INT($B2670),"m")+(INT($B2670)-EDATE($P2670,DATEDIF($P2670,INT($B2670),"m")))/(EDATE($P2670,DATEDIF($P2670,INT($B2670),"m")+1)-EDATE($P2670,DATEDIF($P2670,INT($B2670),"m"))))/$R2670,0)*$R2670),$P2670))))),"")))</f>
      </c>
      <c r="M2670" s="223">
        <f>IF(OR($C2670="",N($L2670)=0,N($B2670)=0),"",IF(IF(MOD($L2670,1)=0,INT($B2670),$B2670)&lt;=$L2670,"Đúng hạn","Trễ hạn"))</f>
      </c>
      <c r="N2670" s="225">
        <f>IF($C2670="","",ROW())</f>
      </c>
      <c r="O2670" s="225">
        <f>IF($I2670="Công việc",MATCH($C2670,'Kế hoạch'!$A$6:$A$305,0),"")</f>
      </c>
      <c r="P2670" s="234">
        <f>IF($O2670="","",INDEX('Kế hoạch'!$I$6:$I$305,$O2670))</f>
      </c>
      <c r="Q2670" s="225">
        <f>IF($O2670="","",INDEX('Kế hoạch'!$AJ$6:$AJ$305,$O2670))</f>
      </c>
      <c r="R2670" s="225">
        <f>IF($O2670="","",INDEX('Kế hoạch'!$AK$6:$AK$305,$O2670))</f>
      </c>
    </row>
    <row r="2671">
      <c r="A2671" s="223">
        <f>IF($C2671="","",COUNTIF($C$6:$C2671,"?*"))</f>
      </c>
      <c r="B2671" s="217"/>
      <c r="C2671" s="216"/>
      <c r="D2671" s="240"/>
      <c r="E2671" s="218"/>
      <c r="F2671" s="218"/>
      <c r="G2671" s="218"/>
      <c r="H2671" s="219"/>
      <c r="I2671" s="223">
        <f>IF($C2671="","",IF(ISNUMBER(MATCH($C2671,'Phản ánh'!$A$6:$A$505,0)),"Phản ánh",IF(ISNUMBER(MATCH($C2671,'Kế hoạch'!$A$6:$A$305,0)),"Công việc","Mã chưa có")))</f>
      </c>
      <c r="J2671" s="221">
        <f>IF($I2671="Phản ánh",INDEX('Phản ánh'!$C$6:$C$505,MATCH($C2671,'Phản ánh'!$A$6:$A$505,0)),IF($I2671="Công việc",INDEX('Kế hoạch'!$C$6:$C$305,$O2671),""))</f>
      </c>
      <c r="K2671" s="221">
        <f>IF($I2671="Phản ánh",INDEX('Phản ánh'!$K$6:$K$505,MATCH($C2671,'Phản ánh'!$A$6:$A$505,0))&amp;"",IF($I2671="Công việc",INDEX('Kế hoạch'!$N$6:$N$305,$O2671)&amp;"",""))</f>
      </c>
      <c r="L2671" s="220">
        <f>IF(OR($C2671="",N($B2671)=0),"",IF(AND($I2671="Phản ánh",$E2671="Đã xử lý"),INDEX('Phản ánh'!$U$6:$U$505,MATCH($C2671,'Phản ánh'!$A$6:$A$505,0)),IF(AND($I2671="Công việc",OR($E2671="Hoàn thành",$E2671="Hoàn thành kỳ")),IF(INDEX('Kế hoạch'!$B$6:$B$305,$O2671)="Đột xuất",INDEX('Kế hoạch'!$AY$6:$AY$305,$O2671),IF(N($P2671)=0,"",IF(INT($B2671)&lt;$P2671,$P2671,IF($Q2671&gt;0,$P2671+ROUND((INT($B2671)-$P2671)/$Q2671,0)*$Q2671,IF($R2671&gt;0,EDATE($P2671,ROUND((DATEDIF($P2671,INT($B2671),"m")+(INT($B2671)-EDATE($P2671,DATEDIF($P2671,INT($B2671),"m")))/(EDATE($P2671,DATEDIF($P2671,INT($B2671),"m")+1)-EDATE($P2671,DATEDIF($P2671,INT($B2671),"m"))))/$R2671,0)*$R2671),$P2671))))),"")))</f>
      </c>
      <c r="M2671" s="223">
        <f>IF(OR($C2671="",N($L2671)=0,N($B2671)=0),"",IF(IF(MOD($L2671,1)=0,INT($B2671),$B2671)&lt;=$L2671,"Đúng hạn","Trễ hạn"))</f>
      </c>
      <c r="N2671" s="225">
        <f>IF($C2671="","",ROW())</f>
      </c>
      <c r="O2671" s="225">
        <f>IF($I2671="Công việc",MATCH($C2671,'Kế hoạch'!$A$6:$A$305,0),"")</f>
      </c>
      <c r="P2671" s="234">
        <f>IF($O2671="","",INDEX('Kế hoạch'!$I$6:$I$305,$O2671))</f>
      </c>
      <c r="Q2671" s="225">
        <f>IF($O2671="","",INDEX('Kế hoạch'!$AJ$6:$AJ$305,$O2671))</f>
      </c>
      <c r="R2671" s="225">
        <f>IF($O2671="","",INDEX('Kế hoạch'!$AK$6:$AK$305,$O2671))</f>
      </c>
    </row>
    <row r="2672">
      <c r="A2672" s="223">
        <f>IF($C2672="","",COUNTIF($C$6:$C2672,"?*"))</f>
      </c>
      <c r="B2672" s="217"/>
      <c r="C2672" s="216"/>
      <c r="D2672" s="240"/>
      <c r="E2672" s="218"/>
      <c r="F2672" s="218"/>
      <c r="G2672" s="218"/>
      <c r="H2672" s="219"/>
      <c r="I2672" s="223">
        <f>IF($C2672="","",IF(ISNUMBER(MATCH($C2672,'Phản ánh'!$A$6:$A$505,0)),"Phản ánh",IF(ISNUMBER(MATCH($C2672,'Kế hoạch'!$A$6:$A$305,0)),"Công việc","Mã chưa có")))</f>
      </c>
      <c r="J2672" s="221">
        <f>IF($I2672="Phản ánh",INDEX('Phản ánh'!$C$6:$C$505,MATCH($C2672,'Phản ánh'!$A$6:$A$505,0)),IF($I2672="Công việc",INDEX('Kế hoạch'!$C$6:$C$305,$O2672),""))</f>
      </c>
      <c r="K2672" s="221">
        <f>IF($I2672="Phản ánh",INDEX('Phản ánh'!$K$6:$K$505,MATCH($C2672,'Phản ánh'!$A$6:$A$505,0))&amp;"",IF($I2672="Công việc",INDEX('Kế hoạch'!$N$6:$N$305,$O2672)&amp;"",""))</f>
      </c>
      <c r="L2672" s="220">
        <f>IF(OR($C2672="",N($B2672)=0),"",IF(AND($I2672="Phản ánh",$E2672="Đã xử lý"),INDEX('Phản ánh'!$U$6:$U$505,MATCH($C2672,'Phản ánh'!$A$6:$A$505,0)),IF(AND($I2672="Công việc",OR($E2672="Hoàn thành",$E2672="Hoàn thành kỳ")),IF(INDEX('Kế hoạch'!$B$6:$B$305,$O2672)="Đột xuất",INDEX('Kế hoạch'!$AY$6:$AY$305,$O2672),IF(N($P2672)=0,"",IF(INT($B2672)&lt;$P2672,$P2672,IF($Q2672&gt;0,$P2672+ROUND((INT($B2672)-$P2672)/$Q2672,0)*$Q2672,IF($R2672&gt;0,EDATE($P2672,ROUND((DATEDIF($P2672,INT($B2672),"m")+(INT($B2672)-EDATE($P2672,DATEDIF($P2672,INT($B2672),"m")))/(EDATE($P2672,DATEDIF($P2672,INT($B2672),"m")+1)-EDATE($P2672,DATEDIF($P2672,INT($B2672),"m"))))/$R2672,0)*$R2672),$P2672))))),"")))</f>
      </c>
      <c r="M2672" s="223">
        <f>IF(OR($C2672="",N($L2672)=0,N($B2672)=0),"",IF(IF(MOD($L2672,1)=0,INT($B2672),$B2672)&lt;=$L2672,"Đúng hạn","Trễ hạn"))</f>
      </c>
      <c r="N2672" s="225">
        <f>IF($C2672="","",ROW())</f>
      </c>
      <c r="O2672" s="225">
        <f>IF($I2672="Công việc",MATCH($C2672,'Kế hoạch'!$A$6:$A$305,0),"")</f>
      </c>
      <c r="P2672" s="234">
        <f>IF($O2672="","",INDEX('Kế hoạch'!$I$6:$I$305,$O2672))</f>
      </c>
      <c r="Q2672" s="225">
        <f>IF($O2672="","",INDEX('Kế hoạch'!$AJ$6:$AJ$305,$O2672))</f>
      </c>
      <c r="R2672" s="225">
        <f>IF($O2672="","",INDEX('Kế hoạch'!$AK$6:$AK$305,$O2672))</f>
      </c>
    </row>
    <row r="2673">
      <c r="A2673" s="223">
        <f>IF($C2673="","",COUNTIF($C$6:$C2673,"?*"))</f>
      </c>
      <c r="B2673" s="217"/>
      <c r="C2673" s="216"/>
      <c r="D2673" s="240"/>
      <c r="E2673" s="218"/>
      <c r="F2673" s="218"/>
      <c r="G2673" s="218"/>
      <c r="H2673" s="219"/>
      <c r="I2673" s="223">
        <f>IF($C2673="","",IF(ISNUMBER(MATCH($C2673,'Phản ánh'!$A$6:$A$505,0)),"Phản ánh",IF(ISNUMBER(MATCH($C2673,'Kế hoạch'!$A$6:$A$305,0)),"Công việc","Mã chưa có")))</f>
      </c>
      <c r="J2673" s="221">
        <f>IF($I2673="Phản ánh",INDEX('Phản ánh'!$C$6:$C$505,MATCH($C2673,'Phản ánh'!$A$6:$A$505,0)),IF($I2673="Công việc",INDEX('Kế hoạch'!$C$6:$C$305,$O2673),""))</f>
      </c>
      <c r="K2673" s="221">
        <f>IF($I2673="Phản ánh",INDEX('Phản ánh'!$K$6:$K$505,MATCH($C2673,'Phản ánh'!$A$6:$A$505,0))&amp;"",IF($I2673="Công việc",INDEX('Kế hoạch'!$N$6:$N$305,$O2673)&amp;"",""))</f>
      </c>
      <c r="L2673" s="220">
        <f>IF(OR($C2673="",N($B2673)=0),"",IF(AND($I2673="Phản ánh",$E2673="Đã xử lý"),INDEX('Phản ánh'!$U$6:$U$505,MATCH($C2673,'Phản ánh'!$A$6:$A$505,0)),IF(AND($I2673="Công việc",OR($E2673="Hoàn thành",$E2673="Hoàn thành kỳ")),IF(INDEX('Kế hoạch'!$B$6:$B$305,$O2673)="Đột xuất",INDEX('Kế hoạch'!$AY$6:$AY$305,$O2673),IF(N($P2673)=0,"",IF(INT($B2673)&lt;$P2673,$P2673,IF($Q2673&gt;0,$P2673+ROUND((INT($B2673)-$P2673)/$Q2673,0)*$Q2673,IF($R2673&gt;0,EDATE($P2673,ROUND((DATEDIF($P2673,INT($B2673),"m")+(INT($B2673)-EDATE($P2673,DATEDIF($P2673,INT($B2673),"m")))/(EDATE($P2673,DATEDIF($P2673,INT($B2673),"m")+1)-EDATE($P2673,DATEDIF($P2673,INT($B2673),"m"))))/$R2673,0)*$R2673),$P2673))))),"")))</f>
      </c>
      <c r="M2673" s="223">
        <f>IF(OR($C2673="",N($L2673)=0,N($B2673)=0),"",IF(IF(MOD($L2673,1)=0,INT($B2673),$B2673)&lt;=$L2673,"Đúng hạn","Trễ hạn"))</f>
      </c>
      <c r="N2673" s="225">
        <f>IF($C2673="","",ROW())</f>
      </c>
      <c r="O2673" s="225">
        <f>IF($I2673="Công việc",MATCH($C2673,'Kế hoạch'!$A$6:$A$305,0),"")</f>
      </c>
      <c r="P2673" s="234">
        <f>IF($O2673="","",INDEX('Kế hoạch'!$I$6:$I$305,$O2673))</f>
      </c>
      <c r="Q2673" s="225">
        <f>IF($O2673="","",INDEX('Kế hoạch'!$AJ$6:$AJ$305,$O2673))</f>
      </c>
      <c r="R2673" s="225">
        <f>IF($O2673="","",INDEX('Kế hoạch'!$AK$6:$AK$305,$O2673))</f>
      </c>
    </row>
    <row r="2674">
      <c r="A2674" s="223">
        <f>IF($C2674="","",COUNTIF($C$6:$C2674,"?*"))</f>
      </c>
      <c r="B2674" s="217"/>
      <c r="C2674" s="216"/>
      <c r="D2674" s="240"/>
      <c r="E2674" s="218"/>
      <c r="F2674" s="218"/>
      <c r="G2674" s="218"/>
      <c r="H2674" s="219"/>
      <c r="I2674" s="223">
        <f>IF($C2674="","",IF(ISNUMBER(MATCH($C2674,'Phản ánh'!$A$6:$A$505,0)),"Phản ánh",IF(ISNUMBER(MATCH($C2674,'Kế hoạch'!$A$6:$A$305,0)),"Công việc","Mã chưa có")))</f>
      </c>
      <c r="J2674" s="221">
        <f>IF($I2674="Phản ánh",INDEX('Phản ánh'!$C$6:$C$505,MATCH($C2674,'Phản ánh'!$A$6:$A$505,0)),IF($I2674="Công việc",INDEX('Kế hoạch'!$C$6:$C$305,$O2674),""))</f>
      </c>
      <c r="K2674" s="221">
        <f>IF($I2674="Phản ánh",INDEX('Phản ánh'!$K$6:$K$505,MATCH($C2674,'Phản ánh'!$A$6:$A$505,0))&amp;"",IF($I2674="Công việc",INDEX('Kế hoạch'!$N$6:$N$305,$O2674)&amp;"",""))</f>
      </c>
      <c r="L2674" s="220">
        <f>IF(OR($C2674="",N($B2674)=0),"",IF(AND($I2674="Phản ánh",$E2674="Đã xử lý"),INDEX('Phản ánh'!$U$6:$U$505,MATCH($C2674,'Phản ánh'!$A$6:$A$505,0)),IF(AND($I2674="Công việc",OR($E2674="Hoàn thành",$E2674="Hoàn thành kỳ")),IF(INDEX('Kế hoạch'!$B$6:$B$305,$O2674)="Đột xuất",INDEX('Kế hoạch'!$AY$6:$AY$305,$O2674),IF(N($P2674)=0,"",IF(INT($B2674)&lt;$P2674,$P2674,IF($Q2674&gt;0,$P2674+ROUND((INT($B2674)-$P2674)/$Q2674,0)*$Q2674,IF($R2674&gt;0,EDATE($P2674,ROUND((DATEDIF($P2674,INT($B2674),"m")+(INT($B2674)-EDATE($P2674,DATEDIF($P2674,INT($B2674),"m")))/(EDATE($P2674,DATEDIF($P2674,INT($B2674),"m")+1)-EDATE($P2674,DATEDIF($P2674,INT($B2674),"m"))))/$R2674,0)*$R2674),$P2674))))),"")))</f>
      </c>
      <c r="M2674" s="223">
        <f>IF(OR($C2674="",N($L2674)=0,N($B2674)=0),"",IF(IF(MOD($L2674,1)=0,INT($B2674),$B2674)&lt;=$L2674,"Đúng hạn","Trễ hạn"))</f>
      </c>
      <c r="N2674" s="225">
        <f>IF($C2674="","",ROW())</f>
      </c>
      <c r="O2674" s="225">
        <f>IF($I2674="Công việc",MATCH($C2674,'Kế hoạch'!$A$6:$A$305,0),"")</f>
      </c>
      <c r="P2674" s="234">
        <f>IF($O2674="","",INDEX('Kế hoạch'!$I$6:$I$305,$O2674))</f>
      </c>
      <c r="Q2674" s="225">
        <f>IF($O2674="","",INDEX('Kế hoạch'!$AJ$6:$AJ$305,$O2674))</f>
      </c>
      <c r="R2674" s="225">
        <f>IF($O2674="","",INDEX('Kế hoạch'!$AK$6:$AK$305,$O2674))</f>
      </c>
    </row>
    <row r="2675">
      <c r="A2675" s="223">
        <f>IF($C2675="","",COUNTIF($C$6:$C2675,"?*"))</f>
      </c>
      <c r="B2675" s="217"/>
      <c r="C2675" s="216"/>
      <c r="D2675" s="240"/>
      <c r="E2675" s="218"/>
      <c r="F2675" s="218"/>
      <c r="G2675" s="218"/>
      <c r="H2675" s="219"/>
      <c r="I2675" s="223">
        <f>IF($C2675="","",IF(ISNUMBER(MATCH($C2675,'Phản ánh'!$A$6:$A$505,0)),"Phản ánh",IF(ISNUMBER(MATCH($C2675,'Kế hoạch'!$A$6:$A$305,0)),"Công việc","Mã chưa có")))</f>
      </c>
      <c r="J2675" s="221">
        <f>IF($I2675="Phản ánh",INDEX('Phản ánh'!$C$6:$C$505,MATCH($C2675,'Phản ánh'!$A$6:$A$505,0)),IF($I2675="Công việc",INDEX('Kế hoạch'!$C$6:$C$305,$O2675),""))</f>
      </c>
      <c r="K2675" s="221">
        <f>IF($I2675="Phản ánh",INDEX('Phản ánh'!$K$6:$K$505,MATCH($C2675,'Phản ánh'!$A$6:$A$505,0))&amp;"",IF($I2675="Công việc",INDEX('Kế hoạch'!$N$6:$N$305,$O2675)&amp;"",""))</f>
      </c>
      <c r="L2675" s="220">
        <f>IF(OR($C2675="",N($B2675)=0),"",IF(AND($I2675="Phản ánh",$E2675="Đã xử lý"),INDEX('Phản ánh'!$U$6:$U$505,MATCH($C2675,'Phản ánh'!$A$6:$A$505,0)),IF(AND($I2675="Công việc",OR($E2675="Hoàn thành",$E2675="Hoàn thành kỳ")),IF(INDEX('Kế hoạch'!$B$6:$B$305,$O2675)="Đột xuất",INDEX('Kế hoạch'!$AY$6:$AY$305,$O2675),IF(N($P2675)=0,"",IF(INT($B2675)&lt;$P2675,$P2675,IF($Q2675&gt;0,$P2675+ROUND((INT($B2675)-$P2675)/$Q2675,0)*$Q2675,IF($R2675&gt;0,EDATE($P2675,ROUND((DATEDIF($P2675,INT($B2675),"m")+(INT($B2675)-EDATE($P2675,DATEDIF($P2675,INT($B2675),"m")))/(EDATE($P2675,DATEDIF($P2675,INT($B2675),"m")+1)-EDATE($P2675,DATEDIF($P2675,INT($B2675),"m"))))/$R2675,0)*$R2675),$P2675))))),"")))</f>
      </c>
      <c r="M2675" s="223">
        <f>IF(OR($C2675="",N($L2675)=0,N($B2675)=0),"",IF(IF(MOD($L2675,1)=0,INT($B2675),$B2675)&lt;=$L2675,"Đúng hạn","Trễ hạn"))</f>
      </c>
      <c r="N2675" s="225">
        <f>IF($C2675="","",ROW())</f>
      </c>
      <c r="O2675" s="225">
        <f>IF($I2675="Công việc",MATCH($C2675,'Kế hoạch'!$A$6:$A$305,0),"")</f>
      </c>
      <c r="P2675" s="234">
        <f>IF($O2675="","",INDEX('Kế hoạch'!$I$6:$I$305,$O2675))</f>
      </c>
      <c r="Q2675" s="225">
        <f>IF($O2675="","",INDEX('Kế hoạch'!$AJ$6:$AJ$305,$O2675))</f>
      </c>
      <c r="R2675" s="225">
        <f>IF($O2675="","",INDEX('Kế hoạch'!$AK$6:$AK$305,$O2675))</f>
      </c>
    </row>
    <row r="2676">
      <c r="A2676" s="223">
        <f>IF($C2676="","",COUNTIF($C$6:$C2676,"?*"))</f>
      </c>
      <c r="B2676" s="217"/>
      <c r="C2676" s="216"/>
      <c r="D2676" s="240"/>
      <c r="E2676" s="218"/>
      <c r="F2676" s="218"/>
      <c r="G2676" s="218"/>
      <c r="H2676" s="219"/>
      <c r="I2676" s="223">
        <f>IF($C2676="","",IF(ISNUMBER(MATCH($C2676,'Phản ánh'!$A$6:$A$505,0)),"Phản ánh",IF(ISNUMBER(MATCH($C2676,'Kế hoạch'!$A$6:$A$305,0)),"Công việc","Mã chưa có")))</f>
      </c>
      <c r="J2676" s="221">
        <f>IF($I2676="Phản ánh",INDEX('Phản ánh'!$C$6:$C$505,MATCH($C2676,'Phản ánh'!$A$6:$A$505,0)),IF($I2676="Công việc",INDEX('Kế hoạch'!$C$6:$C$305,$O2676),""))</f>
      </c>
      <c r="K2676" s="221">
        <f>IF($I2676="Phản ánh",INDEX('Phản ánh'!$K$6:$K$505,MATCH($C2676,'Phản ánh'!$A$6:$A$505,0))&amp;"",IF($I2676="Công việc",INDEX('Kế hoạch'!$N$6:$N$305,$O2676)&amp;"",""))</f>
      </c>
      <c r="L2676" s="220">
        <f>IF(OR($C2676="",N($B2676)=0),"",IF(AND($I2676="Phản ánh",$E2676="Đã xử lý"),INDEX('Phản ánh'!$U$6:$U$505,MATCH($C2676,'Phản ánh'!$A$6:$A$505,0)),IF(AND($I2676="Công việc",OR($E2676="Hoàn thành",$E2676="Hoàn thành kỳ")),IF(INDEX('Kế hoạch'!$B$6:$B$305,$O2676)="Đột xuất",INDEX('Kế hoạch'!$AY$6:$AY$305,$O2676),IF(N($P2676)=0,"",IF(INT($B2676)&lt;$P2676,$P2676,IF($Q2676&gt;0,$P2676+ROUND((INT($B2676)-$P2676)/$Q2676,0)*$Q2676,IF($R2676&gt;0,EDATE($P2676,ROUND((DATEDIF($P2676,INT($B2676),"m")+(INT($B2676)-EDATE($P2676,DATEDIF($P2676,INT($B2676),"m")))/(EDATE($P2676,DATEDIF($P2676,INT($B2676),"m")+1)-EDATE($P2676,DATEDIF($P2676,INT($B2676),"m"))))/$R2676,0)*$R2676),$P2676))))),"")))</f>
      </c>
      <c r="M2676" s="223">
        <f>IF(OR($C2676="",N($L2676)=0,N($B2676)=0),"",IF(IF(MOD($L2676,1)=0,INT($B2676),$B2676)&lt;=$L2676,"Đúng hạn","Trễ hạn"))</f>
      </c>
      <c r="N2676" s="225">
        <f>IF($C2676="","",ROW())</f>
      </c>
      <c r="O2676" s="225">
        <f>IF($I2676="Công việc",MATCH($C2676,'Kế hoạch'!$A$6:$A$305,0),"")</f>
      </c>
      <c r="P2676" s="234">
        <f>IF($O2676="","",INDEX('Kế hoạch'!$I$6:$I$305,$O2676))</f>
      </c>
      <c r="Q2676" s="225">
        <f>IF($O2676="","",INDEX('Kế hoạch'!$AJ$6:$AJ$305,$O2676))</f>
      </c>
      <c r="R2676" s="225">
        <f>IF($O2676="","",INDEX('Kế hoạch'!$AK$6:$AK$305,$O2676))</f>
      </c>
    </row>
    <row r="2677">
      <c r="A2677" s="223">
        <f>IF($C2677="","",COUNTIF($C$6:$C2677,"?*"))</f>
      </c>
      <c r="B2677" s="217"/>
      <c r="C2677" s="216"/>
      <c r="D2677" s="240"/>
      <c r="E2677" s="218"/>
      <c r="F2677" s="218"/>
      <c r="G2677" s="218"/>
      <c r="H2677" s="219"/>
      <c r="I2677" s="223">
        <f>IF($C2677="","",IF(ISNUMBER(MATCH($C2677,'Phản ánh'!$A$6:$A$505,0)),"Phản ánh",IF(ISNUMBER(MATCH($C2677,'Kế hoạch'!$A$6:$A$305,0)),"Công việc","Mã chưa có")))</f>
      </c>
      <c r="J2677" s="221">
        <f>IF($I2677="Phản ánh",INDEX('Phản ánh'!$C$6:$C$505,MATCH($C2677,'Phản ánh'!$A$6:$A$505,0)),IF($I2677="Công việc",INDEX('Kế hoạch'!$C$6:$C$305,$O2677),""))</f>
      </c>
      <c r="K2677" s="221">
        <f>IF($I2677="Phản ánh",INDEX('Phản ánh'!$K$6:$K$505,MATCH($C2677,'Phản ánh'!$A$6:$A$505,0))&amp;"",IF($I2677="Công việc",INDEX('Kế hoạch'!$N$6:$N$305,$O2677)&amp;"",""))</f>
      </c>
      <c r="L2677" s="220">
        <f>IF(OR($C2677="",N($B2677)=0),"",IF(AND($I2677="Phản ánh",$E2677="Đã xử lý"),INDEX('Phản ánh'!$U$6:$U$505,MATCH($C2677,'Phản ánh'!$A$6:$A$505,0)),IF(AND($I2677="Công việc",OR($E2677="Hoàn thành",$E2677="Hoàn thành kỳ")),IF(INDEX('Kế hoạch'!$B$6:$B$305,$O2677)="Đột xuất",INDEX('Kế hoạch'!$AY$6:$AY$305,$O2677),IF(N($P2677)=0,"",IF(INT($B2677)&lt;$P2677,$P2677,IF($Q2677&gt;0,$P2677+ROUND((INT($B2677)-$P2677)/$Q2677,0)*$Q2677,IF($R2677&gt;0,EDATE($P2677,ROUND((DATEDIF($P2677,INT($B2677),"m")+(INT($B2677)-EDATE($P2677,DATEDIF($P2677,INT($B2677),"m")))/(EDATE($P2677,DATEDIF($P2677,INT($B2677),"m")+1)-EDATE($P2677,DATEDIF($P2677,INT($B2677),"m"))))/$R2677,0)*$R2677),$P2677))))),"")))</f>
      </c>
      <c r="M2677" s="223">
        <f>IF(OR($C2677="",N($L2677)=0,N($B2677)=0),"",IF(IF(MOD($L2677,1)=0,INT($B2677),$B2677)&lt;=$L2677,"Đúng hạn","Trễ hạn"))</f>
      </c>
      <c r="N2677" s="225">
        <f>IF($C2677="","",ROW())</f>
      </c>
      <c r="O2677" s="225">
        <f>IF($I2677="Công việc",MATCH($C2677,'Kế hoạch'!$A$6:$A$305,0),"")</f>
      </c>
      <c r="P2677" s="234">
        <f>IF($O2677="","",INDEX('Kế hoạch'!$I$6:$I$305,$O2677))</f>
      </c>
      <c r="Q2677" s="225">
        <f>IF($O2677="","",INDEX('Kế hoạch'!$AJ$6:$AJ$305,$O2677))</f>
      </c>
      <c r="R2677" s="225">
        <f>IF($O2677="","",INDEX('Kế hoạch'!$AK$6:$AK$305,$O2677))</f>
      </c>
    </row>
    <row r="2678">
      <c r="A2678" s="223">
        <f>IF($C2678="","",COUNTIF($C$6:$C2678,"?*"))</f>
      </c>
      <c r="B2678" s="217"/>
      <c r="C2678" s="216"/>
      <c r="D2678" s="240"/>
      <c r="E2678" s="218"/>
      <c r="F2678" s="218"/>
      <c r="G2678" s="218"/>
      <c r="H2678" s="219"/>
      <c r="I2678" s="223">
        <f>IF($C2678="","",IF(ISNUMBER(MATCH($C2678,'Phản ánh'!$A$6:$A$505,0)),"Phản ánh",IF(ISNUMBER(MATCH($C2678,'Kế hoạch'!$A$6:$A$305,0)),"Công việc","Mã chưa có")))</f>
      </c>
      <c r="J2678" s="221">
        <f>IF($I2678="Phản ánh",INDEX('Phản ánh'!$C$6:$C$505,MATCH($C2678,'Phản ánh'!$A$6:$A$505,0)),IF($I2678="Công việc",INDEX('Kế hoạch'!$C$6:$C$305,$O2678),""))</f>
      </c>
      <c r="K2678" s="221">
        <f>IF($I2678="Phản ánh",INDEX('Phản ánh'!$K$6:$K$505,MATCH($C2678,'Phản ánh'!$A$6:$A$505,0))&amp;"",IF($I2678="Công việc",INDEX('Kế hoạch'!$N$6:$N$305,$O2678)&amp;"",""))</f>
      </c>
      <c r="L2678" s="220">
        <f>IF(OR($C2678="",N($B2678)=0),"",IF(AND($I2678="Phản ánh",$E2678="Đã xử lý"),INDEX('Phản ánh'!$U$6:$U$505,MATCH($C2678,'Phản ánh'!$A$6:$A$505,0)),IF(AND($I2678="Công việc",OR($E2678="Hoàn thành",$E2678="Hoàn thành kỳ")),IF(INDEX('Kế hoạch'!$B$6:$B$305,$O2678)="Đột xuất",INDEX('Kế hoạch'!$AY$6:$AY$305,$O2678),IF(N($P2678)=0,"",IF(INT($B2678)&lt;$P2678,$P2678,IF($Q2678&gt;0,$P2678+ROUND((INT($B2678)-$P2678)/$Q2678,0)*$Q2678,IF($R2678&gt;0,EDATE($P2678,ROUND((DATEDIF($P2678,INT($B2678),"m")+(INT($B2678)-EDATE($P2678,DATEDIF($P2678,INT($B2678),"m")))/(EDATE($P2678,DATEDIF($P2678,INT($B2678),"m")+1)-EDATE($P2678,DATEDIF($P2678,INT($B2678),"m"))))/$R2678,0)*$R2678),$P2678))))),"")))</f>
      </c>
      <c r="M2678" s="223">
        <f>IF(OR($C2678="",N($L2678)=0,N($B2678)=0),"",IF(IF(MOD($L2678,1)=0,INT($B2678),$B2678)&lt;=$L2678,"Đúng hạn","Trễ hạn"))</f>
      </c>
      <c r="N2678" s="225">
        <f>IF($C2678="","",ROW())</f>
      </c>
      <c r="O2678" s="225">
        <f>IF($I2678="Công việc",MATCH($C2678,'Kế hoạch'!$A$6:$A$305,0),"")</f>
      </c>
      <c r="P2678" s="234">
        <f>IF($O2678="","",INDEX('Kế hoạch'!$I$6:$I$305,$O2678))</f>
      </c>
      <c r="Q2678" s="225">
        <f>IF($O2678="","",INDEX('Kế hoạch'!$AJ$6:$AJ$305,$O2678))</f>
      </c>
      <c r="R2678" s="225">
        <f>IF($O2678="","",INDEX('Kế hoạch'!$AK$6:$AK$305,$O2678))</f>
      </c>
    </row>
    <row r="2679">
      <c r="A2679" s="223">
        <f>IF($C2679="","",COUNTIF($C$6:$C2679,"?*"))</f>
      </c>
      <c r="B2679" s="217"/>
      <c r="C2679" s="216"/>
      <c r="D2679" s="240"/>
      <c r="E2679" s="218"/>
      <c r="F2679" s="218"/>
      <c r="G2679" s="218"/>
      <c r="H2679" s="219"/>
      <c r="I2679" s="223">
        <f>IF($C2679="","",IF(ISNUMBER(MATCH($C2679,'Phản ánh'!$A$6:$A$505,0)),"Phản ánh",IF(ISNUMBER(MATCH($C2679,'Kế hoạch'!$A$6:$A$305,0)),"Công việc","Mã chưa có")))</f>
      </c>
      <c r="J2679" s="221">
        <f>IF($I2679="Phản ánh",INDEX('Phản ánh'!$C$6:$C$505,MATCH($C2679,'Phản ánh'!$A$6:$A$505,0)),IF($I2679="Công việc",INDEX('Kế hoạch'!$C$6:$C$305,$O2679),""))</f>
      </c>
      <c r="K2679" s="221">
        <f>IF($I2679="Phản ánh",INDEX('Phản ánh'!$K$6:$K$505,MATCH($C2679,'Phản ánh'!$A$6:$A$505,0))&amp;"",IF($I2679="Công việc",INDEX('Kế hoạch'!$N$6:$N$305,$O2679)&amp;"",""))</f>
      </c>
      <c r="L2679" s="220">
        <f>IF(OR($C2679="",N($B2679)=0),"",IF(AND($I2679="Phản ánh",$E2679="Đã xử lý"),INDEX('Phản ánh'!$U$6:$U$505,MATCH($C2679,'Phản ánh'!$A$6:$A$505,0)),IF(AND($I2679="Công việc",OR($E2679="Hoàn thành",$E2679="Hoàn thành kỳ")),IF(INDEX('Kế hoạch'!$B$6:$B$305,$O2679)="Đột xuất",INDEX('Kế hoạch'!$AY$6:$AY$305,$O2679),IF(N($P2679)=0,"",IF(INT($B2679)&lt;$P2679,$P2679,IF($Q2679&gt;0,$P2679+ROUND((INT($B2679)-$P2679)/$Q2679,0)*$Q2679,IF($R2679&gt;0,EDATE($P2679,ROUND((DATEDIF($P2679,INT($B2679),"m")+(INT($B2679)-EDATE($P2679,DATEDIF($P2679,INT($B2679),"m")))/(EDATE($P2679,DATEDIF($P2679,INT($B2679),"m")+1)-EDATE($P2679,DATEDIF($P2679,INT($B2679),"m"))))/$R2679,0)*$R2679),$P2679))))),"")))</f>
      </c>
      <c r="M2679" s="223">
        <f>IF(OR($C2679="",N($L2679)=0,N($B2679)=0),"",IF(IF(MOD($L2679,1)=0,INT($B2679),$B2679)&lt;=$L2679,"Đúng hạn","Trễ hạn"))</f>
      </c>
      <c r="N2679" s="225">
        <f>IF($C2679="","",ROW())</f>
      </c>
      <c r="O2679" s="225">
        <f>IF($I2679="Công việc",MATCH($C2679,'Kế hoạch'!$A$6:$A$305,0),"")</f>
      </c>
      <c r="P2679" s="234">
        <f>IF($O2679="","",INDEX('Kế hoạch'!$I$6:$I$305,$O2679))</f>
      </c>
      <c r="Q2679" s="225">
        <f>IF($O2679="","",INDEX('Kế hoạch'!$AJ$6:$AJ$305,$O2679))</f>
      </c>
      <c r="R2679" s="225">
        <f>IF($O2679="","",INDEX('Kế hoạch'!$AK$6:$AK$305,$O2679))</f>
      </c>
    </row>
    <row r="2680">
      <c r="A2680" s="223">
        <f>IF($C2680="","",COUNTIF($C$6:$C2680,"?*"))</f>
      </c>
      <c r="B2680" s="217"/>
      <c r="C2680" s="216"/>
      <c r="D2680" s="240"/>
      <c r="E2680" s="218"/>
      <c r="F2680" s="218"/>
      <c r="G2680" s="218"/>
      <c r="H2680" s="219"/>
      <c r="I2680" s="223">
        <f>IF($C2680="","",IF(ISNUMBER(MATCH($C2680,'Phản ánh'!$A$6:$A$505,0)),"Phản ánh",IF(ISNUMBER(MATCH($C2680,'Kế hoạch'!$A$6:$A$305,0)),"Công việc","Mã chưa có")))</f>
      </c>
      <c r="J2680" s="221">
        <f>IF($I2680="Phản ánh",INDEX('Phản ánh'!$C$6:$C$505,MATCH($C2680,'Phản ánh'!$A$6:$A$505,0)),IF($I2680="Công việc",INDEX('Kế hoạch'!$C$6:$C$305,$O2680),""))</f>
      </c>
      <c r="K2680" s="221">
        <f>IF($I2680="Phản ánh",INDEX('Phản ánh'!$K$6:$K$505,MATCH($C2680,'Phản ánh'!$A$6:$A$505,0))&amp;"",IF($I2680="Công việc",INDEX('Kế hoạch'!$N$6:$N$305,$O2680)&amp;"",""))</f>
      </c>
      <c r="L2680" s="220">
        <f>IF(OR($C2680="",N($B2680)=0),"",IF(AND($I2680="Phản ánh",$E2680="Đã xử lý"),INDEX('Phản ánh'!$U$6:$U$505,MATCH($C2680,'Phản ánh'!$A$6:$A$505,0)),IF(AND($I2680="Công việc",OR($E2680="Hoàn thành",$E2680="Hoàn thành kỳ")),IF(INDEX('Kế hoạch'!$B$6:$B$305,$O2680)="Đột xuất",INDEX('Kế hoạch'!$AY$6:$AY$305,$O2680),IF(N($P2680)=0,"",IF(INT($B2680)&lt;$P2680,$P2680,IF($Q2680&gt;0,$P2680+ROUND((INT($B2680)-$P2680)/$Q2680,0)*$Q2680,IF($R2680&gt;0,EDATE($P2680,ROUND((DATEDIF($P2680,INT($B2680),"m")+(INT($B2680)-EDATE($P2680,DATEDIF($P2680,INT($B2680),"m")))/(EDATE($P2680,DATEDIF($P2680,INT($B2680),"m")+1)-EDATE($P2680,DATEDIF($P2680,INT($B2680),"m"))))/$R2680,0)*$R2680),$P2680))))),"")))</f>
      </c>
      <c r="M2680" s="223">
        <f>IF(OR($C2680="",N($L2680)=0,N($B2680)=0),"",IF(IF(MOD($L2680,1)=0,INT($B2680),$B2680)&lt;=$L2680,"Đúng hạn","Trễ hạn"))</f>
      </c>
      <c r="N2680" s="225">
        <f>IF($C2680="","",ROW())</f>
      </c>
      <c r="O2680" s="225">
        <f>IF($I2680="Công việc",MATCH($C2680,'Kế hoạch'!$A$6:$A$305,0),"")</f>
      </c>
      <c r="P2680" s="234">
        <f>IF($O2680="","",INDEX('Kế hoạch'!$I$6:$I$305,$O2680))</f>
      </c>
      <c r="Q2680" s="225">
        <f>IF($O2680="","",INDEX('Kế hoạch'!$AJ$6:$AJ$305,$O2680))</f>
      </c>
      <c r="R2680" s="225">
        <f>IF($O2680="","",INDEX('Kế hoạch'!$AK$6:$AK$305,$O2680))</f>
      </c>
    </row>
    <row r="2681">
      <c r="A2681" s="223">
        <f>IF($C2681="","",COUNTIF($C$6:$C2681,"?*"))</f>
      </c>
      <c r="B2681" s="217"/>
      <c r="C2681" s="216"/>
      <c r="D2681" s="240"/>
      <c r="E2681" s="218"/>
      <c r="F2681" s="218"/>
      <c r="G2681" s="218"/>
      <c r="H2681" s="219"/>
      <c r="I2681" s="223">
        <f>IF($C2681="","",IF(ISNUMBER(MATCH($C2681,'Phản ánh'!$A$6:$A$505,0)),"Phản ánh",IF(ISNUMBER(MATCH($C2681,'Kế hoạch'!$A$6:$A$305,0)),"Công việc","Mã chưa có")))</f>
      </c>
      <c r="J2681" s="221">
        <f>IF($I2681="Phản ánh",INDEX('Phản ánh'!$C$6:$C$505,MATCH($C2681,'Phản ánh'!$A$6:$A$505,0)),IF($I2681="Công việc",INDEX('Kế hoạch'!$C$6:$C$305,$O2681),""))</f>
      </c>
      <c r="K2681" s="221">
        <f>IF($I2681="Phản ánh",INDEX('Phản ánh'!$K$6:$K$505,MATCH($C2681,'Phản ánh'!$A$6:$A$505,0))&amp;"",IF($I2681="Công việc",INDEX('Kế hoạch'!$N$6:$N$305,$O2681)&amp;"",""))</f>
      </c>
      <c r="L2681" s="220">
        <f>IF(OR($C2681="",N($B2681)=0),"",IF(AND($I2681="Phản ánh",$E2681="Đã xử lý"),INDEX('Phản ánh'!$U$6:$U$505,MATCH($C2681,'Phản ánh'!$A$6:$A$505,0)),IF(AND($I2681="Công việc",OR($E2681="Hoàn thành",$E2681="Hoàn thành kỳ")),IF(INDEX('Kế hoạch'!$B$6:$B$305,$O2681)="Đột xuất",INDEX('Kế hoạch'!$AY$6:$AY$305,$O2681),IF(N($P2681)=0,"",IF(INT($B2681)&lt;$P2681,$P2681,IF($Q2681&gt;0,$P2681+ROUND((INT($B2681)-$P2681)/$Q2681,0)*$Q2681,IF($R2681&gt;0,EDATE($P2681,ROUND((DATEDIF($P2681,INT($B2681),"m")+(INT($B2681)-EDATE($P2681,DATEDIF($P2681,INT($B2681),"m")))/(EDATE($P2681,DATEDIF($P2681,INT($B2681),"m")+1)-EDATE($P2681,DATEDIF($P2681,INT($B2681),"m"))))/$R2681,0)*$R2681),$P2681))))),"")))</f>
      </c>
      <c r="M2681" s="223">
        <f>IF(OR($C2681="",N($L2681)=0,N($B2681)=0),"",IF(IF(MOD($L2681,1)=0,INT($B2681),$B2681)&lt;=$L2681,"Đúng hạn","Trễ hạn"))</f>
      </c>
      <c r="N2681" s="225">
        <f>IF($C2681="","",ROW())</f>
      </c>
      <c r="O2681" s="225">
        <f>IF($I2681="Công việc",MATCH($C2681,'Kế hoạch'!$A$6:$A$305,0),"")</f>
      </c>
      <c r="P2681" s="234">
        <f>IF($O2681="","",INDEX('Kế hoạch'!$I$6:$I$305,$O2681))</f>
      </c>
      <c r="Q2681" s="225">
        <f>IF($O2681="","",INDEX('Kế hoạch'!$AJ$6:$AJ$305,$O2681))</f>
      </c>
      <c r="R2681" s="225">
        <f>IF($O2681="","",INDEX('Kế hoạch'!$AK$6:$AK$305,$O2681))</f>
      </c>
    </row>
    <row r="2682">
      <c r="A2682" s="223">
        <f>IF($C2682="","",COUNTIF($C$6:$C2682,"?*"))</f>
      </c>
      <c r="B2682" s="217"/>
      <c r="C2682" s="216"/>
      <c r="D2682" s="240"/>
      <c r="E2682" s="218"/>
      <c r="F2682" s="218"/>
      <c r="G2682" s="218"/>
      <c r="H2682" s="219"/>
      <c r="I2682" s="223">
        <f>IF($C2682="","",IF(ISNUMBER(MATCH($C2682,'Phản ánh'!$A$6:$A$505,0)),"Phản ánh",IF(ISNUMBER(MATCH($C2682,'Kế hoạch'!$A$6:$A$305,0)),"Công việc","Mã chưa có")))</f>
      </c>
      <c r="J2682" s="221">
        <f>IF($I2682="Phản ánh",INDEX('Phản ánh'!$C$6:$C$505,MATCH($C2682,'Phản ánh'!$A$6:$A$505,0)),IF($I2682="Công việc",INDEX('Kế hoạch'!$C$6:$C$305,$O2682),""))</f>
      </c>
      <c r="K2682" s="221">
        <f>IF($I2682="Phản ánh",INDEX('Phản ánh'!$K$6:$K$505,MATCH($C2682,'Phản ánh'!$A$6:$A$505,0))&amp;"",IF($I2682="Công việc",INDEX('Kế hoạch'!$N$6:$N$305,$O2682)&amp;"",""))</f>
      </c>
      <c r="L2682" s="220">
        <f>IF(OR($C2682="",N($B2682)=0),"",IF(AND($I2682="Phản ánh",$E2682="Đã xử lý"),INDEX('Phản ánh'!$U$6:$U$505,MATCH($C2682,'Phản ánh'!$A$6:$A$505,0)),IF(AND($I2682="Công việc",OR($E2682="Hoàn thành",$E2682="Hoàn thành kỳ")),IF(INDEX('Kế hoạch'!$B$6:$B$305,$O2682)="Đột xuất",INDEX('Kế hoạch'!$AY$6:$AY$305,$O2682),IF(N($P2682)=0,"",IF(INT($B2682)&lt;$P2682,$P2682,IF($Q2682&gt;0,$P2682+ROUND((INT($B2682)-$P2682)/$Q2682,0)*$Q2682,IF($R2682&gt;0,EDATE($P2682,ROUND((DATEDIF($P2682,INT($B2682),"m")+(INT($B2682)-EDATE($P2682,DATEDIF($P2682,INT($B2682),"m")))/(EDATE($P2682,DATEDIF($P2682,INT($B2682),"m")+1)-EDATE($P2682,DATEDIF($P2682,INT($B2682),"m"))))/$R2682,0)*$R2682),$P2682))))),"")))</f>
      </c>
      <c r="M2682" s="223">
        <f>IF(OR($C2682="",N($L2682)=0,N($B2682)=0),"",IF(IF(MOD($L2682,1)=0,INT($B2682),$B2682)&lt;=$L2682,"Đúng hạn","Trễ hạn"))</f>
      </c>
      <c r="N2682" s="225">
        <f>IF($C2682="","",ROW())</f>
      </c>
      <c r="O2682" s="225">
        <f>IF($I2682="Công việc",MATCH($C2682,'Kế hoạch'!$A$6:$A$305,0),"")</f>
      </c>
      <c r="P2682" s="234">
        <f>IF($O2682="","",INDEX('Kế hoạch'!$I$6:$I$305,$O2682))</f>
      </c>
      <c r="Q2682" s="225">
        <f>IF($O2682="","",INDEX('Kế hoạch'!$AJ$6:$AJ$305,$O2682))</f>
      </c>
      <c r="R2682" s="225">
        <f>IF($O2682="","",INDEX('Kế hoạch'!$AK$6:$AK$305,$O2682))</f>
      </c>
    </row>
    <row r="2683">
      <c r="A2683" s="223">
        <f>IF($C2683="","",COUNTIF($C$6:$C2683,"?*"))</f>
      </c>
      <c r="B2683" s="217"/>
      <c r="C2683" s="216"/>
      <c r="D2683" s="240"/>
      <c r="E2683" s="218"/>
      <c r="F2683" s="218"/>
      <c r="G2683" s="218"/>
      <c r="H2683" s="219"/>
      <c r="I2683" s="223">
        <f>IF($C2683="","",IF(ISNUMBER(MATCH($C2683,'Phản ánh'!$A$6:$A$505,0)),"Phản ánh",IF(ISNUMBER(MATCH($C2683,'Kế hoạch'!$A$6:$A$305,0)),"Công việc","Mã chưa có")))</f>
      </c>
      <c r="J2683" s="221">
        <f>IF($I2683="Phản ánh",INDEX('Phản ánh'!$C$6:$C$505,MATCH($C2683,'Phản ánh'!$A$6:$A$505,0)),IF($I2683="Công việc",INDEX('Kế hoạch'!$C$6:$C$305,$O2683),""))</f>
      </c>
      <c r="K2683" s="221">
        <f>IF($I2683="Phản ánh",INDEX('Phản ánh'!$K$6:$K$505,MATCH($C2683,'Phản ánh'!$A$6:$A$505,0))&amp;"",IF($I2683="Công việc",INDEX('Kế hoạch'!$N$6:$N$305,$O2683)&amp;"",""))</f>
      </c>
      <c r="L2683" s="220">
        <f>IF(OR($C2683="",N($B2683)=0),"",IF(AND($I2683="Phản ánh",$E2683="Đã xử lý"),INDEX('Phản ánh'!$U$6:$U$505,MATCH($C2683,'Phản ánh'!$A$6:$A$505,0)),IF(AND($I2683="Công việc",OR($E2683="Hoàn thành",$E2683="Hoàn thành kỳ")),IF(INDEX('Kế hoạch'!$B$6:$B$305,$O2683)="Đột xuất",INDEX('Kế hoạch'!$AY$6:$AY$305,$O2683),IF(N($P2683)=0,"",IF(INT($B2683)&lt;$P2683,$P2683,IF($Q2683&gt;0,$P2683+ROUND((INT($B2683)-$P2683)/$Q2683,0)*$Q2683,IF($R2683&gt;0,EDATE($P2683,ROUND((DATEDIF($P2683,INT($B2683),"m")+(INT($B2683)-EDATE($P2683,DATEDIF($P2683,INT($B2683),"m")))/(EDATE($P2683,DATEDIF($P2683,INT($B2683),"m")+1)-EDATE($P2683,DATEDIF($P2683,INT($B2683),"m"))))/$R2683,0)*$R2683),$P2683))))),"")))</f>
      </c>
      <c r="M2683" s="223">
        <f>IF(OR($C2683="",N($L2683)=0,N($B2683)=0),"",IF(IF(MOD($L2683,1)=0,INT($B2683),$B2683)&lt;=$L2683,"Đúng hạn","Trễ hạn"))</f>
      </c>
      <c r="N2683" s="225">
        <f>IF($C2683="","",ROW())</f>
      </c>
      <c r="O2683" s="225">
        <f>IF($I2683="Công việc",MATCH($C2683,'Kế hoạch'!$A$6:$A$305,0),"")</f>
      </c>
      <c r="P2683" s="234">
        <f>IF($O2683="","",INDEX('Kế hoạch'!$I$6:$I$305,$O2683))</f>
      </c>
      <c r="Q2683" s="225">
        <f>IF($O2683="","",INDEX('Kế hoạch'!$AJ$6:$AJ$305,$O2683))</f>
      </c>
      <c r="R2683" s="225">
        <f>IF($O2683="","",INDEX('Kế hoạch'!$AK$6:$AK$305,$O2683))</f>
      </c>
    </row>
    <row r="2684">
      <c r="A2684" s="223">
        <f>IF($C2684="","",COUNTIF($C$6:$C2684,"?*"))</f>
      </c>
      <c r="B2684" s="217"/>
      <c r="C2684" s="216"/>
      <c r="D2684" s="240"/>
      <c r="E2684" s="218"/>
      <c r="F2684" s="218"/>
      <c r="G2684" s="218"/>
      <c r="H2684" s="219"/>
      <c r="I2684" s="223">
        <f>IF($C2684="","",IF(ISNUMBER(MATCH($C2684,'Phản ánh'!$A$6:$A$505,0)),"Phản ánh",IF(ISNUMBER(MATCH($C2684,'Kế hoạch'!$A$6:$A$305,0)),"Công việc","Mã chưa có")))</f>
      </c>
      <c r="J2684" s="221">
        <f>IF($I2684="Phản ánh",INDEX('Phản ánh'!$C$6:$C$505,MATCH($C2684,'Phản ánh'!$A$6:$A$505,0)),IF($I2684="Công việc",INDEX('Kế hoạch'!$C$6:$C$305,$O2684),""))</f>
      </c>
      <c r="K2684" s="221">
        <f>IF($I2684="Phản ánh",INDEX('Phản ánh'!$K$6:$K$505,MATCH($C2684,'Phản ánh'!$A$6:$A$505,0))&amp;"",IF($I2684="Công việc",INDEX('Kế hoạch'!$N$6:$N$305,$O2684)&amp;"",""))</f>
      </c>
      <c r="L2684" s="220">
        <f>IF(OR($C2684="",N($B2684)=0),"",IF(AND($I2684="Phản ánh",$E2684="Đã xử lý"),INDEX('Phản ánh'!$U$6:$U$505,MATCH($C2684,'Phản ánh'!$A$6:$A$505,0)),IF(AND($I2684="Công việc",OR($E2684="Hoàn thành",$E2684="Hoàn thành kỳ")),IF(INDEX('Kế hoạch'!$B$6:$B$305,$O2684)="Đột xuất",INDEX('Kế hoạch'!$AY$6:$AY$305,$O2684),IF(N($P2684)=0,"",IF(INT($B2684)&lt;$P2684,$P2684,IF($Q2684&gt;0,$P2684+ROUND((INT($B2684)-$P2684)/$Q2684,0)*$Q2684,IF($R2684&gt;0,EDATE($P2684,ROUND((DATEDIF($P2684,INT($B2684),"m")+(INT($B2684)-EDATE($P2684,DATEDIF($P2684,INT($B2684),"m")))/(EDATE($P2684,DATEDIF($P2684,INT($B2684),"m")+1)-EDATE($P2684,DATEDIF($P2684,INT($B2684),"m"))))/$R2684,0)*$R2684),$P2684))))),"")))</f>
      </c>
      <c r="M2684" s="223">
        <f>IF(OR($C2684="",N($L2684)=0,N($B2684)=0),"",IF(IF(MOD($L2684,1)=0,INT($B2684),$B2684)&lt;=$L2684,"Đúng hạn","Trễ hạn"))</f>
      </c>
      <c r="N2684" s="225">
        <f>IF($C2684="","",ROW())</f>
      </c>
      <c r="O2684" s="225">
        <f>IF($I2684="Công việc",MATCH($C2684,'Kế hoạch'!$A$6:$A$305,0),"")</f>
      </c>
      <c r="P2684" s="234">
        <f>IF($O2684="","",INDEX('Kế hoạch'!$I$6:$I$305,$O2684))</f>
      </c>
      <c r="Q2684" s="225">
        <f>IF($O2684="","",INDEX('Kế hoạch'!$AJ$6:$AJ$305,$O2684))</f>
      </c>
      <c r="R2684" s="225">
        <f>IF($O2684="","",INDEX('Kế hoạch'!$AK$6:$AK$305,$O2684))</f>
      </c>
    </row>
    <row r="2685">
      <c r="A2685" s="223">
        <f>IF($C2685="","",COUNTIF($C$6:$C2685,"?*"))</f>
      </c>
      <c r="B2685" s="217"/>
      <c r="C2685" s="216"/>
      <c r="D2685" s="240"/>
      <c r="E2685" s="218"/>
      <c r="F2685" s="218"/>
      <c r="G2685" s="218"/>
      <c r="H2685" s="219"/>
      <c r="I2685" s="223">
        <f>IF($C2685="","",IF(ISNUMBER(MATCH($C2685,'Phản ánh'!$A$6:$A$505,0)),"Phản ánh",IF(ISNUMBER(MATCH($C2685,'Kế hoạch'!$A$6:$A$305,0)),"Công việc","Mã chưa có")))</f>
      </c>
      <c r="J2685" s="221">
        <f>IF($I2685="Phản ánh",INDEX('Phản ánh'!$C$6:$C$505,MATCH($C2685,'Phản ánh'!$A$6:$A$505,0)),IF($I2685="Công việc",INDEX('Kế hoạch'!$C$6:$C$305,$O2685),""))</f>
      </c>
      <c r="K2685" s="221">
        <f>IF($I2685="Phản ánh",INDEX('Phản ánh'!$K$6:$K$505,MATCH($C2685,'Phản ánh'!$A$6:$A$505,0))&amp;"",IF($I2685="Công việc",INDEX('Kế hoạch'!$N$6:$N$305,$O2685)&amp;"",""))</f>
      </c>
      <c r="L2685" s="220">
        <f>IF(OR($C2685="",N($B2685)=0),"",IF(AND($I2685="Phản ánh",$E2685="Đã xử lý"),INDEX('Phản ánh'!$U$6:$U$505,MATCH($C2685,'Phản ánh'!$A$6:$A$505,0)),IF(AND($I2685="Công việc",OR($E2685="Hoàn thành",$E2685="Hoàn thành kỳ")),IF(INDEX('Kế hoạch'!$B$6:$B$305,$O2685)="Đột xuất",INDEX('Kế hoạch'!$AY$6:$AY$305,$O2685),IF(N($P2685)=0,"",IF(INT($B2685)&lt;$P2685,$P2685,IF($Q2685&gt;0,$P2685+ROUND((INT($B2685)-$P2685)/$Q2685,0)*$Q2685,IF($R2685&gt;0,EDATE($P2685,ROUND((DATEDIF($P2685,INT($B2685),"m")+(INT($B2685)-EDATE($P2685,DATEDIF($P2685,INT($B2685),"m")))/(EDATE($P2685,DATEDIF($P2685,INT($B2685),"m")+1)-EDATE($P2685,DATEDIF($P2685,INT($B2685),"m"))))/$R2685,0)*$R2685),$P2685))))),"")))</f>
      </c>
      <c r="M2685" s="223">
        <f>IF(OR($C2685="",N($L2685)=0,N($B2685)=0),"",IF(IF(MOD($L2685,1)=0,INT($B2685),$B2685)&lt;=$L2685,"Đúng hạn","Trễ hạn"))</f>
      </c>
      <c r="N2685" s="225">
        <f>IF($C2685="","",ROW())</f>
      </c>
      <c r="O2685" s="225">
        <f>IF($I2685="Công việc",MATCH($C2685,'Kế hoạch'!$A$6:$A$305,0),"")</f>
      </c>
      <c r="P2685" s="234">
        <f>IF($O2685="","",INDEX('Kế hoạch'!$I$6:$I$305,$O2685))</f>
      </c>
      <c r="Q2685" s="225">
        <f>IF($O2685="","",INDEX('Kế hoạch'!$AJ$6:$AJ$305,$O2685))</f>
      </c>
      <c r="R2685" s="225">
        <f>IF($O2685="","",INDEX('Kế hoạch'!$AK$6:$AK$305,$O2685))</f>
      </c>
    </row>
    <row r="2686">
      <c r="A2686" s="223">
        <f>IF($C2686="","",COUNTIF($C$6:$C2686,"?*"))</f>
      </c>
      <c r="B2686" s="217"/>
      <c r="C2686" s="216"/>
      <c r="D2686" s="240"/>
      <c r="E2686" s="218"/>
      <c r="F2686" s="218"/>
      <c r="G2686" s="218"/>
      <c r="H2686" s="219"/>
      <c r="I2686" s="223">
        <f>IF($C2686="","",IF(ISNUMBER(MATCH($C2686,'Phản ánh'!$A$6:$A$505,0)),"Phản ánh",IF(ISNUMBER(MATCH($C2686,'Kế hoạch'!$A$6:$A$305,0)),"Công việc","Mã chưa có")))</f>
      </c>
      <c r="J2686" s="221">
        <f>IF($I2686="Phản ánh",INDEX('Phản ánh'!$C$6:$C$505,MATCH($C2686,'Phản ánh'!$A$6:$A$505,0)),IF($I2686="Công việc",INDEX('Kế hoạch'!$C$6:$C$305,$O2686),""))</f>
      </c>
      <c r="K2686" s="221">
        <f>IF($I2686="Phản ánh",INDEX('Phản ánh'!$K$6:$K$505,MATCH($C2686,'Phản ánh'!$A$6:$A$505,0))&amp;"",IF($I2686="Công việc",INDEX('Kế hoạch'!$N$6:$N$305,$O2686)&amp;"",""))</f>
      </c>
      <c r="L2686" s="220">
        <f>IF(OR($C2686="",N($B2686)=0),"",IF(AND($I2686="Phản ánh",$E2686="Đã xử lý"),INDEX('Phản ánh'!$U$6:$U$505,MATCH($C2686,'Phản ánh'!$A$6:$A$505,0)),IF(AND($I2686="Công việc",OR($E2686="Hoàn thành",$E2686="Hoàn thành kỳ")),IF(INDEX('Kế hoạch'!$B$6:$B$305,$O2686)="Đột xuất",INDEX('Kế hoạch'!$AY$6:$AY$305,$O2686),IF(N($P2686)=0,"",IF(INT($B2686)&lt;$P2686,$P2686,IF($Q2686&gt;0,$P2686+ROUND((INT($B2686)-$P2686)/$Q2686,0)*$Q2686,IF($R2686&gt;0,EDATE($P2686,ROUND((DATEDIF($P2686,INT($B2686),"m")+(INT($B2686)-EDATE($P2686,DATEDIF($P2686,INT($B2686),"m")))/(EDATE($P2686,DATEDIF($P2686,INT($B2686),"m")+1)-EDATE($P2686,DATEDIF($P2686,INT($B2686),"m"))))/$R2686,0)*$R2686),$P2686))))),"")))</f>
      </c>
      <c r="M2686" s="223">
        <f>IF(OR($C2686="",N($L2686)=0,N($B2686)=0),"",IF(IF(MOD($L2686,1)=0,INT($B2686),$B2686)&lt;=$L2686,"Đúng hạn","Trễ hạn"))</f>
      </c>
      <c r="N2686" s="225">
        <f>IF($C2686="","",ROW())</f>
      </c>
      <c r="O2686" s="225">
        <f>IF($I2686="Công việc",MATCH($C2686,'Kế hoạch'!$A$6:$A$305,0),"")</f>
      </c>
      <c r="P2686" s="234">
        <f>IF($O2686="","",INDEX('Kế hoạch'!$I$6:$I$305,$O2686))</f>
      </c>
      <c r="Q2686" s="225">
        <f>IF($O2686="","",INDEX('Kế hoạch'!$AJ$6:$AJ$305,$O2686))</f>
      </c>
      <c r="R2686" s="225">
        <f>IF($O2686="","",INDEX('Kế hoạch'!$AK$6:$AK$305,$O2686))</f>
      </c>
    </row>
    <row r="2687">
      <c r="A2687" s="223">
        <f>IF($C2687="","",COUNTIF($C$6:$C2687,"?*"))</f>
      </c>
      <c r="B2687" s="217"/>
      <c r="C2687" s="216"/>
      <c r="D2687" s="240"/>
      <c r="E2687" s="218"/>
      <c r="F2687" s="218"/>
      <c r="G2687" s="218"/>
      <c r="H2687" s="219"/>
      <c r="I2687" s="223">
        <f>IF($C2687="","",IF(ISNUMBER(MATCH($C2687,'Phản ánh'!$A$6:$A$505,0)),"Phản ánh",IF(ISNUMBER(MATCH($C2687,'Kế hoạch'!$A$6:$A$305,0)),"Công việc","Mã chưa có")))</f>
      </c>
      <c r="J2687" s="221">
        <f>IF($I2687="Phản ánh",INDEX('Phản ánh'!$C$6:$C$505,MATCH($C2687,'Phản ánh'!$A$6:$A$505,0)),IF($I2687="Công việc",INDEX('Kế hoạch'!$C$6:$C$305,$O2687),""))</f>
      </c>
      <c r="K2687" s="221">
        <f>IF($I2687="Phản ánh",INDEX('Phản ánh'!$K$6:$K$505,MATCH($C2687,'Phản ánh'!$A$6:$A$505,0))&amp;"",IF($I2687="Công việc",INDEX('Kế hoạch'!$N$6:$N$305,$O2687)&amp;"",""))</f>
      </c>
      <c r="L2687" s="220">
        <f>IF(OR($C2687="",N($B2687)=0),"",IF(AND($I2687="Phản ánh",$E2687="Đã xử lý"),INDEX('Phản ánh'!$U$6:$U$505,MATCH($C2687,'Phản ánh'!$A$6:$A$505,0)),IF(AND($I2687="Công việc",OR($E2687="Hoàn thành",$E2687="Hoàn thành kỳ")),IF(INDEX('Kế hoạch'!$B$6:$B$305,$O2687)="Đột xuất",INDEX('Kế hoạch'!$AY$6:$AY$305,$O2687),IF(N($P2687)=0,"",IF(INT($B2687)&lt;$P2687,$P2687,IF($Q2687&gt;0,$P2687+ROUND((INT($B2687)-$P2687)/$Q2687,0)*$Q2687,IF($R2687&gt;0,EDATE($P2687,ROUND((DATEDIF($P2687,INT($B2687),"m")+(INT($B2687)-EDATE($P2687,DATEDIF($P2687,INT($B2687),"m")))/(EDATE($P2687,DATEDIF($P2687,INT($B2687),"m")+1)-EDATE($P2687,DATEDIF($P2687,INT($B2687),"m"))))/$R2687,0)*$R2687),$P2687))))),"")))</f>
      </c>
      <c r="M2687" s="223">
        <f>IF(OR($C2687="",N($L2687)=0,N($B2687)=0),"",IF(IF(MOD($L2687,1)=0,INT($B2687),$B2687)&lt;=$L2687,"Đúng hạn","Trễ hạn"))</f>
      </c>
      <c r="N2687" s="225">
        <f>IF($C2687="","",ROW())</f>
      </c>
      <c r="O2687" s="225">
        <f>IF($I2687="Công việc",MATCH($C2687,'Kế hoạch'!$A$6:$A$305,0),"")</f>
      </c>
      <c r="P2687" s="234">
        <f>IF($O2687="","",INDEX('Kế hoạch'!$I$6:$I$305,$O2687))</f>
      </c>
      <c r="Q2687" s="225">
        <f>IF($O2687="","",INDEX('Kế hoạch'!$AJ$6:$AJ$305,$O2687))</f>
      </c>
      <c r="R2687" s="225">
        <f>IF($O2687="","",INDEX('Kế hoạch'!$AK$6:$AK$305,$O2687))</f>
      </c>
    </row>
    <row r="2688">
      <c r="A2688" s="223">
        <f>IF($C2688="","",COUNTIF($C$6:$C2688,"?*"))</f>
      </c>
      <c r="B2688" s="217"/>
      <c r="C2688" s="216"/>
      <c r="D2688" s="240"/>
      <c r="E2688" s="218"/>
      <c r="F2688" s="218"/>
      <c r="G2688" s="218"/>
      <c r="H2688" s="219"/>
      <c r="I2688" s="223">
        <f>IF($C2688="","",IF(ISNUMBER(MATCH($C2688,'Phản ánh'!$A$6:$A$505,0)),"Phản ánh",IF(ISNUMBER(MATCH($C2688,'Kế hoạch'!$A$6:$A$305,0)),"Công việc","Mã chưa có")))</f>
      </c>
      <c r="J2688" s="221">
        <f>IF($I2688="Phản ánh",INDEX('Phản ánh'!$C$6:$C$505,MATCH($C2688,'Phản ánh'!$A$6:$A$505,0)),IF($I2688="Công việc",INDEX('Kế hoạch'!$C$6:$C$305,$O2688),""))</f>
      </c>
      <c r="K2688" s="221">
        <f>IF($I2688="Phản ánh",INDEX('Phản ánh'!$K$6:$K$505,MATCH($C2688,'Phản ánh'!$A$6:$A$505,0))&amp;"",IF($I2688="Công việc",INDEX('Kế hoạch'!$N$6:$N$305,$O2688)&amp;"",""))</f>
      </c>
      <c r="L2688" s="220">
        <f>IF(OR($C2688="",N($B2688)=0),"",IF(AND($I2688="Phản ánh",$E2688="Đã xử lý"),INDEX('Phản ánh'!$U$6:$U$505,MATCH($C2688,'Phản ánh'!$A$6:$A$505,0)),IF(AND($I2688="Công việc",OR($E2688="Hoàn thành",$E2688="Hoàn thành kỳ")),IF(INDEX('Kế hoạch'!$B$6:$B$305,$O2688)="Đột xuất",INDEX('Kế hoạch'!$AY$6:$AY$305,$O2688),IF(N($P2688)=0,"",IF(INT($B2688)&lt;$P2688,$P2688,IF($Q2688&gt;0,$P2688+ROUND((INT($B2688)-$P2688)/$Q2688,0)*$Q2688,IF($R2688&gt;0,EDATE($P2688,ROUND((DATEDIF($P2688,INT($B2688),"m")+(INT($B2688)-EDATE($P2688,DATEDIF($P2688,INT($B2688),"m")))/(EDATE($P2688,DATEDIF($P2688,INT($B2688),"m")+1)-EDATE($P2688,DATEDIF($P2688,INT($B2688),"m"))))/$R2688,0)*$R2688),$P2688))))),"")))</f>
      </c>
      <c r="M2688" s="223">
        <f>IF(OR($C2688="",N($L2688)=0,N($B2688)=0),"",IF(IF(MOD($L2688,1)=0,INT($B2688),$B2688)&lt;=$L2688,"Đúng hạn","Trễ hạn"))</f>
      </c>
      <c r="N2688" s="225">
        <f>IF($C2688="","",ROW())</f>
      </c>
      <c r="O2688" s="225">
        <f>IF($I2688="Công việc",MATCH($C2688,'Kế hoạch'!$A$6:$A$305,0),"")</f>
      </c>
      <c r="P2688" s="234">
        <f>IF($O2688="","",INDEX('Kế hoạch'!$I$6:$I$305,$O2688))</f>
      </c>
      <c r="Q2688" s="225">
        <f>IF($O2688="","",INDEX('Kế hoạch'!$AJ$6:$AJ$305,$O2688))</f>
      </c>
      <c r="R2688" s="225">
        <f>IF($O2688="","",INDEX('Kế hoạch'!$AK$6:$AK$305,$O2688))</f>
      </c>
    </row>
    <row r="2689">
      <c r="A2689" s="223">
        <f>IF($C2689="","",COUNTIF($C$6:$C2689,"?*"))</f>
      </c>
      <c r="B2689" s="217"/>
      <c r="C2689" s="216"/>
      <c r="D2689" s="240"/>
      <c r="E2689" s="218"/>
      <c r="F2689" s="218"/>
      <c r="G2689" s="218"/>
      <c r="H2689" s="219"/>
      <c r="I2689" s="223">
        <f>IF($C2689="","",IF(ISNUMBER(MATCH($C2689,'Phản ánh'!$A$6:$A$505,0)),"Phản ánh",IF(ISNUMBER(MATCH($C2689,'Kế hoạch'!$A$6:$A$305,0)),"Công việc","Mã chưa có")))</f>
      </c>
      <c r="J2689" s="221">
        <f>IF($I2689="Phản ánh",INDEX('Phản ánh'!$C$6:$C$505,MATCH($C2689,'Phản ánh'!$A$6:$A$505,0)),IF($I2689="Công việc",INDEX('Kế hoạch'!$C$6:$C$305,$O2689),""))</f>
      </c>
      <c r="K2689" s="221">
        <f>IF($I2689="Phản ánh",INDEX('Phản ánh'!$K$6:$K$505,MATCH($C2689,'Phản ánh'!$A$6:$A$505,0))&amp;"",IF($I2689="Công việc",INDEX('Kế hoạch'!$N$6:$N$305,$O2689)&amp;"",""))</f>
      </c>
      <c r="L2689" s="220">
        <f>IF(OR($C2689="",N($B2689)=0),"",IF(AND($I2689="Phản ánh",$E2689="Đã xử lý"),INDEX('Phản ánh'!$U$6:$U$505,MATCH($C2689,'Phản ánh'!$A$6:$A$505,0)),IF(AND($I2689="Công việc",OR($E2689="Hoàn thành",$E2689="Hoàn thành kỳ")),IF(INDEX('Kế hoạch'!$B$6:$B$305,$O2689)="Đột xuất",INDEX('Kế hoạch'!$AY$6:$AY$305,$O2689),IF(N($P2689)=0,"",IF(INT($B2689)&lt;$P2689,$P2689,IF($Q2689&gt;0,$P2689+ROUND((INT($B2689)-$P2689)/$Q2689,0)*$Q2689,IF($R2689&gt;0,EDATE($P2689,ROUND((DATEDIF($P2689,INT($B2689),"m")+(INT($B2689)-EDATE($P2689,DATEDIF($P2689,INT($B2689),"m")))/(EDATE($P2689,DATEDIF($P2689,INT($B2689),"m")+1)-EDATE($P2689,DATEDIF($P2689,INT($B2689),"m"))))/$R2689,0)*$R2689),$P2689))))),"")))</f>
      </c>
      <c r="M2689" s="223">
        <f>IF(OR($C2689="",N($L2689)=0,N($B2689)=0),"",IF(IF(MOD($L2689,1)=0,INT($B2689),$B2689)&lt;=$L2689,"Đúng hạn","Trễ hạn"))</f>
      </c>
      <c r="N2689" s="225">
        <f>IF($C2689="","",ROW())</f>
      </c>
      <c r="O2689" s="225">
        <f>IF($I2689="Công việc",MATCH($C2689,'Kế hoạch'!$A$6:$A$305,0),"")</f>
      </c>
      <c r="P2689" s="234">
        <f>IF($O2689="","",INDEX('Kế hoạch'!$I$6:$I$305,$O2689))</f>
      </c>
      <c r="Q2689" s="225">
        <f>IF($O2689="","",INDEX('Kế hoạch'!$AJ$6:$AJ$305,$O2689))</f>
      </c>
      <c r="R2689" s="225">
        <f>IF($O2689="","",INDEX('Kế hoạch'!$AK$6:$AK$305,$O2689))</f>
      </c>
    </row>
    <row r="2690">
      <c r="A2690" s="223">
        <f>IF($C2690="","",COUNTIF($C$6:$C2690,"?*"))</f>
      </c>
      <c r="B2690" s="217"/>
      <c r="C2690" s="216"/>
      <c r="D2690" s="240"/>
      <c r="E2690" s="218"/>
      <c r="F2690" s="218"/>
      <c r="G2690" s="218"/>
      <c r="H2690" s="219"/>
      <c r="I2690" s="223">
        <f>IF($C2690="","",IF(ISNUMBER(MATCH($C2690,'Phản ánh'!$A$6:$A$505,0)),"Phản ánh",IF(ISNUMBER(MATCH($C2690,'Kế hoạch'!$A$6:$A$305,0)),"Công việc","Mã chưa có")))</f>
      </c>
      <c r="J2690" s="221">
        <f>IF($I2690="Phản ánh",INDEX('Phản ánh'!$C$6:$C$505,MATCH($C2690,'Phản ánh'!$A$6:$A$505,0)),IF($I2690="Công việc",INDEX('Kế hoạch'!$C$6:$C$305,$O2690),""))</f>
      </c>
      <c r="K2690" s="221">
        <f>IF($I2690="Phản ánh",INDEX('Phản ánh'!$K$6:$K$505,MATCH($C2690,'Phản ánh'!$A$6:$A$505,0))&amp;"",IF($I2690="Công việc",INDEX('Kế hoạch'!$N$6:$N$305,$O2690)&amp;"",""))</f>
      </c>
      <c r="L2690" s="220">
        <f>IF(OR($C2690="",N($B2690)=0),"",IF(AND($I2690="Phản ánh",$E2690="Đã xử lý"),INDEX('Phản ánh'!$U$6:$U$505,MATCH($C2690,'Phản ánh'!$A$6:$A$505,0)),IF(AND($I2690="Công việc",OR($E2690="Hoàn thành",$E2690="Hoàn thành kỳ")),IF(INDEX('Kế hoạch'!$B$6:$B$305,$O2690)="Đột xuất",INDEX('Kế hoạch'!$AY$6:$AY$305,$O2690),IF(N($P2690)=0,"",IF(INT($B2690)&lt;$P2690,$P2690,IF($Q2690&gt;0,$P2690+ROUND((INT($B2690)-$P2690)/$Q2690,0)*$Q2690,IF($R2690&gt;0,EDATE($P2690,ROUND((DATEDIF($P2690,INT($B2690),"m")+(INT($B2690)-EDATE($P2690,DATEDIF($P2690,INT($B2690),"m")))/(EDATE($P2690,DATEDIF($P2690,INT($B2690),"m")+1)-EDATE($P2690,DATEDIF($P2690,INT($B2690),"m"))))/$R2690,0)*$R2690),$P2690))))),"")))</f>
      </c>
      <c r="M2690" s="223">
        <f>IF(OR($C2690="",N($L2690)=0,N($B2690)=0),"",IF(IF(MOD($L2690,1)=0,INT($B2690),$B2690)&lt;=$L2690,"Đúng hạn","Trễ hạn"))</f>
      </c>
      <c r="N2690" s="225">
        <f>IF($C2690="","",ROW())</f>
      </c>
      <c r="O2690" s="225">
        <f>IF($I2690="Công việc",MATCH($C2690,'Kế hoạch'!$A$6:$A$305,0),"")</f>
      </c>
      <c r="P2690" s="234">
        <f>IF($O2690="","",INDEX('Kế hoạch'!$I$6:$I$305,$O2690))</f>
      </c>
      <c r="Q2690" s="225">
        <f>IF($O2690="","",INDEX('Kế hoạch'!$AJ$6:$AJ$305,$O2690))</f>
      </c>
      <c r="R2690" s="225">
        <f>IF($O2690="","",INDEX('Kế hoạch'!$AK$6:$AK$305,$O2690))</f>
      </c>
    </row>
    <row r="2691">
      <c r="A2691" s="223">
        <f>IF($C2691="","",COUNTIF($C$6:$C2691,"?*"))</f>
      </c>
      <c r="B2691" s="217"/>
      <c r="C2691" s="216"/>
      <c r="D2691" s="240"/>
      <c r="E2691" s="218"/>
      <c r="F2691" s="218"/>
      <c r="G2691" s="218"/>
      <c r="H2691" s="219"/>
      <c r="I2691" s="223">
        <f>IF($C2691="","",IF(ISNUMBER(MATCH($C2691,'Phản ánh'!$A$6:$A$505,0)),"Phản ánh",IF(ISNUMBER(MATCH($C2691,'Kế hoạch'!$A$6:$A$305,0)),"Công việc","Mã chưa có")))</f>
      </c>
      <c r="J2691" s="221">
        <f>IF($I2691="Phản ánh",INDEX('Phản ánh'!$C$6:$C$505,MATCH($C2691,'Phản ánh'!$A$6:$A$505,0)),IF($I2691="Công việc",INDEX('Kế hoạch'!$C$6:$C$305,$O2691),""))</f>
      </c>
      <c r="K2691" s="221">
        <f>IF($I2691="Phản ánh",INDEX('Phản ánh'!$K$6:$K$505,MATCH($C2691,'Phản ánh'!$A$6:$A$505,0))&amp;"",IF($I2691="Công việc",INDEX('Kế hoạch'!$N$6:$N$305,$O2691)&amp;"",""))</f>
      </c>
      <c r="L2691" s="220">
        <f>IF(OR($C2691="",N($B2691)=0),"",IF(AND($I2691="Phản ánh",$E2691="Đã xử lý"),INDEX('Phản ánh'!$U$6:$U$505,MATCH($C2691,'Phản ánh'!$A$6:$A$505,0)),IF(AND($I2691="Công việc",OR($E2691="Hoàn thành",$E2691="Hoàn thành kỳ")),IF(INDEX('Kế hoạch'!$B$6:$B$305,$O2691)="Đột xuất",INDEX('Kế hoạch'!$AY$6:$AY$305,$O2691),IF(N($P2691)=0,"",IF(INT($B2691)&lt;$P2691,$P2691,IF($Q2691&gt;0,$P2691+ROUND((INT($B2691)-$P2691)/$Q2691,0)*$Q2691,IF($R2691&gt;0,EDATE($P2691,ROUND((DATEDIF($P2691,INT($B2691),"m")+(INT($B2691)-EDATE($P2691,DATEDIF($P2691,INT($B2691),"m")))/(EDATE($P2691,DATEDIF($P2691,INT($B2691),"m")+1)-EDATE($P2691,DATEDIF($P2691,INT($B2691),"m"))))/$R2691,0)*$R2691),$P2691))))),"")))</f>
      </c>
      <c r="M2691" s="223">
        <f>IF(OR($C2691="",N($L2691)=0,N($B2691)=0),"",IF(IF(MOD($L2691,1)=0,INT($B2691),$B2691)&lt;=$L2691,"Đúng hạn","Trễ hạn"))</f>
      </c>
      <c r="N2691" s="225">
        <f>IF($C2691="","",ROW())</f>
      </c>
      <c r="O2691" s="225">
        <f>IF($I2691="Công việc",MATCH($C2691,'Kế hoạch'!$A$6:$A$305,0),"")</f>
      </c>
      <c r="P2691" s="234">
        <f>IF($O2691="","",INDEX('Kế hoạch'!$I$6:$I$305,$O2691))</f>
      </c>
      <c r="Q2691" s="225">
        <f>IF($O2691="","",INDEX('Kế hoạch'!$AJ$6:$AJ$305,$O2691))</f>
      </c>
      <c r="R2691" s="225">
        <f>IF($O2691="","",INDEX('Kế hoạch'!$AK$6:$AK$305,$O2691))</f>
      </c>
    </row>
    <row r="2692">
      <c r="A2692" s="223">
        <f>IF($C2692="","",COUNTIF($C$6:$C2692,"?*"))</f>
      </c>
      <c r="B2692" s="217"/>
      <c r="C2692" s="216"/>
      <c r="D2692" s="240"/>
      <c r="E2692" s="218"/>
      <c r="F2692" s="218"/>
      <c r="G2692" s="218"/>
      <c r="H2692" s="219"/>
      <c r="I2692" s="223">
        <f>IF($C2692="","",IF(ISNUMBER(MATCH($C2692,'Phản ánh'!$A$6:$A$505,0)),"Phản ánh",IF(ISNUMBER(MATCH($C2692,'Kế hoạch'!$A$6:$A$305,0)),"Công việc","Mã chưa có")))</f>
      </c>
      <c r="J2692" s="221">
        <f>IF($I2692="Phản ánh",INDEX('Phản ánh'!$C$6:$C$505,MATCH($C2692,'Phản ánh'!$A$6:$A$505,0)),IF($I2692="Công việc",INDEX('Kế hoạch'!$C$6:$C$305,$O2692),""))</f>
      </c>
      <c r="K2692" s="221">
        <f>IF($I2692="Phản ánh",INDEX('Phản ánh'!$K$6:$K$505,MATCH($C2692,'Phản ánh'!$A$6:$A$505,0))&amp;"",IF($I2692="Công việc",INDEX('Kế hoạch'!$N$6:$N$305,$O2692)&amp;"",""))</f>
      </c>
      <c r="L2692" s="220">
        <f>IF(OR($C2692="",N($B2692)=0),"",IF(AND($I2692="Phản ánh",$E2692="Đã xử lý"),INDEX('Phản ánh'!$U$6:$U$505,MATCH($C2692,'Phản ánh'!$A$6:$A$505,0)),IF(AND($I2692="Công việc",OR($E2692="Hoàn thành",$E2692="Hoàn thành kỳ")),IF(INDEX('Kế hoạch'!$B$6:$B$305,$O2692)="Đột xuất",INDEX('Kế hoạch'!$AY$6:$AY$305,$O2692),IF(N($P2692)=0,"",IF(INT($B2692)&lt;$P2692,$P2692,IF($Q2692&gt;0,$P2692+ROUND((INT($B2692)-$P2692)/$Q2692,0)*$Q2692,IF($R2692&gt;0,EDATE($P2692,ROUND((DATEDIF($P2692,INT($B2692),"m")+(INT($B2692)-EDATE($P2692,DATEDIF($P2692,INT($B2692),"m")))/(EDATE($P2692,DATEDIF($P2692,INT($B2692),"m")+1)-EDATE($P2692,DATEDIF($P2692,INT($B2692),"m"))))/$R2692,0)*$R2692),$P2692))))),"")))</f>
      </c>
      <c r="M2692" s="223">
        <f>IF(OR($C2692="",N($L2692)=0,N($B2692)=0),"",IF(IF(MOD($L2692,1)=0,INT($B2692),$B2692)&lt;=$L2692,"Đúng hạn","Trễ hạn"))</f>
      </c>
      <c r="N2692" s="225">
        <f>IF($C2692="","",ROW())</f>
      </c>
      <c r="O2692" s="225">
        <f>IF($I2692="Công việc",MATCH($C2692,'Kế hoạch'!$A$6:$A$305,0),"")</f>
      </c>
      <c r="P2692" s="234">
        <f>IF($O2692="","",INDEX('Kế hoạch'!$I$6:$I$305,$O2692))</f>
      </c>
      <c r="Q2692" s="225">
        <f>IF($O2692="","",INDEX('Kế hoạch'!$AJ$6:$AJ$305,$O2692))</f>
      </c>
      <c r="R2692" s="225">
        <f>IF($O2692="","",INDEX('Kế hoạch'!$AK$6:$AK$305,$O2692))</f>
      </c>
    </row>
    <row r="2693">
      <c r="A2693" s="223">
        <f>IF($C2693="","",COUNTIF($C$6:$C2693,"?*"))</f>
      </c>
      <c r="B2693" s="217"/>
      <c r="C2693" s="216"/>
      <c r="D2693" s="240"/>
      <c r="E2693" s="218"/>
      <c r="F2693" s="218"/>
      <c r="G2693" s="218"/>
      <c r="H2693" s="219"/>
      <c r="I2693" s="223">
        <f>IF($C2693="","",IF(ISNUMBER(MATCH($C2693,'Phản ánh'!$A$6:$A$505,0)),"Phản ánh",IF(ISNUMBER(MATCH($C2693,'Kế hoạch'!$A$6:$A$305,0)),"Công việc","Mã chưa có")))</f>
      </c>
      <c r="J2693" s="221">
        <f>IF($I2693="Phản ánh",INDEX('Phản ánh'!$C$6:$C$505,MATCH($C2693,'Phản ánh'!$A$6:$A$505,0)),IF($I2693="Công việc",INDEX('Kế hoạch'!$C$6:$C$305,$O2693),""))</f>
      </c>
      <c r="K2693" s="221">
        <f>IF($I2693="Phản ánh",INDEX('Phản ánh'!$K$6:$K$505,MATCH($C2693,'Phản ánh'!$A$6:$A$505,0))&amp;"",IF($I2693="Công việc",INDEX('Kế hoạch'!$N$6:$N$305,$O2693)&amp;"",""))</f>
      </c>
      <c r="L2693" s="220">
        <f>IF(OR($C2693="",N($B2693)=0),"",IF(AND($I2693="Phản ánh",$E2693="Đã xử lý"),INDEX('Phản ánh'!$U$6:$U$505,MATCH($C2693,'Phản ánh'!$A$6:$A$505,0)),IF(AND($I2693="Công việc",OR($E2693="Hoàn thành",$E2693="Hoàn thành kỳ")),IF(INDEX('Kế hoạch'!$B$6:$B$305,$O2693)="Đột xuất",INDEX('Kế hoạch'!$AY$6:$AY$305,$O2693),IF(N($P2693)=0,"",IF(INT($B2693)&lt;$P2693,$P2693,IF($Q2693&gt;0,$P2693+ROUND((INT($B2693)-$P2693)/$Q2693,0)*$Q2693,IF($R2693&gt;0,EDATE($P2693,ROUND((DATEDIF($P2693,INT($B2693),"m")+(INT($B2693)-EDATE($P2693,DATEDIF($P2693,INT($B2693),"m")))/(EDATE($P2693,DATEDIF($P2693,INT($B2693),"m")+1)-EDATE($P2693,DATEDIF($P2693,INT($B2693),"m"))))/$R2693,0)*$R2693),$P2693))))),"")))</f>
      </c>
      <c r="M2693" s="223">
        <f>IF(OR($C2693="",N($L2693)=0,N($B2693)=0),"",IF(IF(MOD($L2693,1)=0,INT($B2693),$B2693)&lt;=$L2693,"Đúng hạn","Trễ hạn"))</f>
      </c>
      <c r="N2693" s="225">
        <f>IF($C2693="","",ROW())</f>
      </c>
      <c r="O2693" s="225">
        <f>IF($I2693="Công việc",MATCH($C2693,'Kế hoạch'!$A$6:$A$305,0),"")</f>
      </c>
      <c r="P2693" s="234">
        <f>IF($O2693="","",INDEX('Kế hoạch'!$I$6:$I$305,$O2693))</f>
      </c>
      <c r="Q2693" s="225">
        <f>IF($O2693="","",INDEX('Kế hoạch'!$AJ$6:$AJ$305,$O2693))</f>
      </c>
      <c r="R2693" s="225">
        <f>IF($O2693="","",INDEX('Kế hoạch'!$AK$6:$AK$305,$O2693))</f>
      </c>
    </row>
    <row r="2694">
      <c r="A2694" s="223">
        <f>IF($C2694="","",COUNTIF($C$6:$C2694,"?*"))</f>
      </c>
      <c r="B2694" s="217"/>
      <c r="C2694" s="216"/>
      <c r="D2694" s="240"/>
      <c r="E2694" s="218"/>
      <c r="F2694" s="218"/>
      <c r="G2694" s="218"/>
      <c r="H2694" s="219"/>
      <c r="I2694" s="223">
        <f>IF($C2694="","",IF(ISNUMBER(MATCH($C2694,'Phản ánh'!$A$6:$A$505,0)),"Phản ánh",IF(ISNUMBER(MATCH($C2694,'Kế hoạch'!$A$6:$A$305,0)),"Công việc","Mã chưa có")))</f>
      </c>
      <c r="J2694" s="221">
        <f>IF($I2694="Phản ánh",INDEX('Phản ánh'!$C$6:$C$505,MATCH($C2694,'Phản ánh'!$A$6:$A$505,0)),IF($I2694="Công việc",INDEX('Kế hoạch'!$C$6:$C$305,$O2694),""))</f>
      </c>
      <c r="K2694" s="221">
        <f>IF($I2694="Phản ánh",INDEX('Phản ánh'!$K$6:$K$505,MATCH($C2694,'Phản ánh'!$A$6:$A$505,0))&amp;"",IF($I2694="Công việc",INDEX('Kế hoạch'!$N$6:$N$305,$O2694)&amp;"",""))</f>
      </c>
      <c r="L2694" s="220">
        <f>IF(OR($C2694="",N($B2694)=0),"",IF(AND($I2694="Phản ánh",$E2694="Đã xử lý"),INDEX('Phản ánh'!$U$6:$U$505,MATCH($C2694,'Phản ánh'!$A$6:$A$505,0)),IF(AND($I2694="Công việc",OR($E2694="Hoàn thành",$E2694="Hoàn thành kỳ")),IF(INDEX('Kế hoạch'!$B$6:$B$305,$O2694)="Đột xuất",INDEX('Kế hoạch'!$AY$6:$AY$305,$O2694),IF(N($P2694)=0,"",IF(INT($B2694)&lt;$P2694,$P2694,IF($Q2694&gt;0,$P2694+ROUND((INT($B2694)-$P2694)/$Q2694,0)*$Q2694,IF($R2694&gt;0,EDATE($P2694,ROUND((DATEDIF($P2694,INT($B2694),"m")+(INT($B2694)-EDATE($P2694,DATEDIF($P2694,INT($B2694),"m")))/(EDATE($P2694,DATEDIF($P2694,INT($B2694),"m")+1)-EDATE($P2694,DATEDIF($P2694,INT($B2694),"m"))))/$R2694,0)*$R2694),$P2694))))),"")))</f>
      </c>
      <c r="M2694" s="223">
        <f>IF(OR($C2694="",N($L2694)=0,N($B2694)=0),"",IF(IF(MOD($L2694,1)=0,INT($B2694),$B2694)&lt;=$L2694,"Đúng hạn","Trễ hạn"))</f>
      </c>
      <c r="N2694" s="225">
        <f>IF($C2694="","",ROW())</f>
      </c>
      <c r="O2694" s="225">
        <f>IF($I2694="Công việc",MATCH($C2694,'Kế hoạch'!$A$6:$A$305,0),"")</f>
      </c>
      <c r="P2694" s="234">
        <f>IF($O2694="","",INDEX('Kế hoạch'!$I$6:$I$305,$O2694))</f>
      </c>
      <c r="Q2694" s="225">
        <f>IF($O2694="","",INDEX('Kế hoạch'!$AJ$6:$AJ$305,$O2694))</f>
      </c>
      <c r="R2694" s="225">
        <f>IF($O2694="","",INDEX('Kế hoạch'!$AK$6:$AK$305,$O2694))</f>
      </c>
    </row>
    <row r="2695">
      <c r="A2695" s="223">
        <f>IF($C2695="","",COUNTIF($C$6:$C2695,"?*"))</f>
      </c>
      <c r="B2695" s="217"/>
      <c r="C2695" s="216"/>
      <c r="D2695" s="240"/>
      <c r="E2695" s="218"/>
      <c r="F2695" s="218"/>
      <c r="G2695" s="218"/>
      <c r="H2695" s="219"/>
      <c r="I2695" s="223">
        <f>IF($C2695="","",IF(ISNUMBER(MATCH($C2695,'Phản ánh'!$A$6:$A$505,0)),"Phản ánh",IF(ISNUMBER(MATCH($C2695,'Kế hoạch'!$A$6:$A$305,0)),"Công việc","Mã chưa có")))</f>
      </c>
      <c r="J2695" s="221">
        <f>IF($I2695="Phản ánh",INDEX('Phản ánh'!$C$6:$C$505,MATCH($C2695,'Phản ánh'!$A$6:$A$505,0)),IF($I2695="Công việc",INDEX('Kế hoạch'!$C$6:$C$305,$O2695),""))</f>
      </c>
      <c r="K2695" s="221">
        <f>IF($I2695="Phản ánh",INDEX('Phản ánh'!$K$6:$K$505,MATCH($C2695,'Phản ánh'!$A$6:$A$505,0))&amp;"",IF($I2695="Công việc",INDEX('Kế hoạch'!$N$6:$N$305,$O2695)&amp;"",""))</f>
      </c>
      <c r="L2695" s="220">
        <f>IF(OR($C2695="",N($B2695)=0),"",IF(AND($I2695="Phản ánh",$E2695="Đã xử lý"),INDEX('Phản ánh'!$U$6:$U$505,MATCH($C2695,'Phản ánh'!$A$6:$A$505,0)),IF(AND($I2695="Công việc",OR($E2695="Hoàn thành",$E2695="Hoàn thành kỳ")),IF(INDEX('Kế hoạch'!$B$6:$B$305,$O2695)="Đột xuất",INDEX('Kế hoạch'!$AY$6:$AY$305,$O2695),IF(N($P2695)=0,"",IF(INT($B2695)&lt;$P2695,$P2695,IF($Q2695&gt;0,$P2695+ROUND((INT($B2695)-$P2695)/$Q2695,0)*$Q2695,IF($R2695&gt;0,EDATE($P2695,ROUND((DATEDIF($P2695,INT($B2695),"m")+(INT($B2695)-EDATE($P2695,DATEDIF($P2695,INT($B2695),"m")))/(EDATE($P2695,DATEDIF($P2695,INT($B2695),"m")+1)-EDATE($P2695,DATEDIF($P2695,INT($B2695),"m"))))/$R2695,0)*$R2695),$P2695))))),"")))</f>
      </c>
      <c r="M2695" s="223">
        <f>IF(OR($C2695="",N($L2695)=0,N($B2695)=0),"",IF(IF(MOD($L2695,1)=0,INT($B2695),$B2695)&lt;=$L2695,"Đúng hạn","Trễ hạn"))</f>
      </c>
      <c r="N2695" s="225">
        <f>IF($C2695="","",ROW())</f>
      </c>
      <c r="O2695" s="225">
        <f>IF($I2695="Công việc",MATCH($C2695,'Kế hoạch'!$A$6:$A$305,0),"")</f>
      </c>
      <c r="P2695" s="234">
        <f>IF($O2695="","",INDEX('Kế hoạch'!$I$6:$I$305,$O2695))</f>
      </c>
      <c r="Q2695" s="225">
        <f>IF($O2695="","",INDEX('Kế hoạch'!$AJ$6:$AJ$305,$O2695))</f>
      </c>
      <c r="R2695" s="225">
        <f>IF($O2695="","",INDEX('Kế hoạch'!$AK$6:$AK$305,$O2695))</f>
      </c>
    </row>
    <row r="2696">
      <c r="A2696" s="223">
        <f>IF($C2696="","",COUNTIF($C$6:$C2696,"?*"))</f>
      </c>
      <c r="B2696" s="217"/>
      <c r="C2696" s="216"/>
      <c r="D2696" s="240"/>
      <c r="E2696" s="218"/>
      <c r="F2696" s="218"/>
      <c r="G2696" s="218"/>
      <c r="H2696" s="219"/>
      <c r="I2696" s="223">
        <f>IF($C2696="","",IF(ISNUMBER(MATCH($C2696,'Phản ánh'!$A$6:$A$505,0)),"Phản ánh",IF(ISNUMBER(MATCH($C2696,'Kế hoạch'!$A$6:$A$305,0)),"Công việc","Mã chưa có")))</f>
      </c>
      <c r="J2696" s="221">
        <f>IF($I2696="Phản ánh",INDEX('Phản ánh'!$C$6:$C$505,MATCH($C2696,'Phản ánh'!$A$6:$A$505,0)),IF($I2696="Công việc",INDEX('Kế hoạch'!$C$6:$C$305,$O2696),""))</f>
      </c>
      <c r="K2696" s="221">
        <f>IF($I2696="Phản ánh",INDEX('Phản ánh'!$K$6:$K$505,MATCH($C2696,'Phản ánh'!$A$6:$A$505,0))&amp;"",IF($I2696="Công việc",INDEX('Kế hoạch'!$N$6:$N$305,$O2696)&amp;"",""))</f>
      </c>
      <c r="L2696" s="220">
        <f>IF(OR($C2696="",N($B2696)=0),"",IF(AND($I2696="Phản ánh",$E2696="Đã xử lý"),INDEX('Phản ánh'!$U$6:$U$505,MATCH($C2696,'Phản ánh'!$A$6:$A$505,0)),IF(AND($I2696="Công việc",OR($E2696="Hoàn thành",$E2696="Hoàn thành kỳ")),IF(INDEX('Kế hoạch'!$B$6:$B$305,$O2696)="Đột xuất",INDEX('Kế hoạch'!$AY$6:$AY$305,$O2696),IF(N($P2696)=0,"",IF(INT($B2696)&lt;$P2696,$P2696,IF($Q2696&gt;0,$P2696+ROUND((INT($B2696)-$P2696)/$Q2696,0)*$Q2696,IF($R2696&gt;0,EDATE($P2696,ROUND((DATEDIF($P2696,INT($B2696),"m")+(INT($B2696)-EDATE($P2696,DATEDIF($P2696,INT($B2696),"m")))/(EDATE($P2696,DATEDIF($P2696,INT($B2696),"m")+1)-EDATE($P2696,DATEDIF($P2696,INT($B2696),"m"))))/$R2696,0)*$R2696),$P2696))))),"")))</f>
      </c>
      <c r="M2696" s="223">
        <f>IF(OR($C2696="",N($L2696)=0,N($B2696)=0),"",IF(IF(MOD($L2696,1)=0,INT($B2696),$B2696)&lt;=$L2696,"Đúng hạn","Trễ hạn"))</f>
      </c>
      <c r="N2696" s="225">
        <f>IF($C2696="","",ROW())</f>
      </c>
      <c r="O2696" s="225">
        <f>IF($I2696="Công việc",MATCH($C2696,'Kế hoạch'!$A$6:$A$305,0),"")</f>
      </c>
      <c r="P2696" s="234">
        <f>IF($O2696="","",INDEX('Kế hoạch'!$I$6:$I$305,$O2696))</f>
      </c>
      <c r="Q2696" s="225">
        <f>IF($O2696="","",INDEX('Kế hoạch'!$AJ$6:$AJ$305,$O2696))</f>
      </c>
      <c r="R2696" s="225">
        <f>IF($O2696="","",INDEX('Kế hoạch'!$AK$6:$AK$305,$O2696))</f>
      </c>
    </row>
    <row r="2697">
      <c r="A2697" s="223">
        <f>IF($C2697="","",COUNTIF($C$6:$C2697,"?*"))</f>
      </c>
      <c r="B2697" s="217"/>
      <c r="C2697" s="216"/>
      <c r="D2697" s="240"/>
      <c r="E2697" s="218"/>
      <c r="F2697" s="218"/>
      <c r="G2697" s="218"/>
      <c r="H2697" s="219"/>
      <c r="I2697" s="223">
        <f>IF($C2697="","",IF(ISNUMBER(MATCH($C2697,'Phản ánh'!$A$6:$A$505,0)),"Phản ánh",IF(ISNUMBER(MATCH($C2697,'Kế hoạch'!$A$6:$A$305,0)),"Công việc","Mã chưa có")))</f>
      </c>
      <c r="J2697" s="221">
        <f>IF($I2697="Phản ánh",INDEX('Phản ánh'!$C$6:$C$505,MATCH($C2697,'Phản ánh'!$A$6:$A$505,0)),IF($I2697="Công việc",INDEX('Kế hoạch'!$C$6:$C$305,$O2697),""))</f>
      </c>
      <c r="K2697" s="221">
        <f>IF($I2697="Phản ánh",INDEX('Phản ánh'!$K$6:$K$505,MATCH($C2697,'Phản ánh'!$A$6:$A$505,0))&amp;"",IF($I2697="Công việc",INDEX('Kế hoạch'!$N$6:$N$305,$O2697)&amp;"",""))</f>
      </c>
      <c r="L2697" s="220">
        <f>IF(OR($C2697="",N($B2697)=0),"",IF(AND($I2697="Phản ánh",$E2697="Đã xử lý"),INDEX('Phản ánh'!$U$6:$U$505,MATCH($C2697,'Phản ánh'!$A$6:$A$505,0)),IF(AND($I2697="Công việc",OR($E2697="Hoàn thành",$E2697="Hoàn thành kỳ")),IF(INDEX('Kế hoạch'!$B$6:$B$305,$O2697)="Đột xuất",INDEX('Kế hoạch'!$AY$6:$AY$305,$O2697),IF(N($P2697)=0,"",IF(INT($B2697)&lt;$P2697,$P2697,IF($Q2697&gt;0,$P2697+ROUND((INT($B2697)-$P2697)/$Q2697,0)*$Q2697,IF($R2697&gt;0,EDATE($P2697,ROUND((DATEDIF($P2697,INT($B2697),"m")+(INT($B2697)-EDATE($P2697,DATEDIF($P2697,INT($B2697),"m")))/(EDATE($P2697,DATEDIF($P2697,INT($B2697),"m")+1)-EDATE($P2697,DATEDIF($P2697,INT($B2697),"m"))))/$R2697,0)*$R2697),$P2697))))),"")))</f>
      </c>
      <c r="M2697" s="223">
        <f>IF(OR($C2697="",N($L2697)=0,N($B2697)=0),"",IF(IF(MOD($L2697,1)=0,INT($B2697),$B2697)&lt;=$L2697,"Đúng hạn","Trễ hạn"))</f>
      </c>
      <c r="N2697" s="225">
        <f>IF($C2697="","",ROW())</f>
      </c>
      <c r="O2697" s="225">
        <f>IF($I2697="Công việc",MATCH($C2697,'Kế hoạch'!$A$6:$A$305,0),"")</f>
      </c>
      <c r="P2697" s="234">
        <f>IF($O2697="","",INDEX('Kế hoạch'!$I$6:$I$305,$O2697))</f>
      </c>
      <c r="Q2697" s="225">
        <f>IF($O2697="","",INDEX('Kế hoạch'!$AJ$6:$AJ$305,$O2697))</f>
      </c>
      <c r="R2697" s="225">
        <f>IF($O2697="","",INDEX('Kế hoạch'!$AK$6:$AK$305,$O2697))</f>
      </c>
    </row>
    <row r="2698">
      <c r="A2698" s="223">
        <f>IF($C2698="","",COUNTIF($C$6:$C2698,"?*"))</f>
      </c>
      <c r="B2698" s="217"/>
      <c r="C2698" s="216"/>
      <c r="D2698" s="240"/>
      <c r="E2698" s="218"/>
      <c r="F2698" s="218"/>
      <c r="G2698" s="218"/>
      <c r="H2698" s="219"/>
      <c r="I2698" s="223">
        <f>IF($C2698="","",IF(ISNUMBER(MATCH($C2698,'Phản ánh'!$A$6:$A$505,0)),"Phản ánh",IF(ISNUMBER(MATCH($C2698,'Kế hoạch'!$A$6:$A$305,0)),"Công việc","Mã chưa có")))</f>
      </c>
      <c r="J2698" s="221">
        <f>IF($I2698="Phản ánh",INDEX('Phản ánh'!$C$6:$C$505,MATCH($C2698,'Phản ánh'!$A$6:$A$505,0)),IF($I2698="Công việc",INDEX('Kế hoạch'!$C$6:$C$305,$O2698),""))</f>
      </c>
      <c r="K2698" s="221">
        <f>IF($I2698="Phản ánh",INDEX('Phản ánh'!$K$6:$K$505,MATCH($C2698,'Phản ánh'!$A$6:$A$505,0))&amp;"",IF($I2698="Công việc",INDEX('Kế hoạch'!$N$6:$N$305,$O2698)&amp;"",""))</f>
      </c>
      <c r="L2698" s="220">
        <f>IF(OR($C2698="",N($B2698)=0),"",IF(AND($I2698="Phản ánh",$E2698="Đã xử lý"),INDEX('Phản ánh'!$U$6:$U$505,MATCH($C2698,'Phản ánh'!$A$6:$A$505,0)),IF(AND($I2698="Công việc",OR($E2698="Hoàn thành",$E2698="Hoàn thành kỳ")),IF(INDEX('Kế hoạch'!$B$6:$B$305,$O2698)="Đột xuất",INDEX('Kế hoạch'!$AY$6:$AY$305,$O2698),IF(N($P2698)=0,"",IF(INT($B2698)&lt;$P2698,$P2698,IF($Q2698&gt;0,$P2698+ROUND((INT($B2698)-$P2698)/$Q2698,0)*$Q2698,IF($R2698&gt;0,EDATE($P2698,ROUND((DATEDIF($P2698,INT($B2698),"m")+(INT($B2698)-EDATE($P2698,DATEDIF($P2698,INT($B2698),"m")))/(EDATE($P2698,DATEDIF($P2698,INT($B2698),"m")+1)-EDATE($P2698,DATEDIF($P2698,INT($B2698),"m"))))/$R2698,0)*$R2698),$P2698))))),"")))</f>
      </c>
      <c r="M2698" s="223">
        <f>IF(OR($C2698="",N($L2698)=0,N($B2698)=0),"",IF(IF(MOD($L2698,1)=0,INT($B2698),$B2698)&lt;=$L2698,"Đúng hạn","Trễ hạn"))</f>
      </c>
      <c r="N2698" s="225">
        <f>IF($C2698="","",ROW())</f>
      </c>
      <c r="O2698" s="225">
        <f>IF($I2698="Công việc",MATCH($C2698,'Kế hoạch'!$A$6:$A$305,0),"")</f>
      </c>
      <c r="P2698" s="234">
        <f>IF($O2698="","",INDEX('Kế hoạch'!$I$6:$I$305,$O2698))</f>
      </c>
      <c r="Q2698" s="225">
        <f>IF($O2698="","",INDEX('Kế hoạch'!$AJ$6:$AJ$305,$O2698))</f>
      </c>
      <c r="R2698" s="225">
        <f>IF($O2698="","",INDEX('Kế hoạch'!$AK$6:$AK$305,$O2698))</f>
      </c>
    </row>
    <row r="2699">
      <c r="A2699" s="223">
        <f>IF($C2699="","",COUNTIF($C$6:$C2699,"?*"))</f>
      </c>
      <c r="B2699" s="217"/>
      <c r="C2699" s="216"/>
      <c r="D2699" s="240"/>
      <c r="E2699" s="218"/>
      <c r="F2699" s="218"/>
      <c r="G2699" s="218"/>
      <c r="H2699" s="219"/>
      <c r="I2699" s="223">
        <f>IF($C2699="","",IF(ISNUMBER(MATCH($C2699,'Phản ánh'!$A$6:$A$505,0)),"Phản ánh",IF(ISNUMBER(MATCH($C2699,'Kế hoạch'!$A$6:$A$305,0)),"Công việc","Mã chưa có")))</f>
      </c>
      <c r="J2699" s="221">
        <f>IF($I2699="Phản ánh",INDEX('Phản ánh'!$C$6:$C$505,MATCH($C2699,'Phản ánh'!$A$6:$A$505,0)),IF($I2699="Công việc",INDEX('Kế hoạch'!$C$6:$C$305,$O2699),""))</f>
      </c>
      <c r="K2699" s="221">
        <f>IF($I2699="Phản ánh",INDEX('Phản ánh'!$K$6:$K$505,MATCH($C2699,'Phản ánh'!$A$6:$A$505,0))&amp;"",IF($I2699="Công việc",INDEX('Kế hoạch'!$N$6:$N$305,$O2699)&amp;"",""))</f>
      </c>
      <c r="L2699" s="220">
        <f>IF(OR($C2699="",N($B2699)=0),"",IF(AND($I2699="Phản ánh",$E2699="Đã xử lý"),INDEX('Phản ánh'!$U$6:$U$505,MATCH($C2699,'Phản ánh'!$A$6:$A$505,0)),IF(AND($I2699="Công việc",OR($E2699="Hoàn thành",$E2699="Hoàn thành kỳ")),IF(INDEX('Kế hoạch'!$B$6:$B$305,$O2699)="Đột xuất",INDEX('Kế hoạch'!$AY$6:$AY$305,$O2699),IF(N($P2699)=0,"",IF(INT($B2699)&lt;$P2699,$P2699,IF($Q2699&gt;0,$P2699+ROUND((INT($B2699)-$P2699)/$Q2699,0)*$Q2699,IF($R2699&gt;0,EDATE($P2699,ROUND((DATEDIF($P2699,INT($B2699),"m")+(INT($B2699)-EDATE($P2699,DATEDIF($P2699,INT($B2699),"m")))/(EDATE($P2699,DATEDIF($P2699,INT($B2699),"m")+1)-EDATE($P2699,DATEDIF($P2699,INT($B2699),"m"))))/$R2699,0)*$R2699),$P2699))))),"")))</f>
      </c>
      <c r="M2699" s="223">
        <f>IF(OR($C2699="",N($L2699)=0,N($B2699)=0),"",IF(IF(MOD($L2699,1)=0,INT($B2699),$B2699)&lt;=$L2699,"Đúng hạn","Trễ hạn"))</f>
      </c>
      <c r="N2699" s="225">
        <f>IF($C2699="","",ROW())</f>
      </c>
      <c r="O2699" s="225">
        <f>IF($I2699="Công việc",MATCH($C2699,'Kế hoạch'!$A$6:$A$305,0),"")</f>
      </c>
      <c r="P2699" s="234">
        <f>IF($O2699="","",INDEX('Kế hoạch'!$I$6:$I$305,$O2699))</f>
      </c>
      <c r="Q2699" s="225">
        <f>IF($O2699="","",INDEX('Kế hoạch'!$AJ$6:$AJ$305,$O2699))</f>
      </c>
      <c r="R2699" s="225">
        <f>IF($O2699="","",INDEX('Kế hoạch'!$AK$6:$AK$305,$O2699))</f>
      </c>
    </row>
    <row r="2700">
      <c r="A2700" s="223">
        <f>IF($C2700="","",COUNTIF($C$6:$C2700,"?*"))</f>
      </c>
      <c r="B2700" s="217"/>
      <c r="C2700" s="216"/>
      <c r="D2700" s="240"/>
      <c r="E2700" s="218"/>
      <c r="F2700" s="218"/>
      <c r="G2700" s="218"/>
      <c r="H2700" s="219"/>
      <c r="I2700" s="223">
        <f>IF($C2700="","",IF(ISNUMBER(MATCH($C2700,'Phản ánh'!$A$6:$A$505,0)),"Phản ánh",IF(ISNUMBER(MATCH($C2700,'Kế hoạch'!$A$6:$A$305,0)),"Công việc","Mã chưa có")))</f>
      </c>
      <c r="J2700" s="221">
        <f>IF($I2700="Phản ánh",INDEX('Phản ánh'!$C$6:$C$505,MATCH($C2700,'Phản ánh'!$A$6:$A$505,0)),IF($I2700="Công việc",INDEX('Kế hoạch'!$C$6:$C$305,$O2700),""))</f>
      </c>
      <c r="K2700" s="221">
        <f>IF($I2700="Phản ánh",INDEX('Phản ánh'!$K$6:$K$505,MATCH($C2700,'Phản ánh'!$A$6:$A$505,0))&amp;"",IF($I2700="Công việc",INDEX('Kế hoạch'!$N$6:$N$305,$O2700)&amp;"",""))</f>
      </c>
      <c r="L2700" s="220">
        <f>IF(OR($C2700="",N($B2700)=0),"",IF(AND($I2700="Phản ánh",$E2700="Đã xử lý"),INDEX('Phản ánh'!$U$6:$U$505,MATCH($C2700,'Phản ánh'!$A$6:$A$505,0)),IF(AND($I2700="Công việc",OR($E2700="Hoàn thành",$E2700="Hoàn thành kỳ")),IF(INDEX('Kế hoạch'!$B$6:$B$305,$O2700)="Đột xuất",INDEX('Kế hoạch'!$AY$6:$AY$305,$O2700),IF(N($P2700)=0,"",IF(INT($B2700)&lt;$P2700,$P2700,IF($Q2700&gt;0,$P2700+ROUND((INT($B2700)-$P2700)/$Q2700,0)*$Q2700,IF($R2700&gt;0,EDATE($P2700,ROUND((DATEDIF($P2700,INT($B2700),"m")+(INT($B2700)-EDATE($P2700,DATEDIF($P2700,INT($B2700),"m")))/(EDATE($P2700,DATEDIF($P2700,INT($B2700),"m")+1)-EDATE($P2700,DATEDIF($P2700,INT($B2700),"m"))))/$R2700,0)*$R2700),$P2700))))),"")))</f>
      </c>
      <c r="M2700" s="223">
        <f>IF(OR($C2700="",N($L2700)=0,N($B2700)=0),"",IF(IF(MOD($L2700,1)=0,INT($B2700),$B2700)&lt;=$L2700,"Đúng hạn","Trễ hạn"))</f>
      </c>
      <c r="N2700" s="225">
        <f>IF($C2700="","",ROW())</f>
      </c>
      <c r="O2700" s="225">
        <f>IF($I2700="Công việc",MATCH($C2700,'Kế hoạch'!$A$6:$A$305,0),"")</f>
      </c>
      <c r="P2700" s="234">
        <f>IF($O2700="","",INDEX('Kế hoạch'!$I$6:$I$305,$O2700))</f>
      </c>
      <c r="Q2700" s="225">
        <f>IF($O2700="","",INDEX('Kế hoạch'!$AJ$6:$AJ$305,$O2700))</f>
      </c>
      <c r="R2700" s="225">
        <f>IF($O2700="","",INDEX('Kế hoạch'!$AK$6:$AK$305,$O2700))</f>
      </c>
    </row>
    <row r="2701">
      <c r="A2701" s="223">
        <f>IF($C2701="","",COUNTIF($C$6:$C2701,"?*"))</f>
      </c>
      <c r="B2701" s="217"/>
      <c r="C2701" s="216"/>
      <c r="D2701" s="240"/>
      <c r="E2701" s="218"/>
      <c r="F2701" s="218"/>
      <c r="G2701" s="218"/>
      <c r="H2701" s="219"/>
      <c r="I2701" s="223">
        <f>IF($C2701="","",IF(ISNUMBER(MATCH($C2701,'Phản ánh'!$A$6:$A$505,0)),"Phản ánh",IF(ISNUMBER(MATCH($C2701,'Kế hoạch'!$A$6:$A$305,0)),"Công việc","Mã chưa có")))</f>
      </c>
      <c r="J2701" s="221">
        <f>IF($I2701="Phản ánh",INDEX('Phản ánh'!$C$6:$C$505,MATCH($C2701,'Phản ánh'!$A$6:$A$505,0)),IF($I2701="Công việc",INDEX('Kế hoạch'!$C$6:$C$305,$O2701),""))</f>
      </c>
      <c r="K2701" s="221">
        <f>IF($I2701="Phản ánh",INDEX('Phản ánh'!$K$6:$K$505,MATCH($C2701,'Phản ánh'!$A$6:$A$505,0))&amp;"",IF($I2701="Công việc",INDEX('Kế hoạch'!$N$6:$N$305,$O2701)&amp;"",""))</f>
      </c>
      <c r="L2701" s="220">
        <f>IF(OR($C2701="",N($B2701)=0),"",IF(AND($I2701="Phản ánh",$E2701="Đã xử lý"),INDEX('Phản ánh'!$U$6:$U$505,MATCH($C2701,'Phản ánh'!$A$6:$A$505,0)),IF(AND($I2701="Công việc",OR($E2701="Hoàn thành",$E2701="Hoàn thành kỳ")),IF(INDEX('Kế hoạch'!$B$6:$B$305,$O2701)="Đột xuất",INDEX('Kế hoạch'!$AY$6:$AY$305,$O2701),IF(N($P2701)=0,"",IF(INT($B2701)&lt;$P2701,$P2701,IF($Q2701&gt;0,$P2701+ROUND((INT($B2701)-$P2701)/$Q2701,0)*$Q2701,IF($R2701&gt;0,EDATE($P2701,ROUND((DATEDIF($P2701,INT($B2701),"m")+(INT($B2701)-EDATE($P2701,DATEDIF($P2701,INT($B2701),"m")))/(EDATE($P2701,DATEDIF($P2701,INT($B2701),"m")+1)-EDATE($P2701,DATEDIF($P2701,INT($B2701),"m"))))/$R2701,0)*$R2701),$P2701))))),"")))</f>
      </c>
      <c r="M2701" s="223">
        <f>IF(OR($C2701="",N($L2701)=0,N($B2701)=0),"",IF(IF(MOD($L2701,1)=0,INT($B2701),$B2701)&lt;=$L2701,"Đúng hạn","Trễ hạn"))</f>
      </c>
      <c r="N2701" s="225">
        <f>IF($C2701="","",ROW())</f>
      </c>
      <c r="O2701" s="225">
        <f>IF($I2701="Công việc",MATCH($C2701,'Kế hoạch'!$A$6:$A$305,0),"")</f>
      </c>
      <c r="P2701" s="234">
        <f>IF($O2701="","",INDEX('Kế hoạch'!$I$6:$I$305,$O2701))</f>
      </c>
      <c r="Q2701" s="225">
        <f>IF($O2701="","",INDEX('Kế hoạch'!$AJ$6:$AJ$305,$O2701))</f>
      </c>
      <c r="R2701" s="225">
        <f>IF($O2701="","",INDEX('Kế hoạch'!$AK$6:$AK$305,$O2701))</f>
      </c>
    </row>
    <row r="2702">
      <c r="A2702" s="223">
        <f>IF($C2702="","",COUNTIF($C$6:$C2702,"?*"))</f>
      </c>
      <c r="B2702" s="217"/>
      <c r="C2702" s="216"/>
      <c r="D2702" s="240"/>
      <c r="E2702" s="218"/>
      <c r="F2702" s="218"/>
      <c r="G2702" s="218"/>
      <c r="H2702" s="219"/>
      <c r="I2702" s="223">
        <f>IF($C2702="","",IF(ISNUMBER(MATCH($C2702,'Phản ánh'!$A$6:$A$505,0)),"Phản ánh",IF(ISNUMBER(MATCH($C2702,'Kế hoạch'!$A$6:$A$305,0)),"Công việc","Mã chưa có")))</f>
      </c>
      <c r="J2702" s="221">
        <f>IF($I2702="Phản ánh",INDEX('Phản ánh'!$C$6:$C$505,MATCH($C2702,'Phản ánh'!$A$6:$A$505,0)),IF($I2702="Công việc",INDEX('Kế hoạch'!$C$6:$C$305,$O2702),""))</f>
      </c>
      <c r="K2702" s="221">
        <f>IF($I2702="Phản ánh",INDEX('Phản ánh'!$K$6:$K$505,MATCH($C2702,'Phản ánh'!$A$6:$A$505,0))&amp;"",IF($I2702="Công việc",INDEX('Kế hoạch'!$N$6:$N$305,$O2702)&amp;"",""))</f>
      </c>
      <c r="L2702" s="220">
        <f>IF(OR($C2702="",N($B2702)=0),"",IF(AND($I2702="Phản ánh",$E2702="Đã xử lý"),INDEX('Phản ánh'!$U$6:$U$505,MATCH($C2702,'Phản ánh'!$A$6:$A$505,0)),IF(AND($I2702="Công việc",OR($E2702="Hoàn thành",$E2702="Hoàn thành kỳ")),IF(INDEX('Kế hoạch'!$B$6:$B$305,$O2702)="Đột xuất",INDEX('Kế hoạch'!$AY$6:$AY$305,$O2702),IF(N($P2702)=0,"",IF(INT($B2702)&lt;$P2702,$P2702,IF($Q2702&gt;0,$P2702+ROUND((INT($B2702)-$P2702)/$Q2702,0)*$Q2702,IF($R2702&gt;0,EDATE($P2702,ROUND((DATEDIF($P2702,INT($B2702),"m")+(INT($B2702)-EDATE($P2702,DATEDIF($P2702,INT($B2702),"m")))/(EDATE($P2702,DATEDIF($P2702,INT($B2702),"m")+1)-EDATE($P2702,DATEDIF($P2702,INT($B2702),"m"))))/$R2702,0)*$R2702),$P2702))))),"")))</f>
      </c>
      <c r="M2702" s="223">
        <f>IF(OR($C2702="",N($L2702)=0,N($B2702)=0),"",IF(IF(MOD($L2702,1)=0,INT($B2702),$B2702)&lt;=$L2702,"Đúng hạn","Trễ hạn"))</f>
      </c>
      <c r="N2702" s="225">
        <f>IF($C2702="","",ROW())</f>
      </c>
      <c r="O2702" s="225">
        <f>IF($I2702="Công việc",MATCH($C2702,'Kế hoạch'!$A$6:$A$305,0),"")</f>
      </c>
      <c r="P2702" s="234">
        <f>IF($O2702="","",INDEX('Kế hoạch'!$I$6:$I$305,$O2702))</f>
      </c>
      <c r="Q2702" s="225">
        <f>IF($O2702="","",INDEX('Kế hoạch'!$AJ$6:$AJ$305,$O2702))</f>
      </c>
      <c r="R2702" s="225">
        <f>IF($O2702="","",INDEX('Kế hoạch'!$AK$6:$AK$305,$O2702))</f>
      </c>
    </row>
    <row r="2703">
      <c r="A2703" s="223">
        <f>IF($C2703="","",COUNTIF($C$6:$C2703,"?*"))</f>
      </c>
      <c r="B2703" s="217"/>
      <c r="C2703" s="216"/>
      <c r="D2703" s="240"/>
      <c r="E2703" s="218"/>
      <c r="F2703" s="218"/>
      <c r="G2703" s="218"/>
      <c r="H2703" s="219"/>
      <c r="I2703" s="223">
        <f>IF($C2703="","",IF(ISNUMBER(MATCH($C2703,'Phản ánh'!$A$6:$A$505,0)),"Phản ánh",IF(ISNUMBER(MATCH($C2703,'Kế hoạch'!$A$6:$A$305,0)),"Công việc","Mã chưa có")))</f>
      </c>
      <c r="J2703" s="221">
        <f>IF($I2703="Phản ánh",INDEX('Phản ánh'!$C$6:$C$505,MATCH($C2703,'Phản ánh'!$A$6:$A$505,0)),IF($I2703="Công việc",INDEX('Kế hoạch'!$C$6:$C$305,$O2703),""))</f>
      </c>
      <c r="K2703" s="221">
        <f>IF($I2703="Phản ánh",INDEX('Phản ánh'!$K$6:$K$505,MATCH($C2703,'Phản ánh'!$A$6:$A$505,0))&amp;"",IF($I2703="Công việc",INDEX('Kế hoạch'!$N$6:$N$305,$O2703)&amp;"",""))</f>
      </c>
      <c r="L2703" s="220">
        <f>IF(OR($C2703="",N($B2703)=0),"",IF(AND($I2703="Phản ánh",$E2703="Đã xử lý"),INDEX('Phản ánh'!$U$6:$U$505,MATCH($C2703,'Phản ánh'!$A$6:$A$505,0)),IF(AND($I2703="Công việc",OR($E2703="Hoàn thành",$E2703="Hoàn thành kỳ")),IF(INDEX('Kế hoạch'!$B$6:$B$305,$O2703)="Đột xuất",INDEX('Kế hoạch'!$AY$6:$AY$305,$O2703),IF(N($P2703)=0,"",IF(INT($B2703)&lt;$P2703,$P2703,IF($Q2703&gt;0,$P2703+ROUND((INT($B2703)-$P2703)/$Q2703,0)*$Q2703,IF($R2703&gt;0,EDATE($P2703,ROUND((DATEDIF($P2703,INT($B2703),"m")+(INT($B2703)-EDATE($P2703,DATEDIF($P2703,INT($B2703),"m")))/(EDATE($P2703,DATEDIF($P2703,INT($B2703),"m")+1)-EDATE($P2703,DATEDIF($P2703,INT($B2703),"m"))))/$R2703,0)*$R2703),$P2703))))),"")))</f>
      </c>
      <c r="M2703" s="223">
        <f>IF(OR($C2703="",N($L2703)=0,N($B2703)=0),"",IF(IF(MOD($L2703,1)=0,INT($B2703),$B2703)&lt;=$L2703,"Đúng hạn","Trễ hạn"))</f>
      </c>
      <c r="N2703" s="225">
        <f>IF($C2703="","",ROW())</f>
      </c>
      <c r="O2703" s="225">
        <f>IF($I2703="Công việc",MATCH($C2703,'Kế hoạch'!$A$6:$A$305,0),"")</f>
      </c>
      <c r="P2703" s="234">
        <f>IF($O2703="","",INDEX('Kế hoạch'!$I$6:$I$305,$O2703))</f>
      </c>
      <c r="Q2703" s="225">
        <f>IF($O2703="","",INDEX('Kế hoạch'!$AJ$6:$AJ$305,$O2703))</f>
      </c>
      <c r="R2703" s="225">
        <f>IF($O2703="","",INDEX('Kế hoạch'!$AK$6:$AK$305,$O2703))</f>
      </c>
    </row>
    <row r="2704">
      <c r="A2704" s="223">
        <f>IF($C2704="","",COUNTIF($C$6:$C2704,"?*"))</f>
      </c>
      <c r="B2704" s="217"/>
      <c r="C2704" s="216"/>
      <c r="D2704" s="240"/>
      <c r="E2704" s="218"/>
      <c r="F2704" s="218"/>
      <c r="G2704" s="218"/>
      <c r="H2704" s="219"/>
      <c r="I2704" s="223">
        <f>IF($C2704="","",IF(ISNUMBER(MATCH($C2704,'Phản ánh'!$A$6:$A$505,0)),"Phản ánh",IF(ISNUMBER(MATCH($C2704,'Kế hoạch'!$A$6:$A$305,0)),"Công việc","Mã chưa có")))</f>
      </c>
      <c r="J2704" s="221">
        <f>IF($I2704="Phản ánh",INDEX('Phản ánh'!$C$6:$C$505,MATCH($C2704,'Phản ánh'!$A$6:$A$505,0)),IF($I2704="Công việc",INDEX('Kế hoạch'!$C$6:$C$305,$O2704),""))</f>
      </c>
      <c r="K2704" s="221">
        <f>IF($I2704="Phản ánh",INDEX('Phản ánh'!$K$6:$K$505,MATCH($C2704,'Phản ánh'!$A$6:$A$505,0))&amp;"",IF($I2704="Công việc",INDEX('Kế hoạch'!$N$6:$N$305,$O2704)&amp;"",""))</f>
      </c>
      <c r="L2704" s="220">
        <f>IF(OR($C2704="",N($B2704)=0),"",IF(AND($I2704="Phản ánh",$E2704="Đã xử lý"),INDEX('Phản ánh'!$U$6:$U$505,MATCH($C2704,'Phản ánh'!$A$6:$A$505,0)),IF(AND($I2704="Công việc",OR($E2704="Hoàn thành",$E2704="Hoàn thành kỳ")),IF(INDEX('Kế hoạch'!$B$6:$B$305,$O2704)="Đột xuất",INDEX('Kế hoạch'!$AY$6:$AY$305,$O2704),IF(N($P2704)=0,"",IF(INT($B2704)&lt;$P2704,$P2704,IF($Q2704&gt;0,$P2704+ROUND((INT($B2704)-$P2704)/$Q2704,0)*$Q2704,IF($R2704&gt;0,EDATE($P2704,ROUND((DATEDIF($P2704,INT($B2704),"m")+(INT($B2704)-EDATE($P2704,DATEDIF($P2704,INT($B2704),"m")))/(EDATE($P2704,DATEDIF($P2704,INT($B2704),"m")+1)-EDATE($P2704,DATEDIF($P2704,INT($B2704),"m"))))/$R2704,0)*$R2704),$P2704))))),"")))</f>
      </c>
      <c r="M2704" s="223">
        <f>IF(OR($C2704="",N($L2704)=0,N($B2704)=0),"",IF(IF(MOD($L2704,1)=0,INT($B2704),$B2704)&lt;=$L2704,"Đúng hạn","Trễ hạn"))</f>
      </c>
      <c r="N2704" s="225">
        <f>IF($C2704="","",ROW())</f>
      </c>
      <c r="O2704" s="225">
        <f>IF($I2704="Công việc",MATCH($C2704,'Kế hoạch'!$A$6:$A$305,0),"")</f>
      </c>
      <c r="P2704" s="234">
        <f>IF($O2704="","",INDEX('Kế hoạch'!$I$6:$I$305,$O2704))</f>
      </c>
      <c r="Q2704" s="225">
        <f>IF($O2704="","",INDEX('Kế hoạch'!$AJ$6:$AJ$305,$O2704))</f>
      </c>
      <c r="R2704" s="225">
        <f>IF($O2704="","",INDEX('Kế hoạch'!$AK$6:$AK$305,$O2704))</f>
      </c>
    </row>
    <row r="2705">
      <c r="A2705" s="223">
        <f>IF($C2705="","",COUNTIF($C$6:$C2705,"?*"))</f>
      </c>
      <c r="B2705" s="217"/>
      <c r="C2705" s="216"/>
      <c r="D2705" s="240"/>
      <c r="E2705" s="218"/>
      <c r="F2705" s="218"/>
      <c r="G2705" s="218"/>
      <c r="H2705" s="219"/>
      <c r="I2705" s="223">
        <f>IF($C2705="","",IF(ISNUMBER(MATCH($C2705,'Phản ánh'!$A$6:$A$505,0)),"Phản ánh",IF(ISNUMBER(MATCH($C2705,'Kế hoạch'!$A$6:$A$305,0)),"Công việc","Mã chưa có")))</f>
      </c>
      <c r="J2705" s="221">
        <f>IF($I2705="Phản ánh",INDEX('Phản ánh'!$C$6:$C$505,MATCH($C2705,'Phản ánh'!$A$6:$A$505,0)),IF($I2705="Công việc",INDEX('Kế hoạch'!$C$6:$C$305,$O2705),""))</f>
      </c>
      <c r="K2705" s="221">
        <f>IF($I2705="Phản ánh",INDEX('Phản ánh'!$K$6:$K$505,MATCH($C2705,'Phản ánh'!$A$6:$A$505,0))&amp;"",IF($I2705="Công việc",INDEX('Kế hoạch'!$N$6:$N$305,$O2705)&amp;"",""))</f>
      </c>
      <c r="L2705" s="220">
        <f>IF(OR($C2705="",N($B2705)=0),"",IF(AND($I2705="Phản ánh",$E2705="Đã xử lý"),INDEX('Phản ánh'!$U$6:$U$505,MATCH($C2705,'Phản ánh'!$A$6:$A$505,0)),IF(AND($I2705="Công việc",OR($E2705="Hoàn thành",$E2705="Hoàn thành kỳ")),IF(INDEX('Kế hoạch'!$B$6:$B$305,$O2705)="Đột xuất",INDEX('Kế hoạch'!$AY$6:$AY$305,$O2705),IF(N($P2705)=0,"",IF(INT($B2705)&lt;$P2705,$P2705,IF($Q2705&gt;0,$P2705+ROUND((INT($B2705)-$P2705)/$Q2705,0)*$Q2705,IF($R2705&gt;0,EDATE($P2705,ROUND((DATEDIF($P2705,INT($B2705),"m")+(INT($B2705)-EDATE($P2705,DATEDIF($P2705,INT($B2705),"m")))/(EDATE($P2705,DATEDIF($P2705,INT($B2705),"m")+1)-EDATE($P2705,DATEDIF($P2705,INT($B2705),"m"))))/$R2705,0)*$R2705),$P2705))))),"")))</f>
      </c>
      <c r="M2705" s="223">
        <f>IF(OR($C2705="",N($L2705)=0,N($B2705)=0),"",IF(IF(MOD($L2705,1)=0,INT($B2705),$B2705)&lt;=$L2705,"Đúng hạn","Trễ hạn"))</f>
      </c>
      <c r="N2705" s="225">
        <f>IF($C2705="","",ROW())</f>
      </c>
      <c r="O2705" s="225">
        <f>IF($I2705="Công việc",MATCH($C2705,'Kế hoạch'!$A$6:$A$305,0),"")</f>
      </c>
      <c r="P2705" s="234">
        <f>IF($O2705="","",INDEX('Kế hoạch'!$I$6:$I$305,$O2705))</f>
      </c>
      <c r="Q2705" s="225">
        <f>IF($O2705="","",INDEX('Kế hoạch'!$AJ$6:$AJ$305,$O2705))</f>
      </c>
      <c r="R2705" s="225">
        <f>IF($O2705="","",INDEX('Kế hoạch'!$AK$6:$AK$305,$O2705))</f>
      </c>
    </row>
    <row r="2706">
      <c r="A2706" s="223">
        <f>IF($C2706="","",COUNTIF($C$6:$C2706,"?*"))</f>
      </c>
      <c r="B2706" s="217"/>
      <c r="C2706" s="216"/>
      <c r="D2706" s="240"/>
      <c r="E2706" s="218"/>
      <c r="F2706" s="218"/>
      <c r="G2706" s="218"/>
      <c r="H2706" s="219"/>
      <c r="I2706" s="223">
        <f>IF($C2706="","",IF(ISNUMBER(MATCH($C2706,'Phản ánh'!$A$6:$A$505,0)),"Phản ánh",IF(ISNUMBER(MATCH($C2706,'Kế hoạch'!$A$6:$A$305,0)),"Công việc","Mã chưa có")))</f>
      </c>
      <c r="J2706" s="221">
        <f>IF($I2706="Phản ánh",INDEX('Phản ánh'!$C$6:$C$505,MATCH($C2706,'Phản ánh'!$A$6:$A$505,0)),IF($I2706="Công việc",INDEX('Kế hoạch'!$C$6:$C$305,$O2706),""))</f>
      </c>
      <c r="K2706" s="221">
        <f>IF($I2706="Phản ánh",INDEX('Phản ánh'!$K$6:$K$505,MATCH($C2706,'Phản ánh'!$A$6:$A$505,0))&amp;"",IF($I2706="Công việc",INDEX('Kế hoạch'!$N$6:$N$305,$O2706)&amp;"",""))</f>
      </c>
      <c r="L2706" s="220">
        <f>IF(OR($C2706="",N($B2706)=0),"",IF(AND($I2706="Phản ánh",$E2706="Đã xử lý"),INDEX('Phản ánh'!$U$6:$U$505,MATCH($C2706,'Phản ánh'!$A$6:$A$505,0)),IF(AND($I2706="Công việc",OR($E2706="Hoàn thành",$E2706="Hoàn thành kỳ")),IF(INDEX('Kế hoạch'!$B$6:$B$305,$O2706)="Đột xuất",INDEX('Kế hoạch'!$AY$6:$AY$305,$O2706),IF(N($P2706)=0,"",IF(INT($B2706)&lt;$P2706,$P2706,IF($Q2706&gt;0,$P2706+ROUND((INT($B2706)-$P2706)/$Q2706,0)*$Q2706,IF($R2706&gt;0,EDATE($P2706,ROUND((DATEDIF($P2706,INT($B2706),"m")+(INT($B2706)-EDATE($P2706,DATEDIF($P2706,INT($B2706),"m")))/(EDATE($P2706,DATEDIF($P2706,INT($B2706),"m")+1)-EDATE($P2706,DATEDIF($P2706,INT($B2706),"m"))))/$R2706,0)*$R2706),$P2706))))),"")))</f>
      </c>
      <c r="M2706" s="223">
        <f>IF(OR($C2706="",N($L2706)=0,N($B2706)=0),"",IF(IF(MOD($L2706,1)=0,INT($B2706),$B2706)&lt;=$L2706,"Đúng hạn","Trễ hạn"))</f>
      </c>
      <c r="N2706" s="225">
        <f>IF($C2706="","",ROW())</f>
      </c>
      <c r="O2706" s="225">
        <f>IF($I2706="Công việc",MATCH($C2706,'Kế hoạch'!$A$6:$A$305,0),"")</f>
      </c>
      <c r="P2706" s="234">
        <f>IF($O2706="","",INDEX('Kế hoạch'!$I$6:$I$305,$O2706))</f>
      </c>
      <c r="Q2706" s="225">
        <f>IF($O2706="","",INDEX('Kế hoạch'!$AJ$6:$AJ$305,$O2706))</f>
      </c>
      <c r="R2706" s="225">
        <f>IF($O2706="","",INDEX('Kế hoạch'!$AK$6:$AK$305,$O2706))</f>
      </c>
    </row>
    <row r="2707">
      <c r="A2707" s="223">
        <f>IF($C2707="","",COUNTIF($C$6:$C2707,"?*"))</f>
      </c>
      <c r="B2707" s="217"/>
      <c r="C2707" s="216"/>
      <c r="D2707" s="240"/>
      <c r="E2707" s="218"/>
      <c r="F2707" s="218"/>
      <c r="G2707" s="218"/>
      <c r="H2707" s="219"/>
      <c r="I2707" s="223">
        <f>IF($C2707="","",IF(ISNUMBER(MATCH($C2707,'Phản ánh'!$A$6:$A$505,0)),"Phản ánh",IF(ISNUMBER(MATCH($C2707,'Kế hoạch'!$A$6:$A$305,0)),"Công việc","Mã chưa có")))</f>
      </c>
      <c r="J2707" s="221">
        <f>IF($I2707="Phản ánh",INDEX('Phản ánh'!$C$6:$C$505,MATCH($C2707,'Phản ánh'!$A$6:$A$505,0)),IF($I2707="Công việc",INDEX('Kế hoạch'!$C$6:$C$305,$O2707),""))</f>
      </c>
      <c r="K2707" s="221">
        <f>IF($I2707="Phản ánh",INDEX('Phản ánh'!$K$6:$K$505,MATCH($C2707,'Phản ánh'!$A$6:$A$505,0))&amp;"",IF($I2707="Công việc",INDEX('Kế hoạch'!$N$6:$N$305,$O2707)&amp;"",""))</f>
      </c>
      <c r="L2707" s="220">
        <f>IF(OR($C2707="",N($B2707)=0),"",IF(AND($I2707="Phản ánh",$E2707="Đã xử lý"),INDEX('Phản ánh'!$U$6:$U$505,MATCH($C2707,'Phản ánh'!$A$6:$A$505,0)),IF(AND($I2707="Công việc",OR($E2707="Hoàn thành",$E2707="Hoàn thành kỳ")),IF(INDEX('Kế hoạch'!$B$6:$B$305,$O2707)="Đột xuất",INDEX('Kế hoạch'!$AY$6:$AY$305,$O2707),IF(N($P2707)=0,"",IF(INT($B2707)&lt;$P2707,$P2707,IF($Q2707&gt;0,$P2707+ROUND((INT($B2707)-$P2707)/$Q2707,0)*$Q2707,IF($R2707&gt;0,EDATE($P2707,ROUND((DATEDIF($P2707,INT($B2707),"m")+(INT($B2707)-EDATE($P2707,DATEDIF($P2707,INT($B2707),"m")))/(EDATE($P2707,DATEDIF($P2707,INT($B2707),"m")+1)-EDATE($P2707,DATEDIF($P2707,INT($B2707),"m"))))/$R2707,0)*$R2707),$P2707))))),"")))</f>
      </c>
      <c r="M2707" s="223">
        <f>IF(OR($C2707="",N($L2707)=0,N($B2707)=0),"",IF(IF(MOD($L2707,1)=0,INT($B2707),$B2707)&lt;=$L2707,"Đúng hạn","Trễ hạn"))</f>
      </c>
      <c r="N2707" s="225">
        <f>IF($C2707="","",ROW())</f>
      </c>
      <c r="O2707" s="225">
        <f>IF($I2707="Công việc",MATCH($C2707,'Kế hoạch'!$A$6:$A$305,0),"")</f>
      </c>
      <c r="P2707" s="234">
        <f>IF($O2707="","",INDEX('Kế hoạch'!$I$6:$I$305,$O2707))</f>
      </c>
      <c r="Q2707" s="225">
        <f>IF($O2707="","",INDEX('Kế hoạch'!$AJ$6:$AJ$305,$O2707))</f>
      </c>
      <c r="R2707" s="225">
        <f>IF($O2707="","",INDEX('Kế hoạch'!$AK$6:$AK$305,$O2707))</f>
      </c>
    </row>
    <row r="2708">
      <c r="A2708" s="223">
        <f>IF($C2708="","",COUNTIF($C$6:$C2708,"?*"))</f>
      </c>
      <c r="B2708" s="217"/>
      <c r="C2708" s="216"/>
      <c r="D2708" s="240"/>
      <c r="E2708" s="218"/>
      <c r="F2708" s="218"/>
      <c r="G2708" s="218"/>
      <c r="H2708" s="219"/>
      <c r="I2708" s="223">
        <f>IF($C2708="","",IF(ISNUMBER(MATCH($C2708,'Phản ánh'!$A$6:$A$505,0)),"Phản ánh",IF(ISNUMBER(MATCH($C2708,'Kế hoạch'!$A$6:$A$305,0)),"Công việc","Mã chưa có")))</f>
      </c>
      <c r="J2708" s="221">
        <f>IF($I2708="Phản ánh",INDEX('Phản ánh'!$C$6:$C$505,MATCH($C2708,'Phản ánh'!$A$6:$A$505,0)),IF($I2708="Công việc",INDEX('Kế hoạch'!$C$6:$C$305,$O2708),""))</f>
      </c>
      <c r="K2708" s="221">
        <f>IF($I2708="Phản ánh",INDEX('Phản ánh'!$K$6:$K$505,MATCH($C2708,'Phản ánh'!$A$6:$A$505,0))&amp;"",IF($I2708="Công việc",INDEX('Kế hoạch'!$N$6:$N$305,$O2708)&amp;"",""))</f>
      </c>
      <c r="L2708" s="220">
        <f>IF(OR($C2708="",N($B2708)=0),"",IF(AND($I2708="Phản ánh",$E2708="Đã xử lý"),INDEX('Phản ánh'!$U$6:$U$505,MATCH($C2708,'Phản ánh'!$A$6:$A$505,0)),IF(AND($I2708="Công việc",OR($E2708="Hoàn thành",$E2708="Hoàn thành kỳ")),IF(INDEX('Kế hoạch'!$B$6:$B$305,$O2708)="Đột xuất",INDEX('Kế hoạch'!$AY$6:$AY$305,$O2708),IF(N($P2708)=0,"",IF(INT($B2708)&lt;$P2708,$P2708,IF($Q2708&gt;0,$P2708+ROUND((INT($B2708)-$P2708)/$Q2708,0)*$Q2708,IF($R2708&gt;0,EDATE($P2708,ROUND((DATEDIF($P2708,INT($B2708),"m")+(INT($B2708)-EDATE($P2708,DATEDIF($P2708,INT($B2708),"m")))/(EDATE($P2708,DATEDIF($P2708,INT($B2708),"m")+1)-EDATE($P2708,DATEDIF($P2708,INT($B2708),"m"))))/$R2708,0)*$R2708),$P2708))))),"")))</f>
      </c>
      <c r="M2708" s="223">
        <f>IF(OR($C2708="",N($L2708)=0,N($B2708)=0),"",IF(IF(MOD($L2708,1)=0,INT($B2708),$B2708)&lt;=$L2708,"Đúng hạn","Trễ hạn"))</f>
      </c>
      <c r="N2708" s="225">
        <f>IF($C2708="","",ROW())</f>
      </c>
      <c r="O2708" s="225">
        <f>IF($I2708="Công việc",MATCH($C2708,'Kế hoạch'!$A$6:$A$305,0),"")</f>
      </c>
      <c r="P2708" s="234">
        <f>IF($O2708="","",INDEX('Kế hoạch'!$I$6:$I$305,$O2708))</f>
      </c>
      <c r="Q2708" s="225">
        <f>IF($O2708="","",INDEX('Kế hoạch'!$AJ$6:$AJ$305,$O2708))</f>
      </c>
      <c r="R2708" s="225">
        <f>IF($O2708="","",INDEX('Kế hoạch'!$AK$6:$AK$305,$O2708))</f>
      </c>
    </row>
    <row r="2709">
      <c r="A2709" s="223">
        <f>IF($C2709="","",COUNTIF($C$6:$C2709,"?*"))</f>
      </c>
      <c r="B2709" s="217"/>
      <c r="C2709" s="216"/>
      <c r="D2709" s="240"/>
      <c r="E2709" s="218"/>
      <c r="F2709" s="218"/>
      <c r="G2709" s="218"/>
      <c r="H2709" s="219"/>
      <c r="I2709" s="223">
        <f>IF($C2709="","",IF(ISNUMBER(MATCH($C2709,'Phản ánh'!$A$6:$A$505,0)),"Phản ánh",IF(ISNUMBER(MATCH($C2709,'Kế hoạch'!$A$6:$A$305,0)),"Công việc","Mã chưa có")))</f>
      </c>
      <c r="J2709" s="221">
        <f>IF($I2709="Phản ánh",INDEX('Phản ánh'!$C$6:$C$505,MATCH($C2709,'Phản ánh'!$A$6:$A$505,0)),IF($I2709="Công việc",INDEX('Kế hoạch'!$C$6:$C$305,$O2709),""))</f>
      </c>
      <c r="K2709" s="221">
        <f>IF($I2709="Phản ánh",INDEX('Phản ánh'!$K$6:$K$505,MATCH($C2709,'Phản ánh'!$A$6:$A$505,0))&amp;"",IF($I2709="Công việc",INDEX('Kế hoạch'!$N$6:$N$305,$O2709)&amp;"",""))</f>
      </c>
      <c r="L2709" s="220">
        <f>IF(OR($C2709="",N($B2709)=0),"",IF(AND($I2709="Phản ánh",$E2709="Đã xử lý"),INDEX('Phản ánh'!$U$6:$U$505,MATCH($C2709,'Phản ánh'!$A$6:$A$505,0)),IF(AND($I2709="Công việc",OR($E2709="Hoàn thành",$E2709="Hoàn thành kỳ")),IF(INDEX('Kế hoạch'!$B$6:$B$305,$O2709)="Đột xuất",INDEX('Kế hoạch'!$AY$6:$AY$305,$O2709),IF(N($P2709)=0,"",IF(INT($B2709)&lt;$P2709,$P2709,IF($Q2709&gt;0,$P2709+ROUND((INT($B2709)-$P2709)/$Q2709,0)*$Q2709,IF($R2709&gt;0,EDATE($P2709,ROUND((DATEDIF($P2709,INT($B2709),"m")+(INT($B2709)-EDATE($P2709,DATEDIF($P2709,INT($B2709),"m")))/(EDATE($P2709,DATEDIF($P2709,INT($B2709),"m")+1)-EDATE($P2709,DATEDIF($P2709,INT($B2709),"m"))))/$R2709,0)*$R2709),$P2709))))),"")))</f>
      </c>
      <c r="M2709" s="223">
        <f>IF(OR($C2709="",N($L2709)=0,N($B2709)=0),"",IF(IF(MOD($L2709,1)=0,INT($B2709),$B2709)&lt;=$L2709,"Đúng hạn","Trễ hạn"))</f>
      </c>
      <c r="N2709" s="225">
        <f>IF($C2709="","",ROW())</f>
      </c>
      <c r="O2709" s="225">
        <f>IF($I2709="Công việc",MATCH($C2709,'Kế hoạch'!$A$6:$A$305,0),"")</f>
      </c>
      <c r="P2709" s="234">
        <f>IF($O2709="","",INDEX('Kế hoạch'!$I$6:$I$305,$O2709))</f>
      </c>
      <c r="Q2709" s="225">
        <f>IF($O2709="","",INDEX('Kế hoạch'!$AJ$6:$AJ$305,$O2709))</f>
      </c>
      <c r="R2709" s="225">
        <f>IF($O2709="","",INDEX('Kế hoạch'!$AK$6:$AK$305,$O2709))</f>
      </c>
    </row>
    <row r="2710">
      <c r="A2710" s="223">
        <f>IF($C2710="","",COUNTIF($C$6:$C2710,"?*"))</f>
      </c>
      <c r="B2710" s="217"/>
      <c r="C2710" s="216"/>
      <c r="D2710" s="240"/>
      <c r="E2710" s="218"/>
      <c r="F2710" s="218"/>
      <c r="G2710" s="218"/>
      <c r="H2710" s="219"/>
      <c r="I2710" s="223">
        <f>IF($C2710="","",IF(ISNUMBER(MATCH($C2710,'Phản ánh'!$A$6:$A$505,0)),"Phản ánh",IF(ISNUMBER(MATCH($C2710,'Kế hoạch'!$A$6:$A$305,0)),"Công việc","Mã chưa có")))</f>
      </c>
      <c r="J2710" s="221">
        <f>IF($I2710="Phản ánh",INDEX('Phản ánh'!$C$6:$C$505,MATCH($C2710,'Phản ánh'!$A$6:$A$505,0)),IF($I2710="Công việc",INDEX('Kế hoạch'!$C$6:$C$305,$O2710),""))</f>
      </c>
      <c r="K2710" s="221">
        <f>IF($I2710="Phản ánh",INDEX('Phản ánh'!$K$6:$K$505,MATCH($C2710,'Phản ánh'!$A$6:$A$505,0))&amp;"",IF($I2710="Công việc",INDEX('Kế hoạch'!$N$6:$N$305,$O2710)&amp;"",""))</f>
      </c>
      <c r="L2710" s="220">
        <f>IF(OR($C2710="",N($B2710)=0),"",IF(AND($I2710="Phản ánh",$E2710="Đã xử lý"),INDEX('Phản ánh'!$U$6:$U$505,MATCH($C2710,'Phản ánh'!$A$6:$A$505,0)),IF(AND($I2710="Công việc",OR($E2710="Hoàn thành",$E2710="Hoàn thành kỳ")),IF(INDEX('Kế hoạch'!$B$6:$B$305,$O2710)="Đột xuất",INDEX('Kế hoạch'!$AY$6:$AY$305,$O2710),IF(N($P2710)=0,"",IF(INT($B2710)&lt;$P2710,$P2710,IF($Q2710&gt;0,$P2710+ROUND((INT($B2710)-$P2710)/$Q2710,0)*$Q2710,IF($R2710&gt;0,EDATE($P2710,ROUND((DATEDIF($P2710,INT($B2710),"m")+(INT($B2710)-EDATE($P2710,DATEDIF($P2710,INT($B2710),"m")))/(EDATE($P2710,DATEDIF($P2710,INT($B2710),"m")+1)-EDATE($P2710,DATEDIF($P2710,INT($B2710),"m"))))/$R2710,0)*$R2710),$P2710))))),"")))</f>
      </c>
      <c r="M2710" s="223">
        <f>IF(OR($C2710="",N($L2710)=0,N($B2710)=0),"",IF(IF(MOD($L2710,1)=0,INT($B2710),$B2710)&lt;=$L2710,"Đúng hạn","Trễ hạn"))</f>
      </c>
      <c r="N2710" s="225">
        <f>IF($C2710="","",ROW())</f>
      </c>
      <c r="O2710" s="225">
        <f>IF($I2710="Công việc",MATCH($C2710,'Kế hoạch'!$A$6:$A$305,0),"")</f>
      </c>
      <c r="P2710" s="234">
        <f>IF($O2710="","",INDEX('Kế hoạch'!$I$6:$I$305,$O2710))</f>
      </c>
      <c r="Q2710" s="225">
        <f>IF($O2710="","",INDEX('Kế hoạch'!$AJ$6:$AJ$305,$O2710))</f>
      </c>
      <c r="R2710" s="225">
        <f>IF($O2710="","",INDEX('Kế hoạch'!$AK$6:$AK$305,$O2710))</f>
      </c>
    </row>
    <row r="2711">
      <c r="A2711" s="223">
        <f>IF($C2711="","",COUNTIF($C$6:$C2711,"?*"))</f>
      </c>
      <c r="B2711" s="217"/>
      <c r="C2711" s="216"/>
      <c r="D2711" s="240"/>
      <c r="E2711" s="218"/>
      <c r="F2711" s="218"/>
      <c r="G2711" s="218"/>
      <c r="H2711" s="219"/>
      <c r="I2711" s="223">
        <f>IF($C2711="","",IF(ISNUMBER(MATCH($C2711,'Phản ánh'!$A$6:$A$505,0)),"Phản ánh",IF(ISNUMBER(MATCH($C2711,'Kế hoạch'!$A$6:$A$305,0)),"Công việc","Mã chưa có")))</f>
      </c>
      <c r="J2711" s="221">
        <f>IF($I2711="Phản ánh",INDEX('Phản ánh'!$C$6:$C$505,MATCH($C2711,'Phản ánh'!$A$6:$A$505,0)),IF($I2711="Công việc",INDEX('Kế hoạch'!$C$6:$C$305,$O2711),""))</f>
      </c>
      <c r="K2711" s="221">
        <f>IF($I2711="Phản ánh",INDEX('Phản ánh'!$K$6:$K$505,MATCH($C2711,'Phản ánh'!$A$6:$A$505,0))&amp;"",IF($I2711="Công việc",INDEX('Kế hoạch'!$N$6:$N$305,$O2711)&amp;"",""))</f>
      </c>
      <c r="L2711" s="220">
        <f>IF(OR($C2711="",N($B2711)=0),"",IF(AND($I2711="Phản ánh",$E2711="Đã xử lý"),INDEX('Phản ánh'!$U$6:$U$505,MATCH($C2711,'Phản ánh'!$A$6:$A$505,0)),IF(AND($I2711="Công việc",OR($E2711="Hoàn thành",$E2711="Hoàn thành kỳ")),IF(INDEX('Kế hoạch'!$B$6:$B$305,$O2711)="Đột xuất",INDEX('Kế hoạch'!$AY$6:$AY$305,$O2711),IF(N($P2711)=0,"",IF(INT($B2711)&lt;$P2711,$P2711,IF($Q2711&gt;0,$P2711+ROUND((INT($B2711)-$P2711)/$Q2711,0)*$Q2711,IF($R2711&gt;0,EDATE($P2711,ROUND((DATEDIF($P2711,INT($B2711),"m")+(INT($B2711)-EDATE($P2711,DATEDIF($P2711,INT($B2711),"m")))/(EDATE($P2711,DATEDIF($P2711,INT($B2711),"m")+1)-EDATE($P2711,DATEDIF($P2711,INT($B2711),"m"))))/$R2711,0)*$R2711),$P2711))))),"")))</f>
      </c>
      <c r="M2711" s="223">
        <f>IF(OR($C2711="",N($L2711)=0,N($B2711)=0),"",IF(IF(MOD($L2711,1)=0,INT($B2711),$B2711)&lt;=$L2711,"Đúng hạn","Trễ hạn"))</f>
      </c>
      <c r="N2711" s="225">
        <f>IF($C2711="","",ROW())</f>
      </c>
      <c r="O2711" s="225">
        <f>IF($I2711="Công việc",MATCH($C2711,'Kế hoạch'!$A$6:$A$305,0),"")</f>
      </c>
      <c r="P2711" s="234">
        <f>IF($O2711="","",INDEX('Kế hoạch'!$I$6:$I$305,$O2711))</f>
      </c>
      <c r="Q2711" s="225">
        <f>IF($O2711="","",INDEX('Kế hoạch'!$AJ$6:$AJ$305,$O2711))</f>
      </c>
      <c r="R2711" s="225">
        <f>IF($O2711="","",INDEX('Kế hoạch'!$AK$6:$AK$305,$O2711))</f>
      </c>
    </row>
    <row r="2712">
      <c r="A2712" s="223">
        <f>IF($C2712="","",COUNTIF($C$6:$C2712,"?*"))</f>
      </c>
      <c r="B2712" s="217"/>
      <c r="C2712" s="216"/>
      <c r="D2712" s="240"/>
      <c r="E2712" s="218"/>
      <c r="F2712" s="218"/>
      <c r="G2712" s="218"/>
      <c r="H2712" s="219"/>
      <c r="I2712" s="223">
        <f>IF($C2712="","",IF(ISNUMBER(MATCH($C2712,'Phản ánh'!$A$6:$A$505,0)),"Phản ánh",IF(ISNUMBER(MATCH($C2712,'Kế hoạch'!$A$6:$A$305,0)),"Công việc","Mã chưa có")))</f>
      </c>
      <c r="J2712" s="221">
        <f>IF($I2712="Phản ánh",INDEX('Phản ánh'!$C$6:$C$505,MATCH($C2712,'Phản ánh'!$A$6:$A$505,0)),IF($I2712="Công việc",INDEX('Kế hoạch'!$C$6:$C$305,$O2712),""))</f>
      </c>
      <c r="K2712" s="221">
        <f>IF($I2712="Phản ánh",INDEX('Phản ánh'!$K$6:$K$505,MATCH($C2712,'Phản ánh'!$A$6:$A$505,0))&amp;"",IF($I2712="Công việc",INDEX('Kế hoạch'!$N$6:$N$305,$O2712)&amp;"",""))</f>
      </c>
      <c r="L2712" s="220">
        <f>IF(OR($C2712="",N($B2712)=0),"",IF(AND($I2712="Phản ánh",$E2712="Đã xử lý"),INDEX('Phản ánh'!$U$6:$U$505,MATCH($C2712,'Phản ánh'!$A$6:$A$505,0)),IF(AND($I2712="Công việc",OR($E2712="Hoàn thành",$E2712="Hoàn thành kỳ")),IF(INDEX('Kế hoạch'!$B$6:$B$305,$O2712)="Đột xuất",INDEX('Kế hoạch'!$AY$6:$AY$305,$O2712),IF(N($P2712)=0,"",IF(INT($B2712)&lt;$P2712,$P2712,IF($Q2712&gt;0,$P2712+ROUND((INT($B2712)-$P2712)/$Q2712,0)*$Q2712,IF($R2712&gt;0,EDATE($P2712,ROUND((DATEDIF($P2712,INT($B2712),"m")+(INT($B2712)-EDATE($P2712,DATEDIF($P2712,INT($B2712),"m")))/(EDATE($P2712,DATEDIF($P2712,INT($B2712),"m")+1)-EDATE($P2712,DATEDIF($P2712,INT($B2712),"m"))))/$R2712,0)*$R2712),$P2712))))),"")))</f>
      </c>
      <c r="M2712" s="223">
        <f>IF(OR($C2712="",N($L2712)=0,N($B2712)=0),"",IF(IF(MOD($L2712,1)=0,INT($B2712),$B2712)&lt;=$L2712,"Đúng hạn","Trễ hạn"))</f>
      </c>
      <c r="N2712" s="225">
        <f>IF($C2712="","",ROW())</f>
      </c>
      <c r="O2712" s="225">
        <f>IF($I2712="Công việc",MATCH($C2712,'Kế hoạch'!$A$6:$A$305,0),"")</f>
      </c>
      <c r="P2712" s="234">
        <f>IF($O2712="","",INDEX('Kế hoạch'!$I$6:$I$305,$O2712))</f>
      </c>
      <c r="Q2712" s="225">
        <f>IF($O2712="","",INDEX('Kế hoạch'!$AJ$6:$AJ$305,$O2712))</f>
      </c>
      <c r="R2712" s="225">
        <f>IF($O2712="","",INDEX('Kế hoạch'!$AK$6:$AK$305,$O2712))</f>
      </c>
    </row>
    <row r="2713">
      <c r="A2713" s="223">
        <f>IF($C2713="","",COUNTIF($C$6:$C2713,"?*"))</f>
      </c>
      <c r="B2713" s="217"/>
      <c r="C2713" s="216"/>
      <c r="D2713" s="240"/>
      <c r="E2713" s="218"/>
      <c r="F2713" s="218"/>
      <c r="G2713" s="218"/>
      <c r="H2713" s="219"/>
      <c r="I2713" s="223">
        <f>IF($C2713="","",IF(ISNUMBER(MATCH($C2713,'Phản ánh'!$A$6:$A$505,0)),"Phản ánh",IF(ISNUMBER(MATCH($C2713,'Kế hoạch'!$A$6:$A$305,0)),"Công việc","Mã chưa có")))</f>
      </c>
      <c r="J2713" s="221">
        <f>IF($I2713="Phản ánh",INDEX('Phản ánh'!$C$6:$C$505,MATCH($C2713,'Phản ánh'!$A$6:$A$505,0)),IF($I2713="Công việc",INDEX('Kế hoạch'!$C$6:$C$305,$O2713),""))</f>
      </c>
      <c r="K2713" s="221">
        <f>IF($I2713="Phản ánh",INDEX('Phản ánh'!$K$6:$K$505,MATCH($C2713,'Phản ánh'!$A$6:$A$505,0))&amp;"",IF($I2713="Công việc",INDEX('Kế hoạch'!$N$6:$N$305,$O2713)&amp;"",""))</f>
      </c>
      <c r="L2713" s="220">
        <f>IF(OR($C2713="",N($B2713)=0),"",IF(AND($I2713="Phản ánh",$E2713="Đã xử lý"),INDEX('Phản ánh'!$U$6:$U$505,MATCH($C2713,'Phản ánh'!$A$6:$A$505,0)),IF(AND($I2713="Công việc",OR($E2713="Hoàn thành",$E2713="Hoàn thành kỳ")),IF(INDEX('Kế hoạch'!$B$6:$B$305,$O2713)="Đột xuất",INDEX('Kế hoạch'!$AY$6:$AY$305,$O2713),IF(N($P2713)=0,"",IF(INT($B2713)&lt;$P2713,$P2713,IF($Q2713&gt;0,$P2713+ROUND((INT($B2713)-$P2713)/$Q2713,0)*$Q2713,IF($R2713&gt;0,EDATE($P2713,ROUND((DATEDIF($P2713,INT($B2713),"m")+(INT($B2713)-EDATE($P2713,DATEDIF($P2713,INT($B2713),"m")))/(EDATE($P2713,DATEDIF($P2713,INT($B2713),"m")+1)-EDATE($P2713,DATEDIF($P2713,INT($B2713),"m"))))/$R2713,0)*$R2713),$P2713))))),"")))</f>
      </c>
      <c r="M2713" s="223">
        <f>IF(OR($C2713="",N($L2713)=0,N($B2713)=0),"",IF(IF(MOD($L2713,1)=0,INT($B2713),$B2713)&lt;=$L2713,"Đúng hạn","Trễ hạn"))</f>
      </c>
      <c r="N2713" s="225">
        <f>IF($C2713="","",ROW())</f>
      </c>
      <c r="O2713" s="225">
        <f>IF($I2713="Công việc",MATCH($C2713,'Kế hoạch'!$A$6:$A$305,0),"")</f>
      </c>
      <c r="P2713" s="234">
        <f>IF($O2713="","",INDEX('Kế hoạch'!$I$6:$I$305,$O2713))</f>
      </c>
      <c r="Q2713" s="225">
        <f>IF($O2713="","",INDEX('Kế hoạch'!$AJ$6:$AJ$305,$O2713))</f>
      </c>
      <c r="R2713" s="225">
        <f>IF($O2713="","",INDEX('Kế hoạch'!$AK$6:$AK$305,$O2713))</f>
      </c>
    </row>
    <row r="2714">
      <c r="A2714" s="223">
        <f>IF($C2714="","",COUNTIF($C$6:$C2714,"?*"))</f>
      </c>
      <c r="B2714" s="217"/>
      <c r="C2714" s="216"/>
      <c r="D2714" s="240"/>
      <c r="E2714" s="218"/>
      <c r="F2714" s="218"/>
      <c r="G2714" s="218"/>
      <c r="H2714" s="219"/>
      <c r="I2714" s="223">
        <f>IF($C2714="","",IF(ISNUMBER(MATCH($C2714,'Phản ánh'!$A$6:$A$505,0)),"Phản ánh",IF(ISNUMBER(MATCH($C2714,'Kế hoạch'!$A$6:$A$305,0)),"Công việc","Mã chưa có")))</f>
      </c>
      <c r="J2714" s="221">
        <f>IF($I2714="Phản ánh",INDEX('Phản ánh'!$C$6:$C$505,MATCH($C2714,'Phản ánh'!$A$6:$A$505,0)),IF($I2714="Công việc",INDEX('Kế hoạch'!$C$6:$C$305,$O2714),""))</f>
      </c>
      <c r="K2714" s="221">
        <f>IF($I2714="Phản ánh",INDEX('Phản ánh'!$K$6:$K$505,MATCH($C2714,'Phản ánh'!$A$6:$A$505,0))&amp;"",IF($I2714="Công việc",INDEX('Kế hoạch'!$N$6:$N$305,$O2714)&amp;"",""))</f>
      </c>
      <c r="L2714" s="220">
        <f>IF(OR($C2714="",N($B2714)=0),"",IF(AND($I2714="Phản ánh",$E2714="Đã xử lý"),INDEX('Phản ánh'!$U$6:$U$505,MATCH($C2714,'Phản ánh'!$A$6:$A$505,0)),IF(AND($I2714="Công việc",OR($E2714="Hoàn thành",$E2714="Hoàn thành kỳ")),IF(INDEX('Kế hoạch'!$B$6:$B$305,$O2714)="Đột xuất",INDEX('Kế hoạch'!$AY$6:$AY$305,$O2714),IF(N($P2714)=0,"",IF(INT($B2714)&lt;$P2714,$P2714,IF($Q2714&gt;0,$P2714+ROUND((INT($B2714)-$P2714)/$Q2714,0)*$Q2714,IF($R2714&gt;0,EDATE($P2714,ROUND((DATEDIF($P2714,INT($B2714),"m")+(INT($B2714)-EDATE($P2714,DATEDIF($P2714,INT($B2714),"m")))/(EDATE($P2714,DATEDIF($P2714,INT($B2714),"m")+1)-EDATE($P2714,DATEDIF($P2714,INT($B2714),"m"))))/$R2714,0)*$R2714),$P2714))))),"")))</f>
      </c>
      <c r="M2714" s="223">
        <f>IF(OR($C2714="",N($L2714)=0,N($B2714)=0),"",IF(IF(MOD($L2714,1)=0,INT($B2714),$B2714)&lt;=$L2714,"Đúng hạn","Trễ hạn"))</f>
      </c>
      <c r="N2714" s="225">
        <f>IF($C2714="","",ROW())</f>
      </c>
      <c r="O2714" s="225">
        <f>IF($I2714="Công việc",MATCH($C2714,'Kế hoạch'!$A$6:$A$305,0),"")</f>
      </c>
      <c r="P2714" s="234">
        <f>IF($O2714="","",INDEX('Kế hoạch'!$I$6:$I$305,$O2714))</f>
      </c>
      <c r="Q2714" s="225">
        <f>IF($O2714="","",INDEX('Kế hoạch'!$AJ$6:$AJ$305,$O2714))</f>
      </c>
      <c r="R2714" s="225">
        <f>IF($O2714="","",INDEX('Kế hoạch'!$AK$6:$AK$305,$O2714))</f>
      </c>
    </row>
    <row r="2715">
      <c r="A2715" s="223">
        <f>IF($C2715="","",COUNTIF($C$6:$C2715,"?*"))</f>
      </c>
      <c r="B2715" s="217"/>
      <c r="C2715" s="216"/>
      <c r="D2715" s="240"/>
      <c r="E2715" s="218"/>
      <c r="F2715" s="218"/>
      <c r="G2715" s="218"/>
      <c r="H2715" s="219"/>
      <c r="I2715" s="223">
        <f>IF($C2715="","",IF(ISNUMBER(MATCH($C2715,'Phản ánh'!$A$6:$A$505,0)),"Phản ánh",IF(ISNUMBER(MATCH($C2715,'Kế hoạch'!$A$6:$A$305,0)),"Công việc","Mã chưa có")))</f>
      </c>
      <c r="J2715" s="221">
        <f>IF($I2715="Phản ánh",INDEX('Phản ánh'!$C$6:$C$505,MATCH($C2715,'Phản ánh'!$A$6:$A$505,0)),IF($I2715="Công việc",INDEX('Kế hoạch'!$C$6:$C$305,$O2715),""))</f>
      </c>
      <c r="K2715" s="221">
        <f>IF($I2715="Phản ánh",INDEX('Phản ánh'!$K$6:$K$505,MATCH($C2715,'Phản ánh'!$A$6:$A$505,0))&amp;"",IF($I2715="Công việc",INDEX('Kế hoạch'!$N$6:$N$305,$O2715)&amp;"",""))</f>
      </c>
      <c r="L2715" s="220">
        <f>IF(OR($C2715="",N($B2715)=0),"",IF(AND($I2715="Phản ánh",$E2715="Đã xử lý"),INDEX('Phản ánh'!$U$6:$U$505,MATCH($C2715,'Phản ánh'!$A$6:$A$505,0)),IF(AND($I2715="Công việc",OR($E2715="Hoàn thành",$E2715="Hoàn thành kỳ")),IF(INDEX('Kế hoạch'!$B$6:$B$305,$O2715)="Đột xuất",INDEX('Kế hoạch'!$AY$6:$AY$305,$O2715),IF(N($P2715)=0,"",IF(INT($B2715)&lt;$P2715,$P2715,IF($Q2715&gt;0,$P2715+ROUND((INT($B2715)-$P2715)/$Q2715,0)*$Q2715,IF($R2715&gt;0,EDATE($P2715,ROUND((DATEDIF($P2715,INT($B2715),"m")+(INT($B2715)-EDATE($P2715,DATEDIF($P2715,INT($B2715),"m")))/(EDATE($P2715,DATEDIF($P2715,INT($B2715),"m")+1)-EDATE($P2715,DATEDIF($P2715,INT($B2715),"m"))))/$R2715,0)*$R2715),$P2715))))),"")))</f>
      </c>
      <c r="M2715" s="223">
        <f>IF(OR($C2715="",N($L2715)=0,N($B2715)=0),"",IF(IF(MOD($L2715,1)=0,INT($B2715),$B2715)&lt;=$L2715,"Đúng hạn","Trễ hạn"))</f>
      </c>
      <c r="N2715" s="225">
        <f>IF($C2715="","",ROW())</f>
      </c>
      <c r="O2715" s="225">
        <f>IF($I2715="Công việc",MATCH($C2715,'Kế hoạch'!$A$6:$A$305,0),"")</f>
      </c>
      <c r="P2715" s="234">
        <f>IF($O2715="","",INDEX('Kế hoạch'!$I$6:$I$305,$O2715))</f>
      </c>
      <c r="Q2715" s="225">
        <f>IF($O2715="","",INDEX('Kế hoạch'!$AJ$6:$AJ$305,$O2715))</f>
      </c>
      <c r="R2715" s="225">
        <f>IF($O2715="","",INDEX('Kế hoạch'!$AK$6:$AK$305,$O2715))</f>
      </c>
    </row>
    <row r="2716">
      <c r="A2716" s="223">
        <f>IF($C2716="","",COUNTIF($C$6:$C2716,"?*"))</f>
      </c>
      <c r="B2716" s="217"/>
      <c r="C2716" s="216"/>
      <c r="D2716" s="240"/>
      <c r="E2716" s="218"/>
      <c r="F2716" s="218"/>
      <c r="G2716" s="218"/>
      <c r="H2716" s="219"/>
      <c r="I2716" s="223">
        <f>IF($C2716="","",IF(ISNUMBER(MATCH($C2716,'Phản ánh'!$A$6:$A$505,0)),"Phản ánh",IF(ISNUMBER(MATCH($C2716,'Kế hoạch'!$A$6:$A$305,0)),"Công việc","Mã chưa có")))</f>
      </c>
      <c r="J2716" s="221">
        <f>IF($I2716="Phản ánh",INDEX('Phản ánh'!$C$6:$C$505,MATCH($C2716,'Phản ánh'!$A$6:$A$505,0)),IF($I2716="Công việc",INDEX('Kế hoạch'!$C$6:$C$305,$O2716),""))</f>
      </c>
      <c r="K2716" s="221">
        <f>IF($I2716="Phản ánh",INDEX('Phản ánh'!$K$6:$K$505,MATCH($C2716,'Phản ánh'!$A$6:$A$505,0))&amp;"",IF($I2716="Công việc",INDEX('Kế hoạch'!$N$6:$N$305,$O2716)&amp;"",""))</f>
      </c>
      <c r="L2716" s="220">
        <f>IF(OR($C2716="",N($B2716)=0),"",IF(AND($I2716="Phản ánh",$E2716="Đã xử lý"),INDEX('Phản ánh'!$U$6:$U$505,MATCH($C2716,'Phản ánh'!$A$6:$A$505,0)),IF(AND($I2716="Công việc",OR($E2716="Hoàn thành",$E2716="Hoàn thành kỳ")),IF(INDEX('Kế hoạch'!$B$6:$B$305,$O2716)="Đột xuất",INDEX('Kế hoạch'!$AY$6:$AY$305,$O2716),IF(N($P2716)=0,"",IF(INT($B2716)&lt;$P2716,$P2716,IF($Q2716&gt;0,$P2716+ROUND((INT($B2716)-$P2716)/$Q2716,0)*$Q2716,IF($R2716&gt;0,EDATE($P2716,ROUND((DATEDIF($P2716,INT($B2716),"m")+(INT($B2716)-EDATE($P2716,DATEDIF($P2716,INT($B2716),"m")))/(EDATE($P2716,DATEDIF($P2716,INT($B2716),"m")+1)-EDATE($P2716,DATEDIF($P2716,INT($B2716),"m"))))/$R2716,0)*$R2716),$P2716))))),"")))</f>
      </c>
      <c r="M2716" s="223">
        <f>IF(OR($C2716="",N($L2716)=0,N($B2716)=0),"",IF(IF(MOD($L2716,1)=0,INT($B2716),$B2716)&lt;=$L2716,"Đúng hạn","Trễ hạn"))</f>
      </c>
      <c r="N2716" s="225">
        <f>IF($C2716="","",ROW())</f>
      </c>
      <c r="O2716" s="225">
        <f>IF($I2716="Công việc",MATCH($C2716,'Kế hoạch'!$A$6:$A$305,0),"")</f>
      </c>
      <c r="P2716" s="234">
        <f>IF($O2716="","",INDEX('Kế hoạch'!$I$6:$I$305,$O2716))</f>
      </c>
      <c r="Q2716" s="225">
        <f>IF($O2716="","",INDEX('Kế hoạch'!$AJ$6:$AJ$305,$O2716))</f>
      </c>
      <c r="R2716" s="225">
        <f>IF($O2716="","",INDEX('Kế hoạch'!$AK$6:$AK$305,$O2716))</f>
      </c>
    </row>
    <row r="2717">
      <c r="A2717" s="223">
        <f>IF($C2717="","",COUNTIF($C$6:$C2717,"?*"))</f>
      </c>
      <c r="B2717" s="217"/>
      <c r="C2717" s="216"/>
      <c r="D2717" s="240"/>
      <c r="E2717" s="218"/>
      <c r="F2717" s="218"/>
      <c r="G2717" s="218"/>
      <c r="H2717" s="219"/>
      <c r="I2717" s="223">
        <f>IF($C2717="","",IF(ISNUMBER(MATCH($C2717,'Phản ánh'!$A$6:$A$505,0)),"Phản ánh",IF(ISNUMBER(MATCH($C2717,'Kế hoạch'!$A$6:$A$305,0)),"Công việc","Mã chưa có")))</f>
      </c>
      <c r="J2717" s="221">
        <f>IF($I2717="Phản ánh",INDEX('Phản ánh'!$C$6:$C$505,MATCH($C2717,'Phản ánh'!$A$6:$A$505,0)),IF($I2717="Công việc",INDEX('Kế hoạch'!$C$6:$C$305,$O2717),""))</f>
      </c>
      <c r="K2717" s="221">
        <f>IF($I2717="Phản ánh",INDEX('Phản ánh'!$K$6:$K$505,MATCH($C2717,'Phản ánh'!$A$6:$A$505,0))&amp;"",IF($I2717="Công việc",INDEX('Kế hoạch'!$N$6:$N$305,$O2717)&amp;"",""))</f>
      </c>
      <c r="L2717" s="220">
        <f>IF(OR($C2717="",N($B2717)=0),"",IF(AND($I2717="Phản ánh",$E2717="Đã xử lý"),INDEX('Phản ánh'!$U$6:$U$505,MATCH($C2717,'Phản ánh'!$A$6:$A$505,0)),IF(AND($I2717="Công việc",OR($E2717="Hoàn thành",$E2717="Hoàn thành kỳ")),IF(INDEX('Kế hoạch'!$B$6:$B$305,$O2717)="Đột xuất",INDEX('Kế hoạch'!$AY$6:$AY$305,$O2717),IF(N($P2717)=0,"",IF(INT($B2717)&lt;$P2717,$P2717,IF($Q2717&gt;0,$P2717+ROUND((INT($B2717)-$P2717)/$Q2717,0)*$Q2717,IF($R2717&gt;0,EDATE($P2717,ROUND((DATEDIF($P2717,INT($B2717),"m")+(INT($B2717)-EDATE($P2717,DATEDIF($P2717,INT($B2717),"m")))/(EDATE($P2717,DATEDIF($P2717,INT($B2717),"m")+1)-EDATE($P2717,DATEDIF($P2717,INT($B2717),"m"))))/$R2717,0)*$R2717),$P2717))))),"")))</f>
      </c>
      <c r="M2717" s="223">
        <f>IF(OR($C2717="",N($L2717)=0,N($B2717)=0),"",IF(IF(MOD($L2717,1)=0,INT($B2717),$B2717)&lt;=$L2717,"Đúng hạn","Trễ hạn"))</f>
      </c>
      <c r="N2717" s="225">
        <f>IF($C2717="","",ROW())</f>
      </c>
      <c r="O2717" s="225">
        <f>IF($I2717="Công việc",MATCH($C2717,'Kế hoạch'!$A$6:$A$305,0),"")</f>
      </c>
      <c r="P2717" s="234">
        <f>IF($O2717="","",INDEX('Kế hoạch'!$I$6:$I$305,$O2717))</f>
      </c>
      <c r="Q2717" s="225">
        <f>IF($O2717="","",INDEX('Kế hoạch'!$AJ$6:$AJ$305,$O2717))</f>
      </c>
      <c r="R2717" s="225">
        <f>IF($O2717="","",INDEX('Kế hoạch'!$AK$6:$AK$305,$O2717))</f>
      </c>
    </row>
    <row r="2718">
      <c r="A2718" s="223">
        <f>IF($C2718="","",COUNTIF($C$6:$C2718,"?*"))</f>
      </c>
      <c r="B2718" s="217"/>
      <c r="C2718" s="216"/>
      <c r="D2718" s="240"/>
      <c r="E2718" s="218"/>
      <c r="F2718" s="218"/>
      <c r="G2718" s="218"/>
      <c r="H2718" s="219"/>
      <c r="I2718" s="223">
        <f>IF($C2718="","",IF(ISNUMBER(MATCH($C2718,'Phản ánh'!$A$6:$A$505,0)),"Phản ánh",IF(ISNUMBER(MATCH($C2718,'Kế hoạch'!$A$6:$A$305,0)),"Công việc","Mã chưa có")))</f>
      </c>
      <c r="J2718" s="221">
        <f>IF($I2718="Phản ánh",INDEX('Phản ánh'!$C$6:$C$505,MATCH($C2718,'Phản ánh'!$A$6:$A$505,0)),IF($I2718="Công việc",INDEX('Kế hoạch'!$C$6:$C$305,$O2718),""))</f>
      </c>
      <c r="K2718" s="221">
        <f>IF($I2718="Phản ánh",INDEX('Phản ánh'!$K$6:$K$505,MATCH($C2718,'Phản ánh'!$A$6:$A$505,0))&amp;"",IF($I2718="Công việc",INDEX('Kế hoạch'!$N$6:$N$305,$O2718)&amp;"",""))</f>
      </c>
      <c r="L2718" s="220">
        <f>IF(OR($C2718="",N($B2718)=0),"",IF(AND($I2718="Phản ánh",$E2718="Đã xử lý"),INDEX('Phản ánh'!$U$6:$U$505,MATCH($C2718,'Phản ánh'!$A$6:$A$505,0)),IF(AND($I2718="Công việc",OR($E2718="Hoàn thành",$E2718="Hoàn thành kỳ")),IF(INDEX('Kế hoạch'!$B$6:$B$305,$O2718)="Đột xuất",INDEX('Kế hoạch'!$AY$6:$AY$305,$O2718),IF(N($P2718)=0,"",IF(INT($B2718)&lt;$P2718,$P2718,IF($Q2718&gt;0,$P2718+ROUND((INT($B2718)-$P2718)/$Q2718,0)*$Q2718,IF($R2718&gt;0,EDATE($P2718,ROUND((DATEDIF($P2718,INT($B2718),"m")+(INT($B2718)-EDATE($P2718,DATEDIF($P2718,INT($B2718),"m")))/(EDATE($P2718,DATEDIF($P2718,INT($B2718),"m")+1)-EDATE($P2718,DATEDIF($P2718,INT($B2718),"m"))))/$R2718,0)*$R2718),$P2718))))),"")))</f>
      </c>
      <c r="M2718" s="223">
        <f>IF(OR($C2718="",N($L2718)=0,N($B2718)=0),"",IF(IF(MOD($L2718,1)=0,INT($B2718),$B2718)&lt;=$L2718,"Đúng hạn","Trễ hạn"))</f>
      </c>
      <c r="N2718" s="225">
        <f>IF($C2718="","",ROW())</f>
      </c>
      <c r="O2718" s="225">
        <f>IF($I2718="Công việc",MATCH($C2718,'Kế hoạch'!$A$6:$A$305,0),"")</f>
      </c>
      <c r="P2718" s="234">
        <f>IF($O2718="","",INDEX('Kế hoạch'!$I$6:$I$305,$O2718))</f>
      </c>
      <c r="Q2718" s="225">
        <f>IF($O2718="","",INDEX('Kế hoạch'!$AJ$6:$AJ$305,$O2718))</f>
      </c>
      <c r="R2718" s="225">
        <f>IF($O2718="","",INDEX('Kế hoạch'!$AK$6:$AK$305,$O2718))</f>
      </c>
    </row>
    <row r="2719">
      <c r="A2719" s="223">
        <f>IF($C2719="","",COUNTIF($C$6:$C2719,"?*"))</f>
      </c>
      <c r="B2719" s="217"/>
      <c r="C2719" s="216"/>
      <c r="D2719" s="240"/>
      <c r="E2719" s="218"/>
      <c r="F2719" s="218"/>
      <c r="G2719" s="218"/>
      <c r="H2719" s="219"/>
      <c r="I2719" s="223">
        <f>IF($C2719="","",IF(ISNUMBER(MATCH($C2719,'Phản ánh'!$A$6:$A$505,0)),"Phản ánh",IF(ISNUMBER(MATCH($C2719,'Kế hoạch'!$A$6:$A$305,0)),"Công việc","Mã chưa có")))</f>
      </c>
      <c r="J2719" s="221">
        <f>IF($I2719="Phản ánh",INDEX('Phản ánh'!$C$6:$C$505,MATCH($C2719,'Phản ánh'!$A$6:$A$505,0)),IF($I2719="Công việc",INDEX('Kế hoạch'!$C$6:$C$305,$O2719),""))</f>
      </c>
      <c r="K2719" s="221">
        <f>IF($I2719="Phản ánh",INDEX('Phản ánh'!$K$6:$K$505,MATCH($C2719,'Phản ánh'!$A$6:$A$505,0))&amp;"",IF($I2719="Công việc",INDEX('Kế hoạch'!$N$6:$N$305,$O2719)&amp;"",""))</f>
      </c>
      <c r="L2719" s="220">
        <f>IF(OR($C2719="",N($B2719)=0),"",IF(AND($I2719="Phản ánh",$E2719="Đã xử lý"),INDEX('Phản ánh'!$U$6:$U$505,MATCH($C2719,'Phản ánh'!$A$6:$A$505,0)),IF(AND($I2719="Công việc",OR($E2719="Hoàn thành",$E2719="Hoàn thành kỳ")),IF(INDEX('Kế hoạch'!$B$6:$B$305,$O2719)="Đột xuất",INDEX('Kế hoạch'!$AY$6:$AY$305,$O2719),IF(N($P2719)=0,"",IF(INT($B2719)&lt;$P2719,$P2719,IF($Q2719&gt;0,$P2719+ROUND((INT($B2719)-$P2719)/$Q2719,0)*$Q2719,IF($R2719&gt;0,EDATE($P2719,ROUND((DATEDIF($P2719,INT($B2719),"m")+(INT($B2719)-EDATE($P2719,DATEDIF($P2719,INT($B2719),"m")))/(EDATE($P2719,DATEDIF($P2719,INT($B2719),"m")+1)-EDATE($P2719,DATEDIF($P2719,INT($B2719),"m"))))/$R2719,0)*$R2719),$P2719))))),"")))</f>
      </c>
      <c r="M2719" s="223">
        <f>IF(OR($C2719="",N($L2719)=0,N($B2719)=0),"",IF(IF(MOD($L2719,1)=0,INT($B2719),$B2719)&lt;=$L2719,"Đúng hạn","Trễ hạn"))</f>
      </c>
      <c r="N2719" s="225">
        <f>IF($C2719="","",ROW())</f>
      </c>
      <c r="O2719" s="225">
        <f>IF($I2719="Công việc",MATCH($C2719,'Kế hoạch'!$A$6:$A$305,0),"")</f>
      </c>
      <c r="P2719" s="234">
        <f>IF($O2719="","",INDEX('Kế hoạch'!$I$6:$I$305,$O2719))</f>
      </c>
      <c r="Q2719" s="225">
        <f>IF($O2719="","",INDEX('Kế hoạch'!$AJ$6:$AJ$305,$O2719))</f>
      </c>
      <c r="R2719" s="225">
        <f>IF($O2719="","",INDEX('Kế hoạch'!$AK$6:$AK$305,$O2719))</f>
      </c>
    </row>
    <row r="2720">
      <c r="A2720" s="223">
        <f>IF($C2720="","",COUNTIF($C$6:$C2720,"?*"))</f>
      </c>
      <c r="B2720" s="217"/>
      <c r="C2720" s="216"/>
      <c r="D2720" s="240"/>
      <c r="E2720" s="218"/>
      <c r="F2720" s="218"/>
      <c r="G2720" s="218"/>
      <c r="H2720" s="219"/>
      <c r="I2720" s="223">
        <f>IF($C2720="","",IF(ISNUMBER(MATCH($C2720,'Phản ánh'!$A$6:$A$505,0)),"Phản ánh",IF(ISNUMBER(MATCH($C2720,'Kế hoạch'!$A$6:$A$305,0)),"Công việc","Mã chưa có")))</f>
      </c>
      <c r="J2720" s="221">
        <f>IF($I2720="Phản ánh",INDEX('Phản ánh'!$C$6:$C$505,MATCH($C2720,'Phản ánh'!$A$6:$A$505,0)),IF($I2720="Công việc",INDEX('Kế hoạch'!$C$6:$C$305,$O2720),""))</f>
      </c>
      <c r="K2720" s="221">
        <f>IF($I2720="Phản ánh",INDEX('Phản ánh'!$K$6:$K$505,MATCH($C2720,'Phản ánh'!$A$6:$A$505,0))&amp;"",IF($I2720="Công việc",INDEX('Kế hoạch'!$N$6:$N$305,$O2720)&amp;"",""))</f>
      </c>
      <c r="L2720" s="220">
        <f>IF(OR($C2720="",N($B2720)=0),"",IF(AND($I2720="Phản ánh",$E2720="Đã xử lý"),INDEX('Phản ánh'!$U$6:$U$505,MATCH($C2720,'Phản ánh'!$A$6:$A$505,0)),IF(AND($I2720="Công việc",OR($E2720="Hoàn thành",$E2720="Hoàn thành kỳ")),IF(INDEX('Kế hoạch'!$B$6:$B$305,$O2720)="Đột xuất",INDEX('Kế hoạch'!$AY$6:$AY$305,$O2720),IF(N($P2720)=0,"",IF(INT($B2720)&lt;$P2720,$P2720,IF($Q2720&gt;0,$P2720+ROUND((INT($B2720)-$P2720)/$Q2720,0)*$Q2720,IF($R2720&gt;0,EDATE($P2720,ROUND((DATEDIF($P2720,INT($B2720),"m")+(INT($B2720)-EDATE($P2720,DATEDIF($P2720,INT($B2720),"m")))/(EDATE($P2720,DATEDIF($P2720,INT($B2720),"m")+1)-EDATE($P2720,DATEDIF($P2720,INT($B2720),"m"))))/$R2720,0)*$R2720),$P2720))))),"")))</f>
      </c>
      <c r="M2720" s="223">
        <f>IF(OR($C2720="",N($L2720)=0,N($B2720)=0),"",IF(IF(MOD($L2720,1)=0,INT($B2720),$B2720)&lt;=$L2720,"Đúng hạn","Trễ hạn"))</f>
      </c>
      <c r="N2720" s="225">
        <f>IF($C2720="","",ROW())</f>
      </c>
      <c r="O2720" s="225">
        <f>IF($I2720="Công việc",MATCH($C2720,'Kế hoạch'!$A$6:$A$305,0),"")</f>
      </c>
      <c r="P2720" s="234">
        <f>IF($O2720="","",INDEX('Kế hoạch'!$I$6:$I$305,$O2720))</f>
      </c>
      <c r="Q2720" s="225">
        <f>IF($O2720="","",INDEX('Kế hoạch'!$AJ$6:$AJ$305,$O2720))</f>
      </c>
      <c r="R2720" s="225">
        <f>IF($O2720="","",INDEX('Kế hoạch'!$AK$6:$AK$305,$O2720))</f>
      </c>
    </row>
    <row r="2721">
      <c r="A2721" s="223">
        <f>IF($C2721="","",COUNTIF($C$6:$C2721,"?*"))</f>
      </c>
      <c r="B2721" s="217"/>
      <c r="C2721" s="216"/>
      <c r="D2721" s="240"/>
      <c r="E2721" s="218"/>
      <c r="F2721" s="218"/>
      <c r="G2721" s="218"/>
      <c r="H2721" s="219"/>
      <c r="I2721" s="223">
        <f>IF($C2721="","",IF(ISNUMBER(MATCH($C2721,'Phản ánh'!$A$6:$A$505,0)),"Phản ánh",IF(ISNUMBER(MATCH($C2721,'Kế hoạch'!$A$6:$A$305,0)),"Công việc","Mã chưa có")))</f>
      </c>
      <c r="J2721" s="221">
        <f>IF($I2721="Phản ánh",INDEX('Phản ánh'!$C$6:$C$505,MATCH($C2721,'Phản ánh'!$A$6:$A$505,0)),IF($I2721="Công việc",INDEX('Kế hoạch'!$C$6:$C$305,$O2721),""))</f>
      </c>
      <c r="K2721" s="221">
        <f>IF($I2721="Phản ánh",INDEX('Phản ánh'!$K$6:$K$505,MATCH($C2721,'Phản ánh'!$A$6:$A$505,0))&amp;"",IF($I2721="Công việc",INDEX('Kế hoạch'!$N$6:$N$305,$O2721)&amp;"",""))</f>
      </c>
      <c r="L2721" s="220">
        <f>IF(OR($C2721="",N($B2721)=0),"",IF(AND($I2721="Phản ánh",$E2721="Đã xử lý"),INDEX('Phản ánh'!$U$6:$U$505,MATCH($C2721,'Phản ánh'!$A$6:$A$505,0)),IF(AND($I2721="Công việc",OR($E2721="Hoàn thành",$E2721="Hoàn thành kỳ")),IF(INDEX('Kế hoạch'!$B$6:$B$305,$O2721)="Đột xuất",INDEX('Kế hoạch'!$AY$6:$AY$305,$O2721),IF(N($P2721)=0,"",IF(INT($B2721)&lt;$P2721,$P2721,IF($Q2721&gt;0,$P2721+ROUND((INT($B2721)-$P2721)/$Q2721,0)*$Q2721,IF($R2721&gt;0,EDATE($P2721,ROUND((DATEDIF($P2721,INT($B2721),"m")+(INT($B2721)-EDATE($P2721,DATEDIF($P2721,INT($B2721),"m")))/(EDATE($P2721,DATEDIF($P2721,INT($B2721),"m")+1)-EDATE($P2721,DATEDIF($P2721,INT($B2721),"m"))))/$R2721,0)*$R2721),$P2721))))),"")))</f>
      </c>
      <c r="M2721" s="223">
        <f>IF(OR($C2721="",N($L2721)=0,N($B2721)=0),"",IF(IF(MOD($L2721,1)=0,INT($B2721),$B2721)&lt;=$L2721,"Đúng hạn","Trễ hạn"))</f>
      </c>
      <c r="N2721" s="225">
        <f>IF($C2721="","",ROW())</f>
      </c>
      <c r="O2721" s="225">
        <f>IF($I2721="Công việc",MATCH($C2721,'Kế hoạch'!$A$6:$A$305,0),"")</f>
      </c>
      <c r="P2721" s="234">
        <f>IF($O2721="","",INDEX('Kế hoạch'!$I$6:$I$305,$O2721))</f>
      </c>
      <c r="Q2721" s="225">
        <f>IF($O2721="","",INDEX('Kế hoạch'!$AJ$6:$AJ$305,$O2721))</f>
      </c>
      <c r="R2721" s="225">
        <f>IF($O2721="","",INDEX('Kế hoạch'!$AK$6:$AK$305,$O2721))</f>
      </c>
    </row>
    <row r="2722">
      <c r="A2722" s="223">
        <f>IF($C2722="","",COUNTIF($C$6:$C2722,"?*"))</f>
      </c>
      <c r="B2722" s="217"/>
      <c r="C2722" s="216"/>
      <c r="D2722" s="240"/>
      <c r="E2722" s="218"/>
      <c r="F2722" s="218"/>
      <c r="G2722" s="218"/>
      <c r="H2722" s="219"/>
      <c r="I2722" s="223">
        <f>IF($C2722="","",IF(ISNUMBER(MATCH($C2722,'Phản ánh'!$A$6:$A$505,0)),"Phản ánh",IF(ISNUMBER(MATCH($C2722,'Kế hoạch'!$A$6:$A$305,0)),"Công việc","Mã chưa có")))</f>
      </c>
      <c r="J2722" s="221">
        <f>IF($I2722="Phản ánh",INDEX('Phản ánh'!$C$6:$C$505,MATCH($C2722,'Phản ánh'!$A$6:$A$505,0)),IF($I2722="Công việc",INDEX('Kế hoạch'!$C$6:$C$305,$O2722),""))</f>
      </c>
      <c r="K2722" s="221">
        <f>IF($I2722="Phản ánh",INDEX('Phản ánh'!$K$6:$K$505,MATCH($C2722,'Phản ánh'!$A$6:$A$505,0))&amp;"",IF($I2722="Công việc",INDEX('Kế hoạch'!$N$6:$N$305,$O2722)&amp;"",""))</f>
      </c>
      <c r="L2722" s="220">
        <f>IF(OR($C2722="",N($B2722)=0),"",IF(AND($I2722="Phản ánh",$E2722="Đã xử lý"),INDEX('Phản ánh'!$U$6:$U$505,MATCH($C2722,'Phản ánh'!$A$6:$A$505,0)),IF(AND($I2722="Công việc",OR($E2722="Hoàn thành",$E2722="Hoàn thành kỳ")),IF(INDEX('Kế hoạch'!$B$6:$B$305,$O2722)="Đột xuất",INDEX('Kế hoạch'!$AY$6:$AY$305,$O2722),IF(N($P2722)=0,"",IF(INT($B2722)&lt;$P2722,$P2722,IF($Q2722&gt;0,$P2722+ROUND((INT($B2722)-$P2722)/$Q2722,0)*$Q2722,IF($R2722&gt;0,EDATE($P2722,ROUND((DATEDIF($P2722,INT($B2722),"m")+(INT($B2722)-EDATE($P2722,DATEDIF($P2722,INT($B2722),"m")))/(EDATE($P2722,DATEDIF($P2722,INT($B2722),"m")+1)-EDATE($P2722,DATEDIF($P2722,INT($B2722),"m"))))/$R2722,0)*$R2722),$P2722))))),"")))</f>
      </c>
      <c r="M2722" s="223">
        <f>IF(OR($C2722="",N($L2722)=0,N($B2722)=0),"",IF(IF(MOD($L2722,1)=0,INT($B2722),$B2722)&lt;=$L2722,"Đúng hạn","Trễ hạn"))</f>
      </c>
      <c r="N2722" s="225">
        <f>IF($C2722="","",ROW())</f>
      </c>
      <c r="O2722" s="225">
        <f>IF($I2722="Công việc",MATCH($C2722,'Kế hoạch'!$A$6:$A$305,0),"")</f>
      </c>
      <c r="P2722" s="234">
        <f>IF($O2722="","",INDEX('Kế hoạch'!$I$6:$I$305,$O2722))</f>
      </c>
      <c r="Q2722" s="225">
        <f>IF($O2722="","",INDEX('Kế hoạch'!$AJ$6:$AJ$305,$O2722))</f>
      </c>
      <c r="R2722" s="225">
        <f>IF($O2722="","",INDEX('Kế hoạch'!$AK$6:$AK$305,$O2722))</f>
      </c>
    </row>
    <row r="2723">
      <c r="A2723" s="223">
        <f>IF($C2723="","",COUNTIF($C$6:$C2723,"?*"))</f>
      </c>
      <c r="B2723" s="217"/>
      <c r="C2723" s="216"/>
      <c r="D2723" s="240"/>
      <c r="E2723" s="218"/>
      <c r="F2723" s="218"/>
      <c r="G2723" s="218"/>
      <c r="H2723" s="219"/>
      <c r="I2723" s="223">
        <f>IF($C2723="","",IF(ISNUMBER(MATCH($C2723,'Phản ánh'!$A$6:$A$505,0)),"Phản ánh",IF(ISNUMBER(MATCH($C2723,'Kế hoạch'!$A$6:$A$305,0)),"Công việc","Mã chưa có")))</f>
      </c>
      <c r="J2723" s="221">
        <f>IF($I2723="Phản ánh",INDEX('Phản ánh'!$C$6:$C$505,MATCH($C2723,'Phản ánh'!$A$6:$A$505,0)),IF($I2723="Công việc",INDEX('Kế hoạch'!$C$6:$C$305,$O2723),""))</f>
      </c>
      <c r="K2723" s="221">
        <f>IF($I2723="Phản ánh",INDEX('Phản ánh'!$K$6:$K$505,MATCH($C2723,'Phản ánh'!$A$6:$A$505,0))&amp;"",IF($I2723="Công việc",INDEX('Kế hoạch'!$N$6:$N$305,$O2723)&amp;"",""))</f>
      </c>
      <c r="L2723" s="220">
        <f>IF(OR($C2723="",N($B2723)=0),"",IF(AND($I2723="Phản ánh",$E2723="Đã xử lý"),INDEX('Phản ánh'!$U$6:$U$505,MATCH($C2723,'Phản ánh'!$A$6:$A$505,0)),IF(AND($I2723="Công việc",OR($E2723="Hoàn thành",$E2723="Hoàn thành kỳ")),IF(INDEX('Kế hoạch'!$B$6:$B$305,$O2723)="Đột xuất",INDEX('Kế hoạch'!$AY$6:$AY$305,$O2723),IF(N($P2723)=0,"",IF(INT($B2723)&lt;$P2723,$P2723,IF($Q2723&gt;0,$P2723+ROUND((INT($B2723)-$P2723)/$Q2723,0)*$Q2723,IF($R2723&gt;0,EDATE($P2723,ROUND((DATEDIF($P2723,INT($B2723),"m")+(INT($B2723)-EDATE($P2723,DATEDIF($P2723,INT($B2723),"m")))/(EDATE($P2723,DATEDIF($P2723,INT($B2723),"m")+1)-EDATE($P2723,DATEDIF($P2723,INT($B2723),"m"))))/$R2723,0)*$R2723),$P2723))))),"")))</f>
      </c>
      <c r="M2723" s="223">
        <f>IF(OR($C2723="",N($L2723)=0,N($B2723)=0),"",IF(IF(MOD($L2723,1)=0,INT($B2723),$B2723)&lt;=$L2723,"Đúng hạn","Trễ hạn"))</f>
      </c>
      <c r="N2723" s="225">
        <f>IF($C2723="","",ROW())</f>
      </c>
      <c r="O2723" s="225">
        <f>IF($I2723="Công việc",MATCH($C2723,'Kế hoạch'!$A$6:$A$305,0),"")</f>
      </c>
      <c r="P2723" s="234">
        <f>IF($O2723="","",INDEX('Kế hoạch'!$I$6:$I$305,$O2723))</f>
      </c>
      <c r="Q2723" s="225">
        <f>IF($O2723="","",INDEX('Kế hoạch'!$AJ$6:$AJ$305,$O2723))</f>
      </c>
      <c r="R2723" s="225">
        <f>IF($O2723="","",INDEX('Kế hoạch'!$AK$6:$AK$305,$O2723))</f>
      </c>
    </row>
    <row r="2724">
      <c r="A2724" s="223">
        <f>IF($C2724="","",COUNTIF($C$6:$C2724,"?*"))</f>
      </c>
      <c r="B2724" s="217"/>
      <c r="C2724" s="216"/>
      <c r="D2724" s="240"/>
      <c r="E2724" s="218"/>
      <c r="F2724" s="218"/>
      <c r="G2724" s="218"/>
      <c r="H2724" s="219"/>
      <c r="I2724" s="223">
        <f>IF($C2724="","",IF(ISNUMBER(MATCH($C2724,'Phản ánh'!$A$6:$A$505,0)),"Phản ánh",IF(ISNUMBER(MATCH($C2724,'Kế hoạch'!$A$6:$A$305,0)),"Công việc","Mã chưa có")))</f>
      </c>
      <c r="J2724" s="221">
        <f>IF($I2724="Phản ánh",INDEX('Phản ánh'!$C$6:$C$505,MATCH($C2724,'Phản ánh'!$A$6:$A$505,0)),IF($I2724="Công việc",INDEX('Kế hoạch'!$C$6:$C$305,$O2724),""))</f>
      </c>
      <c r="K2724" s="221">
        <f>IF($I2724="Phản ánh",INDEX('Phản ánh'!$K$6:$K$505,MATCH($C2724,'Phản ánh'!$A$6:$A$505,0))&amp;"",IF($I2724="Công việc",INDEX('Kế hoạch'!$N$6:$N$305,$O2724)&amp;"",""))</f>
      </c>
      <c r="L2724" s="220">
        <f>IF(OR($C2724="",N($B2724)=0),"",IF(AND($I2724="Phản ánh",$E2724="Đã xử lý"),INDEX('Phản ánh'!$U$6:$U$505,MATCH($C2724,'Phản ánh'!$A$6:$A$505,0)),IF(AND($I2724="Công việc",OR($E2724="Hoàn thành",$E2724="Hoàn thành kỳ")),IF(INDEX('Kế hoạch'!$B$6:$B$305,$O2724)="Đột xuất",INDEX('Kế hoạch'!$AY$6:$AY$305,$O2724),IF(N($P2724)=0,"",IF(INT($B2724)&lt;$P2724,$P2724,IF($Q2724&gt;0,$P2724+ROUND((INT($B2724)-$P2724)/$Q2724,0)*$Q2724,IF($R2724&gt;0,EDATE($P2724,ROUND((DATEDIF($P2724,INT($B2724),"m")+(INT($B2724)-EDATE($P2724,DATEDIF($P2724,INT($B2724),"m")))/(EDATE($P2724,DATEDIF($P2724,INT($B2724),"m")+1)-EDATE($P2724,DATEDIF($P2724,INT($B2724),"m"))))/$R2724,0)*$R2724),$P2724))))),"")))</f>
      </c>
      <c r="M2724" s="223">
        <f>IF(OR($C2724="",N($L2724)=0,N($B2724)=0),"",IF(IF(MOD($L2724,1)=0,INT($B2724),$B2724)&lt;=$L2724,"Đúng hạn","Trễ hạn"))</f>
      </c>
      <c r="N2724" s="225">
        <f>IF($C2724="","",ROW())</f>
      </c>
      <c r="O2724" s="225">
        <f>IF($I2724="Công việc",MATCH($C2724,'Kế hoạch'!$A$6:$A$305,0),"")</f>
      </c>
      <c r="P2724" s="234">
        <f>IF($O2724="","",INDEX('Kế hoạch'!$I$6:$I$305,$O2724))</f>
      </c>
      <c r="Q2724" s="225">
        <f>IF($O2724="","",INDEX('Kế hoạch'!$AJ$6:$AJ$305,$O2724))</f>
      </c>
      <c r="R2724" s="225">
        <f>IF($O2724="","",INDEX('Kế hoạch'!$AK$6:$AK$305,$O2724))</f>
      </c>
    </row>
    <row r="2725">
      <c r="A2725" s="223">
        <f>IF($C2725="","",COUNTIF($C$6:$C2725,"?*"))</f>
      </c>
      <c r="B2725" s="217"/>
      <c r="C2725" s="216"/>
      <c r="D2725" s="240"/>
      <c r="E2725" s="218"/>
      <c r="F2725" s="218"/>
      <c r="G2725" s="218"/>
      <c r="H2725" s="219"/>
      <c r="I2725" s="223">
        <f>IF($C2725="","",IF(ISNUMBER(MATCH($C2725,'Phản ánh'!$A$6:$A$505,0)),"Phản ánh",IF(ISNUMBER(MATCH($C2725,'Kế hoạch'!$A$6:$A$305,0)),"Công việc","Mã chưa có")))</f>
      </c>
      <c r="J2725" s="221">
        <f>IF($I2725="Phản ánh",INDEX('Phản ánh'!$C$6:$C$505,MATCH($C2725,'Phản ánh'!$A$6:$A$505,0)),IF($I2725="Công việc",INDEX('Kế hoạch'!$C$6:$C$305,$O2725),""))</f>
      </c>
      <c r="K2725" s="221">
        <f>IF($I2725="Phản ánh",INDEX('Phản ánh'!$K$6:$K$505,MATCH($C2725,'Phản ánh'!$A$6:$A$505,0))&amp;"",IF($I2725="Công việc",INDEX('Kế hoạch'!$N$6:$N$305,$O2725)&amp;"",""))</f>
      </c>
      <c r="L2725" s="220">
        <f>IF(OR($C2725="",N($B2725)=0),"",IF(AND($I2725="Phản ánh",$E2725="Đã xử lý"),INDEX('Phản ánh'!$U$6:$U$505,MATCH($C2725,'Phản ánh'!$A$6:$A$505,0)),IF(AND($I2725="Công việc",OR($E2725="Hoàn thành",$E2725="Hoàn thành kỳ")),IF(INDEX('Kế hoạch'!$B$6:$B$305,$O2725)="Đột xuất",INDEX('Kế hoạch'!$AY$6:$AY$305,$O2725),IF(N($P2725)=0,"",IF(INT($B2725)&lt;$P2725,$P2725,IF($Q2725&gt;0,$P2725+ROUND((INT($B2725)-$P2725)/$Q2725,0)*$Q2725,IF($R2725&gt;0,EDATE($P2725,ROUND((DATEDIF($P2725,INT($B2725),"m")+(INT($B2725)-EDATE($P2725,DATEDIF($P2725,INT($B2725),"m")))/(EDATE($P2725,DATEDIF($P2725,INT($B2725),"m")+1)-EDATE($P2725,DATEDIF($P2725,INT($B2725),"m"))))/$R2725,0)*$R2725),$P2725))))),"")))</f>
      </c>
      <c r="M2725" s="223">
        <f>IF(OR($C2725="",N($L2725)=0,N($B2725)=0),"",IF(IF(MOD($L2725,1)=0,INT($B2725),$B2725)&lt;=$L2725,"Đúng hạn","Trễ hạn"))</f>
      </c>
      <c r="N2725" s="225">
        <f>IF($C2725="","",ROW())</f>
      </c>
      <c r="O2725" s="225">
        <f>IF($I2725="Công việc",MATCH($C2725,'Kế hoạch'!$A$6:$A$305,0),"")</f>
      </c>
      <c r="P2725" s="234">
        <f>IF($O2725="","",INDEX('Kế hoạch'!$I$6:$I$305,$O2725))</f>
      </c>
      <c r="Q2725" s="225">
        <f>IF($O2725="","",INDEX('Kế hoạch'!$AJ$6:$AJ$305,$O2725))</f>
      </c>
      <c r="R2725" s="225">
        <f>IF($O2725="","",INDEX('Kế hoạch'!$AK$6:$AK$305,$O2725))</f>
      </c>
    </row>
    <row r="2726">
      <c r="A2726" s="223">
        <f>IF($C2726="","",COUNTIF($C$6:$C2726,"?*"))</f>
      </c>
      <c r="B2726" s="217"/>
      <c r="C2726" s="216"/>
      <c r="D2726" s="240"/>
      <c r="E2726" s="218"/>
      <c r="F2726" s="218"/>
      <c r="G2726" s="218"/>
      <c r="H2726" s="219"/>
      <c r="I2726" s="223">
        <f>IF($C2726="","",IF(ISNUMBER(MATCH($C2726,'Phản ánh'!$A$6:$A$505,0)),"Phản ánh",IF(ISNUMBER(MATCH($C2726,'Kế hoạch'!$A$6:$A$305,0)),"Công việc","Mã chưa có")))</f>
      </c>
      <c r="J2726" s="221">
        <f>IF($I2726="Phản ánh",INDEX('Phản ánh'!$C$6:$C$505,MATCH($C2726,'Phản ánh'!$A$6:$A$505,0)),IF($I2726="Công việc",INDEX('Kế hoạch'!$C$6:$C$305,$O2726),""))</f>
      </c>
      <c r="K2726" s="221">
        <f>IF($I2726="Phản ánh",INDEX('Phản ánh'!$K$6:$K$505,MATCH($C2726,'Phản ánh'!$A$6:$A$505,0))&amp;"",IF($I2726="Công việc",INDEX('Kế hoạch'!$N$6:$N$305,$O2726)&amp;"",""))</f>
      </c>
      <c r="L2726" s="220">
        <f>IF(OR($C2726="",N($B2726)=0),"",IF(AND($I2726="Phản ánh",$E2726="Đã xử lý"),INDEX('Phản ánh'!$U$6:$U$505,MATCH($C2726,'Phản ánh'!$A$6:$A$505,0)),IF(AND($I2726="Công việc",OR($E2726="Hoàn thành",$E2726="Hoàn thành kỳ")),IF(INDEX('Kế hoạch'!$B$6:$B$305,$O2726)="Đột xuất",INDEX('Kế hoạch'!$AY$6:$AY$305,$O2726),IF(N($P2726)=0,"",IF(INT($B2726)&lt;$P2726,$P2726,IF($Q2726&gt;0,$P2726+ROUND((INT($B2726)-$P2726)/$Q2726,0)*$Q2726,IF($R2726&gt;0,EDATE($P2726,ROUND((DATEDIF($P2726,INT($B2726),"m")+(INT($B2726)-EDATE($P2726,DATEDIF($P2726,INT($B2726),"m")))/(EDATE($P2726,DATEDIF($P2726,INT($B2726),"m")+1)-EDATE($P2726,DATEDIF($P2726,INT($B2726),"m"))))/$R2726,0)*$R2726),$P2726))))),"")))</f>
      </c>
      <c r="M2726" s="223">
        <f>IF(OR($C2726="",N($L2726)=0,N($B2726)=0),"",IF(IF(MOD($L2726,1)=0,INT($B2726),$B2726)&lt;=$L2726,"Đúng hạn","Trễ hạn"))</f>
      </c>
      <c r="N2726" s="225">
        <f>IF($C2726="","",ROW())</f>
      </c>
      <c r="O2726" s="225">
        <f>IF($I2726="Công việc",MATCH($C2726,'Kế hoạch'!$A$6:$A$305,0),"")</f>
      </c>
      <c r="P2726" s="234">
        <f>IF($O2726="","",INDEX('Kế hoạch'!$I$6:$I$305,$O2726))</f>
      </c>
      <c r="Q2726" s="225">
        <f>IF($O2726="","",INDEX('Kế hoạch'!$AJ$6:$AJ$305,$O2726))</f>
      </c>
      <c r="R2726" s="225">
        <f>IF($O2726="","",INDEX('Kế hoạch'!$AK$6:$AK$305,$O2726))</f>
      </c>
    </row>
    <row r="2727">
      <c r="A2727" s="223">
        <f>IF($C2727="","",COUNTIF($C$6:$C2727,"?*"))</f>
      </c>
      <c r="B2727" s="217"/>
      <c r="C2727" s="216"/>
      <c r="D2727" s="240"/>
      <c r="E2727" s="218"/>
      <c r="F2727" s="218"/>
      <c r="G2727" s="218"/>
      <c r="H2727" s="219"/>
      <c r="I2727" s="223">
        <f>IF($C2727="","",IF(ISNUMBER(MATCH($C2727,'Phản ánh'!$A$6:$A$505,0)),"Phản ánh",IF(ISNUMBER(MATCH($C2727,'Kế hoạch'!$A$6:$A$305,0)),"Công việc","Mã chưa có")))</f>
      </c>
      <c r="J2727" s="221">
        <f>IF($I2727="Phản ánh",INDEX('Phản ánh'!$C$6:$C$505,MATCH($C2727,'Phản ánh'!$A$6:$A$505,0)),IF($I2727="Công việc",INDEX('Kế hoạch'!$C$6:$C$305,$O2727),""))</f>
      </c>
      <c r="K2727" s="221">
        <f>IF($I2727="Phản ánh",INDEX('Phản ánh'!$K$6:$K$505,MATCH($C2727,'Phản ánh'!$A$6:$A$505,0))&amp;"",IF($I2727="Công việc",INDEX('Kế hoạch'!$N$6:$N$305,$O2727)&amp;"",""))</f>
      </c>
      <c r="L2727" s="220">
        <f>IF(OR($C2727="",N($B2727)=0),"",IF(AND($I2727="Phản ánh",$E2727="Đã xử lý"),INDEX('Phản ánh'!$U$6:$U$505,MATCH($C2727,'Phản ánh'!$A$6:$A$505,0)),IF(AND($I2727="Công việc",OR($E2727="Hoàn thành",$E2727="Hoàn thành kỳ")),IF(INDEX('Kế hoạch'!$B$6:$B$305,$O2727)="Đột xuất",INDEX('Kế hoạch'!$AY$6:$AY$305,$O2727),IF(N($P2727)=0,"",IF(INT($B2727)&lt;$P2727,$P2727,IF($Q2727&gt;0,$P2727+ROUND((INT($B2727)-$P2727)/$Q2727,0)*$Q2727,IF($R2727&gt;0,EDATE($P2727,ROUND((DATEDIF($P2727,INT($B2727),"m")+(INT($B2727)-EDATE($P2727,DATEDIF($P2727,INT($B2727),"m")))/(EDATE($P2727,DATEDIF($P2727,INT($B2727),"m")+1)-EDATE($P2727,DATEDIF($P2727,INT($B2727),"m"))))/$R2727,0)*$R2727),$P2727))))),"")))</f>
      </c>
      <c r="M2727" s="223">
        <f>IF(OR($C2727="",N($L2727)=0,N($B2727)=0),"",IF(IF(MOD($L2727,1)=0,INT($B2727),$B2727)&lt;=$L2727,"Đúng hạn","Trễ hạn"))</f>
      </c>
      <c r="N2727" s="225">
        <f>IF($C2727="","",ROW())</f>
      </c>
      <c r="O2727" s="225">
        <f>IF($I2727="Công việc",MATCH($C2727,'Kế hoạch'!$A$6:$A$305,0),"")</f>
      </c>
      <c r="P2727" s="234">
        <f>IF($O2727="","",INDEX('Kế hoạch'!$I$6:$I$305,$O2727))</f>
      </c>
      <c r="Q2727" s="225">
        <f>IF($O2727="","",INDEX('Kế hoạch'!$AJ$6:$AJ$305,$O2727))</f>
      </c>
      <c r="R2727" s="225">
        <f>IF($O2727="","",INDEX('Kế hoạch'!$AK$6:$AK$305,$O2727))</f>
      </c>
    </row>
    <row r="2728">
      <c r="A2728" s="223">
        <f>IF($C2728="","",COUNTIF($C$6:$C2728,"?*"))</f>
      </c>
      <c r="B2728" s="217"/>
      <c r="C2728" s="216"/>
      <c r="D2728" s="240"/>
      <c r="E2728" s="218"/>
      <c r="F2728" s="218"/>
      <c r="G2728" s="218"/>
      <c r="H2728" s="219"/>
      <c r="I2728" s="223">
        <f>IF($C2728="","",IF(ISNUMBER(MATCH($C2728,'Phản ánh'!$A$6:$A$505,0)),"Phản ánh",IF(ISNUMBER(MATCH($C2728,'Kế hoạch'!$A$6:$A$305,0)),"Công việc","Mã chưa có")))</f>
      </c>
      <c r="J2728" s="221">
        <f>IF($I2728="Phản ánh",INDEX('Phản ánh'!$C$6:$C$505,MATCH($C2728,'Phản ánh'!$A$6:$A$505,0)),IF($I2728="Công việc",INDEX('Kế hoạch'!$C$6:$C$305,$O2728),""))</f>
      </c>
      <c r="K2728" s="221">
        <f>IF($I2728="Phản ánh",INDEX('Phản ánh'!$K$6:$K$505,MATCH($C2728,'Phản ánh'!$A$6:$A$505,0))&amp;"",IF($I2728="Công việc",INDEX('Kế hoạch'!$N$6:$N$305,$O2728)&amp;"",""))</f>
      </c>
      <c r="L2728" s="220">
        <f>IF(OR($C2728="",N($B2728)=0),"",IF(AND($I2728="Phản ánh",$E2728="Đã xử lý"),INDEX('Phản ánh'!$U$6:$U$505,MATCH($C2728,'Phản ánh'!$A$6:$A$505,0)),IF(AND($I2728="Công việc",OR($E2728="Hoàn thành",$E2728="Hoàn thành kỳ")),IF(INDEX('Kế hoạch'!$B$6:$B$305,$O2728)="Đột xuất",INDEX('Kế hoạch'!$AY$6:$AY$305,$O2728),IF(N($P2728)=0,"",IF(INT($B2728)&lt;$P2728,$P2728,IF($Q2728&gt;0,$P2728+ROUND((INT($B2728)-$P2728)/$Q2728,0)*$Q2728,IF($R2728&gt;0,EDATE($P2728,ROUND((DATEDIF($P2728,INT($B2728),"m")+(INT($B2728)-EDATE($P2728,DATEDIF($P2728,INT($B2728),"m")))/(EDATE($P2728,DATEDIF($P2728,INT($B2728),"m")+1)-EDATE($P2728,DATEDIF($P2728,INT($B2728),"m"))))/$R2728,0)*$R2728),$P2728))))),"")))</f>
      </c>
      <c r="M2728" s="223">
        <f>IF(OR($C2728="",N($L2728)=0,N($B2728)=0),"",IF(IF(MOD($L2728,1)=0,INT($B2728),$B2728)&lt;=$L2728,"Đúng hạn","Trễ hạn"))</f>
      </c>
      <c r="N2728" s="225">
        <f>IF($C2728="","",ROW())</f>
      </c>
      <c r="O2728" s="225">
        <f>IF($I2728="Công việc",MATCH($C2728,'Kế hoạch'!$A$6:$A$305,0),"")</f>
      </c>
      <c r="P2728" s="234">
        <f>IF($O2728="","",INDEX('Kế hoạch'!$I$6:$I$305,$O2728))</f>
      </c>
      <c r="Q2728" s="225">
        <f>IF($O2728="","",INDEX('Kế hoạch'!$AJ$6:$AJ$305,$O2728))</f>
      </c>
      <c r="R2728" s="225">
        <f>IF($O2728="","",INDEX('Kế hoạch'!$AK$6:$AK$305,$O2728))</f>
      </c>
    </row>
    <row r="2729">
      <c r="A2729" s="223">
        <f>IF($C2729="","",COUNTIF($C$6:$C2729,"?*"))</f>
      </c>
      <c r="B2729" s="217"/>
      <c r="C2729" s="216"/>
      <c r="D2729" s="240"/>
      <c r="E2729" s="218"/>
      <c r="F2729" s="218"/>
      <c r="G2729" s="218"/>
      <c r="H2729" s="219"/>
      <c r="I2729" s="223">
        <f>IF($C2729="","",IF(ISNUMBER(MATCH($C2729,'Phản ánh'!$A$6:$A$505,0)),"Phản ánh",IF(ISNUMBER(MATCH($C2729,'Kế hoạch'!$A$6:$A$305,0)),"Công việc","Mã chưa có")))</f>
      </c>
      <c r="J2729" s="221">
        <f>IF($I2729="Phản ánh",INDEX('Phản ánh'!$C$6:$C$505,MATCH($C2729,'Phản ánh'!$A$6:$A$505,0)),IF($I2729="Công việc",INDEX('Kế hoạch'!$C$6:$C$305,$O2729),""))</f>
      </c>
      <c r="K2729" s="221">
        <f>IF($I2729="Phản ánh",INDEX('Phản ánh'!$K$6:$K$505,MATCH($C2729,'Phản ánh'!$A$6:$A$505,0))&amp;"",IF($I2729="Công việc",INDEX('Kế hoạch'!$N$6:$N$305,$O2729)&amp;"",""))</f>
      </c>
      <c r="L2729" s="220">
        <f>IF(OR($C2729="",N($B2729)=0),"",IF(AND($I2729="Phản ánh",$E2729="Đã xử lý"),INDEX('Phản ánh'!$U$6:$U$505,MATCH($C2729,'Phản ánh'!$A$6:$A$505,0)),IF(AND($I2729="Công việc",OR($E2729="Hoàn thành",$E2729="Hoàn thành kỳ")),IF(INDEX('Kế hoạch'!$B$6:$B$305,$O2729)="Đột xuất",INDEX('Kế hoạch'!$AY$6:$AY$305,$O2729),IF(N($P2729)=0,"",IF(INT($B2729)&lt;$P2729,$P2729,IF($Q2729&gt;0,$P2729+ROUND((INT($B2729)-$P2729)/$Q2729,0)*$Q2729,IF($R2729&gt;0,EDATE($P2729,ROUND((DATEDIF($P2729,INT($B2729),"m")+(INT($B2729)-EDATE($P2729,DATEDIF($P2729,INT($B2729),"m")))/(EDATE($P2729,DATEDIF($P2729,INT($B2729),"m")+1)-EDATE($P2729,DATEDIF($P2729,INT($B2729),"m"))))/$R2729,0)*$R2729),$P2729))))),"")))</f>
      </c>
      <c r="M2729" s="223">
        <f>IF(OR($C2729="",N($L2729)=0,N($B2729)=0),"",IF(IF(MOD($L2729,1)=0,INT($B2729),$B2729)&lt;=$L2729,"Đúng hạn","Trễ hạn"))</f>
      </c>
      <c r="N2729" s="225">
        <f>IF($C2729="","",ROW())</f>
      </c>
      <c r="O2729" s="225">
        <f>IF($I2729="Công việc",MATCH($C2729,'Kế hoạch'!$A$6:$A$305,0),"")</f>
      </c>
      <c r="P2729" s="234">
        <f>IF($O2729="","",INDEX('Kế hoạch'!$I$6:$I$305,$O2729))</f>
      </c>
      <c r="Q2729" s="225">
        <f>IF($O2729="","",INDEX('Kế hoạch'!$AJ$6:$AJ$305,$O2729))</f>
      </c>
      <c r="R2729" s="225">
        <f>IF($O2729="","",INDEX('Kế hoạch'!$AK$6:$AK$305,$O2729))</f>
      </c>
    </row>
    <row r="2730">
      <c r="A2730" s="223">
        <f>IF($C2730="","",COUNTIF($C$6:$C2730,"?*"))</f>
      </c>
      <c r="B2730" s="217"/>
      <c r="C2730" s="216"/>
      <c r="D2730" s="240"/>
      <c r="E2730" s="218"/>
      <c r="F2730" s="218"/>
      <c r="G2730" s="218"/>
      <c r="H2730" s="219"/>
      <c r="I2730" s="223">
        <f>IF($C2730="","",IF(ISNUMBER(MATCH($C2730,'Phản ánh'!$A$6:$A$505,0)),"Phản ánh",IF(ISNUMBER(MATCH($C2730,'Kế hoạch'!$A$6:$A$305,0)),"Công việc","Mã chưa có")))</f>
      </c>
      <c r="J2730" s="221">
        <f>IF($I2730="Phản ánh",INDEX('Phản ánh'!$C$6:$C$505,MATCH($C2730,'Phản ánh'!$A$6:$A$505,0)),IF($I2730="Công việc",INDEX('Kế hoạch'!$C$6:$C$305,$O2730),""))</f>
      </c>
      <c r="K2730" s="221">
        <f>IF($I2730="Phản ánh",INDEX('Phản ánh'!$K$6:$K$505,MATCH($C2730,'Phản ánh'!$A$6:$A$505,0))&amp;"",IF($I2730="Công việc",INDEX('Kế hoạch'!$N$6:$N$305,$O2730)&amp;"",""))</f>
      </c>
      <c r="L2730" s="220">
        <f>IF(OR($C2730="",N($B2730)=0),"",IF(AND($I2730="Phản ánh",$E2730="Đã xử lý"),INDEX('Phản ánh'!$U$6:$U$505,MATCH($C2730,'Phản ánh'!$A$6:$A$505,0)),IF(AND($I2730="Công việc",OR($E2730="Hoàn thành",$E2730="Hoàn thành kỳ")),IF(INDEX('Kế hoạch'!$B$6:$B$305,$O2730)="Đột xuất",INDEX('Kế hoạch'!$AY$6:$AY$305,$O2730),IF(N($P2730)=0,"",IF(INT($B2730)&lt;$P2730,$P2730,IF($Q2730&gt;0,$P2730+ROUND((INT($B2730)-$P2730)/$Q2730,0)*$Q2730,IF($R2730&gt;0,EDATE($P2730,ROUND((DATEDIF($P2730,INT($B2730),"m")+(INT($B2730)-EDATE($P2730,DATEDIF($P2730,INT($B2730),"m")))/(EDATE($P2730,DATEDIF($P2730,INT($B2730),"m")+1)-EDATE($P2730,DATEDIF($P2730,INT($B2730),"m"))))/$R2730,0)*$R2730),$P2730))))),"")))</f>
      </c>
      <c r="M2730" s="223">
        <f>IF(OR($C2730="",N($L2730)=0,N($B2730)=0),"",IF(IF(MOD($L2730,1)=0,INT($B2730),$B2730)&lt;=$L2730,"Đúng hạn","Trễ hạn"))</f>
      </c>
      <c r="N2730" s="225">
        <f>IF($C2730="","",ROW())</f>
      </c>
      <c r="O2730" s="225">
        <f>IF($I2730="Công việc",MATCH($C2730,'Kế hoạch'!$A$6:$A$305,0),"")</f>
      </c>
      <c r="P2730" s="234">
        <f>IF($O2730="","",INDEX('Kế hoạch'!$I$6:$I$305,$O2730))</f>
      </c>
      <c r="Q2730" s="225">
        <f>IF($O2730="","",INDEX('Kế hoạch'!$AJ$6:$AJ$305,$O2730))</f>
      </c>
      <c r="R2730" s="225">
        <f>IF($O2730="","",INDEX('Kế hoạch'!$AK$6:$AK$305,$O2730))</f>
      </c>
    </row>
    <row r="2731">
      <c r="A2731" s="223">
        <f>IF($C2731="","",COUNTIF($C$6:$C2731,"?*"))</f>
      </c>
      <c r="B2731" s="217"/>
      <c r="C2731" s="216"/>
      <c r="D2731" s="240"/>
      <c r="E2731" s="218"/>
      <c r="F2731" s="218"/>
      <c r="G2731" s="218"/>
      <c r="H2731" s="219"/>
      <c r="I2731" s="223">
        <f>IF($C2731="","",IF(ISNUMBER(MATCH($C2731,'Phản ánh'!$A$6:$A$505,0)),"Phản ánh",IF(ISNUMBER(MATCH($C2731,'Kế hoạch'!$A$6:$A$305,0)),"Công việc","Mã chưa có")))</f>
      </c>
      <c r="J2731" s="221">
        <f>IF($I2731="Phản ánh",INDEX('Phản ánh'!$C$6:$C$505,MATCH($C2731,'Phản ánh'!$A$6:$A$505,0)),IF($I2731="Công việc",INDEX('Kế hoạch'!$C$6:$C$305,$O2731),""))</f>
      </c>
      <c r="K2731" s="221">
        <f>IF($I2731="Phản ánh",INDEX('Phản ánh'!$K$6:$K$505,MATCH($C2731,'Phản ánh'!$A$6:$A$505,0))&amp;"",IF($I2731="Công việc",INDEX('Kế hoạch'!$N$6:$N$305,$O2731)&amp;"",""))</f>
      </c>
      <c r="L2731" s="220">
        <f>IF(OR($C2731="",N($B2731)=0),"",IF(AND($I2731="Phản ánh",$E2731="Đã xử lý"),INDEX('Phản ánh'!$U$6:$U$505,MATCH($C2731,'Phản ánh'!$A$6:$A$505,0)),IF(AND($I2731="Công việc",OR($E2731="Hoàn thành",$E2731="Hoàn thành kỳ")),IF(INDEX('Kế hoạch'!$B$6:$B$305,$O2731)="Đột xuất",INDEX('Kế hoạch'!$AY$6:$AY$305,$O2731),IF(N($P2731)=0,"",IF(INT($B2731)&lt;$P2731,$P2731,IF($Q2731&gt;0,$P2731+ROUND((INT($B2731)-$P2731)/$Q2731,0)*$Q2731,IF($R2731&gt;0,EDATE($P2731,ROUND((DATEDIF($P2731,INT($B2731),"m")+(INT($B2731)-EDATE($P2731,DATEDIF($P2731,INT($B2731),"m")))/(EDATE($P2731,DATEDIF($P2731,INT($B2731),"m")+1)-EDATE($P2731,DATEDIF($P2731,INT($B2731),"m"))))/$R2731,0)*$R2731),$P2731))))),"")))</f>
      </c>
      <c r="M2731" s="223">
        <f>IF(OR($C2731="",N($L2731)=0,N($B2731)=0),"",IF(IF(MOD($L2731,1)=0,INT($B2731),$B2731)&lt;=$L2731,"Đúng hạn","Trễ hạn"))</f>
      </c>
      <c r="N2731" s="225">
        <f>IF($C2731="","",ROW())</f>
      </c>
      <c r="O2731" s="225">
        <f>IF($I2731="Công việc",MATCH($C2731,'Kế hoạch'!$A$6:$A$305,0),"")</f>
      </c>
      <c r="P2731" s="234">
        <f>IF($O2731="","",INDEX('Kế hoạch'!$I$6:$I$305,$O2731))</f>
      </c>
      <c r="Q2731" s="225">
        <f>IF($O2731="","",INDEX('Kế hoạch'!$AJ$6:$AJ$305,$O2731))</f>
      </c>
      <c r="R2731" s="225">
        <f>IF($O2731="","",INDEX('Kế hoạch'!$AK$6:$AK$305,$O2731))</f>
      </c>
    </row>
    <row r="2732">
      <c r="A2732" s="223">
        <f>IF($C2732="","",COUNTIF($C$6:$C2732,"?*"))</f>
      </c>
      <c r="B2732" s="217"/>
      <c r="C2732" s="216"/>
      <c r="D2732" s="240"/>
      <c r="E2732" s="218"/>
      <c r="F2732" s="218"/>
      <c r="G2732" s="218"/>
      <c r="H2732" s="219"/>
      <c r="I2732" s="223">
        <f>IF($C2732="","",IF(ISNUMBER(MATCH($C2732,'Phản ánh'!$A$6:$A$505,0)),"Phản ánh",IF(ISNUMBER(MATCH($C2732,'Kế hoạch'!$A$6:$A$305,0)),"Công việc","Mã chưa có")))</f>
      </c>
      <c r="J2732" s="221">
        <f>IF($I2732="Phản ánh",INDEX('Phản ánh'!$C$6:$C$505,MATCH($C2732,'Phản ánh'!$A$6:$A$505,0)),IF($I2732="Công việc",INDEX('Kế hoạch'!$C$6:$C$305,$O2732),""))</f>
      </c>
      <c r="K2732" s="221">
        <f>IF($I2732="Phản ánh",INDEX('Phản ánh'!$K$6:$K$505,MATCH($C2732,'Phản ánh'!$A$6:$A$505,0))&amp;"",IF($I2732="Công việc",INDEX('Kế hoạch'!$N$6:$N$305,$O2732)&amp;"",""))</f>
      </c>
      <c r="L2732" s="220">
        <f>IF(OR($C2732="",N($B2732)=0),"",IF(AND($I2732="Phản ánh",$E2732="Đã xử lý"),INDEX('Phản ánh'!$U$6:$U$505,MATCH($C2732,'Phản ánh'!$A$6:$A$505,0)),IF(AND($I2732="Công việc",OR($E2732="Hoàn thành",$E2732="Hoàn thành kỳ")),IF(INDEX('Kế hoạch'!$B$6:$B$305,$O2732)="Đột xuất",INDEX('Kế hoạch'!$AY$6:$AY$305,$O2732),IF(N($P2732)=0,"",IF(INT($B2732)&lt;$P2732,$P2732,IF($Q2732&gt;0,$P2732+ROUND((INT($B2732)-$P2732)/$Q2732,0)*$Q2732,IF($R2732&gt;0,EDATE($P2732,ROUND((DATEDIF($P2732,INT($B2732),"m")+(INT($B2732)-EDATE($P2732,DATEDIF($P2732,INT($B2732),"m")))/(EDATE($P2732,DATEDIF($P2732,INT($B2732),"m")+1)-EDATE($P2732,DATEDIF($P2732,INT($B2732),"m"))))/$R2732,0)*$R2732),$P2732))))),"")))</f>
      </c>
      <c r="M2732" s="223">
        <f>IF(OR($C2732="",N($L2732)=0,N($B2732)=0),"",IF(IF(MOD($L2732,1)=0,INT($B2732),$B2732)&lt;=$L2732,"Đúng hạn","Trễ hạn"))</f>
      </c>
      <c r="N2732" s="225">
        <f>IF($C2732="","",ROW())</f>
      </c>
      <c r="O2732" s="225">
        <f>IF($I2732="Công việc",MATCH($C2732,'Kế hoạch'!$A$6:$A$305,0),"")</f>
      </c>
      <c r="P2732" s="234">
        <f>IF($O2732="","",INDEX('Kế hoạch'!$I$6:$I$305,$O2732))</f>
      </c>
      <c r="Q2732" s="225">
        <f>IF($O2732="","",INDEX('Kế hoạch'!$AJ$6:$AJ$305,$O2732))</f>
      </c>
      <c r="R2732" s="225">
        <f>IF($O2732="","",INDEX('Kế hoạch'!$AK$6:$AK$305,$O2732))</f>
      </c>
    </row>
    <row r="2733">
      <c r="A2733" s="223">
        <f>IF($C2733="","",COUNTIF($C$6:$C2733,"?*"))</f>
      </c>
      <c r="B2733" s="217"/>
      <c r="C2733" s="216"/>
      <c r="D2733" s="240"/>
      <c r="E2733" s="218"/>
      <c r="F2733" s="218"/>
      <c r="G2733" s="218"/>
      <c r="H2733" s="219"/>
      <c r="I2733" s="223">
        <f>IF($C2733="","",IF(ISNUMBER(MATCH($C2733,'Phản ánh'!$A$6:$A$505,0)),"Phản ánh",IF(ISNUMBER(MATCH($C2733,'Kế hoạch'!$A$6:$A$305,0)),"Công việc","Mã chưa có")))</f>
      </c>
      <c r="J2733" s="221">
        <f>IF($I2733="Phản ánh",INDEX('Phản ánh'!$C$6:$C$505,MATCH($C2733,'Phản ánh'!$A$6:$A$505,0)),IF($I2733="Công việc",INDEX('Kế hoạch'!$C$6:$C$305,$O2733),""))</f>
      </c>
      <c r="K2733" s="221">
        <f>IF($I2733="Phản ánh",INDEX('Phản ánh'!$K$6:$K$505,MATCH($C2733,'Phản ánh'!$A$6:$A$505,0))&amp;"",IF($I2733="Công việc",INDEX('Kế hoạch'!$N$6:$N$305,$O2733)&amp;"",""))</f>
      </c>
      <c r="L2733" s="220">
        <f>IF(OR($C2733="",N($B2733)=0),"",IF(AND($I2733="Phản ánh",$E2733="Đã xử lý"),INDEX('Phản ánh'!$U$6:$U$505,MATCH($C2733,'Phản ánh'!$A$6:$A$505,0)),IF(AND($I2733="Công việc",OR($E2733="Hoàn thành",$E2733="Hoàn thành kỳ")),IF(INDEX('Kế hoạch'!$B$6:$B$305,$O2733)="Đột xuất",INDEX('Kế hoạch'!$AY$6:$AY$305,$O2733),IF(N($P2733)=0,"",IF(INT($B2733)&lt;$P2733,$P2733,IF($Q2733&gt;0,$P2733+ROUND((INT($B2733)-$P2733)/$Q2733,0)*$Q2733,IF($R2733&gt;0,EDATE($P2733,ROUND((DATEDIF($P2733,INT($B2733),"m")+(INT($B2733)-EDATE($P2733,DATEDIF($P2733,INT($B2733),"m")))/(EDATE($P2733,DATEDIF($P2733,INT($B2733),"m")+1)-EDATE($P2733,DATEDIF($P2733,INT($B2733),"m"))))/$R2733,0)*$R2733),$P2733))))),"")))</f>
      </c>
      <c r="M2733" s="223">
        <f>IF(OR($C2733="",N($L2733)=0,N($B2733)=0),"",IF(IF(MOD($L2733,1)=0,INT($B2733),$B2733)&lt;=$L2733,"Đúng hạn","Trễ hạn"))</f>
      </c>
      <c r="N2733" s="225">
        <f>IF($C2733="","",ROW())</f>
      </c>
      <c r="O2733" s="225">
        <f>IF($I2733="Công việc",MATCH($C2733,'Kế hoạch'!$A$6:$A$305,0),"")</f>
      </c>
      <c r="P2733" s="234">
        <f>IF($O2733="","",INDEX('Kế hoạch'!$I$6:$I$305,$O2733))</f>
      </c>
      <c r="Q2733" s="225">
        <f>IF($O2733="","",INDEX('Kế hoạch'!$AJ$6:$AJ$305,$O2733))</f>
      </c>
      <c r="R2733" s="225">
        <f>IF($O2733="","",INDEX('Kế hoạch'!$AK$6:$AK$305,$O2733))</f>
      </c>
    </row>
    <row r="2734">
      <c r="A2734" s="223">
        <f>IF($C2734="","",COUNTIF($C$6:$C2734,"?*"))</f>
      </c>
      <c r="B2734" s="217"/>
      <c r="C2734" s="216"/>
      <c r="D2734" s="240"/>
      <c r="E2734" s="218"/>
      <c r="F2734" s="218"/>
      <c r="G2734" s="218"/>
      <c r="H2734" s="219"/>
      <c r="I2734" s="223">
        <f>IF($C2734="","",IF(ISNUMBER(MATCH($C2734,'Phản ánh'!$A$6:$A$505,0)),"Phản ánh",IF(ISNUMBER(MATCH($C2734,'Kế hoạch'!$A$6:$A$305,0)),"Công việc","Mã chưa có")))</f>
      </c>
      <c r="J2734" s="221">
        <f>IF($I2734="Phản ánh",INDEX('Phản ánh'!$C$6:$C$505,MATCH($C2734,'Phản ánh'!$A$6:$A$505,0)),IF($I2734="Công việc",INDEX('Kế hoạch'!$C$6:$C$305,$O2734),""))</f>
      </c>
      <c r="K2734" s="221">
        <f>IF($I2734="Phản ánh",INDEX('Phản ánh'!$K$6:$K$505,MATCH($C2734,'Phản ánh'!$A$6:$A$505,0))&amp;"",IF($I2734="Công việc",INDEX('Kế hoạch'!$N$6:$N$305,$O2734)&amp;"",""))</f>
      </c>
      <c r="L2734" s="220">
        <f>IF(OR($C2734="",N($B2734)=0),"",IF(AND($I2734="Phản ánh",$E2734="Đã xử lý"),INDEX('Phản ánh'!$U$6:$U$505,MATCH($C2734,'Phản ánh'!$A$6:$A$505,0)),IF(AND($I2734="Công việc",OR($E2734="Hoàn thành",$E2734="Hoàn thành kỳ")),IF(INDEX('Kế hoạch'!$B$6:$B$305,$O2734)="Đột xuất",INDEX('Kế hoạch'!$AY$6:$AY$305,$O2734),IF(N($P2734)=0,"",IF(INT($B2734)&lt;$P2734,$P2734,IF($Q2734&gt;0,$P2734+ROUND((INT($B2734)-$P2734)/$Q2734,0)*$Q2734,IF($R2734&gt;0,EDATE($P2734,ROUND((DATEDIF($P2734,INT($B2734),"m")+(INT($B2734)-EDATE($P2734,DATEDIF($P2734,INT($B2734),"m")))/(EDATE($P2734,DATEDIF($P2734,INT($B2734),"m")+1)-EDATE($P2734,DATEDIF($P2734,INT($B2734),"m"))))/$R2734,0)*$R2734),$P2734))))),"")))</f>
      </c>
      <c r="M2734" s="223">
        <f>IF(OR($C2734="",N($L2734)=0,N($B2734)=0),"",IF(IF(MOD($L2734,1)=0,INT($B2734),$B2734)&lt;=$L2734,"Đúng hạn","Trễ hạn"))</f>
      </c>
      <c r="N2734" s="225">
        <f>IF($C2734="","",ROW())</f>
      </c>
      <c r="O2734" s="225">
        <f>IF($I2734="Công việc",MATCH($C2734,'Kế hoạch'!$A$6:$A$305,0),"")</f>
      </c>
      <c r="P2734" s="234">
        <f>IF($O2734="","",INDEX('Kế hoạch'!$I$6:$I$305,$O2734))</f>
      </c>
      <c r="Q2734" s="225">
        <f>IF($O2734="","",INDEX('Kế hoạch'!$AJ$6:$AJ$305,$O2734))</f>
      </c>
      <c r="R2734" s="225">
        <f>IF($O2734="","",INDEX('Kế hoạch'!$AK$6:$AK$305,$O2734))</f>
      </c>
    </row>
    <row r="2735">
      <c r="A2735" s="223">
        <f>IF($C2735="","",COUNTIF($C$6:$C2735,"?*"))</f>
      </c>
      <c r="B2735" s="217"/>
      <c r="C2735" s="216"/>
      <c r="D2735" s="240"/>
      <c r="E2735" s="218"/>
      <c r="F2735" s="218"/>
      <c r="G2735" s="218"/>
      <c r="H2735" s="219"/>
      <c r="I2735" s="223">
        <f>IF($C2735="","",IF(ISNUMBER(MATCH($C2735,'Phản ánh'!$A$6:$A$505,0)),"Phản ánh",IF(ISNUMBER(MATCH($C2735,'Kế hoạch'!$A$6:$A$305,0)),"Công việc","Mã chưa có")))</f>
      </c>
      <c r="J2735" s="221">
        <f>IF($I2735="Phản ánh",INDEX('Phản ánh'!$C$6:$C$505,MATCH($C2735,'Phản ánh'!$A$6:$A$505,0)),IF($I2735="Công việc",INDEX('Kế hoạch'!$C$6:$C$305,$O2735),""))</f>
      </c>
      <c r="K2735" s="221">
        <f>IF($I2735="Phản ánh",INDEX('Phản ánh'!$K$6:$K$505,MATCH($C2735,'Phản ánh'!$A$6:$A$505,0))&amp;"",IF($I2735="Công việc",INDEX('Kế hoạch'!$N$6:$N$305,$O2735)&amp;"",""))</f>
      </c>
      <c r="L2735" s="220">
        <f>IF(OR($C2735="",N($B2735)=0),"",IF(AND($I2735="Phản ánh",$E2735="Đã xử lý"),INDEX('Phản ánh'!$U$6:$U$505,MATCH($C2735,'Phản ánh'!$A$6:$A$505,0)),IF(AND($I2735="Công việc",OR($E2735="Hoàn thành",$E2735="Hoàn thành kỳ")),IF(INDEX('Kế hoạch'!$B$6:$B$305,$O2735)="Đột xuất",INDEX('Kế hoạch'!$AY$6:$AY$305,$O2735),IF(N($P2735)=0,"",IF(INT($B2735)&lt;$P2735,$P2735,IF($Q2735&gt;0,$P2735+ROUND((INT($B2735)-$P2735)/$Q2735,0)*$Q2735,IF($R2735&gt;0,EDATE($P2735,ROUND((DATEDIF($P2735,INT($B2735),"m")+(INT($B2735)-EDATE($P2735,DATEDIF($P2735,INT($B2735),"m")))/(EDATE($P2735,DATEDIF($P2735,INT($B2735),"m")+1)-EDATE($P2735,DATEDIF($P2735,INT($B2735),"m"))))/$R2735,0)*$R2735),$P2735))))),"")))</f>
      </c>
      <c r="M2735" s="223">
        <f>IF(OR($C2735="",N($L2735)=0,N($B2735)=0),"",IF(IF(MOD($L2735,1)=0,INT($B2735),$B2735)&lt;=$L2735,"Đúng hạn","Trễ hạn"))</f>
      </c>
      <c r="N2735" s="225">
        <f>IF($C2735="","",ROW())</f>
      </c>
      <c r="O2735" s="225">
        <f>IF($I2735="Công việc",MATCH($C2735,'Kế hoạch'!$A$6:$A$305,0),"")</f>
      </c>
      <c r="P2735" s="234">
        <f>IF($O2735="","",INDEX('Kế hoạch'!$I$6:$I$305,$O2735))</f>
      </c>
      <c r="Q2735" s="225">
        <f>IF($O2735="","",INDEX('Kế hoạch'!$AJ$6:$AJ$305,$O2735))</f>
      </c>
      <c r="R2735" s="225">
        <f>IF($O2735="","",INDEX('Kế hoạch'!$AK$6:$AK$305,$O2735))</f>
      </c>
    </row>
    <row r="2736">
      <c r="A2736" s="223">
        <f>IF($C2736="","",COUNTIF($C$6:$C2736,"?*"))</f>
      </c>
      <c r="B2736" s="217"/>
      <c r="C2736" s="216"/>
      <c r="D2736" s="240"/>
      <c r="E2736" s="218"/>
      <c r="F2736" s="218"/>
      <c r="G2736" s="218"/>
      <c r="H2736" s="219"/>
      <c r="I2736" s="223">
        <f>IF($C2736="","",IF(ISNUMBER(MATCH($C2736,'Phản ánh'!$A$6:$A$505,0)),"Phản ánh",IF(ISNUMBER(MATCH($C2736,'Kế hoạch'!$A$6:$A$305,0)),"Công việc","Mã chưa có")))</f>
      </c>
      <c r="J2736" s="221">
        <f>IF($I2736="Phản ánh",INDEX('Phản ánh'!$C$6:$C$505,MATCH($C2736,'Phản ánh'!$A$6:$A$505,0)),IF($I2736="Công việc",INDEX('Kế hoạch'!$C$6:$C$305,$O2736),""))</f>
      </c>
      <c r="K2736" s="221">
        <f>IF($I2736="Phản ánh",INDEX('Phản ánh'!$K$6:$K$505,MATCH($C2736,'Phản ánh'!$A$6:$A$505,0))&amp;"",IF($I2736="Công việc",INDEX('Kế hoạch'!$N$6:$N$305,$O2736)&amp;"",""))</f>
      </c>
      <c r="L2736" s="220">
        <f>IF(OR($C2736="",N($B2736)=0),"",IF(AND($I2736="Phản ánh",$E2736="Đã xử lý"),INDEX('Phản ánh'!$U$6:$U$505,MATCH($C2736,'Phản ánh'!$A$6:$A$505,0)),IF(AND($I2736="Công việc",OR($E2736="Hoàn thành",$E2736="Hoàn thành kỳ")),IF(INDEX('Kế hoạch'!$B$6:$B$305,$O2736)="Đột xuất",INDEX('Kế hoạch'!$AY$6:$AY$305,$O2736),IF(N($P2736)=0,"",IF(INT($B2736)&lt;$P2736,$P2736,IF($Q2736&gt;0,$P2736+ROUND((INT($B2736)-$P2736)/$Q2736,0)*$Q2736,IF($R2736&gt;0,EDATE($P2736,ROUND((DATEDIF($P2736,INT($B2736),"m")+(INT($B2736)-EDATE($P2736,DATEDIF($P2736,INT($B2736),"m")))/(EDATE($P2736,DATEDIF($P2736,INT($B2736),"m")+1)-EDATE($P2736,DATEDIF($P2736,INT($B2736),"m"))))/$R2736,0)*$R2736),$P2736))))),"")))</f>
      </c>
      <c r="M2736" s="223">
        <f>IF(OR($C2736="",N($L2736)=0,N($B2736)=0),"",IF(IF(MOD($L2736,1)=0,INT($B2736),$B2736)&lt;=$L2736,"Đúng hạn","Trễ hạn"))</f>
      </c>
      <c r="N2736" s="225">
        <f>IF($C2736="","",ROW())</f>
      </c>
      <c r="O2736" s="225">
        <f>IF($I2736="Công việc",MATCH($C2736,'Kế hoạch'!$A$6:$A$305,0),"")</f>
      </c>
      <c r="P2736" s="234">
        <f>IF($O2736="","",INDEX('Kế hoạch'!$I$6:$I$305,$O2736))</f>
      </c>
      <c r="Q2736" s="225">
        <f>IF($O2736="","",INDEX('Kế hoạch'!$AJ$6:$AJ$305,$O2736))</f>
      </c>
      <c r="R2736" s="225">
        <f>IF($O2736="","",INDEX('Kế hoạch'!$AK$6:$AK$305,$O2736))</f>
      </c>
    </row>
    <row r="2737">
      <c r="A2737" s="223">
        <f>IF($C2737="","",COUNTIF($C$6:$C2737,"?*"))</f>
      </c>
      <c r="B2737" s="217"/>
      <c r="C2737" s="216"/>
      <c r="D2737" s="240"/>
      <c r="E2737" s="218"/>
      <c r="F2737" s="218"/>
      <c r="G2737" s="218"/>
      <c r="H2737" s="219"/>
      <c r="I2737" s="223">
        <f>IF($C2737="","",IF(ISNUMBER(MATCH($C2737,'Phản ánh'!$A$6:$A$505,0)),"Phản ánh",IF(ISNUMBER(MATCH($C2737,'Kế hoạch'!$A$6:$A$305,0)),"Công việc","Mã chưa có")))</f>
      </c>
      <c r="J2737" s="221">
        <f>IF($I2737="Phản ánh",INDEX('Phản ánh'!$C$6:$C$505,MATCH($C2737,'Phản ánh'!$A$6:$A$505,0)),IF($I2737="Công việc",INDEX('Kế hoạch'!$C$6:$C$305,$O2737),""))</f>
      </c>
      <c r="K2737" s="221">
        <f>IF($I2737="Phản ánh",INDEX('Phản ánh'!$K$6:$K$505,MATCH($C2737,'Phản ánh'!$A$6:$A$505,0))&amp;"",IF($I2737="Công việc",INDEX('Kế hoạch'!$N$6:$N$305,$O2737)&amp;"",""))</f>
      </c>
      <c r="L2737" s="220">
        <f>IF(OR($C2737="",N($B2737)=0),"",IF(AND($I2737="Phản ánh",$E2737="Đã xử lý"),INDEX('Phản ánh'!$U$6:$U$505,MATCH($C2737,'Phản ánh'!$A$6:$A$505,0)),IF(AND($I2737="Công việc",OR($E2737="Hoàn thành",$E2737="Hoàn thành kỳ")),IF(INDEX('Kế hoạch'!$B$6:$B$305,$O2737)="Đột xuất",INDEX('Kế hoạch'!$AY$6:$AY$305,$O2737),IF(N($P2737)=0,"",IF(INT($B2737)&lt;$P2737,$P2737,IF($Q2737&gt;0,$P2737+ROUND((INT($B2737)-$P2737)/$Q2737,0)*$Q2737,IF($R2737&gt;0,EDATE($P2737,ROUND((DATEDIF($P2737,INT($B2737),"m")+(INT($B2737)-EDATE($P2737,DATEDIF($P2737,INT($B2737),"m")))/(EDATE($P2737,DATEDIF($P2737,INT($B2737),"m")+1)-EDATE($P2737,DATEDIF($P2737,INT($B2737),"m"))))/$R2737,0)*$R2737),$P2737))))),"")))</f>
      </c>
      <c r="M2737" s="223">
        <f>IF(OR($C2737="",N($L2737)=0,N($B2737)=0),"",IF(IF(MOD($L2737,1)=0,INT($B2737),$B2737)&lt;=$L2737,"Đúng hạn","Trễ hạn"))</f>
      </c>
      <c r="N2737" s="225">
        <f>IF($C2737="","",ROW())</f>
      </c>
      <c r="O2737" s="225">
        <f>IF($I2737="Công việc",MATCH($C2737,'Kế hoạch'!$A$6:$A$305,0),"")</f>
      </c>
      <c r="P2737" s="234">
        <f>IF($O2737="","",INDEX('Kế hoạch'!$I$6:$I$305,$O2737))</f>
      </c>
      <c r="Q2737" s="225">
        <f>IF($O2737="","",INDEX('Kế hoạch'!$AJ$6:$AJ$305,$O2737))</f>
      </c>
      <c r="R2737" s="225">
        <f>IF($O2737="","",INDEX('Kế hoạch'!$AK$6:$AK$305,$O2737))</f>
      </c>
    </row>
    <row r="2738">
      <c r="A2738" s="223">
        <f>IF($C2738="","",COUNTIF($C$6:$C2738,"?*"))</f>
      </c>
      <c r="B2738" s="217"/>
      <c r="C2738" s="216"/>
      <c r="D2738" s="240"/>
      <c r="E2738" s="218"/>
      <c r="F2738" s="218"/>
      <c r="G2738" s="218"/>
      <c r="H2738" s="219"/>
      <c r="I2738" s="223">
        <f>IF($C2738="","",IF(ISNUMBER(MATCH($C2738,'Phản ánh'!$A$6:$A$505,0)),"Phản ánh",IF(ISNUMBER(MATCH($C2738,'Kế hoạch'!$A$6:$A$305,0)),"Công việc","Mã chưa có")))</f>
      </c>
      <c r="J2738" s="221">
        <f>IF($I2738="Phản ánh",INDEX('Phản ánh'!$C$6:$C$505,MATCH($C2738,'Phản ánh'!$A$6:$A$505,0)),IF($I2738="Công việc",INDEX('Kế hoạch'!$C$6:$C$305,$O2738),""))</f>
      </c>
      <c r="K2738" s="221">
        <f>IF($I2738="Phản ánh",INDEX('Phản ánh'!$K$6:$K$505,MATCH($C2738,'Phản ánh'!$A$6:$A$505,0))&amp;"",IF($I2738="Công việc",INDEX('Kế hoạch'!$N$6:$N$305,$O2738)&amp;"",""))</f>
      </c>
      <c r="L2738" s="220">
        <f>IF(OR($C2738="",N($B2738)=0),"",IF(AND($I2738="Phản ánh",$E2738="Đã xử lý"),INDEX('Phản ánh'!$U$6:$U$505,MATCH($C2738,'Phản ánh'!$A$6:$A$505,0)),IF(AND($I2738="Công việc",OR($E2738="Hoàn thành",$E2738="Hoàn thành kỳ")),IF(INDEX('Kế hoạch'!$B$6:$B$305,$O2738)="Đột xuất",INDEX('Kế hoạch'!$AY$6:$AY$305,$O2738),IF(N($P2738)=0,"",IF(INT($B2738)&lt;$P2738,$P2738,IF($Q2738&gt;0,$P2738+ROUND((INT($B2738)-$P2738)/$Q2738,0)*$Q2738,IF($R2738&gt;0,EDATE($P2738,ROUND((DATEDIF($P2738,INT($B2738),"m")+(INT($B2738)-EDATE($P2738,DATEDIF($P2738,INT($B2738),"m")))/(EDATE($P2738,DATEDIF($P2738,INT($B2738),"m")+1)-EDATE($P2738,DATEDIF($P2738,INT($B2738),"m"))))/$R2738,0)*$R2738),$P2738))))),"")))</f>
      </c>
      <c r="M2738" s="223">
        <f>IF(OR($C2738="",N($L2738)=0,N($B2738)=0),"",IF(IF(MOD($L2738,1)=0,INT($B2738),$B2738)&lt;=$L2738,"Đúng hạn","Trễ hạn"))</f>
      </c>
      <c r="N2738" s="225">
        <f>IF($C2738="","",ROW())</f>
      </c>
      <c r="O2738" s="225">
        <f>IF($I2738="Công việc",MATCH($C2738,'Kế hoạch'!$A$6:$A$305,0),"")</f>
      </c>
      <c r="P2738" s="234">
        <f>IF($O2738="","",INDEX('Kế hoạch'!$I$6:$I$305,$O2738))</f>
      </c>
      <c r="Q2738" s="225">
        <f>IF($O2738="","",INDEX('Kế hoạch'!$AJ$6:$AJ$305,$O2738))</f>
      </c>
      <c r="R2738" s="225">
        <f>IF($O2738="","",INDEX('Kế hoạch'!$AK$6:$AK$305,$O2738))</f>
      </c>
    </row>
    <row r="2739">
      <c r="A2739" s="223">
        <f>IF($C2739="","",COUNTIF($C$6:$C2739,"?*"))</f>
      </c>
      <c r="B2739" s="217"/>
      <c r="C2739" s="216"/>
      <c r="D2739" s="240"/>
      <c r="E2739" s="218"/>
      <c r="F2739" s="218"/>
      <c r="G2739" s="218"/>
      <c r="H2739" s="219"/>
      <c r="I2739" s="223">
        <f>IF($C2739="","",IF(ISNUMBER(MATCH($C2739,'Phản ánh'!$A$6:$A$505,0)),"Phản ánh",IF(ISNUMBER(MATCH($C2739,'Kế hoạch'!$A$6:$A$305,0)),"Công việc","Mã chưa có")))</f>
      </c>
      <c r="J2739" s="221">
        <f>IF($I2739="Phản ánh",INDEX('Phản ánh'!$C$6:$C$505,MATCH($C2739,'Phản ánh'!$A$6:$A$505,0)),IF($I2739="Công việc",INDEX('Kế hoạch'!$C$6:$C$305,$O2739),""))</f>
      </c>
      <c r="K2739" s="221">
        <f>IF($I2739="Phản ánh",INDEX('Phản ánh'!$K$6:$K$505,MATCH($C2739,'Phản ánh'!$A$6:$A$505,0))&amp;"",IF($I2739="Công việc",INDEX('Kế hoạch'!$N$6:$N$305,$O2739)&amp;"",""))</f>
      </c>
      <c r="L2739" s="220">
        <f>IF(OR($C2739="",N($B2739)=0),"",IF(AND($I2739="Phản ánh",$E2739="Đã xử lý"),INDEX('Phản ánh'!$U$6:$U$505,MATCH($C2739,'Phản ánh'!$A$6:$A$505,0)),IF(AND($I2739="Công việc",OR($E2739="Hoàn thành",$E2739="Hoàn thành kỳ")),IF(INDEX('Kế hoạch'!$B$6:$B$305,$O2739)="Đột xuất",INDEX('Kế hoạch'!$AY$6:$AY$305,$O2739),IF(N($P2739)=0,"",IF(INT($B2739)&lt;$P2739,$P2739,IF($Q2739&gt;0,$P2739+ROUND((INT($B2739)-$P2739)/$Q2739,0)*$Q2739,IF($R2739&gt;0,EDATE($P2739,ROUND((DATEDIF($P2739,INT($B2739),"m")+(INT($B2739)-EDATE($P2739,DATEDIF($P2739,INT($B2739),"m")))/(EDATE($P2739,DATEDIF($P2739,INT($B2739),"m")+1)-EDATE($P2739,DATEDIF($P2739,INT($B2739),"m"))))/$R2739,0)*$R2739),$P2739))))),"")))</f>
      </c>
      <c r="M2739" s="223">
        <f>IF(OR($C2739="",N($L2739)=0,N($B2739)=0),"",IF(IF(MOD($L2739,1)=0,INT($B2739),$B2739)&lt;=$L2739,"Đúng hạn","Trễ hạn"))</f>
      </c>
      <c r="N2739" s="225">
        <f>IF($C2739="","",ROW())</f>
      </c>
      <c r="O2739" s="225">
        <f>IF($I2739="Công việc",MATCH($C2739,'Kế hoạch'!$A$6:$A$305,0),"")</f>
      </c>
      <c r="P2739" s="234">
        <f>IF($O2739="","",INDEX('Kế hoạch'!$I$6:$I$305,$O2739))</f>
      </c>
      <c r="Q2739" s="225">
        <f>IF($O2739="","",INDEX('Kế hoạch'!$AJ$6:$AJ$305,$O2739))</f>
      </c>
      <c r="R2739" s="225">
        <f>IF($O2739="","",INDEX('Kế hoạch'!$AK$6:$AK$305,$O2739))</f>
      </c>
    </row>
    <row r="2740">
      <c r="A2740" s="223">
        <f>IF($C2740="","",COUNTIF($C$6:$C2740,"?*"))</f>
      </c>
      <c r="B2740" s="217"/>
      <c r="C2740" s="216"/>
      <c r="D2740" s="240"/>
      <c r="E2740" s="218"/>
      <c r="F2740" s="218"/>
      <c r="G2740" s="218"/>
      <c r="H2740" s="219"/>
      <c r="I2740" s="223">
        <f>IF($C2740="","",IF(ISNUMBER(MATCH($C2740,'Phản ánh'!$A$6:$A$505,0)),"Phản ánh",IF(ISNUMBER(MATCH($C2740,'Kế hoạch'!$A$6:$A$305,0)),"Công việc","Mã chưa có")))</f>
      </c>
      <c r="J2740" s="221">
        <f>IF($I2740="Phản ánh",INDEX('Phản ánh'!$C$6:$C$505,MATCH($C2740,'Phản ánh'!$A$6:$A$505,0)),IF($I2740="Công việc",INDEX('Kế hoạch'!$C$6:$C$305,$O2740),""))</f>
      </c>
      <c r="K2740" s="221">
        <f>IF($I2740="Phản ánh",INDEX('Phản ánh'!$K$6:$K$505,MATCH($C2740,'Phản ánh'!$A$6:$A$505,0))&amp;"",IF($I2740="Công việc",INDEX('Kế hoạch'!$N$6:$N$305,$O2740)&amp;"",""))</f>
      </c>
      <c r="L2740" s="220">
        <f>IF(OR($C2740="",N($B2740)=0),"",IF(AND($I2740="Phản ánh",$E2740="Đã xử lý"),INDEX('Phản ánh'!$U$6:$U$505,MATCH($C2740,'Phản ánh'!$A$6:$A$505,0)),IF(AND($I2740="Công việc",OR($E2740="Hoàn thành",$E2740="Hoàn thành kỳ")),IF(INDEX('Kế hoạch'!$B$6:$B$305,$O2740)="Đột xuất",INDEX('Kế hoạch'!$AY$6:$AY$305,$O2740),IF(N($P2740)=0,"",IF(INT($B2740)&lt;$P2740,$P2740,IF($Q2740&gt;0,$P2740+ROUND((INT($B2740)-$P2740)/$Q2740,0)*$Q2740,IF($R2740&gt;0,EDATE($P2740,ROUND((DATEDIF($P2740,INT($B2740),"m")+(INT($B2740)-EDATE($P2740,DATEDIF($P2740,INT($B2740),"m")))/(EDATE($P2740,DATEDIF($P2740,INT($B2740),"m")+1)-EDATE($P2740,DATEDIF($P2740,INT($B2740),"m"))))/$R2740,0)*$R2740),$P2740))))),"")))</f>
      </c>
      <c r="M2740" s="223">
        <f>IF(OR($C2740="",N($L2740)=0,N($B2740)=0),"",IF(IF(MOD($L2740,1)=0,INT($B2740),$B2740)&lt;=$L2740,"Đúng hạn","Trễ hạn"))</f>
      </c>
      <c r="N2740" s="225">
        <f>IF($C2740="","",ROW())</f>
      </c>
      <c r="O2740" s="225">
        <f>IF($I2740="Công việc",MATCH($C2740,'Kế hoạch'!$A$6:$A$305,0),"")</f>
      </c>
      <c r="P2740" s="234">
        <f>IF($O2740="","",INDEX('Kế hoạch'!$I$6:$I$305,$O2740))</f>
      </c>
      <c r="Q2740" s="225">
        <f>IF($O2740="","",INDEX('Kế hoạch'!$AJ$6:$AJ$305,$O2740))</f>
      </c>
      <c r="R2740" s="225">
        <f>IF($O2740="","",INDEX('Kế hoạch'!$AK$6:$AK$305,$O2740))</f>
      </c>
    </row>
    <row r="2741">
      <c r="A2741" s="223">
        <f>IF($C2741="","",COUNTIF($C$6:$C2741,"?*"))</f>
      </c>
      <c r="B2741" s="217"/>
      <c r="C2741" s="216"/>
      <c r="D2741" s="240"/>
      <c r="E2741" s="218"/>
      <c r="F2741" s="218"/>
      <c r="G2741" s="218"/>
      <c r="H2741" s="219"/>
      <c r="I2741" s="223">
        <f>IF($C2741="","",IF(ISNUMBER(MATCH($C2741,'Phản ánh'!$A$6:$A$505,0)),"Phản ánh",IF(ISNUMBER(MATCH($C2741,'Kế hoạch'!$A$6:$A$305,0)),"Công việc","Mã chưa có")))</f>
      </c>
      <c r="J2741" s="221">
        <f>IF($I2741="Phản ánh",INDEX('Phản ánh'!$C$6:$C$505,MATCH($C2741,'Phản ánh'!$A$6:$A$505,0)),IF($I2741="Công việc",INDEX('Kế hoạch'!$C$6:$C$305,$O2741),""))</f>
      </c>
      <c r="K2741" s="221">
        <f>IF($I2741="Phản ánh",INDEX('Phản ánh'!$K$6:$K$505,MATCH($C2741,'Phản ánh'!$A$6:$A$505,0))&amp;"",IF($I2741="Công việc",INDEX('Kế hoạch'!$N$6:$N$305,$O2741)&amp;"",""))</f>
      </c>
      <c r="L2741" s="220">
        <f>IF(OR($C2741="",N($B2741)=0),"",IF(AND($I2741="Phản ánh",$E2741="Đã xử lý"),INDEX('Phản ánh'!$U$6:$U$505,MATCH($C2741,'Phản ánh'!$A$6:$A$505,0)),IF(AND($I2741="Công việc",OR($E2741="Hoàn thành",$E2741="Hoàn thành kỳ")),IF(INDEX('Kế hoạch'!$B$6:$B$305,$O2741)="Đột xuất",INDEX('Kế hoạch'!$AY$6:$AY$305,$O2741),IF(N($P2741)=0,"",IF(INT($B2741)&lt;$P2741,$P2741,IF($Q2741&gt;0,$P2741+ROUND((INT($B2741)-$P2741)/$Q2741,0)*$Q2741,IF($R2741&gt;0,EDATE($P2741,ROUND((DATEDIF($P2741,INT($B2741),"m")+(INT($B2741)-EDATE($P2741,DATEDIF($P2741,INT($B2741),"m")))/(EDATE($P2741,DATEDIF($P2741,INT($B2741),"m")+1)-EDATE($P2741,DATEDIF($P2741,INT($B2741),"m"))))/$R2741,0)*$R2741),$P2741))))),"")))</f>
      </c>
      <c r="M2741" s="223">
        <f>IF(OR($C2741="",N($L2741)=0,N($B2741)=0),"",IF(IF(MOD($L2741,1)=0,INT($B2741),$B2741)&lt;=$L2741,"Đúng hạn","Trễ hạn"))</f>
      </c>
      <c r="N2741" s="225">
        <f>IF($C2741="","",ROW())</f>
      </c>
      <c r="O2741" s="225">
        <f>IF($I2741="Công việc",MATCH($C2741,'Kế hoạch'!$A$6:$A$305,0),"")</f>
      </c>
      <c r="P2741" s="234">
        <f>IF($O2741="","",INDEX('Kế hoạch'!$I$6:$I$305,$O2741))</f>
      </c>
      <c r="Q2741" s="225">
        <f>IF($O2741="","",INDEX('Kế hoạch'!$AJ$6:$AJ$305,$O2741))</f>
      </c>
      <c r="R2741" s="225">
        <f>IF($O2741="","",INDEX('Kế hoạch'!$AK$6:$AK$305,$O2741))</f>
      </c>
    </row>
    <row r="2742">
      <c r="A2742" s="223">
        <f>IF($C2742="","",COUNTIF($C$6:$C2742,"?*"))</f>
      </c>
      <c r="B2742" s="217"/>
      <c r="C2742" s="216"/>
      <c r="D2742" s="240"/>
      <c r="E2742" s="218"/>
      <c r="F2742" s="218"/>
      <c r="G2742" s="218"/>
      <c r="H2742" s="219"/>
      <c r="I2742" s="223">
        <f>IF($C2742="","",IF(ISNUMBER(MATCH($C2742,'Phản ánh'!$A$6:$A$505,0)),"Phản ánh",IF(ISNUMBER(MATCH($C2742,'Kế hoạch'!$A$6:$A$305,0)),"Công việc","Mã chưa có")))</f>
      </c>
      <c r="J2742" s="221">
        <f>IF($I2742="Phản ánh",INDEX('Phản ánh'!$C$6:$C$505,MATCH($C2742,'Phản ánh'!$A$6:$A$505,0)),IF($I2742="Công việc",INDEX('Kế hoạch'!$C$6:$C$305,$O2742),""))</f>
      </c>
      <c r="K2742" s="221">
        <f>IF($I2742="Phản ánh",INDEX('Phản ánh'!$K$6:$K$505,MATCH($C2742,'Phản ánh'!$A$6:$A$505,0))&amp;"",IF($I2742="Công việc",INDEX('Kế hoạch'!$N$6:$N$305,$O2742)&amp;"",""))</f>
      </c>
      <c r="L2742" s="220">
        <f>IF(OR($C2742="",N($B2742)=0),"",IF(AND($I2742="Phản ánh",$E2742="Đã xử lý"),INDEX('Phản ánh'!$U$6:$U$505,MATCH($C2742,'Phản ánh'!$A$6:$A$505,0)),IF(AND($I2742="Công việc",OR($E2742="Hoàn thành",$E2742="Hoàn thành kỳ")),IF(INDEX('Kế hoạch'!$B$6:$B$305,$O2742)="Đột xuất",INDEX('Kế hoạch'!$AY$6:$AY$305,$O2742),IF(N($P2742)=0,"",IF(INT($B2742)&lt;$P2742,$P2742,IF($Q2742&gt;0,$P2742+ROUND((INT($B2742)-$P2742)/$Q2742,0)*$Q2742,IF($R2742&gt;0,EDATE($P2742,ROUND((DATEDIF($P2742,INT($B2742),"m")+(INT($B2742)-EDATE($P2742,DATEDIF($P2742,INT($B2742),"m")))/(EDATE($P2742,DATEDIF($P2742,INT($B2742),"m")+1)-EDATE($P2742,DATEDIF($P2742,INT($B2742),"m"))))/$R2742,0)*$R2742),$P2742))))),"")))</f>
      </c>
      <c r="M2742" s="223">
        <f>IF(OR($C2742="",N($L2742)=0,N($B2742)=0),"",IF(IF(MOD($L2742,1)=0,INT($B2742),$B2742)&lt;=$L2742,"Đúng hạn","Trễ hạn"))</f>
      </c>
      <c r="N2742" s="225">
        <f>IF($C2742="","",ROW())</f>
      </c>
      <c r="O2742" s="225">
        <f>IF($I2742="Công việc",MATCH($C2742,'Kế hoạch'!$A$6:$A$305,0),"")</f>
      </c>
      <c r="P2742" s="234">
        <f>IF($O2742="","",INDEX('Kế hoạch'!$I$6:$I$305,$O2742))</f>
      </c>
      <c r="Q2742" s="225">
        <f>IF($O2742="","",INDEX('Kế hoạch'!$AJ$6:$AJ$305,$O2742))</f>
      </c>
      <c r="R2742" s="225">
        <f>IF($O2742="","",INDEX('Kế hoạch'!$AK$6:$AK$305,$O2742))</f>
      </c>
    </row>
    <row r="2743">
      <c r="A2743" s="223">
        <f>IF($C2743="","",COUNTIF($C$6:$C2743,"?*"))</f>
      </c>
      <c r="B2743" s="217"/>
      <c r="C2743" s="216"/>
      <c r="D2743" s="240"/>
      <c r="E2743" s="218"/>
      <c r="F2743" s="218"/>
      <c r="G2743" s="218"/>
      <c r="H2743" s="219"/>
      <c r="I2743" s="223">
        <f>IF($C2743="","",IF(ISNUMBER(MATCH($C2743,'Phản ánh'!$A$6:$A$505,0)),"Phản ánh",IF(ISNUMBER(MATCH($C2743,'Kế hoạch'!$A$6:$A$305,0)),"Công việc","Mã chưa có")))</f>
      </c>
      <c r="J2743" s="221">
        <f>IF($I2743="Phản ánh",INDEX('Phản ánh'!$C$6:$C$505,MATCH($C2743,'Phản ánh'!$A$6:$A$505,0)),IF($I2743="Công việc",INDEX('Kế hoạch'!$C$6:$C$305,$O2743),""))</f>
      </c>
      <c r="K2743" s="221">
        <f>IF($I2743="Phản ánh",INDEX('Phản ánh'!$K$6:$K$505,MATCH($C2743,'Phản ánh'!$A$6:$A$505,0))&amp;"",IF($I2743="Công việc",INDEX('Kế hoạch'!$N$6:$N$305,$O2743)&amp;"",""))</f>
      </c>
      <c r="L2743" s="220">
        <f>IF(OR($C2743="",N($B2743)=0),"",IF(AND($I2743="Phản ánh",$E2743="Đã xử lý"),INDEX('Phản ánh'!$U$6:$U$505,MATCH($C2743,'Phản ánh'!$A$6:$A$505,0)),IF(AND($I2743="Công việc",OR($E2743="Hoàn thành",$E2743="Hoàn thành kỳ")),IF(INDEX('Kế hoạch'!$B$6:$B$305,$O2743)="Đột xuất",INDEX('Kế hoạch'!$AY$6:$AY$305,$O2743),IF(N($P2743)=0,"",IF(INT($B2743)&lt;$P2743,$P2743,IF($Q2743&gt;0,$P2743+ROUND((INT($B2743)-$P2743)/$Q2743,0)*$Q2743,IF($R2743&gt;0,EDATE($P2743,ROUND((DATEDIF($P2743,INT($B2743),"m")+(INT($B2743)-EDATE($P2743,DATEDIF($P2743,INT($B2743),"m")))/(EDATE($P2743,DATEDIF($P2743,INT($B2743),"m")+1)-EDATE($P2743,DATEDIF($P2743,INT($B2743),"m"))))/$R2743,0)*$R2743),$P2743))))),"")))</f>
      </c>
      <c r="M2743" s="223">
        <f>IF(OR($C2743="",N($L2743)=0,N($B2743)=0),"",IF(IF(MOD($L2743,1)=0,INT($B2743),$B2743)&lt;=$L2743,"Đúng hạn","Trễ hạn"))</f>
      </c>
      <c r="N2743" s="225">
        <f>IF($C2743="","",ROW())</f>
      </c>
      <c r="O2743" s="225">
        <f>IF($I2743="Công việc",MATCH($C2743,'Kế hoạch'!$A$6:$A$305,0),"")</f>
      </c>
      <c r="P2743" s="234">
        <f>IF($O2743="","",INDEX('Kế hoạch'!$I$6:$I$305,$O2743))</f>
      </c>
      <c r="Q2743" s="225">
        <f>IF($O2743="","",INDEX('Kế hoạch'!$AJ$6:$AJ$305,$O2743))</f>
      </c>
      <c r="R2743" s="225">
        <f>IF($O2743="","",INDEX('Kế hoạch'!$AK$6:$AK$305,$O2743))</f>
      </c>
    </row>
    <row r="2744">
      <c r="A2744" s="223">
        <f>IF($C2744="","",COUNTIF($C$6:$C2744,"?*"))</f>
      </c>
      <c r="B2744" s="217"/>
      <c r="C2744" s="216"/>
      <c r="D2744" s="240"/>
      <c r="E2744" s="218"/>
      <c r="F2744" s="218"/>
      <c r="G2744" s="218"/>
      <c r="H2744" s="219"/>
      <c r="I2744" s="223">
        <f>IF($C2744="","",IF(ISNUMBER(MATCH($C2744,'Phản ánh'!$A$6:$A$505,0)),"Phản ánh",IF(ISNUMBER(MATCH($C2744,'Kế hoạch'!$A$6:$A$305,0)),"Công việc","Mã chưa có")))</f>
      </c>
      <c r="J2744" s="221">
        <f>IF($I2744="Phản ánh",INDEX('Phản ánh'!$C$6:$C$505,MATCH($C2744,'Phản ánh'!$A$6:$A$505,0)),IF($I2744="Công việc",INDEX('Kế hoạch'!$C$6:$C$305,$O2744),""))</f>
      </c>
      <c r="K2744" s="221">
        <f>IF($I2744="Phản ánh",INDEX('Phản ánh'!$K$6:$K$505,MATCH($C2744,'Phản ánh'!$A$6:$A$505,0))&amp;"",IF($I2744="Công việc",INDEX('Kế hoạch'!$N$6:$N$305,$O2744)&amp;"",""))</f>
      </c>
      <c r="L2744" s="220">
        <f>IF(OR($C2744="",N($B2744)=0),"",IF(AND($I2744="Phản ánh",$E2744="Đã xử lý"),INDEX('Phản ánh'!$U$6:$U$505,MATCH($C2744,'Phản ánh'!$A$6:$A$505,0)),IF(AND($I2744="Công việc",OR($E2744="Hoàn thành",$E2744="Hoàn thành kỳ")),IF(INDEX('Kế hoạch'!$B$6:$B$305,$O2744)="Đột xuất",INDEX('Kế hoạch'!$AY$6:$AY$305,$O2744),IF(N($P2744)=0,"",IF(INT($B2744)&lt;$P2744,$P2744,IF($Q2744&gt;0,$P2744+ROUND((INT($B2744)-$P2744)/$Q2744,0)*$Q2744,IF($R2744&gt;0,EDATE($P2744,ROUND((DATEDIF($P2744,INT($B2744),"m")+(INT($B2744)-EDATE($P2744,DATEDIF($P2744,INT($B2744),"m")))/(EDATE($P2744,DATEDIF($P2744,INT($B2744),"m")+1)-EDATE($P2744,DATEDIF($P2744,INT($B2744),"m"))))/$R2744,0)*$R2744),$P2744))))),"")))</f>
      </c>
      <c r="M2744" s="223">
        <f>IF(OR($C2744="",N($L2744)=0,N($B2744)=0),"",IF(IF(MOD($L2744,1)=0,INT($B2744),$B2744)&lt;=$L2744,"Đúng hạn","Trễ hạn"))</f>
      </c>
      <c r="N2744" s="225">
        <f>IF($C2744="","",ROW())</f>
      </c>
      <c r="O2744" s="225">
        <f>IF($I2744="Công việc",MATCH($C2744,'Kế hoạch'!$A$6:$A$305,0),"")</f>
      </c>
      <c r="P2744" s="234">
        <f>IF($O2744="","",INDEX('Kế hoạch'!$I$6:$I$305,$O2744))</f>
      </c>
      <c r="Q2744" s="225">
        <f>IF($O2744="","",INDEX('Kế hoạch'!$AJ$6:$AJ$305,$O2744))</f>
      </c>
      <c r="R2744" s="225">
        <f>IF($O2744="","",INDEX('Kế hoạch'!$AK$6:$AK$305,$O2744))</f>
      </c>
    </row>
    <row r="2745">
      <c r="A2745" s="223">
        <f>IF($C2745="","",COUNTIF($C$6:$C2745,"?*"))</f>
      </c>
      <c r="B2745" s="217"/>
      <c r="C2745" s="216"/>
      <c r="D2745" s="240"/>
      <c r="E2745" s="218"/>
      <c r="F2745" s="218"/>
      <c r="G2745" s="218"/>
      <c r="H2745" s="219"/>
      <c r="I2745" s="223">
        <f>IF($C2745="","",IF(ISNUMBER(MATCH($C2745,'Phản ánh'!$A$6:$A$505,0)),"Phản ánh",IF(ISNUMBER(MATCH($C2745,'Kế hoạch'!$A$6:$A$305,0)),"Công việc","Mã chưa có")))</f>
      </c>
      <c r="J2745" s="221">
        <f>IF($I2745="Phản ánh",INDEX('Phản ánh'!$C$6:$C$505,MATCH($C2745,'Phản ánh'!$A$6:$A$505,0)),IF($I2745="Công việc",INDEX('Kế hoạch'!$C$6:$C$305,$O2745),""))</f>
      </c>
      <c r="K2745" s="221">
        <f>IF($I2745="Phản ánh",INDEX('Phản ánh'!$K$6:$K$505,MATCH($C2745,'Phản ánh'!$A$6:$A$505,0))&amp;"",IF($I2745="Công việc",INDEX('Kế hoạch'!$N$6:$N$305,$O2745)&amp;"",""))</f>
      </c>
      <c r="L2745" s="220">
        <f>IF(OR($C2745="",N($B2745)=0),"",IF(AND($I2745="Phản ánh",$E2745="Đã xử lý"),INDEX('Phản ánh'!$U$6:$U$505,MATCH($C2745,'Phản ánh'!$A$6:$A$505,0)),IF(AND($I2745="Công việc",OR($E2745="Hoàn thành",$E2745="Hoàn thành kỳ")),IF(INDEX('Kế hoạch'!$B$6:$B$305,$O2745)="Đột xuất",INDEX('Kế hoạch'!$AY$6:$AY$305,$O2745),IF(N($P2745)=0,"",IF(INT($B2745)&lt;$P2745,$P2745,IF($Q2745&gt;0,$P2745+ROUND((INT($B2745)-$P2745)/$Q2745,0)*$Q2745,IF($R2745&gt;0,EDATE($P2745,ROUND((DATEDIF($P2745,INT($B2745),"m")+(INT($B2745)-EDATE($P2745,DATEDIF($P2745,INT($B2745),"m")))/(EDATE($P2745,DATEDIF($P2745,INT($B2745),"m")+1)-EDATE($P2745,DATEDIF($P2745,INT($B2745),"m"))))/$R2745,0)*$R2745),$P2745))))),"")))</f>
      </c>
      <c r="M2745" s="223">
        <f>IF(OR($C2745="",N($L2745)=0,N($B2745)=0),"",IF(IF(MOD($L2745,1)=0,INT($B2745),$B2745)&lt;=$L2745,"Đúng hạn","Trễ hạn"))</f>
      </c>
      <c r="N2745" s="225">
        <f>IF($C2745="","",ROW())</f>
      </c>
      <c r="O2745" s="225">
        <f>IF($I2745="Công việc",MATCH($C2745,'Kế hoạch'!$A$6:$A$305,0),"")</f>
      </c>
      <c r="P2745" s="234">
        <f>IF($O2745="","",INDEX('Kế hoạch'!$I$6:$I$305,$O2745))</f>
      </c>
      <c r="Q2745" s="225">
        <f>IF($O2745="","",INDEX('Kế hoạch'!$AJ$6:$AJ$305,$O2745))</f>
      </c>
      <c r="R2745" s="225">
        <f>IF($O2745="","",INDEX('Kế hoạch'!$AK$6:$AK$305,$O2745))</f>
      </c>
    </row>
    <row r="2746">
      <c r="A2746" s="223">
        <f>IF($C2746="","",COUNTIF($C$6:$C2746,"?*"))</f>
      </c>
      <c r="B2746" s="217"/>
      <c r="C2746" s="216"/>
      <c r="D2746" s="240"/>
      <c r="E2746" s="218"/>
      <c r="F2746" s="218"/>
      <c r="G2746" s="218"/>
      <c r="H2746" s="219"/>
      <c r="I2746" s="223">
        <f>IF($C2746="","",IF(ISNUMBER(MATCH($C2746,'Phản ánh'!$A$6:$A$505,0)),"Phản ánh",IF(ISNUMBER(MATCH($C2746,'Kế hoạch'!$A$6:$A$305,0)),"Công việc","Mã chưa có")))</f>
      </c>
      <c r="J2746" s="221">
        <f>IF($I2746="Phản ánh",INDEX('Phản ánh'!$C$6:$C$505,MATCH($C2746,'Phản ánh'!$A$6:$A$505,0)),IF($I2746="Công việc",INDEX('Kế hoạch'!$C$6:$C$305,$O2746),""))</f>
      </c>
      <c r="K2746" s="221">
        <f>IF($I2746="Phản ánh",INDEX('Phản ánh'!$K$6:$K$505,MATCH($C2746,'Phản ánh'!$A$6:$A$505,0))&amp;"",IF($I2746="Công việc",INDEX('Kế hoạch'!$N$6:$N$305,$O2746)&amp;"",""))</f>
      </c>
      <c r="L2746" s="220">
        <f>IF(OR($C2746="",N($B2746)=0),"",IF(AND($I2746="Phản ánh",$E2746="Đã xử lý"),INDEX('Phản ánh'!$U$6:$U$505,MATCH($C2746,'Phản ánh'!$A$6:$A$505,0)),IF(AND($I2746="Công việc",OR($E2746="Hoàn thành",$E2746="Hoàn thành kỳ")),IF(INDEX('Kế hoạch'!$B$6:$B$305,$O2746)="Đột xuất",INDEX('Kế hoạch'!$AY$6:$AY$305,$O2746),IF(N($P2746)=0,"",IF(INT($B2746)&lt;$P2746,$P2746,IF($Q2746&gt;0,$P2746+ROUND((INT($B2746)-$P2746)/$Q2746,0)*$Q2746,IF($R2746&gt;0,EDATE($P2746,ROUND((DATEDIF($P2746,INT($B2746),"m")+(INT($B2746)-EDATE($P2746,DATEDIF($P2746,INT($B2746),"m")))/(EDATE($P2746,DATEDIF($P2746,INT($B2746),"m")+1)-EDATE($P2746,DATEDIF($P2746,INT($B2746),"m"))))/$R2746,0)*$R2746),$P2746))))),"")))</f>
      </c>
      <c r="M2746" s="223">
        <f>IF(OR($C2746="",N($L2746)=0,N($B2746)=0),"",IF(IF(MOD($L2746,1)=0,INT($B2746),$B2746)&lt;=$L2746,"Đúng hạn","Trễ hạn"))</f>
      </c>
      <c r="N2746" s="225">
        <f>IF($C2746="","",ROW())</f>
      </c>
      <c r="O2746" s="225">
        <f>IF($I2746="Công việc",MATCH($C2746,'Kế hoạch'!$A$6:$A$305,0),"")</f>
      </c>
      <c r="P2746" s="234">
        <f>IF($O2746="","",INDEX('Kế hoạch'!$I$6:$I$305,$O2746))</f>
      </c>
      <c r="Q2746" s="225">
        <f>IF($O2746="","",INDEX('Kế hoạch'!$AJ$6:$AJ$305,$O2746))</f>
      </c>
      <c r="R2746" s="225">
        <f>IF($O2746="","",INDEX('Kế hoạch'!$AK$6:$AK$305,$O2746))</f>
      </c>
    </row>
    <row r="2747">
      <c r="A2747" s="223">
        <f>IF($C2747="","",COUNTIF($C$6:$C2747,"?*"))</f>
      </c>
      <c r="B2747" s="217"/>
      <c r="C2747" s="216"/>
      <c r="D2747" s="240"/>
      <c r="E2747" s="218"/>
      <c r="F2747" s="218"/>
      <c r="G2747" s="218"/>
      <c r="H2747" s="219"/>
      <c r="I2747" s="223">
        <f>IF($C2747="","",IF(ISNUMBER(MATCH($C2747,'Phản ánh'!$A$6:$A$505,0)),"Phản ánh",IF(ISNUMBER(MATCH($C2747,'Kế hoạch'!$A$6:$A$305,0)),"Công việc","Mã chưa có")))</f>
      </c>
      <c r="J2747" s="221">
        <f>IF($I2747="Phản ánh",INDEX('Phản ánh'!$C$6:$C$505,MATCH($C2747,'Phản ánh'!$A$6:$A$505,0)),IF($I2747="Công việc",INDEX('Kế hoạch'!$C$6:$C$305,$O2747),""))</f>
      </c>
      <c r="K2747" s="221">
        <f>IF($I2747="Phản ánh",INDEX('Phản ánh'!$K$6:$K$505,MATCH($C2747,'Phản ánh'!$A$6:$A$505,0))&amp;"",IF($I2747="Công việc",INDEX('Kế hoạch'!$N$6:$N$305,$O2747)&amp;"",""))</f>
      </c>
      <c r="L2747" s="220">
        <f>IF(OR($C2747="",N($B2747)=0),"",IF(AND($I2747="Phản ánh",$E2747="Đã xử lý"),INDEX('Phản ánh'!$U$6:$U$505,MATCH($C2747,'Phản ánh'!$A$6:$A$505,0)),IF(AND($I2747="Công việc",OR($E2747="Hoàn thành",$E2747="Hoàn thành kỳ")),IF(INDEX('Kế hoạch'!$B$6:$B$305,$O2747)="Đột xuất",INDEX('Kế hoạch'!$AY$6:$AY$305,$O2747),IF(N($P2747)=0,"",IF(INT($B2747)&lt;$P2747,$P2747,IF($Q2747&gt;0,$P2747+ROUND((INT($B2747)-$P2747)/$Q2747,0)*$Q2747,IF($R2747&gt;0,EDATE($P2747,ROUND((DATEDIF($P2747,INT($B2747),"m")+(INT($B2747)-EDATE($P2747,DATEDIF($P2747,INT($B2747),"m")))/(EDATE($P2747,DATEDIF($P2747,INT($B2747),"m")+1)-EDATE($P2747,DATEDIF($P2747,INT($B2747),"m"))))/$R2747,0)*$R2747),$P2747))))),"")))</f>
      </c>
      <c r="M2747" s="223">
        <f>IF(OR($C2747="",N($L2747)=0,N($B2747)=0),"",IF(IF(MOD($L2747,1)=0,INT($B2747),$B2747)&lt;=$L2747,"Đúng hạn","Trễ hạn"))</f>
      </c>
      <c r="N2747" s="225">
        <f>IF($C2747="","",ROW())</f>
      </c>
      <c r="O2747" s="225">
        <f>IF($I2747="Công việc",MATCH($C2747,'Kế hoạch'!$A$6:$A$305,0),"")</f>
      </c>
      <c r="P2747" s="234">
        <f>IF($O2747="","",INDEX('Kế hoạch'!$I$6:$I$305,$O2747))</f>
      </c>
      <c r="Q2747" s="225">
        <f>IF($O2747="","",INDEX('Kế hoạch'!$AJ$6:$AJ$305,$O2747))</f>
      </c>
      <c r="R2747" s="225">
        <f>IF($O2747="","",INDEX('Kế hoạch'!$AK$6:$AK$305,$O2747))</f>
      </c>
    </row>
    <row r="2748">
      <c r="A2748" s="223">
        <f>IF($C2748="","",COUNTIF($C$6:$C2748,"?*"))</f>
      </c>
      <c r="B2748" s="217"/>
      <c r="C2748" s="216"/>
      <c r="D2748" s="240"/>
      <c r="E2748" s="218"/>
      <c r="F2748" s="218"/>
      <c r="G2748" s="218"/>
      <c r="H2748" s="219"/>
      <c r="I2748" s="223">
        <f>IF($C2748="","",IF(ISNUMBER(MATCH($C2748,'Phản ánh'!$A$6:$A$505,0)),"Phản ánh",IF(ISNUMBER(MATCH($C2748,'Kế hoạch'!$A$6:$A$305,0)),"Công việc","Mã chưa có")))</f>
      </c>
      <c r="J2748" s="221">
        <f>IF($I2748="Phản ánh",INDEX('Phản ánh'!$C$6:$C$505,MATCH($C2748,'Phản ánh'!$A$6:$A$505,0)),IF($I2748="Công việc",INDEX('Kế hoạch'!$C$6:$C$305,$O2748),""))</f>
      </c>
      <c r="K2748" s="221">
        <f>IF($I2748="Phản ánh",INDEX('Phản ánh'!$K$6:$K$505,MATCH($C2748,'Phản ánh'!$A$6:$A$505,0))&amp;"",IF($I2748="Công việc",INDEX('Kế hoạch'!$N$6:$N$305,$O2748)&amp;"",""))</f>
      </c>
      <c r="L2748" s="220">
        <f>IF(OR($C2748="",N($B2748)=0),"",IF(AND($I2748="Phản ánh",$E2748="Đã xử lý"),INDEX('Phản ánh'!$U$6:$U$505,MATCH($C2748,'Phản ánh'!$A$6:$A$505,0)),IF(AND($I2748="Công việc",OR($E2748="Hoàn thành",$E2748="Hoàn thành kỳ")),IF(INDEX('Kế hoạch'!$B$6:$B$305,$O2748)="Đột xuất",INDEX('Kế hoạch'!$AY$6:$AY$305,$O2748),IF(N($P2748)=0,"",IF(INT($B2748)&lt;$P2748,$P2748,IF($Q2748&gt;0,$P2748+ROUND((INT($B2748)-$P2748)/$Q2748,0)*$Q2748,IF($R2748&gt;0,EDATE($P2748,ROUND((DATEDIF($P2748,INT($B2748),"m")+(INT($B2748)-EDATE($P2748,DATEDIF($P2748,INT($B2748),"m")))/(EDATE($P2748,DATEDIF($P2748,INT($B2748),"m")+1)-EDATE($P2748,DATEDIF($P2748,INT($B2748),"m"))))/$R2748,0)*$R2748),$P2748))))),"")))</f>
      </c>
      <c r="M2748" s="223">
        <f>IF(OR($C2748="",N($L2748)=0,N($B2748)=0),"",IF(IF(MOD($L2748,1)=0,INT($B2748),$B2748)&lt;=$L2748,"Đúng hạn","Trễ hạn"))</f>
      </c>
      <c r="N2748" s="225">
        <f>IF($C2748="","",ROW())</f>
      </c>
      <c r="O2748" s="225">
        <f>IF($I2748="Công việc",MATCH($C2748,'Kế hoạch'!$A$6:$A$305,0),"")</f>
      </c>
      <c r="P2748" s="234">
        <f>IF($O2748="","",INDEX('Kế hoạch'!$I$6:$I$305,$O2748))</f>
      </c>
      <c r="Q2748" s="225">
        <f>IF($O2748="","",INDEX('Kế hoạch'!$AJ$6:$AJ$305,$O2748))</f>
      </c>
      <c r="R2748" s="225">
        <f>IF($O2748="","",INDEX('Kế hoạch'!$AK$6:$AK$305,$O2748))</f>
      </c>
    </row>
    <row r="2749">
      <c r="A2749" s="223">
        <f>IF($C2749="","",COUNTIF($C$6:$C2749,"?*"))</f>
      </c>
      <c r="B2749" s="217"/>
      <c r="C2749" s="216"/>
      <c r="D2749" s="240"/>
      <c r="E2749" s="218"/>
      <c r="F2749" s="218"/>
      <c r="G2749" s="218"/>
      <c r="H2749" s="219"/>
      <c r="I2749" s="223">
        <f>IF($C2749="","",IF(ISNUMBER(MATCH($C2749,'Phản ánh'!$A$6:$A$505,0)),"Phản ánh",IF(ISNUMBER(MATCH($C2749,'Kế hoạch'!$A$6:$A$305,0)),"Công việc","Mã chưa có")))</f>
      </c>
      <c r="J2749" s="221">
        <f>IF($I2749="Phản ánh",INDEX('Phản ánh'!$C$6:$C$505,MATCH($C2749,'Phản ánh'!$A$6:$A$505,0)),IF($I2749="Công việc",INDEX('Kế hoạch'!$C$6:$C$305,$O2749),""))</f>
      </c>
      <c r="K2749" s="221">
        <f>IF($I2749="Phản ánh",INDEX('Phản ánh'!$K$6:$K$505,MATCH($C2749,'Phản ánh'!$A$6:$A$505,0))&amp;"",IF($I2749="Công việc",INDEX('Kế hoạch'!$N$6:$N$305,$O2749)&amp;"",""))</f>
      </c>
      <c r="L2749" s="220">
        <f>IF(OR($C2749="",N($B2749)=0),"",IF(AND($I2749="Phản ánh",$E2749="Đã xử lý"),INDEX('Phản ánh'!$U$6:$U$505,MATCH($C2749,'Phản ánh'!$A$6:$A$505,0)),IF(AND($I2749="Công việc",OR($E2749="Hoàn thành",$E2749="Hoàn thành kỳ")),IF(INDEX('Kế hoạch'!$B$6:$B$305,$O2749)="Đột xuất",INDEX('Kế hoạch'!$AY$6:$AY$305,$O2749),IF(N($P2749)=0,"",IF(INT($B2749)&lt;$P2749,$P2749,IF($Q2749&gt;0,$P2749+ROUND((INT($B2749)-$P2749)/$Q2749,0)*$Q2749,IF($R2749&gt;0,EDATE($P2749,ROUND((DATEDIF($P2749,INT($B2749),"m")+(INT($B2749)-EDATE($P2749,DATEDIF($P2749,INT($B2749),"m")))/(EDATE($P2749,DATEDIF($P2749,INT($B2749),"m")+1)-EDATE($P2749,DATEDIF($P2749,INT($B2749),"m"))))/$R2749,0)*$R2749),$P2749))))),"")))</f>
      </c>
      <c r="M2749" s="223">
        <f>IF(OR($C2749="",N($L2749)=0,N($B2749)=0),"",IF(IF(MOD($L2749,1)=0,INT($B2749),$B2749)&lt;=$L2749,"Đúng hạn","Trễ hạn"))</f>
      </c>
      <c r="N2749" s="225">
        <f>IF($C2749="","",ROW())</f>
      </c>
      <c r="O2749" s="225">
        <f>IF($I2749="Công việc",MATCH($C2749,'Kế hoạch'!$A$6:$A$305,0),"")</f>
      </c>
      <c r="P2749" s="234">
        <f>IF($O2749="","",INDEX('Kế hoạch'!$I$6:$I$305,$O2749))</f>
      </c>
      <c r="Q2749" s="225">
        <f>IF($O2749="","",INDEX('Kế hoạch'!$AJ$6:$AJ$305,$O2749))</f>
      </c>
      <c r="R2749" s="225">
        <f>IF($O2749="","",INDEX('Kế hoạch'!$AK$6:$AK$305,$O2749))</f>
      </c>
    </row>
    <row r="2750">
      <c r="A2750" s="223">
        <f>IF($C2750="","",COUNTIF($C$6:$C2750,"?*"))</f>
      </c>
      <c r="B2750" s="217"/>
      <c r="C2750" s="216"/>
      <c r="D2750" s="240"/>
      <c r="E2750" s="218"/>
      <c r="F2750" s="218"/>
      <c r="G2750" s="218"/>
      <c r="H2750" s="219"/>
      <c r="I2750" s="223">
        <f>IF($C2750="","",IF(ISNUMBER(MATCH($C2750,'Phản ánh'!$A$6:$A$505,0)),"Phản ánh",IF(ISNUMBER(MATCH($C2750,'Kế hoạch'!$A$6:$A$305,0)),"Công việc","Mã chưa có")))</f>
      </c>
      <c r="J2750" s="221">
        <f>IF($I2750="Phản ánh",INDEX('Phản ánh'!$C$6:$C$505,MATCH($C2750,'Phản ánh'!$A$6:$A$505,0)),IF($I2750="Công việc",INDEX('Kế hoạch'!$C$6:$C$305,$O2750),""))</f>
      </c>
      <c r="K2750" s="221">
        <f>IF($I2750="Phản ánh",INDEX('Phản ánh'!$K$6:$K$505,MATCH($C2750,'Phản ánh'!$A$6:$A$505,0))&amp;"",IF($I2750="Công việc",INDEX('Kế hoạch'!$N$6:$N$305,$O2750)&amp;"",""))</f>
      </c>
      <c r="L2750" s="220">
        <f>IF(OR($C2750="",N($B2750)=0),"",IF(AND($I2750="Phản ánh",$E2750="Đã xử lý"),INDEX('Phản ánh'!$U$6:$U$505,MATCH($C2750,'Phản ánh'!$A$6:$A$505,0)),IF(AND($I2750="Công việc",OR($E2750="Hoàn thành",$E2750="Hoàn thành kỳ")),IF(INDEX('Kế hoạch'!$B$6:$B$305,$O2750)="Đột xuất",INDEX('Kế hoạch'!$AY$6:$AY$305,$O2750),IF(N($P2750)=0,"",IF(INT($B2750)&lt;$P2750,$P2750,IF($Q2750&gt;0,$P2750+ROUND((INT($B2750)-$P2750)/$Q2750,0)*$Q2750,IF($R2750&gt;0,EDATE($P2750,ROUND((DATEDIF($P2750,INT($B2750),"m")+(INT($B2750)-EDATE($P2750,DATEDIF($P2750,INT($B2750),"m")))/(EDATE($P2750,DATEDIF($P2750,INT($B2750),"m")+1)-EDATE($P2750,DATEDIF($P2750,INT($B2750),"m"))))/$R2750,0)*$R2750),$P2750))))),"")))</f>
      </c>
      <c r="M2750" s="223">
        <f>IF(OR($C2750="",N($L2750)=0,N($B2750)=0),"",IF(IF(MOD($L2750,1)=0,INT($B2750),$B2750)&lt;=$L2750,"Đúng hạn","Trễ hạn"))</f>
      </c>
      <c r="N2750" s="225">
        <f>IF($C2750="","",ROW())</f>
      </c>
      <c r="O2750" s="225">
        <f>IF($I2750="Công việc",MATCH($C2750,'Kế hoạch'!$A$6:$A$305,0),"")</f>
      </c>
      <c r="P2750" s="234">
        <f>IF($O2750="","",INDEX('Kế hoạch'!$I$6:$I$305,$O2750))</f>
      </c>
      <c r="Q2750" s="225">
        <f>IF($O2750="","",INDEX('Kế hoạch'!$AJ$6:$AJ$305,$O2750))</f>
      </c>
      <c r="R2750" s="225">
        <f>IF($O2750="","",INDEX('Kế hoạch'!$AK$6:$AK$305,$O2750))</f>
      </c>
    </row>
    <row r="2751">
      <c r="A2751" s="223">
        <f>IF($C2751="","",COUNTIF($C$6:$C2751,"?*"))</f>
      </c>
      <c r="B2751" s="217"/>
      <c r="C2751" s="216"/>
      <c r="D2751" s="240"/>
      <c r="E2751" s="218"/>
      <c r="F2751" s="218"/>
      <c r="G2751" s="218"/>
      <c r="H2751" s="219"/>
      <c r="I2751" s="223">
        <f>IF($C2751="","",IF(ISNUMBER(MATCH($C2751,'Phản ánh'!$A$6:$A$505,0)),"Phản ánh",IF(ISNUMBER(MATCH($C2751,'Kế hoạch'!$A$6:$A$305,0)),"Công việc","Mã chưa có")))</f>
      </c>
      <c r="J2751" s="221">
        <f>IF($I2751="Phản ánh",INDEX('Phản ánh'!$C$6:$C$505,MATCH($C2751,'Phản ánh'!$A$6:$A$505,0)),IF($I2751="Công việc",INDEX('Kế hoạch'!$C$6:$C$305,$O2751),""))</f>
      </c>
      <c r="K2751" s="221">
        <f>IF($I2751="Phản ánh",INDEX('Phản ánh'!$K$6:$K$505,MATCH($C2751,'Phản ánh'!$A$6:$A$505,0))&amp;"",IF($I2751="Công việc",INDEX('Kế hoạch'!$N$6:$N$305,$O2751)&amp;"",""))</f>
      </c>
      <c r="L2751" s="220">
        <f>IF(OR($C2751="",N($B2751)=0),"",IF(AND($I2751="Phản ánh",$E2751="Đã xử lý"),INDEX('Phản ánh'!$U$6:$U$505,MATCH($C2751,'Phản ánh'!$A$6:$A$505,0)),IF(AND($I2751="Công việc",OR($E2751="Hoàn thành",$E2751="Hoàn thành kỳ")),IF(INDEX('Kế hoạch'!$B$6:$B$305,$O2751)="Đột xuất",INDEX('Kế hoạch'!$AY$6:$AY$305,$O2751),IF(N($P2751)=0,"",IF(INT($B2751)&lt;$P2751,$P2751,IF($Q2751&gt;0,$P2751+ROUND((INT($B2751)-$P2751)/$Q2751,0)*$Q2751,IF($R2751&gt;0,EDATE($P2751,ROUND((DATEDIF($P2751,INT($B2751),"m")+(INT($B2751)-EDATE($P2751,DATEDIF($P2751,INT($B2751),"m")))/(EDATE($P2751,DATEDIF($P2751,INT($B2751),"m")+1)-EDATE($P2751,DATEDIF($P2751,INT($B2751),"m"))))/$R2751,0)*$R2751),$P2751))))),"")))</f>
      </c>
      <c r="M2751" s="223">
        <f>IF(OR($C2751="",N($L2751)=0,N($B2751)=0),"",IF(IF(MOD($L2751,1)=0,INT($B2751),$B2751)&lt;=$L2751,"Đúng hạn","Trễ hạn"))</f>
      </c>
      <c r="N2751" s="225">
        <f>IF($C2751="","",ROW())</f>
      </c>
      <c r="O2751" s="225">
        <f>IF($I2751="Công việc",MATCH($C2751,'Kế hoạch'!$A$6:$A$305,0),"")</f>
      </c>
      <c r="P2751" s="234">
        <f>IF($O2751="","",INDEX('Kế hoạch'!$I$6:$I$305,$O2751))</f>
      </c>
      <c r="Q2751" s="225">
        <f>IF($O2751="","",INDEX('Kế hoạch'!$AJ$6:$AJ$305,$O2751))</f>
      </c>
      <c r="R2751" s="225">
        <f>IF($O2751="","",INDEX('Kế hoạch'!$AK$6:$AK$305,$O2751))</f>
      </c>
    </row>
    <row r="2752">
      <c r="A2752" s="223">
        <f>IF($C2752="","",COUNTIF($C$6:$C2752,"?*"))</f>
      </c>
      <c r="B2752" s="217"/>
      <c r="C2752" s="216"/>
      <c r="D2752" s="240"/>
      <c r="E2752" s="218"/>
      <c r="F2752" s="218"/>
      <c r="G2752" s="218"/>
      <c r="H2752" s="219"/>
      <c r="I2752" s="223">
        <f>IF($C2752="","",IF(ISNUMBER(MATCH($C2752,'Phản ánh'!$A$6:$A$505,0)),"Phản ánh",IF(ISNUMBER(MATCH($C2752,'Kế hoạch'!$A$6:$A$305,0)),"Công việc","Mã chưa có")))</f>
      </c>
      <c r="J2752" s="221">
        <f>IF($I2752="Phản ánh",INDEX('Phản ánh'!$C$6:$C$505,MATCH($C2752,'Phản ánh'!$A$6:$A$505,0)),IF($I2752="Công việc",INDEX('Kế hoạch'!$C$6:$C$305,$O2752),""))</f>
      </c>
      <c r="K2752" s="221">
        <f>IF($I2752="Phản ánh",INDEX('Phản ánh'!$K$6:$K$505,MATCH($C2752,'Phản ánh'!$A$6:$A$505,0))&amp;"",IF($I2752="Công việc",INDEX('Kế hoạch'!$N$6:$N$305,$O2752)&amp;"",""))</f>
      </c>
      <c r="L2752" s="220">
        <f>IF(OR($C2752="",N($B2752)=0),"",IF(AND($I2752="Phản ánh",$E2752="Đã xử lý"),INDEX('Phản ánh'!$U$6:$U$505,MATCH($C2752,'Phản ánh'!$A$6:$A$505,0)),IF(AND($I2752="Công việc",OR($E2752="Hoàn thành",$E2752="Hoàn thành kỳ")),IF(INDEX('Kế hoạch'!$B$6:$B$305,$O2752)="Đột xuất",INDEX('Kế hoạch'!$AY$6:$AY$305,$O2752),IF(N($P2752)=0,"",IF(INT($B2752)&lt;$P2752,$P2752,IF($Q2752&gt;0,$P2752+ROUND((INT($B2752)-$P2752)/$Q2752,0)*$Q2752,IF($R2752&gt;0,EDATE($P2752,ROUND((DATEDIF($P2752,INT($B2752),"m")+(INT($B2752)-EDATE($P2752,DATEDIF($P2752,INT($B2752),"m")))/(EDATE($P2752,DATEDIF($P2752,INT($B2752),"m")+1)-EDATE($P2752,DATEDIF($P2752,INT($B2752),"m"))))/$R2752,0)*$R2752),$P2752))))),"")))</f>
      </c>
      <c r="M2752" s="223">
        <f>IF(OR($C2752="",N($L2752)=0,N($B2752)=0),"",IF(IF(MOD($L2752,1)=0,INT($B2752),$B2752)&lt;=$L2752,"Đúng hạn","Trễ hạn"))</f>
      </c>
      <c r="N2752" s="225">
        <f>IF($C2752="","",ROW())</f>
      </c>
      <c r="O2752" s="225">
        <f>IF($I2752="Công việc",MATCH($C2752,'Kế hoạch'!$A$6:$A$305,0),"")</f>
      </c>
      <c r="P2752" s="234">
        <f>IF($O2752="","",INDEX('Kế hoạch'!$I$6:$I$305,$O2752))</f>
      </c>
      <c r="Q2752" s="225">
        <f>IF($O2752="","",INDEX('Kế hoạch'!$AJ$6:$AJ$305,$O2752))</f>
      </c>
      <c r="R2752" s="225">
        <f>IF($O2752="","",INDEX('Kế hoạch'!$AK$6:$AK$305,$O2752))</f>
      </c>
    </row>
    <row r="2753">
      <c r="A2753" s="223">
        <f>IF($C2753="","",COUNTIF($C$6:$C2753,"?*"))</f>
      </c>
      <c r="B2753" s="217"/>
      <c r="C2753" s="216"/>
      <c r="D2753" s="240"/>
      <c r="E2753" s="218"/>
      <c r="F2753" s="218"/>
      <c r="G2753" s="218"/>
      <c r="H2753" s="219"/>
      <c r="I2753" s="223">
        <f>IF($C2753="","",IF(ISNUMBER(MATCH($C2753,'Phản ánh'!$A$6:$A$505,0)),"Phản ánh",IF(ISNUMBER(MATCH($C2753,'Kế hoạch'!$A$6:$A$305,0)),"Công việc","Mã chưa có")))</f>
      </c>
      <c r="J2753" s="221">
        <f>IF($I2753="Phản ánh",INDEX('Phản ánh'!$C$6:$C$505,MATCH($C2753,'Phản ánh'!$A$6:$A$505,0)),IF($I2753="Công việc",INDEX('Kế hoạch'!$C$6:$C$305,$O2753),""))</f>
      </c>
      <c r="K2753" s="221">
        <f>IF($I2753="Phản ánh",INDEX('Phản ánh'!$K$6:$K$505,MATCH($C2753,'Phản ánh'!$A$6:$A$505,0))&amp;"",IF($I2753="Công việc",INDEX('Kế hoạch'!$N$6:$N$305,$O2753)&amp;"",""))</f>
      </c>
      <c r="L2753" s="220">
        <f>IF(OR($C2753="",N($B2753)=0),"",IF(AND($I2753="Phản ánh",$E2753="Đã xử lý"),INDEX('Phản ánh'!$U$6:$U$505,MATCH($C2753,'Phản ánh'!$A$6:$A$505,0)),IF(AND($I2753="Công việc",OR($E2753="Hoàn thành",$E2753="Hoàn thành kỳ")),IF(INDEX('Kế hoạch'!$B$6:$B$305,$O2753)="Đột xuất",INDEX('Kế hoạch'!$AY$6:$AY$305,$O2753),IF(N($P2753)=0,"",IF(INT($B2753)&lt;$P2753,$P2753,IF($Q2753&gt;0,$P2753+ROUND((INT($B2753)-$P2753)/$Q2753,0)*$Q2753,IF($R2753&gt;0,EDATE($P2753,ROUND((DATEDIF($P2753,INT($B2753),"m")+(INT($B2753)-EDATE($P2753,DATEDIF($P2753,INT($B2753),"m")))/(EDATE($P2753,DATEDIF($P2753,INT($B2753),"m")+1)-EDATE($P2753,DATEDIF($P2753,INT($B2753),"m"))))/$R2753,0)*$R2753),$P2753))))),"")))</f>
      </c>
      <c r="M2753" s="223">
        <f>IF(OR($C2753="",N($L2753)=0,N($B2753)=0),"",IF(IF(MOD($L2753,1)=0,INT($B2753),$B2753)&lt;=$L2753,"Đúng hạn","Trễ hạn"))</f>
      </c>
      <c r="N2753" s="225">
        <f>IF($C2753="","",ROW())</f>
      </c>
      <c r="O2753" s="225">
        <f>IF($I2753="Công việc",MATCH($C2753,'Kế hoạch'!$A$6:$A$305,0),"")</f>
      </c>
      <c r="P2753" s="234">
        <f>IF($O2753="","",INDEX('Kế hoạch'!$I$6:$I$305,$O2753))</f>
      </c>
      <c r="Q2753" s="225">
        <f>IF($O2753="","",INDEX('Kế hoạch'!$AJ$6:$AJ$305,$O2753))</f>
      </c>
      <c r="R2753" s="225">
        <f>IF($O2753="","",INDEX('Kế hoạch'!$AK$6:$AK$305,$O2753))</f>
      </c>
    </row>
    <row r="2754">
      <c r="A2754" s="223">
        <f>IF($C2754="","",COUNTIF($C$6:$C2754,"?*"))</f>
      </c>
      <c r="B2754" s="217"/>
      <c r="C2754" s="216"/>
      <c r="D2754" s="240"/>
      <c r="E2754" s="218"/>
      <c r="F2754" s="218"/>
      <c r="G2754" s="218"/>
      <c r="H2754" s="219"/>
      <c r="I2754" s="223">
        <f>IF($C2754="","",IF(ISNUMBER(MATCH($C2754,'Phản ánh'!$A$6:$A$505,0)),"Phản ánh",IF(ISNUMBER(MATCH($C2754,'Kế hoạch'!$A$6:$A$305,0)),"Công việc","Mã chưa có")))</f>
      </c>
      <c r="J2754" s="221">
        <f>IF($I2754="Phản ánh",INDEX('Phản ánh'!$C$6:$C$505,MATCH($C2754,'Phản ánh'!$A$6:$A$505,0)),IF($I2754="Công việc",INDEX('Kế hoạch'!$C$6:$C$305,$O2754),""))</f>
      </c>
      <c r="K2754" s="221">
        <f>IF($I2754="Phản ánh",INDEX('Phản ánh'!$K$6:$K$505,MATCH($C2754,'Phản ánh'!$A$6:$A$505,0))&amp;"",IF($I2754="Công việc",INDEX('Kế hoạch'!$N$6:$N$305,$O2754)&amp;"",""))</f>
      </c>
      <c r="L2754" s="220">
        <f>IF(OR($C2754="",N($B2754)=0),"",IF(AND($I2754="Phản ánh",$E2754="Đã xử lý"),INDEX('Phản ánh'!$U$6:$U$505,MATCH($C2754,'Phản ánh'!$A$6:$A$505,0)),IF(AND($I2754="Công việc",OR($E2754="Hoàn thành",$E2754="Hoàn thành kỳ")),IF(INDEX('Kế hoạch'!$B$6:$B$305,$O2754)="Đột xuất",INDEX('Kế hoạch'!$AY$6:$AY$305,$O2754),IF(N($P2754)=0,"",IF(INT($B2754)&lt;$P2754,$P2754,IF($Q2754&gt;0,$P2754+ROUND((INT($B2754)-$P2754)/$Q2754,0)*$Q2754,IF($R2754&gt;0,EDATE($P2754,ROUND((DATEDIF($P2754,INT($B2754),"m")+(INT($B2754)-EDATE($P2754,DATEDIF($P2754,INT($B2754),"m")))/(EDATE($P2754,DATEDIF($P2754,INT($B2754),"m")+1)-EDATE($P2754,DATEDIF($P2754,INT($B2754),"m"))))/$R2754,0)*$R2754),$P2754))))),"")))</f>
      </c>
      <c r="M2754" s="223">
        <f>IF(OR($C2754="",N($L2754)=0,N($B2754)=0),"",IF(IF(MOD($L2754,1)=0,INT($B2754),$B2754)&lt;=$L2754,"Đúng hạn","Trễ hạn"))</f>
      </c>
      <c r="N2754" s="225">
        <f>IF($C2754="","",ROW())</f>
      </c>
      <c r="O2754" s="225">
        <f>IF($I2754="Công việc",MATCH($C2754,'Kế hoạch'!$A$6:$A$305,0),"")</f>
      </c>
      <c r="P2754" s="234">
        <f>IF($O2754="","",INDEX('Kế hoạch'!$I$6:$I$305,$O2754))</f>
      </c>
      <c r="Q2754" s="225">
        <f>IF($O2754="","",INDEX('Kế hoạch'!$AJ$6:$AJ$305,$O2754))</f>
      </c>
      <c r="R2754" s="225">
        <f>IF($O2754="","",INDEX('Kế hoạch'!$AK$6:$AK$305,$O2754))</f>
      </c>
    </row>
    <row r="2755">
      <c r="A2755" s="223">
        <f>IF($C2755="","",COUNTIF($C$6:$C2755,"?*"))</f>
      </c>
      <c r="B2755" s="217"/>
      <c r="C2755" s="216"/>
      <c r="D2755" s="240"/>
      <c r="E2755" s="218"/>
      <c r="F2755" s="218"/>
      <c r="G2755" s="218"/>
      <c r="H2755" s="219"/>
      <c r="I2755" s="223">
        <f>IF($C2755="","",IF(ISNUMBER(MATCH($C2755,'Phản ánh'!$A$6:$A$505,0)),"Phản ánh",IF(ISNUMBER(MATCH($C2755,'Kế hoạch'!$A$6:$A$305,0)),"Công việc","Mã chưa có")))</f>
      </c>
      <c r="J2755" s="221">
        <f>IF($I2755="Phản ánh",INDEX('Phản ánh'!$C$6:$C$505,MATCH($C2755,'Phản ánh'!$A$6:$A$505,0)),IF($I2755="Công việc",INDEX('Kế hoạch'!$C$6:$C$305,$O2755),""))</f>
      </c>
      <c r="K2755" s="221">
        <f>IF($I2755="Phản ánh",INDEX('Phản ánh'!$K$6:$K$505,MATCH($C2755,'Phản ánh'!$A$6:$A$505,0))&amp;"",IF($I2755="Công việc",INDEX('Kế hoạch'!$N$6:$N$305,$O2755)&amp;"",""))</f>
      </c>
      <c r="L2755" s="220">
        <f>IF(OR($C2755="",N($B2755)=0),"",IF(AND($I2755="Phản ánh",$E2755="Đã xử lý"),INDEX('Phản ánh'!$U$6:$U$505,MATCH($C2755,'Phản ánh'!$A$6:$A$505,0)),IF(AND($I2755="Công việc",OR($E2755="Hoàn thành",$E2755="Hoàn thành kỳ")),IF(INDEX('Kế hoạch'!$B$6:$B$305,$O2755)="Đột xuất",INDEX('Kế hoạch'!$AY$6:$AY$305,$O2755),IF(N($P2755)=0,"",IF(INT($B2755)&lt;$P2755,$P2755,IF($Q2755&gt;0,$P2755+ROUND((INT($B2755)-$P2755)/$Q2755,0)*$Q2755,IF($R2755&gt;0,EDATE($P2755,ROUND((DATEDIF($P2755,INT($B2755),"m")+(INT($B2755)-EDATE($P2755,DATEDIF($P2755,INT($B2755),"m")))/(EDATE($P2755,DATEDIF($P2755,INT($B2755),"m")+1)-EDATE($P2755,DATEDIF($P2755,INT($B2755),"m"))))/$R2755,0)*$R2755),$P2755))))),"")))</f>
      </c>
      <c r="M2755" s="223">
        <f>IF(OR($C2755="",N($L2755)=0,N($B2755)=0),"",IF(IF(MOD($L2755,1)=0,INT($B2755),$B2755)&lt;=$L2755,"Đúng hạn","Trễ hạn"))</f>
      </c>
      <c r="N2755" s="225">
        <f>IF($C2755="","",ROW())</f>
      </c>
      <c r="O2755" s="225">
        <f>IF($I2755="Công việc",MATCH($C2755,'Kế hoạch'!$A$6:$A$305,0),"")</f>
      </c>
      <c r="P2755" s="234">
        <f>IF($O2755="","",INDEX('Kế hoạch'!$I$6:$I$305,$O2755))</f>
      </c>
      <c r="Q2755" s="225">
        <f>IF($O2755="","",INDEX('Kế hoạch'!$AJ$6:$AJ$305,$O2755))</f>
      </c>
      <c r="R2755" s="225">
        <f>IF($O2755="","",INDEX('Kế hoạch'!$AK$6:$AK$305,$O2755))</f>
      </c>
    </row>
    <row r="2756">
      <c r="A2756" s="223">
        <f>IF($C2756="","",COUNTIF($C$6:$C2756,"?*"))</f>
      </c>
      <c r="B2756" s="217"/>
      <c r="C2756" s="216"/>
      <c r="D2756" s="240"/>
      <c r="E2756" s="218"/>
      <c r="F2756" s="218"/>
      <c r="G2756" s="218"/>
      <c r="H2756" s="219"/>
      <c r="I2756" s="223">
        <f>IF($C2756="","",IF(ISNUMBER(MATCH($C2756,'Phản ánh'!$A$6:$A$505,0)),"Phản ánh",IF(ISNUMBER(MATCH($C2756,'Kế hoạch'!$A$6:$A$305,0)),"Công việc","Mã chưa có")))</f>
      </c>
      <c r="J2756" s="221">
        <f>IF($I2756="Phản ánh",INDEX('Phản ánh'!$C$6:$C$505,MATCH($C2756,'Phản ánh'!$A$6:$A$505,0)),IF($I2756="Công việc",INDEX('Kế hoạch'!$C$6:$C$305,$O2756),""))</f>
      </c>
      <c r="K2756" s="221">
        <f>IF($I2756="Phản ánh",INDEX('Phản ánh'!$K$6:$K$505,MATCH($C2756,'Phản ánh'!$A$6:$A$505,0))&amp;"",IF($I2756="Công việc",INDEX('Kế hoạch'!$N$6:$N$305,$O2756)&amp;"",""))</f>
      </c>
      <c r="L2756" s="220">
        <f>IF(OR($C2756="",N($B2756)=0),"",IF(AND($I2756="Phản ánh",$E2756="Đã xử lý"),INDEX('Phản ánh'!$U$6:$U$505,MATCH($C2756,'Phản ánh'!$A$6:$A$505,0)),IF(AND($I2756="Công việc",OR($E2756="Hoàn thành",$E2756="Hoàn thành kỳ")),IF(INDEX('Kế hoạch'!$B$6:$B$305,$O2756)="Đột xuất",INDEX('Kế hoạch'!$AY$6:$AY$305,$O2756),IF(N($P2756)=0,"",IF(INT($B2756)&lt;$P2756,$P2756,IF($Q2756&gt;0,$P2756+ROUND((INT($B2756)-$P2756)/$Q2756,0)*$Q2756,IF($R2756&gt;0,EDATE($P2756,ROUND((DATEDIF($P2756,INT($B2756),"m")+(INT($B2756)-EDATE($P2756,DATEDIF($P2756,INT($B2756),"m")))/(EDATE($P2756,DATEDIF($P2756,INT($B2756),"m")+1)-EDATE($P2756,DATEDIF($P2756,INT($B2756),"m"))))/$R2756,0)*$R2756),$P2756))))),"")))</f>
      </c>
      <c r="M2756" s="223">
        <f>IF(OR($C2756="",N($L2756)=0,N($B2756)=0),"",IF(IF(MOD($L2756,1)=0,INT($B2756),$B2756)&lt;=$L2756,"Đúng hạn","Trễ hạn"))</f>
      </c>
      <c r="N2756" s="225">
        <f>IF($C2756="","",ROW())</f>
      </c>
      <c r="O2756" s="225">
        <f>IF($I2756="Công việc",MATCH($C2756,'Kế hoạch'!$A$6:$A$305,0),"")</f>
      </c>
      <c r="P2756" s="234">
        <f>IF($O2756="","",INDEX('Kế hoạch'!$I$6:$I$305,$O2756))</f>
      </c>
      <c r="Q2756" s="225">
        <f>IF($O2756="","",INDEX('Kế hoạch'!$AJ$6:$AJ$305,$O2756))</f>
      </c>
      <c r="R2756" s="225">
        <f>IF($O2756="","",INDEX('Kế hoạch'!$AK$6:$AK$305,$O2756))</f>
      </c>
    </row>
    <row r="2757">
      <c r="A2757" s="223">
        <f>IF($C2757="","",COUNTIF($C$6:$C2757,"?*"))</f>
      </c>
      <c r="B2757" s="217"/>
      <c r="C2757" s="216"/>
      <c r="D2757" s="240"/>
      <c r="E2757" s="218"/>
      <c r="F2757" s="218"/>
      <c r="G2757" s="218"/>
      <c r="H2757" s="219"/>
      <c r="I2757" s="223">
        <f>IF($C2757="","",IF(ISNUMBER(MATCH($C2757,'Phản ánh'!$A$6:$A$505,0)),"Phản ánh",IF(ISNUMBER(MATCH($C2757,'Kế hoạch'!$A$6:$A$305,0)),"Công việc","Mã chưa có")))</f>
      </c>
      <c r="J2757" s="221">
        <f>IF($I2757="Phản ánh",INDEX('Phản ánh'!$C$6:$C$505,MATCH($C2757,'Phản ánh'!$A$6:$A$505,0)),IF($I2757="Công việc",INDEX('Kế hoạch'!$C$6:$C$305,$O2757),""))</f>
      </c>
      <c r="K2757" s="221">
        <f>IF($I2757="Phản ánh",INDEX('Phản ánh'!$K$6:$K$505,MATCH($C2757,'Phản ánh'!$A$6:$A$505,0))&amp;"",IF($I2757="Công việc",INDEX('Kế hoạch'!$N$6:$N$305,$O2757)&amp;"",""))</f>
      </c>
      <c r="L2757" s="220">
        <f>IF(OR($C2757="",N($B2757)=0),"",IF(AND($I2757="Phản ánh",$E2757="Đã xử lý"),INDEX('Phản ánh'!$U$6:$U$505,MATCH($C2757,'Phản ánh'!$A$6:$A$505,0)),IF(AND($I2757="Công việc",OR($E2757="Hoàn thành",$E2757="Hoàn thành kỳ")),IF(INDEX('Kế hoạch'!$B$6:$B$305,$O2757)="Đột xuất",INDEX('Kế hoạch'!$AY$6:$AY$305,$O2757),IF(N($P2757)=0,"",IF(INT($B2757)&lt;$P2757,$P2757,IF($Q2757&gt;0,$P2757+ROUND((INT($B2757)-$P2757)/$Q2757,0)*$Q2757,IF($R2757&gt;0,EDATE($P2757,ROUND((DATEDIF($P2757,INT($B2757),"m")+(INT($B2757)-EDATE($P2757,DATEDIF($P2757,INT($B2757),"m")))/(EDATE($P2757,DATEDIF($P2757,INT($B2757),"m")+1)-EDATE($P2757,DATEDIF($P2757,INT($B2757),"m"))))/$R2757,0)*$R2757),$P2757))))),"")))</f>
      </c>
      <c r="M2757" s="223">
        <f>IF(OR($C2757="",N($L2757)=0,N($B2757)=0),"",IF(IF(MOD($L2757,1)=0,INT($B2757),$B2757)&lt;=$L2757,"Đúng hạn","Trễ hạn"))</f>
      </c>
      <c r="N2757" s="225">
        <f>IF($C2757="","",ROW())</f>
      </c>
      <c r="O2757" s="225">
        <f>IF($I2757="Công việc",MATCH($C2757,'Kế hoạch'!$A$6:$A$305,0),"")</f>
      </c>
      <c r="P2757" s="234">
        <f>IF($O2757="","",INDEX('Kế hoạch'!$I$6:$I$305,$O2757))</f>
      </c>
      <c r="Q2757" s="225">
        <f>IF($O2757="","",INDEX('Kế hoạch'!$AJ$6:$AJ$305,$O2757))</f>
      </c>
      <c r="R2757" s="225">
        <f>IF($O2757="","",INDEX('Kế hoạch'!$AK$6:$AK$305,$O2757))</f>
      </c>
    </row>
    <row r="2758">
      <c r="A2758" s="223">
        <f>IF($C2758="","",COUNTIF($C$6:$C2758,"?*"))</f>
      </c>
      <c r="B2758" s="217"/>
      <c r="C2758" s="216"/>
      <c r="D2758" s="240"/>
      <c r="E2758" s="218"/>
      <c r="F2758" s="218"/>
      <c r="G2758" s="218"/>
      <c r="H2758" s="219"/>
      <c r="I2758" s="223">
        <f>IF($C2758="","",IF(ISNUMBER(MATCH($C2758,'Phản ánh'!$A$6:$A$505,0)),"Phản ánh",IF(ISNUMBER(MATCH($C2758,'Kế hoạch'!$A$6:$A$305,0)),"Công việc","Mã chưa có")))</f>
      </c>
      <c r="J2758" s="221">
        <f>IF($I2758="Phản ánh",INDEX('Phản ánh'!$C$6:$C$505,MATCH($C2758,'Phản ánh'!$A$6:$A$505,0)),IF($I2758="Công việc",INDEX('Kế hoạch'!$C$6:$C$305,$O2758),""))</f>
      </c>
      <c r="K2758" s="221">
        <f>IF($I2758="Phản ánh",INDEX('Phản ánh'!$K$6:$K$505,MATCH($C2758,'Phản ánh'!$A$6:$A$505,0))&amp;"",IF($I2758="Công việc",INDEX('Kế hoạch'!$N$6:$N$305,$O2758)&amp;"",""))</f>
      </c>
      <c r="L2758" s="220">
        <f>IF(OR($C2758="",N($B2758)=0),"",IF(AND($I2758="Phản ánh",$E2758="Đã xử lý"),INDEX('Phản ánh'!$U$6:$U$505,MATCH($C2758,'Phản ánh'!$A$6:$A$505,0)),IF(AND($I2758="Công việc",OR($E2758="Hoàn thành",$E2758="Hoàn thành kỳ")),IF(INDEX('Kế hoạch'!$B$6:$B$305,$O2758)="Đột xuất",INDEX('Kế hoạch'!$AY$6:$AY$305,$O2758),IF(N($P2758)=0,"",IF(INT($B2758)&lt;$P2758,$P2758,IF($Q2758&gt;0,$P2758+ROUND((INT($B2758)-$P2758)/$Q2758,0)*$Q2758,IF($R2758&gt;0,EDATE($P2758,ROUND((DATEDIF($P2758,INT($B2758),"m")+(INT($B2758)-EDATE($P2758,DATEDIF($P2758,INT($B2758),"m")))/(EDATE($P2758,DATEDIF($P2758,INT($B2758),"m")+1)-EDATE($P2758,DATEDIF($P2758,INT($B2758),"m"))))/$R2758,0)*$R2758),$P2758))))),"")))</f>
      </c>
      <c r="M2758" s="223">
        <f>IF(OR($C2758="",N($L2758)=0,N($B2758)=0),"",IF(IF(MOD($L2758,1)=0,INT($B2758),$B2758)&lt;=$L2758,"Đúng hạn","Trễ hạn"))</f>
      </c>
      <c r="N2758" s="225">
        <f>IF($C2758="","",ROW())</f>
      </c>
      <c r="O2758" s="225">
        <f>IF($I2758="Công việc",MATCH($C2758,'Kế hoạch'!$A$6:$A$305,0),"")</f>
      </c>
      <c r="P2758" s="234">
        <f>IF($O2758="","",INDEX('Kế hoạch'!$I$6:$I$305,$O2758))</f>
      </c>
      <c r="Q2758" s="225">
        <f>IF($O2758="","",INDEX('Kế hoạch'!$AJ$6:$AJ$305,$O2758))</f>
      </c>
      <c r="R2758" s="225">
        <f>IF($O2758="","",INDEX('Kế hoạch'!$AK$6:$AK$305,$O2758))</f>
      </c>
    </row>
    <row r="2759">
      <c r="A2759" s="223">
        <f>IF($C2759="","",COUNTIF($C$6:$C2759,"?*"))</f>
      </c>
      <c r="B2759" s="217"/>
      <c r="C2759" s="216"/>
      <c r="D2759" s="240"/>
      <c r="E2759" s="218"/>
      <c r="F2759" s="218"/>
      <c r="G2759" s="218"/>
      <c r="H2759" s="219"/>
      <c r="I2759" s="223">
        <f>IF($C2759="","",IF(ISNUMBER(MATCH($C2759,'Phản ánh'!$A$6:$A$505,0)),"Phản ánh",IF(ISNUMBER(MATCH($C2759,'Kế hoạch'!$A$6:$A$305,0)),"Công việc","Mã chưa có")))</f>
      </c>
      <c r="J2759" s="221">
        <f>IF($I2759="Phản ánh",INDEX('Phản ánh'!$C$6:$C$505,MATCH($C2759,'Phản ánh'!$A$6:$A$505,0)),IF($I2759="Công việc",INDEX('Kế hoạch'!$C$6:$C$305,$O2759),""))</f>
      </c>
      <c r="K2759" s="221">
        <f>IF($I2759="Phản ánh",INDEX('Phản ánh'!$K$6:$K$505,MATCH($C2759,'Phản ánh'!$A$6:$A$505,0))&amp;"",IF($I2759="Công việc",INDEX('Kế hoạch'!$N$6:$N$305,$O2759)&amp;"",""))</f>
      </c>
      <c r="L2759" s="220">
        <f>IF(OR($C2759="",N($B2759)=0),"",IF(AND($I2759="Phản ánh",$E2759="Đã xử lý"),INDEX('Phản ánh'!$U$6:$U$505,MATCH($C2759,'Phản ánh'!$A$6:$A$505,0)),IF(AND($I2759="Công việc",OR($E2759="Hoàn thành",$E2759="Hoàn thành kỳ")),IF(INDEX('Kế hoạch'!$B$6:$B$305,$O2759)="Đột xuất",INDEX('Kế hoạch'!$AY$6:$AY$305,$O2759),IF(N($P2759)=0,"",IF(INT($B2759)&lt;$P2759,$P2759,IF($Q2759&gt;0,$P2759+ROUND((INT($B2759)-$P2759)/$Q2759,0)*$Q2759,IF($R2759&gt;0,EDATE($P2759,ROUND((DATEDIF($P2759,INT($B2759),"m")+(INT($B2759)-EDATE($P2759,DATEDIF($P2759,INT($B2759),"m")))/(EDATE($P2759,DATEDIF($P2759,INT($B2759),"m")+1)-EDATE($P2759,DATEDIF($P2759,INT($B2759),"m"))))/$R2759,0)*$R2759),$P2759))))),"")))</f>
      </c>
      <c r="M2759" s="223">
        <f>IF(OR($C2759="",N($L2759)=0,N($B2759)=0),"",IF(IF(MOD($L2759,1)=0,INT($B2759),$B2759)&lt;=$L2759,"Đúng hạn","Trễ hạn"))</f>
      </c>
      <c r="N2759" s="225">
        <f>IF($C2759="","",ROW())</f>
      </c>
      <c r="O2759" s="225">
        <f>IF($I2759="Công việc",MATCH($C2759,'Kế hoạch'!$A$6:$A$305,0),"")</f>
      </c>
      <c r="P2759" s="234">
        <f>IF($O2759="","",INDEX('Kế hoạch'!$I$6:$I$305,$O2759))</f>
      </c>
      <c r="Q2759" s="225">
        <f>IF($O2759="","",INDEX('Kế hoạch'!$AJ$6:$AJ$305,$O2759))</f>
      </c>
      <c r="R2759" s="225">
        <f>IF($O2759="","",INDEX('Kế hoạch'!$AK$6:$AK$305,$O2759))</f>
      </c>
    </row>
    <row r="2760">
      <c r="A2760" s="223">
        <f>IF($C2760="","",COUNTIF($C$6:$C2760,"?*"))</f>
      </c>
      <c r="B2760" s="217"/>
      <c r="C2760" s="216"/>
      <c r="D2760" s="240"/>
      <c r="E2760" s="218"/>
      <c r="F2760" s="218"/>
      <c r="G2760" s="218"/>
      <c r="H2760" s="219"/>
      <c r="I2760" s="223">
        <f>IF($C2760="","",IF(ISNUMBER(MATCH($C2760,'Phản ánh'!$A$6:$A$505,0)),"Phản ánh",IF(ISNUMBER(MATCH($C2760,'Kế hoạch'!$A$6:$A$305,0)),"Công việc","Mã chưa có")))</f>
      </c>
      <c r="J2760" s="221">
        <f>IF($I2760="Phản ánh",INDEX('Phản ánh'!$C$6:$C$505,MATCH($C2760,'Phản ánh'!$A$6:$A$505,0)),IF($I2760="Công việc",INDEX('Kế hoạch'!$C$6:$C$305,$O2760),""))</f>
      </c>
      <c r="K2760" s="221">
        <f>IF($I2760="Phản ánh",INDEX('Phản ánh'!$K$6:$K$505,MATCH($C2760,'Phản ánh'!$A$6:$A$505,0))&amp;"",IF($I2760="Công việc",INDEX('Kế hoạch'!$N$6:$N$305,$O2760)&amp;"",""))</f>
      </c>
      <c r="L2760" s="220">
        <f>IF(OR($C2760="",N($B2760)=0),"",IF(AND($I2760="Phản ánh",$E2760="Đã xử lý"),INDEX('Phản ánh'!$U$6:$U$505,MATCH($C2760,'Phản ánh'!$A$6:$A$505,0)),IF(AND($I2760="Công việc",OR($E2760="Hoàn thành",$E2760="Hoàn thành kỳ")),IF(INDEX('Kế hoạch'!$B$6:$B$305,$O2760)="Đột xuất",INDEX('Kế hoạch'!$AY$6:$AY$305,$O2760),IF(N($P2760)=0,"",IF(INT($B2760)&lt;$P2760,$P2760,IF($Q2760&gt;0,$P2760+ROUND((INT($B2760)-$P2760)/$Q2760,0)*$Q2760,IF($R2760&gt;0,EDATE($P2760,ROUND((DATEDIF($P2760,INT($B2760),"m")+(INT($B2760)-EDATE($P2760,DATEDIF($P2760,INT($B2760),"m")))/(EDATE($P2760,DATEDIF($P2760,INT($B2760),"m")+1)-EDATE($P2760,DATEDIF($P2760,INT($B2760),"m"))))/$R2760,0)*$R2760),$P2760))))),"")))</f>
      </c>
      <c r="M2760" s="223">
        <f>IF(OR($C2760="",N($L2760)=0,N($B2760)=0),"",IF(IF(MOD($L2760,1)=0,INT($B2760),$B2760)&lt;=$L2760,"Đúng hạn","Trễ hạn"))</f>
      </c>
      <c r="N2760" s="225">
        <f>IF($C2760="","",ROW())</f>
      </c>
      <c r="O2760" s="225">
        <f>IF($I2760="Công việc",MATCH($C2760,'Kế hoạch'!$A$6:$A$305,0),"")</f>
      </c>
      <c r="P2760" s="234">
        <f>IF($O2760="","",INDEX('Kế hoạch'!$I$6:$I$305,$O2760))</f>
      </c>
      <c r="Q2760" s="225">
        <f>IF($O2760="","",INDEX('Kế hoạch'!$AJ$6:$AJ$305,$O2760))</f>
      </c>
      <c r="R2760" s="225">
        <f>IF($O2760="","",INDEX('Kế hoạch'!$AK$6:$AK$305,$O2760))</f>
      </c>
    </row>
    <row r="2761">
      <c r="A2761" s="223">
        <f>IF($C2761="","",COUNTIF($C$6:$C2761,"?*"))</f>
      </c>
      <c r="B2761" s="217"/>
      <c r="C2761" s="216"/>
      <c r="D2761" s="240"/>
      <c r="E2761" s="218"/>
      <c r="F2761" s="218"/>
      <c r="G2761" s="218"/>
      <c r="H2761" s="219"/>
      <c r="I2761" s="223">
        <f>IF($C2761="","",IF(ISNUMBER(MATCH($C2761,'Phản ánh'!$A$6:$A$505,0)),"Phản ánh",IF(ISNUMBER(MATCH($C2761,'Kế hoạch'!$A$6:$A$305,0)),"Công việc","Mã chưa có")))</f>
      </c>
      <c r="J2761" s="221">
        <f>IF($I2761="Phản ánh",INDEX('Phản ánh'!$C$6:$C$505,MATCH($C2761,'Phản ánh'!$A$6:$A$505,0)),IF($I2761="Công việc",INDEX('Kế hoạch'!$C$6:$C$305,$O2761),""))</f>
      </c>
      <c r="K2761" s="221">
        <f>IF($I2761="Phản ánh",INDEX('Phản ánh'!$K$6:$K$505,MATCH($C2761,'Phản ánh'!$A$6:$A$505,0))&amp;"",IF($I2761="Công việc",INDEX('Kế hoạch'!$N$6:$N$305,$O2761)&amp;"",""))</f>
      </c>
      <c r="L2761" s="220">
        <f>IF(OR($C2761="",N($B2761)=0),"",IF(AND($I2761="Phản ánh",$E2761="Đã xử lý"),INDEX('Phản ánh'!$U$6:$U$505,MATCH($C2761,'Phản ánh'!$A$6:$A$505,0)),IF(AND($I2761="Công việc",OR($E2761="Hoàn thành",$E2761="Hoàn thành kỳ")),IF(INDEX('Kế hoạch'!$B$6:$B$305,$O2761)="Đột xuất",INDEX('Kế hoạch'!$AY$6:$AY$305,$O2761),IF(N($P2761)=0,"",IF(INT($B2761)&lt;$P2761,$P2761,IF($Q2761&gt;0,$P2761+ROUND((INT($B2761)-$P2761)/$Q2761,0)*$Q2761,IF($R2761&gt;0,EDATE($P2761,ROUND((DATEDIF($P2761,INT($B2761),"m")+(INT($B2761)-EDATE($P2761,DATEDIF($P2761,INT($B2761),"m")))/(EDATE($P2761,DATEDIF($P2761,INT($B2761),"m")+1)-EDATE($P2761,DATEDIF($P2761,INT($B2761),"m"))))/$R2761,0)*$R2761),$P2761))))),"")))</f>
      </c>
      <c r="M2761" s="223">
        <f>IF(OR($C2761="",N($L2761)=0,N($B2761)=0),"",IF(IF(MOD($L2761,1)=0,INT($B2761),$B2761)&lt;=$L2761,"Đúng hạn","Trễ hạn"))</f>
      </c>
      <c r="N2761" s="225">
        <f>IF($C2761="","",ROW())</f>
      </c>
      <c r="O2761" s="225">
        <f>IF($I2761="Công việc",MATCH($C2761,'Kế hoạch'!$A$6:$A$305,0),"")</f>
      </c>
      <c r="P2761" s="234">
        <f>IF($O2761="","",INDEX('Kế hoạch'!$I$6:$I$305,$O2761))</f>
      </c>
      <c r="Q2761" s="225">
        <f>IF($O2761="","",INDEX('Kế hoạch'!$AJ$6:$AJ$305,$O2761))</f>
      </c>
      <c r="R2761" s="225">
        <f>IF($O2761="","",INDEX('Kế hoạch'!$AK$6:$AK$305,$O2761))</f>
      </c>
    </row>
    <row r="2762">
      <c r="A2762" s="223">
        <f>IF($C2762="","",COUNTIF($C$6:$C2762,"?*"))</f>
      </c>
      <c r="B2762" s="217"/>
      <c r="C2762" s="216"/>
      <c r="D2762" s="240"/>
      <c r="E2762" s="218"/>
      <c r="F2762" s="218"/>
      <c r="G2762" s="218"/>
      <c r="H2762" s="219"/>
      <c r="I2762" s="223">
        <f>IF($C2762="","",IF(ISNUMBER(MATCH($C2762,'Phản ánh'!$A$6:$A$505,0)),"Phản ánh",IF(ISNUMBER(MATCH($C2762,'Kế hoạch'!$A$6:$A$305,0)),"Công việc","Mã chưa có")))</f>
      </c>
      <c r="J2762" s="221">
        <f>IF($I2762="Phản ánh",INDEX('Phản ánh'!$C$6:$C$505,MATCH($C2762,'Phản ánh'!$A$6:$A$505,0)),IF($I2762="Công việc",INDEX('Kế hoạch'!$C$6:$C$305,$O2762),""))</f>
      </c>
      <c r="K2762" s="221">
        <f>IF($I2762="Phản ánh",INDEX('Phản ánh'!$K$6:$K$505,MATCH($C2762,'Phản ánh'!$A$6:$A$505,0))&amp;"",IF($I2762="Công việc",INDEX('Kế hoạch'!$N$6:$N$305,$O2762)&amp;"",""))</f>
      </c>
      <c r="L2762" s="220">
        <f>IF(OR($C2762="",N($B2762)=0),"",IF(AND($I2762="Phản ánh",$E2762="Đã xử lý"),INDEX('Phản ánh'!$U$6:$U$505,MATCH($C2762,'Phản ánh'!$A$6:$A$505,0)),IF(AND($I2762="Công việc",OR($E2762="Hoàn thành",$E2762="Hoàn thành kỳ")),IF(INDEX('Kế hoạch'!$B$6:$B$305,$O2762)="Đột xuất",INDEX('Kế hoạch'!$AY$6:$AY$305,$O2762),IF(N($P2762)=0,"",IF(INT($B2762)&lt;$P2762,$P2762,IF($Q2762&gt;0,$P2762+ROUND((INT($B2762)-$P2762)/$Q2762,0)*$Q2762,IF($R2762&gt;0,EDATE($P2762,ROUND((DATEDIF($P2762,INT($B2762),"m")+(INT($B2762)-EDATE($P2762,DATEDIF($P2762,INT($B2762),"m")))/(EDATE($P2762,DATEDIF($P2762,INT($B2762),"m")+1)-EDATE($P2762,DATEDIF($P2762,INT($B2762),"m"))))/$R2762,0)*$R2762),$P2762))))),"")))</f>
      </c>
      <c r="M2762" s="223">
        <f>IF(OR($C2762="",N($L2762)=0,N($B2762)=0),"",IF(IF(MOD($L2762,1)=0,INT($B2762),$B2762)&lt;=$L2762,"Đúng hạn","Trễ hạn"))</f>
      </c>
      <c r="N2762" s="225">
        <f>IF($C2762="","",ROW())</f>
      </c>
      <c r="O2762" s="225">
        <f>IF($I2762="Công việc",MATCH($C2762,'Kế hoạch'!$A$6:$A$305,0),"")</f>
      </c>
      <c r="P2762" s="234">
        <f>IF($O2762="","",INDEX('Kế hoạch'!$I$6:$I$305,$O2762))</f>
      </c>
      <c r="Q2762" s="225">
        <f>IF($O2762="","",INDEX('Kế hoạch'!$AJ$6:$AJ$305,$O2762))</f>
      </c>
      <c r="R2762" s="225">
        <f>IF($O2762="","",INDEX('Kế hoạch'!$AK$6:$AK$305,$O2762))</f>
      </c>
    </row>
    <row r="2763">
      <c r="A2763" s="223">
        <f>IF($C2763="","",COUNTIF($C$6:$C2763,"?*"))</f>
      </c>
      <c r="B2763" s="217"/>
      <c r="C2763" s="216"/>
      <c r="D2763" s="240"/>
      <c r="E2763" s="218"/>
      <c r="F2763" s="218"/>
      <c r="G2763" s="218"/>
      <c r="H2763" s="219"/>
      <c r="I2763" s="223">
        <f>IF($C2763="","",IF(ISNUMBER(MATCH($C2763,'Phản ánh'!$A$6:$A$505,0)),"Phản ánh",IF(ISNUMBER(MATCH($C2763,'Kế hoạch'!$A$6:$A$305,0)),"Công việc","Mã chưa có")))</f>
      </c>
      <c r="J2763" s="221">
        <f>IF($I2763="Phản ánh",INDEX('Phản ánh'!$C$6:$C$505,MATCH($C2763,'Phản ánh'!$A$6:$A$505,0)),IF($I2763="Công việc",INDEX('Kế hoạch'!$C$6:$C$305,$O2763),""))</f>
      </c>
      <c r="K2763" s="221">
        <f>IF($I2763="Phản ánh",INDEX('Phản ánh'!$K$6:$K$505,MATCH($C2763,'Phản ánh'!$A$6:$A$505,0))&amp;"",IF($I2763="Công việc",INDEX('Kế hoạch'!$N$6:$N$305,$O2763)&amp;"",""))</f>
      </c>
      <c r="L2763" s="220">
        <f>IF(OR($C2763="",N($B2763)=0),"",IF(AND($I2763="Phản ánh",$E2763="Đã xử lý"),INDEX('Phản ánh'!$U$6:$U$505,MATCH($C2763,'Phản ánh'!$A$6:$A$505,0)),IF(AND($I2763="Công việc",OR($E2763="Hoàn thành",$E2763="Hoàn thành kỳ")),IF(INDEX('Kế hoạch'!$B$6:$B$305,$O2763)="Đột xuất",INDEX('Kế hoạch'!$AY$6:$AY$305,$O2763),IF(N($P2763)=0,"",IF(INT($B2763)&lt;$P2763,$P2763,IF($Q2763&gt;0,$P2763+ROUND((INT($B2763)-$P2763)/$Q2763,0)*$Q2763,IF($R2763&gt;0,EDATE($P2763,ROUND((DATEDIF($P2763,INT($B2763),"m")+(INT($B2763)-EDATE($P2763,DATEDIF($P2763,INT($B2763),"m")))/(EDATE($P2763,DATEDIF($P2763,INT($B2763),"m")+1)-EDATE($P2763,DATEDIF($P2763,INT($B2763),"m"))))/$R2763,0)*$R2763),$P2763))))),"")))</f>
      </c>
      <c r="M2763" s="223">
        <f>IF(OR($C2763="",N($L2763)=0,N($B2763)=0),"",IF(IF(MOD($L2763,1)=0,INT($B2763),$B2763)&lt;=$L2763,"Đúng hạn","Trễ hạn"))</f>
      </c>
      <c r="N2763" s="225">
        <f>IF($C2763="","",ROW())</f>
      </c>
      <c r="O2763" s="225">
        <f>IF($I2763="Công việc",MATCH($C2763,'Kế hoạch'!$A$6:$A$305,0),"")</f>
      </c>
      <c r="P2763" s="234">
        <f>IF($O2763="","",INDEX('Kế hoạch'!$I$6:$I$305,$O2763))</f>
      </c>
      <c r="Q2763" s="225">
        <f>IF($O2763="","",INDEX('Kế hoạch'!$AJ$6:$AJ$305,$O2763))</f>
      </c>
      <c r="R2763" s="225">
        <f>IF($O2763="","",INDEX('Kế hoạch'!$AK$6:$AK$305,$O2763))</f>
      </c>
    </row>
    <row r="2764">
      <c r="A2764" s="223">
        <f>IF($C2764="","",COUNTIF($C$6:$C2764,"?*"))</f>
      </c>
      <c r="B2764" s="217"/>
      <c r="C2764" s="216"/>
      <c r="D2764" s="240"/>
      <c r="E2764" s="218"/>
      <c r="F2764" s="218"/>
      <c r="G2764" s="218"/>
      <c r="H2764" s="219"/>
      <c r="I2764" s="223">
        <f>IF($C2764="","",IF(ISNUMBER(MATCH($C2764,'Phản ánh'!$A$6:$A$505,0)),"Phản ánh",IF(ISNUMBER(MATCH($C2764,'Kế hoạch'!$A$6:$A$305,0)),"Công việc","Mã chưa có")))</f>
      </c>
      <c r="J2764" s="221">
        <f>IF($I2764="Phản ánh",INDEX('Phản ánh'!$C$6:$C$505,MATCH($C2764,'Phản ánh'!$A$6:$A$505,0)),IF($I2764="Công việc",INDEX('Kế hoạch'!$C$6:$C$305,$O2764),""))</f>
      </c>
      <c r="K2764" s="221">
        <f>IF($I2764="Phản ánh",INDEX('Phản ánh'!$K$6:$K$505,MATCH($C2764,'Phản ánh'!$A$6:$A$505,0))&amp;"",IF($I2764="Công việc",INDEX('Kế hoạch'!$N$6:$N$305,$O2764)&amp;"",""))</f>
      </c>
      <c r="L2764" s="220">
        <f>IF(OR($C2764="",N($B2764)=0),"",IF(AND($I2764="Phản ánh",$E2764="Đã xử lý"),INDEX('Phản ánh'!$U$6:$U$505,MATCH($C2764,'Phản ánh'!$A$6:$A$505,0)),IF(AND($I2764="Công việc",OR($E2764="Hoàn thành",$E2764="Hoàn thành kỳ")),IF(INDEX('Kế hoạch'!$B$6:$B$305,$O2764)="Đột xuất",INDEX('Kế hoạch'!$AY$6:$AY$305,$O2764),IF(N($P2764)=0,"",IF(INT($B2764)&lt;$P2764,$P2764,IF($Q2764&gt;0,$P2764+ROUND((INT($B2764)-$P2764)/$Q2764,0)*$Q2764,IF($R2764&gt;0,EDATE($P2764,ROUND((DATEDIF($P2764,INT($B2764),"m")+(INT($B2764)-EDATE($P2764,DATEDIF($P2764,INT($B2764),"m")))/(EDATE($P2764,DATEDIF($P2764,INT($B2764),"m")+1)-EDATE($P2764,DATEDIF($P2764,INT($B2764),"m"))))/$R2764,0)*$R2764),$P2764))))),"")))</f>
      </c>
      <c r="M2764" s="223">
        <f>IF(OR($C2764="",N($L2764)=0,N($B2764)=0),"",IF(IF(MOD($L2764,1)=0,INT($B2764),$B2764)&lt;=$L2764,"Đúng hạn","Trễ hạn"))</f>
      </c>
      <c r="N2764" s="225">
        <f>IF($C2764="","",ROW())</f>
      </c>
      <c r="O2764" s="225">
        <f>IF($I2764="Công việc",MATCH($C2764,'Kế hoạch'!$A$6:$A$305,0),"")</f>
      </c>
      <c r="P2764" s="234">
        <f>IF($O2764="","",INDEX('Kế hoạch'!$I$6:$I$305,$O2764))</f>
      </c>
      <c r="Q2764" s="225">
        <f>IF($O2764="","",INDEX('Kế hoạch'!$AJ$6:$AJ$305,$O2764))</f>
      </c>
      <c r="R2764" s="225">
        <f>IF($O2764="","",INDEX('Kế hoạch'!$AK$6:$AK$305,$O2764))</f>
      </c>
    </row>
    <row r="2765">
      <c r="A2765" s="223">
        <f>IF($C2765="","",COUNTIF($C$6:$C2765,"?*"))</f>
      </c>
      <c r="B2765" s="217"/>
      <c r="C2765" s="216"/>
      <c r="D2765" s="240"/>
      <c r="E2765" s="218"/>
      <c r="F2765" s="218"/>
      <c r="G2765" s="218"/>
      <c r="H2765" s="219"/>
      <c r="I2765" s="223">
        <f>IF($C2765="","",IF(ISNUMBER(MATCH($C2765,'Phản ánh'!$A$6:$A$505,0)),"Phản ánh",IF(ISNUMBER(MATCH($C2765,'Kế hoạch'!$A$6:$A$305,0)),"Công việc","Mã chưa có")))</f>
      </c>
      <c r="J2765" s="221">
        <f>IF($I2765="Phản ánh",INDEX('Phản ánh'!$C$6:$C$505,MATCH($C2765,'Phản ánh'!$A$6:$A$505,0)),IF($I2765="Công việc",INDEX('Kế hoạch'!$C$6:$C$305,$O2765),""))</f>
      </c>
      <c r="K2765" s="221">
        <f>IF($I2765="Phản ánh",INDEX('Phản ánh'!$K$6:$K$505,MATCH($C2765,'Phản ánh'!$A$6:$A$505,0))&amp;"",IF($I2765="Công việc",INDEX('Kế hoạch'!$N$6:$N$305,$O2765)&amp;"",""))</f>
      </c>
      <c r="L2765" s="220">
        <f>IF(OR($C2765="",N($B2765)=0),"",IF(AND($I2765="Phản ánh",$E2765="Đã xử lý"),INDEX('Phản ánh'!$U$6:$U$505,MATCH($C2765,'Phản ánh'!$A$6:$A$505,0)),IF(AND($I2765="Công việc",OR($E2765="Hoàn thành",$E2765="Hoàn thành kỳ")),IF(INDEX('Kế hoạch'!$B$6:$B$305,$O2765)="Đột xuất",INDEX('Kế hoạch'!$AY$6:$AY$305,$O2765),IF(N($P2765)=0,"",IF(INT($B2765)&lt;$P2765,$P2765,IF($Q2765&gt;0,$P2765+ROUND((INT($B2765)-$P2765)/$Q2765,0)*$Q2765,IF($R2765&gt;0,EDATE($P2765,ROUND((DATEDIF($P2765,INT($B2765),"m")+(INT($B2765)-EDATE($P2765,DATEDIF($P2765,INT($B2765),"m")))/(EDATE($P2765,DATEDIF($P2765,INT($B2765),"m")+1)-EDATE($P2765,DATEDIF($P2765,INT($B2765),"m"))))/$R2765,0)*$R2765),$P2765))))),"")))</f>
      </c>
      <c r="M2765" s="223">
        <f>IF(OR($C2765="",N($L2765)=0,N($B2765)=0),"",IF(IF(MOD($L2765,1)=0,INT($B2765),$B2765)&lt;=$L2765,"Đúng hạn","Trễ hạn"))</f>
      </c>
      <c r="N2765" s="225">
        <f>IF($C2765="","",ROW())</f>
      </c>
      <c r="O2765" s="225">
        <f>IF($I2765="Công việc",MATCH($C2765,'Kế hoạch'!$A$6:$A$305,0),"")</f>
      </c>
      <c r="P2765" s="234">
        <f>IF($O2765="","",INDEX('Kế hoạch'!$I$6:$I$305,$O2765))</f>
      </c>
      <c r="Q2765" s="225">
        <f>IF($O2765="","",INDEX('Kế hoạch'!$AJ$6:$AJ$305,$O2765))</f>
      </c>
      <c r="R2765" s="225">
        <f>IF($O2765="","",INDEX('Kế hoạch'!$AK$6:$AK$305,$O2765))</f>
      </c>
    </row>
    <row r="2766">
      <c r="A2766" s="223">
        <f>IF($C2766="","",COUNTIF($C$6:$C2766,"?*"))</f>
      </c>
      <c r="B2766" s="217"/>
      <c r="C2766" s="216"/>
      <c r="D2766" s="240"/>
      <c r="E2766" s="218"/>
      <c r="F2766" s="218"/>
      <c r="G2766" s="218"/>
      <c r="H2766" s="219"/>
      <c r="I2766" s="223">
        <f>IF($C2766="","",IF(ISNUMBER(MATCH($C2766,'Phản ánh'!$A$6:$A$505,0)),"Phản ánh",IF(ISNUMBER(MATCH($C2766,'Kế hoạch'!$A$6:$A$305,0)),"Công việc","Mã chưa có")))</f>
      </c>
      <c r="J2766" s="221">
        <f>IF($I2766="Phản ánh",INDEX('Phản ánh'!$C$6:$C$505,MATCH($C2766,'Phản ánh'!$A$6:$A$505,0)),IF($I2766="Công việc",INDEX('Kế hoạch'!$C$6:$C$305,$O2766),""))</f>
      </c>
      <c r="K2766" s="221">
        <f>IF($I2766="Phản ánh",INDEX('Phản ánh'!$K$6:$K$505,MATCH($C2766,'Phản ánh'!$A$6:$A$505,0))&amp;"",IF($I2766="Công việc",INDEX('Kế hoạch'!$N$6:$N$305,$O2766)&amp;"",""))</f>
      </c>
      <c r="L2766" s="220">
        <f>IF(OR($C2766="",N($B2766)=0),"",IF(AND($I2766="Phản ánh",$E2766="Đã xử lý"),INDEX('Phản ánh'!$U$6:$U$505,MATCH($C2766,'Phản ánh'!$A$6:$A$505,0)),IF(AND($I2766="Công việc",OR($E2766="Hoàn thành",$E2766="Hoàn thành kỳ")),IF(INDEX('Kế hoạch'!$B$6:$B$305,$O2766)="Đột xuất",INDEX('Kế hoạch'!$AY$6:$AY$305,$O2766),IF(N($P2766)=0,"",IF(INT($B2766)&lt;$P2766,$P2766,IF($Q2766&gt;0,$P2766+ROUND((INT($B2766)-$P2766)/$Q2766,0)*$Q2766,IF($R2766&gt;0,EDATE($P2766,ROUND((DATEDIF($P2766,INT($B2766),"m")+(INT($B2766)-EDATE($P2766,DATEDIF($P2766,INT($B2766),"m")))/(EDATE($P2766,DATEDIF($P2766,INT($B2766),"m")+1)-EDATE($P2766,DATEDIF($P2766,INT($B2766),"m"))))/$R2766,0)*$R2766),$P2766))))),"")))</f>
      </c>
      <c r="M2766" s="223">
        <f>IF(OR($C2766="",N($L2766)=0,N($B2766)=0),"",IF(IF(MOD($L2766,1)=0,INT($B2766),$B2766)&lt;=$L2766,"Đúng hạn","Trễ hạn"))</f>
      </c>
      <c r="N2766" s="225">
        <f>IF($C2766="","",ROW())</f>
      </c>
      <c r="O2766" s="225">
        <f>IF($I2766="Công việc",MATCH($C2766,'Kế hoạch'!$A$6:$A$305,0),"")</f>
      </c>
      <c r="P2766" s="234">
        <f>IF($O2766="","",INDEX('Kế hoạch'!$I$6:$I$305,$O2766))</f>
      </c>
      <c r="Q2766" s="225">
        <f>IF($O2766="","",INDEX('Kế hoạch'!$AJ$6:$AJ$305,$O2766))</f>
      </c>
      <c r="R2766" s="225">
        <f>IF($O2766="","",INDEX('Kế hoạch'!$AK$6:$AK$305,$O2766))</f>
      </c>
    </row>
    <row r="2767">
      <c r="A2767" s="223">
        <f>IF($C2767="","",COUNTIF($C$6:$C2767,"?*"))</f>
      </c>
      <c r="B2767" s="217"/>
      <c r="C2767" s="216"/>
      <c r="D2767" s="240"/>
      <c r="E2767" s="218"/>
      <c r="F2767" s="218"/>
      <c r="G2767" s="218"/>
      <c r="H2767" s="219"/>
      <c r="I2767" s="223">
        <f>IF($C2767="","",IF(ISNUMBER(MATCH($C2767,'Phản ánh'!$A$6:$A$505,0)),"Phản ánh",IF(ISNUMBER(MATCH($C2767,'Kế hoạch'!$A$6:$A$305,0)),"Công việc","Mã chưa có")))</f>
      </c>
      <c r="J2767" s="221">
        <f>IF($I2767="Phản ánh",INDEX('Phản ánh'!$C$6:$C$505,MATCH($C2767,'Phản ánh'!$A$6:$A$505,0)),IF($I2767="Công việc",INDEX('Kế hoạch'!$C$6:$C$305,$O2767),""))</f>
      </c>
      <c r="K2767" s="221">
        <f>IF($I2767="Phản ánh",INDEX('Phản ánh'!$K$6:$K$505,MATCH($C2767,'Phản ánh'!$A$6:$A$505,0))&amp;"",IF($I2767="Công việc",INDEX('Kế hoạch'!$N$6:$N$305,$O2767)&amp;"",""))</f>
      </c>
      <c r="L2767" s="220">
        <f>IF(OR($C2767="",N($B2767)=0),"",IF(AND($I2767="Phản ánh",$E2767="Đã xử lý"),INDEX('Phản ánh'!$U$6:$U$505,MATCH($C2767,'Phản ánh'!$A$6:$A$505,0)),IF(AND($I2767="Công việc",OR($E2767="Hoàn thành",$E2767="Hoàn thành kỳ")),IF(INDEX('Kế hoạch'!$B$6:$B$305,$O2767)="Đột xuất",INDEX('Kế hoạch'!$AY$6:$AY$305,$O2767),IF(N($P2767)=0,"",IF(INT($B2767)&lt;$P2767,$P2767,IF($Q2767&gt;0,$P2767+ROUND((INT($B2767)-$P2767)/$Q2767,0)*$Q2767,IF($R2767&gt;0,EDATE($P2767,ROUND((DATEDIF($P2767,INT($B2767),"m")+(INT($B2767)-EDATE($P2767,DATEDIF($P2767,INT($B2767),"m")))/(EDATE($P2767,DATEDIF($P2767,INT($B2767),"m")+1)-EDATE($P2767,DATEDIF($P2767,INT($B2767),"m"))))/$R2767,0)*$R2767),$P2767))))),"")))</f>
      </c>
      <c r="M2767" s="223">
        <f>IF(OR($C2767="",N($L2767)=0,N($B2767)=0),"",IF(IF(MOD($L2767,1)=0,INT($B2767),$B2767)&lt;=$L2767,"Đúng hạn","Trễ hạn"))</f>
      </c>
      <c r="N2767" s="225">
        <f>IF($C2767="","",ROW())</f>
      </c>
      <c r="O2767" s="225">
        <f>IF($I2767="Công việc",MATCH($C2767,'Kế hoạch'!$A$6:$A$305,0),"")</f>
      </c>
      <c r="P2767" s="234">
        <f>IF($O2767="","",INDEX('Kế hoạch'!$I$6:$I$305,$O2767))</f>
      </c>
      <c r="Q2767" s="225">
        <f>IF($O2767="","",INDEX('Kế hoạch'!$AJ$6:$AJ$305,$O2767))</f>
      </c>
      <c r="R2767" s="225">
        <f>IF($O2767="","",INDEX('Kế hoạch'!$AK$6:$AK$305,$O2767))</f>
      </c>
    </row>
    <row r="2768">
      <c r="A2768" s="223">
        <f>IF($C2768="","",COUNTIF($C$6:$C2768,"?*"))</f>
      </c>
      <c r="B2768" s="217"/>
      <c r="C2768" s="216"/>
      <c r="D2768" s="240"/>
      <c r="E2768" s="218"/>
      <c r="F2768" s="218"/>
      <c r="G2768" s="218"/>
      <c r="H2768" s="219"/>
      <c r="I2768" s="223">
        <f>IF($C2768="","",IF(ISNUMBER(MATCH($C2768,'Phản ánh'!$A$6:$A$505,0)),"Phản ánh",IF(ISNUMBER(MATCH($C2768,'Kế hoạch'!$A$6:$A$305,0)),"Công việc","Mã chưa có")))</f>
      </c>
      <c r="J2768" s="221">
        <f>IF($I2768="Phản ánh",INDEX('Phản ánh'!$C$6:$C$505,MATCH($C2768,'Phản ánh'!$A$6:$A$505,0)),IF($I2768="Công việc",INDEX('Kế hoạch'!$C$6:$C$305,$O2768),""))</f>
      </c>
      <c r="K2768" s="221">
        <f>IF($I2768="Phản ánh",INDEX('Phản ánh'!$K$6:$K$505,MATCH($C2768,'Phản ánh'!$A$6:$A$505,0))&amp;"",IF($I2768="Công việc",INDEX('Kế hoạch'!$N$6:$N$305,$O2768)&amp;"",""))</f>
      </c>
      <c r="L2768" s="220">
        <f>IF(OR($C2768="",N($B2768)=0),"",IF(AND($I2768="Phản ánh",$E2768="Đã xử lý"),INDEX('Phản ánh'!$U$6:$U$505,MATCH($C2768,'Phản ánh'!$A$6:$A$505,0)),IF(AND($I2768="Công việc",OR($E2768="Hoàn thành",$E2768="Hoàn thành kỳ")),IF(INDEX('Kế hoạch'!$B$6:$B$305,$O2768)="Đột xuất",INDEX('Kế hoạch'!$AY$6:$AY$305,$O2768),IF(N($P2768)=0,"",IF(INT($B2768)&lt;$P2768,$P2768,IF($Q2768&gt;0,$P2768+ROUND((INT($B2768)-$P2768)/$Q2768,0)*$Q2768,IF($R2768&gt;0,EDATE($P2768,ROUND((DATEDIF($P2768,INT($B2768),"m")+(INT($B2768)-EDATE($P2768,DATEDIF($P2768,INT($B2768),"m")))/(EDATE($P2768,DATEDIF($P2768,INT($B2768),"m")+1)-EDATE($P2768,DATEDIF($P2768,INT($B2768),"m"))))/$R2768,0)*$R2768),$P2768))))),"")))</f>
      </c>
      <c r="M2768" s="223">
        <f>IF(OR($C2768="",N($L2768)=0,N($B2768)=0),"",IF(IF(MOD($L2768,1)=0,INT($B2768),$B2768)&lt;=$L2768,"Đúng hạn","Trễ hạn"))</f>
      </c>
      <c r="N2768" s="225">
        <f>IF($C2768="","",ROW())</f>
      </c>
      <c r="O2768" s="225">
        <f>IF($I2768="Công việc",MATCH($C2768,'Kế hoạch'!$A$6:$A$305,0),"")</f>
      </c>
      <c r="P2768" s="234">
        <f>IF($O2768="","",INDEX('Kế hoạch'!$I$6:$I$305,$O2768))</f>
      </c>
      <c r="Q2768" s="225">
        <f>IF($O2768="","",INDEX('Kế hoạch'!$AJ$6:$AJ$305,$O2768))</f>
      </c>
      <c r="R2768" s="225">
        <f>IF($O2768="","",INDEX('Kế hoạch'!$AK$6:$AK$305,$O2768))</f>
      </c>
    </row>
    <row r="2769">
      <c r="A2769" s="223">
        <f>IF($C2769="","",COUNTIF($C$6:$C2769,"?*"))</f>
      </c>
      <c r="B2769" s="217"/>
      <c r="C2769" s="216"/>
      <c r="D2769" s="240"/>
      <c r="E2769" s="218"/>
      <c r="F2769" s="218"/>
      <c r="G2769" s="218"/>
      <c r="H2769" s="219"/>
      <c r="I2769" s="223">
        <f>IF($C2769="","",IF(ISNUMBER(MATCH($C2769,'Phản ánh'!$A$6:$A$505,0)),"Phản ánh",IF(ISNUMBER(MATCH($C2769,'Kế hoạch'!$A$6:$A$305,0)),"Công việc","Mã chưa có")))</f>
      </c>
      <c r="J2769" s="221">
        <f>IF($I2769="Phản ánh",INDEX('Phản ánh'!$C$6:$C$505,MATCH($C2769,'Phản ánh'!$A$6:$A$505,0)),IF($I2769="Công việc",INDEX('Kế hoạch'!$C$6:$C$305,$O2769),""))</f>
      </c>
      <c r="K2769" s="221">
        <f>IF($I2769="Phản ánh",INDEX('Phản ánh'!$K$6:$K$505,MATCH($C2769,'Phản ánh'!$A$6:$A$505,0))&amp;"",IF($I2769="Công việc",INDEX('Kế hoạch'!$N$6:$N$305,$O2769)&amp;"",""))</f>
      </c>
      <c r="L2769" s="220">
        <f>IF(OR($C2769="",N($B2769)=0),"",IF(AND($I2769="Phản ánh",$E2769="Đã xử lý"),INDEX('Phản ánh'!$U$6:$U$505,MATCH($C2769,'Phản ánh'!$A$6:$A$505,0)),IF(AND($I2769="Công việc",OR($E2769="Hoàn thành",$E2769="Hoàn thành kỳ")),IF(INDEX('Kế hoạch'!$B$6:$B$305,$O2769)="Đột xuất",INDEX('Kế hoạch'!$AY$6:$AY$305,$O2769),IF(N($P2769)=0,"",IF(INT($B2769)&lt;$P2769,$P2769,IF($Q2769&gt;0,$P2769+ROUND((INT($B2769)-$P2769)/$Q2769,0)*$Q2769,IF($R2769&gt;0,EDATE($P2769,ROUND((DATEDIF($P2769,INT($B2769),"m")+(INT($B2769)-EDATE($P2769,DATEDIF($P2769,INT($B2769),"m")))/(EDATE($P2769,DATEDIF($P2769,INT($B2769),"m")+1)-EDATE($P2769,DATEDIF($P2769,INT($B2769),"m"))))/$R2769,0)*$R2769),$P2769))))),"")))</f>
      </c>
      <c r="M2769" s="223">
        <f>IF(OR($C2769="",N($L2769)=0,N($B2769)=0),"",IF(IF(MOD($L2769,1)=0,INT($B2769),$B2769)&lt;=$L2769,"Đúng hạn","Trễ hạn"))</f>
      </c>
      <c r="N2769" s="225">
        <f>IF($C2769="","",ROW())</f>
      </c>
      <c r="O2769" s="225">
        <f>IF($I2769="Công việc",MATCH($C2769,'Kế hoạch'!$A$6:$A$305,0),"")</f>
      </c>
      <c r="P2769" s="234">
        <f>IF($O2769="","",INDEX('Kế hoạch'!$I$6:$I$305,$O2769))</f>
      </c>
      <c r="Q2769" s="225">
        <f>IF($O2769="","",INDEX('Kế hoạch'!$AJ$6:$AJ$305,$O2769))</f>
      </c>
      <c r="R2769" s="225">
        <f>IF($O2769="","",INDEX('Kế hoạch'!$AK$6:$AK$305,$O2769))</f>
      </c>
    </row>
    <row r="2770">
      <c r="A2770" s="223">
        <f>IF($C2770="","",COUNTIF($C$6:$C2770,"?*"))</f>
      </c>
      <c r="B2770" s="217"/>
      <c r="C2770" s="216"/>
      <c r="D2770" s="240"/>
      <c r="E2770" s="218"/>
      <c r="F2770" s="218"/>
      <c r="G2770" s="218"/>
      <c r="H2770" s="219"/>
      <c r="I2770" s="223">
        <f>IF($C2770="","",IF(ISNUMBER(MATCH($C2770,'Phản ánh'!$A$6:$A$505,0)),"Phản ánh",IF(ISNUMBER(MATCH($C2770,'Kế hoạch'!$A$6:$A$305,0)),"Công việc","Mã chưa có")))</f>
      </c>
      <c r="J2770" s="221">
        <f>IF($I2770="Phản ánh",INDEX('Phản ánh'!$C$6:$C$505,MATCH($C2770,'Phản ánh'!$A$6:$A$505,0)),IF($I2770="Công việc",INDEX('Kế hoạch'!$C$6:$C$305,$O2770),""))</f>
      </c>
      <c r="K2770" s="221">
        <f>IF($I2770="Phản ánh",INDEX('Phản ánh'!$K$6:$K$505,MATCH($C2770,'Phản ánh'!$A$6:$A$505,0))&amp;"",IF($I2770="Công việc",INDEX('Kế hoạch'!$N$6:$N$305,$O2770)&amp;"",""))</f>
      </c>
      <c r="L2770" s="220">
        <f>IF(OR($C2770="",N($B2770)=0),"",IF(AND($I2770="Phản ánh",$E2770="Đã xử lý"),INDEX('Phản ánh'!$U$6:$U$505,MATCH($C2770,'Phản ánh'!$A$6:$A$505,0)),IF(AND($I2770="Công việc",OR($E2770="Hoàn thành",$E2770="Hoàn thành kỳ")),IF(INDEX('Kế hoạch'!$B$6:$B$305,$O2770)="Đột xuất",INDEX('Kế hoạch'!$AY$6:$AY$305,$O2770),IF(N($P2770)=0,"",IF(INT($B2770)&lt;$P2770,$P2770,IF($Q2770&gt;0,$P2770+ROUND((INT($B2770)-$P2770)/$Q2770,0)*$Q2770,IF($R2770&gt;0,EDATE($P2770,ROUND((DATEDIF($P2770,INT($B2770),"m")+(INT($B2770)-EDATE($P2770,DATEDIF($P2770,INT($B2770),"m")))/(EDATE($P2770,DATEDIF($P2770,INT($B2770),"m")+1)-EDATE($P2770,DATEDIF($P2770,INT($B2770),"m"))))/$R2770,0)*$R2770),$P2770))))),"")))</f>
      </c>
      <c r="M2770" s="223">
        <f>IF(OR($C2770="",N($L2770)=0,N($B2770)=0),"",IF(IF(MOD($L2770,1)=0,INT($B2770),$B2770)&lt;=$L2770,"Đúng hạn","Trễ hạn"))</f>
      </c>
      <c r="N2770" s="225">
        <f>IF($C2770="","",ROW())</f>
      </c>
      <c r="O2770" s="225">
        <f>IF($I2770="Công việc",MATCH($C2770,'Kế hoạch'!$A$6:$A$305,0),"")</f>
      </c>
      <c r="P2770" s="234">
        <f>IF($O2770="","",INDEX('Kế hoạch'!$I$6:$I$305,$O2770))</f>
      </c>
      <c r="Q2770" s="225">
        <f>IF($O2770="","",INDEX('Kế hoạch'!$AJ$6:$AJ$305,$O2770))</f>
      </c>
      <c r="R2770" s="225">
        <f>IF($O2770="","",INDEX('Kế hoạch'!$AK$6:$AK$305,$O2770))</f>
      </c>
    </row>
    <row r="2771">
      <c r="A2771" s="223">
        <f>IF($C2771="","",COUNTIF($C$6:$C2771,"?*"))</f>
      </c>
      <c r="B2771" s="217"/>
      <c r="C2771" s="216"/>
      <c r="D2771" s="240"/>
      <c r="E2771" s="218"/>
      <c r="F2771" s="218"/>
      <c r="G2771" s="218"/>
      <c r="H2771" s="219"/>
      <c r="I2771" s="223">
        <f>IF($C2771="","",IF(ISNUMBER(MATCH($C2771,'Phản ánh'!$A$6:$A$505,0)),"Phản ánh",IF(ISNUMBER(MATCH($C2771,'Kế hoạch'!$A$6:$A$305,0)),"Công việc","Mã chưa có")))</f>
      </c>
      <c r="J2771" s="221">
        <f>IF($I2771="Phản ánh",INDEX('Phản ánh'!$C$6:$C$505,MATCH($C2771,'Phản ánh'!$A$6:$A$505,0)),IF($I2771="Công việc",INDEX('Kế hoạch'!$C$6:$C$305,$O2771),""))</f>
      </c>
      <c r="K2771" s="221">
        <f>IF($I2771="Phản ánh",INDEX('Phản ánh'!$K$6:$K$505,MATCH($C2771,'Phản ánh'!$A$6:$A$505,0))&amp;"",IF($I2771="Công việc",INDEX('Kế hoạch'!$N$6:$N$305,$O2771)&amp;"",""))</f>
      </c>
      <c r="L2771" s="220">
        <f>IF(OR($C2771="",N($B2771)=0),"",IF(AND($I2771="Phản ánh",$E2771="Đã xử lý"),INDEX('Phản ánh'!$U$6:$U$505,MATCH($C2771,'Phản ánh'!$A$6:$A$505,0)),IF(AND($I2771="Công việc",OR($E2771="Hoàn thành",$E2771="Hoàn thành kỳ")),IF(INDEX('Kế hoạch'!$B$6:$B$305,$O2771)="Đột xuất",INDEX('Kế hoạch'!$AY$6:$AY$305,$O2771),IF(N($P2771)=0,"",IF(INT($B2771)&lt;$P2771,$P2771,IF($Q2771&gt;0,$P2771+ROUND((INT($B2771)-$P2771)/$Q2771,0)*$Q2771,IF($R2771&gt;0,EDATE($P2771,ROUND((DATEDIF($P2771,INT($B2771),"m")+(INT($B2771)-EDATE($P2771,DATEDIF($P2771,INT($B2771),"m")))/(EDATE($P2771,DATEDIF($P2771,INT($B2771),"m")+1)-EDATE($P2771,DATEDIF($P2771,INT($B2771),"m"))))/$R2771,0)*$R2771),$P2771))))),"")))</f>
      </c>
      <c r="M2771" s="223">
        <f>IF(OR($C2771="",N($L2771)=0,N($B2771)=0),"",IF(IF(MOD($L2771,1)=0,INT($B2771),$B2771)&lt;=$L2771,"Đúng hạn","Trễ hạn"))</f>
      </c>
      <c r="N2771" s="225">
        <f>IF($C2771="","",ROW())</f>
      </c>
      <c r="O2771" s="225">
        <f>IF($I2771="Công việc",MATCH($C2771,'Kế hoạch'!$A$6:$A$305,0),"")</f>
      </c>
      <c r="P2771" s="234">
        <f>IF($O2771="","",INDEX('Kế hoạch'!$I$6:$I$305,$O2771))</f>
      </c>
      <c r="Q2771" s="225">
        <f>IF($O2771="","",INDEX('Kế hoạch'!$AJ$6:$AJ$305,$O2771))</f>
      </c>
      <c r="R2771" s="225">
        <f>IF($O2771="","",INDEX('Kế hoạch'!$AK$6:$AK$305,$O2771))</f>
      </c>
    </row>
    <row r="2772">
      <c r="A2772" s="223">
        <f>IF($C2772="","",COUNTIF($C$6:$C2772,"?*"))</f>
      </c>
      <c r="B2772" s="217"/>
      <c r="C2772" s="216"/>
      <c r="D2772" s="240"/>
      <c r="E2772" s="218"/>
      <c r="F2772" s="218"/>
      <c r="G2772" s="218"/>
      <c r="H2772" s="219"/>
      <c r="I2772" s="223">
        <f>IF($C2772="","",IF(ISNUMBER(MATCH($C2772,'Phản ánh'!$A$6:$A$505,0)),"Phản ánh",IF(ISNUMBER(MATCH($C2772,'Kế hoạch'!$A$6:$A$305,0)),"Công việc","Mã chưa có")))</f>
      </c>
      <c r="J2772" s="221">
        <f>IF($I2772="Phản ánh",INDEX('Phản ánh'!$C$6:$C$505,MATCH($C2772,'Phản ánh'!$A$6:$A$505,0)),IF($I2772="Công việc",INDEX('Kế hoạch'!$C$6:$C$305,$O2772),""))</f>
      </c>
      <c r="K2772" s="221">
        <f>IF($I2772="Phản ánh",INDEX('Phản ánh'!$K$6:$K$505,MATCH($C2772,'Phản ánh'!$A$6:$A$505,0))&amp;"",IF($I2772="Công việc",INDEX('Kế hoạch'!$N$6:$N$305,$O2772)&amp;"",""))</f>
      </c>
      <c r="L2772" s="220">
        <f>IF(OR($C2772="",N($B2772)=0),"",IF(AND($I2772="Phản ánh",$E2772="Đã xử lý"),INDEX('Phản ánh'!$U$6:$U$505,MATCH($C2772,'Phản ánh'!$A$6:$A$505,0)),IF(AND($I2772="Công việc",OR($E2772="Hoàn thành",$E2772="Hoàn thành kỳ")),IF(INDEX('Kế hoạch'!$B$6:$B$305,$O2772)="Đột xuất",INDEX('Kế hoạch'!$AY$6:$AY$305,$O2772),IF(N($P2772)=0,"",IF(INT($B2772)&lt;$P2772,$P2772,IF($Q2772&gt;0,$P2772+ROUND((INT($B2772)-$P2772)/$Q2772,0)*$Q2772,IF($R2772&gt;0,EDATE($P2772,ROUND((DATEDIF($P2772,INT($B2772),"m")+(INT($B2772)-EDATE($P2772,DATEDIF($P2772,INT($B2772),"m")))/(EDATE($P2772,DATEDIF($P2772,INT($B2772),"m")+1)-EDATE($P2772,DATEDIF($P2772,INT($B2772),"m"))))/$R2772,0)*$R2772),$P2772))))),"")))</f>
      </c>
      <c r="M2772" s="223">
        <f>IF(OR($C2772="",N($L2772)=0,N($B2772)=0),"",IF(IF(MOD($L2772,1)=0,INT($B2772),$B2772)&lt;=$L2772,"Đúng hạn","Trễ hạn"))</f>
      </c>
      <c r="N2772" s="225">
        <f>IF($C2772="","",ROW())</f>
      </c>
      <c r="O2772" s="225">
        <f>IF($I2772="Công việc",MATCH($C2772,'Kế hoạch'!$A$6:$A$305,0),"")</f>
      </c>
      <c r="P2772" s="234">
        <f>IF($O2772="","",INDEX('Kế hoạch'!$I$6:$I$305,$O2772))</f>
      </c>
      <c r="Q2772" s="225">
        <f>IF($O2772="","",INDEX('Kế hoạch'!$AJ$6:$AJ$305,$O2772))</f>
      </c>
      <c r="R2772" s="225">
        <f>IF($O2772="","",INDEX('Kế hoạch'!$AK$6:$AK$305,$O2772))</f>
      </c>
    </row>
    <row r="2773">
      <c r="A2773" s="223">
        <f>IF($C2773="","",COUNTIF($C$6:$C2773,"?*"))</f>
      </c>
      <c r="B2773" s="217"/>
      <c r="C2773" s="216"/>
      <c r="D2773" s="240"/>
      <c r="E2773" s="218"/>
      <c r="F2773" s="218"/>
      <c r="G2773" s="218"/>
      <c r="H2773" s="219"/>
      <c r="I2773" s="223">
        <f>IF($C2773="","",IF(ISNUMBER(MATCH($C2773,'Phản ánh'!$A$6:$A$505,0)),"Phản ánh",IF(ISNUMBER(MATCH($C2773,'Kế hoạch'!$A$6:$A$305,0)),"Công việc","Mã chưa có")))</f>
      </c>
      <c r="J2773" s="221">
        <f>IF($I2773="Phản ánh",INDEX('Phản ánh'!$C$6:$C$505,MATCH($C2773,'Phản ánh'!$A$6:$A$505,0)),IF($I2773="Công việc",INDEX('Kế hoạch'!$C$6:$C$305,$O2773),""))</f>
      </c>
      <c r="K2773" s="221">
        <f>IF($I2773="Phản ánh",INDEX('Phản ánh'!$K$6:$K$505,MATCH($C2773,'Phản ánh'!$A$6:$A$505,0))&amp;"",IF($I2773="Công việc",INDEX('Kế hoạch'!$N$6:$N$305,$O2773)&amp;"",""))</f>
      </c>
      <c r="L2773" s="220">
        <f>IF(OR($C2773="",N($B2773)=0),"",IF(AND($I2773="Phản ánh",$E2773="Đã xử lý"),INDEX('Phản ánh'!$U$6:$U$505,MATCH($C2773,'Phản ánh'!$A$6:$A$505,0)),IF(AND($I2773="Công việc",OR($E2773="Hoàn thành",$E2773="Hoàn thành kỳ")),IF(INDEX('Kế hoạch'!$B$6:$B$305,$O2773)="Đột xuất",INDEX('Kế hoạch'!$AY$6:$AY$305,$O2773),IF(N($P2773)=0,"",IF(INT($B2773)&lt;$P2773,$P2773,IF($Q2773&gt;0,$P2773+ROUND((INT($B2773)-$P2773)/$Q2773,0)*$Q2773,IF($R2773&gt;0,EDATE($P2773,ROUND((DATEDIF($P2773,INT($B2773),"m")+(INT($B2773)-EDATE($P2773,DATEDIF($P2773,INT($B2773),"m")))/(EDATE($P2773,DATEDIF($P2773,INT($B2773),"m")+1)-EDATE($P2773,DATEDIF($P2773,INT($B2773),"m"))))/$R2773,0)*$R2773),$P2773))))),"")))</f>
      </c>
      <c r="M2773" s="223">
        <f>IF(OR($C2773="",N($L2773)=0,N($B2773)=0),"",IF(IF(MOD($L2773,1)=0,INT($B2773),$B2773)&lt;=$L2773,"Đúng hạn","Trễ hạn"))</f>
      </c>
      <c r="N2773" s="225">
        <f>IF($C2773="","",ROW())</f>
      </c>
      <c r="O2773" s="225">
        <f>IF($I2773="Công việc",MATCH($C2773,'Kế hoạch'!$A$6:$A$305,0),"")</f>
      </c>
      <c r="P2773" s="234">
        <f>IF($O2773="","",INDEX('Kế hoạch'!$I$6:$I$305,$O2773))</f>
      </c>
      <c r="Q2773" s="225">
        <f>IF($O2773="","",INDEX('Kế hoạch'!$AJ$6:$AJ$305,$O2773))</f>
      </c>
      <c r="R2773" s="225">
        <f>IF($O2773="","",INDEX('Kế hoạch'!$AK$6:$AK$305,$O2773))</f>
      </c>
    </row>
    <row r="2774">
      <c r="A2774" s="223">
        <f>IF($C2774="","",COUNTIF($C$6:$C2774,"?*"))</f>
      </c>
      <c r="B2774" s="217"/>
      <c r="C2774" s="216"/>
      <c r="D2774" s="240"/>
      <c r="E2774" s="218"/>
      <c r="F2774" s="218"/>
      <c r="G2774" s="218"/>
      <c r="H2774" s="219"/>
      <c r="I2774" s="223">
        <f>IF($C2774="","",IF(ISNUMBER(MATCH($C2774,'Phản ánh'!$A$6:$A$505,0)),"Phản ánh",IF(ISNUMBER(MATCH($C2774,'Kế hoạch'!$A$6:$A$305,0)),"Công việc","Mã chưa có")))</f>
      </c>
      <c r="J2774" s="221">
        <f>IF($I2774="Phản ánh",INDEX('Phản ánh'!$C$6:$C$505,MATCH($C2774,'Phản ánh'!$A$6:$A$505,0)),IF($I2774="Công việc",INDEX('Kế hoạch'!$C$6:$C$305,$O2774),""))</f>
      </c>
      <c r="K2774" s="221">
        <f>IF($I2774="Phản ánh",INDEX('Phản ánh'!$K$6:$K$505,MATCH($C2774,'Phản ánh'!$A$6:$A$505,0))&amp;"",IF($I2774="Công việc",INDEX('Kế hoạch'!$N$6:$N$305,$O2774)&amp;"",""))</f>
      </c>
      <c r="L2774" s="220">
        <f>IF(OR($C2774="",N($B2774)=0),"",IF(AND($I2774="Phản ánh",$E2774="Đã xử lý"),INDEX('Phản ánh'!$U$6:$U$505,MATCH($C2774,'Phản ánh'!$A$6:$A$505,0)),IF(AND($I2774="Công việc",OR($E2774="Hoàn thành",$E2774="Hoàn thành kỳ")),IF(INDEX('Kế hoạch'!$B$6:$B$305,$O2774)="Đột xuất",INDEX('Kế hoạch'!$AY$6:$AY$305,$O2774),IF(N($P2774)=0,"",IF(INT($B2774)&lt;$P2774,$P2774,IF($Q2774&gt;0,$P2774+ROUND((INT($B2774)-$P2774)/$Q2774,0)*$Q2774,IF($R2774&gt;0,EDATE($P2774,ROUND((DATEDIF($P2774,INT($B2774),"m")+(INT($B2774)-EDATE($P2774,DATEDIF($P2774,INT($B2774),"m")))/(EDATE($P2774,DATEDIF($P2774,INT($B2774),"m")+1)-EDATE($P2774,DATEDIF($P2774,INT($B2774),"m"))))/$R2774,0)*$R2774),$P2774))))),"")))</f>
      </c>
      <c r="M2774" s="223">
        <f>IF(OR($C2774="",N($L2774)=0,N($B2774)=0),"",IF(IF(MOD($L2774,1)=0,INT($B2774),$B2774)&lt;=$L2774,"Đúng hạn","Trễ hạn"))</f>
      </c>
      <c r="N2774" s="225">
        <f>IF($C2774="","",ROW())</f>
      </c>
      <c r="O2774" s="225">
        <f>IF($I2774="Công việc",MATCH($C2774,'Kế hoạch'!$A$6:$A$305,0),"")</f>
      </c>
      <c r="P2774" s="234">
        <f>IF($O2774="","",INDEX('Kế hoạch'!$I$6:$I$305,$O2774))</f>
      </c>
      <c r="Q2774" s="225">
        <f>IF($O2774="","",INDEX('Kế hoạch'!$AJ$6:$AJ$305,$O2774))</f>
      </c>
      <c r="R2774" s="225">
        <f>IF($O2774="","",INDEX('Kế hoạch'!$AK$6:$AK$305,$O2774))</f>
      </c>
    </row>
    <row r="2775">
      <c r="A2775" s="223">
        <f>IF($C2775="","",COUNTIF($C$6:$C2775,"?*"))</f>
      </c>
      <c r="B2775" s="217"/>
      <c r="C2775" s="216"/>
      <c r="D2775" s="240"/>
      <c r="E2775" s="218"/>
      <c r="F2775" s="218"/>
      <c r="G2775" s="218"/>
      <c r="H2775" s="219"/>
      <c r="I2775" s="223">
        <f>IF($C2775="","",IF(ISNUMBER(MATCH($C2775,'Phản ánh'!$A$6:$A$505,0)),"Phản ánh",IF(ISNUMBER(MATCH($C2775,'Kế hoạch'!$A$6:$A$305,0)),"Công việc","Mã chưa có")))</f>
      </c>
      <c r="J2775" s="221">
        <f>IF($I2775="Phản ánh",INDEX('Phản ánh'!$C$6:$C$505,MATCH($C2775,'Phản ánh'!$A$6:$A$505,0)),IF($I2775="Công việc",INDEX('Kế hoạch'!$C$6:$C$305,$O2775),""))</f>
      </c>
      <c r="K2775" s="221">
        <f>IF($I2775="Phản ánh",INDEX('Phản ánh'!$K$6:$K$505,MATCH($C2775,'Phản ánh'!$A$6:$A$505,0))&amp;"",IF($I2775="Công việc",INDEX('Kế hoạch'!$N$6:$N$305,$O2775)&amp;"",""))</f>
      </c>
      <c r="L2775" s="220">
        <f>IF(OR($C2775="",N($B2775)=0),"",IF(AND($I2775="Phản ánh",$E2775="Đã xử lý"),INDEX('Phản ánh'!$U$6:$U$505,MATCH($C2775,'Phản ánh'!$A$6:$A$505,0)),IF(AND($I2775="Công việc",OR($E2775="Hoàn thành",$E2775="Hoàn thành kỳ")),IF(INDEX('Kế hoạch'!$B$6:$B$305,$O2775)="Đột xuất",INDEX('Kế hoạch'!$AY$6:$AY$305,$O2775),IF(N($P2775)=0,"",IF(INT($B2775)&lt;$P2775,$P2775,IF($Q2775&gt;0,$P2775+ROUND((INT($B2775)-$P2775)/$Q2775,0)*$Q2775,IF($R2775&gt;0,EDATE($P2775,ROUND((DATEDIF($P2775,INT($B2775),"m")+(INT($B2775)-EDATE($P2775,DATEDIF($P2775,INT($B2775),"m")))/(EDATE($P2775,DATEDIF($P2775,INT($B2775),"m")+1)-EDATE($P2775,DATEDIF($P2775,INT($B2775),"m"))))/$R2775,0)*$R2775),$P2775))))),"")))</f>
      </c>
      <c r="M2775" s="223">
        <f>IF(OR($C2775="",N($L2775)=0,N($B2775)=0),"",IF(IF(MOD($L2775,1)=0,INT($B2775),$B2775)&lt;=$L2775,"Đúng hạn","Trễ hạn"))</f>
      </c>
      <c r="N2775" s="225">
        <f>IF($C2775="","",ROW())</f>
      </c>
      <c r="O2775" s="225">
        <f>IF($I2775="Công việc",MATCH($C2775,'Kế hoạch'!$A$6:$A$305,0),"")</f>
      </c>
      <c r="P2775" s="234">
        <f>IF($O2775="","",INDEX('Kế hoạch'!$I$6:$I$305,$O2775))</f>
      </c>
      <c r="Q2775" s="225">
        <f>IF($O2775="","",INDEX('Kế hoạch'!$AJ$6:$AJ$305,$O2775))</f>
      </c>
      <c r="R2775" s="225">
        <f>IF($O2775="","",INDEX('Kế hoạch'!$AK$6:$AK$305,$O2775))</f>
      </c>
    </row>
    <row r="2776">
      <c r="A2776" s="223">
        <f>IF($C2776="","",COUNTIF($C$6:$C2776,"?*"))</f>
      </c>
      <c r="B2776" s="217"/>
      <c r="C2776" s="216"/>
      <c r="D2776" s="240"/>
      <c r="E2776" s="218"/>
      <c r="F2776" s="218"/>
      <c r="G2776" s="218"/>
      <c r="H2776" s="219"/>
      <c r="I2776" s="223">
        <f>IF($C2776="","",IF(ISNUMBER(MATCH($C2776,'Phản ánh'!$A$6:$A$505,0)),"Phản ánh",IF(ISNUMBER(MATCH($C2776,'Kế hoạch'!$A$6:$A$305,0)),"Công việc","Mã chưa có")))</f>
      </c>
      <c r="J2776" s="221">
        <f>IF($I2776="Phản ánh",INDEX('Phản ánh'!$C$6:$C$505,MATCH($C2776,'Phản ánh'!$A$6:$A$505,0)),IF($I2776="Công việc",INDEX('Kế hoạch'!$C$6:$C$305,$O2776),""))</f>
      </c>
      <c r="K2776" s="221">
        <f>IF($I2776="Phản ánh",INDEX('Phản ánh'!$K$6:$K$505,MATCH($C2776,'Phản ánh'!$A$6:$A$505,0))&amp;"",IF($I2776="Công việc",INDEX('Kế hoạch'!$N$6:$N$305,$O2776)&amp;"",""))</f>
      </c>
      <c r="L2776" s="220">
        <f>IF(OR($C2776="",N($B2776)=0),"",IF(AND($I2776="Phản ánh",$E2776="Đã xử lý"),INDEX('Phản ánh'!$U$6:$U$505,MATCH($C2776,'Phản ánh'!$A$6:$A$505,0)),IF(AND($I2776="Công việc",OR($E2776="Hoàn thành",$E2776="Hoàn thành kỳ")),IF(INDEX('Kế hoạch'!$B$6:$B$305,$O2776)="Đột xuất",INDEX('Kế hoạch'!$AY$6:$AY$305,$O2776),IF(N($P2776)=0,"",IF(INT($B2776)&lt;$P2776,$P2776,IF($Q2776&gt;0,$P2776+ROUND((INT($B2776)-$P2776)/$Q2776,0)*$Q2776,IF($R2776&gt;0,EDATE($P2776,ROUND((DATEDIF($P2776,INT($B2776),"m")+(INT($B2776)-EDATE($P2776,DATEDIF($P2776,INT($B2776),"m")))/(EDATE($P2776,DATEDIF($P2776,INT($B2776),"m")+1)-EDATE($P2776,DATEDIF($P2776,INT($B2776),"m"))))/$R2776,0)*$R2776),$P2776))))),"")))</f>
      </c>
      <c r="M2776" s="223">
        <f>IF(OR($C2776="",N($L2776)=0,N($B2776)=0),"",IF(IF(MOD($L2776,1)=0,INT($B2776),$B2776)&lt;=$L2776,"Đúng hạn","Trễ hạn"))</f>
      </c>
      <c r="N2776" s="225">
        <f>IF($C2776="","",ROW())</f>
      </c>
      <c r="O2776" s="225">
        <f>IF($I2776="Công việc",MATCH($C2776,'Kế hoạch'!$A$6:$A$305,0),"")</f>
      </c>
      <c r="P2776" s="234">
        <f>IF($O2776="","",INDEX('Kế hoạch'!$I$6:$I$305,$O2776))</f>
      </c>
      <c r="Q2776" s="225">
        <f>IF($O2776="","",INDEX('Kế hoạch'!$AJ$6:$AJ$305,$O2776))</f>
      </c>
      <c r="R2776" s="225">
        <f>IF($O2776="","",INDEX('Kế hoạch'!$AK$6:$AK$305,$O2776))</f>
      </c>
    </row>
    <row r="2777">
      <c r="A2777" s="223">
        <f>IF($C2777="","",COUNTIF($C$6:$C2777,"?*"))</f>
      </c>
      <c r="B2777" s="217"/>
      <c r="C2777" s="216"/>
      <c r="D2777" s="240"/>
      <c r="E2777" s="218"/>
      <c r="F2777" s="218"/>
      <c r="G2777" s="218"/>
      <c r="H2777" s="219"/>
      <c r="I2777" s="223">
        <f>IF($C2777="","",IF(ISNUMBER(MATCH($C2777,'Phản ánh'!$A$6:$A$505,0)),"Phản ánh",IF(ISNUMBER(MATCH($C2777,'Kế hoạch'!$A$6:$A$305,0)),"Công việc","Mã chưa có")))</f>
      </c>
      <c r="J2777" s="221">
        <f>IF($I2777="Phản ánh",INDEX('Phản ánh'!$C$6:$C$505,MATCH($C2777,'Phản ánh'!$A$6:$A$505,0)),IF($I2777="Công việc",INDEX('Kế hoạch'!$C$6:$C$305,$O2777),""))</f>
      </c>
      <c r="K2777" s="221">
        <f>IF($I2777="Phản ánh",INDEX('Phản ánh'!$K$6:$K$505,MATCH($C2777,'Phản ánh'!$A$6:$A$505,0))&amp;"",IF($I2777="Công việc",INDEX('Kế hoạch'!$N$6:$N$305,$O2777)&amp;"",""))</f>
      </c>
      <c r="L2777" s="220">
        <f>IF(OR($C2777="",N($B2777)=0),"",IF(AND($I2777="Phản ánh",$E2777="Đã xử lý"),INDEX('Phản ánh'!$U$6:$U$505,MATCH($C2777,'Phản ánh'!$A$6:$A$505,0)),IF(AND($I2777="Công việc",OR($E2777="Hoàn thành",$E2777="Hoàn thành kỳ")),IF(INDEX('Kế hoạch'!$B$6:$B$305,$O2777)="Đột xuất",INDEX('Kế hoạch'!$AY$6:$AY$305,$O2777),IF(N($P2777)=0,"",IF(INT($B2777)&lt;$P2777,$P2777,IF($Q2777&gt;0,$P2777+ROUND((INT($B2777)-$P2777)/$Q2777,0)*$Q2777,IF($R2777&gt;0,EDATE($P2777,ROUND((DATEDIF($P2777,INT($B2777),"m")+(INT($B2777)-EDATE($P2777,DATEDIF($P2777,INT($B2777),"m")))/(EDATE($P2777,DATEDIF($P2777,INT($B2777),"m")+1)-EDATE($P2777,DATEDIF($P2777,INT($B2777),"m"))))/$R2777,0)*$R2777),$P2777))))),"")))</f>
      </c>
      <c r="M2777" s="223">
        <f>IF(OR($C2777="",N($L2777)=0,N($B2777)=0),"",IF(IF(MOD($L2777,1)=0,INT($B2777),$B2777)&lt;=$L2777,"Đúng hạn","Trễ hạn"))</f>
      </c>
      <c r="N2777" s="225">
        <f>IF($C2777="","",ROW())</f>
      </c>
      <c r="O2777" s="225">
        <f>IF($I2777="Công việc",MATCH($C2777,'Kế hoạch'!$A$6:$A$305,0),"")</f>
      </c>
      <c r="P2777" s="234">
        <f>IF($O2777="","",INDEX('Kế hoạch'!$I$6:$I$305,$O2777))</f>
      </c>
      <c r="Q2777" s="225">
        <f>IF($O2777="","",INDEX('Kế hoạch'!$AJ$6:$AJ$305,$O2777))</f>
      </c>
      <c r="R2777" s="225">
        <f>IF($O2777="","",INDEX('Kế hoạch'!$AK$6:$AK$305,$O2777))</f>
      </c>
    </row>
    <row r="2778">
      <c r="A2778" s="223">
        <f>IF($C2778="","",COUNTIF($C$6:$C2778,"?*"))</f>
      </c>
      <c r="B2778" s="217"/>
      <c r="C2778" s="216"/>
      <c r="D2778" s="240"/>
      <c r="E2778" s="218"/>
      <c r="F2778" s="218"/>
      <c r="G2778" s="218"/>
      <c r="H2778" s="219"/>
      <c r="I2778" s="223">
        <f>IF($C2778="","",IF(ISNUMBER(MATCH($C2778,'Phản ánh'!$A$6:$A$505,0)),"Phản ánh",IF(ISNUMBER(MATCH($C2778,'Kế hoạch'!$A$6:$A$305,0)),"Công việc","Mã chưa có")))</f>
      </c>
      <c r="J2778" s="221">
        <f>IF($I2778="Phản ánh",INDEX('Phản ánh'!$C$6:$C$505,MATCH($C2778,'Phản ánh'!$A$6:$A$505,0)),IF($I2778="Công việc",INDEX('Kế hoạch'!$C$6:$C$305,$O2778),""))</f>
      </c>
      <c r="K2778" s="221">
        <f>IF($I2778="Phản ánh",INDEX('Phản ánh'!$K$6:$K$505,MATCH($C2778,'Phản ánh'!$A$6:$A$505,0))&amp;"",IF($I2778="Công việc",INDEX('Kế hoạch'!$N$6:$N$305,$O2778)&amp;"",""))</f>
      </c>
      <c r="L2778" s="220">
        <f>IF(OR($C2778="",N($B2778)=0),"",IF(AND($I2778="Phản ánh",$E2778="Đã xử lý"),INDEX('Phản ánh'!$U$6:$U$505,MATCH($C2778,'Phản ánh'!$A$6:$A$505,0)),IF(AND($I2778="Công việc",OR($E2778="Hoàn thành",$E2778="Hoàn thành kỳ")),IF(INDEX('Kế hoạch'!$B$6:$B$305,$O2778)="Đột xuất",INDEX('Kế hoạch'!$AY$6:$AY$305,$O2778),IF(N($P2778)=0,"",IF(INT($B2778)&lt;$P2778,$P2778,IF($Q2778&gt;0,$P2778+ROUND((INT($B2778)-$P2778)/$Q2778,0)*$Q2778,IF($R2778&gt;0,EDATE($P2778,ROUND((DATEDIF($P2778,INT($B2778),"m")+(INT($B2778)-EDATE($P2778,DATEDIF($P2778,INT($B2778),"m")))/(EDATE($P2778,DATEDIF($P2778,INT($B2778),"m")+1)-EDATE($P2778,DATEDIF($P2778,INT($B2778),"m"))))/$R2778,0)*$R2778),$P2778))))),"")))</f>
      </c>
      <c r="M2778" s="223">
        <f>IF(OR($C2778="",N($L2778)=0,N($B2778)=0),"",IF(IF(MOD($L2778,1)=0,INT($B2778),$B2778)&lt;=$L2778,"Đúng hạn","Trễ hạn"))</f>
      </c>
      <c r="N2778" s="225">
        <f>IF($C2778="","",ROW())</f>
      </c>
      <c r="O2778" s="225">
        <f>IF($I2778="Công việc",MATCH($C2778,'Kế hoạch'!$A$6:$A$305,0),"")</f>
      </c>
      <c r="P2778" s="234">
        <f>IF($O2778="","",INDEX('Kế hoạch'!$I$6:$I$305,$O2778))</f>
      </c>
      <c r="Q2778" s="225">
        <f>IF($O2778="","",INDEX('Kế hoạch'!$AJ$6:$AJ$305,$O2778))</f>
      </c>
      <c r="R2778" s="225">
        <f>IF($O2778="","",INDEX('Kế hoạch'!$AK$6:$AK$305,$O2778))</f>
      </c>
    </row>
    <row r="2779">
      <c r="A2779" s="223">
        <f>IF($C2779="","",COUNTIF($C$6:$C2779,"?*"))</f>
      </c>
      <c r="B2779" s="217"/>
      <c r="C2779" s="216"/>
      <c r="D2779" s="240"/>
      <c r="E2779" s="218"/>
      <c r="F2779" s="218"/>
      <c r="G2779" s="218"/>
      <c r="H2779" s="219"/>
      <c r="I2779" s="223">
        <f>IF($C2779="","",IF(ISNUMBER(MATCH($C2779,'Phản ánh'!$A$6:$A$505,0)),"Phản ánh",IF(ISNUMBER(MATCH($C2779,'Kế hoạch'!$A$6:$A$305,0)),"Công việc","Mã chưa có")))</f>
      </c>
      <c r="J2779" s="221">
        <f>IF($I2779="Phản ánh",INDEX('Phản ánh'!$C$6:$C$505,MATCH($C2779,'Phản ánh'!$A$6:$A$505,0)),IF($I2779="Công việc",INDEX('Kế hoạch'!$C$6:$C$305,$O2779),""))</f>
      </c>
      <c r="K2779" s="221">
        <f>IF($I2779="Phản ánh",INDEX('Phản ánh'!$K$6:$K$505,MATCH($C2779,'Phản ánh'!$A$6:$A$505,0))&amp;"",IF($I2779="Công việc",INDEX('Kế hoạch'!$N$6:$N$305,$O2779)&amp;"",""))</f>
      </c>
      <c r="L2779" s="220">
        <f>IF(OR($C2779="",N($B2779)=0),"",IF(AND($I2779="Phản ánh",$E2779="Đã xử lý"),INDEX('Phản ánh'!$U$6:$U$505,MATCH($C2779,'Phản ánh'!$A$6:$A$505,0)),IF(AND($I2779="Công việc",OR($E2779="Hoàn thành",$E2779="Hoàn thành kỳ")),IF(INDEX('Kế hoạch'!$B$6:$B$305,$O2779)="Đột xuất",INDEX('Kế hoạch'!$AY$6:$AY$305,$O2779),IF(N($P2779)=0,"",IF(INT($B2779)&lt;$P2779,$P2779,IF($Q2779&gt;0,$P2779+ROUND((INT($B2779)-$P2779)/$Q2779,0)*$Q2779,IF($R2779&gt;0,EDATE($P2779,ROUND((DATEDIF($P2779,INT($B2779),"m")+(INT($B2779)-EDATE($P2779,DATEDIF($P2779,INT($B2779),"m")))/(EDATE($P2779,DATEDIF($P2779,INT($B2779),"m")+1)-EDATE($P2779,DATEDIF($P2779,INT($B2779),"m"))))/$R2779,0)*$R2779),$P2779))))),"")))</f>
      </c>
      <c r="M2779" s="223">
        <f>IF(OR($C2779="",N($L2779)=0,N($B2779)=0),"",IF(IF(MOD($L2779,1)=0,INT($B2779),$B2779)&lt;=$L2779,"Đúng hạn","Trễ hạn"))</f>
      </c>
      <c r="N2779" s="225">
        <f>IF($C2779="","",ROW())</f>
      </c>
      <c r="O2779" s="225">
        <f>IF($I2779="Công việc",MATCH($C2779,'Kế hoạch'!$A$6:$A$305,0),"")</f>
      </c>
      <c r="P2779" s="234">
        <f>IF($O2779="","",INDEX('Kế hoạch'!$I$6:$I$305,$O2779))</f>
      </c>
      <c r="Q2779" s="225">
        <f>IF($O2779="","",INDEX('Kế hoạch'!$AJ$6:$AJ$305,$O2779))</f>
      </c>
      <c r="R2779" s="225">
        <f>IF($O2779="","",INDEX('Kế hoạch'!$AK$6:$AK$305,$O2779))</f>
      </c>
    </row>
    <row r="2780">
      <c r="A2780" s="223">
        <f>IF($C2780="","",COUNTIF($C$6:$C2780,"?*"))</f>
      </c>
      <c r="B2780" s="217"/>
      <c r="C2780" s="216"/>
      <c r="D2780" s="240"/>
      <c r="E2780" s="218"/>
      <c r="F2780" s="218"/>
      <c r="G2780" s="218"/>
      <c r="H2780" s="219"/>
      <c r="I2780" s="223">
        <f>IF($C2780="","",IF(ISNUMBER(MATCH($C2780,'Phản ánh'!$A$6:$A$505,0)),"Phản ánh",IF(ISNUMBER(MATCH($C2780,'Kế hoạch'!$A$6:$A$305,0)),"Công việc","Mã chưa có")))</f>
      </c>
      <c r="J2780" s="221">
        <f>IF($I2780="Phản ánh",INDEX('Phản ánh'!$C$6:$C$505,MATCH($C2780,'Phản ánh'!$A$6:$A$505,0)),IF($I2780="Công việc",INDEX('Kế hoạch'!$C$6:$C$305,$O2780),""))</f>
      </c>
      <c r="K2780" s="221">
        <f>IF($I2780="Phản ánh",INDEX('Phản ánh'!$K$6:$K$505,MATCH($C2780,'Phản ánh'!$A$6:$A$505,0))&amp;"",IF($I2780="Công việc",INDEX('Kế hoạch'!$N$6:$N$305,$O2780)&amp;"",""))</f>
      </c>
      <c r="L2780" s="220">
        <f>IF(OR($C2780="",N($B2780)=0),"",IF(AND($I2780="Phản ánh",$E2780="Đã xử lý"),INDEX('Phản ánh'!$U$6:$U$505,MATCH($C2780,'Phản ánh'!$A$6:$A$505,0)),IF(AND($I2780="Công việc",OR($E2780="Hoàn thành",$E2780="Hoàn thành kỳ")),IF(INDEX('Kế hoạch'!$B$6:$B$305,$O2780)="Đột xuất",INDEX('Kế hoạch'!$AY$6:$AY$305,$O2780),IF(N($P2780)=0,"",IF(INT($B2780)&lt;$P2780,$P2780,IF($Q2780&gt;0,$P2780+ROUND((INT($B2780)-$P2780)/$Q2780,0)*$Q2780,IF($R2780&gt;0,EDATE($P2780,ROUND((DATEDIF($P2780,INT($B2780),"m")+(INT($B2780)-EDATE($P2780,DATEDIF($P2780,INT($B2780),"m")))/(EDATE($P2780,DATEDIF($P2780,INT($B2780),"m")+1)-EDATE($P2780,DATEDIF($P2780,INT($B2780),"m"))))/$R2780,0)*$R2780),$P2780))))),"")))</f>
      </c>
      <c r="M2780" s="223">
        <f>IF(OR($C2780="",N($L2780)=0,N($B2780)=0),"",IF(IF(MOD($L2780,1)=0,INT($B2780),$B2780)&lt;=$L2780,"Đúng hạn","Trễ hạn"))</f>
      </c>
      <c r="N2780" s="225">
        <f>IF($C2780="","",ROW())</f>
      </c>
      <c r="O2780" s="225">
        <f>IF($I2780="Công việc",MATCH($C2780,'Kế hoạch'!$A$6:$A$305,0),"")</f>
      </c>
      <c r="P2780" s="234">
        <f>IF($O2780="","",INDEX('Kế hoạch'!$I$6:$I$305,$O2780))</f>
      </c>
      <c r="Q2780" s="225">
        <f>IF($O2780="","",INDEX('Kế hoạch'!$AJ$6:$AJ$305,$O2780))</f>
      </c>
      <c r="R2780" s="225">
        <f>IF($O2780="","",INDEX('Kế hoạch'!$AK$6:$AK$305,$O2780))</f>
      </c>
    </row>
    <row r="2781">
      <c r="A2781" s="223">
        <f>IF($C2781="","",COUNTIF($C$6:$C2781,"?*"))</f>
      </c>
      <c r="B2781" s="217"/>
      <c r="C2781" s="216"/>
      <c r="D2781" s="240"/>
      <c r="E2781" s="218"/>
      <c r="F2781" s="218"/>
      <c r="G2781" s="218"/>
      <c r="H2781" s="219"/>
      <c r="I2781" s="223">
        <f>IF($C2781="","",IF(ISNUMBER(MATCH($C2781,'Phản ánh'!$A$6:$A$505,0)),"Phản ánh",IF(ISNUMBER(MATCH($C2781,'Kế hoạch'!$A$6:$A$305,0)),"Công việc","Mã chưa có")))</f>
      </c>
      <c r="J2781" s="221">
        <f>IF($I2781="Phản ánh",INDEX('Phản ánh'!$C$6:$C$505,MATCH($C2781,'Phản ánh'!$A$6:$A$505,0)),IF($I2781="Công việc",INDEX('Kế hoạch'!$C$6:$C$305,$O2781),""))</f>
      </c>
      <c r="K2781" s="221">
        <f>IF($I2781="Phản ánh",INDEX('Phản ánh'!$K$6:$K$505,MATCH($C2781,'Phản ánh'!$A$6:$A$505,0))&amp;"",IF($I2781="Công việc",INDEX('Kế hoạch'!$N$6:$N$305,$O2781)&amp;"",""))</f>
      </c>
      <c r="L2781" s="220">
        <f>IF(OR($C2781="",N($B2781)=0),"",IF(AND($I2781="Phản ánh",$E2781="Đã xử lý"),INDEX('Phản ánh'!$U$6:$U$505,MATCH($C2781,'Phản ánh'!$A$6:$A$505,0)),IF(AND($I2781="Công việc",OR($E2781="Hoàn thành",$E2781="Hoàn thành kỳ")),IF(INDEX('Kế hoạch'!$B$6:$B$305,$O2781)="Đột xuất",INDEX('Kế hoạch'!$AY$6:$AY$305,$O2781),IF(N($P2781)=0,"",IF(INT($B2781)&lt;$P2781,$P2781,IF($Q2781&gt;0,$P2781+ROUND((INT($B2781)-$P2781)/$Q2781,0)*$Q2781,IF($R2781&gt;0,EDATE($P2781,ROUND((DATEDIF($P2781,INT($B2781),"m")+(INT($B2781)-EDATE($P2781,DATEDIF($P2781,INT($B2781),"m")))/(EDATE($P2781,DATEDIF($P2781,INT($B2781),"m")+1)-EDATE($P2781,DATEDIF($P2781,INT($B2781),"m"))))/$R2781,0)*$R2781),$P2781))))),"")))</f>
      </c>
      <c r="M2781" s="223">
        <f>IF(OR($C2781="",N($L2781)=0,N($B2781)=0),"",IF(IF(MOD($L2781,1)=0,INT($B2781),$B2781)&lt;=$L2781,"Đúng hạn","Trễ hạn"))</f>
      </c>
      <c r="N2781" s="225">
        <f>IF($C2781="","",ROW())</f>
      </c>
      <c r="O2781" s="225">
        <f>IF($I2781="Công việc",MATCH($C2781,'Kế hoạch'!$A$6:$A$305,0),"")</f>
      </c>
      <c r="P2781" s="234">
        <f>IF($O2781="","",INDEX('Kế hoạch'!$I$6:$I$305,$O2781))</f>
      </c>
      <c r="Q2781" s="225">
        <f>IF($O2781="","",INDEX('Kế hoạch'!$AJ$6:$AJ$305,$O2781))</f>
      </c>
      <c r="R2781" s="225">
        <f>IF($O2781="","",INDEX('Kế hoạch'!$AK$6:$AK$305,$O2781))</f>
      </c>
    </row>
    <row r="2782">
      <c r="A2782" s="223">
        <f>IF($C2782="","",COUNTIF($C$6:$C2782,"?*"))</f>
      </c>
      <c r="B2782" s="217"/>
      <c r="C2782" s="216"/>
      <c r="D2782" s="240"/>
      <c r="E2782" s="218"/>
      <c r="F2782" s="218"/>
      <c r="G2782" s="218"/>
      <c r="H2782" s="219"/>
      <c r="I2782" s="223">
        <f>IF($C2782="","",IF(ISNUMBER(MATCH($C2782,'Phản ánh'!$A$6:$A$505,0)),"Phản ánh",IF(ISNUMBER(MATCH($C2782,'Kế hoạch'!$A$6:$A$305,0)),"Công việc","Mã chưa có")))</f>
      </c>
      <c r="J2782" s="221">
        <f>IF($I2782="Phản ánh",INDEX('Phản ánh'!$C$6:$C$505,MATCH($C2782,'Phản ánh'!$A$6:$A$505,0)),IF($I2782="Công việc",INDEX('Kế hoạch'!$C$6:$C$305,$O2782),""))</f>
      </c>
      <c r="K2782" s="221">
        <f>IF($I2782="Phản ánh",INDEX('Phản ánh'!$K$6:$K$505,MATCH($C2782,'Phản ánh'!$A$6:$A$505,0))&amp;"",IF($I2782="Công việc",INDEX('Kế hoạch'!$N$6:$N$305,$O2782)&amp;"",""))</f>
      </c>
      <c r="L2782" s="220">
        <f>IF(OR($C2782="",N($B2782)=0),"",IF(AND($I2782="Phản ánh",$E2782="Đã xử lý"),INDEX('Phản ánh'!$U$6:$U$505,MATCH($C2782,'Phản ánh'!$A$6:$A$505,0)),IF(AND($I2782="Công việc",OR($E2782="Hoàn thành",$E2782="Hoàn thành kỳ")),IF(INDEX('Kế hoạch'!$B$6:$B$305,$O2782)="Đột xuất",INDEX('Kế hoạch'!$AY$6:$AY$305,$O2782),IF(N($P2782)=0,"",IF(INT($B2782)&lt;$P2782,$P2782,IF($Q2782&gt;0,$P2782+ROUND((INT($B2782)-$P2782)/$Q2782,0)*$Q2782,IF($R2782&gt;0,EDATE($P2782,ROUND((DATEDIF($P2782,INT($B2782),"m")+(INT($B2782)-EDATE($P2782,DATEDIF($P2782,INT($B2782),"m")))/(EDATE($P2782,DATEDIF($P2782,INT($B2782),"m")+1)-EDATE($P2782,DATEDIF($P2782,INT($B2782),"m"))))/$R2782,0)*$R2782),$P2782))))),"")))</f>
      </c>
      <c r="M2782" s="223">
        <f>IF(OR($C2782="",N($L2782)=0,N($B2782)=0),"",IF(IF(MOD($L2782,1)=0,INT($B2782),$B2782)&lt;=$L2782,"Đúng hạn","Trễ hạn"))</f>
      </c>
      <c r="N2782" s="225">
        <f>IF($C2782="","",ROW())</f>
      </c>
      <c r="O2782" s="225">
        <f>IF($I2782="Công việc",MATCH($C2782,'Kế hoạch'!$A$6:$A$305,0),"")</f>
      </c>
      <c r="P2782" s="234">
        <f>IF($O2782="","",INDEX('Kế hoạch'!$I$6:$I$305,$O2782))</f>
      </c>
      <c r="Q2782" s="225">
        <f>IF($O2782="","",INDEX('Kế hoạch'!$AJ$6:$AJ$305,$O2782))</f>
      </c>
      <c r="R2782" s="225">
        <f>IF($O2782="","",INDEX('Kế hoạch'!$AK$6:$AK$305,$O2782))</f>
      </c>
    </row>
    <row r="2783">
      <c r="A2783" s="223">
        <f>IF($C2783="","",COUNTIF($C$6:$C2783,"?*"))</f>
      </c>
      <c r="B2783" s="217"/>
      <c r="C2783" s="216"/>
      <c r="D2783" s="240"/>
      <c r="E2783" s="218"/>
      <c r="F2783" s="218"/>
      <c r="G2783" s="218"/>
      <c r="H2783" s="219"/>
      <c r="I2783" s="223">
        <f>IF($C2783="","",IF(ISNUMBER(MATCH($C2783,'Phản ánh'!$A$6:$A$505,0)),"Phản ánh",IF(ISNUMBER(MATCH($C2783,'Kế hoạch'!$A$6:$A$305,0)),"Công việc","Mã chưa có")))</f>
      </c>
      <c r="J2783" s="221">
        <f>IF($I2783="Phản ánh",INDEX('Phản ánh'!$C$6:$C$505,MATCH($C2783,'Phản ánh'!$A$6:$A$505,0)),IF($I2783="Công việc",INDEX('Kế hoạch'!$C$6:$C$305,$O2783),""))</f>
      </c>
      <c r="K2783" s="221">
        <f>IF($I2783="Phản ánh",INDEX('Phản ánh'!$K$6:$K$505,MATCH($C2783,'Phản ánh'!$A$6:$A$505,0))&amp;"",IF($I2783="Công việc",INDEX('Kế hoạch'!$N$6:$N$305,$O2783)&amp;"",""))</f>
      </c>
      <c r="L2783" s="220">
        <f>IF(OR($C2783="",N($B2783)=0),"",IF(AND($I2783="Phản ánh",$E2783="Đã xử lý"),INDEX('Phản ánh'!$U$6:$U$505,MATCH($C2783,'Phản ánh'!$A$6:$A$505,0)),IF(AND($I2783="Công việc",OR($E2783="Hoàn thành",$E2783="Hoàn thành kỳ")),IF(INDEX('Kế hoạch'!$B$6:$B$305,$O2783)="Đột xuất",INDEX('Kế hoạch'!$AY$6:$AY$305,$O2783),IF(N($P2783)=0,"",IF(INT($B2783)&lt;$P2783,$P2783,IF($Q2783&gt;0,$P2783+ROUND((INT($B2783)-$P2783)/$Q2783,0)*$Q2783,IF($R2783&gt;0,EDATE($P2783,ROUND((DATEDIF($P2783,INT($B2783),"m")+(INT($B2783)-EDATE($P2783,DATEDIF($P2783,INT($B2783),"m")))/(EDATE($P2783,DATEDIF($P2783,INT($B2783),"m")+1)-EDATE($P2783,DATEDIF($P2783,INT($B2783),"m"))))/$R2783,0)*$R2783),$P2783))))),"")))</f>
      </c>
      <c r="M2783" s="223">
        <f>IF(OR($C2783="",N($L2783)=0,N($B2783)=0),"",IF(IF(MOD($L2783,1)=0,INT($B2783),$B2783)&lt;=$L2783,"Đúng hạn","Trễ hạn"))</f>
      </c>
      <c r="N2783" s="225">
        <f>IF($C2783="","",ROW())</f>
      </c>
      <c r="O2783" s="225">
        <f>IF($I2783="Công việc",MATCH($C2783,'Kế hoạch'!$A$6:$A$305,0),"")</f>
      </c>
      <c r="P2783" s="234">
        <f>IF($O2783="","",INDEX('Kế hoạch'!$I$6:$I$305,$O2783))</f>
      </c>
      <c r="Q2783" s="225">
        <f>IF($O2783="","",INDEX('Kế hoạch'!$AJ$6:$AJ$305,$O2783))</f>
      </c>
      <c r="R2783" s="225">
        <f>IF($O2783="","",INDEX('Kế hoạch'!$AK$6:$AK$305,$O2783))</f>
      </c>
    </row>
    <row r="2784">
      <c r="A2784" s="223">
        <f>IF($C2784="","",COUNTIF($C$6:$C2784,"?*"))</f>
      </c>
      <c r="B2784" s="217"/>
      <c r="C2784" s="216"/>
      <c r="D2784" s="240"/>
      <c r="E2784" s="218"/>
      <c r="F2784" s="218"/>
      <c r="G2784" s="218"/>
      <c r="H2784" s="219"/>
      <c r="I2784" s="223">
        <f>IF($C2784="","",IF(ISNUMBER(MATCH($C2784,'Phản ánh'!$A$6:$A$505,0)),"Phản ánh",IF(ISNUMBER(MATCH($C2784,'Kế hoạch'!$A$6:$A$305,0)),"Công việc","Mã chưa có")))</f>
      </c>
      <c r="J2784" s="221">
        <f>IF($I2784="Phản ánh",INDEX('Phản ánh'!$C$6:$C$505,MATCH($C2784,'Phản ánh'!$A$6:$A$505,0)),IF($I2784="Công việc",INDEX('Kế hoạch'!$C$6:$C$305,$O2784),""))</f>
      </c>
      <c r="K2784" s="221">
        <f>IF($I2784="Phản ánh",INDEX('Phản ánh'!$K$6:$K$505,MATCH($C2784,'Phản ánh'!$A$6:$A$505,0))&amp;"",IF($I2784="Công việc",INDEX('Kế hoạch'!$N$6:$N$305,$O2784)&amp;"",""))</f>
      </c>
      <c r="L2784" s="220">
        <f>IF(OR($C2784="",N($B2784)=0),"",IF(AND($I2784="Phản ánh",$E2784="Đã xử lý"),INDEX('Phản ánh'!$U$6:$U$505,MATCH($C2784,'Phản ánh'!$A$6:$A$505,0)),IF(AND($I2784="Công việc",OR($E2784="Hoàn thành",$E2784="Hoàn thành kỳ")),IF(INDEX('Kế hoạch'!$B$6:$B$305,$O2784)="Đột xuất",INDEX('Kế hoạch'!$AY$6:$AY$305,$O2784),IF(N($P2784)=0,"",IF(INT($B2784)&lt;$P2784,$P2784,IF($Q2784&gt;0,$P2784+ROUND((INT($B2784)-$P2784)/$Q2784,0)*$Q2784,IF($R2784&gt;0,EDATE($P2784,ROUND((DATEDIF($P2784,INT($B2784),"m")+(INT($B2784)-EDATE($P2784,DATEDIF($P2784,INT($B2784),"m")))/(EDATE($P2784,DATEDIF($P2784,INT($B2784),"m")+1)-EDATE($P2784,DATEDIF($P2784,INT($B2784),"m"))))/$R2784,0)*$R2784),$P2784))))),"")))</f>
      </c>
      <c r="M2784" s="223">
        <f>IF(OR($C2784="",N($L2784)=0,N($B2784)=0),"",IF(IF(MOD($L2784,1)=0,INT($B2784),$B2784)&lt;=$L2784,"Đúng hạn","Trễ hạn"))</f>
      </c>
      <c r="N2784" s="225">
        <f>IF($C2784="","",ROW())</f>
      </c>
      <c r="O2784" s="225">
        <f>IF($I2784="Công việc",MATCH($C2784,'Kế hoạch'!$A$6:$A$305,0),"")</f>
      </c>
      <c r="P2784" s="234">
        <f>IF($O2784="","",INDEX('Kế hoạch'!$I$6:$I$305,$O2784))</f>
      </c>
      <c r="Q2784" s="225">
        <f>IF($O2784="","",INDEX('Kế hoạch'!$AJ$6:$AJ$305,$O2784))</f>
      </c>
      <c r="R2784" s="225">
        <f>IF($O2784="","",INDEX('Kế hoạch'!$AK$6:$AK$305,$O2784))</f>
      </c>
    </row>
    <row r="2785">
      <c r="A2785" s="223">
        <f>IF($C2785="","",COUNTIF($C$6:$C2785,"?*"))</f>
      </c>
      <c r="B2785" s="217"/>
      <c r="C2785" s="216"/>
      <c r="D2785" s="240"/>
      <c r="E2785" s="218"/>
      <c r="F2785" s="218"/>
      <c r="G2785" s="218"/>
      <c r="H2785" s="219"/>
      <c r="I2785" s="223">
        <f>IF($C2785="","",IF(ISNUMBER(MATCH($C2785,'Phản ánh'!$A$6:$A$505,0)),"Phản ánh",IF(ISNUMBER(MATCH($C2785,'Kế hoạch'!$A$6:$A$305,0)),"Công việc","Mã chưa có")))</f>
      </c>
      <c r="J2785" s="221">
        <f>IF($I2785="Phản ánh",INDEX('Phản ánh'!$C$6:$C$505,MATCH($C2785,'Phản ánh'!$A$6:$A$505,0)),IF($I2785="Công việc",INDEX('Kế hoạch'!$C$6:$C$305,$O2785),""))</f>
      </c>
      <c r="K2785" s="221">
        <f>IF($I2785="Phản ánh",INDEX('Phản ánh'!$K$6:$K$505,MATCH($C2785,'Phản ánh'!$A$6:$A$505,0))&amp;"",IF($I2785="Công việc",INDEX('Kế hoạch'!$N$6:$N$305,$O2785)&amp;"",""))</f>
      </c>
      <c r="L2785" s="220">
        <f>IF(OR($C2785="",N($B2785)=0),"",IF(AND($I2785="Phản ánh",$E2785="Đã xử lý"),INDEX('Phản ánh'!$U$6:$U$505,MATCH($C2785,'Phản ánh'!$A$6:$A$505,0)),IF(AND($I2785="Công việc",OR($E2785="Hoàn thành",$E2785="Hoàn thành kỳ")),IF(INDEX('Kế hoạch'!$B$6:$B$305,$O2785)="Đột xuất",INDEX('Kế hoạch'!$AY$6:$AY$305,$O2785),IF(N($P2785)=0,"",IF(INT($B2785)&lt;$P2785,$P2785,IF($Q2785&gt;0,$P2785+ROUND((INT($B2785)-$P2785)/$Q2785,0)*$Q2785,IF($R2785&gt;0,EDATE($P2785,ROUND((DATEDIF($P2785,INT($B2785),"m")+(INT($B2785)-EDATE($P2785,DATEDIF($P2785,INT($B2785),"m")))/(EDATE($P2785,DATEDIF($P2785,INT($B2785),"m")+1)-EDATE($P2785,DATEDIF($P2785,INT($B2785),"m"))))/$R2785,0)*$R2785),$P2785))))),"")))</f>
      </c>
      <c r="M2785" s="223">
        <f>IF(OR($C2785="",N($L2785)=0,N($B2785)=0),"",IF(IF(MOD($L2785,1)=0,INT($B2785),$B2785)&lt;=$L2785,"Đúng hạn","Trễ hạn"))</f>
      </c>
      <c r="N2785" s="225">
        <f>IF($C2785="","",ROW())</f>
      </c>
      <c r="O2785" s="225">
        <f>IF($I2785="Công việc",MATCH($C2785,'Kế hoạch'!$A$6:$A$305,0),"")</f>
      </c>
      <c r="P2785" s="234">
        <f>IF($O2785="","",INDEX('Kế hoạch'!$I$6:$I$305,$O2785))</f>
      </c>
      <c r="Q2785" s="225">
        <f>IF($O2785="","",INDEX('Kế hoạch'!$AJ$6:$AJ$305,$O2785))</f>
      </c>
      <c r="R2785" s="225">
        <f>IF($O2785="","",INDEX('Kế hoạch'!$AK$6:$AK$305,$O2785))</f>
      </c>
    </row>
    <row r="2786">
      <c r="A2786" s="223">
        <f>IF($C2786="","",COUNTIF($C$6:$C2786,"?*"))</f>
      </c>
      <c r="B2786" s="217"/>
      <c r="C2786" s="216"/>
      <c r="D2786" s="240"/>
      <c r="E2786" s="218"/>
      <c r="F2786" s="218"/>
      <c r="G2786" s="218"/>
      <c r="H2786" s="219"/>
      <c r="I2786" s="223">
        <f>IF($C2786="","",IF(ISNUMBER(MATCH($C2786,'Phản ánh'!$A$6:$A$505,0)),"Phản ánh",IF(ISNUMBER(MATCH($C2786,'Kế hoạch'!$A$6:$A$305,0)),"Công việc","Mã chưa có")))</f>
      </c>
      <c r="J2786" s="221">
        <f>IF($I2786="Phản ánh",INDEX('Phản ánh'!$C$6:$C$505,MATCH($C2786,'Phản ánh'!$A$6:$A$505,0)),IF($I2786="Công việc",INDEX('Kế hoạch'!$C$6:$C$305,$O2786),""))</f>
      </c>
      <c r="K2786" s="221">
        <f>IF($I2786="Phản ánh",INDEX('Phản ánh'!$K$6:$K$505,MATCH($C2786,'Phản ánh'!$A$6:$A$505,0))&amp;"",IF($I2786="Công việc",INDEX('Kế hoạch'!$N$6:$N$305,$O2786)&amp;"",""))</f>
      </c>
      <c r="L2786" s="220">
        <f>IF(OR($C2786="",N($B2786)=0),"",IF(AND($I2786="Phản ánh",$E2786="Đã xử lý"),INDEX('Phản ánh'!$U$6:$U$505,MATCH($C2786,'Phản ánh'!$A$6:$A$505,0)),IF(AND($I2786="Công việc",OR($E2786="Hoàn thành",$E2786="Hoàn thành kỳ")),IF(INDEX('Kế hoạch'!$B$6:$B$305,$O2786)="Đột xuất",INDEX('Kế hoạch'!$AY$6:$AY$305,$O2786),IF(N($P2786)=0,"",IF(INT($B2786)&lt;$P2786,$P2786,IF($Q2786&gt;0,$P2786+ROUND((INT($B2786)-$P2786)/$Q2786,0)*$Q2786,IF($R2786&gt;0,EDATE($P2786,ROUND((DATEDIF($P2786,INT($B2786),"m")+(INT($B2786)-EDATE($P2786,DATEDIF($P2786,INT($B2786),"m")))/(EDATE($P2786,DATEDIF($P2786,INT($B2786),"m")+1)-EDATE($P2786,DATEDIF($P2786,INT($B2786),"m"))))/$R2786,0)*$R2786),$P2786))))),"")))</f>
      </c>
      <c r="M2786" s="223">
        <f>IF(OR($C2786="",N($L2786)=0,N($B2786)=0),"",IF(IF(MOD($L2786,1)=0,INT($B2786),$B2786)&lt;=$L2786,"Đúng hạn","Trễ hạn"))</f>
      </c>
      <c r="N2786" s="225">
        <f>IF($C2786="","",ROW())</f>
      </c>
      <c r="O2786" s="225">
        <f>IF($I2786="Công việc",MATCH($C2786,'Kế hoạch'!$A$6:$A$305,0),"")</f>
      </c>
      <c r="P2786" s="234">
        <f>IF($O2786="","",INDEX('Kế hoạch'!$I$6:$I$305,$O2786))</f>
      </c>
      <c r="Q2786" s="225">
        <f>IF($O2786="","",INDEX('Kế hoạch'!$AJ$6:$AJ$305,$O2786))</f>
      </c>
      <c r="R2786" s="225">
        <f>IF($O2786="","",INDEX('Kế hoạch'!$AK$6:$AK$305,$O2786))</f>
      </c>
    </row>
    <row r="2787">
      <c r="A2787" s="223">
        <f>IF($C2787="","",COUNTIF($C$6:$C2787,"?*"))</f>
      </c>
      <c r="B2787" s="217"/>
      <c r="C2787" s="216"/>
      <c r="D2787" s="240"/>
      <c r="E2787" s="218"/>
      <c r="F2787" s="218"/>
      <c r="G2787" s="218"/>
      <c r="H2787" s="219"/>
      <c r="I2787" s="223">
        <f>IF($C2787="","",IF(ISNUMBER(MATCH($C2787,'Phản ánh'!$A$6:$A$505,0)),"Phản ánh",IF(ISNUMBER(MATCH($C2787,'Kế hoạch'!$A$6:$A$305,0)),"Công việc","Mã chưa có")))</f>
      </c>
      <c r="J2787" s="221">
        <f>IF($I2787="Phản ánh",INDEX('Phản ánh'!$C$6:$C$505,MATCH($C2787,'Phản ánh'!$A$6:$A$505,0)),IF($I2787="Công việc",INDEX('Kế hoạch'!$C$6:$C$305,$O2787),""))</f>
      </c>
      <c r="K2787" s="221">
        <f>IF($I2787="Phản ánh",INDEX('Phản ánh'!$K$6:$K$505,MATCH($C2787,'Phản ánh'!$A$6:$A$505,0))&amp;"",IF($I2787="Công việc",INDEX('Kế hoạch'!$N$6:$N$305,$O2787)&amp;"",""))</f>
      </c>
      <c r="L2787" s="220">
        <f>IF(OR($C2787="",N($B2787)=0),"",IF(AND($I2787="Phản ánh",$E2787="Đã xử lý"),INDEX('Phản ánh'!$U$6:$U$505,MATCH($C2787,'Phản ánh'!$A$6:$A$505,0)),IF(AND($I2787="Công việc",OR($E2787="Hoàn thành",$E2787="Hoàn thành kỳ")),IF(INDEX('Kế hoạch'!$B$6:$B$305,$O2787)="Đột xuất",INDEX('Kế hoạch'!$AY$6:$AY$305,$O2787),IF(N($P2787)=0,"",IF(INT($B2787)&lt;$P2787,$P2787,IF($Q2787&gt;0,$P2787+ROUND((INT($B2787)-$P2787)/$Q2787,0)*$Q2787,IF($R2787&gt;0,EDATE($P2787,ROUND((DATEDIF($P2787,INT($B2787),"m")+(INT($B2787)-EDATE($P2787,DATEDIF($P2787,INT($B2787),"m")))/(EDATE($P2787,DATEDIF($P2787,INT($B2787),"m")+1)-EDATE($P2787,DATEDIF($P2787,INT($B2787),"m"))))/$R2787,0)*$R2787),$P2787))))),"")))</f>
      </c>
      <c r="M2787" s="223">
        <f>IF(OR($C2787="",N($L2787)=0,N($B2787)=0),"",IF(IF(MOD($L2787,1)=0,INT($B2787),$B2787)&lt;=$L2787,"Đúng hạn","Trễ hạn"))</f>
      </c>
      <c r="N2787" s="225">
        <f>IF($C2787="","",ROW())</f>
      </c>
      <c r="O2787" s="225">
        <f>IF($I2787="Công việc",MATCH($C2787,'Kế hoạch'!$A$6:$A$305,0),"")</f>
      </c>
      <c r="P2787" s="234">
        <f>IF($O2787="","",INDEX('Kế hoạch'!$I$6:$I$305,$O2787))</f>
      </c>
      <c r="Q2787" s="225">
        <f>IF($O2787="","",INDEX('Kế hoạch'!$AJ$6:$AJ$305,$O2787))</f>
      </c>
      <c r="R2787" s="225">
        <f>IF($O2787="","",INDEX('Kế hoạch'!$AK$6:$AK$305,$O2787))</f>
      </c>
    </row>
    <row r="2788">
      <c r="A2788" s="223">
        <f>IF($C2788="","",COUNTIF($C$6:$C2788,"?*"))</f>
      </c>
      <c r="B2788" s="217"/>
      <c r="C2788" s="216"/>
      <c r="D2788" s="240"/>
      <c r="E2788" s="218"/>
      <c r="F2788" s="218"/>
      <c r="G2788" s="218"/>
      <c r="H2788" s="219"/>
      <c r="I2788" s="223">
        <f>IF($C2788="","",IF(ISNUMBER(MATCH($C2788,'Phản ánh'!$A$6:$A$505,0)),"Phản ánh",IF(ISNUMBER(MATCH($C2788,'Kế hoạch'!$A$6:$A$305,0)),"Công việc","Mã chưa có")))</f>
      </c>
      <c r="J2788" s="221">
        <f>IF($I2788="Phản ánh",INDEX('Phản ánh'!$C$6:$C$505,MATCH($C2788,'Phản ánh'!$A$6:$A$505,0)),IF($I2788="Công việc",INDEX('Kế hoạch'!$C$6:$C$305,$O2788),""))</f>
      </c>
      <c r="K2788" s="221">
        <f>IF($I2788="Phản ánh",INDEX('Phản ánh'!$K$6:$K$505,MATCH($C2788,'Phản ánh'!$A$6:$A$505,0))&amp;"",IF($I2788="Công việc",INDEX('Kế hoạch'!$N$6:$N$305,$O2788)&amp;"",""))</f>
      </c>
      <c r="L2788" s="220">
        <f>IF(OR($C2788="",N($B2788)=0),"",IF(AND($I2788="Phản ánh",$E2788="Đã xử lý"),INDEX('Phản ánh'!$U$6:$U$505,MATCH($C2788,'Phản ánh'!$A$6:$A$505,0)),IF(AND($I2788="Công việc",OR($E2788="Hoàn thành",$E2788="Hoàn thành kỳ")),IF(INDEX('Kế hoạch'!$B$6:$B$305,$O2788)="Đột xuất",INDEX('Kế hoạch'!$AY$6:$AY$305,$O2788),IF(N($P2788)=0,"",IF(INT($B2788)&lt;$P2788,$P2788,IF($Q2788&gt;0,$P2788+ROUND((INT($B2788)-$P2788)/$Q2788,0)*$Q2788,IF($R2788&gt;0,EDATE($P2788,ROUND((DATEDIF($P2788,INT($B2788),"m")+(INT($B2788)-EDATE($P2788,DATEDIF($P2788,INT($B2788),"m")))/(EDATE($P2788,DATEDIF($P2788,INT($B2788),"m")+1)-EDATE($P2788,DATEDIF($P2788,INT($B2788),"m"))))/$R2788,0)*$R2788),$P2788))))),"")))</f>
      </c>
      <c r="M2788" s="223">
        <f>IF(OR($C2788="",N($L2788)=0,N($B2788)=0),"",IF(IF(MOD($L2788,1)=0,INT($B2788),$B2788)&lt;=$L2788,"Đúng hạn","Trễ hạn"))</f>
      </c>
      <c r="N2788" s="225">
        <f>IF($C2788="","",ROW())</f>
      </c>
      <c r="O2788" s="225">
        <f>IF($I2788="Công việc",MATCH($C2788,'Kế hoạch'!$A$6:$A$305,0),"")</f>
      </c>
      <c r="P2788" s="234">
        <f>IF($O2788="","",INDEX('Kế hoạch'!$I$6:$I$305,$O2788))</f>
      </c>
      <c r="Q2788" s="225">
        <f>IF($O2788="","",INDEX('Kế hoạch'!$AJ$6:$AJ$305,$O2788))</f>
      </c>
      <c r="R2788" s="225">
        <f>IF($O2788="","",INDEX('Kế hoạch'!$AK$6:$AK$305,$O2788))</f>
      </c>
    </row>
    <row r="2789">
      <c r="A2789" s="223">
        <f>IF($C2789="","",COUNTIF($C$6:$C2789,"?*"))</f>
      </c>
      <c r="B2789" s="217"/>
      <c r="C2789" s="216"/>
      <c r="D2789" s="240"/>
      <c r="E2789" s="218"/>
      <c r="F2789" s="218"/>
      <c r="G2789" s="218"/>
      <c r="H2789" s="219"/>
      <c r="I2789" s="223">
        <f>IF($C2789="","",IF(ISNUMBER(MATCH($C2789,'Phản ánh'!$A$6:$A$505,0)),"Phản ánh",IF(ISNUMBER(MATCH($C2789,'Kế hoạch'!$A$6:$A$305,0)),"Công việc","Mã chưa có")))</f>
      </c>
      <c r="J2789" s="221">
        <f>IF($I2789="Phản ánh",INDEX('Phản ánh'!$C$6:$C$505,MATCH($C2789,'Phản ánh'!$A$6:$A$505,0)),IF($I2789="Công việc",INDEX('Kế hoạch'!$C$6:$C$305,$O2789),""))</f>
      </c>
      <c r="K2789" s="221">
        <f>IF($I2789="Phản ánh",INDEX('Phản ánh'!$K$6:$K$505,MATCH($C2789,'Phản ánh'!$A$6:$A$505,0))&amp;"",IF($I2789="Công việc",INDEX('Kế hoạch'!$N$6:$N$305,$O2789)&amp;"",""))</f>
      </c>
      <c r="L2789" s="220">
        <f>IF(OR($C2789="",N($B2789)=0),"",IF(AND($I2789="Phản ánh",$E2789="Đã xử lý"),INDEX('Phản ánh'!$U$6:$U$505,MATCH($C2789,'Phản ánh'!$A$6:$A$505,0)),IF(AND($I2789="Công việc",OR($E2789="Hoàn thành",$E2789="Hoàn thành kỳ")),IF(INDEX('Kế hoạch'!$B$6:$B$305,$O2789)="Đột xuất",INDEX('Kế hoạch'!$AY$6:$AY$305,$O2789),IF(N($P2789)=0,"",IF(INT($B2789)&lt;$P2789,$P2789,IF($Q2789&gt;0,$P2789+ROUND((INT($B2789)-$P2789)/$Q2789,0)*$Q2789,IF($R2789&gt;0,EDATE($P2789,ROUND((DATEDIF($P2789,INT($B2789),"m")+(INT($B2789)-EDATE($P2789,DATEDIF($P2789,INT($B2789),"m")))/(EDATE($P2789,DATEDIF($P2789,INT($B2789),"m")+1)-EDATE($P2789,DATEDIF($P2789,INT($B2789),"m"))))/$R2789,0)*$R2789),$P2789))))),"")))</f>
      </c>
      <c r="M2789" s="223">
        <f>IF(OR($C2789="",N($L2789)=0,N($B2789)=0),"",IF(IF(MOD($L2789,1)=0,INT($B2789),$B2789)&lt;=$L2789,"Đúng hạn","Trễ hạn"))</f>
      </c>
      <c r="N2789" s="225">
        <f>IF($C2789="","",ROW())</f>
      </c>
      <c r="O2789" s="225">
        <f>IF($I2789="Công việc",MATCH($C2789,'Kế hoạch'!$A$6:$A$305,0),"")</f>
      </c>
      <c r="P2789" s="234">
        <f>IF($O2789="","",INDEX('Kế hoạch'!$I$6:$I$305,$O2789))</f>
      </c>
      <c r="Q2789" s="225">
        <f>IF($O2789="","",INDEX('Kế hoạch'!$AJ$6:$AJ$305,$O2789))</f>
      </c>
      <c r="R2789" s="225">
        <f>IF($O2789="","",INDEX('Kế hoạch'!$AK$6:$AK$305,$O2789))</f>
      </c>
    </row>
    <row r="2790">
      <c r="A2790" s="223">
        <f>IF($C2790="","",COUNTIF($C$6:$C2790,"?*"))</f>
      </c>
      <c r="B2790" s="217"/>
      <c r="C2790" s="216"/>
      <c r="D2790" s="240"/>
      <c r="E2790" s="218"/>
      <c r="F2790" s="218"/>
      <c r="G2790" s="218"/>
      <c r="H2790" s="219"/>
      <c r="I2790" s="223">
        <f>IF($C2790="","",IF(ISNUMBER(MATCH($C2790,'Phản ánh'!$A$6:$A$505,0)),"Phản ánh",IF(ISNUMBER(MATCH($C2790,'Kế hoạch'!$A$6:$A$305,0)),"Công việc","Mã chưa có")))</f>
      </c>
      <c r="J2790" s="221">
        <f>IF($I2790="Phản ánh",INDEX('Phản ánh'!$C$6:$C$505,MATCH($C2790,'Phản ánh'!$A$6:$A$505,0)),IF($I2790="Công việc",INDEX('Kế hoạch'!$C$6:$C$305,$O2790),""))</f>
      </c>
      <c r="K2790" s="221">
        <f>IF($I2790="Phản ánh",INDEX('Phản ánh'!$K$6:$K$505,MATCH($C2790,'Phản ánh'!$A$6:$A$505,0))&amp;"",IF($I2790="Công việc",INDEX('Kế hoạch'!$N$6:$N$305,$O2790)&amp;"",""))</f>
      </c>
      <c r="L2790" s="220">
        <f>IF(OR($C2790="",N($B2790)=0),"",IF(AND($I2790="Phản ánh",$E2790="Đã xử lý"),INDEX('Phản ánh'!$U$6:$U$505,MATCH($C2790,'Phản ánh'!$A$6:$A$505,0)),IF(AND($I2790="Công việc",OR($E2790="Hoàn thành",$E2790="Hoàn thành kỳ")),IF(INDEX('Kế hoạch'!$B$6:$B$305,$O2790)="Đột xuất",INDEX('Kế hoạch'!$AY$6:$AY$305,$O2790),IF(N($P2790)=0,"",IF(INT($B2790)&lt;$P2790,$P2790,IF($Q2790&gt;0,$P2790+ROUND((INT($B2790)-$P2790)/$Q2790,0)*$Q2790,IF($R2790&gt;0,EDATE($P2790,ROUND((DATEDIF($P2790,INT($B2790),"m")+(INT($B2790)-EDATE($P2790,DATEDIF($P2790,INT($B2790),"m")))/(EDATE($P2790,DATEDIF($P2790,INT($B2790),"m")+1)-EDATE($P2790,DATEDIF($P2790,INT($B2790),"m"))))/$R2790,0)*$R2790),$P2790))))),"")))</f>
      </c>
      <c r="M2790" s="223">
        <f>IF(OR($C2790="",N($L2790)=0,N($B2790)=0),"",IF(IF(MOD($L2790,1)=0,INT($B2790),$B2790)&lt;=$L2790,"Đúng hạn","Trễ hạn"))</f>
      </c>
      <c r="N2790" s="225">
        <f>IF($C2790="","",ROW())</f>
      </c>
      <c r="O2790" s="225">
        <f>IF($I2790="Công việc",MATCH($C2790,'Kế hoạch'!$A$6:$A$305,0),"")</f>
      </c>
      <c r="P2790" s="234">
        <f>IF($O2790="","",INDEX('Kế hoạch'!$I$6:$I$305,$O2790))</f>
      </c>
      <c r="Q2790" s="225">
        <f>IF($O2790="","",INDEX('Kế hoạch'!$AJ$6:$AJ$305,$O2790))</f>
      </c>
      <c r="R2790" s="225">
        <f>IF($O2790="","",INDEX('Kế hoạch'!$AK$6:$AK$305,$O2790))</f>
      </c>
    </row>
    <row r="2791">
      <c r="A2791" s="223">
        <f>IF($C2791="","",COUNTIF($C$6:$C2791,"?*"))</f>
      </c>
      <c r="B2791" s="217"/>
      <c r="C2791" s="216"/>
      <c r="D2791" s="240"/>
      <c r="E2791" s="218"/>
      <c r="F2791" s="218"/>
      <c r="G2791" s="218"/>
      <c r="H2791" s="219"/>
      <c r="I2791" s="223">
        <f>IF($C2791="","",IF(ISNUMBER(MATCH($C2791,'Phản ánh'!$A$6:$A$505,0)),"Phản ánh",IF(ISNUMBER(MATCH($C2791,'Kế hoạch'!$A$6:$A$305,0)),"Công việc","Mã chưa có")))</f>
      </c>
      <c r="J2791" s="221">
        <f>IF($I2791="Phản ánh",INDEX('Phản ánh'!$C$6:$C$505,MATCH($C2791,'Phản ánh'!$A$6:$A$505,0)),IF($I2791="Công việc",INDEX('Kế hoạch'!$C$6:$C$305,$O2791),""))</f>
      </c>
      <c r="K2791" s="221">
        <f>IF($I2791="Phản ánh",INDEX('Phản ánh'!$K$6:$K$505,MATCH($C2791,'Phản ánh'!$A$6:$A$505,0))&amp;"",IF($I2791="Công việc",INDEX('Kế hoạch'!$N$6:$N$305,$O2791)&amp;"",""))</f>
      </c>
      <c r="L2791" s="220">
        <f>IF(OR($C2791="",N($B2791)=0),"",IF(AND($I2791="Phản ánh",$E2791="Đã xử lý"),INDEX('Phản ánh'!$U$6:$U$505,MATCH($C2791,'Phản ánh'!$A$6:$A$505,0)),IF(AND($I2791="Công việc",OR($E2791="Hoàn thành",$E2791="Hoàn thành kỳ")),IF(INDEX('Kế hoạch'!$B$6:$B$305,$O2791)="Đột xuất",INDEX('Kế hoạch'!$AY$6:$AY$305,$O2791),IF(N($P2791)=0,"",IF(INT($B2791)&lt;$P2791,$P2791,IF($Q2791&gt;0,$P2791+ROUND((INT($B2791)-$P2791)/$Q2791,0)*$Q2791,IF($R2791&gt;0,EDATE($P2791,ROUND((DATEDIF($P2791,INT($B2791),"m")+(INT($B2791)-EDATE($P2791,DATEDIF($P2791,INT($B2791),"m")))/(EDATE($P2791,DATEDIF($P2791,INT($B2791),"m")+1)-EDATE($P2791,DATEDIF($P2791,INT($B2791),"m"))))/$R2791,0)*$R2791),$P2791))))),"")))</f>
      </c>
      <c r="M2791" s="223">
        <f>IF(OR($C2791="",N($L2791)=0,N($B2791)=0),"",IF(IF(MOD($L2791,1)=0,INT($B2791),$B2791)&lt;=$L2791,"Đúng hạn","Trễ hạn"))</f>
      </c>
      <c r="N2791" s="225">
        <f>IF($C2791="","",ROW())</f>
      </c>
      <c r="O2791" s="225">
        <f>IF($I2791="Công việc",MATCH($C2791,'Kế hoạch'!$A$6:$A$305,0),"")</f>
      </c>
      <c r="P2791" s="234">
        <f>IF($O2791="","",INDEX('Kế hoạch'!$I$6:$I$305,$O2791))</f>
      </c>
      <c r="Q2791" s="225">
        <f>IF($O2791="","",INDEX('Kế hoạch'!$AJ$6:$AJ$305,$O2791))</f>
      </c>
      <c r="R2791" s="225">
        <f>IF($O2791="","",INDEX('Kế hoạch'!$AK$6:$AK$305,$O2791))</f>
      </c>
    </row>
    <row r="2792">
      <c r="A2792" s="223">
        <f>IF($C2792="","",COUNTIF($C$6:$C2792,"?*"))</f>
      </c>
      <c r="B2792" s="217"/>
      <c r="C2792" s="216"/>
      <c r="D2792" s="240"/>
      <c r="E2792" s="218"/>
      <c r="F2792" s="218"/>
      <c r="G2792" s="218"/>
      <c r="H2792" s="219"/>
      <c r="I2792" s="223">
        <f>IF($C2792="","",IF(ISNUMBER(MATCH($C2792,'Phản ánh'!$A$6:$A$505,0)),"Phản ánh",IF(ISNUMBER(MATCH($C2792,'Kế hoạch'!$A$6:$A$305,0)),"Công việc","Mã chưa có")))</f>
      </c>
      <c r="J2792" s="221">
        <f>IF($I2792="Phản ánh",INDEX('Phản ánh'!$C$6:$C$505,MATCH($C2792,'Phản ánh'!$A$6:$A$505,0)),IF($I2792="Công việc",INDEX('Kế hoạch'!$C$6:$C$305,$O2792),""))</f>
      </c>
      <c r="K2792" s="221">
        <f>IF($I2792="Phản ánh",INDEX('Phản ánh'!$K$6:$K$505,MATCH($C2792,'Phản ánh'!$A$6:$A$505,0))&amp;"",IF($I2792="Công việc",INDEX('Kế hoạch'!$N$6:$N$305,$O2792)&amp;"",""))</f>
      </c>
      <c r="L2792" s="220">
        <f>IF(OR($C2792="",N($B2792)=0),"",IF(AND($I2792="Phản ánh",$E2792="Đã xử lý"),INDEX('Phản ánh'!$U$6:$U$505,MATCH($C2792,'Phản ánh'!$A$6:$A$505,0)),IF(AND($I2792="Công việc",OR($E2792="Hoàn thành",$E2792="Hoàn thành kỳ")),IF(INDEX('Kế hoạch'!$B$6:$B$305,$O2792)="Đột xuất",INDEX('Kế hoạch'!$AY$6:$AY$305,$O2792),IF(N($P2792)=0,"",IF(INT($B2792)&lt;$P2792,$P2792,IF($Q2792&gt;0,$P2792+ROUND((INT($B2792)-$P2792)/$Q2792,0)*$Q2792,IF($R2792&gt;0,EDATE($P2792,ROUND((DATEDIF($P2792,INT($B2792),"m")+(INT($B2792)-EDATE($P2792,DATEDIF($P2792,INT($B2792),"m")))/(EDATE($P2792,DATEDIF($P2792,INT($B2792),"m")+1)-EDATE($P2792,DATEDIF($P2792,INT($B2792),"m"))))/$R2792,0)*$R2792),$P2792))))),"")))</f>
      </c>
      <c r="M2792" s="223">
        <f>IF(OR($C2792="",N($L2792)=0,N($B2792)=0),"",IF(IF(MOD($L2792,1)=0,INT($B2792),$B2792)&lt;=$L2792,"Đúng hạn","Trễ hạn"))</f>
      </c>
      <c r="N2792" s="225">
        <f>IF($C2792="","",ROW())</f>
      </c>
      <c r="O2792" s="225">
        <f>IF($I2792="Công việc",MATCH($C2792,'Kế hoạch'!$A$6:$A$305,0),"")</f>
      </c>
      <c r="P2792" s="234">
        <f>IF($O2792="","",INDEX('Kế hoạch'!$I$6:$I$305,$O2792))</f>
      </c>
      <c r="Q2792" s="225">
        <f>IF($O2792="","",INDEX('Kế hoạch'!$AJ$6:$AJ$305,$O2792))</f>
      </c>
      <c r="R2792" s="225">
        <f>IF($O2792="","",INDEX('Kế hoạch'!$AK$6:$AK$305,$O2792))</f>
      </c>
    </row>
    <row r="2793">
      <c r="A2793" s="223">
        <f>IF($C2793="","",COUNTIF($C$6:$C2793,"?*"))</f>
      </c>
      <c r="B2793" s="217"/>
      <c r="C2793" s="216"/>
      <c r="D2793" s="240"/>
      <c r="E2793" s="218"/>
      <c r="F2793" s="218"/>
      <c r="G2793" s="218"/>
      <c r="H2793" s="219"/>
      <c r="I2793" s="223">
        <f>IF($C2793="","",IF(ISNUMBER(MATCH($C2793,'Phản ánh'!$A$6:$A$505,0)),"Phản ánh",IF(ISNUMBER(MATCH($C2793,'Kế hoạch'!$A$6:$A$305,0)),"Công việc","Mã chưa có")))</f>
      </c>
      <c r="J2793" s="221">
        <f>IF($I2793="Phản ánh",INDEX('Phản ánh'!$C$6:$C$505,MATCH($C2793,'Phản ánh'!$A$6:$A$505,0)),IF($I2793="Công việc",INDEX('Kế hoạch'!$C$6:$C$305,$O2793),""))</f>
      </c>
      <c r="K2793" s="221">
        <f>IF($I2793="Phản ánh",INDEX('Phản ánh'!$K$6:$K$505,MATCH($C2793,'Phản ánh'!$A$6:$A$505,0))&amp;"",IF($I2793="Công việc",INDEX('Kế hoạch'!$N$6:$N$305,$O2793)&amp;"",""))</f>
      </c>
      <c r="L2793" s="220">
        <f>IF(OR($C2793="",N($B2793)=0),"",IF(AND($I2793="Phản ánh",$E2793="Đã xử lý"),INDEX('Phản ánh'!$U$6:$U$505,MATCH($C2793,'Phản ánh'!$A$6:$A$505,0)),IF(AND($I2793="Công việc",OR($E2793="Hoàn thành",$E2793="Hoàn thành kỳ")),IF(INDEX('Kế hoạch'!$B$6:$B$305,$O2793)="Đột xuất",INDEX('Kế hoạch'!$AY$6:$AY$305,$O2793),IF(N($P2793)=0,"",IF(INT($B2793)&lt;$P2793,$P2793,IF($Q2793&gt;0,$P2793+ROUND((INT($B2793)-$P2793)/$Q2793,0)*$Q2793,IF($R2793&gt;0,EDATE($P2793,ROUND((DATEDIF($P2793,INT($B2793),"m")+(INT($B2793)-EDATE($P2793,DATEDIF($P2793,INT($B2793),"m")))/(EDATE($P2793,DATEDIF($P2793,INT($B2793),"m")+1)-EDATE($P2793,DATEDIF($P2793,INT($B2793),"m"))))/$R2793,0)*$R2793),$P2793))))),"")))</f>
      </c>
      <c r="M2793" s="223">
        <f>IF(OR($C2793="",N($L2793)=0,N($B2793)=0),"",IF(IF(MOD($L2793,1)=0,INT($B2793),$B2793)&lt;=$L2793,"Đúng hạn","Trễ hạn"))</f>
      </c>
      <c r="N2793" s="225">
        <f>IF($C2793="","",ROW())</f>
      </c>
      <c r="O2793" s="225">
        <f>IF($I2793="Công việc",MATCH($C2793,'Kế hoạch'!$A$6:$A$305,0),"")</f>
      </c>
      <c r="P2793" s="234">
        <f>IF($O2793="","",INDEX('Kế hoạch'!$I$6:$I$305,$O2793))</f>
      </c>
      <c r="Q2793" s="225">
        <f>IF($O2793="","",INDEX('Kế hoạch'!$AJ$6:$AJ$305,$O2793))</f>
      </c>
      <c r="R2793" s="225">
        <f>IF($O2793="","",INDEX('Kế hoạch'!$AK$6:$AK$305,$O2793))</f>
      </c>
    </row>
    <row r="2794">
      <c r="A2794" s="223">
        <f>IF($C2794="","",COUNTIF($C$6:$C2794,"?*"))</f>
      </c>
      <c r="B2794" s="217"/>
      <c r="C2794" s="216"/>
      <c r="D2794" s="240"/>
      <c r="E2794" s="218"/>
      <c r="F2794" s="218"/>
      <c r="G2794" s="218"/>
      <c r="H2794" s="219"/>
      <c r="I2794" s="223">
        <f>IF($C2794="","",IF(ISNUMBER(MATCH($C2794,'Phản ánh'!$A$6:$A$505,0)),"Phản ánh",IF(ISNUMBER(MATCH($C2794,'Kế hoạch'!$A$6:$A$305,0)),"Công việc","Mã chưa có")))</f>
      </c>
      <c r="J2794" s="221">
        <f>IF($I2794="Phản ánh",INDEX('Phản ánh'!$C$6:$C$505,MATCH($C2794,'Phản ánh'!$A$6:$A$505,0)),IF($I2794="Công việc",INDEX('Kế hoạch'!$C$6:$C$305,$O2794),""))</f>
      </c>
      <c r="K2794" s="221">
        <f>IF($I2794="Phản ánh",INDEX('Phản ánh'!$K$6:$K$505,MATCH($C2794,'Phản ánh'!$A$6:$A$505,0))&amp;"",IF($I2794="Công việc",INDEX('Kế hoạch'!$N$6:$N$305,$O2794)&amp;"",""))</f>
      </c>
      <c r="L2794" s="220">
        <f>IF(OR($C2794="",N($B2794)=0),"",IF(AND($I2794="Phản ánh",$E2794="Đã xử lý"),INDEX('Phản ánh'!$U$6:$U$505,MATCH($C2794,'Phản ánh'!$A$6:$A$505,0)),IF(AND($I2794="Công việc",OR($E2794="Hoàn thành",$E2794="Hoàn thành kỳ")),IF(INDEX('Kế hoạch'!$B$6:$B$305,$O2794)="Đột xuất",INDEX('Kế hoạch'!$AY$6:$AY$305,$O2794),IF(N($P2794)=0,"",IF(INT($B2794)&lt;$P2794,$P2794,IF($Q2794&gt;0,$P2794+ROUND((INT($B2794)-$P2794)/$Q2794,0)*$Q2794,IF($R2794&gt;0,EDATE($P2794,ROUND((DATEDIF($P2794,INT($B2794),"m")+(INT($B2794)-EDATE($P2794,DATEDIF($P2794,INT($B2794),"m")))/(EDATE($P2794,DATEDIF($P2794,INT($B2794),"m")+1)-EDATE($P2794,DATEDIF($P2794,INT($B2794),"m"))))/$R2794,0)*$R2794),$P2794))))),"")))</f>
      </c>
      <c r="M2794" s="223">
        <f>IF(OR($C2794="",N($L2794)=0,N($B2794)=0),"",IF(IF(MOD($L2794,1)=0,INT($B2794),$B2794)&lt;=$L2794,"Đúng hạn","Trễ hạn"))</f>
      </c>
      <c r="N2794" s="225">
        <f>IF($C2794="","",ROW())</f>
      </c>
      <c r="O2794" s="225">
        <f>IF($I2794="Công việc",MATCH($C2794,'Kế hoạch'!$A$6:$A$305,0),"")</f>
      </c>
      <c r="P2794" s="234">
        <f>IF($O2794="","",INDEX('Kế hoạch'!$I$6:$I$305,$O2794))</f>
      </c>
      <c r="Q2794" s="225">
        <f>IF($O2794="","",INDEX('Kế hoạch'!$AJ$6:$AJ$305,$O2794))</f>
      </c>
      <c r="R2794" s="225">
        <f>IF($O2794="","",INDEX('Kế hoạch'!$AK$6:$AK$305,$O2794))</f>
      </c>
    </row>
    <row r="2795">
      <c r="A2795" s="223">
        <f>IF($C2795="","",COUNTIF($C$6:$C2795,"?*"))</f>
      </c>
      <c r="B2795" s="217"/>
      <c r="C2795" s="216"/>
      <c r="D2795" s="240"/>
      <c r="E2795" s="218"/>
      <c r="F2795" s="218"/>
      <c r="G2795" s="218"/>
      <c r="H2795" s="219"/>
      <c r="I2795" s="223">
        <f>IF($C2795="","",IF(ISNUMBER(MATCH($C2795,'Phản ánh'!$A$6:$A$505,0)),"Phản ánh",IF(ISNUMBER(MATCH($C2795,'Kế hoạch'!$A$6:$A$305,0)),"Công việc","Mã chưa có")))</f>
      </c>
      <c r="J2795" s="221">
        <f>IF($I2795="Phản ánh",INDEX('Phản ánh'!$C$6:$C$505,MATCH($C2795,'Phản ánh'!$A$6:$A$505,0)),IF($I2795="Công việc",INDEX('Kế hoạch'!$C$6:$C$305,$O2795),""))</f>
      </c>
      <c r="K2795" s="221">
        <f>IF($I2795="Phản ánh",INDEX('Phản ánh'!$K$6:$K$505,MATCH($C2795,'Phản ánh'!$A$6:$A$505,0))&amp;"",IF($I2795="Công việc",INDEX('Kế hoạch'!$N$6:$N$305,$O2795)&amp;"",""))</f>
      </c>
      <c r="L2795" s="220">
        <f>IF(OR($C2795="",N($B2795)=0),"",IF(AND($I2795="Phản ánh",$E2795="Đã xử lý"),INDEX('Phản ánh'!$U$6:$U$505,MATCH($C2795,'Phản ánh'!$A$6:$A$505,0)),IF(AND($I2795="Công việc",OR($E2795="Hoàn thành",$E2795="Hoàn thành kỳ")),IF(INDEX('Kế hoạch'!$B$6:$B$305,$O2795)="Đột xuất",INDEX('Kế hoạch'!$AY$6:$AY$305,$O2795),IF(N($P2795)=0,"",IF(INT($B2795)&lt;$P2795,$P2795,IF($Q2795&gt;0,$P2795+ROUND((INT($B2795)-$P2795)/$Q2795,0)*$Q2795,IF($R2795&gt;0,EDATE($P2795,ROUND((DATEDIF($P2795,INT($B2795),"m")+(INT($B2795)-EDATE($P2795,DATEDIF($P2795,INT($B2795),"m")))/(EDATE($P2795,DATEDIF($P2795,INT($B2795),"m")+1)-EDATE($P2795,DATEDIF($P2795,INT($B2795),"m"))))/$R2795,0)*$R2795),$P2795))))),"")))</f>
      </c>
      <c r="M2795" s="223">
        <f>IF(OR($C2795="",N($L2795)=0,N($B2795)=0),"",IF(IF(MOD($L2795,1)=0,INT($B2795),$B2795)&lt;=$L2795,"Đúng hạn","Trễ hạn"))</f>
      </c>
      <c r="N2795" s="225">
        <f>IF($C2795="","",ROW())</f>
      </c>
      <c r="O2795" s="225">
        <f>IF($I2795="Công việc",MATCH($C2795,'Kế hoạch'!$A$6:$A$305,0),"")</f>
      </c>
      <c r="P2795" s="234">
        <f>IF($O2795="","",INDEX('Kế hoạch'!$I$6:$I$305,$O2795))</f>
      </c>
      <c r="Q2795" s="225">
        <f>IF($O2795="","",INDEX('Kế hoạch'!$AJ$6:$AJ$305,$O2795))</f>
      </c>
      <c r="R2795" s="225">
        <f>IF($O2795="","",INDEX('Kế hoạch'!$AK$6:$AK$305,$O2795))</f>
      </c>
    </row>
    <row r="2796">
      <c r="A2796" s="223">
        <f>IF($C2796="","",COUNTIF($C$6:$C2796,"?*"))</f>
      </c>
      <c r="B2796" s="217"/>
      <c r="C2796" s="216"/>
      <c r="D2796" s="240"/>
      <c r="E2796" s="218"/>
      <c r="F2796" s="218"/>
      <c r="G2796" s="218"/>
      <c r="H2796" s="219"/>
      <c r="I2796" s="223">
        <f>IF($C2796="","",IF(ISNUMBER(MATCH($C2796,'Phản ánh'!$A$6:$A$505,0)),"Phản ánh",IF(ISNUMBER(MATCH($C2796,'Kế hoạch'!$A$6:$A$305,0)),"Công việc","Mã chưa có")))</f>
      </c>
      <c r="J2796" s="221">
        <f>IF($I2796="Phản ánh",INDEX('Phản ánh'!$C$6:$C$505,MATCH($C2796,'Phản ánh'!$A$6:$A$505,0)),IF($I2796="Công việc",INDEX('Kế hoạch'!$C$6:$C$305,$O2796),""))</f>
      </c>
      <c r="K2796" s="221">
        <f>IF($I2796="Phản ánh",INDEX('Phản ánh'!$K$6:$K$505,MATCH($C2796,'Phản ánh'!$A$6:$A$505,0))&amp;"",IF($I2796="Công việc",INDEX('Kế hoạch'!$N$6:$N$305,$O2796)&amp;"",""))</f>
      </c>
      <c r="L2796" s="220">
        <f>IF(OR($C2796="",N($B2796)=0),"",IF(AND($I2796="Phản ánh",$E2796="Đã xử lý"),INDEX('Phản ánh'!$U$6:$U$505,MATCH($C2796,'Phản ánh'!$A$6:$A$505,0)),IF(AND($I2796="Công việc",OR($E2796="Hoàn thành",$E2796="Hoàn thành kỳ")),IF(INDEX('Kế hoạch'!$B$6:$B$305,$O2796)="Đột xuất",INDEX('Kế hoạch'!$AY$6:$AY$305,$O2796),IF(N($P2796)=0,"",IF(INT($B2796)&lt;$P2796,$P2796,IF($Q2796&gt;0,$P2796+ROUND((INT($B2796)-$P2796)/$Q2796,0)*$Q2796,IF($R2796&gt;0,EDATE($P2796,ROUND((DATEDIF($P2796,INT($B2796),"m")+(INT($B2796)-EDATE($P2796,DATEDIF($P2796,INT($B2796),"m")))/(EDATE($P2796,DATEDIF($P2796,INT($B2796),"m")+1)-EDATE($P2796,DATEDIF($P2796,INT($B2796),"m"))))/$R2796,0)*$R2796),$P2796))))),"")))</f>
      </c>
      <c r="M2796" s="223">
        <f>IF(OR($C2796="",N($L2796)=0,N($B2796)=0),"",IF(IF(MOD($L2796,1)=0,INT($B2796),$B2796)&lt;=$L2796,"Đúng hạn","Trễ hạn"))</f>
      </c>
      <c r="N2796" s="225">
        <f>IF($C2796="","",ROW())</f>
      </c>
      <c r="O2796" s="225">
        <f>IF($I2796="Công việc",MATCH($C2796,'Kế hoạch'!$A$6:$A$305,0),"")</f>
      </c>
      <c r="P2796" s="234">
        <f>IF($O2796="","",INDEX('Kế hoạch'!$I$6:$I$305,$O2796))</f>
      </c>
      <c r="Q2796" s="225">
        <f>IF($O2796="","",INDEX('Kế hoạch'!$AJ$6:$AJ$305,$O2796))</f>
      </c>
      <c r="R2796" s="225">
        <f>IF($O2796="","",INDEX('Kế hoạch'!$AK$6:$AK$305,$O2796))</f>
      </c>
    </row>
    <row r="2797">
      <c r="A2797" s="223">
        <f>IF($C2797="","",COUNTIF($C$6:$C2797,"?*"))</f>
      </c>
      <c r="B2797" s="217"/>
      <c r="C2797" s="216"/>
      <c r="D2797" s="240"/>
      <c r="E2797" s="218"/>
      <c r="F2797" s="218"/>
      <c r="G2797" s="218"/>
      <c r="H2797" s="219"/>
      <c r="I2797" s="223">
        <f>IF($C2797="","",IF(ISNUMBER(MATCH($C2797,'Phản ánh'!$A$6:$A$505,0)),"Phản ánh",IF(ISNUMBER(MATCH($C2797,'Kế hoạch'!$A$6:$A$305,0)),"Công việc","Mã chưa có")))</f>
      </c>
      <c r="J2797" s="221">
        <f>IF($I2797="Phản ánh",INDEX('Phản ánh'!$C$6:$C$505,MATCH($C2797,'Phản ánh'!$A$6:$A$505,0)),IF($I2797="Công việc",INDEX('Kế hoạch'!$C$6:$C$305,$O2797),""))</f>
      </c>
      <c r="K2797" s="221">
        <f>IF($I2797="Phản ánh",INDEX('Phản ánh'!$K$6:$K$505,MATCH($C2797,'Phản ánh'!$A$6:$A$505,0))&amp;"",IF($I2797="Công việc",INDEX('Kế hoạch'!$N$6:$N$305,$O2797)&amp;"",""))</f>
      </c>
      <c r="L2797" s="220">
        <f>IF(OR($C2797="",N($B2797)=0),"",IF(AND($I2797="Phản ánh",$E2797="Đã xử lý"),INDEX('Phản ánh'!$U$6:$U$505,MATCH($C2797,'Phản ánh'!$A$6:$A$505,0)),IF(AND($I2797="Công việc",OR($E2797="Hoàn thành",$E2797="Hoàn thành kỳ")),IF(INDEX('Kế hoạch'!$B$6:$B$305,$O2797)="Đột xuất",INDEX('Kế hoạch'!$AY$6:$AY$305,$O2797),IF(N($P2797)=0,"",IF(INT($B2797)&lt;$P2797,$P2797,IF($Q2797&gt;0,$P2797+ROUND((INT($B2797)-$P2797)/$Q2797,0)*$Q2797,IF($R2797&gt;0,EDATE($P2797,ROUND((DATEDIF($P2797,INT($B2797),"m")+(INT($B2797)-EDATE($P2797,DATEDIF($P2797,INT($B2797),"m")))/(EDATE($P2797,DATEDIF($P2797,INT($B2797),"m")+1)-EDATE($P2797,DATEDIF($P2797,INT($B2797),"m"))))/$R2797,0)*$R2797),$P2797))))),"")))</f>
      </c>
      <c r="M2797" s="223">
        <f>IF(OR($C2797="",N($L2797)=0,N($B2797)=0),"",IF(IF(MOD($L2797,1)=0,INT($B2797),$B2797)&lt;=$L2797,"Đúng hạn","Trễ hạn"))</f>
      </c>
      <c r="N2797" s="225">
        <f>IF($C2797="","",ROW())</f>
      </c>
      <c r="O2797" s="225">
        <f>IF($I2797="Công việc",MATCH($C2797,'Kế hoạch'!$A$6:$A$305,0),"")</f>
      </c>
      <c r="P2797" s="234">
        <f>IF($O2797="","",INDEX('Kế hoạch'!$I$6:$I$305,$O2797))</f>
      </c>
      <c r="Q2797" s="225">
        <f>IF($O2797="","",INDEX('Kế hoạch'!$AJ$6:$AJ$305,$O2797))</f>
      </c>
      <c r="R2797" s="225">
        <f>IF($O2797="","",INDEX('Kế hoạch'!$AK$6:$AK$305,$O2797))</f>
      </c>
    </row>
    <row r="2798">
      <c r="A2798" s="223">
        <f>IF($C2798="","",COUNTIF($C$6:$C2798,"?*"))</f>
      </c>
      <c r="B2798" s="217"/>
      <c r="C2798" s="216"/>
      <c r="D2798" s="240"/>
      <c r="E2798" s="218"/>
      <c r="F2798" s="218"/>
      <c r="G2798" s="218"/>
      <c r="H2798" s="219"/>
      <c r="I2798" s="223">
        <f>IF($C2798="","",IF(ISNUMBER(MATCH($C2798,'Phản ánh'!$A$6:$A$505,0)),"Phản ánh",IF(ISNUMBER(MATCH($C2798,'Kế hoạch'!$A$6:$A$305,0)),"Công việc","Mã chưa có")))</f>
      </c>
      <c r="J2798" s="221">
        <f>IF($I2798="Phản ánh",INDEX('Phản ánh'!$C$6:$C$505,MATCH($C2798,'Phản ánh'!$A$6:$A$505,0)),IF($I2798="Công việc",INDEX('Kế hoạch'!$C$6:$C$305,$O2798),""))</f>
      </c>
      <c r="K2798" s="221">
        <f>IF($I2798="Phản ánh",INDEX('Phản ánh'!$K$6:$K$505,MATCH($C2798,'Phản ánh'!$A$6:$A$505,0))&amp;"",IF($I2798="Công việc",INDEX('Kế hoạch'!$N$6:$N$305,$O2798)&amp;"",""))</f>
      </c>
      <c r="L2798" s="220">
        <f>IF(OR($C2798="",N($B2798)=0),"",IF(AND($I2798="Phản ánh",$E2798="Đã xử lý"),INDEX('Phản ánh'!$U$6:$U$505,MATCH($C2798,'Phản ánh'!$A$6:$A$505,0)),IF(AND($I2798="Công việc",OR($E2798="Hoàn thành",$E2798="Hoàn thành kỳ")),IF(INDEX('Kế hoạch'!$B$6:$B$305,$O2798)="Đột xuất",INDEX('Kế hoạch'!$AY$6:$AY$305,$O2798),IF(N($P2798)=0,"",IF(INT($B2798)&lt;$P2798,$P2798,IF($Q2798&gt;0,$P2798+ROUND((INT($B2798)-$P2798)/$Q2798,0)*$Q2798,IF($R2798&gt;0,EDATE($P2798,ROUND((DATEDIF($P2798,INT($B2798),"m")+(INT($B2798)-EDATE($P2798,DATEDIF($P2798,INT($B2798),"m")))/(EDATE($P2798,DATEDIF($P2798,INT($B2798),"m")+1)-EDATE($P2798,DATEDIF($P2798,INT($B2798),"m"))))/$R2798,0)*$R2798),$P2798))))),"")))</f>
      </c>
      <c r="M2798" s="223">
        <f>IF(OR($C2798="",N($L2798)=0,N($B2798)=0),"",IF(IF(MOD($L2798,1)=0,INT($B2798),$B2798)&lt;=$L2798,"Đúng hạn","Trễ hạn"))</f>
      </c>
      <c r="N2798" s="225">
        <f>IF($C2798="","",ROW())</f>
      </c>
      <c r="O2798" s="225">
        <f>IF($I2798="Công việc",MATCH($C2798,'Kế hoạch'!$A$6:$A$305,0),"")</f>
      </c>
      <c r="P2798" s="234">
        <f>IF($O2798="","",INDEX('Kế hoạch'!$I$6:$I$305,$O2798))</f>
      </c>
      <c r="Q2798" s="225">
        <f>IF($O2798="","",INDEX('Kế hoạch'!$AJ$6:$AJ$305,$O2798))</f>
      </c>
      <c r="R2798" s="225">
        <f>IF($O2798="","",INDEX('Kế hoạch'!$AK$6:$AK$305,$O2798))</f>
      </c>
    </row>
    <row r="2799">
      <c r="A2799" s="223">
        <f>IF($C2799="","",COUNTIF($C$6:$C2799,"?*"))</f>
      </c>
      <c r="B2799" s="217"/>
      <c r="C2799" s="216"/>
      <c r="D2799" s="240"/>
      <c r="E2799" s="218"/>
      <c r="F2799" s="218"/>
      <c r="G2799" s="218"/>
      <c r="H2799" s="219"/>
      <c r="I2799" s="223">
        <f>IF($C2799="","",IF(ISNUMBER(MATCH($C2799,'Phản ánh'!$A$6:$A$505,0)),"Phản ánh",IF(ISNUMBER(MATCH($C2799,'Kế hoạch'!$A$6:$A$305,0)),"Công việc","Mã chưa có")))</f>
      </c>
      <c r="J2799" s="221">
        <f>IF($I2799="Phản ánh",INDEX('Phản ánh'!$C$6:$C$505,MATCH($C2799,'Phản ánh'!$A$6:$A$505,0)),IF($I2799="Công việc",INDEX('Kế hoạch'!$C$6:$C$305,$O2799),""))</f>
      </c>
      <c r="K2799" s="221">
        <f>IF($I2799="Phản ánh",INDEX('Phản ánh'!$K$6:$K$505,MATCH($C2799,'Phản ánh'!$A$6:$A$505,0))&amp;"",IF($I2799="Công việc",INDEX('Kế hoạch'!$N$6:$N$305,$O2799)&amp;"",""))</f>
      </c>
      <c r="L2799" s="220">
        <f>IF(OR($C2799="",N($B2799)=0),"",IF(AND($I2799="Phản ánh",$E2799="Đã xử lý"),INDEX('Phản ánh'!$U$6:$U$505,MATCH($C2799,'Phản ánh'!$A$6:$A$505,0)),IF(AND($I2799="Công việc",OR($E2799="Hoàn thành",$E2799="Hoàn thành kỳ")),IF(INDEX('Kế hoạch'!$B$6:$B$305,$O2799)="Đột xuất",INDEX('Kế hoạch'!$AY$6:$AY$305,$O2799),IF(N($P2799)=0,"",IF(INT($B2799)&lt;$P2799,$P2799,IF($Q2799&gt;0,$P2799+ROUND((INT($B2799)-$P2799)/$Q2799,0)*$Q2799,IF($R2799&gt;0,EDATE($P2799,ROUND((DATEDIF($P2799,INT($B2799),"m")+(INT($B2799)-EDATE($P2799,DATEDIF($P2799,INT($B2799),"m")))/(EDATE($P2799,DATEDIF($P2799,INT($B2799),"m")+1)-EDATE($P2799,DATEDIF($P2799,INT($B2799),"m"))))/$R2799,0)*$R2799),$P2799))))),"")))</f>
      </c>
      <c r="M2799" s="223">
        <f>IF(OR($C2799="",N($L2799)=0,N($B2799)=0),"",IF(IF(MOD($L2799,1)=0,INT($B2799),$B2799)&lt;=$L2799,"Đúng hạn","Trễ hạn"))</f>
      </c>
      <c r="N2799" s="225">
        <f>IF($C2799="","",ROW())</f>
      </c>
      <c r="O2799" s="225">
        <f>IF($I2799="Công việc",MATCH($C2799,'Kế hoạch'!$A$6:$A$305,0),"")</f>
      </c>
      <c r="P2799" s="234">
        <f>IF($O2799="","",INDEX('Kế hoạch'!$I$6:$I$305,$O2799))</f>
      </c>
      <c r="Q2799" s="225">
        <f>IF($O2799="","",INDEX('Kế hoạch'!$AJ$6:$AJ$305,$O2799))</f>
      </c>
      <c r="R2799" s="225">
        <f>IF($O2799="","",INDEX('Kế hoạch'!$AK$6:$AK$305,$O2799))</f>
      </c>
    </row>
    <row r="2800">
      <c r="A2800" s="223">
        <f>IF($C2800="","",COUNTIF($C$6:$C2800,"?*"))</f>
      </c>
      <c r="B2800" s="217"/>
      <c r="C2800" s="216"/>
      <c r="D2800" s="240"/>
      <c r="E2800" s="218"/>
      <c r="F2800" s="218"/>
      <c r="G2800" s="218"/>
      <c r="H2800" s="219"/>
      <c r="I2800" s="223">
        <f>IF($C2800="","",IF(ISNUMBER(MATCH($C2800,'Phản ánh'!$A$6:$A$505,0)),"Phản ánh",IF(ISNUMBER(MATCH($C2800,'Kế hoạch'!$A$6:$A$305,0)),"Công việc","Mã chưa có")))</f>
      </c>
      <c r="J2800" s="221">
        <f>IF($I2800="Phản ánh",INDEX('Phản ánh'!$C$6:$C$505,MATCH($C2800,'Phản ánh'!$A$6:$A$505,0)),IF($I2800="Công việc",INDEX('Kế hoạch'!$C$6:$C$305,$O2800),""))</f>
      </c>
      <c r="K2800" s="221">
        <f>IF($I2800="Phản ánh",INDEX('Phản ánh'!$K$6:$K$505,MATCH($C2800,'Phản ánh'!$A$6:$A$505,0))&amp;"",IF($I2800="Công việc",INDEX('Kế hoạch'!$N$6:$N$305,$O2800)&amp;"",""))</f>
      </c>
      <c r="L2800" s="220">
        <f>IF(OR($C2800="",N($B2800)=0),"",IF(AND($I2800="Phản ánh",$E2800="Đã xử lý"),INDEX('Phản ánh'!$U$6:$U$505,MATCH($C2800,'Phản ánh'!$A$6:$A$505,0)),IF(AND($I2800="Công việc",OR($E2800="Hoàn thành",$E2800="Hoàn thành kỳ")),IF(INDEX('Kế hoạch'!$B$6:$B$305,$O2800)="Đột xuất",INDEX('Kế hoạch'!$AY$6:$AY$305,$O2800),IF(N($P2800)=0,"",IF(INT($B2800)&lt;$P2800,$P2800,IF($Q2800&gt;0,$P2800+ROUND((INT($B2800)-$P2800)/$Q2800,0)*$Q2800,IF($R2800&gt;0,EDATE($P2800,ROUND((DATEDIF($P2800,INT($B2800),"m")+(INT($B2800)-EDATE($P2800,DATEDIF($P2800,INT($B2800),"m")))/(EDATE($P2800,DATEDIF($P2800,INT($B2800),"m")+1)-EDATE($P2800,DATEDIF($P2800,INT($B2800),"m"))))/$R2800,0)*$R2800),$P2800))))),"")))</f>
      </c>
      <c r="M2800" s="223">
        <f>IF(OR($C2800="",N($L2800)=0,N($B2800)=0),"",IF(IF(MOD($L2800,1)=0,INT($B2800),$B2800)&lt;=$L2800,"Đúng hạn","Trễ hạn"))</f>
      </c>
      <c r="N2800" s="225">
        <f>IF($C2800="","",ROW())</f>
      </c>
      <c r="O2800" s="225">
        <f>IF($I2800="Công việc",MATCH($C2800,'Kế hoạch'!$A$6:$A$305,0),"")</f>
      </c>
      <c r="P2800" s="234">
        <f>IF($O2800="","",INDEX('Kế hoạch'!$I$6:$I$305,$O2800))</f>
      </c>
      <c r="Q2800" s="225">
        <f>IF($O2800="","",INDEX('Kế hoạch'!$AJ$6:$AJ$305,$O2800))</f>
      </c>
      <c r="R2800" s="225">
        <f>IF($O2800="","",INDEX('Kế hoạch'!$AK$6:$AK$305,$O2800))</f>
      </c>
    </row>
    <row r="2801">
      <c r="A2801" s="223">
        <f>IF($C2801="","",COUNTIF($C$6:$C2801,"?*"))</f>
      </c>
      <c r="B2801" s="217"/>
      <c r="C2801" s="216"/>
      <c r="D2801" s="240"/>
      <c r="E2801" s="218"/>
      <c r="F2801" s="218"/>
      <c r="G2801" s="218"/>
      <c r="H2801" s="219"/>
      <c r="I2801" s="223">
        <f>IF($C2801="","",IF(ISNUMBER(MATCH($C2801,'Phản ánh'!$A$6:$A$505,0)),"Phản ánh",IF(ISNUMBER(MATCH($C2801,'Kế hoạch'!$A$6:$A$305,0)),"Công việc","Mã chưa có")))</f>
      </c>
      <c r="J2801" s="221">
        <f>IF($I2801="Phản ánh",INDEX('Phản ánh'!$C$6:$C$505,MATCH($C2801,'Phản ánh'!$A$6:$A$505,0)),IF($I2801="Công việc",INDEX('Kế hoạch'!$C$6:$C$305,$O2801),""))</f>
      </c>
      <c r="K2801" s="221">
        <f>IF($I2801="Phản ánh",INDEX('Phản ánh'!$K$6:$K$505,MATCH($C2801,'Phản ánh'!$A$6:$A$505,0))&amp;"",IF($I2801="Công việc",INDEX('Kế hoạch'!$N$6:$N$305,$O2801)&amp;"",""))</f>
      </c>
      <c r="L2801" s="220">
        <f>IF(OR($C2801="",N($B2801)=0),"",IF(AND($I2801="Phản ánh",$E2801="Đã xử lý"),INDEX('Phản ánh'!$U$6:$U$505,MATCH($C2801,'Phản ánh'!$A$6:$A$505,0)),IF(AND($I2801="Công việc",OR($E2801="Hoàn thành",$E2801="Hoàn thành kỳ")),IF(INDEX('Kế hoạch'!$B$6:$B$305,$O2801)="Đột xuất",INDEX('Kế hoạch'!$AY$6:$AY$305,$O2801),IF(N($P2801)=0,"",IF(INT($B2801)&lt;$P2801,$P2801,IF($Q2801&gt;0,$P2801+ROUND((INT($B2801)-$P2801)/$Q2801,0)*$Q2801,IF($R2801&gt;0,EDATE($P2801,ROUND((DATEDIF($P2801,INT($B2801),"m")+(INT($B2801)-EDATE($P2801,DATEDIF($P2801,INT($B2801),"m")))/(EDATE($P2801,DATEDIF($P2801,INT($B2801),"m")+1)-EDATE($P2801,DATEDIF($P2801,INT($B2801),"m"))))/$R2801,0)*$R2801),$P2801))))),"")))</f>
      </c>
      <c r="M2801" s="223">
        <f>IF(OR($C2801="",N($L2801)=0,N($B2801)=0),"",IF(IF(MOD($L2801,1)=0,INT($B2801),$B2801)&lt;=$L2801,"Đúng hạn","Trễ hạn"))</f>
      </c>
      <c r="N2801" s="225">
        <f>IF($C2801="","",ROW())</f>
      </c>
      <c r="O2801" s="225">
        <f>IF($I2801="Công việc",MATCH($C2801,'Kế hoạch'!$A$6:$A$305,0),"")</f>
      </c>
      <c r="P2801" s="234">
        <f>IF($O2801="","",INDEX('Kế hoạch'!$I$6:$I$305,$O2801))</f>
      </c>
      <c r="Q2801" s="225">
        <f>IF($O2801="","",INDEX('Kế hoạch'!$AJ$6:$AJ$305,$O2801))</f>
      </c>
      <c r="R2801" s="225">
        <f>IF($O2801="","",INDEX('Kế hoạch'!$AK$6:$AK$305,$O2801))</f>
      </c>
    </row>
    <row r="2802">
      <c r="A2802" s="223">
        <f>IF($C2802="","",COUNTIF($C$6:$C2802,"?*"))</f>
      </c>
      <c r="B2802" s="217"/>
      <c r="C2802" s="216"/>
      <c r="D2802" s="240"/>
      <c r="E2802" s="218"/>
      <c r="F2802" s="218"/>
      <c r="G2802" s="218"/>
      <c r="H2802" s="219"/>
      <c r="I2802" s="223">
        <f>IF($C2802="","",IF(ISNUMBER(MATCH($C2802,'Phản ánh'!$A$6:$A$505,0)),"Phản ánh",IF(ISNUMBER(MATCH($C2802,'Kế hoạch'!$A$6:$A$305,0)),"Công việc","Mã chưa có")))</f>
      </c>
      <c r="J2802" s="221">
        <f>IF($I2802="Phản ánh",INDEX('Phản ánh'!$C$6:$C$505,MATCH($C2802,'Phản ánh'!$A$6:$A$505,0)),IF($I2802="Công việc",INDEX('Kế hoạch'!$C$6:$C$305,$O2802),""))</f>
      </c>
      <c r="K2802" s="221">
        <f>IF($I2802="Phản ánh",INDEX('Phản ánh'!$K$6:$K$505,MATCH($C2802,'Phản ánh'!$A$6:$A$505,0))&amp;"",IF($I2802="Công việc",INDEX('Kế hoạch'!$N$6:$N$305,$O2802)&amp;"",""))</f>
      </c>
      <c r="L2802" s="220">
        <f>IF(OR($C2802="",N($B2802)=0),"",IF(AND($I2802="Phản ánh",$E2802="Đã xử lý"),INDEX('Phản ánh'!$U$6:$U$505,MATCH($C2802,'Phản ánh'!$A$6:$A$505,0)),IF(AND($I2802="Công việc",OR($E2802="Hoàn thành",$E2802="Hoàn thành kỳ")),IF(INDEX('Kế hoạch'!$B$6:$B$305,$O2802)="Đột xuất",INDEX('Kế hoạch'!$AY$6:$AY$305,$O2802),IF(N($P2802)=0,"",IF(INT($B2802)&lt;$P2802,$P2802,IF($Q2802&gt;0,$P2802+ROUND((INT($B2802)-$P2802)/$Q2802,0)*$Q2802,IF($R2802&gt;0,EDATE($P2802,ROUND((DATEDIF($P2802,INT($B2802),"m")+(INT($B2802)-EDATE($P2802,DATEDIF($P2802,INT($B2802),"m")))/(EDATE($P2802,DATEDIF($P2802,INT($B2802),"m")+1)-EDATE($P2802,DATEDIF($P2802,INT($B2802),"m"))))/$R2802,0)*$R2802),$P2802))))),"")))</f>
      </c>
      <c r="M2802" s="223">
        <f>IF(OR($C2802="",N($L2802)=0,N($B2802)=0),"",IF(IF(MOD($L2802,1)=0,INT($B2802),$B2802)&lt;=$L2802,"Đúng hạn","Trễ hạn"))</f>
      </c>
      <c r="N2802" s="225">
        <f>IF($C2802="","",ROW())</f>
      </c>
      <c r="O2802" s="225">
        <f>IF($I2802="Công việc",MATCH($C2802,'Kế hoạch'!$A$6:$A$305,0),"")</f>
      </c>
      <c r="P2802" s="234">
        <f>IF($O2802="","",INDEX('Kế hoạch'!$I$6:$I$305,$O2802))</f>
      </c>
      <c r="Q2802" s="225">
        <f>IF($O2802="","",INDEX('Kế hoạch'!$AJ$6:$AJ$305,$O2802))</f>
      </c>
      <c r="R2802" s="225">
        <f>IF($O2802="","",INDEX('Kế hoạch'!$AK$6:$AK$305,$O2802))</f>
      </c>
    </row>
    <row r="2803">
      <c r="A2803" s="223">
        <f>IF($C2803="","",COUNTIF($C$6:$C2803,"?*"))</f>
      </c>
      <c r="B2803" s="217"/>
      <c r="C2803" s="216"/>
      <c r="D2803" s="240"/>
      <c r="E2803" s="218"/>
      <c r="F2803" s="218"/>
      <c r="G2803" s="218"/>
      <c r="H2803" s="219"/>
      <c r="I2803" s="223">
        <f>IF($C2803="","",IF(ISNUMBER(MATCH($C2803,'Phản ánh'!$A$6:$A$505,0)),"Phản ánh",IF(ISNUMBER(MATCH($C2803,'Kế hoạch'!$A$6:$A$305,0)),"Công việc","Mã chưa có")))</f>
      </c>
      <c r="J2803" s="221">
        <f>IF($I2803="Phản ánh",INDEX('Phản ánh'!$C$6:$C$505,MATCH($C2803,'Phản ánh'!$A$6:$A$505,0)),IF($I2803="Công việc",INDEX('Kế hoạch'!$C$6:$C$305,$O2803),""))</f>
      </c>
      <c r="K2803" s="221">
        <f>IF($I2803="Phản ánh",INDEX('Phản ánh'!$K$6:$K$505,MATCH($C2803,'Phản ánh'!$A$6:$A$505,0))&amp;"",IF($I2803="Công việc",INDEX('Kế hoạch'!$N$6:$N$305,$O2803)&amp;"",""))</f>
      </c>
      <c r="L2803" s="220">
        <f>IF(OR($C2803="",N($B2803)=0),"",IF(AND($I2803="Phản ánh",$E2803="Đã xử lý"),INDEX('Phản ánh'!$U$6:$U$505,MATCH($C2803,'Phản ánh'!$A$6:$A$505,0)),IF(AND($I2803="Công việc",OR($E2803="Hoàn thành",$E2803="Hoàn thành kỳ")),IF(INDEX('Kế hoạch'!$B$6:$B$305,$O2803)="Đột xuất",INDEX('Kế hoạch'!$AY$6:$AY$305,$O2803),IF(N($P2803)=0,"",IF(INT($B2803)&lt;$P2803,$P2803,IF($Q2803&gt;0,$P2803+ROUND((INT($B2803)-$P2803)/$Q2803,0)*$Q2803,IF($R2803&gt;0,EDATE($P2803,ROUND((DATEDIF($P2803,INT($B2803),"m")+(INT($B2803)-EDATE($P2803,DATEDIF($P2803,INT($B2803),"m")))/(EDATE($P2803,DATEDIF($P2803,INT($B2803),"m")+1)-EDATE($P2803,DATEDIF($P2803,INT($B2803),"m"))))/$R2803,0)*$R2803),$P2803))))),"")))</f>
      </c>
      <c r="M2803" s="223">
        <f>IF(OR($C2803="",N($L2803)=0,N($B2803)=0),"",IF(IF(MOD($L2803,1)=0,INT($B2803),$B2803)&lt;=$L2803,"Đúng hạn","Trễ hạn"))</f>
      </c>
      <c r="N2803" s="225">
        <f>IF($C2803="","",ROW())</f>
      </c>
      <c r="O2803" s="225">
        <f>IF($I2803="Công việc",MATCH($C2803,'Kế hoạch'!$A$6:$A$305,0),"")</f>
      </c>
      <c r="P2803" s="234">
        <f>IF($O2803="","",INDEX('Kế hoạch'!$I$6:$I$305,$O2803))</f>
      </c>
      <c r="Q2803" s="225">
        <f>IF($O2803="","",INDEX('Kế hoạch'!$AJ$6:$AJ$305,$O2803))</f>
      </c>
      <c r="R2803" s="225">
        <f>IF($O2803="","",INDEX('Kế hoạch'!$AK$6:$AK$305,$O2803))</f>
      </c>
    </row>
    <row r="2804">
      <c r="A2804" s="223">
        <f>IF($C2804="","",COUNTIF($C$6:$C2804,"?*"))</f>
      </c>
      <c r="B2804" s="217"/>
      <c r="C2804" s="216"/>
      <c r="D2804" s="240"/>
      <c r="E2804" s="218"/>
      <c r="F2804" s="218"/>
      <c r="G2804" s="218"/>
      <c r="H2804" s="219"/>
      <c r="I2804" s="223">
        <f>IF($C2804="","",IF(ISNUMBER(MATCH($C2804,'Phản ánh'!$A$6:$A$505,0)),"Phản ánh",IF(ISNUMBER(MATCH($C2804,'Kế hoạch'!$A$6:$A$305,0)),"Công việc","Mã chưa có")))</f>
      </c>
      <c r="J2804" s="221">
        <f>IF($I2804="Phản ánh",INDEX('Phản ánh'!$C$6:$C$505,MATCH($C2804,'Phản ánh'!$A$6:$A$505,0)),IF($I2804="Công việc",INDEX('Kế hoạch'!$C$6:$C$305,$O2804),""))</f>
      </c>
      <c r="K2804" s="221">
        <f>IF($I2804="Phản ánh",INDEX('Phản ánh'!$K$6:$K$505,MATCH($C2804,'Phản ánh'!$A$6:$A$505,0))&amp;"",IF($I2804="Công việc",INDEX('Kế hoạch'!$N$6:$N$305,$O2804)&amp;"",""))</f>
      </c>
      <c r="L2804" s="220">
        <f>IF(OR($C2804="",N($B2804)=0),"",IF(AND($I2804="Phản ánh",$E2804="Đã xử lý"),INDEX('Phản ánh'!$U$6:$U$505,MATCH($C2804,'Phản ánh'!$A$6:$A$505,0)),IF(AND($I2804="Công việc",OR($E2804="Hoàn thành",$E2804="Hoàn thành kỳ")),IF(INDEX('Kế hoạch'!$B$6:$B$305,$O2804)="Đột xuất",INDEX('Kế hoạch'!$AY$6:$AY$305,$O2804),IF(N($P2804)=0,"",IF(INT($B2804)&lt;$P2804,$P2804,IF($Q2804&gt;0,$P2804+ROUND((INT($B2804)-$P2804)/$Q2804,0)*$Q2804,IF($R2804&gt;0,EDATE($P2804,ROUND((DATEDIF($P2804,INT($B2804),"m")+(INT($B2804)-EDATE($P2804,DATEDIF($P2804,INT($B2804),"m")))/(EDATE($P2804,DATEDIF($P2804,INT($B2804),"m")+1)-EDATE($P2804,DATEDIF($P2804,INT($B2804),"m"))))/$R2804,0)*$R2804),$P2804))))),"")))</f>
      </c>
      <c r="M2804" s="223">
        <f>IF(OR($C2804="",N($L2804)=0,N($B2804)=0),"",IF(IF(MOD($L2804,1)=0,INT($B2804),$B2804)&lt;=$L2804,"Đúng hạn","Trễ hạn"))</f>
      </c>
      <c r="N2804" s="225">
        <f>IF($C2804="","",ROW())</f>
      </c>
      <c r="O2804" s="225">
        <f>IF($I2804="Công việc",MATCH($C2804,'Kế hoạch'!$A$6:$A$305,0),"")</f>
      </c>
      <c r="P2804" s="234">
        <f>IF($O2804="","",INDEX('Kế hoạch'!$I$6:$I$305,$O2804))</f>
      </c>
      <c r="Q2804" s="225">
        <f>IF($O2804="","",INDEX('Kế hoạch'!$AJ$6:$AJ$305,$O2804))</f>
      </c>
      <c r="R2804" s="225">
        <f>IF($O2804="","",INDEX('Kế hoạch'!$AK$6:$AK$305,$O2804))</f>
      </c>
    </row>
    <row r="2805">
      <c r="A2805" s="223">
        <f>IF($C2805="","",COUNTIF($C$6:$C2805,"?*"))</f>
      </c>
      <c r="B2805" s="217"/>
      <c r="C2805" s="216"/>
      <c r="D2805" s="240"/>
      <c r="E2805" s="218"/>
      <c r="F2805" s="218"/>
      <c r="G2805" s="218"/>
      <c r="H2805" s="219"/>
      <c r="I2805" s="223">
        <f>IF($C2805="","",IF(ISNUMBER(MATCH($C2805,'Phản ánh'!$A$6:$A$505,0)),"Phản ánh",IF(ISNUMBER(MATCH($C2805,'Kế hoạch'!$A$6:$A$305,0)),"Công việc","Mã chưa có")))</f>
      </c>
      <c r="J2805" s="221">
        <f>IF($I2805="Phản ánh",INDEX('Phản ánh'!$C$6:$C$505,MATCH($C2805,'Phản ánh'!$A$6:$A$505,0)),IF($I2805="Công việc",INDEX('Kế hoạch'!$C$6:$C$305,$O2805),""))</f>
      </c>
      <c r="K2805" s="221">
        <f>IF($I2805="Phản ánh",INDEX('Phản ánh'!$K$6:$K$505,MATCH($C2805,'Phản ánh'!$A$6:$A$505,0))&amp;"",IF($I2805="Công việc",INDEX('Kế hoạch'!$N$6:$N$305,$O2805)&amp;"",""))</f>
      </c>
      <c r="L2805" s="220">
        <f>IF(OR($C2805="",N($B2805)=0),"",IF(AND($I2805="Phản ánh",$E2805="Đã xử lý"),INDEX('Phản ánh'!$U$6:$U$505,MATCH($C2805,'Phản ánh'!$A$6:$A$505,0)),IF(AND($I2805="Công việc",OR($E2805="Hoàn thành",$E2805="Hoàn thành kỳ")),IF(INDEX('Kế hoạch'!$B$6:$B$305,$O2805)="Đột xuất",INDEX('Kế hoạch'!$AY$6:$AY$305,$O2805),IF(N($P2805)=0,"",IF(INT($B2805)&lt;$P2805,$P2805,IF($Q2805&gt;0,$P2805+ROUND((INT($B2805)-$P2805)/$Q2805,0)*$Q2805,IF($R2805&gt;0,EDATE($P2805,ROUND((DATEDIF($P2805,INT($B2805),"m")+(INT($B2805)-EDATE($P2805,DATEDIF($P2805,INT($B2805),"m")))/(EDATE($P2805,DATEDIF($P2805,INT($B2805),"m")+1)-EDATE($P2805,DATEDIF($P2805,INT($B2805),"m"))))/$R2805,0)*$R2805),$P2805))))),"")))</f>
      </c>
      <c r="M2805" s="223">
        <f>IF(OR($C2805="",N($L2805)=0,N($B2805)=0),"",IF(IF(MOD($L2805,1)=0,INT($B2805),$B2805)&lt;=$L2805,"Đúng hạn","Trễ hạn"))</f>
      </c>
      <c r="N2805" s="225">
        <f>IF($C2805="","",ROW())</f>
      </c>
      <c r="O2805" s="225">
        <f>IF($I2805="Công việc",MATCH($C2805,'Kế hoạch'!$A$6:$A$305,0),"")</f>
      </c>
      <c r="P2805" s="234">
        <f>IF($O2805="","",INDEX('Kế hoạch'!$I$6:$I$305,$O2805))</f>
      </c>
      <c r="Q2805" s="225">
        <f>IF($O2805="","",INDEX('Kế hoạch'!$AJ$6:$AJ$305,$O2805))</f>
      </c>
      <c r="R2805" s="225">
        <f>IF($O2805="","",INDEX('Kế hoạch'!$AK$6:$AK$305,$O2805))</f>
      </c>
    </row>
    <row r="2806">
      <c r="A2806" s="223">
        <f>IF($C2806="","",COUNTIF($C$6:$C2806,"?*"))</f>
      </c>
      <c r="B2806" s="217"/>
      <c r="C2806" s="216"/>
      <c r="D2806" s="240"/>
      <c r="E2806" s="218"/>
      <c r="F2806" s="218"/>
      <c r="G2806" s="218"/>
      <c r="H2806" s="219"/>
      <c r="I2806" s="223">
        <f>IF($C2806="","",IF(ISNUMBER(MATCH($C2806,'Phản ánh'!$A$6:$A$505,0)),"Phản ánh",IF(ISNUMBER(MATCH($C2806,'Kế hoạch'!$A$6:$A$305,0)),"Công việc","Mã chưa có")))</f>
      </c>
      <c r="J2806" s="221">
        <f>IF($I2806="Phản ánh",INDEX('Phản ánh'!$C$6:$C$505,MATCH($C2806,'Phản ánh'!$A$6:$A$505,0)),IF($I2806="Công việc",INDEX('Kế hoạch'!$C$6:$C$305,$O2806),""))</f>
      </c>
      <c r="K2806" s="221">
        <f>IF($I2806="Phản ánh",INDEX('Phản ánh'!$K$6:$K$505,MATCH($C2806,'Phản ánh'!$A$6:$A$505,0))&amp;"",IF($I2806="Công việc",INDEX('Kế hoạch'!$N$6:$N$305,$O2806)&amp;"",""))</f>
      </c>
      <c r="L2806" s="220">
        <f>IF(OR($C2806="",N($B2806)=0),"",IF(AND($I2806="Phản ánh",$E2806="Đã xử lý"),INDEX('Phản ánh'!$U$6:$U$505,MATCH($C2806,'Phản ánh'!$A$6:$A$505,0)),IF(AND($I2806="Công việc",OR($E2806="Hoàn thành",$E2806="Hoàn thành kỳ")),IF(INDEX('Kế hoạch'!$B$6:$B$305,$O2806)="Đột xuất",INDEX('Kế hoạch'!$AY$6:$AY$305,$O2806),IF(N($P2806)=0,"",IF(INT($B2806)&lt;$P2806,$P2806,IF($Q2806&gt;0,$P2806+ROUND((INT($B2806)-$P2806)/$Q2806,0)*$Q2806,IF($R2806&gt;0,EDATE($P2806,ROUND((DATEDIF($P2806,INT($B2806),"m")+(INT($B2806)-EDATE($P2806,DATEDIF($P2806,INT($B2806),"m")))/(EDATE($P2806,DATEDIF($P2806,INT($B2806),"m")+1)-EDATE($P2806,DATEDIF($P2806,INT($B2806),"m"))))/$R2806,0)*$R2806),$P2806))))),"")))</f>
      </c>
      <c r="M2806" s="223">
        <f>IF(OR($C2806="",N($L2806)=0,N($B2806)=0),"",IF(IF(MOD($L2806,1)=0,INT($B2806),$B2806)&lt;=$L2806,"Đúng hạn","Trễ hạn"))</f>
      </c>
      <c r="N2806" s="225">
        <f>IF($C2806="","",ROW())</f>
      </c>
      <c r="O2806" s="225">
        <f>IF($I2806="Công việc",MATCH($C2806,'Kế hoạch'!$A$6:$A$305,0),"")</f>
      </c>
      <c r="P2806" s="234">
        <f>IF($O2806="","",INDEX('Kế hoạch'!$I$6:$I$305,$O2806))</f>
      </c>
      <c r="Q2806" s="225">
        <f>IF($O2806="","",INDEX('Kế hoạch'!$AJ$6:$AJ$305,$O2806))</f>
      </c>
      <c r="R2806" s="225">
        <f>IF($O2806="","",INDEX('Kế hoạch'!$AK$6:$AK$305,$O2806))</f>
      </c>
    </row>
    <row r="2807">
      <c r="A2807" s="223">
        <f>IF($C2807="","",COUNTIF($C$6:$C2807,"?*"))</f>
      </c>
      <c r="B2807" s="217"/>
      <c r="C2807" s="216"/>
      <c r="D2807" s="240"/>
      <c r="E2807" s="218"/>
      <c r="F2807" s="218"/>
      <c r="G2807" s="218"/>
      <c r="H2807" s="219"/>
      <c r="I2807" s="223">
        <f>IF($C2807="","",IF(ISNUMBER(MATCH($C2807,'Phản ánh'!$A$6:$A$505,0)),"Phản ánh",IF(ISNUMBER(MATCH($C2807,'Kế hoạch'!$A$6:$A$305,0)),"Công việc","Mã chưa có")))</f>
      </c>
      <c r="J2807" s="221">
        <f>IF($I2807="Phản ánh",INDEX('Phản ánh'!$C$6:$C$505,MATCH($C2807,'Phản ánh'!$A$6:$A$505,0)),IF($I2807="Công việc",INDEX('Kế hoạch'!$C$6:$C$305,$O2807),""))</f>
      </c>
      <c r="K2807" s="221">
        <f>IF($I2807="Phản ánh",INDEX('Phản ánh'!$K$6:$K$505,MATCH($C2807,'Phản ánh'!$A$6:$A$505,0))&amp;"",IF($I2807="Công việc",INDEX('Kế hoạch'!$N$6:$N$305,$O2807)&amp;"",""))</f>
      </c>
      <c r="L2807" s="220">
        <f>IF(OR($C2807="",N($B2807)=0),"",IF(AND($I2807="Phản ánh",$E2807="Đã xử lý"),INDEX('Phản ánh'!$U$6:$U$505,MATCH($C2807,'Phản ánh'!$A$6:$A$505,0)),IF(AND($I2807="Công việc",OR($E2807="Hoàn thành",$E2807="Hoàn thành kỳ")),IF(INDEX('Kế hoạch'!$B$6:$B$305,$O2807)="Đột xuất",INDEX('Kế hoạch'!$AY$6:$AY$305,$O2807),IF(N($P2807)=0,"",IF(INT($B2807)&lt;$P2807,$P2807,IF($Q2807&gt;0,$P2807+ROUND((INT($B2807)-$P2807)/$Q2807,0)*$Q2807,IF($R2807&gt;0,EDATE($P2807,ROUND((DATEDIF($P2807,INT($B2807),"m")+(INT($B2807)-EDATE($P2807,DATEDIF($P2807,INT($B2807),"m")))/(EDATE($P2807,DATEDIF($P2807,INT($B2807),"m")+1)-EDATE($P2807,DATEDIF($P2807,INT($B2807),"m"))))/$R2807,0)*$R2807),$P2807))))),"")))</f>
      </c>
      <c r="M2807" s="223">
        <f>IF(OR($C2807="",N($L2807)=0,N($B2807)=0),"",IF(IF(MOD($L2807,1)=0,INT($B2807),$B2807)&lt;=$L2807,"Đúng hạn","Trễ hạn"))</f>
      </c>
      <c r="N2807" s="225">
        <f>IF($C2807="","",ROW())</f>
      </c>
      <c r="O2807" s="225">
        <f>IF($I2807="Công việc",MATCH($C2807,'Kế hoạch'!$A$6:$A$305,0),"")</f>
      </c>
      <c r="P2807" s="234">
        <f>IF($O2807="","",INDEX('Kế hoạch'!$I$6:$I$305,$O2807))</f>
      </c>
      <c r="Q2807" s="225">
        <f>IF($O2807="","",INDEX('Kế hoạch'!$AJ$6:$AJ$305,$O2807))</f>
      </c>
      <c r="R2807" s="225">
        <f>IF($O2807="","",INDEX('Kế hoạch'!$AK$6:$AK$305,$O2807))</f>
      </c>
    </row>
    <row r="2808">
      <c r="A2808" s="223">
        <f>IF($C2808="","",COUNTIF($C$6:$C2808,"?*"))</f>
      </c>
      <c r="B2808" s="217"/>
      <c r="C2808" s="216"/>
      <c r="D2808" s="240"/>
      <c r="E2808" s="218"/>
      <c r="F2808" s="218"/>
      <c r="G2808" s="218"/>
      <c r="H2808" s="219"/>
      <c r="I2808" s="223">
        <f>IF($C2808="","",IF(ISNUMBER(MATCH($C2808,'Phản ánh'!$A$6:$A$505,0)),"Phản ánh",IF(ISNUMBER(MATCH($C2808,'Kế hoạch'!$A$6:$A$305,0)),"Công việc","Mã chưa có")))</f>
      </c>
      <c r="J2808" s="221">
        <f>IF($I2808="Phản ánh",INDEX('Phản ánh'!$C$6:$C$505,MATCH($C2808,'Phản ánh'!$A$6:$A$505,0)),IF($I2808="Công việc",INDEX('Kế hoạch'!$C$6:$C$305,$O2808),""))</f>
      </c>
      <c r="K2808" s="221">
        <f>IF($I2808="Phản ánh",INDEX('Phản ánh'!$K$6:$K$505,MATCH($C2808,'Phản ánh'!$A$6:$A$505,0))&amp;"",IF($I2808="Công việc",INDEX('Kế hoạch'!$N$6:$N$305,$O2808)&amp;"",""))</f>
      </c>
      <c r="L2808" s="220">
        <f>IF(OR($C2808="",N($B2808)=0),"",IF(AND($I2808="Phản ánh",$E2808="Đã xử lý"),INDEX('Phản ánh'!$U$6:$U$505,MATCH($C2808,'Phản ánh'!$A$6:$A$505,0)),IF(AND($I2808="Công việc",OR($E2808="Hoàn thành",$E2808="Hoàn thành kỳ")),IF(INDEX('Kế hoạch'!$B$6:$B$305,$O2808)="Đột xuất",INDEX('Kế hoạch'!$AY$6:$AY$305,$O2808),IF(N($P2808)=0,"",IF(INT($B2808)&lt;$P2808,$P2808,IF($Q2808&gt;0,$P2808+ROUND((INT($B2808)-$P2808)/$Q2808,0)*$Q2808,IF($R2808&gt;0,EDATE($P2808,ROUND((DATEDIF($P2808,INT($B2808),"m")+(INT($B2808)-EDATE($P2808,DATEDIF($P2808,INT($B2808),"m")))/(EDATE($P2808,DATEDIF($P2808,INT($B2808),"m")+1)-EDATE($P2808,DATEDIF($P2808,INT($B2808),"m"))))/$R2808,0)*$R2808),$P2808))))),"")))</f>
      </c>
      <c r="M2808" s="223">
        <f>IF(OR($C2808="",N($L2808)=0,N($B2808)=0),"",IF(IF(MOD($L2808,1)=0,INT($B2808),$B2808)&lt;=$L2808,"Đúng hạn","Trễ hạn"))</f>
      </c>
      <c r="N2808" s="225">
        <f>IF($C2808="","",ROW())</f>
      </c>
      <c r="O2808" s="225">
        <f>IF($I2808="Công việc",MATCH($C2808,'Kế hoạch'!$A$6:$A$305,0),"")</f>
      </c>
      <c r="P2808" s="234">
        <f>IF($O2808="","",INDEX('Kế hoạch'!$I$6:$I$305,$O2808))</f>
      </c>
      <c r="Q2808" s="225">
        <f>IF($O2808="","",INDEX('Kế hoạch'!$AJ$6:$AJ$305,$O2808))</f>
      </c>
      <c r="R2808" s="225">
        <f>IF($O2808="","",INDEX('Kế hoạch'!$AK$6:$AK$305,$O2808))</f>
      </c>
    </row>
    <row r="2809">
      <c r="A2809" s="223">
        <f>IF($C2809="","",COUNTIF($C$6:$C2809,"?*"))</f>
      </c>
      <c r="B2809" s="217"/>
      <c r="C2809" s="216"/>
      <c r="D2809" s="240"/>
      <c r="E2809" s="218"/>
      <c r="F2809" s="218"/>
      <c r="G2809" s="218"/>
      <c r="H2809" s="219"/>
      <c r="I2809" s="223">
        <f>IF($C2809="","",IF(ISNUMBER(MATCH($C2809,'Phản ánh'!$A$6:$A$505,0)),"Phản ánh",IF(ISNUMBER(MATCH($C2809,'Kế hoạch'!$A$6:$A$305,0)),"Công việc","Mã chưa có")))</f>
      </c>
      <c r="J2809" s="221">
        <f>IF($I2809="Phản ánh",INDEX('Phản ánh'!$C$6:$C$505,MATCH($C2809,'Phản ánh'!$A$6:$A$505,0)),IF($I2809="Công việc",INDEX('Kế hoạch'!$C$6:$C$305,$O2809),""))</f>
      </c>
      <c r="K2809" s="221">
        <f>IF($I2809="Phản ánh",INDEX('Phản ánh'!$K$6:$K$505,MATCH($C2809,'Phản ánh'!$A$6:$A$505,0))&amp;"",IF($I2809="Công việc",INDEX('Kế hoạch'!$N$6:$N$305,$O2809)&amp;"",""))</f>
      </c>
      <c r="L2809" s="220">
        <f>IF(OR($C2809="",N($B2809)=0),"",IF(AND($I2809="Phản ánh",$E2809="Đã xử lý"),INDEX('Phản ánh'!$U$6:$U$505,MATCH($C2809,'Phản ánh'!$A$6:$A$505,0)),IF(AND($I2809="Công việc",OR($E2809="Hoàn thành",$E2809="Hoàn thành kỳ")),IF(INDEX('Kế hoạch'!$B$6:$B$305,$O2809)="Đột xuất",INDEX('Kế hoạch'!$AY$6:$AY$305,$O2809),IF(N($P2809)=0,"",IF(INT($B2809)&lt;$P2809,$P2809,IF($Q2809&gt;0,$P2809+ROUND((INT($B2809)-$P2809)/$Q2809,0)*$Q2809,IF($R2809&gt;0,EDATE($P2809,ROUND((DATEDIF($P2809,INT($B2809),"m")+(INT($B2809)-EDATE($P2809,DATEDIF($P2809,INT($B2809),"m")))/(EDATE($P2809,DATEDIF($P2809,INT($B2809),"m")+1)-EDATE($P2809,DATEDIF($P2809,INT($B2809),"m"))))/$R2809,0)*$R2809),$P2809))))),"")))</f>
      </c>
      <c r="M2809" s="223">
        <f>IF(OR($C2809="",N($L2809)=0,N($B2809)=0),"",IF(IF(MOD($L2809,1)=0,INT($B2809),$B2809)&lt;=$L2809,"Đúng hạn","Trễ hạn"))</f>
      </c>
      <c r="N2809" s="225">
        <f>IF($C2809="","",ROW())</f>
      </c>
      <c r="O2809" s="225">
        <f>IF($I2809="Công việc",MATCH($C2809,'Kế hoạch'!$A$6:$A$305,0),"")</f>
      </c>
      <c r="P2809" s="234">
        <f>IF($O2809="","",INDEX('Kế hoạch'!$I$6:$I$305,$O2809))</f>
      </c>
      <c r="Q2809" s="225">
        <f>IF($O2809="","",INDEX('Kế hoạch'!$AJ$6:$AJ$305,$O2809))</f>
      </c>
      <c r="R2809" s="225">
        <f>IF($O2809="","",INDEX('Kế hoạch'!$AK$6:$AK$305,$O2809))</f>
      </c>
    </row>
    <row r="2810">
      <c r="A2810" s="223">
        <f>IF($C2810="","",COUNTIF($C$6:$C2810,"?*"))</f>
      </c>
      <c r="B2810" s="217"/>
      <c r="C2810" s="216"/>
      <c r="D2810" s="240"/>
      <c r="E2810" s="218"/>
      <c r="F2810" s="218"/>
      <c r="G2810" s="218"/>
      <c r="H2810" s="219"/>
      <c r="I2810" s="223">
        <f>IF($C2810="","",IF(ISNUMBER(MATCH($C2810,'Phản ánh'!$A$6:$A$505,0)),"Phản ánh",IF(ISNUMBER(MATCH($C2810,'Kế hoạch'!$A$6:$A$305,0)),"Công việc","Mã chưa có")))</f>
      </c>
      <c r="J2810" s="221">
        <f>IF($I2810="Phản ánh",INDEX('Phản ánh'!$C$6:$C$505,MATCH($C2810,'Phản ánh'!$A$6:$A$505,0)),IF($I2810="Công việc",INDEX('Kế hoạch'!$C$6:$C$305,$O2810),""))</f>
      </c>
      <c r="K2810" s="221">
        <f>IF($I2810="Phản ánh",INDEX('Phản ánh'!$K$6:$K$505,MATCH($C2810,'Phản ánh'!$A$6:$A$505,0))&amp;"",IF($I2810="Công việc",INDEX('Kế hoạch'!$N$6:$N$305,$O2810)&amp;"",""))</f>
      </c>
      <c r="L2810" s="220">
        <f>IF(OR($C2810="",N($B2810)=0),"",IF(AND($I2810="Phản ánh",$E2810="Đã xử lý"),INDEX('Phản ánh'!$U$6:$U$505,MATCH($C2810,'Phản ánh'!$A$6:$A$505,0)),IF(AND($I2810="Công việc",OR($E2810="Hoàn thành",$E2810="Hoàn thành kỳ")),IF(INDEX('Kế hoạch'!$B$6:$B$305,$O2810)="Đột xuất",INDEX('Kế hoạch'!$AY$6:$AY$305,$O2810),IF(N($P2810)=0,"",IF(INT($B2810)&lt;$P2810,$P2810,IF($Q2810&gt;0,$P2810+ROUND((INT($B2810)-$P2810)/$Q2810,0)*$Q2810,IF($R2810&gt;0,EDATE($P2810,ROUND((DATEDIF($P2810,INT($B2810),"m")+(INT($B2810)-EDATE($P2810,DATEDIF($P2810,INT($B2810),"m")))/(EDATE($P2810,DATEDIF($P2810,INT($B2810),"m")+1)-EDATE($P2810,DATEDIF($P2810,INT($B2810),"m"))))/$R2810,0)*$R2810),$P2810))))),"")))</f>
      </c>
      <c r="M2810" s="223">
        <f>IF(OR($C2810="",N($L2810)=0,N($B2810)=0),"",IF(IF(MOD($L2810,1)=0,INT($B2810),$B2810)&lt;=$L2810,"Đúng hạn","Trễ hạn"))</f>
      </c>
      <c r="N2810" s="225">
        <f>IF($C2810="","",ROW())</f>
      </c>
      <c r="O2810" s="225">
        <f>IF($I2810="Công việc",MATCH($C2810,'Kế hoạch'!$A$6:$A$305,0),"")</f>
      </c>
      <c r="P2810" s="234">
        <f>IF($O2810="","",INDEX('Kế hoạch'!$I$6:$I$305,$O2810))</f>
      </c>
      <c r="Q2810" s="225">
        <f>IF($O2810="","",INDEX('Kế hoạch'!$AJ$6:$AJ$305,$O2810))</f>
      </c>
      <c r="R2810" s="225">
        <f>IF($O2810="","",INDEX('Kế hoạch'!$AK$6:$AK$305,$O2810))</f>
      </c>
    </row>
    <row r="2811">
      <c r="A2811" s="223">
        <f>IF($C2811="","",COUNTIF($C$6:$C2811,"?*"))</f>
      </c>
      <c r="B2811" s="217"/>
      <c r="C2811" s="216"/>
      <c r="D2811" s="240"/>
      <c r="E2811" s="218"/>
      <c r="F2811" s="218"/>
      <c r="G2811" s="218"/>
      <c r="H2811" s="219"/>
      <c r="I2811" s="223">
        <f>IF($C2811="","",IF(ISNUMBER(MATCH($C2811,'Phản ánh'!$A$6:$A$505,0)),"Phản ánh",IF(ISNUMBER(MATCH($C2811,'Kế hoạch'!$A$6:$A$305,0)),"Công việc","Mã chưa có")))</f>
      </c>
      <c r="J2811" s="221">
        <f>IF($I2811="Phản ánh",INDEX('Phản ánh'!$C$6:$C$505,MATCH($C2811,'Phản ánh'!$A$6:$A$505,0)),IF($I2811="Công việc",INDEX('Kế hoạch'!$C$6:$C$305,$O2811),""))</f>
      </c>
      <c r="K2811" s="221">
        <f>IF($I2811="Phản ánh",INDEX('Phản ánh'!$K$6:$K$505,MATCH($C2811,'Phản ánh'!$A$6:$A$505,0))&amp;"",IF($I2811="Công việc",INDEX('Kế hoạch'!$N$6:$N$305,$O2811)&amp;"",""))</f>
      </c>
      <c r="L2811" s="220">
        <f>IF(OR($C2811="",N($B2811)=0),"",IF(AND($I2811="Phản ánh",$E2811="Đã xử lý"),INDEX('Phản ánh'!$U$6:$U$505,MATCH($C2811,'Phản ánh'!$A$6:$A$505,0)),IF(AND($I2811="Công việc",OR($E2811="Hoàn thành",$E2811="Hoàn thành kỳ")),IF(INDEX('Kế hoạch'!$B$6:$B$305,$O2811)="Đột xuất",INDEX('Kế hoạch'!$AY$6:$AY$305,$O2811),IF(N($P2811)=0,"",IF(INT($B2811)&lt;$P2811,$P2811,IF($Q2811&gt;0,$P2811+ROUND((INT($B2811)-$P2811)/$Q2811,0)*$Q2811,IF($R2811&gt;0,EDATE($P2811,ROUND((DATEDIF($P2811,INT($B2811),"m")+(INT($B2811)-EDATE($P2811,DATEDIF($P2811,INT($B2811),"m")))/(EDATE($P2811,DATEDIF($P2811,INT($B2811),"m")+1)-EDATE($P2811,DATEDIF($P2811,INT($B2811),"m"))))/$R2811,0)*$R2811),$P2811))))),"")))</f>
      </c>
      <c r="M2811" s="223">
        <f>IF(OR($C2811="",N($L2811)=0,N($B2811)=0),"",IF(IF(MOD($L2811,1)=0,INT($B2811),$B2811)&lt;=$L2811,"Đúng hạn","Trễ hạn"))</f>
      </c>
      <c r="N2811" s="225">
        <f>IF($C2811="","",ROW())</f>
      </c>
      <c r="O2811" s="225">
        <f>IF($I2811="Công việc",MATCH($C2811,'Kế hoạch'!$A$6:$A$305,0),"")</f>
      </c>
      <c r="P2811" s="234">
        <f>IF($O2811="","",INDEX('Kế hoạch'!$I$6:$I$305,$O2811))</f>
      </c>
      <c r="Q2811" s="225">
        <f>IF($O2811="","",INDEX('Kế hoạch'!$AJ$6:$AJ$305,$O2811))</f>
      </c>
      <c r="R2811" s="225">
        <f>IF($O2811="","",INDEX('Kế hoạch'!$AK$6:$AK$305,$O2811))</f>
      </c>
    </row>
    <row r="2812">
      <c r="A2812" s="223">
        <f>IF($C2812="","",COUNTIF($C$6:$C2812,"?*"))</f>
      </c>
      <c r="B2812" s="217"/>
      <c r="C2812" s="216"/>
      <c r="D2812" s="240"/>
      <c r="E2812" s="218"/>
      <c r="F2812" s="218"/>
      <c r="G2812" s="218"/>
      <c r="H2812" s="219"/>
      <c r="I2812" s="223">
        <f>IF($C2812="","",IF(ISNUMBER(MATCH($C2812,'Phản ánh'!$A$6:$A$505,0)),"Phản ánh",IF(ISNUMBER(MATCH($C2812,'Kế hoạch'!$A$6:$A$305,0)),"Công việc","Mã chưa có")))</f>
      </c>
      <c r="J2812" s="221">
        <f>IF($I2812="Phản ánh",INDEX('Phản ánh'!$C$6:$C$505,MATCH($C2812,'Phản ánh'!$A$6:$A$505,0)),IF($I2812="Công việc",INDEX('Kế hoạch'!$C$6:$C$305,$O2812),""))</f>
      </c>
      <c r="K2812" s="221">
        <f>IF($I2812="Phản ánh",INDEX('Phản ánh'!$K$6:$K$505,MATCH($C2812,'Phản ánh'!$A$6:$A$505,0))&amp;"",IF($I2812="Công việc",INDEX('Kế hoạch'!$N$6:$N$305,$O2812)&amp;"",""))</f>
      </c>
      <c r="L2812" s="220">
        <f>IF(OR($C2812="",N($B2812)=0),"",IF(AND($I2812="Phản ánh",$E2812="Đã xử lý"),INDEX('Phản ánh'!$U$6:$U$505,MATCH($C2812,'Phản ánh'!$A$6:$A$505,0)),IF(AND($I2812="Công việc",OR($E2812="Hoàn thành",$E2812="Hoàn thành kỳ")),IF(INDEX('Kế hoạch'!$B$6:$B$305,$O2812)="Đột xuất",INDEX('Kế hoạch'!$AY$6:$AY$305,$O2812),IF(N($P2812)=0,"",IF(INT($B2812)&lt;$P2812,$P2812,IF($Q2812&gt;0,$P2812+ROUND((INT($B2812)-$P2812)/$Q2812,0)*$Q2812,IF($R2812&gt;0,EDATE($P2812,ROUND((DATEDIF($P2812,INT($B2812),"m")+(INT($B2812)-EDATE($P2812,DATEDIF($P2812,INT($B2812),"m")))/(EDATE($P2812,DATEDIF($P2812,INT($B2812),"m")+1)-EDATE($P2812,DATEDIF($P2812,INT($B2812),"m"))))/$R2812,0)*$R2812),$P2812))))),"")))</f>
      </c>
      <c r="M2812" s="223">
        <f>IF(OR($C2812="",N($L2812)=0,N($B2812)=0),"",IF(IF(MOD($L2812,1)=0,INT($B2812),$B2812)&lt;=$L2812,"Đúng hạn","Trễ hạn"))</f>
      </c>
      <c r="N2812" s="225">
        <f>IF($C2812="","",ROW())</f>
      </c>
      <c r="O2812" s="225">
        <f>IF($I2812="Công việc",MATCH($C2812,'Kế hoạch'!$A$6:$A$305,0),"")</f>
      </c>
      <c r="P2812" s="234">
        <f>IF($O2812="","",INDEX('Kế hoạch'!$I$6:$I$305,$O2812))</f>
      </c>
      <c r="Q2812" s="225">
        <f>IF($O2812="","",INDEX('Kế hoạch'!$AJ$6:$AJ$305,$O2812))</f>
      </c>
      <c r="R2812" s="225">
        <f>IF($O2812="","",INDEX('Kế hoạch'!$AK$6:$AK$305,$O2812))</f>
      </c>
    </row>
    <row r="2813">
      <c r="A2813" s="223">
        <f>IF($C2813="","",COUNTIF($C$6:$C2813,"?*"))</f>
      </c>
      <c r="B2813" s="217"/>
      <c r="C2813" s="216"/>
      <c r="D2813" s="240"/>
      <c r="E2813" s="218"/>
      <c r="F2813" s="218"/>
      <c r="G2813" s="218"/>
      <c r="H2813" s="219"/>
      <c r="I2813" s="223">
        <f>IF($C2813="","",IF(ISNUMBER(MATCH($C2813,'Phản ánh'!$A$6:$A$505,0)),"Phản ánh",IF(ISNUMBER(MATCH($C2813,'Kế hoạch'!$A$6:$A$305,0)),"Công việc","Mã chưa có")))</f>
      </c>
      <c r="J2813" s="221">
        <f>IF($I2813="Phản ánh",INDEX('Phản ánh'!$C$6:$C$505,MATCH($C2813,'Phản ánh'!$A$6:$A$505,0)),IF($I2813="Công việc",INDEX('Kế hoạch'!$C$6:$C$305,$O2813),""))</f>
      </c>
      <c r="K2813" s="221">
        <f>IF($I2813="Phản ánh",INDEX('Phản ánh'!$K$6:$K$505,MATCH($C2813,'Phản ánh'!$A$6:$A$505,0))&amp;"",IF($I2813="Công việc",INDEX('Kế hoạch'!$N$6:$N$305,$O2813)&amp;"",""))</f>
      </c>
      <c r="L2813" s="220">
        <f>IF(OR($C2813="",N($B2813)=0),"",IF(AND($I2813="Phản ánh",$E2813="Đã xử lý"),INDEX('Phản ánh'!$U$6:$U$505,MATCH($C2813,'Phản ánh'!$A$6:$A$505,0)),IF(AND($I2813="Công việc",OR($E2813="Hoàn thành",$E2813="Hoàn thành kỳ")),IF(INDEX('Kế hoạch'!$B$6:$B$305,$O2813)="Đột xuất",INDEX('Kế hoạch'!$AY$6:$AY$305,$O2813),IF(N($P2813)=0,"",IF(INT($B2813)&lt;$P2813,$P2813,IF($Q2813&gt;0,$P2813+ROUND((INT($B2813)-$P2813)/$Q2813,0)*$Q2813,IF($R2813&gt;0,EDATE($P2813,ROUND((DATEDIF($P2813,INT($B2813),"m")+(INT($B2813)-EDATE($P2813,DATEDIF($P2813,INT($B2813),"m")))/(EDATE($P2813,DATEDIF($P2813,INT($B2813),"m")+1)-EDATE($P2813,DATEDIF($P2813,INT($B2813),"m"))))/$R2813,0)*$R2813),$P2813))))),"")))</f>
      </c>
      <c r="M2813" s="223">
        <f>IF(OR($C2813="",N($L2813)=0,N($B2813)=0),"",IF(IF(MOD($L2813,1)=0,INT($B2813),$B2813)&lt;=$L2813,"Đúng hạn","Trễ hạn"))</f>
      </c>
      <c r="N2813" s="225">
        <f>IF($C2813="","",ROW())</f>
      </c>
      <c r="O2813" s="225">
        <f>IF($I2813="Công việc",MATCH($C2813,'Kế hoạch'!$A$6:$A$305,0),"")</f>
      </c>
      <c r="P2813" s="234">
        <f>IF($O2813="","",INDEX('Kế hoạch'!$I$6:$I$305,$O2813))</f>
      </c>
      <c r="Q2813" s="225">
        <f>IF($O2813="","",INDEX('Kế hoạch'!$AJ$6:$AJ$305,$O2813))</f>
      </c>
      <c r="R2813" s="225">
        <f>IF($O2813="","",INDEX('Kế hoạch'!$AK$6:$AK$305,$O2813))</f>
      </c>
    </row>
    <row r="2814">
      <c r="A2814" s="223">
        <f>IF($C2814="","",COUNTIF($C$6:$C2814,"?*"))</f>
      </c>
      <c r="B2814" s="217"/>
      <c r="C2814" s="216"/>
      <c r="D2814" s="240"/>
      <c r="E2814" s="218"/>
      <c r="F2814" s="218"/>
      <c r="G2814" s="218"/>
      <c r="H2814" s="219"/>
      <c r="I2814" s="223">
        <f>IF($C2814="","",IF(ISNUMBER(MATCH($C2814,'Phản ánh'!$A$6:$A$505,0)),"Phản ánh",IF(ISNUMBER(MATCH($C2814,'Kế hoạch'!$A$6:$A$305,0)),"Công việc","Mã chưa có")))</f>
      </c>
      <c r="J2814" s="221">
        <f>IF($I2814="Phản ánh",INDEX('Phản ánh'!$C$6:$C$505,MATCH($C2814,'Phản ánh'!$A$6:$A$505,0)),IF($I2814="Công việc",INDEX('Kế hoạch'!$C$6:$C$305,$O2814),""))</f>
      </c>
      <c r="K2814" s="221">
        <f>IF($I2814="Phản ánh",INDEX('Phản ánh'!$K$6:$K$505,MATCH($C2814,'Phản ánh'!$A$6:$A$505,0))&amp;"",IF($I2814="Công việc",INDEX('Kế hoạch'!$N$6:$N$305,$O2814)&amp;"",""))</f>
      </c>
      <c r="L2814" s="220">
        <f>IF(OR($C2814="",N($B2814)=0),"",IF(AND($I2814="Phản ánh",$E2814="Đã xử lý"),INDEX('Phản ánh'!$U$6:$U$505,MATCH($C2814,'Phản ánh'!$A$6:$A$505,0)),IF(AND($I2814="Công việc",OR($E2814="Hoàn thành",$E2814="Hoàn thành kỳ")),IF(INDEX('Kế hoạch'!$B$6:$B$305,$O2814)="Đột xuất",INDEX('Kế hoạch'!$AY$6:$AY$305,$O2814),IF(N($P2814)=0,"",IF(INT($B2814)&lt;$P2814,$P2814,IF($Q2814&gt;0,$P2814+ROUND((INT($B2814)-$P2814)/$Q2814,0)*$Q2814,IF($R2814&gt;0,EDATE($P2814,ROUND((DATEDIF($P2814,INT($B2814),"m")+(INT($B2814)-EDATE($P2814,DATEDIF($P2814,INT($B2814),"m")))/(EDATE($P2814,DATEDIF($P2814,INT($B2814),"m")+1)-EDATE($P2814,DATEDIF($P2814,INT($B2814),"m"))))/$R2814,0)*$R2814),$P2814))))),"")))</f>
      </c>
      <c r="M2814" s="223">
        <f>IF(OR($C2814="",N($L2814)=0,N($B2814)=0),"",IF(IF(MOD($L2814,1)=0,INT($B2814),$B2814)&lt;=$L2814,"Đúng hạn","Trễ hạn"))</f>
      </c>
      <c r="N2814" s="225">
        <f>IF($C2814="","",ROW())</f>
      </c>
      <c r="O2814" s="225">
        <f>IF($I2814="Công việc",MATCH($C2814,'Kế hoạch'!$A$6:$A$305,0),"")</f>
      </c>
      <c r="P2814" s="234">
        <f>IF($O2814="","",INDEX('Kế hoạch'!$I$6:$I$305,$O2814))</f>
      </c>
      <c r="Q2814" s="225">
        <f>IF($O2814="","",INDEX('Kế hoạch'!$AJ$6:$AJ$305,$O2814))</f>
      </c>
      <c r="R2814" s="225">
        <f>IF($O2814="","",INDEX('Kế hoạch'!$AK$6:$AK$305,$O2814))</f>
      </c>
    </row>
    <row r="2815">
      <c r="A2815" s="223">
        <f>IF($C2815="","",COUNTIF($C$6:$C2815,"?*"))</f>
      </c>
      <c r="B2815" s="217"/>
      <c r="C2815" s="216"/>
      <c r="D2815" s="240"/>
      <c r="E2815" s="218"/>
      <c r="F2815" s="218"/>
      <c r="G2815" s="218"/>
      <c r="H2815" s="219"/>
      <c r="I2815" s="223">
        <f>IF($C2815="","",IF(ISNUMBER(MATCH($C2815,'Phản ánh'!$A$6:$A$505,0)),"Phản ánh",IF(ISNUMBER(MATCH($C2815,'Kế hoạch'!$A$6:$A$305,0)),"Công việc","Mã chưa có")))</f>
      </c>
      <c r="J2815" s="221">
        <f>IF($I2815="Phản ánh",INDEX('Phản ánh'!$C$6:$C$505,MATCH($C2815,'Phản ánh'!$A$6:$A$505,0)),IF($I2815="Công việc",INDEX('Kế hoạch'!$C$6:$C$305,$O2815),""))</f>
      </c>
      <c r="K2815" s="221">
        <f>IF($I2815="Phản ánh",INDEX('Phản ánh'!$K$6:$K$505,MATCH($C2815,'Phản ánh'!$A$6:$A$505,0))&amp;"",IF($I2815="Công việc",INDEX('Kế hoạch'!$N$6:$N$305,$O2815)&amp;"",""))</f>
      </c>
      <c r="L2815" s="220">
        <f>IF(OR($C2815="",N($B2815)=0),"",IF(AND($I2815="Phản ánh",$E2815="Đã xử lý"),INDEX('Phản ánh'!$U$6:$U$505,MATCH($C2815,'Phản ánh'!$A$6:$A$505,0)),IF(AND($I2815="Công việc",OR($E2815="Hoàn thành",$E2815="Hoàn thành kỳ")),IF(INDEX('Kế hoạch'!$B$6:$B$305,$O2815)="Đột xuất",INDEX('Kế hoạch'!$AY$6:$AY$305,$O2815),IF(N($P2815)=0,"",IF(INT($B2815)&lt;$P2815,$P2815,IF($Q2815&gt;0,$P2815+ROUND((INT($B2815)-$P2815)/$Q2815,0)*$Q2815,IF($R2815&gt;0,EDATE($P2815,ROUND((DATEDIF($P2815,INT($B2815),"m")+(INT($B2815)-EDATE($P2815,DATEDIF($P2815,INT($B2815),"m")))/(EDATE($P2815,DATEDIF($P2815,INT($B2815),"m")+1)-EDATE($P2815,DATEDIF($P2815,INT($B2815),"m"))))/$R2815,0)*$R2815),$P2815))))),"")))</f>
      </c>
      <c r="M2815" s="223">
        <f>IF(OR($C2815="",N($L2815)=0,N($B2815)=0),"",IF(IF(MOD($L2815,1)=0,INT($B2815),$B2815)&lt;=$L2815,"Đúng hạn","Trễ hạn"))</f>
      </c>
      <c r="N2815" s="225">
        <f>IF($C2815="","",ROW())</f>
      </c>
      <c r="O2815" s="225">
        <f>IF($I2815="Công việc",MATCH($C2815,'Kế hoạch'!$A$6:$A$305,0),"")</f>
      </c>
      <c r="P2815" s="234">
        <f>IF($O2815="","",INDEX('Kế hoạch'!$I$6:$I$305,$O2815))</f>
      </c>
      <c r="Q2815" s="225">
        <f>IF($O2815="","",INDEX('Kế hoạch'!$AJ$6:$AJ$305,$O2815))</f>
      </c>
      <c r="R2815" s="225">
        <f>IF($O2815="","",INDEX('Kế hoạch'!$AK$6:$AK$305,$O2815))</f>
      </c>
    </row>
    <row r="2816">
      <c r="A2816" s="223">
        <f>IF($C2816="","",COUNTIF($C$6:$C2816,"?*"))</f>
      </c>
      <c r="B2816" s="217"/>
      <c r="C2816" s="216"/>
      <c r="D2816" s="240"/>
      <c r="E2816" s="218"/>
      <c r="F2816" s="218"/>
      <c r="G2816" s="218"/>
      <c r="H2816" s="219"/>
      <c r="I2816" s="223">
        <f>IF($C2816="","",IF(ISNUMBER(MATCH($C2816,'Phản ánh'!$A$6:$A$505,0)),"Phản ánh",IF(ISNUMBER(MATCH($C2816,'Kế hoạch'!$A$6:$A$305,0)),"Công việc","Mã chưa có")))</f>
      </c>
      <c r="J2816" s="221">
        <f>IF($I2816="Phản ánh",INDEX('Phản ánh'!$C$6:$C$505,MATCH($C2816,'Phản ánh'!$A$6:$A$505,0)),IF($I2816="Công việc",INDEX('Kế hoạch'!$C$6:$C$305,$O2816),""))</f>
      </c>
      <c r="K2816" s="221">
        <f>IF($I2816="Phản ánh",INDEX('Phản ánh'!$K$6:$K$505,MATCH($C2816,'Phản ánh'!$A$6:$A$505,0))&amp;"",IF($I2816="Công việc",INDEX('Kế hoạch'!$N$6:$N$305,$O2816)&amp;"",""))</f>
      </c>
      <c r="L2816" s="220">
        <f>IF(OR($C2816="",N($B2816)=0),"",IF(AND($I2816="Phản ánh",$E2816="Đã xử lý"),INDEX('Phản ánh'!$U$6:$U$505,MATCH($C2816,'Phản ánh'!$A$6:$A$505,0)),IF(AND($I2816="Công việc",OR($E2816="Hoàn thành",$E2816="Hoàn thành kỳ")),IF(INDEX('Kế hoạch'!$B$6:$B$305,$O2816)="Đột xuất",INDEX('Kế hoạch'!$AY$6:$AY$305,$O2816),IF(N($P2816)=0,"",IF(INT($B2816)&lt;$P2816,$P2816,IF($Q2816&gt;0,$P2816+ROUND((INT($B2816)-$P2816)/$Q2816,0)*$Q2816,IF($R2816&gt;0,EDATE($P2816,ROUND((DATEDIF($P2816,INT($B2816),"m")+(INT($B2816)-EDATE($P2816,DATEDIF($P2816,INT($B2816),"m")))/(EDATE($P2816,DATEDIF($P2816,INT($B2816),"m")+1)-EDATE($P2816,DATEDIF($P2816,INT($B2816),"m"))))/$R2816,0)*$R2816),$P2816))))),"")))</f>
      </c>
      <c r="M2816" s="223">
        <f>IF(OR($C2816="",N($L2816)=0,N($B2816)=0),"",IF(IF(MOD($L2816,1)=0,INT($B2816),$B2816)&lt;=$L2816,"Đúng hạn","Trễ hạn"))</f>
      </c>
      <c r="N2816" s="225">
        <f>IF($C2816="","",ROW())</f>
      </c>
      <c r="O2816" s="225">
        <f>IF($I2816="Công việc",MATCH($C2816,'Kế hoạch'!$A$6:$A$305,0),"")</f>
      </c>
      <c r="P2816" s="234">
        <f>IF($O2816="","",INDEX('Kế hoạch'!$I$6:$I$305,$O2816))</f>
      </c>
      <c r="Q2816" s="225">
        <f>IF($O2816="","",INDEX('Kế hoạch'!$AJ$6:$AJ$305,$O2816))</f>
      </c>
      <c r="R2816" s="225">
        <f>IF($O2816="","",INDEX('Kế hoạch'!$AK$6:$AK$305,$O2816))</f>
      </c>
    </row>
    <row r="2817">
      <c r="A2817" s="223">
        <f>IF($C2817="","",COUNTIF($C$6:$C2817,"?*"))</f>
      </c>
      <c r="B2817" s="217"/>
      <c r="C2817" s="216"/>
      <c r="D2817" s="240"/>
      <c r="E2817" s="218"/>
      <c r="F2817" s="218"/>
      <c r="G2817" s="218"/>
      <c r="H2817" s="219"/>
      <c r="I2817" s="223">
        <f>IF($C2817="","",IF(ISNUMBER(MATCH($C2817,'Phản ánh'!$A$6:$A$505,0)),"Phản ánh",IF(ISNUMBER(MATCH($C2817,'Kế hoạch'!$A$6:$A$305,0)),"Công việc","Mã chưa có")))</f>
      </c>
      <c r="J2817" s="221">
        <f>IF($I2817="Phản ánh",INDEX('Phản ánh'!$C$6:$C$505,MATCH($C2817,'Phản ánh'!$A$6:$A$505,0)),IF($I2817="Công việc",INDEX('Kế hoạch'!$C$6:$C$305,$O2817),""))</f>
      </c>
      <c r="K2817" s="221">
        <f>IF($I2817="Phản ánh",INDEX('Phản ánh'!$K$6:$K$505,MATCH($C2817,'Phản ánh'!$A$6:$A$505,0))&amp;"",IF($I2817="Công việc",INDEX('Kế hoạch'!$N$6:$N$305,$O2817)&amp;"",""))</f>
      </c>
      <c r="L2817" s="220">
        <f>IF(OR($C2817="",N($B2817)=0),"",IF(AND($I2817="Phản ánh",$E2817="Đã xử lý"),INDEX('Phản ánh'!$U$6:$U$505,MATCH($C2817,'Phản ánh'!$A$6:$A$505,0)),IF(AND($I2817="Công việc",OR($E2817="Hoàn thành",$E2817="Hoàn thành kỳ")),IF(INDEX('Kế hoạch'!$B$6:$B$305,$O2817)="Đột xuất",INDEX('Kế hoạch'!$AY$6:$AY$305,$O2817),IF(N($P2817)=0,"",IF(INT($B2817)&lt;$P2817,$P2817,IF($Q2817&gt;0,$P2817+ROUND((INT($B2817)-$P2817)/$Q2817,0)*$Q2817,IF($R2817&gt;0,EDATE($P2817,ROUND((DATEDIF($P2817,INT($B2817),"m")+(INT($B2817)-EDATE($P2817,DATEDIF($P2817,INT($B2817),"m")))/(EDATE($P2817,DATEDIF($P2817,INT($B2817),"m")+1)-EDATE($P2817,DATEDIF($P2817,INT($B2817),"m"))))/$R2817,0)*$R2817),$P2817))))),"")))</f>
      </c>
      <c r="M2817" s="223">
        <f>IF(OR($C2817="",N($L2817)=0,N($B2817)=0),"",IF(IF(MOD($L2817,1)=0,INT($B2817),$B2817)&lt;=$L2817,"Đúng hạn","Trễ hạn"))</f>
      </c>
      <c r="N2817" s="225">
        <f>IF($C2817="","",ROW())</f>
      </c>
      <c r="O2817" s="225">
        <f>IF($I2817="Công việc",MATCH($C2817,'Kế hoạch'!$A$6:$A$305,0),"")</f>
      </c>
      <c r="P2817" s="234">
        <f>IF($O2817="","",INDEX('Kế hoạch'!$I$6:$I$305,$O2817))</f>
      </c>
      <c r="Q2817" s="225">
        <f>IF($O2817="","",INDEX('Kế hoạch'!$AJ$6:$AJ$305,$O2817))</f>
      </c>
      <c r="R2817" s="225">
        <f>IF($O2817="","",INDEX('Kế hoạch'!$AK$6:$AK$305,$O2817))</f>
      </c>
    </row>
    <row r="2818">
      <c r="A2818" s="223">
        <f>IF($C2818="","",COUNTIF($C$6:$C2818,"?*"))</f>
      </c>
      <c r="B2818" s="217"/>
      <c r="C2818" s="216"/>
      <c r="D2818" s="240"/>
      <c r="E2818" s="218"/>
      <c r="F2818" s="218"/>
      <c r="G2818" s="218"/>
      <c r="H2818" s="219"/>
      <c r="I2818" s="223">
        <f>IF($C2818="","",IF(ISNUMBER(MATCH($C2818,'Phản ánh'!$A$6:$A$505,0)),"Phản ánh",IF(ISNUMBER(MATCH($C2818,'Kế hoạch'!$A$6:$A$305,0)),"Công việc","Mã chưa có")))</f>
      </c>
      <c r="J2818" s="221">
        <f>IF($I2818="Phản ánh",INDEX('Phản ánh'!$C$6:$C$505,MATCH($C2818,'Phản ánh'!$A$6:$A$505,0)),IF($I2818="Công việc",INDEX('Kế hoạch'!$C$6:$C$305,$O2818),""))</f>
      </c>
      <c r="K2818" s="221">
        <f>IF($I2818="Phản ánh",INDEX('Phản ánh'!$K$6:$K$505,MATCH($C2818,'Phản ánh'!$A$6:$A$505,0))&amp;"",IF($I2818="Công việc",INDEX('Kế hoạch'!$N$6:$N$305,$O2818)&amp;"",""))</f>
      </c>
      <c r="L2818" s="220">
        <f>IF(OR($C2818="",N($B2818)=0),"",IF(AND($I2818="Phản ánh",$E2818="Đã xử lý"),INDEX('Phản ánh'!$U$6:$U$505,MATCH($C2818,'Phản ánh'!$A$6:$A$505,0)),IF(AND($I2818="Công việc",OR($E2818="Hoàn thành",$E2818="Hoàn thành kỳ")),IF(INDEX('Kế hoạch'!$B$6:$B$305,$O2818)="Đột xuất",INDEX('Kế hoạch'!$AY$6:$AY$305,$O2818),IF(N($P2818)=0,"",IF(INT($B2818)&lt;$P2818,$P2818,IF($Q2818&gt;0,$P2818+ROUND((INT($B2818)-$P2818)/$Q2818,0)*$Q2818,IF($R2818&gt;0,EDATE($P2818,ROUND((DATEDIF($P2818,INT($B2818),"m")+(INT($B2818)-EDATE($P2818,DATEDIF($P2818,INT($B2818),"m")))/(EDATE($P2818,DATEDIF($P2818,INT($B2818),"m")+1)-EDATE($P2818,DATEDIF($P2818,INT($B2818),"m"))))/$R2818,0)*$R2818),$P2818))))),"")))</f>
      </c>
      <c r="M2818" s="223">
        <f>IF(OR($C2818="",N($L2818)=0,N($B2818)=0),"",IF(IF(MOD($L2818,1)=0,INT($B2818),$B2818)&lt;=$L2818,"Đúng hạn","Trễ hạn"))</f>
      </c>
      <c r="N2818" s="225">
        <f>IF($C2818="","",ROW())</f>
      </c>
      <c r="O2818" s="225">
        <f>IF($I2818="Công việc",MATCH($C2818,'Kế hoạch'!$A$6:$A$305,0),"")</f>
      </c>
      <c r="P2818" s="234">
        <f>IF($O2818="","",INDEX('Kế hoạch'!$I$6:$I$305,$O2818))</f>
      </c>
      <c r="Q2818" s="225">
        <f>IF($O2818="","",INDEX('Kế hoạch'!$AJ$6:$AJ$305,$O2818))</f>
      </c>
      <c r="R2818" s="225">
        <f>IF($O2818="","",INDEX('Kế hoạch'!$AK$6:$AK$305,$O2818))</f>
      </c>
    </row>
    <row r="2819">
      <c r="A2819" s="223">
        <f>IF($C2819="","",COUNTIF($C$6:$C2819,"?*"))</f>
      </c>
      <c r="B2819" s="217"/>
      <c r="C2819" s="216"/>
      <c r="D2819" s="240"/>
      <c r="E2819" s="218"/>
      <c r="F2819" s="218"/>
      <c r="G2819" s="218"/>
      <c r="H2819" s="219"/>
      <c r="I2819" s="223">
        <f>IF($C2819="","",IF(ISNUMBER(MATCH($C2819,'Phản ánh'!$A$6:$A$505,0)),"Phản ánh",IF(ISNUMBER(MATCH($C2819,'Kế hoạch'!$A$6:$A$305,0)),"Công việc","Mã chưa có")))</f>
      </c>
      <c r="J2819" s="221">
        <f>IF($I2819="Phản ánh",INDEX('Phản ánh'!$C$6:$C$505,MATCH($C2819,'Phản ánh'!$A$6:$A$505,0)),IF($I2819="Công việc",INDEX('Kế hoạch'!$C$6:$C$305,$O2819),""))</f>
      </c>
      <c r="K2819" s="221">
        <f>IF($I2819="Phản ánh",INDEX('Phản ánh'!$K$6:$K$505,MATCH($C2819,'Phản ánh'!$A$6:$A$505,0))&amp;"",IF($I2819="Công việc",INDEX('Kế hoạch'!$N$6:$N$305,$O2819)&amp;"",""))</f>
      </c>
      <c r="L2819" s="220">
        <f>IF(OR($C2819="",N($B2819)=0),"",IF(AND($I2819="Phản ánh",$E2819="Đã xử lý"),INDEX('Phản ánh'!$U$6:$U$505,MATCH($C2819,'Phản ánh'!$A$6:$A$505,0)),IF(AND($I2819="Công việc",OR($E2819="Hoàn thành",$E2819="Hoàn thành kỳ")),IF(INDEX('Kế hoạch'!$B$6:$B$305,$O2819)="Đột xuất",INDEX('Kế hoạch'!$AY$6:$AY$305,$O2819),IF(N($P2819)=0,"",IF(INT($B2819)&lt;$P2819,$P2819,IF($Q2819&gt;0,$P2819+ROUND((INT($B2819)-$P2819)/$Q2819,0)*$Q2819,IF($R2819&gt;0,EDATE($P2819,ROUND((DATEDIF($P2819,INT($B2819),"m")+(INT($B2819)-EDATE($P2819,DATEDIF($P2819,INT($B2819),"m")))/(EDATE($P2819,DATEDIF($P2819,INT($B2819),"m")+1)-EDATE($P2819,DATEDIF($P2819,INT($B2819),"m"))))/$R2819,0)*$R2819),$P2819))))),"")))</f>
      </c>
      <c r="M2819" s="223">
        <f>IF(OR($C2819="",N($L2819)=0,N($B2819)=0),"",IF(IF(MOD($L2819,1)=0,INT($B2819),$B2819)&lt;=$L2819,"Đúng hạn","Trễ hạn"))</f>
      </c>
      <c r="N2819" s="225">
        <f>IF($C2819="","",ROW())</f>
      </c>
      <c r="O2819" s="225">
        <f>IF($I2819="Công việc",MATCH($C2819,'Kế hoạch'!$A$6:$A$305,0),"")</f>
      </c>
      <c r="P2819" s="234">
        <f>IF($O2819="","",INDEX('Kế hoạch'!$I$6:$I$305,$O2819))</f>
      </c>
      <c r="Q2819" s="225">
        <f>IF($O2819="","",INDEX('Kế hoạch'!$AJ$6:$AJ$305,$O2819))</f>
      </c>
      <c r="R2819" s="225">
        <f>IF($O2819="","",INDEX('Kế hoạch'!$AK$6:$AK$305,$O2819))</f>
      </c>
    </row>
    <row r="2820">
      <c r="A2820" s="223">
        <f>IF($C2820="","",COUNTIF($C$6:$C2820,"?*"))</f>
      </c>
      <c r="B2820" s="217"/>
      <c r="C2820" s="216"/>
      <c r="D2820" s="240"/>
      <c r="E2820" s="218"/>
      <c r="F2820" s="218"/>
      <c r="G2820" s="218"/>
      <c r="H2820" s="219"/>
      <c r="I2820" s="223">
        <f>IF($C2820="","",IF(ISNUMBER(MATCH($C2820,'Phản ánh'!$A$6:$A$505,0)),"Phản ánh",IF(ISNUMBER(MATCH($C2820,'Kế hoạch'!$A$6:$A$305,0)),"Công việc","Mã chưa có")))</f>
      </c>
      <c r="J2820" s="221">
        <f>IF($I2820="Phản ánh",INDEX('Phản ánh'!$C$6:$C$505,MATCH($C2820,'Phản ánh'!$A$6:$A$505,0)),IF($I2820="Công việc",INDEX('Kế hoạch'!$C$6:$C$305,$O2820),""))</f>
      </c>
      <c r="K2820" s="221">
        <f>IF($I2820="Phản ánh",INDEX('Phản ánh'!$K$6:$K$505,MATCH($C2820,'Phản ánh'!$A$6:$A$505,0))&amp;"",IF($I2820="Công việc",INDEX('Kế hoạch'!$N$6:$N$305,$O2820)&amp;"",""))</f>
      </c>
      <c r="L2820" s="220">
        <f>IF(OR($C2820="",N($B2820)=0),"",IF(AND($I2820="Phản ánh",$E2820="Đã xử lý"),INDEX('Phản ánh'!$U$6:$U$505,MATCH($C2820,'Phản ánh'!$A$6:$A$505,0)),IF(AND($I2820="Công việc",OR($E2820="Hoàn thành",$E2820="Hoàn thành kỳ")),IF(INDEX('Kế hoạch'!$B$6:$B$305,$O2820)="Đột xuất",INDEX('Kế hoạch'!$AY$6:$AY$305,$O2820),IF(N($P2820)=0,"",IF(INT($B2820)&lt;$P2820,$P2820,IF($Q2820&gt;0,$P2820+ROUND((INT($B2820)-$P2820)/$Q2820,0)*$Q2820,IF($R2820&gt;0,EDATE($P2820,ROUND((DATEDIF($P2820,INT($B2820),"m")+(INT($B2820)-EDATE($P2820,DATEDIF($P2820,INT($B2820),"m")))/(EDATE($P2820,DATEDIF($P2820,INT($B2820),"m")+1)-EDATE($P2820,DATEDIF($P2820,INT($B2820),"m"))))/$R2820,0)*$R2820),$P2820))))),"")))</f>
      </c>
      <c r="M2820" s="223">
        <f>IF(OR($C2820="",N($L2820)=0,N($B2820)=0),"",IF(IF(MOD($L2820,1)=0,INT($B2820),$B2820)&lt;=$L2820,"Đúng hạn","Trễ hạn"))</f>
      </c>
      <c r="N2820" s="225">
        <f>IF($C2820="","",ROW())</f>
      </c>
      <c r="O2820" s="225">
        <f>IF($I2820="Công việc",MATCH($C2820,'Kế hoạch'!$A$6:$A$305,0),"")</f>
      </c>
      <c r="P2820" s="234">
        <f>IF($O2820="","",INDEX('Kế hoạch'!$I$6:$I$305,$O2820))</f>
      </c>
      <c r="Q2820" s="225">
        <f>IF($O2820="","",INDEX('Kế hoạch'!$AJ$6:$AJ$305,$O2820))</f>
      </c>
      <c r="R2820" s="225">
        <f>IF($O2820="","",INDEX('Kế hoạch'!$AK$6:$AK$305,$O2820))</f>
      </c>
    </row>
    <row r="2821">
      <c r="A2821" s="223">
        <f>IF($C2821="","",COUNTIF($C$6:$C2821,"?*"))</f>
      </c>
      <c r="B2821" s="217"/>
      <c r="C2821" s="216"/>
      <c r="D2821" s="240"/>
      <c r="E2821" s="218"/>
      <c r="F2821" s="218"/>
      <c r="G2821" s="218"/>
      <c r="H2821" s="219"/>
      <c r="I2821" s="223">
        <f>IF($C2821="","",IF(ISNUMBER(MATCH($C2821,'Phản ánh'!$A$6:$A$505,0)),"Phản ánh",IF(ISNUMBER(MATCH($C2821,'Kế hoạch'!$A$6:$A$305,0)),"Công việc","Mã chưa có")))</f>
      </c>
      <c r="J2821" s="221">
        <f>IF($I2821="Phản ánh",INDEX('Phản ánh'!$C$6:$C$505,MATCH($C2821,'Phản ánh'!$A$6:$A$505,0)),IF($I2821="Công việc",INDEX('Kế hoạch'!$C$6:$C$305,$O2821),""))</f>
      </c>
      <c r="K2821" s="221">
        <f>IF($I2821="Phản ánh",INDEX('Phản ánh'!$K$6:$K$505,MATCH($C2821,'Phản ánh'!$A$6:$A$505,0))&amp;"",IF($I2821="Công việc",INDEX('Kế hoạch'!$N$6:$N$305,$O2821)&amp;"",""))</f>
      </c>
      <c r="L2821" s="220">
        <f>IF(OR($C2821="",N($B2821)=0),"",IF(AND($I2821="Phản ánh",$E2821="Đã xử lý"),INDEX('Phản ánh'!$U$6:$U$505,MATCH($C2821,'Phản ánh'!$A$6:$A$505,0)),IF(AND($I2821="Công việc",OR($E2821="Hoàn thành",$E2821="Hoàn thành kỳ")),IF(INDEX('Kế hoạch'!$B$6:$B$305,$O2821)="Đột xuất",INDEX('Kế hoạch'!$AY$6:$AY$305,$O2821),IF(N($P2821)=0,"",IF(INT($B2821)&lt;$P2821,$P2821,IF($Q2821&gt;0,$P2821+ROUND((INT($B2821)-$P2821)/$Q2821,0)*$Q2821,IF($R2821&gt;0,EDATE($P2821,ROUND((DATEDIF($P2821,INT($B2821),"m")+(INT($B2821)-EDATE($P2821,DATEDIF($P2821,INT($B2821),"m")))/(EDATE($P2821,DATEDIF($P2821,INT($B2821),"m")+1)-EDATE($P2821,DATEDIF($P2821,INT($B2821),"m"))))/$R2821,0)*$R2821),$P2821))))),"")))</f>
      </c>
      <c r="M2821" s="223">
        <f>IF(OR($C2821="",N($L2821)=0,N($B2821)=0),"",IF(IF(MOD($L2821,1)=0,INT($B2821),$B2821)&lt;=$L2821,"Đúng hạn","Trễ hạn"))</f>
      </c>
      <c r="N2821" s="225">
        <f>IF($C2821="","",ROW())</f>
      </c>
      <c r="O2821" s="225">
        <f>IF($I2821="Công việc",MATCH($C2821,'Kế hoạch'!$A$6:$A$305,0),"")</f>
      </c>
      <c r="P2821" s="234">
        <f>IF($O2821="","",INDEX('Kế hoạch'!$I$6:$I$305,$O2821))</f>
      </c>
      <c r="Q2821" s="225">
        <f>IF($O2821="","",INDEX('Kế hoạch'!$AJ$6:$AJ$305,$O2821))</f>
      </c>
      <c r="R2821" s="225">
        <f>IF($O2821="","",INDEX('Kế hoạch'!$AK$6:$AK$305,$O2821))</f>
      </c>
    </row>
    <row r="2822">
      <c r="A2822" s="223">
        <f>IF($C2822="","",COUNTIF($C$6:$C2822,"?*"))</f>
      </c>
      <c r="B2822" s="217"/>
      <c r="C2822" s="216"/>
      <c r="D2822" s="240"/>
      <c r="E2822" s="218"/>
      <c r="F2822" s="218"/>
      <c r="G2822" s="218"/>
      <c r="H2822" s="219"/>
      <c r="I2822" s="223">
        <f>IF($C2822="","",IF(ISNUMBER(MATCH($C2822,'Phản ánh'!$A$6:$A$505,0)),"Phản ánh",IF(ISNUMBER(MATCH($C2822,'Kế hoạch'!$A$6:$A$305,0)),"Công việc","Mã chưa có")))</f>
      </c>
      <c r="J2822" s="221">
        <f>IF($I2822="Phản ánh",INDEX('Phản ánh'!$C$6:$C$505,MATCH($C2822,'Phản ánh'!$A$6:$A$505,0)),IF($I2822="Công việc",INDEX('Kế hoạch'!$C$6:$C$305,$O2822),""))</f>
      </c>
      <c r="K2822" s="221">
        <f>IF($I2822="Phản ánh",INDEX('Phản ánh'!$K$6:$K$505,MATCH($C2822,'Phản ánh'!$A$6:$A$505,0))&amp;"",IF($I2822="Công việc",INDEX('Kế hoạch'!$N$6:$N$305,$O2822)&amp;"",""))</f>
      </c>
      <c r="L2822" s="220">
        <f>IF(OR($C2822="",N($B2822)=0),"",IF(AND($I2822="Phản ánh",$E2822="Đã xử lý"),INDEX('Phản ánh'!$U$6:$U$505,MATCH($C2822,'Phản ánh'!$A$6:$A$505,0)),IF(AND($I2822="Công việc",OR($E2822="Hoàn thành",$E2822="Hoàn thành kỳ")),IF(INDEX('Kế hoạch'!$B$6:$B$305,$O2822)="Đột xuất",INDEX('Kế hoạch'!$AY$6:$AY$305,$O2822),IF(N($P2822)=0,"",IF(INT($B2822)&lt;$P2822,$P2822,IF($Q2822&gt;0,$P2822+ROUND((INT($B2822)-$P2822)/$Q2822,0)*$Q2822,IF($R2822&gt;0,EDATE($P2822,ROUND((DATEDIF($P2822,INT($B2822),"m")+(INT($B2822)-EDATE($P2822,DATEDIF($P2822,INT($B2822),"m")))/(EDATE($P2822,DATEDIF($P2822,INT($B2822),"m")+1)-EDATE($P2822,DATEDIF($P2822,INT($B2822),"m"))))/$R2822,0)*$R2822),$P2822))))),"")))</f>
      </c>
      <c r="M2822" s="223">
        <f>IF(OR($C2822="",N($L2822)=0,N($B2822)=0),"",IF(IF(MOD($L2822,1)=0,INT($B2822),$B2822)&lt;=$L2822,"Đúng hạn","Trễ hạn"))</f>
      </c>
      <c r="N2822" s="225">
        <f>IF($C2822="","",ROW())</f>
      </c>
      <c r="O2822" s="225">
        <f>IF($I2822="Công việc",MATCH($C2822,'Kế hoạch'!$A$6:$A$305,0),"")</f>
      </c>
      <c r="P2822" s="234">
        <f>IF($O2822="","",INDEX('Kế hoạch'!$I$6:$I$305,$O2822))</f>
      </c>
      <c r="Q2822" s="225">
        <f>IF($O2822="","",INDEX('Kế hoạch'!$AJ$6:$AJ$305,$O2822))</f>
      </c>
      <c r="R2822" s="225">
        <f>IF($O2822="","",INDEX('Kế hoạch'!$AK$6:$AK$305,$O2822))</f>
      </c>
    </row>
    <row r="2823">
      <c r="A2823" s="223">
        <f>IF($C2823="","",COUNTIF($C$6:$C2823,"?*"))</f>
      </c>
      <c r="B2823" s="217"/>
      <c r="C2823" s="216"/>
      <c r="D2823" s="240"/>
      <c r="E2823" s="218"/>
      <c r="F2823" s="218"/>
      <c r="G2823" s="218"/>
      <c r="H2823" s="219"/>
      <c r="I2823" s="223">
        <f>IF($C2823="","",IF(ISNUMBER(MATCH($C2823,'Phản ánh'!$A$6:$A$505,0)),"Phản ánh",IF(ISNUMBER(MATCH($C2823,'Kế hoạch'!$A$6:$A$305,0)),"Công việc","Mã chưa có")))</f>
      </c>
      <c r="J2823" s="221">
        <f>IF($I2823="Phản ánh",INDEX('Phản ánh'!$C$6:$C$505,MATCH($C2823,'Phản ánh'!$A$6:$A$505,0)),IF($I2823="Công việc",INDEX('Kế hoạch'!$C$6:$C$305,$O2823),""))</f>
      </c>
      <c r="K2823" s="221">
        <f>IF($I2823="Phản ánh",INDEX('Phản ánh'!$K$6:$K$505,MATCH($C2823,'Phản ánh'!$A$6:$A$505,0))&amp;"",IF($I2823="Công việc",INDEX('Kế hoạch'!$N$6:$N$305,$O2823)&amp;"",""))</f>
      </c>
      <c r="L2823" s="220">
        <f>IF(OR($C2823="",N($B2823)=0),"",IF(AND($I2823="Phản ánh",$E2823="Đã xử lý"),INDEX('Phản ánh'!$U$6:$U$505,MATCH($C2823,'Phản ánh'!$A$6:$A$505,0)),IF(AND($I2823="Công việc",OR($E2823="Hoàn thành",$E2823="Hoàn thành kỳ")),IF(INDEX('Kế hoạch'!$B$6:$B$305,$O2823)="Đột xuất",INDEX('Kế hoạch'!$AY$6:$AY$305,$O2823),IF(N($P2823)=0,"",IF(INT($B2823)&lt;$P2823,$P2823,IF($Q2823&gt;0,$P2823+ROUND((INT($B2823)-$P2823)/$Q2823,0)*$Q2823,IF($R2823&gt;0,EDATE($P2823,ROUND((DATEDIF($P2823,INT($B2823),"m")+(INT($B2823)-EDATE($P2823,DATEDIF($P2823,INT($B2823),"m")))/(EDATE($P2823,DATEDIF($P2823,INT($B2823),"m")+1)-EDATE($P2823,DATEDIF($P2823,INT($B2823),"m"))))/$R2823,0)*$R2823),$P2823))))),"")))</f>
      </c>
      <c r="M2823" s="223">
        <f>IF(OR($C2823="",N($L2823)=0,N($B2823)=0),"",IF(IF(MOD($L2823,1)=0,INT($B2823),$B2823)&lt;=$L2823,"Đúng hạn","Trễ hạn"))</f>
      </c>
      <c r="N2823" s="225">
        <f>IF($C2823="","",ROW())</f>
      </c>
      <c r="O2823" s="225">
        <f>IF($I2823="Công việc",MATCH($C2823,'Kế hoạch'!$A$6:$A$305,0),"")</f>
      </c>
      <c r="P2823" s="234">
        <f>IF($O2823="","",INDEX('Kế hoạch'!$I$6:$I$305,$O2823))</f>
      </c>
      <c r="Q2823" s="225">
        <f>IF($O2823="","",INDEX('Kế hoạch'!$AJ$6:$AJ$305,$O2823))</f>
      </c>
      <c r="R2823" s="225">
        <f>IF($O2823="","",INDEX('Kế hoạch'!$AK$6:$AK$305,$O2823))</f>
      </c>
    </row>
    <row r="2824">
      <c r="A2824" s="223">
        <f>IF($C2824="","",COUNTIF($C$6:$C2824,"?*"))</f>
      </c>
      <c r="B2824" s="217"/>
      <c r="C2824" s="216"/>
      <c r="D2824" s="240"/>
      <c r="E2824" s="218"/>
      <c r="F2824" s="218"/>
      <c r="G2824" s="218"/>
      <c r="H2824" s="219"/>
      <c r="I2824" s="223">
        <f>IF($C2824="","",IF(ISNUMBER(MATCH($C2824,'Phản ánh'!$A$6:$A$505,0)),"Phản ánh",IF(ISNUMBER(MATCH($C2824,'Kế hoạch'!$A$6:$A$305,0)),"Công việc","Mã chưa có")))</f>
      </c>
      <c r="J2824" s="221">
        <f>IF($I2824="Phản ánh",INDEX('Phản ánh'!$C$6:$C$505,MATCH($C2824,'Phản ánh'!$A$6:$A$505,0)),IF($I2824="Công việc",INDEX('Kế hoạch'!$C$6:$C$305,$O2824),""))</f>
      </c>
      <c r="K2824" s="221">
        <f>IF($I2824="Phản ánh",INDEX('Phản ánh'!$K$6:$K$505,MATCH($C2824,'Phản ánh'!$A$6:$A$505,0))&amp;"",IF($I2824="Công việc",INDEX('Kế hoạch'!$N$6:$N$305,$O2824)&amp;"",""))</f>
      </c>
      <c r="L2824" s="220">
        <f>IF(OR($C2824="",N($B2824)=0),"",IF(AND($I2824="Phản ánh",$E2824="Đã xử lý"),INDEX('Phản ánh'!$U$6:$U$505,MATCH($C2824,'Phản ánh'!$A$6:$A$505,0)),IF(AND($I2824="Công việc",OR($E2824="Hoàn thành",$E2824="Hoàn thành kỳ")),IF(INDEX('Kế hoạch'!$B$6:$B$305,$O2824)="Đột xuất",INDEX('Kế hoạch'!$AY$6:$AY$305,$O2824),IF(N($P2824)=0,"",IF(INT($B2824)&lt;$P2824,$P2824,IF($Q2824&gt;0,$P2824+ROUND((INT($B2824)-$P2824)/$Q2824,0)*$Q2824,IF($R2824&gt;0,EDATE($P2824,ROUND((DATEDIF($P2824,INT($B2824),"m")+(INT($B2824)-EDATE($P2824,DATEDIF($P2824,INT($B2824),"m")))/(EDATE($P2824,DATEDIF($P2824,INT($B2824),"m")+1)-EDATE($P2824,DATEDIF($P2824,INT($B2824),"m"))))/$R2824,0)*$R2824),$P2824))))),"")))</f>
      </c>
      <c r="M2824" s="223">
        <f>IF(OR($C2824="",N($L2824)=0,N($B2824)=0),"",IF(IF(MOD($L2824,1)=0,INT($B2824),$B2824)&lt;=$L2824,"Đúng hạn","Trễ hạn"))</f>
      </c>
      <c r="N2824" s="225">
        <f>IF($C2824="","",ROW())</f>
      </c>
      <c r="O2824" s="225">
        <f>IF($I2824="Công việc",MATCH($C2824,'Kế hoạch'!$A$6:$A$305,0),"")</f>
      </c>
      <c r="P2824" s="234">
        <f>IF($O2824="","",INDEX('Kế hoạch'!$I$6:$I$305,$O2824))</f>
      </c>
      <c r="Q2824" s="225">
        <f>IF($O2824="","",INDEX('Kế hoạch'!$AJ$6:$AJ$305,$O2824))</f>
      </c>
      <c r="R2824" s="225">
        <f>IF($O2824="","",INDEX('Kế hoạch'!$AK$6:$AK$305,$O2824))</f>
      </c>
    </row>
    <row r="2825">
      <c r="A2825" s="223">
        <f>IF($C2825="","",COUNTIF($C$6:$C2825,"?*"))</f>
      </c>
      <c r="B2825" s="217"/>
      <c r="C2825" s="216"/>
      <c r="D2825" s="240"/>
      <c r="E2825" s="218"/>
      <c r="F2825" s="218"/>
      <c r="G2825" s="218"/>
      <c r="H2825" s="219"/>
      <c r="I2825" s="223">
        <f>IF($C2825="","",IF(ISNUMBER(MATCH($C2825,'Phản ánh'!$A$6:$A$505,0)),"Phản ánh",IF(ISNUMBER(MATCH($C2825,'Kế hoạch'!$A$6:$A$305,0)),"Công việc","Mã chưa có")))</f>
      </c>
      <c r="J2825" s="221">
        <f>IF($I2825="Phản ánh",INDEX('Phản ánh'!$C$6:$C$505,MATCH($C2825,'Phản ánh'!$A$6:$A$505,0)),IF($I2825="Công việc",INDEX('Kế hoạch'!$C$6:$C$305,$O2825),""))</f>
      </c>
      <c r="K2825" s="221">
        <f>IF($I2825="Phản ánh",INDEX('Phản ánh'!$K$6:$K$505,MATCH($C2825,'Phản ánh'!$A$6:$A$505,0))&amp;"",IF($I2825="Công việc",INDEX('Kế hoạch'!$N$6:$N$305,$O2825)&amp;"",""))</f>
      </c>
      <c r="L2825" s="220">
        <f>IF(OR($C2825="",N($B2825)=0),"",IF(AND($I2825="Phản ánh",$E2825="Đã xử lý"),INDEX('Phản ánh'!$U$6:$U$505,MATCH($C2825,'Phản ánh'!$A$6:$A$505,0)),IF(AND($I2825="Công việc",OR($E2825="Hoàn thành",$E2825="Hoàn thành kỳ")),IF(INDEX('Kế hoạch'!$B$6:$B$305,$O2825)="Đột xuất",INDEX('Kế hoạch'!$AY$6:$AY$305,$O2825),IF(N($P2825)=0,"",IF(INT($B2825)&lt;$P2825,$P2825,IF($Q2825&gt;0,$P2825+ROUND((INT($B2825)-$P2825)/$Q2825,0)*$Q2825,IF($R2825&gt;0,EDATE($P2825,ROUND((DATEDIF($P2825,INT($B2825),"m")+(INT($B2825)-EDATE($P2825,DATEDIF($P2825,INT($B2825),"m")))/(EDATE($P2825,DATEDIF($P2825,INT($B2825),"m")+1)-EDATE($P2825,DATEDIF($P2825,INT($B2825),"m"))))/$R2825,0)*$R2825),$P2825))))),"")))</f>
      </c>
      <c r="M2825" s="223">
        <f>IF(OR($C2825="",N($L2825)=0,N($B2825)=0),"",IF(IF(MOD($L2825,1)=0,INT($B2825),$B2825)&lt;=$L2825,"Đúng hạn","Trễ hạn"))</f>
      </c>
      <c r="N2825" s="225">
        <f>IF($C2825="","",ROW())</f>
      </c>
      <c r="O2825" s="225">
        <f>IF($I2825="Công việc",MATCH($C2825,'Kế hoạch'!$A$6:$A$305,0),"")</f>
      </c>
      <c r="P2825" s="234">
        <f>IF($O2825="","",INDEX('Kế hoạch'!$I$6:$I$305,$O2825))</f>
      </c>
      <c r="Q2825" s="225">
        <f>IF($O2825="","",INDEX('Kế hoạch'!$AJ$6:$AJ$305,$O2825))</f>
      </c>
      <c r="R2825" s="225">
        <f>IF($O2825="","",INDEX('Kế hoạch'!$AK$6:$AK$305,$O2825))</f>
      </c>
    </row>
    <row r="2826">
      <c r="A2826" s="223">
        <f>IF($C2826="","",COUNTIF($C$6:$C2826,"?*"))</f>
      </c>
      <c r="B2826" s="217"/>
      <c r="C2826" s="216"/>
      <c r="D2826" s="240"/>
      <c r="E2826" s="218"/>
      <c r="F2826" s="218"/>
      <c r="G2826" s="218"/>
      <c r="H2826" s="219"/>
      <c r="I2826" s="223">
        <f>IF($C2826="","",IF(ISNUMBER(MATCH($C2826,'Phản ánh'!$A$6:$A$505,0)),"Phản ánh",IF(ISNUMBER(MATCH($C2826,'Kế hoạch'!$A$6:$A$305,0)),"Công việc","Mã chưa có")))</f>
      </c>
      <c r="J2826" s="221">
        <f>IF($I2826="Phản ánh",INDEX('Phản ánh'!$C$6:$C$505,MATCH($C2826,'Phản ánh'!$A$6:$A$505,0)),IF($I2826="Công việc",INDEX('Kế hoạch'!$C$6:$C$305,$O2826),""))</f>
      </c>
      <c r="K2826" s="221">
        <f>IF($I2826="Phản ánh",INDEX('Phản ánh'!$K$6:$K$505,MATCH($C2826,'Phản ánh'!$A$6:$A$505,0))&amp;"",IF($I2826="Công việc",INDEX('Kế hoạch'!$N$6:$N$305,$O2826)&amp;"",""))</f>
      </c>
      <c r="L2826" s="220">
        <f>IF(OR($C2826="",N($B2826)=0),"",IF(AND($I2826="Phản ánh",$E2826="Đã xử lý"),INDEX('Phản ánh'!$U$6:$U$505,MATCH($C2826,'Phản ánh'!$A$6:$A$505,0)),IF(AND($I2826="Công việc",OR($E2826="Hoàn thành",$E2826="Hoàn thành kỳ")),IF(INDEX('Kế hoạch'!$B$6:$B$305,$O2826)="Đột xuất",INDEX('Kế hoạch'!$AY$6:$AY$305,$O2826),IF(N($P2826)=0,"",IF(INT($B2826)&lt;$P2826,$P2826,IF($Q2826&gt;0,$P2826+ROUND((INT($B2826)-$P2826)/$Q2826,0)*$Q2826,IF($R2826&gt;0,EDATE($P2826,ROUND((DATEDIF($P2826,INT($B2826),"m")+(INT($B2826)-EDATE($P2826,DATEDIF($P2826,INT($B2826),"m")))/(EDATE($P2826,DATEDIF($P2826,INT($B2826),"m")+1)-EDATE($P2826,DATEDIF($P2826,INT($B2826),"m"))))/$R2826,0)*$R2826),$P2826))))),"")))</f>
      </c>
      <c r="M2826" s="223">
        <f>IF(OR($C2826="",N($L2826)=0,N($B2826)=0),"",IF(IF(MOD($L2826,1)=0,INT($B2826),$B2826)&lt;=$L2826,"Đúng hạn","Trễ hạn"))</f>
      </c>
      <c r="N2826" s="225">
        <f>IF($C2826="","",ROW())</f>
      </c>
      <c r="O2826" s="225">
        <f>IF($I2826="Công việc",MATCH($C2826,'Kế hoạch'!$A$6:$A$305,0),"")</f>
      </c>
      <c r="P2826" s="234">
        <f>IF($O2826="","",INDEX('Kế hoạch'!$I$6:$I$305,$O2826))</f>
      </c>
      <c r="Q2826" s="225">
        <f>IF($O2826="","",INDEX('Kế hoạch'!$AJ$6:$AJ$305,$O2826))</f>
      </c>
      <c r="R2826" s="225">
        <f>IF($O2826="","",INDEX('Kế hoạch'!$AK$6:$AK$305,$O2826))</f>
      </c>
    </row>
    <row r="2827">
      <c r="A2827" s="223">
        <f>IF($C2827="","",COUNTIF($C$6:$C2827,"?*"))</f>
      </c>
      <c r="B2827" s="217"/>
      <c r="C2827" s="216"/>
      <c r="D2827" s="240"/>
      <c r="E2827" s="218"/>
      <c r="F2827" s="218"/>
      <c r="G2827" s="218"/>
      <c r="H2827" s="219"/>
      <c r="I2827" s="223">
        <f>IF($C2827="","",IF(ISNUMBER(MATCH($C2827,'Phản ánh'!$A$6:$A$505,0)),"Phản ánh",IF(ISNUMBER(MATCH($C2827,'Kế hoạch'!$A$6:$A$305,0)),"Công việc","Mã chưa có")))</f>
      </c>
      <c r="J2827" s="221">
        <f>IF($I2827="Phản ánh",INDEX('Phản ánh'!$C$6:$C$505,MATCH($C2827,'Phản ánh'!$A$6:$A$505,0)),IF($I2827="Công việc",INDEX('Kế hoạch'!$C$6:$C$305,$O2827),""))</f>
      </c>
      <c r="K2827" s="221">
        <f>IF($I2827="Phản ánh",INDEX('Phản ánh'!$K$6:$K$505,MATCH($C2827,'Phản ánh'!$A$6:$A$505,0))&amp;"",IF($I2827="Công việc",INDEX('Kế hoạch'!$N$6:$N$305,$O2827)&amp;"",""))</f>
      </c>
      <c r="L2827" s="220">
        <f>IF(OR($C2827="",N($B2827)=0),"",IF(AND($I2827="Phản ánh",$E2827="Đã xử lý"),INDEX('Phản ánh'!$U$6:$U$505,MATCH($C2827,'Phản ánh'!$A$6:$A$505,0)),IF(AND($I2827="Công việc",OR($E2827="Hoàn thành",$E2827="Hoàn thành kỳ")),IF(INDEX('Kế hoạch'!$B$6:$B$305,$O2827)="Đột xuất",INDEX('Kế hoạch'!$AY$6:$AY$305,$O2827),IF(N($P2827)=0,"",IF(INT($B2827)&lt;$P2827,$P2827,IF($Q2827&gt;0,$P2827+ROUND((INT($B2827)-$P2827)/$Q2827,0)*$Q2827,IF($R2827&gt;0,EDATE($P2827,ROUND((DATEDIF($P2827,INT($B2827),"m")+(INT($B2827)-EDATE($P2827,DATEDIF($P2827,INT($B2827),"m")))/(EDATE($P2827,DATEDIF($P2827,INT($B2827),"m")+1)-EDATE($P2827,DATEDIF($P2827,INT($B2827),"m"))))/$R2827,0)*$R2827),$P2827))))),"")))</f>
      </c>
      <c r="M2827" s="223">
        <f>IF(OR($C2827="",N($L2827)=0,N($B2827)=0),"",IF(IF(MOD($L2827,1)=0,INT($B2827),$B2827)&lt;=$L2827,"Đúng hạn","Trễ hạn"))</f>
      </c>
      <c r="N2827" s="225">
        <f>IF($C2827="","",ROW())</f>
      </c>
      <c r="O2827" s="225">
        <f>IF($I2827="Công việc",MATCH($C2827,'Kế hoạch'!$A$6:$A$305,0),"")</f>
      </c>
      <c r="P2827" s="234">
        <f>IF($O2827="","",INDEX('Kế hoạch'!$I$6:$I$305,$O2827))</f>
      </c>
      <c r="Q2827" s="225">
        <f>IF($O2827="","",INDEX('Kế hoạch'!$AJ$6:$AJ$305,$O2827))</f>
      </c>
      <c r="R2827" s="225">
        <f>IF($O2827="","",INDEX('Kế hoạch'!$AK$6:$AK$305,$O2827))</f>
      </c>
    </row>
    <row r="2828">
      <c r="A2828" s="223">
        <f>IF($C2828="","",COUNTIF($C$6:$C2828,"?*"))</f>
      </c>
      <c r="B2828" s="217"/>
      <c r="C2828" s="216"/>
      <c r="D2828" s="240"/>
      <c r="E2828" s="218"/>
      <c r="F2828" s="218"/>
      <c r="G2828" s="218"/>
      <c r="H2828" s="219"/>
      <c r="I2828" s="223">
        <f>IF($C2828="","",IF(ISNUMBER(MATCH($C2828,'Phản ánh'!$A$6:$A$505,0)),"Phản ánh",IF(ISNUMBER(MATCH($C2828,'Kế hoạch'!$A$6:$A$305,0)),"Công việc","Mã chưa có")))</f>
      </c>
      <c r="J2828" s="221">
        <f>IF($I2828="Phản ánh",INDEX('Phản ánh'!$C$6:$C$505,MATCH($C2828,'Phản ánh'!$A$6:$A$505,0)),IF($I2828="Công việc",INDEX('Kế hoạch'!$C$6:$C$305,$O2828),""))</f>
      </c>
      <c r="K2828" s="221">
        <f>IF($I2828="Phản ánh",INDEX('Phản ánh'!$K$6:$K$505,MATCH($C2828,'Phản ánh'!$A$6:$A$505,0))&amp;"",IF($I2828="Công việc",INDEX('Kế hoạch'!$N$6:$N$305,$O2828)&amp;"",""))</f>
      </c>
      <c r="L2828" s="220">
        <f>IF(OR($C2828="",N($B2828)=0),"",IF(AND($I2828="Phản ánh",$E2828="Đã xử lý"),INDEX('Phản ánh'!$U$6:$U$505,MATCH($C2828,'Phản ánh'!$A$6:$A$505,0)),IF(AND($I2828="Công việc",OR($E2828="Hoàn thành",$E2828="Hoàn thành kỳ")),IF(INDEX('Kế hoạch'!$B$6:$B$305,$O2828)="Đột xuất",INDEX('Kế hoạch'!$AY$6:$AY$305,$O2828),IF(N($P2828)=0,"",IF(INT($B2828)&lt;$P2828,$P2828,IF($Q2828&gt;0,$P2828+ROUND((INT($B2828)-$P2828)/$Q2828,0)*$Q2828,IF($R2828&gt;0,EDATE($P2828,ROUND((DATEDIF($P2828,INT($B2828),"m")+(INT($B2828)-EDATE($P2828,DATEDIF($P2828,INT($B2828),"m")))/(EDATE($P2828,DATEDIF($P2828,INT($B2828),"m")+1)-EDATE($P2828,DATEDIF($P2828,INT($B2828),"m"))))/$R2828,0)*$R2828),$P2828))))),"")))</f>
      </c>
      <c r="M2828" s="223">
        <f>IF(OR($C2828="",N($L2828)=0,N($B2828)=0),"",IF(IF(MOD($L2828,1)=0,INT($B2828),$B2828)&lt;=$L2828,"Đúng hạn","Trễ hạn"))</f>
      </c>
      <c r="N2828" s="225">
        <f>IF($C2828="","",ROW())</f>
      </c>
      <c r="O2828" s="225">
        <f>IF($I2828="Công việc",MATCH($C2828,'Kế hoạch'!$A$6:$A$305,0),"")</f>
      </c>
      <c r="P2828" s="234">
        <f>IF($O2828="","",INDEX('Kế hoạch'!$I$6:$I$305,$O2828))</f>
      </c>
      <c r="Q2828" s="225">
        <f>IF($O2828="","",INDEX('Kế hoạch'!$AJ$6:$AJ$305,$O2828))</f>
      </c>
      <c r="R2828" s="225">
        <f>IF($O2828="","",INDEX('Kế hoạch'!$AK$6:$AK$305,$O2828))</f>
      </c>
    </row>
    <row r="2829">
      <c r="A2829" s="223">
        <f>IF($C2829="","",COUNTIF($C$6:$C2829,"?*"))</f>
      </c>
      <c r="B2829" s="217"/>
      <c r="C2829" s="216"/>
      <c r="D2829" s="240"/>
      <c r="E2829" s="218"/>
      <c r="F2829" s="218"/>
      <c r="G2829" s="218"/>
      <c r="H2829" s="219"/>
      <c r="I2829" s="223">
        <f>IF($C2829="","",IF(ISNUMBER(MATCH($C2829,'Phản ánh'!$A$6:$A$505,0)),"Phản ánh",IF(ISNUMBER(MATCH($C2829,'Kế hoạch'!$A$6:$A$305,0)),"Công việc","Mã chưa có")))</f>
      </c>
      <c r="J2829" s="221">
        <f>IF($I2829="Phản ánh",INDEX('Phản ánh'!$C$6:$C$505,MATCH($C2829,'Phản ánh'!$A$6:$A$505,0)),IF($I2829="Công việc",INDEX('Kế hoạch'!$C$6:$C$305,$O2829),""))</f>
      </c>
      <c r="K2829" s="221">
        <f>IF($I2829="Phản ánh",INDEX('Phản ánh'!$K$6:$K$505,MATCH($C2829,'Phản ánh'!$A$6:$A$505,0))&amp;"",IF($I2829="Công việc",INDEX('Kế hoạch'!$N$6:$N$305,$O2829)&amp;"",""))</f>
      </c>
      <c r="L2829" s="220">
        <f>IF(OR($C2829="",N($B2829)=0),"",IF(AND($I2829="Phản ánh",$E2829="Đã xử lý"),INDEX('Phản ánh'!$U$6:$U$505,MATCH($C2829,'Phản ánh'!$A$6:$A$505,0)),IF(AND($I2829="Công việc",OR($E2829="Hoàn thành",$E2829="Hoàn thành kỳ")),IF(INDEX('Kế hoạch'!$B$6:$B$305,$O2829)="Đột xuất",INDEX('Kế hoạch'!$AY$6:$AY$305,$O2829),IF(N($P2829)=0,"",IF(INT($B2829)&lt;$P2829,$P2829,IF($Q2829&gt;0,$P2829+ROUND((INT($B2829)-$P2829)/$Q2829,0)*$Q2829,IF($R2829&gt;0,EDATE($P2829,ROUND((DATEDIF($P2829,INT($B2829),"m")+(INT($B2829)-EDATE($P2829,DATEDIF($P2829,INT($B2829),"m")))/(EDATE($P2829,DATEDIF($P2829,INT($B2829),"m")+1)-EDATE($P2829,DATEDIF($P2829,INT($B2829),"m"))))/$R2829,0)*$R2829),$P2829))))),"")))</f>
      </c>
      <c r="M2829" s="223">
        <f>IF(OR($C2829="",N($L2829)=0,N($B2829)=0),"",IF(IF(MOD($L2829,1)=0,INT($B2829),$B2829)&lt;=$L2829,"Đúng hạn","Trễ hạn"))</f>
      </c>
      <c r="N2829" s="225">
        <f>IF($C2829="","",ROW())</f>
      </c>
      <c r="O2829" s="225">
        <f>IF($I2829="Công việc",MATCH($C2829,'Kế hoạch'!$A$6:$A$305,0),"")</f>
      </c>
      <c r="P2829" s="234">
        <f>IF($O2829="","",INDEX('Kế hoạch'!$I$6:$I$305,$O2829))</f>
      </c>
      <c r="Q2829" s="225">
        <f>IF($O2829="","",INDEX('Kế hoạch'!$AJ$6:$AJ$305,$O2829))</f>
      </c>
      <c r="R2829" s="225">
        <f>IF($O2829="","",INDEX('Kế hoạch'!$AK$6:$AK$305,$O2829))</f>
      </c>
    </row>
    <row r="2830">
      <c r="A2830" s="223">
        <f>IF($C2830="","",COUNTIF($C$6:$C2830,"?*"))</f>
      </c>
      <c r="B2830" s="217"/>
      <c r="C2830" s="216"/>
      <c r="D2830" s="240"/>
      <c r="E2830" s="218"/>
      <c r="F2830" s="218"/>
      <c r="G2830" s="218"/>
      <c r="H2830" s="219"/>
      <c r="I2830" s="223">
        <f>IF($C2830="","",IF(ISNUMBER(MATCH($C2830,'Phản ánh'!$A$6:$A$505,0)),"Phản ánh",IF(ISNUMBER(MATCH($C2830,'Kế hoạch'!$A$6:$A$305,0)),"Công việc","Mã chưa có")))</f>
      </c>
      <c r="J2830" s="221">
        <f>IF($I2830="Phản ánh",INDEX('Phản ánh'!$C$6:$C$505,MATCH($C2830,'Phản ánh'!$A$6:$A$505,0)),IF($I2830="Công việc",INDEX('Kế hoạch'!$C$6:$C$305,$O2830),""))</f>
      </c>
      <c r="K2830" s="221">
        <f>IF($I2830="Phản ánh",INDEX('Phản ánh'!$K$6:$K$505,MATCH($C2830,'Phản ánh'!$A$6:$A$505,0))&amp;"",IF($I2830="Công việc",INDEX('Kế hoạch'!$N$6:$N$305,$O2830)&amp;"",""))</f>
      </c>
      <c r="L2830" s="220">
        <f>IF(OR($C2830="",N($B2830)=0),"",IF(AND($I2830="Phản ánh",$E2830="Đã xử lý"),INDEX('Phản ánh'!$U$6:$U$505,MATCH($C2830,'Phản ánh'!$A$6:$A$505,0)),IF(AND($I2830="Công việc",OR($E2830="Hoàn thành",$E2830="Hoàn thành kỳ")),IF(INDEX('Kế hoạch'!$B$6:$B$305,$O2830)="Đột xuất",INDEX('Kế hoạch'!$AY$6:$AY$305,$O2830),IF(N($P2830)=0,"",IF(INT($B2830)&lt;$P2830,$P2830,IF($Q2830&gt;0,$P2830+ROUND((INT($B2830)-$P2830)/$Q2830,0)*$Q2830,IF($R2830&gt;0,EDATE($P2830,ROUND((DATEDIF($P2830,INT($B2830),"m")+(INT($B2830)-EDATE($P2830,DATEDIF($P2830,INT($B2830),"m")))/(EDATE($P2830,DATEDIF($P2830,INT($B2830),"m")+1)-EDATE($P2830,DATEDIF($P2830,INT($B2830),"m"))))/$R2830,0)*$R2830),$P2830))))),"")))</f>
      </c>
      <c r="M2830" s="223">
        <f>IF(OR($C2830="",N($L2830)=0,N($B2830)=0),"",IF(IF(MOD($L2830,1)=0,INT($B2830),$B2830)&lt;=$L2830,"Đúng hạn","Trễ hạn"))</f>
      </c>
      <c r="N2830" s="225">
        <f>IF($C2830="","",ROW())</f>
      </c>
      <c r="O2830" s="225">
        <f>IF($I2830="Công việc",MATCH($C2830,'Kế hoạch'!$A$6:$A$305,0),"")</f>
      </c>
      <c r="P2830" s="234">
        <f>IF($O2830="","",INDEX('Kế hoạch'!$I$6:$I$305,$O2830))</f>
      </c>
      <c r="Q2830" s="225">
        <f>IF($O2830="","",INDEX('Kế hoạch'!$AJ$6:$AJ$305,$O2830))</f>
      </c>
      <c r="R2830" s="225">
        <f>IF($O2830="","",INDEX('Kế hoạch'!$AK$6:$AK$305,$O2830))</f>
      </c>
    </row>
    <row r="2831">
      <c r="A2831" s="223">
        <f>IF($C2831="","",COUNTIF($C$6:$C2831,"?*"))</f>
      </c>
      <c r="B2831" s="217"/>
      <c r="C2831" s="216"/>
      <c r="D2831" s="240"/>
      <c r="E2831" s="218"/>
      <c r="F2831" s="218"/>
      <c r="G2831" s="218"/>
      <c r="H2831" s="219"/>
      <c r="I2831" s="223">
        <f>IF($C2831="","",IF(ISNUMBER(MATCH($C2831,'Phản ánh'!$A$6:$A$505,0)),"Phản ánh",IF(ISNUMBER(MATCH($C2831,'Kế hoạch'!$A$6:$A$305,0)),"Công việc","Mã chưa có")))</f>
      </c>
      <c r="J2831" s="221">
        <f>IF($I2831="Phản ánh",INDEX('Phản ánh'!$C$6:$C$505,MATCH($C2831,'Phản ánh'!$A$6:$A$505,0)),IF($I2831="Công việc",INDEX('Kế hoạch'!$C$6:$C$305,$O2831),""))</f>
      </c>
      <c r="K2831" s="221">
        <f>IF($I2831="Phản ánh",INDEX('Phản ánh'!$K$6:$K$505,MATCH($C2831,'Phản ánh'!$A$6:$A$505,0))&amp;"",IF($I2831="Công việc",INDEX('Kế hoạch'!$N$6:$N$305,$O2831)&amp;"",""))</f>
      </c>
      <c r="L2831" s="220">
        <f>IF(OR($C2831="",N($B2831)=0),"",IF(AND($I2831="Phản ánh",$E2831="Đã xử lý"),INDEX('Phản ánh'!$U$6:$U$505,MATCH($C2831,'Phản ánh'!$A$6:$A$505,0)),IF(AND($I2831="Công việc",OR($E2831="Hoàn thành",$E2831="Hoàn thành kỳ")),IF(INDEX('Kế hoạch'!$B$6:$B$305,$O2831)="Đột xuất",INDEX('Kế hoạch'!$AY$6:$AY$305,$O2831),IF(N($P2831)=0,"",IF(INT($B2831)&lt;$P2831,$P2831,IF($Q2831&gt;0,$P2831+ROUND((INT($B2831)-$P2831)/$Q2831,0)*$Q2831,IF($R2831&gt;0,EDATE($P2831,ROUND((DATEDIF($P2831,INT($B2831),"m")+(INT($B2831)-EDATE($P2831,DATEDIF($P2831,INT($B2831),"m")))/(EDATE($P2831,DATEDIF($P2831,INT($B2831),"m")+1)-EDATE($P2831,DATEDIF($P2831,INT($B2831),"m"))))/$R2831,0)*$R2831),$P2831))))),"")))</f>
      </c>
      <c r="M2831" s="223">
        <f>IF(OR($C2831="",N($L2831)=0,N($B2831)=0),"",IF(IF(MOD($L2831,1)=0,INT($B2831),$B2831)&lt;=$L2831,"Đúng hạn","Trễ hạn"))</f>
      </c>
      <c r="N2831" s="225">
        <f>IF($C2831="","",ROW())</f>
      </c>
      <c r="O2831" s="225">
        <f>IF($I2831="Công việc",MATCH($C2831,'Kế hoạch'!$A$6:$A$305,0),"")</f>
      </c>
      <c r="P2831" s="234">
        <f>IF($O2831="","",INDEX('Kế hoạch'!$I$6:$I$305,$O2831))</f>
      </c>
      <c r="Q2831" s="225">
        <f>IF($O2831="","",INDEX('Kế hoạch'!$AJ$6:$AJ$305,$O2831))</f>
      </c>
      <c r="R2831" s="225">
        <f>IF($O2831="","",INDEX('Kế hoạch'!$AK$6:$AK$305,$O2831))</f>
      </c>
    </row>
    <row r="2832">
      <c r="A2832" s="223">
        <f>IF($C2832="","",COUNTIF($C$6:$C2832,"?*"))</f>
      </c>
      <c r="B2832" s="217"/>
      <c r="C2832" s="216"/>
      <c r="D2832" s="240"/>
      <c r="E2832" s="218"/>
      <c r="F2832" s="218"/>
      <c r="G2832" s="218"/>
      <c r="H2832" s="219"/>
      <c r="I2832" s="223">
        <f>IF($C2832="","",IF(ISNUMBER(MATCH($C2832,'Phản ánh'!$A$6:$A$505,0)),"Phản ánh",IF(ISNUMBER(MATCH($C2832,'Kế hoạch'!$A$6:$A$305,0)),"Công việc","Mã chưa có")))</f>
      </c>
      <c r="J2832" s="221">
        <f>IF($I2832="Phản ánh",INDEX('Phản ánh'!$C$6:$C$505,MATCH($C2832,'Phản ánh'!$A$6:$A$505,0)),IF($I2832="Công việc",INDEX('Kế hoạch'!$C$6:$C$305,$O2832),""))</f>
      </c>
      <c r="K2832" s="221">
        <f>IF($I2832="Phản ánh",INDEX('Phản ánh'!$K$6:$K$505,MATCH($C2832,'Phản ánh'!$A$6:$A$505,0))&amp;"",IF($I2832="Công việc",INDEX('Kế hoạch'!$N$6:$N$305,$O2832)&amp;"",""))</f>
      </c>
      <c r="L2832" s="220">
        <f>IF(OR($C2832="",N($B2832)=0),"",IF(AND($I2832="Phản ánh",$E2832="Đã xử lý"),INDEX('Phản ánh'!$U$6:$U$505,MATCH($C2832,'Phản ánh'!$A$6:$A$505,0)),IF(AND($I2832="Công việc",OR($E2832="Hoàn thành",$E2832="Hoàn thành kỳ")),IF(INDEX('Kế hoạch'!$B$6:$B$305,$O2832)="Đột xuất",INDEX('Kế hoạch'!$AY$6:$AY$305,$O2832),IF(N($P2832)=0,"",IF(INT($B2832)&lt;$P2832,$P2832,IF($Q2832&gt;0,$P2832+ROUND((INT($B2832)-$P2832)/$Q2832,0)*$Q2832,IF($R2832&gt;0,EDATE($P2832,ROUND((DATEDIF($P2832,INT($B2832),"m")+(INT($B2832)-EDATE($P2832,DATEDIF($P2832,INT($B2832),"m")))/(EDATE($P2832,DATEDIF($P2832,INT($B2832),"m")+1)-EDATE($P2832,DATEDIF($P2832,INT($B2832),"m"))))/$R2832,0)*$R2832),$P2832))))),"")))</f>
      </c>
      <c r="M2832" s="223">
        <f>IF(OR($C2832="",N($L2832)=0,N($B2832)=0),"",IF(IF(MOD($L2832,1)=0,INT($B2832),$B2832)&lt;=$L2832,"Đúng hạn","Trễ hạn"))</f>
      </c>
      <c r="N2832" s="225">
        <f>IF($C2832="","",ROW())</f>
      </c>
      <c r="O2832" s="225">
        <f>IF($I2832="Công việc",MATCH($C2832,'Kế hoạch'!$A$6:$A$305,0),"")</f>
      </c>
      <c r="P2832" s="234">
        <f>IF($O2832="","",INDEX('Kế hoạch'!$I$6:$I$305,$O2832))</f>
      </c>
      <c r="Q2832" s="225">
        <f>IF($O2832="","",INDEX('Kế hoạch'!$AJ$6:$AJ$305,$O2832))</f>
      </c>
      <c r="R2832" s="225">
        <f>IF($O2832="","",INDEX('Kế hoạch'!$AK$6:$AK$305,$O2832))</f>
      </c>
    </row>
    <row r="2833">
      <c r="A2833" s="223">
        <f>IF($C2833="","",COUNTIF($C$6:$C2833,"?*"))</f>
      </c>
      <c r="B2833" s="217"/>
      <c r="C2833" s="216"/>
      <c r="D2833" s="240"/>
      <c r="E2833" s="218"/>
      <c r="F2833" s="218"/>
      <c r="G2833" s="218"/>
      <c r="H2833" s="219"/>
      <c r="I2833" s="223">
        <f>IF($C2833="","",IF(ISNUMBER(MATCH($C2833,'Phản ánh'!$A$6:$A$505,0)),"Phản ánh",IF(ISNUMBER(MATCH($C2833,'Kế hoạch'!$A$6:$A$305,0)),"Công việc","Mã chưa có")))</f>
      </c>
      <c r="J2833" s="221">
        <f>IF($I2833="Phản ánh",INDEX('Phản ánh'!$C$6:$C$505,MATCH($C2833,'Phản ánh'!$A$6:$A$505,0)),IF($I2833="Công việc",INDEX('Kế hoạch'!$C$6:$C$305,$O2833),""))</f>
      </c>
      <c r="K2833" s="221">
        <f>IF($I2833="Phản ánh",INDEX('Phản ánh'!$K$6:$K$505,MATCH($C2833,'Phản ánh'!$A$6:$A$505,0))&amp;"",IF($I2833="Công việc",INDEX('Kế hoạch'!$N$6:$N$305,$O2833)&amp;"",""))</f>
      </c>
      <c r="L2833" s="220">
        <f>IF(OR($C2833="",N($B2833)=0),"",IF(AND($I2833="Phản ánh",$E2833="Đã xử lý"),INDEX('Phản ánh'!$U$6:$U$505,MATCH($C2833,'Phản ánh'!$A$6:$A$505,0)),IF(AND($I2833="Công việc",OR($E2833="Hoàn thành",$E2833="Hoàn thành kỳ")),IF(INDEX('Kế hoạch'!$B$6:$B$305,$O2833)="Đột xuất",INDEX('Kế hoạch'!$AY$6:$AY$305,$O2833),IF(N($P2833)=0,"",IF(INT($B2833)&lt;$P2833,$P2833,IF($Q2833&gt;0,$P2833+ROUND((INT($B2833)-$P2833)/$Q2833,0)*$Q2833,IF($R2833&gt;0,EDATE($P2833,ROUND((DATEDIF($P2833,INT($B2833),"m")+(INT($B2833)-EDATE($P2833,DATEDIF($P2833,INT($B2833),"m")))/(EDATE($P2833,DATEDIF($P2833,INT($B2833),"m")+1)-EDATE($P2833,DATEDIF($P2833,INT($B2833),"m"))))/$R2833,0)*$R2833),$P2833))))),"")))</f>
      </c>
      <c r="M2833" s="223">
        <f>IF(OR($C2833="",N($L2833)=0,N($B2833)=0),"",IF(IF(MOD($L2833,1)=0,INT($B2833),$B2833)&lt;=$L2833,"Đúng hạn","Trễ hạn"))</f>
      </c>
      <c r="N2833" s="225">
        <f>IF($C2833="","",ROW())</f>
      </c>
      <c r="O2833" s="225">
        <f>IF($I2833="Công việc",MATCH($C2833,'Kế hoạch'!$A$6:$A$305,0),"")</f>
      </c>
      <c r="P2833" s="234">
        <f>IF($O2833="","",INDEX('Kế hoạch'!$I$6:$I$305,$O2833))</f>
      </c>
      <c r="Q2833" s="225">
        <f>IF($O2833="","",INDEX('Kế hoạch'!$AJ$6:$AJ$305,$O2833))</f>
      </c>
      <c r="R2833" s="225">
        <f>IF($O2833="","",INDEX('Kế hoạch'!$AK$6:$AK$305,$O2833))</f>
      </c>
    </row>
    <row r="2834">
      <c r="A2834" s="223">
        <f>IF($C2834="","",COUNTIF($C$6:$C2834,"?*"))</f>
      </c>
      <c r="B2834" s="217"/>
      <c r="C2834" s="216"/>
      <c r="D2834" s="240"/>
      <c r="E2834" s="218"/>
      <c r="F2834" s="218"/>
      <c r="G2834" s="218"/>
      <c r="H2834" s="219"/>
      <c r="I2834" s="223">
        <f>IF($C2834="","",IF(ISNUMBER(MATCH($C2834,'Phản ánh'!$A$6:$A$505,0)),"Phản ánh",IF(ISNUMBER(MATCH($C2834,'Kế hoạch'!$A$6:$A$305,0)),"Công việc","Mã chưa có")))</f>
      </c>
      <c r="J2834" s="221">
        <f>IF($I2834="Phản ánh",INDEX('Phản ánh'!$C$6:$C$505,MATCH($C2834,'Phản ánh'!$A$6:$A$505,0)),IF($I2834="Công việc",INDEX('Kế hoạch'!$C$6:$C$305,$O2834),""))</f>
      </c>
      <c r="K2834" s="221">
        <f>IF($I2834="Phản ánh",INDEX('Phản ánh'!$K$6:$K$505,MATCH($C2834,'Phản ánh'!$A$6:$A$505,0))&amp;"",IF($I2834="Công việc",INDEX('Kế hoạch'!$N$6:$N$305,$O2834)&amp;"",""))</f>
      </c>
      <c r="L2834" s="220">
        <f>IF(OR($C2834="",N($B2834)=0),"",IF(AND($I2834="Phản ánh",$E2834="Đã xử lý"),INDEX('Phản ánh'!$U$6:$U$505,MATCH($C2834,'Phản ánh'!$A$6:$A$505,0)),IF(AND($I2834="Công việc",OR($E2834="Hoàn thành",$E2834="Hoàn thành kỳ")),IF(INDEX('Kế hoạch'!$B$6:$B$305,$O2834)="Đột xuất",INDEX('Kế hoạch'!$AY$6:$AY$305,$O2834),IF(N($P2834)=0,"",IF(INT($B2834)&lt;$P2834,$P2834,IF($Q2834&gt;0,$P2834+ROUND((INT($B2834)-$P2834)/$Q2834,0)*$Q2834,IF($R2834&gt;0,EDATE($P2834,ROUND((DATEDIF($P2834,INT($B2834),"m")+(INT($B2834)-EDATE($P2834,DATEDIF($P2834,INT($B2834),"m")))/(EDATE($P2834,DATEDIF($P2834,INT($B2834),"m")+1)-EDATE($P2834,DATEDIF($P2834,INT($B2834),"m"))))/$R2834,0)*$R2834),$P2834))))),"")))</f>
      </c>
      <c r="M2834" s="223">
        <f>IF(OR($C2834="",N($L2834)=0,N($B2834)=0),"",IF(IF(MOD($L2834,1)=0,INT($B2834),$B2834)&lt;=$L2834,"Đúng hạn","Trễ hạn"))</f>
      </c>
      <c r="N2834" s="225">
        <f>IF($C2834="","",ROW())</f>
      </c>
      <c r="O2834" s="225">
        <f>IF($I2834="Công việc",MATCH($C2834,'Kế hoạch'!$A$6:$A$305,0),"")</f>
      </c>
      <c r="P2834" s="234">
        <f>IF($O2834="","",INDEX('Kế hoạch'!$I$6:$I$305,$O2834))</f>
      </c>
      <c r="Q2834" s="225">
        <f>IF($O2834="","",INDEX('Kế hoạch'!$AJ$6:$AJ$305,$O2834))</f>
      </c>
      <c r="R2834" s="225">
        <f>IF($O2834="","",INDEX('Kế hoạch'!$AK$6:$AK$305,$O2834))</f>
      </c>
    </row>
    <row r="2835">
      <c r="A2835" s="223">
        <f>IF($C2835="","",COUNTIF($C$6:$C2835,"?*"))</f>
      </c>
      <c r="B2835" s="217"/>
      <c r="C2835" s="216"/>
      <c r="D2835" s="240"/>
      <c r="E2835" s="218"/>
      <c r="F2835" s="218"/>
      <c r="G2835" s="218"/>
      <c r="H2835" s="219"/>
      <c r="I2835" s="223">
        <f>IF($C2835="","",IF(ISNUMBER(MATCH($C2835,'Phản ánh'!$A$6:$A$505,0)),"Phản ánh",IF(ISNUMBER(MATCH($C2835,'Kế hoạch'!$A$6:$A$305,0)),"Công việc","Mã chưa có")))</f>
      </c>
      <c r="J2835" s="221">
        <f>IF($I2835="Phản ánh",INDEX('Phản ánh'!$C$6:$C$505,MATCH($C2835,'Phản ánh'!$A$6:$A$505,0)),IF($I2835="Công việc",INDEX('Kế hoạch'!$C$6:$C$305,$O2835),""))</f>
      </c>
      <c r="K2835" s="221">
        <f>IF($I2835="Phản ánh",INDEX('Phản ánh'!$K$6:$K$505,MATCH($C2835,'Phản ánh'!$A$6:$A$505,0))&amp;"",IF($I2835="Công việc",INDEX('Kế hoạch'!$N$6:$N$305,$O2835)&amp;"",""))</f>
      </c>
      <c r="L2835" s="220">
        <f>IF(OR($C2835="",N($B2835)=0),"",IF(AND($I2835="Phản ánh",$E2835="Đã xử lý"),INDEX('Phản ánh'!$U$6:$U$505,MATCH($C2835,'Phản ánh'!$A$6:$A$505,0)),IF(AND($I2835="Công việc",OR($E2835="Hoàn thành",$E2835="Hoàn thành kỳ")),IF(INDEX('Kế hoạch'!$B$6:$B$305,$O2835)="Đột xuất",INDEX('Kế hoạch'!$AY$6:$AY$305,$O2835),IF(N($P2835)=0,"",IF(INT($B2835)&lt;$P2835,$P2835,IF($Q2835&gt;0,$P2835+ROUND((INT($B2835)-$P2835)/$Q2835,0)*$Q2835,IF($R2835&gt;0,EDATE($P2835,ROUND((DATEDIF($P2835,INT($B2835),"m")+(INT($B2835)-EDATE($P2835,DATEDIF($P2835,INT($B2835),"m")))/(EDATE($P2835,DATEDIF($P2835,INT($B2835),"m")+1)-EDATE($P2835,DATEDIF($P2835,INT($B2835),"m"))))/$R2835,0)*$R2835),$P2835))))),"")))</f>
      </c>
      <c r="M2835" s="223">
        <f>IF(OR($C2835="",N($L2835)=0,N($B2835)=0),"",IF(IF(MOD($L2835,1)=0,INT($B2835),$B2835)&lt;=$L2835,"Đúng hạn","Trễ hạn"))</f>
      </c>
      <c r="N2835" s="225">
        <f>IF($C2835="","",ROW())</f>
      </c>
      <c r="O2835" s="225">
        <f>IF($I2835="Công việc",MATCH($C2835,'Kế hoạch'!$A$6:$A$305,0),"")</f>
      </c>
      <c r="P2835" s="234">
        <f>IF($O2835="","",INDEX('Kế hoạch'!$I$6:$I$305,$O2835))</f>
      </c>
      <c r="Q2835" s="225">
        <f>IF($O2835="","",INDEX('Kế hoạch'!$AJ$6:$AJ$305,$O2835))</f>
      </c>
      <c r="R2835" s="225">
        <f>IF($O2835="","",INDEX('Kế hoạch'!$AK$6:$AK$305,$O2835))</f>
      </c>
    </row>
    <row r="2836">
      <c r="A2836" s="223">
        <f>IF($C2836="","",COUNTIF($C$6:$C2836,"?*"))</f>
      </c>
      <c r="B2836" s="217"/>
      <c r="C2836" s="216"/>
      <c r="D2836" s="240"/>
      <c r="E2836" s="218"/>
      <c r="F2836" s="218"/>
      <c r="G2836" s="218"/>
      <c r="H2836" s="219"/>
      <c r="I2836" s="223">
        <f>IF($C2836="","",IF(ISNUMBER(MATCH($C2836,'Phản ánh'!$A$6:$A$505,0)),"Phản ánh",IF(ISNUMBER(MATCH($C2836,'Kế hoạch'!$A$6:$A$305,0)),"Công việc","Mã chưa có")))</f>
      </c>
      <c r="J2836" s="221">
        <f>IF($I2836="Phản ánh",INDEX('Phản ánh'!$C$6:$C$505,MATCH($C2836,'Phản ánh'!$A$6:$A$505,0)),IF($I2836="Công việc",INDEX('Kế hoạch'!$C$6:$C$305,$O2836),""))</f>
      </c>
      <c r="K2836" s="221">
        <f>IF($I2836="Phản ánh",INDEX('Phản ánh'!$K$6:$K$505,MATCH($C2836,'Phản ánh'!$A$6:$A$505,0))&amp;"",IF($I2836="Công việc",INDEX('Kế hoạch'!$N$6:$N$305,$O2836)&amp;"",""))</f>
      </c>
      <c r="L2836" s="220">
        <f>IF(OR($C2836="",N($B2836)=0),"",IF(AND($I2836="Phản ánh",$E2836="Đã xử lý"),INDEX('Phản ánh'!$U$6:$U$505,MATCH($C2836,'Phản ánh'!$A$6:$A$505,0)),IF(AND($I2836="Công việc",OR($E2836="Hoàn thành",$E2836="Hoàn thành kỳ")),IF(INDEX('Kế hoạch'!$B$6:$B$305,$O2836)="Đột xuất",INDEX('Kế hoạch'!$AY$6:$AY$305,$O2836),IF(N($P2836)=0,"",IF(INT($B2836)&lt;$P2836,$P2836,IF($Q2836&gt;0,$P2836+ROUND((INT($B2836)-$P2836)/$Q2836,0)*$Q2836,IF($R2836&gt;0,EDATE($P2836,ROUND((DATEDIF($P2836,INT($B2836),"m")+(INT($B2836)-EDATE($P2836,DATEDIF($P2836,INT($B2836),"m")))/(EDATE($P2836,DATEDIF($P2836,INT($B2836),"m")+1)-EDATE($P2836,DATEDIF($P2836,INT($B2836),"m"))))/$R2836,0)*$R2836),$P2836))))),"")))</f>
      </c>
      <c r="M2836" s="223">
        <f>IF(OR($C2836="",N($L2836)=0,N($B2836)=0),"",IF(IF(MOD($L2836,1)=0,INT($B2836),$B2836)&lt;=$L2836,"Đúng hạn","Trễ hạn"))</f>
      </c>
      <c r="N2836" s="225">
        <f>IF($C2836="","",ROW())</f>
      </c>
      <c r="O2836" s="225">
        <f>IF($I2836="Công việc",MATCH($C2836,'Kế hoạch'!$A$6:$A$305,0),"")</f>
      </c>
      <c r="P2836" s="234">
        <f>IF($O2836="","",INDEX('Kế hoạch'!$I$6:$I$305,$O2836))</f>
      </c>
      <c r="Q2836" s="225">
        <f>IF($O2836="","",INDEX('Kế hoạch'!$AJ$6:$AJ$305,$O2836))</f>
      </c>
      <c r="R2836" s="225">
        <f>IF($O2836="","",INDEX('Kế hoạch'!$AK$6:$AK$305,$O2836))</f>
      </c>
    </row>
    <row r="2837">
      <c r="A2837" s="223">
        <f>IF($C2837="","",COUNTIF($C$6:$C2837,"?*"))</f>
      </c>
      <c r="B2837" s="217"/>
      <c r="C2837" s="216"/>
      <c r="D2837" s="240"/>
      <c r="E2837" s="218"/>
      <c r="F2837" s="218"/>
      <c r="G2837" s="218"/>
      <c r="H2837" s="219"/>
      <c r="I2837" s="223">
        <f>IF($C2837="","",IF(ISNUMBER(MATCH($C2837,'Phản ánh'!$A$6:$A$505,0)),"Phản ánh",IF(ISNUMBER(MATCH($C2837,'Kế hoạch'!$A$6:$A$305,0)),"Công việc","Mã chưa có")))</f>
      </c>
      <c r="J2837" s="221">
        <f>IF($I2837="Phản ánh",INDEX('Phản ánh'!$C$6:$C$505,MATCH($C2837,'Phản ánh'!$A$6:$A$505,0)),IF($I2837="Công việc",INDEX('Kế hoạch'!$C$6:$C$305,$O2837),""))</f>
      </c>
      <c r="K2837" s="221">
        <f>IF($I2837="Phản ánh",INDEX('Phản ánh'!$K$6:$K$505,MATCH($C2837,'Phản ánh'!$A$6:$A$505,0))&amp;"",IF($I2837="Công việc",INDEX('Kế hoạch'!$N$6:$N$305,$O2837)&amp;"",""))</f>
      </c>
      <c r="L2837" s="220">
        <f>IF(OR($C2837="",N($B2837)=0),"",IF(AND($I2837="Phản ánh",$E2837="Đã xử lý"),INDEX('Phản ánh'!$U$6:$U$505,MATCH($C2837,'Phản ánh'!$A$6:$A$505,0)),IF(AND($I2837="Công việc",OR($E2837="Hoàn thành",$E2837="Hoàn thành kỳ")),IF(INDEX('Kế hoạch'!$B$6:$B$305,$O2837)="Đột xuất",INDEX('Kế hoạch'!$AY$6:$AY$305,$O2837),IF(N($P2837)=0,"",IF(INT($B2837)&lt;$P2837,$P2837,IF($Q2837&gt;0,$P2837+ROUND((INT($B2837)-$P2837)/$Q2837,0)*$Q2837,IF($R2837&gt;0,EDATE($P2837,ROUND((DATEDIF($P2837,INT($B2837),"m")+(INT($B2837)-EDATE($P2837,DATEDIF($P2837,INT($B2837),"m")))/(EDATE($P2837,DATEDIF($P2837,INT($B2837),"m")+1)-EDATE($P2837,DATEDIF($P2837,INT($B2837),"m"))))/$R2837,0)*$R2837),$P2837))))),"")))</f>
      </c>
      <c r="M2837" s="223">
        <f>IF(OR($C2837="",N($L2837)=0,N($B2837)=0),"",IF(IF(MOD($L2837,1)=0,INT($B2837),$B2837)&lt;=$L2837,"Đúng hạn","Trễ hạn"))</f>
      </c>
      <c r="N2837" s="225">
        <f>IF($C2837="","",ROW())</f>
      </c>
      <c r="O2837" s="225">
        <f>IF($I2837="Công việc",MATCH($C2837,'Kế hoạch'!$A$6:$A$305,0),"")</f>
      </c>
      <c r="P2837" s="234">
        <f>IF($O2837="","",INDEX('Kế hoạch'!$I$6:$I$305,$O2837))</f>
      </c>
      <c r="Q2837" s="225">
        <f>IF($O2837="","",INDEX('Kế hoạch'!$AJ$6:$AJ$305,$O2837))</f>
      </c>
      <c r="R2837" s="225">
        <f>IF($O2837="","",INDEX('Kế hoạch'!$AK$6:$AK$305,$O2837))</f>
      </c>
    </row>
    <row r="2838">
      <c r="A2838" s="223">
        <f>IF($C2838="","",COUNTIF($C$6:$C2838,"?*"))</f>
      </c>
      <c r="B2838" s="217"/>
      <c r="C2838" s="216"/>
      <c r="D2838" s="240"/>
      <c r="E2838" s="218"/>
      <c r="F2838" s="218"/>
      <c r="G2838" s="218"/>
      <c r="H2838" s="219"/>
      <c r="I2838" s="223">
        <f>IF($C2838="","",IF(ISNUMBER(MATCH($C2838,'Phản ánh'!$A$6:$A$505,0)),"Phản ánh",IF(ISNUMBER(MATCH($C2838,'Kế hoạch'!$A$6:$A$305,0)),"Công việc","Mã chưa có")))</f>
      </c>
      <c r="J2838" s="221">
        <f>IF($I2838="Phản ánh",INDEX('Phản ánh'!$C$6:$C$505,MATCH($C2838,'Phản ánh'!$A$6:$A$505,0)),IF($I2838="Công việc",INDEX('Kế hoạch'!$C$6:$C$305,$O2838),""))</f>
      </c>
      <c r="K2838" s="221">
        <f>IF($I2838="Phản ánh",INDEX('Phản ánh'!$K$6:$K$505,MATCH($C2838,'Phản ánh'!$A$6:$A$505,0))&amp;"",IF($I2838="Công việc",INDEX('Kế hoạch'!$N$6:$N$305,$O2838)&amp;"",""))</f>
      </c>
      <c r="L2838" s="220">
        <f>IF(OR($C2838="",N($B2838)=0),"",IF(AND($I2838="Phản ánh",$E2838="Đã xử lý"),INDEX('Phản ánh'!$U$6:$U$505,MATCH($C2838,'Phản ánh'!$A$6:$A$505,0)),IF(AND($I2838="Công việc",OR($E2838="Hoàn thành",$E2838="Hoàn thành kỳ")),IF(INDEX('Kế hoạch'!$B$6:$B$305,$O2838)="Đột xuất",INDEX('Kế hoạch'!$AY$6:$AY$305,$O2838),IF(N($P2838)=0,"",IF(INT($B2838)&lt;$P2838,$P2838,IF($Q2838&gt;0,$P2838+ROUND((INT($B2838)-$P2838)/$Q2838,0)*$Q2838,IF($R2838&gt;0,EDATE($P2838,ROUND((DATEDIF($P2838,INT($B2838),"m")+(INT($B2838)-EDATE($P2838,DATEDIF($P2838,INT($B2838),"m")))/(EDATE($P2838,DATEDIF($P2838,INT($B2838),"m")+1)-EDATE($P2838,DATEDIF($P2838,INT($B2838),"m"))))/$R2838,0)*$R2838),$P2838))))),"")))</f>
      </c>
      <c r="M2838" s="223">
        <f>IF(OR($C2838="",N($L2838)=0,N($B2838)=0),"",IF(IF(MOD($L2838,1)=0,INT($B2838),$B2838)&lt;=$L2838,"Đúng hạn","Trễ hạn"))</f>
      </c>
      <c r="N2838" s="225">
        <f>IF($C2838="","",ROW())</f>
      </c>
      <c r="O2838" s="225">
        <f>IF($I2838="Công việc",MATCH($C2838,'Kế hoạch'!$A$6:$A$305,0),"")</f>
      </c>
      <c r="P2838" s="234">
        <f>IF($O2838="","",INDEX('Kế hoạch'!$I$6:$I$305,$O2838))</f>
      </c>
      <c r="Q2838" s="225">
        <f>IF($O2838="","",INDEX('Kế hoạch'!$AJ$6:$AJ$305,$O2838))</f>
      </c>
      <c r="R2838" s="225">
        <f>IF($O2838="","",INDEX('Kế hoạch'!$AK$6:$AK$305,$O2838))</f>
      </c>
    </row>
    <row r="2839">
      <c r="A2839" s="223">
        <f>IF($C2839="","",COUNTIF($C$6:$C2839,"?*"))</f>
      </c>
      <c r="B2839" s="217"/>
      <c r="C2839" s="216"/>
      <c r="D2839" s="240"/>
      <c r="E2839" s="218"/>
      <c r="F2839" s="218"/>
      <c r="G2839" s="218"/>
      <c r="H2839" s="219"/>
      <c r="I2839" s="223">
        <f>IF($C2839="","",IF(ISNUMBER(MATCH($C2839,'Phản ánh'!$A$6:$A$505,0)),"Phản ánh",IF(ISNUMBER(MATCH($C2839,'Kế hoạch'!$A$6:$A$305,0)),"Công việc","Mã chưa có")))</f>
      </c>
      <c r="J2839" s="221">
        <f>IF($I2839="Phản ánh",INDEX('Phản ánh'!$C$6:$C$505,MATCH($C2839,'Phản ánh'!$A$6:$A$505,0)),IF($I2839="Công việc",INDEX('Kế hoạch'!$C$6:$C$305,$O2839),""))</f>
      </c>
      <c r="K2839" s="221">
        <f>IF($I2839="Phản ánh",INDEX('Phản ánh'!$K$6:$K$505,MATCH($C2839,'Phản ánh'!$A$6:$A$505,0))&amp;"",IF($I2839="Công việc",INDEX('Kế hoạch'!$N$6:$N$305,$O2839)&amp;"",""))</f>
      </c>
      <c r="L2839" s="220">
        <f>IF(OR($C2839="",N($B2839)=0),"",IF(AND($I2839="Phản ánh",$E2839="Đã xử lý"),INDEX('Phản ánh'!$U$6:$U$505,MATCH($C2839,'Phản ánh'!$A$6:$A$505,0)),IF(AND($I2839="Công việc",OR($E2839="Hoàn thành",$E2839="Hoàn thành kỳ")),IF(INDEX('Kế hoạch'!$B$6:$B$305,$O2839)="Đột xuất",INDEX('Kế hoạch'!$AY$6:$AY$305,$O2839),IF(N($P2839)=0,"",IF(INT($B2839)&lt;$P2839,$P2839,IF($Q2839&gt;0,$P2839+ROUND((INT($B2839)-$P2839)/$Q2839,0)*$Q2839,IF($R2839&gt;0,EDATE($P2839,ROUND((DATEDIF($P2839,INT($B2839),"m")+(INT($B2839)-EDATE($P2839,DATEDIF($P2839,INT($B2839),"m")))/(EDATE($P2839,DATEDIF($P2839,INT($B2839),"m")+1)-EDATE($P2839,DATEDIF($P2839,INT($B2839),"m"))))/$R2839,0)*$R2839),$P2839))))),"")))</f>
      </c>
      <c r="M2839" s="223">
        <f>IF(OR($C2839="",N($L2839)=0,N($B2839)=0),"",IF(IF(MOD($L2839,1)=0,INT($B2839),$B2839)&lt;=$L2839,"Đúng hạn","Trễ hạn"))</f>
      </c>
      <c r="N2839" s="225">
        <f>IF($C2839="","",ROW())</f>
      </c>
      <c r="O2839" s="225">
        <f>IF($I2839="Công việc",MATCH($C2839,'Kế hoạch'!$A$6:$A$305,0),"")</f>
      </c>
      <c r="P2839" s="234">
        <f>IF($O2839="","",INDEX('Kế hoạch'!$I$6:$I$305,$O2839))</f>
      </c>
      <c r="Q2839" s="225">
        <f>IF($O2839="","",INDEX('Kế hoạch'!$AJ$6:$AJ$305,$O2839))</f>
      </c>
      <c r="R2839" s="225">
        <f>IF($O2839="","",INDEX('Kế hoạch'!$AK$6:$AK$305,$O2839))</f>
      </c>
    </row>
    <row r="2840">
      <c r="A2840" s="223">
        <f>IF($C2840="","",COUNTIF($C$6:$C2840,"?*"))</f>
      </c>
      <c r="B2840" s="217"/>
      <c r="C2840" s="216"/>
      <c r="D2840" s="240"/>
      <c r="E2840" s="218"/>
      <c r="F2840" s="218"/>
      <c r="G2840" s="218"/>
      <c r="H2840" s="219"/>
      <c r="I2840" s="223">
        <f>IF($C2840="","",IF(ISNUMBER(MATCH($C2840,'Phản ánh'!$A$6:$A$505,0)),"Phản ánh",IF(ISNUMBER(MATCH($C2840,'Kế hoạch'!$A$6:$A$305,0)),"Công việc","Mã chưa có")))</f>
      </c>
      <c r="J2840" s="221">
        <f>IF($I2840="Phản ánh",INDEX('Phản ánh'!$C$6:$C$505,MATCH($C2840,'Phản ánh'!$A$6:$A$505,0)),IF($I2840="Công việc",INDEX('Kế hoạch'!$C$6:$C$305,$O2840),""))</f>
      </c>
      <c r="K2840" s="221">
        <f>IF($I2840="Phản ánh",INDEX('Phản ánh'!$K$6:$K$505,MATCH($C2840,'Phản ánh'!$A$6:$A$505,0))&amp;"",IF($I2840="Công việc",INDEX('Kế hoạch'!$N$6:$N$305,$O2840)&amp;"",""))</f>
      </c>
      <c r="L2840" s="220">
        <f>IF(OR($C2840="",N($B2840)=0),"",IF(AND($I2840="Phản ánh",$E2840="Đã xử lý"),INDEX('Phản ánh'!$U$6:$U$505,MATCH($C2840,'Phản ánh'!$A$6:$A$505,0)),IF(AND($I2840="Công việc",OR($E2840="Hoàn thành",$E2840="Hoàn thành kỳ")),IF(INDEX('Kế hoạch'!$B$6:$B$305,$O2840)="Đột xuất",INDEX('Kế hoạch'!$AY$6:$AY$305,$O2840),IF(N($P2840)=0,"",IF(INT($B2840)&lt;$P2840,$P2840,IF($Q2840&gt;0,$P2840+ROUND((INT($B2840)-$P2840)/$Q2840,0)*$Q2840,IF($R2840&gt;0,EDATE($P2840,ROUND((DATEDIF($P2840,INT($B2840),"m")+(INT($B2840)-EDATE($P2840,DATEDIF($P2840,INT($B2840),"m")))/(EDATE($P2840,DATEDIF($P2840,INT($B2840),"m")+1)-EDATE($P2840,DATEDIF($P2840,INT($B2840),"m"))))/$R2840,0)*$R2840),$P2840))))),"")))</f>
      </c>
      <c r="M2840" s="223">
        <f>IF(OR($C2840="",N($L2840)=0,N($B2840)=0),"",IF(IF(MOD($L2840,1)=0,INT($B2840),$B2840)&lt;=$L2840,"Đúng hạn","Trễ hạn"))</f>
      </c>
      <c r="N2840" s="225">
        <f>IF($C2840="","",ROW())</f>
      </c>
      <c r="O2840" s="225">
        <f>IF($I2840="Công việc",MATCH($C2840,'Kế hoạch'!$A$6:$A$305,0),"")</f>
      </c>
      <c r="P2840" s="234">
        <f>IF($O2840="","",INDEX('Kế hoạch'!$I$6:$I$305,$O2840))</f>
      </c>
      <c r="Q2840" s="225">
        <f>IF($O2840="","",INDEX('Kế hoạch'!$AJ$6:$AJ$305,$O2840))</f>
      </c>
      <c r="R2840" s="225">
        <f>IF($O2840="","",INDEX('Kế hoạch'!$AK$6:$AK$305,$O2840))</f>
      </c>
    </row>
    <row r="2841">
      <c r="A2841" s="223">
        <f>IF($C2841="","",COUNTIF($C$6:$C2841,"?*"))</f>
      </c>
      <c r="B2841" s="217"/>
      <c r="C2841" s="216"/>
      <c r="D2841" s="240"/>
      <c r="E2841" s="218"/>
      <c r="F2841" s="218"/>
      <c r="G2841" s="218"/>
      <c r="H2841" s="219"/>
      <c r="I2841" s="223">
        <f>IF($C2841="","",IF(ISNUMBER(MATCH($C2841,'Phản ánh'!$A$6:$A$505,0)),"Phản ánh",IF(ISNUMBER(MATCH($C2841,'Kế hoạch'!$A$6:$A$305,0)),"Công việc","Mã chưa có")))</f>
      </c>
      <c r="J2841" s="221">
        <f>IF($I2841="Phản ánh",INDEX('Phản ánh'!$C$6:$C$505,MATCH($C2841,'Phản ánh'!$A$6:$A$505,0)),IF($I2841="Công việc",INDEX('Kế hoạch'!$C$6:$C$305,$O2841),""))</f>
      </c>
      <c r="K2841" s="221">
        <f>IF($I2841="Phản ánh",INDEX('Phản ánh'!$K$6:$K$505,MATCH($C2841,'Phản ánh'!$A$6:$A$505,0))&amp;"",IF($I2841="Công việc",INDEX('Kế hoạch'!$N$6:$N$305,$O2841)&amp;"",""))</f>
      </c>
      <c r="L2841" s="220">
        <f>IF(OR($C2841="",N($B2841)=0),"",IF(AND($I2841="Phản ánh",$E2841="Đã xử lý"),INDEX('Phản ánh'!$U$6:$U$505,MATCH($C2841,'Phản ánh'!$A$6:$A$505,0)),IF(AND($I2841="Công việc",OR($E2841="Hoàn thành",$E2841="Hoàn thành kỳ")),IF(INDEX('Kế hoạch'!$B$6:$B$305,$O2841)="Đột xuất",INDEX('Kế hoạch'!$AY$6:$AY$305,$O2841),IF(N($P2841)=0,"",IF(INT($B2841)&lt;$P2841,$P2841,IF($Q2841&gt;0,$P2841+ROUND((INT($B2841)-$P2841)/$Q2841,0)*$Q2841,IF($R2841&gt;0,EDATE($P2841,ROUND((DATEDIF($P2841,INT($B2841),"m")+(INT($B2841)-EDATE($P2841,DATEDIF($P2841,INT($B2841),"m")))/(EDATE($P2841,DATEDIF($P2841,INT($B2841),"m")+1)-EDATE($P2841,DATEDIF($P2841,INT($B2841),"m"))))/$R2841,0)*$R2841),$P2841))))),"")))</f>
      </c>
      <c r="M2841" s="223">
        <f>IF(OR($C2841="",N($L2841)=0,N($B2841)=0),"",IF(IF(MOD($L2841,1)=0,INT($B2841),$B2841)&lt;=$L2841,"Đúng hạn","Trễ hạn"))</f>
      </c>
      <c r="N2841" s="225">
        <f>IF($C2841="","",ROW())</f>
      </c>
      <c r="O2841" s="225">
        <f>IF($I2841="Công việc",MATCH($C2841,'Kế hoạch'!$A$6:$A$305,0),"")</f>
      </c>
      <c r="P2841" s="234">
        <f>IF($O2841="","",INDEX('Kế hoạch'!$I$6:$I$305,$O2841))</f>
      </c>
      <c r="Q2841" s="225">
        <f>IF($O2841="","",INDEX('Kế hoạch'!$AJ$6:$AJ$305,$O2841))</f>
      </c>
      <c r="R2841" s="225">
        <f>IF($O2841="","",INDEX('Kế hoạch'!$AK$6:$AK$305,$O2841))</f>
      </c>
    </row>
    <row r="2842">
      <c r="A2842" s="223">
        <f>IF($C2842="","",COUNTIF($C$6:$C2842,"?*"))</f>
      </c>
      <c r="B2842" s="217"/>
      <c r="C2842" s="216"/>
      <c r="D2842" s="240"/>
      <c r="E2842" s="218"/>
      <c r="F2842" s="218"/>
      <c r="G2842" s="218"/>
      <c r="H2842" s="219"/>
      <c r="I2842" s="223">
        <f>IF($C2842="","",IF(ISNUMBER(MATCH($C2842,'Phản ánh'!$A$6:$A$505,0)),"Phản ánh",IF(ISNUMBER(MATCH($C2842,'Kế hoạch'!$A$6:$A$305,0)),"Công việc","Mã chưa có")))</f>
      </c>
      <c r="J2842" s="221">
        <f>IF($I2842="Phản ánh",INDEX('Phản ánh'!$C$6:$C$505,MATCH($C2842,'Phản ánh'!$A$6:$A$505,0)),IF($I2842="Công việc",INDEX('Kế hoạch'!$C$6:$C$305,$O2842),""))</f>
      </c>
      <c r="K2842" s="221">
        <f>IF($I2842="Phản ánh",INDEX('Phản ánh'!$K$6:$K$505,MATCH($C2842,'Phản ánh'!$A$6:$A$505,0))&amp;"",IF($I2842="Công việc",INDEX('Kế hoạch'!$N$6:$N$305,$O2842)&amp;"",""))</f>
      </c>
      <c r="L2842" s="220">
        <f>IF(OR($C2842="",N($B2842)=0),"",IF(AND($I2842="Phản ánh",$E2842="Đã xử lý"),INDEX('Phản ánh'!$U$6:$U$505,MATCH($C2842,'Phản ánh'!$A$6:$A$505,0)),IF(AND($I2842="Công việc",OR($E2842="Hoàn thành",$E2842="Hoàn thành kỳ")),IF(INDEX('Kế hoạch'!$B$6:$B$305,$O2842)="Đột xuất",INDEX('Kế hoạch'!$AY$6:$AY$305,$O2842),IF(N($P2842)=0,"",IF(INT($B2842)&lt;$P2842,$P2842,IF($Q2842&gt;0,$P2842+ROUND((INT($B2842)-$P2842)/$Q2842,0)*$Q2842,IF($R2842&gt;0,EDATE($P2842,ROUND((DATEDIF($P2842,INT($B2842),"m")+(INT($B2842)-EDATE($P2842,DATEDIF($P2842,INT($B2842),"m")))/(EDATE($P2842,DATEDIF($P2842,INT($B2842),"m")+1)-EDATE($P2842,DATEDIF($P2842,INT($B2842),"m"))))/$R2842,0)*$R2842),$P2842))))),"")))</f>
      </c>
      <c r="M2842" s="223">
        <f>IF(OR($C2842="",N($L2842)=0,N($B2842)=0),"",IF(IF(MOD($L2842,1)=0,INT($B2842),$B2842)&lt;=$L2842,"Đúng hạn","Trễ hạn"))</f>
      </c>
      <c r="N2842" s="225">
        <f>IF($C2842="","",ROW())</f>
      </c>
      <c r="O2842" s="225">
        <f>IF($I2842="Công việc",MATCH($C2842,'Kế hoạch'!$A$6:$A$305,0),"")</f>
      </c>
      <c r="P2842" s="234">
        <f>IF($O2842="","",INDEX('Kế hoạch'!$I$6:$I$305,$O2842))</f>
      </c>
      <c r="Q2842" s="225">
        <f>IF($O2842="","",INDEX('Kế hoạch'!$AJ$6:$AJ$305,$O2842))</f>
      </c>
      <c r="R2842" s="225">
        <f>IF($O2842="","",INDEX('Kế hoạch'!$AK$6:$AK$305,$O2842))</f>
      </c>
    </row>
    <row r="2843">
      <c r="A2843" s="223">
        <f>IF($C2843="","",COUNTIF($C$6:$C2843,"?*"))</f>
      </c>
      <c r="B2843" s="217"/>
      <c r="C2843" s="216"/>
      <c r="D2843" s="240"/>
      <c r="E2843" s="218"/>
      <c r="F2843" s="218"/>
      <c r="G2843" s="218"/>
      <c r="H2843" s="219"/>
      <c r="I2843" s="223">
        <f>IF($C2843="","",IF(ISNUMBER(MATCH($C2843,'Phản ánh'!$A$6:$A$505,0)),"Phản ánh",IF(ISNUMBER(MATCH($C2843,'Kế hoạch'!$A$6:$A$305,0)),"Công việc","Mã chưa có")))</f>
      </c>
      <c r="J2843" s="221">
        <f>IF($I2843="Phản ánh",INDEX('Phản ánh'!$C$6:$C$505,MATCH($C2843,'Phản ánh'!$A$6:$A$505,0)),IF($I2843="Công việc",INDEX('Kế hoạch'!$C$6:$C$305,$O2843),""))</f>
      </c>
      <c r="K2843" s="221">
        <f>IF($I2843="Phản ánh",INDEX('Phản ánh'!$K$6:$K$505,MATCH($C2843,'Phản ánh'!$A$6:$A$505,0))&amp;"",IF($I2843="Công việc",INDEX('Kế hoạch'!$N$6:$N$305,$O2843)&amp;"",""))</f>
      </c>
      <c r="L2843" s="220">
        <f>IF(OR($C2843="",N($B2843)=0),"",IF(AND($I2843="Phản ánh",$E2843="Đã xử lý"),INDEX('Phản ánh'!$U$6:$U$505,MATCH($C2843,'Phản ánh'!$A$6:$A$505,0)),IF(AND($I2843="Công việc",OR($E2843="Hoàn thành",$E2843="Hoàn thành kỳ")),IF(INDEX('Kế hoạch'!$B$6:$B$305,$O2843)="Đột xuất",INDEX('Kế hoạch'!$AY$6:$AY$305,$O2843),IF(N($P2843)=0,"",IF(INT($B2843)&lt;$P2843,$P2843,IF($Q2843&gt;0,$P2843+ROUND((INT($B2843)-$P2843)/$Q2843,0)*$Q2843,IF($R2843&gt;0,EDATE($P2843,ROUND((DATEDIF($P2843,INT($B2843),"m")+(INT($B2843)-EDATE($P2843,DATEDIF($P2843,INT($B2843),"m")))/(EDATE($P2843,DATEDIF($P2843,INT($B2843),"m")+1)-EDATE($P2843,DATEDIF($P2843,INT($B2843),"m"))))/$R2843,0)*$R2843),$P2843))))),"")))</f>
      </c>
      <c r="M2843" s="223">
        <f>IF(OR($C2843="",N($L2843)=0,N($B2843)=0),"",IF(IF(MOD($L2843,1)=0,INT($B2843),$B2843)&lt;=$L2843,"Đúng hạn","Trễ hạn"))</f>
      </c>
      <c r="N2843" s="225">
        <f>IF($C2843="","",ROW())</f>
      </c>
      <c r="O2843" s="225">
        <f>IF($I2843="Công việc",MATCH($C2843,'Kế hoạch'!$A$6:$A$305,0),"")</f>
      </c>
      <c r="P2843" s="234">
        <f>IF($O2843="","",INDEX('Kế hoạch'!$I$6:$I$305,$O2843))</f>
      </c>
      <c r="Q2843" s="225">
        <f>IF($O2843="","",INDEX('Kế hoạch'!$AJ$6:$AJ$305,$O2843))</f>
      </c>
      <c r="R2843" s="225">
        <f>IF($O2843="","",INDEX('Kế hoạch'!$AK$6:$AK$305,$O2843))</f>
      </c>
    </row>
    <row r="2844">
      <c r="A2844" s="223">
        <f>IF($C2844="","",COUNTIF($C$6:$C2844,"?*"))</f>
      </c>
      <c r="B2844" s="217"/>
      <c r="C2844" s="216"/>
      <c r="D2844" s="240"/>
      <c r="E2844" s="218"/>
      <c r="F2844" s="218"/>
      <c r="G2844" s="218"/>
      <c r="H2844" s="219"/>
      <c r="I2844" s="223">
        <f>IF($C2844="","",IF(ISNUMBER(MATCH($C2844,'Phản ánh'!$A$6:$A$505,0)),"Phản ánh",IF(ISNUMBER(MATCH($C2844,'Kế hoạch'!$A$6:$A$305,0)),"Công việc","Mã chưa có")))</f>
      </c>
      <c r="J2844" s="221">
        <f>IF($I2844="Phản ánh",INDEX('Phản ánh'!$C$6:$C$505,MATCH($C2844,'Phản ánh'!$A$6:$A$505,0)),IF($I2844="Công việc",INDEX('Kế hoạch'!$C$6:$C$305,$O2844),""))</f>
      </c>
      <c r="K2844" s="221">
        <f>IF($I2844="Phản ánh",INDEX('Phản ánh'!$K$6:$K$505,MATCH($C2844,'Phản ánh'!$A$6:$A$505,0))&amp;"",IF($I2844="Công việc",INDEX('Kế hoạch'!$N$6:$N$305,$O2844)&amp;"",""))</f>
      </c>
      <c r="L2844" s="220">
        <f>IF(OR($C2844="",N($B2844)=0),"",IF(AND($I2844="Phản ánh",$E2844="Đã xử lý"),INDEX('Phản ánh'!$U$6:$U$505,MATCH($C2844,'Phản ánh'!$A$6:$A$505,0)),IF(AND($I2844="Công việc",OR($E2844="Hoàn thành",$E2844="Hoàn thành kỳ")),IF(INDEX('Kế hoạch'!$B$6:$B$305,$O2844)="Đột xuất",INDEX('Kế hoạch'!$AY$6:$AY$305,$O2844),IF(N($P2844)=0,"",IF(INT($B2844)&lt;$P2844,$P2844,IF($Q2844&gt;0,$P2844+ROUND((INT($B2844)-$P2844)/$Q2844,0)*$Q2844,IF($R2844&gt;0,EDATE($P2844,ROUND((DATEDIF($P2844,INT($B2844),"m")+(INT($B2844)-EDATE($P2844,DATEDIF($P2844,INT($B2844),"m")))/(EDATE($P2844,DATEDIF($P2844,INT($B2844),"m")+1)-EDATE($P2844,DATEDIF($P2844,INT($B2844),"m"))))/$R2844,0)*$R2844),$P2844))))),"")))</f>
      </c>
      <c r="M2844" s="223">
        <f>IF(OR($C2844="",N($L2844)=0,N($B2844)=0),"",IF(IF(MOD($L2844,1)=0,INT($B2844),$B2844)&lt;=$L2844,"Đúng hạn","Trễ hạn"))</f>
      </c>
      <c r="N2844" s="225">
        <f>IF($C2844="","",ROW())</f>
      </c>
      <c r="O2844" s="225">
        <f>IF($I2844="Công việc",MATCH($C2844,'Kế hoạch'!$A$6:$A$305,0),"")</f>
      </c>
      <c r="P2844" s="234">
        <f>IF($O2844="","",INDEX('Kế hoạch'!$I$6:$I$305,$O2844))</f>
      </c>
      <c r="Q2844" s="225">
        <f>IF($O2844="","",INDEX('Kế hoạch'!$AJ$6:$AJ$305,$O2844))</f>
      </c>
      <c r="R2844" s="225">
        <f>IF($O2844="","",INDEX('Kế hoạch'!$AK$6:$AK$305,$O2844))</f>
      </c>
    </row>
    <row r="2845">
      <c r="A2845" s="223">
        <f>IF($C2845="","",COUNTIF($C$6:$C2845,"?*"))</f>
      </c>
      <c r="B2845" s="217"/>
      <c r="C2845" s="216"/>
      <c r="D2845" s="240"/>
      <c r="E2845" s="218"/>
      <c r="F2845" s="218"/>
      <c r="G2845" s="218"/>
      <c r="H2845" s="219"/>
      <c r="I2845" s="223">
        <f>IF($C2845="","",IF(ISNUMBER(MATCH($C2845,'Phản ánh'!$A$6:$A$505,0)),"Phản ánh",IF(ISNUMBER(MATCH($C2845,'Kế hoạch'!$A$6:$A$305,0)),"Công việc","Mã chưa có")))</f>
      </c>
      <c r="J2845" s="221">
        <f>IF($I2845="Phản ánh",INDEX('Phản ánh'!$C$6:$C$505,MATCH($C2845,'Phản ánh'!$A$6:$A$505,0)),IF($I2845="Công việc",INDEX('Kế hoạch'!$C$6:$C$305,$O2845),""))</f>
      </c>
      <c r="K2845" s="221">
        <f>IF($I2845="Phản ánh",INDEX('Phản ánh'!$K$6:$K$505,MATCH($C2845,'Phản ánh'!$A$6:$A$505,0))&amp;"",IF($I2845="Công việc",INDEX('Kế hoạch'!$N$6:$N$305,$O2845)&amp;"",""))</f>
      </c>
      <c r="L2845" s="220">
        <f>IF(OR($C2845="",N($B2845)=0),"",IF(AND($I2845="Phản ánh",$E2845="Đã xử lý"),INDEX('Phản ánh'!$U$6:$U$505,MATCH($C2845,'Phản ánh'!$A$6:$A$505,0)),IF(AND($I2845="Công việc",OR($E2845="Hoàn thành",$E2845="Hoàn thành kỳ")),IF(INDEX('Kế hoạch'!$B$6:$B$305,$O2845)="Đột xuất",INDEX('Kế hoạch'!$AY$6:$AY$305,$O2845),IF(N($P2845)=0,"",IF(INT($B2845)&lt;$P2845,$P2845,IF($Q2845&gt;0,$P2845+ROUND((INT($B2845)-$P2845)/$Q2845,0)*$Q2845,IF($R2845&gt;0,EDATE($P2845,ROUND((DATEDIF($P2845,INT($B2845),"m")+(INT($B2845)-EDATE($P2845,DATEDIF($P2845,INT($B2845),"m")))/(EDATE($P2845,DATEDIF($P2845,INT($B2845),"m")+1)-EDATE($P2845,DATEDIF($P2845,INT($B2845),"m"))))/$R2845,0)*$R2845),$P2845))))),"")))</f>
      </c>
      <c r="M2845" s="223">
        <f>IF(OR($C2845="",N($L2845)=0,N($B2845)=0),"",IF(IF(MOD($L2845,1)=0,INT($B2845),$B2845)&lt;=$L2845,"Đúng hạn","Trễ hạn"))</f>
      </c>
      <c r="N2845" s="225">
        <f>IF($C2845="","",ROW())</f>
      </c>
      <c r="O2845" s="225">
        <f>IF($I2845="Công việc",MATCH($C2845,'Kế hoạch'!$A$6:$A$305,0),"")</f>
      </c>
      <c r="P2845" s="234">
        <f>IF($O2845="","",INDEX('Kế hoạch'!$I$6:$I$305,$O2845))</f>
      </c>
      <c r="Q2845" s="225">
        <f>IF($O2845="","",INDEX('Kế hoạch'!$AJ$6:$AJ$305,$O2845))</f>
      </c>
      <c r="R2845" s="225">
        <f>IF($O2845="","",INDEX('Kế hoạch'!$AK$6:$AK$305,$O2845))</f>
      </c>
    </row>
    <row r="2846">
      <c r="A2846" s="223">
        <f>IF($C2846="","",COUNTIF($C$6:$C2846,"?*"))</f>
      </c>
      <c r="B2846" s="217"/>
      <c r="C2846" s="216"/>
      <c r="D2846" s="240"/>
      <c r="E2846" s="218"/>
      <c r="F2846" s="218"/>
      <c r="G2846" s="218"/>
      <c r="H2846" s="219"/>
      <c r="I2846" s="223">
        <f>IF($C2846="","",IF(ISNUMBER(MATCH($C2846,'Phản ánh'!$A$6:$A$505,0)),"Phản ánh",IF(ISNUMBER(MATCH($C2846,'Kế hoạch'!$A$6:$A$305,0)),"Công việc","Mã chưa có")))</f>
      </c>
      <c r="J2846" s="221">
        <f>IF($I2846="Phản ánh",INDEX('Phản ánh'!$C$6:$C$505,MATCH($C2846,'Phản ánh'!$A$6:$A$505,0)),IF($I2846="Công việc",INDEX('Kế hoạch'!$C$6:$C$305,$O2846),""))</f>
      </c>
      <c r="K2846" s="221">
        <f>IF($I2846="Phản ánh",INDEX('Phản ánh'!$K$6:$K$505,MATCH($C2846,'Phản ánh'!$A$6:$A$505,0))&amp;"",IF($I2846="Công việc",INDEX('Kế hoạch'!$N$6:$N$305,$O2846)&amp;"",""))</f>
      </c>
      <c r="L2846" s="220">
        <f>IF(OR($C2846="",N($B2846)=0),"",IF(AND($I2846="Phản ánh",$E2846="Đã xử lý"),INDEX('Phản ánh'!$U$6:$U$505,MATCH($C2846,'Phản ánh'!$A$6:$A$505,0)),IF(AND($I2846="Công việc",OR($E2846="Hoàn thành",$E2846="Hoàn thành kỳ")),IF(INDEX('Kế hoạch'!$B$6:$B$305,$O2846)="Đột xuất",INDEX('Kế hoạch'!$AY$6:$AY$305,$O2846),IF(N($P2846)=0,"",IF(INT($B2846)&lt;$P2846,$P2846,IF($Q2846&gt;0,$P2846+ROUND((INT($B2846)-$P2846)/$Q2846,0)*$Q2846,IF($R2846&gt;0,EDATE($P2846,ROUND((DATEDIF($P2846,INT($B2846),"m")+(INT($B2846)-EDATE($P2846,DATEDIF($P2846,INT($B2846),"m")))/(EDATE($P2846,DATEDIF($P2846,INT($B2846),"m")+1)-EDATE($P2846,DATEDIF($P2846,INT($B2846),"m"))))/$R2846,0)*$R2846),$P2846))))),"")))</f>
      </c>
      <c r="M2846" s="223">
        <f>IF(OR($C2846="",N($L2846)=0,N($B2846)=0),"",IF(IF(MOD($L2846,1)=0,INT($B2846),$B2846)&lt;=$L2846,"Đúng hạn","Trễ hạn"))</f>
      </c>
      <c r="N2846" s="225">
        <f>IF($C2846="","",ROW())</f>
      </c>
      <c r="O2846" s="225">
        <f>IF($I2846="Công việc",MATCH($C2846,'Kế hoạch'!$A$6:$A$305,0),"")</f>
      </c>
      <c r="P2846" s="234">
        <f>IF($O2846="","",INDEX('Kế hoạch'!$I$6:$I$305,$O2846))</f>
      </c>
      <c r="Q2846" s="225">
        <f>IF($O2846="","",INDEX('Kế hoạch'!$AJ$6:$AJ$305,$O2846))</f>
      </c>
      <c r="R2846" s="225">
        <f>IF($O2846="","",INDEX('Kế hoạch'!$AK$6:$AK$305,$O2846))</f>
      </c>
    </row>
    <row r="2847">
      <c r="A2847" s="223">
        <f>IF($C2847="","",COUNTIF($C$6:$C2847,"?*"))</f>
      </c>
      <c r="B2847" s="217"/>
      <c r="C2847" s="216"/>
      <c r="D2847" s="240"/>
      <c r="E2847" s="218"/>
      <c r="F2847" s="218"/>
      <c r="G2847" s="218"/>
      <c r="H2847" s="219"/>
      <c r="I2847" s="223">
        <f>IF($C2847="","",IF(ISNUMBER(MATCH($C2847,'Phản ánh'!$A$6:$A$505,0)),"Phản ánh",IF(ISNUMBER(MATCH($C2847,'Kế hoạch'!$A$6:$A$305,0)),"Công việc","Mã chưa có")))</f>
      </c>
      <c r="J2847" s="221">
        <f>IF($I2847="Phản ánh",INDEX('Phản ánh'!$C$6:$C$505,MATCH($C2847,'Phản ánh'!$A$6:$A$505,0)),IF($I2847="Công việc",INDEX('Kế hoạch'!$C$6:$C$305,$O2847),""))</f>
      </c>
      <c r="K2847" s="221">
        <f>IF($I2847="Phản ánh",INDEX('Phản ánh'!$K$6:$K$505,MATCH($C2847,'Phản ánh'!$A$6:$A$505,0))&amp;"",IF($I2847="Công việc",INDEX('Kế hoạch'!$N$6:$N$305,$O2847)&amp;"",""))</f>
      </c>
      <c r="L2847" s="220">
        <f>IF(OR($C2847="",N($B2847)=0),"",IF(AND($I2847="Phản ánh",$E2847="Đã xử lý"),INDEX('Phản ánh'!$U$6:$U$505,MATCH($C2847,'Phản ánh'!$A$6:$A$505,0)),IF(AND($I2847="Công việc",OR($E2847="Hoàn thành",$E2847="Hoàn thành kỳ")),IF(INDEX('Kế hoạch'!$B$6:$B$305,$O2847)="Đột xuất",INDEX('Kế hoạch'!$AY$6:$AY$305,$O2847),IF(N($P2847)=0,"",IF(INT($B2847)&lt;$P2847,$P2847,IF($Q2847&gt;0,$P2847+ROUND((INT($B2847)-$P2847)/$Q2847,0)*$Q2847,IF($R2847&gt;0,EDATE($P2847,ROUND((DATEDIF($P2847,INT($B2847),"m")+(INT($B2847)-EDATE($P2847,DATEDIF($P2847,INT($B2847),"m")))/(EDATE($P2847,DATEDIF($P2847,INT($B2847),"m")+1)-EDATE($P2847,DATEDIF($P2847,INT($B2847),"m"))))/$R2847,0)*$R2847),$P2847))))),"")))</f>
      </c>
      <c r="M2847" s="223">
        <f>IF(OR($C2847="",N($L2847)=0,N($B2847)=0),"",IF(IF(MOD($L2847,1)=0,INT($B2847),$B2847)&lt;=$L2847,"Đúng hạn","Trễ hạn"))</f>
      </c>
      <c r="N2847" s="225">
        <f>IF($C2847="","",ROW())</f>
      </c>
      <c r="O2847" s="225">
        <f>IF($I2847="Công việc",MATCH($C2847,'Kế hoạch'!$A$6:$A$305,0),"")</f>
      </c>
      <c r="P2847" s="234">
        <f>IF($O2847="","",INDEX('Kế hoạch'!$I$6:$I$305,$O2847))</f>
      </c>
      <c r="Q2847" s="225">
        <f>IF($O2847="","",INDEX('Kế hoạch'!$AJ$6:$AJ$305,$O2847))</f>
      </c>
      <c r="R2847" s="225">
        <f>IF($O2847="","",INDEX('Kế hoạch'!$AK$6:$AK$305,$O2847))</f>
      </c>
    </row>
    <row r="2848">
      <c r="A2848" s="223">
        <f>IF($C2848="","",COUNTIF($C$6:$C2848,"?*"))</f>
      </c>
      <c r="B2848" s="217"/>
      <c r="C2848" s="216"/>
      <c r="D2848" s="240"/>
      <c r="E2848" s="218"/>
      <c r="F2848" s="218"/>
      <c r="G2848" s="218"/>
      <c r="H2848" s="219"/>
      <c r="I2848" s="223">
        <f>IF($C2848="","",IF(ISNUMBER(MATCH($C2848,'Phản ánh'!$A$6:$A$505,0)),"Phản ánh",IF(ISNUMBER(MATCH($C2848,'Kế hoạch'!$A$6:$A$305,0)),"Công việc","Mã chưa có")))</f>
      </c>
      <c r="J2848" s="221">
        <f>IF($I2848="Phản ánh",INDEX('Phản ánh'!$C$6:$C$505,MATCH($C2848,'Phản ánh'!$A$6:$A$505,0)),IF($I2848="Công việc",INDEX('Kế hoạch'!$C$6:$C$305,$O2848),""))</f>
      </c>
      <c r="K2848" s="221">
        <f>IF($I2848="Phản ánh",INDEX('Phản ánh'!$K$6:$K$505,MATCH($C2848,'Phản ánh'!$A$6:$A$505,0))&amp;"",IF($I2848="Công việc",INDEX('Kế hoạch'!$N$6:$N$305,$O2848)&amp;"",""))</f>
      </c>
      <c r="L2848" s="220">
        <f>IF(OR($C2848="",N($B2848)=0),"",IF(AND($I2848="Phản ánh",$E2848="Đã xử lý"),INDEX('Phản ánh'!$U$6:$U$505,MATCH($C2848,'Phản ánh'!$A$6:$A$505,0)),IF(AND($I2848="Công việc",OR($E2848="Hoàn thành",$E2848="Hoàn thành kỳ")),IF(INDEX('Kế hoạch'!$B$6:$B$305,$O2848)="Đột xuất",INDEX('Kế hoạch'!$AY$6:$AY$305,$O2848),IF(N($P2848)=0,"",IF(INT($B2848)&lt;$P2848,$P2848,IF($Q2848&gt;0,$P2848+ROUND((INT($B2848)-$P2848)/$Q2848,0)*$Q2848,IF($R2848&gt;0,EDATE($P2848,ROUND((DATEDIF($P2848,INT($B2848),"m")+(INT($B2848)-EDATE($P2848,DATEDIF($P2848,INT($B2848),"m")))/(EDATE($P2848,DATEDIF($P2848,INT($B2848),"m")+1)-EDATE($P2848,DATEDIF($P2848,INT($B2848),"m"))))/$R2848,0)*$R2848),$P2848))))),"")))</f>
      </c>
      <c r="M2848" s="223">
        <f>IF(OR($C2848="",N($L2848)=0,N($B2848)=0),"",IF(IF(MOD($L2848,1)=0,INT($B2848),$B2848)&lt;=$L2848,"Đúng hạn","Trễ hạn"))</f>
      </c>
      <c r="N2848" s="225">
        <f>IF($C2848="","",ROW())</f>
      </c>
      <c r="O2848" s="225">
        <f>IF($I2848="Công việc",MATCH($C2848,'Kế hoạch'!$A$6:$A$305,0),"")</f>
      </c>
      <c r="P2848" s="234">
        <f>IF($O2848="","",INDEX('Kế hoạch'!$I$6:$I$305,$O2848))</f>
      </c>
      <c r="Q2848" s="225">
        <f>IF($O2848="","",INDEX('Kế hoạch'!$AJ$6:$AJ$305,$O2848))</f>
      </c>
      <c r="R2848" s="225">
        <f>IF($O2848="","",INDEX('Kế hoạch'!$AK$6:$AK$305,$O2848))</f>
      </c>
    </row>
    <row r="2849">
      <c r="A2849" s="223">
        <f>IF($C2849="","",COUNTIF($C$6:$C2849,"?*"))</f>
      </c>
      <c r="B2849" s="217"/>
      <c r="C2849" s="216"/>
      <c r="D2849" s="240"/>
      <c r="E2849" s="218"/>
      <c r="F2849" s="218"/>
      <c r="G2849" s="218"/>
      <c r="H2849" s="219"/>
      <c r="I2849" s="223">
        <f>IF($C2849="","",IF(ISNUMBER(MATCH($C2849,'Phản ánh'!$A$6:$A$505,0)),"Phản ánh",IF(ISNUMBER(MATCH($C2849,'Kế hoạch'!$A$6:$A$305,0)),"Công việc","Mã chưa có")))</f>
      </c>
      <c r="J2849" s="221">
        <f>IF($I2849="Phản ánh",INDEX('Phản ánh'!$C$6:$C$505,MATCH($C2849,'Phản ánh'!$A$6:$A$505,0)),IF($I2849="Công việc",INDEX('Kế hoạch'!$C$6:$C$305,$O2849),""))</f>
      </c>
      <c r="K2849" s="221">
        <f>IF($I2849="Phản ánh",INDEX('Phản ánh'!$K$6:$K$505,MATCH($C2849,'Phản ánh'!$A$6:$A$505,0))&amp;"",IF($I2849="Công việc",INDEX('Kế hoạch'!$N$6:$N$305,$O2849)&amp;"",""))</f>
      </c>
      <c r="L2849" s="220">
        <f>IF(OR($C2849="",N($B2849)=0),"",IF(AND($I2849="Phản ánh",$E2849="Đã xử lý"),INDEX('Phản ánh'!$U$6:$U$505,MATCH($C2849,'Phản ánh'!$A$6:$A$505,0)),IF(AND($I2849="Công việc",OR($E2849="Hoàn thành",$E2849="Hoàn thành kỳ")),IF(INDEX('Kế hoạch'!$B$6:$B$305,$O2849)="Đột xuất",INDEX('Kế hoạch'!$AY$6:$AY$305,$O2849),IF(N($P2849)=0,"",IF(INT($B2849)&lt;$P2849,$P2849,IF($Q2849&gt;0,$P2849+ROUND((INT($B2849)-$P2849)/$Q2849,0)*$Q2849,IF($R2849&gt;0,EDATE($P2849,ROUND((DATEDIF($P2849,INT($B2849),"m")+(INT($B2849)-EDATE($P2849,DATEDIF($P2849,INT($B2849),"m")))/(EDATE($P2849,DATEDIF($P2849,INT($B2849),"m")+1)-EDATE($P2849,DATEDIF($P2849,INT($B2849),"m"))))/$R2849,0)*$R2849),$P2849))))),"")))</f>
      </c>
      <c r="M2849" s="223">
        <f>IF(OR($C2849="",N($L2849)=0,N($B2849)=0),"",IF(IF(MOD($L2849,1)=0,INT($B2849),$B2849)&lt;=$L2849,"Đúng hạn","Trễ hạn"))</f>
      </c>
      <c r="N2849" s="225">
        <f>IF($C2849="","",ROW())</f>
      </c>
      <c r="O2849" s="225">
        <f>IF($I2849="Công việc",MATCH($C2849,'Kế hoạch'!$A$6:$A$305,0),"")</f>
      </c>
      <c r="P2849" s="234">
        <f>IF($O2849="","",INDEX('Kế hoạch'!$I$6:$I$305,$O2849))</f>
      </c>
      <c r="Q2849" s="225">
        <f>IF($O2849="","",INDEX('Kế hoạch'!$AJ$6:$AJ$305,$O2849))</f>
      </c>
      <c r="R2849" s="225">
        <f>IF($O2849="","",INDEX('Kế hoạch'!$AK$6:$AK$305,$O2849))</f>
      </c>
    </row>
    <row r="2850">
      <c r="A2850" s="223">
        <f>IF($C2850="","",COUNTIF($C$6:$C2850,"?*"))</f>
      </c>
      <c r="B2850" s="217"/>
      <c r="C2850" s="216"/>
      <c r="D2850" s="240"/>
      <c r="E2850" s="218"/>
      <c r="F2850" s="218"/>
      <c r="G2850" s="218"/>
      <c r="H2850" s="219"/>
      <c r="I2850" s="223">
        <f>IF($C2850="","",IF(ISNUMBER(MATCH($C2850,'Phản ánh'!$A$6:$A$505,0)),"Phản ánh",IF(ISNUMBER(MATCH($C2850,'Kế hoạch'!$A$6:$A$305,0)),"Công việc","Mã chưa có")))</f>
      </c>
      <c r="J2850" s="221">
        <f>IF($I2850="Phản ánh",INDEX('Phản ánh'!$C$6:$C$505,MATCH($C2850,'Phản ánh'!$A$6:$A$505,0)),IF($I2850="Công việc",INDEX('Kế hoạch'!$C$6:$C$305,$O2850),""))</f>
      </c>
      <c r="K2850" s="221">
        <f>IF($I2850="Phản ánh",INDEX('Phản ánh'!$K$6:$K$505,MATCH($C2850,'Phản ánh'!$A$6:$A$505,0))&amp;"",IF($I2850="Công việc",INDEX('Kế hoạch'!$N$6:$N$305,$O2850)&amp;"",""))</f>
      </c>
      <c r="L2850" s="220">
        <f>IF(OR($C2850="",N($B2850)=0),"",IF(AND($I2850="Phản ánh",$E2850="Đã xử lý"),INDEX('Phản ánh'!$U$6:$U$505,MATCH($C2850,'Phản ánh'!$A$6:$A$505,0)),IF(AND($I2850="Công việc",OR($E2850="Hoàn thành",$E2850="Hoàn thành kỳ")),IF(INDEX('Kế hoạch'!$B$6:$B$305,$O2850)="Đột xuất",INDEX('Kế hoạch'!$AY$6:$AY$305,$O2850),IF(N($P2850)=0,"",IF(INT($B2850)&lt;$P2850,$P2850,IF($Q2850&gt;0,$P2850+ROUND((INT($B2850)-$P2850)/$Q2850,0)*$Q2850,IF($R2850&gt;0,EDATE($P2850,ROUND((DATEDIF($P2850,INT($B2850),"m")+(INT($B2850)-EDATE($P2850,DATEDIF($P2850,INT($B2850),"m")))/(EDATE($P2850,DATEDIF($P2850,INT($B2850),"m")+1)-EDATE($P2850,DATEDIF($P2850,INT($B2850),"m"))))/$R2850,0)*$R2850),$P2850))))),"")))</f>
      </c>
      <c r="M2850" s="223">
        <f>IF(OR($C2850="",N($L2850)=0,N($B2850)=0),"",IF(IF(MOD($L2850,1)=0,INT($B2850),$B2850)&lt;=$L2850,"Đúng hạn","Trễ hạn"))</f>
      </c>
      <c r="N2850" s="225">
        <f>IF($C2850="","",ROW())</f>
      </c>
      <c r="O2850" s="225">
        <f>IF($I2850="Công việc",MATCH($C2850,'Kế hoạch'!$A$6:$A$305,0),"")</f>
      </c>
      <c r="P2850" s="234">
        <f>IF($O2850="","",INDEX('Kế hoạch'!$I$6:$I$305,$O2850))</f>
      </c>
      <c r="Q2850" s="225">
        <f>IF($O2850="","",INDEX('Kế hoạch'!$AJ$6:$AJ$305,$O2850))</f>
      </c>
      <c r="R2850" s="225">
        <f>IF($O2850="","",INDEX('Kế hoạch'!$AK$6:$AK$305,$O2850))</f>
      </c>
    </row>
    <row r="2851">
      <c r="A2851" s="223">
        <f>IF($C2851="","",COUNTIF($C$6:$C2851,"?*"))</f>
      </c>
      <c r="B2851" s="217"/>
      <c r="C2851" s="216"/>
      <c r="D2851" s="240"/>
      <c r="E2851" s="218"/>
      <c r="F2851" s="218"/>
      <c r="G2851" s="218"/>
      <c r="H2851" s="219"/>
      <c r="I2851" s="223">
        <f>IF($C2851="","",IF(ISNUMBER(MATCH($C2851,'Phản ánh'!$A$6:$A$505,0)),"Phản ánh",IF(ISNUMBER(MATCH($C2851,'Kế hoạch'!$A$6:$A$305,0)),"Công việc","Mã chưa có")))</f>
      </c>
      <c r="J2851" s="221">
        <f>IF($I2851="Phản ánh",INDEX('Phản ánh'!$C$6:$C$505,MATCH($C2851,'Phản ánh'!$A$6:$A$505,0)),IF($I2851="Công việc",INDEX('Kế hoạch'!$C$6:$C$305,$O2851),""))</f>
      </c>
      <c r="K2851" s="221">
        <f>IF($I2851="Phản ánh",INDEX('Phản ánh'!$K$6:$K$505,MATCH($C2851,'Phản ánh'!$A$6:$A$505,0))&amp;"",IF($I2851="Công việc",INDEX('Kế hoạch'!$N$6:$N$305,$O2851)&amp;"",""))</f>
      </c>
      <c r="L2851" s="220">
        <f>IF(OR($C2851="",N($B2851)=0),"",IF(AND($I2851="Phản ánh",$E2851="Đã xử lý"),INDEX('Phản ánh'!$U$6:$U$505,MATCH($C2851,'Phản ánh'!$A$6:$A$505,0)),IF(AND($I2851="Công việc",OR($E2851="Hoàn thành",$E2851="Hoàn thành kỳ")),IF(INDEX('Kế hoạch'!$B$6:$B$305,$O2851)="Đột xuất",INDEX('Kế hoạch'!$AY$6:$AY$305,$O2851),IF(N($P2851)=0,"",IF(INT($B2851)&lt;$P2851,$P2851,IF($Q2851&gt;0,$P2851+ROUND((INT($B2851)-$P2851)/$Q2851,0)*$Q2851,IF($R2851&gt;0,EDATE($P2851,ROUND((DATEDIF($P2851,INT($B2851),"m")+(INT($B2851)-EDATE($P2851,DATEDIF($P2851,INT($B2851),"m")))/(EDATE($P2851,DATEDIF($P2851,INT($B2851),"m")+1)-EDATE($P2851,DATEDIF($P2851,INT($B2851),"m"))))/$R2851,0)*$R2851),$P2851))))),"")))</f>
      </c>
      <c r="M2851" s="223">
        <f>IF(OR($C2851="",N($L2851)=0,N($B2851)=0),"",IF(IF(MOD($L2851,1)=0,INT($B2851),$B2851)&lt;=$L2851,"Đúng hạn","Trễ hạn"))</f>
      </c>
      <c r="N2851" s="225">
        <f>IF($C2851="","",ROW())</f>
      </c>
      <c r="O2851" s="225">
        <f>IF($I2851="Công việc",MATCH($C2851,'Kế hoạch'!$A$6:$A$305,0),"")</f>
      </c>
      <c r="P2851" s="234">
        <f>IF($O2851="","",INDEX('Kế hoạch'!$I$6:$I$305,$O2851))</f>
      </c>
      <c r="Q2851" s="225">
        <f>IF($O2851="","",INDEX('Kế hoạch'!$AJ$6:$AJ$305,$O2851))</f>
      </c>
      <c r="R2851" s="225">
        <f>IF($O2851="","",INDEX('Kế hoạch'!$AK$6:$AK$305,$O2851))</f>
      </c>
    </row>
    <row r="2852">
      <c r="A2852" s="223">
        <f>IF($C2852="","",COUNTIF($C$6:$C2852,"?*"))</f>
      </c>
      <c r="B2852" s="217"/>
      <c r="C2852" s="216"/>
      <c r="D2852" s="240"/>
      <c r="E2852" s="218"/>
      <c r="F2852" s="218"/>
      <c r="G2852" s="218"/>
      <c r="H2852" s="219"/>
      <c r="I2852" s="223">
        <f>IF($C2852="","",IF(ISNUMBER(MATCH($C2852,'Phản ánh'!$A$6:$A$505,0)),"Phản ánh",IF(ISNUMBER(MATCH($C2852,'Kế hoạch'!$A$6:$A$305,0)),"Công việc","Mã chưa có")))</f>
      </c>
      <c r="J2852" s="221">
        <f>IF($I2852="Phản ánh",INDEX('Phản ánh'!$C$6:$C$505,MATCH($C2852,'Phản ánh'!$A$6:$A$505,0)),IF($I2852="Công việc",INDEX('Kế hoạch'!$C$6:$C$305,$O2852),""))</f>
      </c>
      <c r="K2852" s="221">
        <f>IF($I2852="Phản ánh",INDEX('Phản ánh'!$K$6:$K$505,MATCH($C2852,'Phản ánh'!$A$6:$A$505,0))&amp;"",IF($I2852="Công việc",INDEX('Kế hoạch'!$N$6:$N$305,$O2852)&amp;"",""))</f>
      </c>
      <c r="L2852" s="220">
        <f>IF(OR($C2852="",N($B2852)=0),"",IF(AND($I2852="Phản ánh",$E2852="Đã xử lý"),INDEX('Phản ánh'!$U$6:$U$505,MATCH($C2852,'Phản ánh'!$A$6:$A$505,0)),IF(AND($I2852="Công việc",OR($E2852="Hoàn thành",$E2852="Hoàn thành kỳ")),IF(INDEX('Kế hoạch'!$B$6:$B$305,$O2852)="Đột xuất",INDEX('Kế hoạch'!$AY$6:$AY$305,$O2852),IF(N($P2852)=0,"",IF(INT($B2852)&lt;$P2852,$P2852,IF($Q2852&gt;0,$P2852+ROUND((INT($B2852)-$P2852)/$Q2852,0)*$Q2852,IF($R2852&gt;0,EDATE($P2852,ROUND((DATEDIF($P2852,INT($B2852),"m")+(INT($B2852)-EDATE($P2852,DATEDIF($P2852,INT($B2852),"m")))/(EDATE($P2852,DATEDIF($P2852,INT($B2852),"m")+1)-EDATE($P2852,DATEDIF($P2852,INT($B2852),"m"))))/$R2852,0)*$R2852),$P2852))))),"")))</f>
      </c>
      <c r="M2852" s="223">
        <f>IF(OR($C2852="",N($L2852)=0,N($B2852)=0),"",IF(IF(MOD($L2852,1)=0,INT($B2852),$B2852)&lt;=$L2852,"Đúng hạn","Trễ hạn"))</f>
      </c>
      <c r="N2852" s="225">
        <f>IF($C2852="","",ROW())</f>
      </c>
      <c r="O2852" s="225">
        <f>IF($I2852="Công việc",MATCH($C2852,'Kế hoạch'!$A$6:$A$305,0),"")</f>
      </c>
      <c r="P2852" s="234">
        <f>IF($O2852="","",INDEX('Kế hoạch'!$I$6:$I$305,$O2852))</f>
      </c>
      <c r="Q2852" s="225">
        <f>IF($O2852="","",INDEX('Kế hoạch'!$AJ$6:$AJ$305,$O2852))</f>
      </c>
      <c r="R2852" s="225">
        <f>IF($O2852="","",INDEX('Kế hoạch'!$AK$6:$AK$305,$O2852))</f>
      </c>
    </row>
    <row r="2853">
      <c r="A2853" s="223">
        <f>IF($C2853="","",COUNTIF($C$6:$C2853,"?*"))</f>
      </c>
      <c r="B2853" s="217"/>
      <c r="C2853" s="216"/>
      <c r="D2853" s="240"/>
      <c r="E2853" s="218"/>
      <c r="F2853" s="218"/>
      <c r="G2853" s="218"/>
      <c r="H2853" s="219"/>
      <c r="I2853" s="223">
        <f>IF($C2853="","",IF(ISNUMBER(MATCH($C2853,'Phản ánh'!$A$6:$A$505,0)),"Phản ánh",IF(ISNUMBER(MATCH($C2853,'Kế hoạch'!$A$6:$A$305,0)),"Công việc","Mã chưa có")))</f>
      </c>
      <c r="J2853" s="221">
        <f>IF($I2853="Phản ánh",INDEX('Phản ánh'!$C$6:$C$505,MATCH($C2853,'Phản ánh'!$A$6:$A$505,0)),IF($I2853="Công việc",INDEX('Kế hoạch'!$C$6:$C$305,$O2853),""))</f>
      </c>
      <c r="K2853" s="221">
        <f>IF($I2853="Phản ánh",INDEX('Phản ánh'!$K$6:$K$505,MATCH($C2853,'Phản ánh'!$A$6:$A$505,0))&amp;"",IF($I2853="Công việc",INDEX('Kế hoạch'!$N$6:$N$305,$O2853)&amp;"",""))</f>
      </c>
      <c r="L2853" s="220">
        <f>IF(OR($C2853="",N($B2853)=0),"",IF(AND($I2853="Phản ánh",$E2853="Đã xử lý"),INDEX('Phản ánh'!$U$6:$U$505,MATCH($C2853,'Phản ánh'!$A$6:$A$505,0)),IF(AND($I2853="Công việc",OR($E2853="Hoàn thành",$E2853="Hoàn thành kỳ")),IF(INDEX('Kế hoạch'!$B$6:$B$305,$O2853)="Đột xuất",INDEX('Kế hoạch'!$AY$6:$AY$305,$O2853),IF(N($P2853)=0,"",IF(INT($B2853)&lt;$P2853,$P2853,IF($Q2853&gt;0,$P2853+ROUND((INT($B2853)-$P2853)/$Q2853,0)*$Q2853,IF($R2853&gt;0,EDATE($P2853,ROUND((DATEDIF($P2853,INT($B2853),"m")+(INT($B2853)-EDATE($P2853,DATEDIF($P2853,INT($B2853),"m")))/(EDATE($P2853,DATEDIF($P2853,INT($B2853),"m")+1)-EDATE($P2853,DATEDIF($P2853,INT($B2853),"m"))))/$R2853,0)*$R2853),$P2853))))),"")))</f>
      </c>
      <c r="M2853" s="223">
        <f>IF(OR($C2853="",N($L2853)=0,N($B2853)=0),"",IF(IF(MOD($L2853,1)=0,INT($B2853),$B2853)&lt;=$L2853,"Đúng hạn","Trễ hạn"))</f>
      </c>
      <c r="N2853" s="225">
        <f>IF($C2853="","",ROW())</f>
      </c>
      <c r="O2853" s="225">
        <f>IF($I2853="Công việc",MATCH($C2853,'Kế hoạch'!$A$6:$A$305,0),"")</f>
      </c>
      <c r="P2853" s="234">
        <f>IF($O2853="","",INDEX('Kế hoạch'!$I$6:$I$305,$O2853))</f>
      </c>
      <c r="Q2853" s="225">
        <f>IF($O2853="","",INDEX('Kế hoạch'!$AJ$6:$AJ$305,$O2853))</f>
      </c>
      <c r="R2853" s="225">
        <f>IF($O2853="","",INDEX('Kế hoạch'!$AK$6:$AK$305,$O2853))</f>
      </c>
    </row>
    <row r="2854">
      <c r="A2854" s="223">
        <f>IF($C2854="","",COUNTIF($C$6:$C2854,"?*"))</f>
      </c>
      <c r="B2854" s="217"/>
      <c r="C2854" s="216"/>
      <c r="D2854" s="240"/>
      <c r="E2854" s="218"/>
      <c r="F2854" s="218"/>
      <c r="G2854" s="218"/>
      <c r="H2854" s="219"/>
      <c r="I2854" s="223">
        <f>IF($C2854="","",IF(ISNUMBER(MATCH($C2854,'Phản ánh'!$A$6:$A$505,0)),"Phản ánh",IF(ISNUMBER(MATCH($C2854,'Kế hoạch'!$A$6:$A$305,0)),"Công việc","Mã chưa có")))</f>
      </c>
      <c r="J2854" s="221">
        <f>IF($I2854="Phản ánh",INDEX('Phản ánh'!$C$6:$C$505,MATCH($C2854,'Phản ánh'!$A$6:$A$505,0)),IF($I2854="Công việc",INDEX('Kế hoạch'!$C$6:$C$305,$O2854),""))</f>
      </c>
      <c r="K2854" s="221">
        <f>IF($I2854="Phản ánh",INDEX('Phản ánh'!$K$6:$K$505,MATCH($C2854,'Phản ánh'!$A$6:$A$505,0))&amp;"",IF($I2854="Công việc",INDEX('Kế hoạch'!$N$6:$N$305,$O2854)&amp;"",""))</f>
      </c>
      <c r="L2854" s="220">
        <f>IF(OR($C2854="",N($B2854)=0),"",IF(AND($I2854="Phản ánh",$E2854="Đã xử lý"),INDEX('Phản ánh'!$U$6:$U$505,MATCH($C2854,'Phản ánh'!$A$6:$A$505,0)),IF(AND($I2854="Công việc",OR($E2854="Hoàn thành",$E2854="Hoàn thành kỳ")),IF(INDEX('Kế hoạch'!$B$6:$B$305,$O2854)="Đột xuất",INDEX('Kế hoạch'!$AY$6:$AY$305,$O2854),IF(N($P2854)=0,"",IF(INT($B2854)&lt;$P2854,$P2854,IF($Q2854&gt;0,$P2854+ROUND((INT($B2854)-$P2854)/$Q2854,0)*$Q2854,IF($R2854&gt;0,EDATE($P2854,ROUND((DATEDIF($P2854,INT($B2854),"m")+(INT($B2854)-EDATE($P2854,DATEDIF($P2854,INT($B2854),"m")))/(EDATE($P2854,DATEDIF($P2854,INT($B2854),"m")+1)-EDATE($P2854,DATEDIF($P2854,INT($B2854),"m"))))/$R2854,0)*$R2854),$P2854))))),"")))</f>
      </c>
      <c r="M2854" s="223">
        <f>IF(OR($C2854="",N($L2854)=0,N($B2854)=0),"",IF(IF(MOD($L2854,1)=0,INT($B2854),$B2854)&lt;=$L2854,"Đúng hạn","Trễ hạn"))</f>
      </c>
      <c r="N2854" s="225">
        <f>IF($C2854="","",ROW())</f>
      </c>
      <c r="O2854" s="225">
        <f>IF($I2854="Công việc",MATCH($C2854,'Kế hoạch'!$A$6:$A$305,0),"")</f>
      </c>
      <c r="P2854" s="234">
        <f>IF($O2854="","",INDEX('Kế hoạch'!$I$6:$I$305,$O2854))</f>
      </c>
      <c r="Q2854" s="225">
        <f>IF($O2854="","",INDEX('Kế hoạch'!$AJ$6:$AJ$305,$O2854))</f>
      </c>
      <c r="R2854" s="225">
        <f>IF($O2854="","",INDEX('Kế hoạch'!$AK$6:$AK$305,$O2854))</f>
      </c>
    </row>
    <row r="2855">
      <c r="A2855" s="223">
        <f>IF($C2855="","",COUNTIF($C$6:$C2855,"?*"))</f>
      </c>
      <c r="B2855" s="217"/>
      <c r="C2855" s="216"/>
      <c r="D2855" s="240"/>
      <c r="E2855" s="218"/>
      <c r="F2855" s="218"/>
      <c r="G2855" s="218"/>
      <c r="H2855" s="219"/>
      <c r="I2855" s="223">
        <f>IF($C2855="","",IF(ISNUMBER(MATCH($C2855,'Phản ánh'!$A$6:$A$505,0)),"Phản ánh",IF(ISNUMBER(MATCH($C2855,'Kế hoạch'!$A$6:$A$305,0)),"Công việc","Mã chưa có")))</f>
      </c>
      <c r="J2855" s="221">
        <f>IF($I2855="Phản ánh",INDEX('Phản ánh'!$C$6:$C$505,MATCH($C2855,'Phản ánh'!$A$6:$A$505,0)),IF($I2855="Công việc",INDEX('Kế hoạch'!$C$6:$C$305,$O2855),""))</f>
      </c>
      <c r="K2855" s="221">
        <f>IF($I2855="Phản ánh",INDEX('Phản ánh'!$K$6:$K$505,MATCH($C2855,'Phản ánh'!$A$6:$A$505,0))&amp;"",IF($I2855="Công việc",INDEX('Kế hoạch'!$N$6:$N$305,$O2855)&amp;"",""))</f>
      </c>
      <c r="L2855" s="220">
        <f>IF(OR($C2855="",N($B2855)=0),"",IF(AND($I2855="Phản ánh",$E2855="Đã xử lý"),INDEX('Phản ánh'!$U$6:$U$505,MATCH($C2855,'Phản ánh'!$A$6:$A$505,0)),IF(AND($I2855="Công việc",OR($E2855="Hoàn thành",$E2855="Hoàn thành kỳ")),IF(INDEX('Kế hoạch'!$B$6:$B$305,$O2855)="Đột xuất",INDEX('Kế hoạch'!$AY$6:$AY$305,$O2855),IF(N($P2855)=0,"",IF(INT($B2855)&lt;$P2855,$P2855,IF($Q2855&gt;0,$P2855+ROUND((INT($B2855)-$P2855)/$Q2855,0)*$Q2855,IF($R2855&gt;0,EDATE($P2855,ROUND((DATEDIF($P2855,INT($B2855),"m")+(INT($B2855)-EDATE($P2855,DATEDIF($P2855,INT($B2855),"m")))/(EDATE($P2855,DATEDIF($P2855,INT($B2855),"m")+1)-EDATE($P2855,DATEDIF($P2855,INT($B2855),"m"))))/$R2855,0)*$R2855),$P2855))))),"")))</f>
      </c>
      <c r="M2855" s="223">
        <f>IF(OR($C2855="",N($L2855)=0,N($B2855)=0),"",IF(IF(MOD($L2855,1)=0,INT($B2855),$B2855)&lt;=$L2855,"Đúng hạn","Trễ hạn"))</f>
      </c>
      <c r="N2855" s="225">
        <f>IF($C2855="","",ROW())</f>
      </c>
      <c r="O2855" s="225">
        <f>IF($I2855="Công việc",MATCH($C2855,'Kế hoạch'!$A$6:$A$305,0),"")</f>
      </c>
      <c r="P2855" s="234">
        <f>IF($O2855="","",INDEX('Kế hoạch'!$I$6:$I$305,$O2855))</f>
      </c>
      <c r="Q2855" s="225">
        <f>IF($O2855="","",INDEX('Kế hoạch'!$AJ$6:$AJ$305,$O2855))</f>
      </c>
      <c r="R2855" s="225">
        <f>IF($O2855="","",INDEX('Kế hoạch'!$AK$6:$AK$305,$O2855))</f>
      </c>
    </row>
    <row r="2856">
      <c r="A2856" s="223">
        <f>IF($C2856="","",COUNTIF($C$6:$C2856,"?*"))</f>
      </c>
      <c r="B2856" s="217"/>
      <c r="C2856" s="216"/>
      <c r="D2856" s="240"/>
      <c r="E2856" s="218"/>
      <c r="F2856" s="218"/>
      <c r="G2856" s="218"/>
      <c r="H2856" s="219"/>
      <c r="I2856" s="223">
        <f>IF($C2856="","",IF(ISNUMBER(MATCH($C2856,'Phản ánh'!$A$6:$A$505,0)),"Phản ánh",IF(ISNUMBER(MATCH($C2856,'Kế hoạch'!$A$6:$A$305,0)),"Công việc","Mã chưa có")))</f>
      </c>
      <c r="J2856" s="221">
        <f>IF($I2856="Phản ánh",INDEX('Phản ánh'!$C$6:$C$505,MATCH($C2856,'Phản ánh'!$A$6:$A$505,0)),IF($I2856="Công việc",INDEX('Kế hoạch'!$C$6:$C$305,$O2856),""))</f>
      </c>
      <c r="K2856" s="221">
        <f>IF($I2856="Phản ánh",INDEX('Phản ánh'!$K$6:$K$505,MATCH($C2856,'Phản ánh'!$A$6:$A$505,0))&amp;"",IF($I2856="Công việc",INDEX('Kế hoạch'!$N$6:$N$305,$O2856)&amp;"",""))</f>
      </c>
      <c r="L2856" s="220">
        <f>IF(OR($C2856="",N($B2856)=0),"",IF(AND($I2856="Phản ánh",$E2856="Đã xử lý"),INDEX('Phản ánh'!$U$6:$U$505,MATCH($C2856,'Phản ánh'!$A$6:$A$505,0)),IF(AND($I2856="Công việc",OR($E2856="Hoàn thành",$E2856="Hoàn thành kỳ")),IF(INDEX('Kế hoạch'!$B$6:$B$305,$O2856)="Đột xuất",INDEX('Kế hoạch'!$AY$6:$AY$305,$O2856),IF(N($P2856)=0,"",IF(INT($B2856)&lt;$P2856,$P2856,IF($Q2856&gt;0,$P2856+ROUND((INT($B2856)-$P2856)/$Q2856,0)*$Q2856,IF($R2856&gt;0,EDATE($P2856,ROUND((DATEDIF($P2856,INT($B2856),"m")+(INT($B2856)-EDATE($P2856,DATEDIF($P2856,INT($B2856),"m")))/(EDATE($P2856,DATEDIF($P2856,INT($B2856),"m")+1)-EDATE($P2856,DATEDIF($P2856,INT($B2856),"m"))))/$R2856,0)*$R2856),$P2856))))),"")))</f>
      </c>
      <c r="M2856" s="223">
        <f>IF(OR($C2856="",N($L2856)=0,N($B2856)=0),"",IF(IF(MOD($L2856,1)=0,INT($B2856),$B2856)&lt;=$L2856,"Đúng hạn","Trễ hạn"))</f>
      </c>
      <c r="N2856" s="225">
        <f>IF($C2856="","",ROW())</f>
      </c>
      <c r="O2856" s="225">
        <f>IF($I2856="Công việc",MATCH($C2856,'Kế hoạch'!$A$6:$A$305,0),"")</f>
      </c>
      <c r="P2856" s="234">
        <f>IF($O2856="","",INDEX('Kế hoạch'!$I$6:$I$305,$O2856))</f>
      </c>
      <c r="Q2856" s="225">
        <f>IF($O2856="","",INDEX('Kế hoạch'!$AJ$6:$AJ$305,$O2856))</f>
      </c>
      <c r="R2856" s="225">
        <f>IF($O2856="","",INDEX('Kế hoạch'!$AK$6:$AK$305,$O2856))</f>
      </c>
    </row>
    <row r="2857">
      <c r="A2857" s="223">
        <f>IF($C2857="","",COUNTIF($C$6:$C2857,"?*"))</f>
      </c>
      <c r="B2857" s="217"/>
      <c r="C2857" s="216"/>
      <c r="D2857" s="240"/>
      <c r="E2857" s="218"/>
      <c r="F2857" s="218"/>
      <c r="G2857" s="218"/>
      <c r="H2857" s="219"/>
      <c r="I2857" s="223">
        <f>IF($C2857="","",IF(ISNUMBER(MATCH($C2857,'Phản ánh'!$A$6:$A$505,0)),"Phản ánh",IF(ISNUMBER(MATCH($C2857,'Kế hoạch'!$A$6:$A$305,0)),"Công việc","Mã chưa có")))</f>
      </c>
      <c r="J2857" s="221">
        <f>IF($I2857="Phản ánh",INDEX('Phản ánh'!$C$6:$C$505,MATCH($C2857,'Phản ánh'!$A$6:$A$505,0)),IF($I2857="Công việc",INDEX('Kế hoạch'!$C$6:$C$305,$O2857),""))</f>
      </c>
      <c r="K2857" s="221">
        <f>IF($I2857="Phản ánh",INDEX('Phản ánh'!$K$6:$K$505,MATCH($C2857,'Phản ánh'!$A$6:$A$505,0))&amp;"",IF($I2857="Công việc",INDEX('Kế hoạch'!$N$6:$N$305,$O2857)&amp;"",""))</f>
      </c>
      <c r="L2857" s="220">
        <f>IF(OR($C2857="",N($B2857)=0),"",IF(AND($I2857="Phản ánh",$E2857="Đã xử lý"),INDEX('Phản ánh'!$U$6:$U$505,MATCH($C2857,'Phản ánh'!$A$6:$A$505,0)),IF(AND($I2857="Công việc",OR($E2857="Hoàn thành",$E2857="Hoàn thành kỳ")),IF(INDEX('Kế hoạch'!$B$6:$B$305,$O2857)="Đột xuất",INDEX('Kế hoạch'!$AY$6:$AY$305,$O2857),IF(N($P2857)=0,"",IF(INT($B2857)&lt;$P2857,$P2857,IF($Q2857&gt;0,$P2857+ROUND((INT($B2857)-$P2857)/$Q2857,0)*$Q2857,IF($R2857&gt;0,EDATE($P2857,ROUND((DATEDIF($P2857,INT($B2857),"m")+(INT($B2857)-EDATE($P2857,DATEDIF($P2857,INT($B2857),"m")))/(EDATE($P2857,DATEDIF($P2857,INT($B2857),"m")+1)-EDATE($P2857,DATEDIF($P2857,INT($B2857),"m"))))/$R2857,0)*$R2857),$P2857))))),"")))</f>
      </c>
      <c r="M2857" s="223">
        <f>IF(OR($C2857="",N($L2857)=0,N($B2857)=0),"",IF(IF(MOD($L2857,1)=0,INT($B2857),$B2857)&lt;=$L2857,"Đúng hạn","Trễ hạn"))</f>
      </c>
      <c r="N2857" s="225">
        <f>IF($C2857="","",ROW())</f>
      </c>
      <c r="O2857" s="225">
        <f>IF($I2857="Công việc",MATCH($C2857,'Kế hoạch'!$A$6:$A$305,0),"")</f>
      </c>
      <c r="P2857" s="234">
        <f>IF($O2857="","",INDEX('Kế hoạch'!$I$6:$I$305,$O2857))</f>
      </c>
      <c r="Q2857" s="225">
        <f>IF($O2857="","",INDEX('Kế hoạch'!$AJ$6:$AJ$305,$O2857))</f>
      </c>
      <c r="R2857" s="225">
        <f>IF($O2857="","",INDEX('Kế hoạch'!$AK$6:$AK$305,$O2857))</f>
      </c>
    </row>
    <row r="2858">
      <c r="A2858" s="223">
        <f>IF($C2858="","",COUNTIF($C$6:$C2858,"?*"))</f>
      </c>
      <c r="B2858" s="217"/>
      <c r="C2858" s="216"/>
      <c r="D2858" s="240"/>
      <c r="E2858" s="218"/>
      <c r="F2858" s="218"/>
      <c r="G2858" s="218"/>
      <c r="H2858" s="219"/>
      <c r="I2858" s="223">
        <f>IF($C2858="","",IF(ISNUMBER(MATCH($C2858,'Phản ánh'!$A$6:$A$505,0)),"Phản ánh",IF(ISNUMBER(MATCH($C2858,'Kế hoạch'!$A$6:$A$305,0)),"Công việc","Mã chưa có")))</f>
      </c>
      <c r="J2858" s="221">
        <f>IF($I2858="Phản ánh",INDEX('Phản ánh'!$C$6:$C$505,MATCH($C2858,'Phản ánh'!$A$6:$A$505,0)),IF($I2858="Công việc",INDEX('Kế hoạch'!$C$6:$C$305,$O2858),""))</f>
      </c>
      <c r="K2858" s="221">
        <f>IF($I2858="Phản ánh",INDEX('Phản ánh'!$K$6:$K$505,MATCH($C2858,'Phản ánh'!$A$6:$A$505,0))&amp;"",IF($I2858="Công việc",INDEX('Kế hoạch'!$N$6:$N$305,$O2858)&amp;"",""))</f>
      </c>
      <c r="L2858" s="220">
        <f>IF(OR($C2858="",N($B2858)=0),"",IF(AND($I2858="Phản ánh",$E2858="Đã xử lý"),INDEX('Phản ánh'!$U$6:$U$505,MATCH($C2858,'Phản ánh'!$A$6:$A$505,0)),IF(AND($I2858="Công việc",OR($E2858="Hoàn thành",$E2858="Hoàn thành kỳ")),IF(INDEX('Kế hoạch'!$B$6:$B$305,$O2858)="Đột xuất",INDEX('Kế hoạch'!$AY$6:$AY$305,$O2858),IF(N($P2858)=0,"",IF(INT($B2858)&lt;$P2858,$P2858,IF($Q2858&gt;0,$P2858+ROUND((INT($B2858)-$P2858)/$Q2858,0)*$Q2858,IF($R2858&gt;0,EDATE($P2858,ROUND((DATEDIF($P2858,INT($B2858),"m")+(INT($B2858)-EDATE($P2858,DATEDIF($P2858,INT($B2858),"m")))/(EDATE($P2858,DATEDIF($P2858,INT($B2858),"m")+1)-EDATE($P2858,DATEDIF($P2858,INT($B2858),"m"))))/$R2858,0)*$R2858),$P2858))))),"")))</f>
      </c>
      <c r="M2858" s="223">
        <f>IF(OR($C2858="",N($L2858)=0,N($B2858)=0),"",IF(IF(MOD($L2858,1)=0,INT($B2858),$B2858)&lt;=$L2858,"Đúng hạn","Trễ hạn"))</f>
      </c>
      <c r="N2858" s="225">
        <f>IF($C2858="","",ROW())</f>
      </c>
      <c r="O2858" s="225">
        <f>IF($I2858="Công việc",MATCH($C2858,'Kế hoạch'!$A$6:$A$305,0),"")</f>
      </c>
      <c r="P2858" s="234">
        <f>IF($O2858="","",INDEX('Kế hoạch'!$I$6:$I$305,$O2858))</f>
      </c>
      <c r="Q2858" s="225">
        <f>IF($O2858="","",INDEX('Kế hoạch'!$AJ$6:$AJ$305,$O2858))</f>
      </c>
      <c r="R2858" s="225">
        <f>IF($O2858="","",INDEX('Kế hoạch'!$AK$6:$AK$305,$O2858))</f>
      </c>
    </row>
    <row r="2859">
      <c r="A2859" s="223">
        <f>IF($C2859="","",COUNTIF($C$6:$C2859,"?*"))</f>
      </c>
      <c r="B2859" s="217"/>
      <c r="C2859" s="216"/>
      <c r="D2859" s="240"/>
      <c r="E2859" s="218"/>
      <c r="F2859" s="218"/>
      <c r="G2859" s="218"/>
      <c r="H2859" s="219"/>
      <c r="I2859" s="223">
        <f>IF($C2859="","",IF(ISNUMBER(MATCH($C2859,'Phản ánh'!$A$6:$A$505,0)),"Phản ánh",IF(ISNUMBER(MATCH($C2859,'Kế hoạch'!$A$6:$A$305,0)),"Công việc","Mã chưa có")))</f>
      </c>
      <c r="J2859" s="221">
        <f>IF($I2859="Phản ánh",INDEX('Phản ánh'!$C$6:$C$505,MATCH($C2859,'Phản ánh'!$A$6:$A$505,0)),IF($I2859="Công việc",INDEX('Kế hoạch'!$C$6:$C$305,$O2859),""))</f>
      </c>
      <c r="K2859" s="221">
        <f>IF($I2859="Phản ánh",INDEX('Phản ánh'!$K$6:$K$505,MATCH($C2859,'Phản ánh'!$A$6:$A$505,0))&amp;"",IF($I2859="Công việc",INDEX('Kế hoạch'!$N$6:$N$305,$O2859)&amp;"",""))</f>
      </c>
      <c r="L2859" s="220">
        <f>IF(OR($C2859="",N($B2859)=0),"",IF(AND($I2859="Phản ánh",$E2859="Đã xử lý"),INDEX('Phản ánh'!$U$6:$U$505,MATCH($C2859,'Phản ánh'!$A$6:$A$505,0)),IF(AND($I2859="Công việc",OR($E2859="Hoàn thành",$E2859="Hoàn thành kỳ")),IF(INDEX('Kế hoạch'!$B$6:$B$305,$O2859)="Đột xuất",INDEX('Kế hoạch'!$AY$6:$AY$305,$O2859),IF(N($P2859)=0,"",IF(INT($B2859)&lt;$P2859,$P2859,IF($Q2859&gt;0,$P2859+ROUND((INT($B2859)-$P2859)/$Q2859,0)*$Q2859,IF($R2859&gt;0,EDATE($P2859,ROUND((DATEDIF($P2859,INT($B2859),"m")+(INT($B2859)-EDATE($P2859,DATEDIF($P2859,INT($B2859),"m")))/(EDATE($P2859,DATEDIF($P2859,INT($B2859),"m")+1)-EDATE($P2859,DATEDIF($P2859,INT($B2859),"m"))))/$R2859,0)*$R2859),$P2859))))),"")))</f>
      </c>
      <c r="M2859" s="223">
        <f>IF(OR($C2859="",N($L2859)=0,N($B2859)=0),"",IF(IF(MOD($L2859,1)=0,INT($B2859),$B2859)&lt;=$L2859,"Đúng hạn","Trễ hạn"))</f>
      </c>
      <c r="N2859" s="225">
        <f>IF($C2859="","",ROW())</f>
      </c>
      <c r="O2859" s="225">
        <f>IF($I2859="Công việc",MATCH($C2859,'Kế hoạch'!$A$6:$A$305,0),"")</f>
      </c>
      <c r="P2859" s="234">
        <f>IF($O2859="","",INDEX('Kế hoạch'!$I$6:$I$305,$O2859))</f>
      </c>
      <c r="Q2859" s="225">
        <f>IF($O2859="","",INDEX('Kế hoạch'!$AJ$6:$AJ$305,$O2859))</f>
      </c>
      <c r="R2859" s="225">
        <f>IF($O2859="","",INDEX('Kế hoạch'!$AK$6:$AK$305,$O2859))</f>
      </c>
    </row>
    <row r="2860">
      <c r="A2860" s="223">
        <f>IF($C2860="","",COUNTIF($C$6:$C2860,"?*"))</f>
      </c>
      <c r="B2860" s="217"/>
      <c r="C2860" s="216"/>
      <c r="D2860" s="240"/>
      <c r="E2860" s="218"/>
      <c r="F2860" s="218"/>
      <c r="G2860" s="218"/>
      <c r="H2860" s="219"/>
      <c r="I2860" s="223">
        <f>IF($C2860="","",IF(ISNUMBER(MATCH($C2860,'Phản ánh'!$A$6:$A$505,0)),"Phản ánh",IF(ISNUMBER(MATCH($C2860,'Kế hoạch'!$A$6:$A$305,0)),"Công việc","Mã chưa có")))</f>
      </c>
      <c r="J2860" s="221">
        <f>IF($I2860="Phản ánh",INDEX('Phản ánh'!$C$6:$C$505,MATCH($C2860,'Phản ánh'!$A$6:$A$505,0)),IF($I2860="Công việc",INDEX('Kế hoạch'!$C$6:$C$305,$O2860),""))</f>
      </c>
      <c r="K2860" s="221">
        <f>IF($I2860="Phản ánh",INDEX('Phản ánh'!$K$6:$K$505,MATCH($C2860,'Phản ánh'!$A$6:$A$505,0))&amp;"",IF($I2860="Công việc",INDEX('Kế hoạch'!$N$6:$N$305,$O2860)&amp;"",""))</f>
      </c>
      <c r="L2860" s="220">
        <f>IF(OR($C2860="",N($B2860)=0),"",IF(AND($I2860="Phản ánh",$E2860="Đã xử lý"),INDEX('Phản ánh'!$U$6:$U$505,MATCH($C2860,'Phản ánh'!$A$6:$A$505,0)),IF(AND($I2860="Công việc",OR($E2860="Hoàn thành",$E2860="Hoàn thành kỳ")),IF(INDEX('Kế hoạch'!$B$6:$B$305,$O2860)="Đột xuất",INDEX('Kế hoạch'!$AY$6:$AY$305,$O2860),IF(N($P2860)=0,"",IF(INT($B2860)&lt;$P2860,$P2860,IF($Q2860&gt;0,$P2860+ROUND((INT($B2860)-$P2860)/$Q2860,0)*$Q2860,IF($R2860&gt;0,EDATE($P2860,ROUND((DATEDIF($P2860,INT($B2860),"m")+(INT($B2860)-EDATE($P2860,DATEDIF($P2860,INT($B2860),"m")))/(EDATE($P2860,DATEDIF($P2860,INT($B2860),"m")+1)-EDATE($P2860,DATEDIF($P2860,INT($B2860),"m"))))/$R2860,0)*$R2860),$P2860))))),"")))</f>
      </c>
      <c r="M2860" s="223">
        <f>IF(OR($C2860="",N($L2860)=0,N($B2860)=0),"",IF(IF(MOD($L2860,1)=0,INT($B2860),$B2860)&lt;=$L2860,"Đúng hạn","Trễ hạn"))</f>
      </c>
      <c r="N2860" s="225">
        <f>IF($C2860="","",ROW())</f>
      </c>
      <c r="O2860" s="225">
        <f>IF($I2860="Công việc",MATCH($C2860,'Kế hoạch'!$A$6:$A$305,0),"")</f>
      </c>
      <c r="P2860" s="234">
        <f>IF($O2860="","",INDEX('Kế hoạch'!$I$6:$I$305,$O2860))</f>
      </c>
      <c r="Q2860" s="225">
        <f>IF($O2860="","",INDEX('Kế hoạch'!$AJ$6:$AJ$305,$O2860))</f>
      </c>
      <c r="R2860" s="225">
        <f>IF($O2860="","",INDEX('Kế hoạch'!$AK$6:$AK$305,$O2860))</f>
      </c>
    </row>
    <row r="2861">
      <c r="A2861" s="223">
        <f>IF($C2861="","",COUNTIF($C$6:$C2861,"?*"))</f>
      </c>
      <c r="B2861" s="217"/>
      <c r="C2861" s="216"/>
      <c r="D2861" s="240"/>
      <c r="E2861" s="218"/>
      <c r="F2861" s="218"/>
      <c r="G2861" s="218"/>
      <c r="H2861" s="219"/>
      <c r="I2861" s="223">
        <f>IF($C2861="","",IF(ISNUMBER(MATCH($C2861,'Phản ánh'!$A$6:$A$505,0)),"Phản ánh",IF(ISNUMBER(MATCH($C2861,'Kế hoạch'!$A$6:$A$305,0)),"Công việc","Mã chưa có")))</f>
      </c>
      <c r="J2861" s="221">
        <f>IF($I2861="Phản ánh",INDEX('Phản ánh'!$C$6:$C$505,MATCH($C2861,'Phản ánh'!$A$6:$A$505,0)),IF($I2861="Công việc",INDEX('Kế hoạch'!$C$6:$C$305,$O2861),""))</f>
      </c>
      <c r="K2861" s="221">
        <f>IF($I2861="Phản ánh",INDEX('Phản ánh'!$K$6:$K$505,MATCH($C2861,'Phản ánh'!$A$6:$A$505,0))&amp;"",IF($I2861="Công việc",INDEX('Kế hoạch'!$N$6:$N$305,$O2861)&amp;"",""))</f>
      </c>
      <c r="L2861" s="220">
        <f>IF(OR($C2861="",N($B2861)=0),"",IF(AND($I2861="Phản ánh",$E2861="Đã xử lý"),INDEX('Phản ánh'!$U$6:$U$505,MATCH($C2861,'Phản ánh'!$A$6:$A$505,0)),IF(AND($I2861="Công việc",OR($E2861="Hoàn thành",$E2861="Hoàn thành kỳ")),IF(INDEX('Kế hoạch'!$B$6:$B$305,$O2861)="Đột xuất",INDEX('Kế hoạch'!$AY$6:$AY$305,$O2861),IF(N($P2861)=0,"",IF(INT($B2861)&lt;$P2861,$P2861,IF($Q2861&gt;0,$P2861+ROUND((INT($B2861)-$P2861)/$Q2861,0)*$Q2861,IF($R2861&gt;0,EDATE($P2861,ROUND((DATEDIF($P2861,INT($B2861),"m")+(INT($B2861)-EDATE($P2861,DATEDIF($P2861,INT($B2861),"m")))/(EDATE($P2861,DATEDIF($P2861,INT($B2861),"m")+1)-EDATE($P2861,DATEDIF($P2861,INT($B2861),"m"))))/$R2861,0)*$R2861),$P2861))))),"")))</f>
      </c>
      <c r="M2861" s="223">
        <f>IF(OR($C2861="",N($L2861)=0,N($B2861)=0),"",IF(IF(MOD($L2861,1)=0,INT($B2861),$B2861)&lt;=$L2861,"Đúng hạn","Trễ hạn"))</f>
      </c>
      <c r="N2861" s="225">
        <f>IF($C2861="","",ROW())</f>
      </c>
      <c r="O2861" s="225">
        <f>IF($I2861="Công việc",MATCH($C2861,'Kế hoạch'!$A$6:$A$305,0),"")</f>
      </c>
      <c r="P2861" s="234">
        <f>IF($O2861="","",INDEX('Kế hoạch'!$I$6:$I$305,$O2861))</f>
      </c>
      <c r="Q2861" s="225">
        <f>IF($O2861="","",INDEX('Kế hoạch'!$AJ$6:$AJ$305,$O2861))</f>
      </c>
      <c r="R2861" s="225">
        <f>IF($O2861="","",INDEX('Kế hoạch'!$AK$6:$AK$305,$O2861))</f>
      </c>
    </row>
    <row r="2862">
      <c r="A2862" s="223">
        <f>IF($C2862="","",COUNTIF($C$6:$C2862,"?*"))</f>
      </c>
      <c r="B2862" s="217"/>
      <c r="C2862" s="216"/>
      <c r="D2862" s="240"/>
      <c r="E2862" s="218"/>
      <c r="F2862" s="218"/>
      <c r="G2862" s="218"/>
      <c r="H2862" s="219"/>
      <c r="I2862" s="223">
        <f>IF($C2862="","",IF(ISNUMBER(MATCH($C2862,'Phản ánh'!$A$6:$A$505,0)),"Phản ánh",IF(ISNUMBER(MATCH($C2862,'Kế hoạch'!$A$6:$A$305,0)),"Công việc","Mã chưa có")))</f>
      </c>
      <c r="J2862" s="221">
        <f>IF($I2862="Phản ánh",INDEX('Phản ánh'!$C$6:$C$505,MATCH($C2862,'Phản ánh'!$A$6:$A$505,0)),IF($I2862="Công việc",INDEX('Kế hoạch'!$C$6:$C$305,$O2862),""))</f>
      </c>
      <c r="K2862" s="221">
        <f>IF($I2862="Phản ánh",INDEX('Phản ánh'!$K$6:$K$505,MATCH($C2862,'Phản ánh'!$A$6:$A$505,0))&amp;"",IF($I2862="Công việc",INDEX('Kế hoạch'!$N$6:$N$305,$O2862)&amp;"",""))</f>
      </c>
      <c r="L2862" s="220">
        <f>IF(OR($C2862="",N($B2862)=0),"",IF(AND($I2862="Phản ánh",$E2862="Đã xử lý"),INDEX('Phản ánh'!$U$6:$U$505,MATCH($C2862,'Phản ánh'!$A$6:$A$505,0)),IF(AND($I2862="Công việc",OR($E2862="Hoàn thành",$E2862="Hoàn thành kỳ")),IF(INDEX('Kế hoạch'!$B$6:$B$305,$O2862)="Đột xuất",INDEX('Kế hoạch'!$AY$6:$AY$305,$O2862),IF(N($P2862)=0,"",IF(INT($B2862)&lt;$P2862,$P2862,IF($Q2862&gt;0,$P2862+ROUND((INT($B2862)-$P2862)/$Q2862,0)*$Q2862,IF($R2862&gt;0,EDATE($P2862,ROUND((DATEDIF($P2862,INT($B2862),"m")+(INT($B2862)-EDATE($P2862,DATEDIF($P2862,INT($B2862),"m")))/(EDATE($P2862,DATEDIF($P2862,INT($B2862),"m")+1)-EDATE($P2862,DATEDIF($P2862,INT($B2862),"m"))))/$R2862,0)*$R2862),$P2862))))),"")))</f>
      </c>
      <c r="M2862" s="223">
        <f>IF(OR($C2862="",N($L2862)=0,N($B2862)=0),"",IF(IF(MOD($L2862,1)=0,INT($B2862),$B2862)&lt;=$L2862,"Đúng hạn","Trễ hạn"))</f>
      </c>
      <c r="N2862" s="225">
        <f>IF($C2862="","",ROW())</f>
      </c>
      <c r="O2862" s="225">
        <f>IF($I2862="Công việc",MATCH($C2862,'Kế hoạch'!$A$6:$A$305,0),"")</f>
      </c>
      <c r="P2862" s="234">
        <f>IF($O2862="","",INDEX('Kế hoạch'!$I$6:$I$305,$O2862))</f>
      </c>
      <c r="Q2862" s="225">
        <f>IF($O2862="","",INDEX('Kế hoạch'!$AJ$6:$AJ$305,$O2862))</f>
      </c>
      <c r="R2862" s="225">
        <f>IF($O2862="","",INDEX('Kế hoạch'!$AK$6:$AK$305,$O2862))</f>
      </c>
    </row>
    <row r="2863">
      <c r="A2863" s="223">
        <f>IF($C2863="","",COUNTIF($C$6:$C2863,"?*"))</f>
      </c>
      <c r="B2863" s="217"/>
      <c r="C2863" s="216"/>
      <c r="D2863" s="240"/>
      <c r="E2863" s="218"/>
      <c r="F2863" s="218"/>
      <c r="G2863" s="218"/>
      <c r="H2863" s="219"/>
      <c r="I2863" s="223">
        <f>IF($C2863="","",IF(ISNUMBER(MATCH($C2863,'Phản ánh'!$A$6:$A$505,0)),"Phản ánh",IF(ISNUMBER(MATCH($C2863,'Kế hoạch'!$A$6:$A$305,0)),"Công việc","Mã chưa có")))</f>
      </c>
      <c r="J2863" s="221">
        <f>IF($I2863="Phản ánh",INDEX('Phản ánh'!$C$6:$C$505,MATCH($C2863,'Phản ánh'!$A$6:$A$505,0)),IF($I2863="Công việc",INDEX('Kế hoạch'!$C$6:$C$305,$O2863),""))</f>
      </c>
      <c r="K2863" s="221">
        <f>IF($I2863="Phản ánh",INDEX('Phản ánh'!$K$6:$K$505,MATCH($C2863,'Phản ánh'!$A$6:$A$505,0))&amp;"",IF($I2863="Công việc",INDEX('Kế hoạch'!$N$6:$N$305,$O2863)&amp;"",""))</f>
      </c>
      <c r="L2863" s="220">
        <f>IF(OR($C2863="",N($B2863)=0),"",IF(AND($I2863="Phản ánh",$E2863="Đã xử lý"),INDEX('Phản ánh'!$U$6:$U$505,MATCH($C2863,'Phản ánh'!$A$6:$A$505,0)),IF(AND($I2863="Công việc",OR($E2863="Hoàn thành",$E2863="Hoàn thành kỳ")),IF(INDEX('Kế hoạch'!$B$6:$B$305,$O2863)="Đột xuất",INDEX('Kế hoạch'!$AY$6:$AY$305,$O2863),IF(N($P2863)=0,"",IF(INT($B2863)&lt;$P2863,$P2863,IF($Q2863&gt;0,$P2863+ROUND((INT($B2863)-$P2863)/$Q2863,0)*$Q2863,IF($R2863&gt;0,EDATE($P2863,ROUND((DATEDIF($P2863,INT($B2863),"m")+(INT($B2863)-EDATE($P2863,DATEDIF($P2863,INT($B2863),"m")))/(EDATE($P2863,DATEDIF($P2863,INT($B2863),"m")+1)-EDATE($P2863,DATEDIF($P2863,INT($B2863),"m"))))/$R2863,0)*$R2863),$P2863))))),"")))</f>
      </c>
      <c r="M2863" s="223">
        <f>IF(OR($C2863="",N($L2863)=0,N($B2863)=0),"",IF(IF(MOD($L2863,1)=0,INT($B2863),$B2863)&lt;=$L2863,"Đúng hạn","Trễ hạn"))</f>
      </c>
      <c r="N2863" s="225">
        <f>IF($C2863="","",ROW())</f>
      </c>
      <c r="O2863" s="225">
        <f>IF($I2863="Công việc",MATCH($C2863,'Kế hoạch'!$A$6:$A$305,0),"")</f>
      </c>
      <c r="P2863" s="234">
        <f>IF($O2863="","",INDEX('Kế hoạch'!$I$6:$I$305,$O2863))</f>
      </c>
      <c r="Q2863" s="225">
        <f>IF($O2863="","",INDEX('Kế hoạch'!$AJ$6:$AJ$305,$O2863))</f>
      </c>
      <c r="R2863" s="225">
        <f>IF($O2863="","",INDEX('Kế hoạch'!$AK$6:$AK$305,$O2863))</f>
      </c>
    </row>
    <row r="2864">
      <c r="A2864" s="223">
        <f>IF($C2864="","",COUNTIF($C$6:$C2864,"?*"))</f>
      </c>
      <c r="B2864" s="217"/>
      <c r="C2864" s="216"/>
      <c r="D2864" s="240"/>
      <c r="E2864" s="218"/>
      <c r="F2864" s="218"/>
      <c r="G2864" s="218"/>
      <c r="H2864" s="219"/>
      <c r="I2864" s="223">
        <f>IF($C2864="","",IF(ISNUMBER(MATCH($C2864,'Phản ánh'!$A$6:$A$505,0)),"Phản ánh",IF(ISNUMBER(MATCH($C2864,'Kế hoạch'!$A$6:$A$305,0)),"Công việc","Mã chưa có")))</f>
      </c>
      <c r="J2864" s="221">
        <f>IF($I2864="Phản ánh",INDEX('Phản ánh'!$C$6:$C$505,MATCH($C2864,'Phản ánh'!$A$6:$A$505,0)),IF($I2864="Công việc",INDEX('Kế hoạch'!$C$6:$C$305,$O2864),""))</f>
      </c>
      <c r="K2864" s="221">
        <f>IF($I2864="Phản ánh",INDEX('Phản ánh'!$K$6:$K$505,MATCH($C2864,'Phản ánh'!$A$6:$A$505,0))&amp;"",IF($I2864="Công việc",INDEX('Kế hoạch'!$N$6:$N$305,$O2864)&amp;"",""))</f>
      </c>
      <c r="L2864" s="220">
        <f>IF(OR($C2864="",N($B2864)=0),"",IF(AND($I2864="Phản ánh",$E2864="Đã xử lý"),INDEX('Phản ánh'!$U$6:$U$505,MATCH($C2864,'Phản ánh'!$A$6:$A$505,0)),IF(AND($I2864="Công việc",OR($E2864="Hoàn thành",$E2864="Hoàn thành kỳ")),IF(INDEX('Kế hoạch'!$B$6:$B$305,$O2864)="Đột xuất",INDEX('Kế hoạch'!$AY$6:$AY$305,$O2864),IF(N($P2864)=0,"",IF(INT($B2864)&lt;$P2864,$P2864,IF($Q2864&gt;0,$P2864+ROUND((INT($B2864)-$P2864)/$Q2864,0)*$Q2864,IF($R2864&gt;0,EDATE($P2864,ROUND((DATEDIF($P2864,INT($B2864),"m")+(INT($B2864)-EDATE($P2864,DATEDIF($P2864,INT($B2864),"m")))/(EDATE($P2864,DATEDIF($P2864,INT($B2864),"m")+1)-EDATE($P2864,DATEDIF($P2864,INT($B2864),"m"))))/$R2864,0)*$R2864),$P2864))))),"")))</f>
      </c>
      <c r="M2864" s="223">
        <f>IF(OR($C2864="",N($L2864)=0,N($B2864)=0),"",IF(IF(MOD($L2864,1)=0,INT($B2864),$B2864)&lt;=$L2864,"Đúng hạn","Trễ hạn"))</f>
      </c>
      <c r="N2864" s="225">
        <f>IF($C2864="","",ROW())</f>
      </c>
      <c r="O2864" s="225">
        <f>IF($I2864="Công việc",MATCH($C2864,'Kế hoạch'!$A$6:$A$305,0),"")</f>
      </c>
      <c r="P2864" s="234">
        <f>IF($O2864="","",INDEX('Kế hoạch'!$I$6:$I$305,$O2864))</f>
      </c>
      <c r="Q2864" s="225">
        <f>IF($O2864="","",INDEX('Kế hoạch'!$AJ$6:$AJ$305,$O2864))</f>
      </c>
      <c r="R2864" s="225">
        <f>IF($O2864="","",INDEX('Kế hoạch'!$AK$6:$AK$305,$O2864))</f>
      </c>
    </row>
    <row r="2865">
      <c r="A2865" s="223">
        <f>IF($C2865="","",COUNTIF($C$6:$C2865,"?*"))</f>
      </c>
      <c r="B2865" s="217"/>
      <c r="C2865" s="216"/>
      <c r="D2865" s="240"/>
      <c r="E2865" s="218"/>
      <c r="F2865" s="218"/>
      <c r="G2865" s="218"/>
      <c r="H2865" s="219"/>
      <c r="I2865" s="223">
        <f>IF($C2865="","",IF(ISNUMBER(MATCH($C2865,'Phản ánh'!$A$6:$A$505,0)),"Phản ánh",IF(ISNUMBER(MATCH($C2865,'Kế hoạch'!$A$6:$A$305,0)),"Công việc","Mã chưa có")))</f>
      </c>
      <c r="J2865" s="221">
        <f>IF($I2865="Phản ánh",INDEX('Phản ánh'!$C$6:$C$505,MATCH($C2865,'Phản ánh'!$A$6:$A$505,0)),IF($I2865="Công việc",INDEX('Kế hoạch'!$C$6:$C$305,$O2865),""))</f>
      </c>
      <c r="K2865" s="221">
        <f>IF($I2865="Phản ánh",INDEX('Phản ánh'!$K$6:$K$505,MATCH($C2865,'Phản ánh'!$A$6:$A$505,0))&amp;"",IF($I2865="Công việc",INDEX('Kế hoạch'!$N$6:$N$305,$O2865)&amp;"",""))</f>
      </c>
      <c r="L2865" s="220">
        <f>IF(OR($C2865="",N($B2865)=0),"",IF(AND($I2865="Phản ánh",$E2865="Đã xử lý"),INDEX('Phản ánh'!$U$6:$U$505,MATCH($C2865,'Phản ánh'!$A$6:$A$505,0)),IF(AND($I2865="Công việc",OR($E2865="Hoàn thành",$E2865="Hoàn thành kỳ")),IF(INDEX('Kế hoạch'!$B$6:$B$305,$O2865)="Đột xuất",INDEX('Kế hoạch'!$AY$6:$AY$305,$O2865),IF(N($P2865)=0,"",IF(INT($B2865)&lt;$P2865,$P2865,IF($Q2865&gt;0,$P2865+ROUND((INT($B2865)-$P2865)/$Q2865,0)*$Q2865,IF($R2865&gt;0,EDATE($P2865,ROUND((DATEDIF($P2865,INT($B2865),"m")+(INT($B2865)-EDATE($P2865,DATEDIF($P2865,INT($B2865),"m")))/(EDATE($P2865,DATEDIF($P2865,INT($B2865),"m")+1)-EDATE($P2865,DATEDIF($P2865,INT($B2865),"m"))))/$R2865,0)*$R2865),$P2865))))),"")))</f>
      </c>
      <c r="M2865" s="223">
        <f>IF(OR($C2865="",N($L2865)=0,N($B2865)=0),"",IF(IF(MOD($L2865,1)=0,INT($B2865),$B2865)&lt;=$L2865,"Đúng hạn","Trễ hạn"))</f>
      </c>
      <c r="N2865" s="225">
        <f>IF($C2865="","",ROW())</f>
      </c>
      <c r="O2865" s="225">
        <f>IF($I2865="Công việc",MATCH($C2865,'Kế hoạch'!$A$6:$A$305,0),"")</f>
      </c>
      <c r="P2865" s="234">
        <f>IF($O2865="","",INDEX('Kế hoạch'!$I$6:$I$305,$O2865))</f>
      </c>
      <c r="Q2865" s="225">
        <f>IF($O2865="","",INDEX('Kế hoạch'!$AJ$6:$AJ$305,$O2865))</f>
      </c>
      <c r="R2865" s="225">
        <f>IF($O2865="","",INDEX('Kế hoạch'!$AK$6:$AK$305,$O2865))</f>
      </c>
    </row>
    <row r="2866">
      <c r="A2866" s="223">
        <f>IF($C2866="","",COUNTIF($C$6:$C2866,"?*"))</f>
      </c>
      <c r="B2866" s="217"/>
      <c r="C2866" s="216"/>
      <c r="D2866" s="240"/>
      <c r="E2866" s="218"/>
      <c r="F2866" s="218"/>
      <c r="G2866" s="218"/>
      <c r="H2866" s="219"/>
      <c r="I2866" s="223">
        <f>IF($C2866="","",IF(ISNUMBER(MATCH($C2866,'Phản ánh'!$A$6:$A$505,0)),"Phản ánh",IF(ISNUMBER(MATCH($C2866,'Kế hoạch'!$A$6:$A$305,0)),"Công việc","Mã chưa có")))</f>
      </c>
      <c r="J2866" s="221">
        <f>IF($I2866="Phản ánh",INDEX('Phản ánh'!$C$6:$C$505,MATCH($C2866,'Phản ánh'!$A$6:$A$505,0)),IF($I2866="Công việc",INDEX('Kế hoạch'!$C$6:$C$305,$O2866),""))</f>
      </c>
      <c r="K2866" s="221">
        <f>IF($I2866="Phản ánh",INDEX('Phản ánh'!$K$6:$K$505,MATCH($C2866,'Phản ánh'!$A$6:$A$505,0))&amp;"",IF($I2866="Công việc",INDEX('Kế hoạch'!$N$6:$N$305,$O2866)&amp;"",""))</f>
      </c>
      <c r="L2866" s="220">
        <f>IF(OR($C2866="",N($B2866)=0),"",IF(AND($I2866="Phản ánh",$E2866="Đã xử lý"),INDEX('Phản ánh'!$U$6:$U$505,MATCH($C2866,'Phản ánh'!$A$6:$A$505,0)),IF(AND($I2866="Công việc",OR($E2866="Hoàn thành",$E2866="Hoàn thành kỳ")),IF(INDEX('Kế hoạch'!$B$6:$B$305,$O2866)="Đột xuất",INDEX('Kế hoạch'!$AY$6:$AY$305,$O2866),IF(N($P2866)=0,"",IF(INT($B2866)&lt;$P2866,$P2866,IF($Q2866&gt;0,$P2866+ROUND((INT($B2866)-$P2866)/$Q2866,0)*$Q2866,IF($R2866&gt;0,EDATE($P2866,ROUND((DATEDIF($P2866,INT($B2866),"m")+(INT($B2866)-EDATE($P2866,DATEDIF($P2866,INT($B2866),"m")))/(EDATE($P2866,DATEDIF($P2866,INT($B2866),"m")+1)-EDATE($P2866,DATEDIF($P2866,INT($B2866),"m"))))/$R2866,0)*$R2866),$P2866))))),"")))</f>
      </c>
      <c r="M2866" s="223">
        <f>IF(OR($C2866="",N($L2866)=0,N($B2866)=0),"",IF(IF(MOD($L2866,1)=0,INT($B2866),$B2866)&lt;=$L2866,"Đúng hạn","Trễ hạn"))</f>
      </c>
      <c r="N2866" s="225">
        <f>IF($C2866="","",ROW())</f>
      </c>
      <c r="O2866" s="225">
        <f>IF($I2866="Công việc",MATCH($C2866,'Kế hoạch'!$A$6:$A$305,0),"")</f>
      </c>
      <c r="P2866" s="234">
        <f>IF($O2866="","",INDEX('Kế hoạch'!$I$6:$I$305,$O2866))</f>
      </c>
      <c r="Q2866" s="225">
        <f>IF($O2866="","",INDEX('Kế hoạch'!$AJ$6:$AJ$305,$O2866))</f>
      </c>
      <c r="R2866" s="225">
        <f>IF($O2866="","",INDEX('Kế hoạch'!$AK$6:$AK$305,$O2866))</f>
      </c>
    </row>
    <row r="2867">
      <c r="A2867" s="223">
        <f>IF($C2867="","",COUNTIF($C$6:$C2867,"?*"))</f>
      </c>
      <c r="B2867" s="217"/>
      <c r="C2867" s="216"/>
      <c r="D2867" s="240"/>
      <c r="E2867" s="218"/>
      <c r="F2867" s="218"/>
      <c r="G2867" s="218"/>
      <c r="H2867" s="219"/>
      <c r="I2867" s="223">
        <f>IF($C2867="","",IF(ISNUMBER(MATCH($C2867,'Phản ánh'!$A$6:$A$505,0)),"Phản ánh",IF(ISNUMBER(MATCH($C2867,'Kế hoạch'!$A$6:$A$305,0)),"Công việc","Mã chưa có")))</f>
      </c>
      <c r="J2867" s="221">
        <f>IF($I2867="Phản ánh",INDEX('Phản ánh'!$C$6:$C$505,MATCH($C2867,'Phản ánh'!$A$6:$A$505,0)),IF($I2867="Công việc",INDEX('Kế hoạch'!$C$6:$C$305,$O2867),""))</f>
      </c>
      <c r="K2867" s="221">
        <f>IF($I2867="Phản ánh",INDEX('Phản ánh'!$K$6:$K$505,MATCH($C2867,'Phản ánh'!$A$6:$A$505,0))&amp;"",IF($I2867="Công việc",INDEX('Kế hoạch'!$N$6:$N$305,$O2867)&amp;"",""))</f>
      </c>
      <c r="L2867" s="220">
        <f>IF(OR($C2867="",N($B2867)=0),"",IF(AND($I2867="Phản ánh",$E2867="Đã xử lý"),INDEX('Phản ánh'!$U$6:$U$505,MATCH($C2867,'Phản ánh'!$A$6:$A$505,0)),IF(AND($I2867="Công việc",OR($E2867="Hoàn thành",$E2867="Hoàn thành kỳ")),IF(INDEX('Kế hoạch'!$B$6:$B$305,$O2867)="Đột xuất",INDEX('Kế hoạch'!$AY$6:$AY$305,$O2867),IF(N($P2867)=0,"",IF(INT($B2867)&lt;$P2867,$P2867,IF($Q2867&gt;0,$P2867+ROUND((INT($B2867)-$P2867)/$Q2867,0)*$Q2867,IF($R2867&gt;0,EDATE($P2867,ROUND((DATEDIF($P2867,INT($B2867),"m")+(INT($B2867)-EDATE($P2867,DATEDIF($P2867,INT($B2867),"m")))/(EDATE($P2867,DATEDIF($P2867,INT($B2867),"m")+1)-EDATE($P2867,DATEDIF($P2867,INT($B2867),"m"))))/$R2867,0)*$R2867),$P2867))))),"")))</f>
      </c>
      <c r="M2867" s="223">
        <f>IF(OR($C2867="",N($L2867)=0,N($B2867)=0),"",IF(IF(MOD($L2867,1)=0,INT($B2867),$B2867)&lt;=$L2867,"Đúng hạn","Trễ hạn"))</f>
      </c>
      <c r="N2867" s="225">
        <f>IF($C2867="","",ROW())</f>
      </c>
      <c r="O2867" s="225">
        <f>IF($I2867="Công việc",MATCH($C2867,'Kế hoạch'!$A$6:$A$305,0),"")</f>
      </c>
      <c r="P2867" s="234">
        <f>IF($O2867="","",INDEX('Kế hoạch'!$I$6:$I$305,$O2867))</f>
      </c>
      <c r="Q2867" s="225">
        <f>IF($O2867="","",INDEX('Kế hoạch'!$AJ$6:$AJ$305,$O2867))</f>
      </c>
      <c r="R2867" s="225">
        <f>IF($O2867="","",INDEX('Kế hoạch'!$AK$6:$AK$305,$O2867))</f>
      </c>
    </row>
    <row r="2868">
      <c r="A2868" s="223">
        <f>IF($C2868="","",COUNTIF($C$6:$C2868,"?*"))</f>
      </c>
      <c r="B2868" s="217"/>
      <c r="C2868" s="216"/>
      <c r="D2868" s="240"/>
      <c r="E2868" s="218"/>
      <c r="F2868" s="218"/>
      <c r="G2868" s="218"/>
      <c r="H2868" s="219"/>
      <c r="I2868" s="223">
        <f>IF($C2868="","",IF(ISNUMBER(MATCH($C2868,'Phản ánh'!$A$6:$A$505,0)),"Phản ánh",IF(ISNUMBER(MATCH($C2868,'Kế hoạch'!$A$6:$A$305,0)),"Công việc","Mã chưa có")))</f>
      </c>
      <c r="J2868" s="221">
        <f>IF($I2868="Phản ánh",INDEX('Phản ánh'!$C$6:$C$505,MATCH($C2868,'Phản ánh'!$A$6:$A$505,0)),IF($I2868="Công việc",INDEX('Kế hoạch'!$C$6:$C$305,$O2868),""))</f>
      </c>
      <c r="K2868" s="221">
        <f>IF($I2868="Phản ánh",INDEX('Phản ánh'!$K$6:$K$505,MATCH($C2868,'Phản ánh'!$A$6:$A$505,0))&amp;"",IF($I2868="Công việc",INDEX('Kế hoạch'!$N$6:$N$305,$O2868)&amp;"",""))</f>
      </c>
      <c r="L2868" s="220">
        <f>IF(OR($C2868="",N($B2868)=0),"",IF(AND($I2868="Phản ánh",$E2868="Đã xử lý"),INDEX('Phản ánh'!$U$6:$U$505,MATCH($C2868,'Phản ánh'!$A$6:$A$505,0)),IF(AND($I2868="Công việc",OR($E2868="Hoàn thành",$E2868="Hoàn thành kỳ")),IF(INDEX('Kế hoạch'!$B$6:$B$305,$O2868)="Đột xuất",INDEX('Kế hoạch'!$AY$6:$AY$305,$O2868),IF(N($P2868)=0,"",IF(INT($B2868)&lt;$P2868,$P2868,IF($Q2868&gt;0,$P2868+ROUND((INT($B2868)-$P2868)/$Q2868,0)*$Q2868,IF($R2868&gt;0,EDATE($P2868,ROUND((DATEDIF($P2868,INT($B2868),"m")+(INT($B2868)-EDATE($P2868,DATEDIF($P2868,INT($B2868),"m")))/(EDATE($P2868,DATEDIF($P2868,INT($B2868),"m")+1)-EDATE($P2868,DATEDIF($P2868,INT($B2868),"m"))))/$R2868,0)*$R2868),$P2868))))),"")))</f>
      </c>
      <c r="M2868" s="223">
        <f>IF(OR($C2868="",N($L2868)=0,N($B2868)=0),"",IF(IF(MOD($L2868,1)=0,INT($B2868),$B2868)&lt;=$L2868,"Đúng hạn","Trễ hạn"))</f>
      </c>
      <c r="N2868" s="225">
        <f>IF($C2868="","",ROW())</f>
      </c>
      <c r="O2868" s="225">
        <f>IF($I2868="Công việc",MATCH($C2868,'Kế hoạch'!$A$6:$A$305,0),"")</f>
      </c>
      <c r="P2868" s="234">
        <f>IF($O2868="","",INDEX('Kế hoạch'!$I$6:$I$305,$O2868))</f>
      </c>
      <c r="Q2868" s="225">
        <f>IF($O2868="","",INDEX('Kế hoạch'!$AJ$6:$AJ$305,$O2868))</f>
      </c>
      <c r="R2868" s="225">
        <f>IF($O2868="","",INDEX('Kế hoạch'!$AK$6:$AK$305,$O2868))</f>
      </c>
    </row>
    <row r="2869">
      <c r="A2869" s="223">
        <f>IF($C2869="","",COUNTIF($C$6:$C2869,"?*"))</f>
      </c>
      <c r="B2869" s="217"/>
      <c r="C2869" s="216"/>
      <c r="D2869" s="240"/>
      <c r="E2869" s="218"/>
      <c r="F2869" s="218"/>
      <c r="G2869" s="218"/>
      <c r="H2869" s="219"/>
      <c r="I2869" s="223">
        <f>IF($C2869="","",IF(ISNUMBER(MATCH($C2869,'Phản ánh'!$A$6:$A$505,0)),"Phản ánh",IF(ISNUMBER(MATCH($C2869,'Kế hoạch'!$A$6:$A$305,0)),"Công việc","Mã chưa có")))</f>
      </c>
      <c r="J2869" s="221">
        <f>IF($I2869="Phản ánh",INDEX('Phản ánh'!$C$6:$C$505,MATCH($C2869,'Phản ánh'!$A$6:$A$505,0)),IF($I2869="Công việc",INDEX('Kế hoạch'!$C$6:$C$305,$O2869),""))</f>
      </c>
      <c r="K2869" s="221">
        <f>IF($I2869="Phản ánh",INDEX('Phản ánh'!$K$6:$K$505,MATCH($C2869,'Phản ánh'!$A$6:$A$505,0))&amp;"",IF($I2869="Công việc",INDEX('Kế hoạch'!$N$6:$N$305,$O2869)&amp;"",""))</f>
      </c>
      <c r="L2869" s="220">
        <f>IF(OR($C2869="",N($B2869)=0),"",IF(AND($I2869="Phản ánh",$E2869="Đã xử lý"),INDEX('Phản ánh'!$U$6:$U$505,MATCH($C2869,'Phản ánh'!$A$6:$A$505,0)),IF(AND($I2869="Công việc",OR($E2869="Hoàn thành",$E2869="Hoàn thành kỳ")),IF(INDEX('Kế hoạch'!$B$6:$B$305,$O2869)="Đột xuất",INDEX('Kế hoạch'!$AY$6:$AY$305,$O2869),IF(N($P2869)=0,"",IF(INT($B2869)&lt;$P2869,$P2869,IF($Q2869&gt;0,$P2869+ROUND((INT($B2869)-$P2869)/$Q2869,0)*$Q2869,IF($R2869&gt;0,EDATE($P2869,ROUND((DATEDIF($P2869,INT($B2869),"m")+(INT($B2869)-EDATE($P2869,DATEDIF($P2869,INT($B2869),"m")))/(EDATE($P2869,DATEDIF($P2869,INT($B2869),"m")+1)-EDATE($P2869,DATEDIF($P2869,INT($B2869),"m"))))/$R2869,0)*$R2869),$P2869))))),"")))</f>
      </c>
      <c r="M2869" s="223">
        <f>IF(OR($C2869="",N($L2869)=0,N($B2869)=0),"",IF(IF(MOD($L2869,1)=0,INT($B2869),$B2869)&lt;=$L2869,"Đúng hạn","Trễ hạn"))</f>
      </c>
      <c r="N2869" s="225">
        <f>IF($C2869="","",ROW())</f>
      </c>
      <c r="O2869" s="225">
        <f>IF($I2869="Công việc",MATCH($C2869,'Kế hoạch'!$A$6:$A$305,0),"")</f>
      </c>
      <c r="P2869" s="234">
        <f>IF($O2869="","",INDEX('Kế hoạch'!$I$6:$I$305,$O2869))</f>
      </c>
      <c r="Q2869" s="225">
        <f>IF($O2869="","",INDEX('Kế hoạch'!$AJ$6:$AJ$305,$O2869))</f>
      </c>
      <c r="R2869" s="225">
        <f>IF($O2869="","",INDEX('Kế hoạch'!$AK$6:$AK$305,$O2869))</f>
      </c>
    </row>
    <row r="2870">
      <c r="A2870" s="223">
        <f>IF($C2870="","",COUNTIF($C$6:$C2870,"?*"))</f>
      </c>
      <c r="B2870" s="217"/>
      <c r="C2870" s="216"/>
      <c r="D2870" s="240"/>
      <c r="E2870" s="218"/>
      <c r="F2870" s="218"/>
      <c r="G2870" s="218"/>
      <c r="H2870" s="219"/>
      <c r="I2870" s="223">
        <f>IF($C2870="","",IF(ISNUMBER(MATCH($C2870,'Phản ánh'!$A$6:$A$505,0)),"Phản ánh",IF(ISNUMBER(MATCH($C2870,'Kế hoạch'!$A$6:$A$305,0)),"Công việc","Mã chưa có")))</f>
      </c>
      <c r="J2870" s="221">
        <f>IF($I2870="Phản ánh",INDEX('Phản ánh'!$C$6:$C$505,MATCH($C2870,'Phản ánh'!$A$6:$A$505,0)),IF($I2870="Công việc",INDEX('Kế hoạch'!$C$6:$C$305,$O2870),""))</f>
      </c>
      <c r="K2870" s="221">
        <f>IF($I2870="Phản ánh",INDEX('Phản ánh'!$K$6:$K$505,MATCH($C2870,'Phản ánh'!$A$6:$A$505,0))&amp;"",IF($I2870="Công việc",INDEX('Kế hoạch'!$N$6:$N$305,$O2870)&amp;"",""))</f>
      </c>
      <c r="L2870" s="220">
        <f>IF(OR($C2870="",N($B2870)=0),"",IF(AND($I2870="Phản ánh",$E2870="Đã xử lý"),INDEX('Phản ánh'!$U$6:$U$505,MATCH($C2870,'Phản ánh'!$A$6:$A$505,0)),IF(AND($I2870="Công việc",OR($E2870="Hoàn thành",$E2870="Hoàn thành kỳ")),IF(INDEX('Kế hoạch'!$B$6:$B$305,$O2870)="Đột xuất",INDEX('Kế hoạch'!$AY$6:$AY$305,$O2870),IF(N($P2870)=0,"",IF(INT($B2870)&lt;$P2870,$P2870,IF($Q2870&gt;0,$P2870+ROUND((INT($B2870)-$P2870)/$Q2870,0)*$Q2870,IF($R2870&gt;0,EDATE($P2870,ROUND((DATEDIF($P2870,INT($B2870),"m")+(INT($B2870)-EDATE($P2870,DATEDIF($P2870,INT($B2870),"m")))/(EDATE($P2870,DATEDIF($P2870,INT($B2870),"m")+1)-EDATE($P2870,DATEDIF($P2870,INT($B2870),"m"))))/$R2870,0)*$R2870),$P2870))))),"")))</f>
      </c>
      <c r="M2870" s="223">
        <f>IF(OR($C2870="",N($L2870)=0,N($B2870)=0),"",IF(IF(MOD($L2870,1)=0,INT($B2870),$B2870)&lt;=$L2870,"Đúng hạn","Trễ hạn"))</f>
      </c>
      <c r="N2870" s="225">
        <f>IF($C2870="","",ROW())</f>
      </c>
      <c r="O2870" s="225">
        <f>IF($I2870="Công việc",MATCH($C2870,'Kế hoạch'!$A$6:$A$305,0),"")</f>
      </c>
      <c r="P2870" s="234">
        <f>IF($O2870="","",INDEX('Kế hoạch'!$I$6:$I$305,$O2870))</f>
      </c>
      <c r="Q2870" s="225">
        <f>IF($O2870="","",INDEX('Kế hoạch'!$AJ$6:$AJ$305,$O2870))</f>
      </c>
      <c r="R2870" s="225">
        <f>IF($O2870="","",INDEX('Kế hoạch'!$AK$6:$AK$305,$O2870))</f>
      </c>
    </row>
    <row r="2871">
      <c r="A2871" s="223">
        <f>IF($C2871="","",COUNTIF($C$6:$C2871,"?*"))</f>
      </c>
      <c r="B2871" s="217"/>
      <c r="C2871" s="216"/>
      <c r="D2871" s="240"/>
      <c r="E2871" s="218"/>
      <c r="F2871" s="218"/>
      <c r="G2871" s="218"/>
      <c r="H2871" s="219"/>
      <c r="I2871" s="223">
        <f>IF($C2871="","",IF(ISNUMBER(MATCH($C2871,'Phản ánh'!$A$6:$A$505,0)),"Phản ánh",IF(ISNUMBER(MATCH($C2871,'Kế hoạch'!$A$6:$A$305,0)),"Công việc","Mã chưa có")))</f>
      </c>
      <c r="J2871" s="221">
        <f>IF($I2871="Phản ánh",INDEX('Phản ánh'!$C$6:$C$505,MATCH($C2871,'Phản ánh'!$A$6:$A$505,0)),IF($I2871="Công việc",INDEX('Kế hoạch'!$C$6:$C$305,$O2871),""))</f>
      </c>
      <c r="K2871" s="221">
        <f>IF($I2871="Phản ánh",INDEX('Phản ánh'!$K$6:$K$505,MATCH($C2871,'Phản ánh'!$A$6:$A$505,0))&amp;"",IF($I2871="Công việc",INDEX('Kế hoạch'!$N$6:$N$305,$O2871)&amp;"",""))</f>
      </c>
      <c r="L2871" s="220">
        <f>IF(OR($C2871="",N($B2871)=0),"",IF(AND($I2871="Phản ánh",$E2871="Đã xử lý"),INDEX('Phản ánh'!$U$6:$U$505,MATCH($C2871,'Phản ánh'!$A$6:$A$505,0)),IF(AND($I2871="Công việc",OR($E2871="Hoàn thành",$E2871="Hoàn thành kỳ")),IF(INDEX('Kế hoạch'!$B$6:$B$305,$O2871)="Đột xuất",INDEX('Kế hoạch'!$AY$6:$AY$305,$O2871),IF(N($P2871)=0,"",IF(INT($B2871)&lt;$P2871,$P2871,IF($Q2871&gt;0,$P2871+ROUND((INT($B2871)-$P2871)/$Q2871,0)*$Q2871,IF($R2871&gt;0,EDATE($P2871,ROUND((DATEDIF($P2871,INT($B2871),"m")+(INT($B2871)-EDATE($P2871,DATEDIF($P2871,INT($B2871),"m")))/(EDATE($P2871,DATEDIF($P2871,INT($B2871),"m")+1)-EDATE($P2871,DATEDIF($P2871,INT($B2871),"m"))))/$R2871,0)*$R2871),$P2871))))),"")))</f>
      </c>
      <c r="M2871" s="223">
        <f>IF(OR($C2871="",N($L2871)=0,N($B2871)=0),"",IF(IF(MOD($L2871,1)=0,INT($B2871),$B2871)&lt;=$L2871,"Đúng hạn","Trễ hạn"))</f>
      </c>
      <c r="N2871" s="225">
        <f>IF($C2871="","",ROW())</f>
      </c>
      <c r="O2871" s="225">
        <f>IF($I2871="Công việc",MATCH($C2871,'Kế hoạch'!$A$6:$A$305,0),"")</f>
      </c>
      <c r="P2871" s="234">
        <f>IF($O2871="","",INDEX('Kế hoạch'!$I$6:$I$305,$O2871))</f>
      </c>
      <c r="Q2871" s="225">
        <f>IF($O2871="","",INDEX('Kế hoạch'!$AJ$6:$AJ$305,$O2871))</f>
      </c>
      <c r="R2871" s="225">
        <f>IF($O2871="","",INDEX('Kế hoạch'!$AK$6:$AK$305,$O2871))</f>
      </c>
    </row>
    <row r="2872">
      <c r="A2872" s="223">
        <f>IF($C2872="","",COUNTIF($C$6:$C2872,"?*"))</f>
      </c>
      <c r="B2872" s="217"/>
      <c r="C2872" s="216"/>
      <c r="D2872" s="240"/>
      <c r="E2872" s="218"/>
      <c r="F2872" s="218"/>
      <c r="G2872" s="218"/>
      <c r="H2872" s="219"/>
      <c r="I2872" s="223">
        <f>IF($C2872="","",IF(ISNUMBER(MATCH($C2872,'Phản ánh'!$A$6:$A$505,0)),"Phản ánh",IF(ISNUMBER(MATCH($C2872,'Kế hoạch'!$A$6:$A$305,0)),"Công việc","Mã chưa có")))</f>
      </c>
      <c r="J2872" s="221">
        <f>IF($I2872="Phản ánh",INDEX('Phản ánh'!$C$6:$C$505,MATCH($C2872,'Phản ánh'!$A$6:$A$505,0)),IF($I2872="Công việc",INDEX('Kế hoạch'!$C$6:$C$305,$O2872),""))</f>
      </c>
      <c r="K2872" s="221">
        <f>IF($I2872="Phản ánh",INDEX('Phản ánh'!$K$6:$K$505,MATCH($C2872,'Phản ánh'!$A$6:$A$505,0))&amp;"",IF($I2872="Công việc",INDEX('Kế hoạch'!$N$6:$N$305,$O2872)&amp;"",""))</f>
      </c>
      <c r="L2872" s="220">
        <f>IF(OR($C2872="",N($B2872)=0),"",IF(AND($I2872="Phản ánh",$E2872="Đã xử lý"),INDEX('Phản ánh'!$U$6:$U$505,MATCH($C2872,'Phản ánh'!$A$6:$A$505,0)),IF(AND($I2872="Công việc",OR($E2872="Hoàn thành",$E2872="Hoàn thành kỳ")),IF(INDEX('Kế hoạch'!$B$6:$B$305,$O2872)="Đột xuất",INDEX('Kế hoạch'!$AY$6:$AY$305,$O2872),IF(N($P2872)=0,"",IF(INT($B2872)&lt;$P2872,$P2872,IF($Q2872&gt;0,$P2872+ROUND((INT($B2872)-$P2872)/$Q2872,0)*$Q2872,IF($R2872&gt;0,EDATE($P2872,ROUND((DATEDIF($P2872,INT($B2872),"m")+(INT($B2872)-EDATE($P2872,DATEDIF($P2872,INT($B2872),"m")))/(EDATE($P2872,DATEDIF($P2872,INT($B2872),"m")+1)-EDATE($P2872,DATEDIF($P2872,INT($B2872),"m"))))/$R2872,0)*$R2872),$P2872))))),"")))</f>
      </c>
      <c r="M2872" s="223">
        <f>IF(OR($C2872="",N($L2872)=0,N($B2872)=0),"",IF(IF(MOD($L2872,1)=0,INT($B2872),$B2872)&lt;=$L2872,"Đúng hạn","Trễ hạn"))</f>
      </c>
      <c r="N2872" s="225">
        <f>IF($C2872="","",ROW())</f>
      </c>
      <c r="O2872" s="225">
        <f>IF($I2872="Công việc",MATCH($C2872,'Kế hoạch'!$A$6:$A$305,0),"")</f>
      </c>
      <c r="P2872" s="234">
        <f>IF($O2872="","",INDEX('Kế hoạch'!$I$6:$I$305,$O2872))</f>
      </c>
      <c r="Q2872" s="225">
        <f>IF($O2872="","",INDEX('Kế hoạch'!$AJ$6:$AJ$305,$O2872))</f>
      </c>
      <c r="R2872" s="225">
        <f>IF($O2872="","",INDEX('Kế hoạch'!$AK$6:$AK$305,$O2872))</f>
      </c>
    </row>
    <row r="2873">
      <c r="A2873" s="223">
        <f>IF($C2873="","",COUNTIF($C$6:$C2873,"?*"))</f>
      </c>
      <c r="B2873" s="217"/>
      <c r="C2873" s="216"/>
      <c r="D2873" s="240"/>
      <c r="E2873" s="218"/>
      <c r="F2873" s="218"/>
      <c r="G2873" s="218"/>
      <c r="H2873" s="219"/>
      <c r="I2873" s="223">
        <f>IF($C2873="","",IF(ISNUMBER(MATCH($C2873,'Phản ánh'!$A$6:$A$505,0)),"Phản ánh",IF(ISNUMBER(MATCH($C2873,'Kế hoạch'!$A$6:$A$305,0)),"Công việc","Mã chưa có")))</f>
      </c>
      <c r="J2873" s="221">
        <f>IF($I2873="Phản ánh",INDEX('Phản ánh'!$C$6:$C$505,MATCH($C2873,'Phản ánh'!$A$6:$A$505,0)),IF($I2873="Công việc",INDEX('Kế hoạch'!$C$6:$C$305,$O2873),""))</f>
      </c>
      <c r="K2873" s="221">
        <f>IF($I2873="Phản ánh",INDEX('Phản ánh'!$K$6:$K$505,MATCH($C2873,'Phản ánh'!$A$6:$A$505,0))&amp;"",IF($I2873="Công việc",INDEX('Kế hoạch'!$N$6:$N$305,$O2873)&amp;"",""))</f>
      </c>
      <c r="L2873" s="220">
        <f>IF(OR($C2873="",N($B2873)=0),"",IF(AND($I2873="Phản ánh",$E2873="Đã xử lý"),INDEX('Phản ánh'!$U$6:$U$505,MATCH($C2873,'Phản ánh'!$A$6:$A$505,0)),IF(AND($I2873="Công việc",OR($E2873="Hoàn thành",$E2873="Hoàn thành kỳ")),IF(INDEX('Kế hoạch'!$B$6:$B$305,$O2873)="Đột xuất",INDEX('Kế hoạch'!$AY$6:$AY$305,$O2873),IF(N($P2873)=0,"",IF(INT($B2873)&lt;$P2873,$P2873,IF($Q2873&gt;0,$P2873+ROUND((INT($B2873)-$P2873)/$Q2873,0)*$Q2873,IF($R2873&gt;0,EDATE($P2873,ROUND((DATEDIF($P2873,INT($B2873),"m")+(INT($B2873)-EDATE($P2873,DATEDIF($P2873,INT($B2873),"m")))/(EDATE($P2873,DATEDIF($P2873,INT($B2873),"m")+1)-EDATE($P2873,DATEDIF($P2873,INT($B2873),"m"))))/$R2873,0)*$R2873),$P2873))))),"")))</f>
      </c>
      <c r="M2873" s="223">
        <f>IF(OR($C2873="",N($L2873)=0,N($B2873)=0),"",IF(IF(MOD($L2873,1)=0,INT($B2873),$B2873)&lt;=$L2873,"Đúng hạn","Trễ hạn"))</f>
      </c>
      <c r="N2873" s="225">
        <f>IF($C2873="","",ROW())</f>
      </c>
      <c r="O2873" s="225">
        <f>IF($I2873="Công việc",MATCH($C2873,'Kế hoạch'!$A$6:$A$305,0),"")</f>
      </c>
      <c r="P2873" s="234">
        <f>IF($O2873="","",INDEX('Kế hoạch'!$I$6:$I$305,$O2873))</f>
      </c>
      <c r="Q2873" s="225">
        <f>IF($O2873="","",INDEX('Kế hoạch'!$AJ$6:$AJ$305,$O2873))</f>
      </c>
      <c r="R2873" s="225">
        <f>IF($O2873="","",INDEX('Kế hoạch'!$AK$6:$AK$305,$O2873))</f>
      </c>
    </row>
    <row r="2874">
      <c r="A2874" s="223">
        <f>IF($C2874="","",COUNTIF($C$6:$C2874,"?*"))</f>
      </c>
      <c r="B2874" s="217"/>
      <c r="C2874" s="216"/>
      <c r="D2874" s="240"/>
      <c r="E2874" s="218"/>
      <c r="F2874" s="218"/>
      <c r="G2874" s="218"/>
      <c r="H2874" s="219"/>
      <c r="I2874" s="223">
        <f>IF($C2874="","",IF(ISNUMBER(MATCH($C2874,'Phản ánh'!$A$6:$A$505,0)),"Phản ánh",IF(ISNUMBER(MATCH($C2874,'Kế hoạch'!$A$6:$A$305,0)),"Công việc","Mã chưa có")))</f>
      </c>
      <c r="J2874" s="221">
        <f>IF($I2874="Phản ánh",INDEX('Phản ánh'!$C$6:$C$505,MATCH($C2874,'Phản ánh'!$A$6:$A$505,0)),IF($I2874="Công việc",INDEX('Kế hoạch'!$C$6:$C$305,$O2874),""))</f>
      </c>
      <c r="K2874" s="221">
        <f>IF($I2874="Phản ánh",INDEX('Phản ánh'!$K$6:$K$505,MATCH($C2874,'Phản ánh'!$A$6:$A$505,0))&amp;"",IF($I2874="Công việc",INDEX('Kế hoạch'!$N$6:$N$305,$O2874)&amp;"",""))</f>
      </c>
      <c r="L2874" s="220">
        <f>IF(OR($C2874="",N($B2874)=0),"",IF(AND($I2874="Phản ánh",$E2874="Đã xử lý"),INDEX('Phản ánh'!$U$6:$U$505,MATCH($C2874,'Phản ánh'!$A$6:$A$505,0)),IF(AND($I2874="Công việc",OR($E2874="Hoàn thành",$E2874="Hoàn thành kỳ")),IF(INDEX('Kế hoạch'!$B$6:$B$305,$O2874)="Đột xuất",INDEX('Kế hoạch'!$AY$6:$AY$305,$O2874),IF(N($P2874)=0,"",IF(INT($B2874)&lt;$P2874,$P2874,IF($Q2874&gt;0,$P2874+ROUND((INT($B2874)-$P2874)/$Q2874,0)*$Q2874,IF($R2874&gt;0,EDATE($P2874,ROUND((DATEDIF($P2874,INT($B2874),"m")+(INT($B2874)-EDATE($P2874,DATEDIF($P2874,INT($B2874),"m")))/(EDATE($P2874,DATEDIF($P2874,INT($B2874),"m")+1)-EDATE($P2874,DATEDIF($P2874,INT($B2874),"m"))))/$R2874,0)*$R2874),$P2874))))),"")))</f>
      </c>
      <c r="M2874" s="223">
        <f>IF(OR($C2874="",N($L2874)=0,N($B2874)=0),"",IF(IF(MOD($L2874,1)=0,INT($B2874),$B2874)&lt;=$L2874,"Đúng hạn","Trễ hạn"))</f>
      </c>
      <c r="N2874" s="225">
        <f>IF($C2874="","",ROW())</f>
      </c>
      <c r="O2874" s="225">
        <f>IF($I2874="Công việc",MATCH($C2874,'Kế hoạch'!$A$6:$A$305,0),"")</f>
      </c>
      <c r="P2874" s="234">
        <f>IF($O2874="","",INDEX('Kế hoạch'!$I$6:$I$305,$O2874))</f>
      </c>
      <c r="Q2874" s="225">
        <f>IF($O2874="","",INDEX('Kế hoạch'!$AJ$6:$AJ$305,$O2874))</f>
      </c>
      <c r="R2874" s="225">
        <f>IF($O2874="","",INDEX('Kế hoạch'!$AK$6:$AK$305,$O2874))</f>
      </c>
    </row>
    <row r="2875">
      <c r="A2875" s="223">
        <f>IF($C2875="","",COUNTIF($C$6:$C2875,"?*"))</f>
      </c>
      <c r="B2875" s="217"/>
      <c r="C2875" s="216"/>
      <c r="D2875" s="240"/>
      <c r="E2875" s="218"/>
      <c r="F2875" s="218"/>
      <c r="G2875" s="218"/>
      <c r="H2875" s="219"/>
      <c r="I2875" s="223">
        <f>IF($C2875="","",IF(ISNUMBER(MATCH($C2875,'Phản ánh'!$A$6:$A$505,0)),"Phản ánh",IF(ISNUMBER(MATCH($C2875,'Kế hoạch'!$A$6:$A$305,0)),"Công việc","Mã chưa có")))</f>
      </c>
      <c r="J2875" s="221">
        <f>IF($I2875="Phản ánh",INDEX('Phản ánh'!$C$6:$C$505,MATCH($C2875,'Phản ánh'!$A$6:$A$505,0)),IF($I2875="Công việc",INDEX('Kế hoạch'!$C$6:$C$305,$O2875),""))</f>
      </c>
      <c r="K2875" s="221">
        <f>IF($I2875="Phản ánh",INDEX('Phản ánh'!$K$6:$K$505,MATCH($C2875,'Phản ánh'!$A$6:$A$505,0))&amp;"",IF($I2875="Công việc",INDEX('Kế hoạch'!$N$6:$N$305,$O2875)&amp;"",""))</f>
      </c>
      <c r="L2875" s="220">
        <f>IF(OR($C2875="",N($B2875)=0),"",IF(AND($I2875="Phản ánh",$E2875="Đã xử lý"),INDEX('Phản ánh'!$U$6:$U$505,MATCH($C2875,'Phản ánh'!$A$6:$A$505,0)),IF(AND($I2875="Công việc",OR($E2875="Hoàn thành",$E2875="Hoàn thành kỳ")),IF(INDEX('Kế hoạch'!$B$6:$B$305,$O2875)="Đột xuất",INDEX('Kế hoạch'!$AY$6:$AY$305,$O2875),IF(N($P2875)=0,"",IF(INT($B2875)&lt;$P2875,$P2875,IF($Q2875&gt;0,$P2875+ROUND((INT($B2875)-$P2875)/$Q2875,0)*$Q2875,IF($R2875&gt;0,EDATE($P2875,ROUND((DATEDIF($P2875,INT($B2875),"m")+(INT($B2875)-EDATE($P2875,DATEDIF($P2875,INT($B2875),"m")))/(EDATE($P2875,DATEDIF($P2875,INT($B2875),"m")+1)-EDATE($P2875,DATEDIF($P2875,INT($B2875),"m"))))/$R2875,0)*$R2875),$P2875))))),"")))</f>
      </c>
      <c r="M2875" s="223">
        <f>IF(OR($C2875="",N($L2875)=0,N($B2875)=0),"",IF(IF(MOD($L2875,1)=0,INT($B2875),$B2875)&lt;=$L2875,"Đúng hạn","Trễ hạn"))</f>
      </c>
      <c r="N2875" s="225">
        <f>IF($C2875="","",ROW())</f>
      </c>
      <c r="O2875" s="225">
        <f>IF($I2875="Công việc",MATCH($C2875,'Kế hoạch'!$A$6:$A$305,0),"")</f>
      </c>
      <c r="P2875" s="234">
        <f>IF($O2875="","",INDEX('Kế hoạch'!$I$6:$I$305,$O2875))</f>
      </c>
      <c r="Q2875" s="225">
        <f>IF($O2875="","",INDEX('Kế hoạch'!$AJ$6:$AJ$305,$O2875))</f>
      </c>
      <c r="R2875" s="225">
        <f>IF($O2875="","",INDEX('Kế hoạch'!$AK$6:$AK$305,$O2875))</f>
      </c>
    </row>
    <row r="2876">
      <c r="A2876" s="223">
        <f>IF($C2876="","",COUNTIF($C$6:$C2876,"?*"))</f>
      </c>
      <c r="B2876" s="217"/>
      <c r="C2876" s="216"/>
      <c r="D2876" s="240"/>
      <c r="E2876" s="218"/>
      <c r="F2876" s="218"/>
      <c r="G2876" s="218"/>
      <c r="H2876" s="219"/>
      <c r="I2876" s="223">
        <f>IF($C2876="","",IF(ISNUMBER(MATCH($C2876,'Phản ánh'!$A$6:$A$505,0)),"Phản ánh",IF(ISNUMBER(MATCH($C2876,'Kế hoạch'!$A$6:$A$305,0)),"Công việc","Mã chưa có")))</f>
      </c>
      <c r="J2876" s="221">
        <f>IF($I2876="Phản ánh",INDEX('Phản ánh'!$C$6:$C$505,MATCH($C2876,'Phản ánh'!$A$6:$A$505,0)),IF($I2876="Công việc",INDEX('Kế hoạch'!$C$6:$C$305,$O2876),""))</f>
      </c>
      <c r="K2876" s="221">
        <f>IF($I2876="Phản ánh",INDEX('Phản ánh'!$K$6:$K$505,MATCH($C2876,'Phản ánh'!$A$6:$A$505,0))&amp;"",IF($I2876="Công việc",INDEX('Kế hoạch'!$N$6:$N$305,$O2876)&amp;"",""))</f>
      </c>
      <c r="L2876" s="220">
        <f>IF(OR($C2876="",N($B2876)=0),"",IF(AND($I2876="Phản ánh",$E2876="Đã xử lý"),INDEX('Phản ánh'!$U$6:$U$505,MATCH($C2876,'Phản ánh'!$A$6:$A$505,0)),IF(AND($I2876="Công việc",OR($E2876="Hoàn thành",$E2876="Hoàn thành kỳ")),IF(INDEX('Kế hoạch'!$B$6:$B$305,$O2876)="Đột xuất",INDEX('Kế hoạch'!$AY$6:$AY$305,$O2876),IF(N($P2876)=0,"",IF(INT($B2876)&lt;$P2876,$P2876,IF($Q2876&gt;0,$P2876+ROUND((INT($B2876)-$P2876)/$Q2876,0)*$Q2876,IF($R2876&gt;0,EDATE($P2876,ROUND((DATEDIF($P2876,INT($B2876),"m")+(INT($B2876)-EDATE($P2876,DATEDIF($P2876,INT($B2876),"m")))/(EDATE($P2876,DATEDIF($P2876,INT($B2876),"m")+1)-EDATE($P2876,DATEDIF($P2876,INT($B2876),"m"))))/$R2876,0)*$R2876),$P2876))))),"")))</f>
      </c>
      <c r="M2876" s="223">
        <f>IF(OR($C2876="",N($L2876)=0,N($B2876)=0),"",IF(IF(MOD($L2876,1)=0,INT($B2876),$B2876)&lt;=$L2876,"Đúng hạn","Trễ hạn"))</f>
      </c>
      <c r="N2876" s="225">
        <f>IF($C2876="","",ROW())</f>
      </c>
      <c r="O2876" s="225">
        <f>IF($I2876="Công việc",MATCH($C2876,'Kế hoạch'!$A$6:$A$305,0),"")</f>
      </c>
      <c r="P2876" s="234">
        <f>IF($O2876="","",INDEX('Kế hoạch'!$I$6:$I$305,$O2876))</f>
      </c>
      <c r="Q2876" s="225">
        <f>IF($O2876="","",INDEX('Kế hoạch'!$AJ$6:$AJ$305,$O2876))</f>
      </c>
      <c r="R2876" s="225">
        <f>IF($O2876="","",INDEX('Kế hoạch'!$AK$6:$AK$305,$O2876))</f>
      </c>
    </row>
    <row r="2877">
      <c r="A2877" s="223">
        <f>IF($C2877="","",COUNTIF($C$6:$C2877,"?*"))</f>
      </c>
      <c r="B2877" s="217"/>
      <c r="C2877" s="216"/>
      <c r="D2877" s="240"/>
      <c r="E2877" s="218"/>
      <c r="F2877" s="218"/>
      <c r="G2877" s="218"/>
      <c r="H2877" s="219"/>
      <c r="I2877" s="223">
        <f>IF($C2877="","",IF(ISNUMBER(MATCH($C2877,'Phản ánh'!$A$6:$A$505,0)),"Phản ánh",IF(ISNUMBER(MATCH($C2877,'Kế hoạch'!$A$6:$A$305,0)),"Công việc","Mã chưa có")))</f>
      </c>
      <c r="J2877" s="221">
        <f>IF($I2877="Phản ánh",INDEX('Phản ánh'!$C$6:$C$505,MATCH($C2877,'Phản ánh'!$A$6:$A$505,0)),IF($I2877="Công việc",INDEX('Kế hoạch'!$C$6:$C$305,$O2877),""))</f>
      </c>
      <c r="K2877" s="221">
        <f>IF($I2877="Phản ánh",INDEX('Phản ánh'!$K$6:$K$505,MATCH($C2877,'Phản ánh'!$A$6:$A$505,0))&amp;"",IF($I2877="Công việc",INDEX('Kế hoạch'!$N$6:$N$305,$O2877)&amp;"",""))</f>
      </c>
      <c r="L2877" s="220">
        <f>IF(OR($C2877="",N($B2877)=0),"",IF(AND($I2877="Phản ánh",$E2877="Đã xử lý"),INDEX('Phản ánh'!$U$6:$U$505,MATCH($C2877,'Phản ánh'!$A$6:$A$505,0)),IF(AND($I2877="Công việc",OR($E2877="Hoàn thành",$E2877="Hoàn thành kỳ")),IF(INDEX('Kế hoạch'!$B$6:$B$305,$O2877)="Đột xuất",INDEX('Kế hoạch'!$AY$6:$AY$305,$O2877),IF(N($P2877)=0,"",IF(INT($B2877)&lt;$P2877,$P2877,IF($Q2877&gt;0,$P2877+ROUND((INT($B2877)-$P2877)/$Q2877,0)*$Q2877,IF($R2877&gt;0,EDATE($P2877,ROUND((DATEDIF($P2877,INT($B2877),"m")+(INT($B2877)-EDATE($P2877,DATEDIF($P2877,INT($B2877),"m")))/(EDATE($P2877,DATEDIF($P2877,INT($B2877),"m")+1)-EDATE($P2877,DATEDIF($P2877,INT($B2877),"m"))))/$R2877,0)*$R2877),$P2877))))),"")))</f>
      </c>
      <c r="M2877" s="223">
        <f>IF(OR($C2877="",N($L2877)=0,N($B2877)=0),"",IF(IF(MOD($L2877,1)=0,INT($B2877),$B2877)&lt;=$L2877,"Đúng hạn","Trễ hạn"))</f>
      </c>
      <c r="N2877" s="225">
        <f>IF($C2877="","",ROW())</f>
      </c>
      <c r="O2877" s="225">
        <f>IF($I2877="Công việc",MATCH($C2877,'Kế hoạch'!$A$6:$A$305,0),"")</f>
      </c>
      <c r="P2877" s="234">
        <f>IF($O2877="","",INDEX('Kế hoạch'!$I$6:$I$305,$O2877))</f>
      </c>
      <c r="Q2877" s="225">
        <f>IF($O2877="","",INDEX('Kế hoạch'!$AJ$6:$AJ$305,$O2877))</f>
      </c>
      <c r="R2877" s="225">
        <f>IF($O2877="","",INDEX('Kế hoạch'!$AK$6:$AK$305,$O2877))</f>
      </c>
    </row>
    <row r="2878">
      <c r="A2878" s="223">
        <f>IF($C2878="","",COUNTIF($C$6:$C2878,"?*"))</f>
      </c>
      <c r="B2878" s="217"/>
      <c r="C2878" s="216"/>
      <c r="D2878" s="240"/>
      <c r="E2878" s="218"/>
      <c r="F2878" s="218"/>
      <c r="G2878" s="218"/>
      <c r="H2878" s="219"/>
      <c r="I2878" s="223">
        <f>IF($C2878="","",IF(ISNUMBER(MATCH($C2878,'Phản ánh'!$A$6:$A$505,0)),"Phản ánh",IF(ISNUMBER(MATCH($C2878,'Kế hoạch'!$A$6:$A$305,0)),"Công việc","Mã chưa có")))</f>
      </c>
      <c r="J2878" s="221">
        <f>IF($I2878="Phản ánh",INDEX('Phản ánh'!$C$6:$C$505,MATCH($C2878,'Phản ánh'!$A$6:$A$505,0)),IF($I2878="Công việc",INDEX('Kế hoạch'!$C$6:$C$305,$O2878),""))</f>
      </c>
      <c r="K2878" s="221">
        <f>IF($I2878="Phản ánh",INDEX('Phản ánh'!$K$6:$K$505,MATCH($C2878,'Phản ánh'!$A$6:$A$505,0))&amp;"",IF($I2878="Công việc",INDEX('Kế hoạch'!$N$6:$N$305,$O2878)&amp;"",""))</f>
      </c>
      <c r="L2878" s="220">
        <f>IF(OR($C2878="",N($B2878)=0),"",IF(AND($I2878="Phản ánh",$E2878="Đã xử lý"),INDEX('Phản ánh'!$U$6:$U$505,MATCH($C2878,'Phản ánh'!$A$6:$A$505,0)),IF(AND($I2878="Công việc",OR($E2878="Hoàn thành",$E2878="Hoàn thành kỳ")),IF(INDEX('Kế hoạch'!$B$6:$B$305,$O2878)="Đột xuất",INDEX('Kế hoạch'!$AY$6:$AY$305,$O2878),IF(N($P2878)=0,"",IF(INT($B2878)&lt;$P2878,$P2878,IF($Q2878&gt;0,$P2878+ROUND((INT($B2878)-$P2878)/$Q2878,0)*$Q2878,IF($R2878&gt;0,EDATE($P2878,ROUND((DATEDIF($P2878,INT($B2878),"m")+(INT($B2878)-EDATE($P2878,DATEDIF($P2878,INT($B2878),"m")))/(EDATE($P2878,DATEDIF($P2878,INT($B2878),"m")+1)-EDATE($P2878,DATEDIF($P2878,INT($B2878),"m"))))/$R2878,0)*$R2878),$P2878))))),"")))</f>
      </c>
      <c r="M2878" s="223">
        <f>IF(OR($C2878="",N($L2878)=0,N($B2878)=0),"",IF(IF(MOD($L2878,1)=0,INT($B2878),$B2878)&lt;=$L2878,"Đúng hạn","Trễ hạn"))</f>
      </c>
      <c r="N2878" s="225">
        <f>IF($C2878="","",ROW())</f>
      </c>
      <c r="O2878" s="225">
        <f>IF($I2878="Công việc",MATCH($C2878,'Kế hoạch'!$A$6:$A$305,0),"")</f>
      </c>
      <c r="P2878" s="234">
        <f>IF($O2878="","",INDEX('Kế hoạch'!$I$6:$I$305,$O2878))</f>
      </c>
      <c r="Q2878" s="225">
        <f>IF($O2878="","",INDEX('Kế hoạch'!$AJ$6:$AJ$305,$O2878))</f>
      </c>
      <c r="R2878" s="225">
        <f>IF($O2878="","",INDEX('Kế hoạch'!$AK$6:$AK$305,$O2878))</f>
      </c>
    </row>
    <row r="2879">
      <c r="A2879" s="223">
        <f>IF($C2879="","",COUNTIF($C$6:$C2879,"?*"))</f>
      </c>
      <c r="B2879" s="217"/>
      <c r="C2879" s="216"/>
      <c r="D2879" s="240"/>
      <c r="E2879" s="218"/>
      <c r="F2879" s="218"/>
      <c r="G2879" s="218"/>
      <c r="H2879" s="219"/>
      <c r="I2879" s="223">
        <f>IF($C2879="","",IF(ISNUMBER(MATCH($C2879,'Phản ánh'!$A$6:$A$505,0)),"Phản ánh",IF(ISNUMBER(MATCH($C2879,'Kế hoạch'!$A$6:$A$305,0)),"Công việc","Mã chưa có")))</f>
      </c>
      <c r="J2879" s="221">
        <f>IF($I2879="Phản ánh",INDEX('Phản ánh'!$C$6:$C$505,MATCH($C2879,'Phản ánh'!$A$6:$A$505,0)),IF($I2879="Công việc",INDEX('Kế hoạch'!$C$6:$C$305,$O2879),""))</f>
      </c>
      <c r="K2879" s="221">
        <f>IF($I2879="Phản ánh",INDEX('Phản ánh'!$K$6:$K$505,MATCH($C2879,'Phản ánh'!$A$6:$A$505,0))&amp;"",IF($I2879="Công việc",INDEX('Kế hoạch'!$N$6:$N$305,$O2879)&amp;"",""))</f>
      </c>
      <c r="L2879" s="220">
        <f>IF(OR($C2879="",N($B2879)=0),"",IF(AND($I2879="Phản ánh",$E2879="Đã xử lý"),INDEX('Phản ánh'!$U$6:$U$505,MATCH($C2879,'Phản ánh'!$A$6:$A$505,0)),IF(AND($I2879="Công việc",OR($E2879="Hoàn thành",$E2879="Hoàn thành kỳ")),IF(INDEX('Kế hoạch'!$B$6:$B$305,$O2879)="Đột xuất",INDEX('Kế hoạch'!$AY$6:$AY$305,$O2879),IF(N($P2879)=0,"",IF(INT($B2879)&lt;$P2879,$P2879,IF($Q2879&gt;0,$P2879+ROUND((INT($B2879)-$P2879)/$Q2879,0)*$Q2879,IF($R2879&gt;0,EDATE($P2879,ROUND((DATEDIF($P2879,INT($B2879),"m")+(INT($B2879)-EDATE($P2879,DATEDIF($P2879,INT($B2879),"m")))/(EDATE($P2879,DATEDIF($P2879,INT($B2879),"m")+1)-EDATE($P2879,DATEDIF($P2879,INT($B2879),"m"))))/$R2879,0)*$R2879),$P2879))))),"")))</f>
      </c>
      <c r="M2879" s="223">
        <f>IF(OR($C2879="",N($L2879)=0,N($B2879)=0),"",IF(IF(MOD($L2879,1)=0,INT($B2879),$B2879)&lt;=$L2879,"Đúng hạn","Trễ hạn"))</f>
      </c>
      <c r="N2879" s="225">
        <f>IF($C2879="","",ROW())</f>
      </c>
      <c r="O2879" s="225">
        <f>IF($I2879="Công việc",MATCH($C2879,'Kế hoạch'!$A$6:$A$305,0),"")</f>
      </c>
      <c r="P2879" s="234">
        <f>IF($O2879="","",INDEX('Kế hoạch'!$I$6:$I$305,$O2879))</f>
      </c>
      <c r="Q2879" s="225">
        <f>IF($O2879="","",INDEX('Kế hoạch'!$AJ$6:$AJ$305,$O2879))</f>
      </c>
      <c r="R2879" s="225">
        <f>IF($O2879="","",INDEX('Kế hoạch'!$AK$6:$AK$305,$O2879))</f>
      </c>
    </row>
    <row r="2880">
      <c r="A2880" s="223">
        <f>IF($C2880="","",COUNTIF($C$6:$C2880,"?*"))</f>
      </c>
      <c r="B2880" s="217"/>
      <c r="C2880" s="216"/>
      <c r="D2880" s="240"/>
      <c r="E2880" s="218"/>
      <c r="F2880" s="218"/>
      <c r="G2880" s="218"/>
      <c r="H2880" s="219"/>
      <c r="I2880" s="223">
        <f>IF($C2880="","",IF(ISNUMBER(MATCH($C2880,'Phản ánh'!$A$6:$A$505,0)),"Phản ánh",IF(ISNUMBER(MATCH($C2880,'Kế hoạch'!$A$6:$A$305,0)),"Công việc","Mã chưa có")))</f>
      </c>
      <c r="J2880" s="221">
        <f>IF($I2880="Phản ánh",INDEX('Phản ánh'!$C$6:$C$505,MATCH($C2880,'Phản ánh'!$A$6:$A$505,0)),IF($I2880="Công việc",INDEX('Kế hoạch'!$C$6:$C$305,$O2880),""))</f>
      </c>
      <c r="K2880" s="221">
        <f>IF($I2880="Phản ánh",INDEX('Phản ánh'!$K$6:$K$505,MATCH($C2880,'Phản ánh'!$A$6:$A$505,0))&amp;"",IF($I2880="Công việc",INDEX('Kế hoạch'!$N$6:$N$305,$O2880)&amp;"",""))</f>
      </c>
      <c r="L2880" s="220">
        <f>IF(OR($C2880="",N($B2880)=0),"",IF(AND($I2880="Phản ánh",$E2880="Đã xử lý"),INDEX('Phản ánh'!$U$6:$U$505,MATCH($C2880,'Phản ánh'!$A$6:$A$505,0)),IF(AND($I2880="Công việc",OR($E2880="Hoàn thành",$E2880="Hoàn thành kỳ")),IF(INDEX('Kế hoạch'!$B$6:$B$305,$O2880)="Đột xuất",INDEX('Kế hoạch'!$AY$6:$AY$305,$O2880),IF(N($P2880)=0,"",IF(INT($B2880)&lt;$P2880,$P2880,IF($Q2880&gt;0,$P2880+ROUND((INT($B2880)-$P2880)/$Q2880,0)*$Q2880,IF($R2880&gt;0,EDATE($P2880,ROUND((DATEDIF($P2880,INT($B2880),"m")+(INT($B2880)-EDATE($P2880,DATEDIF($P2880,INT($B2880),"m")))/(EDATE($P2880,DATEDIF($P2880,INT($B2880),"m")+1)-EDATE($P2880,DATEDIF($P2880,INT($B2880),"m"))))/$R2880,0)*$R2880),$P2880))))),"")))</f>
      </c>
      <c r="M2880" s="223">
        <f>IF(OR($C2880="",N($L2880)=0,N($B2880)=0),"",IF(IF(MOD($L2880,1)=0,INT($B2880),$B2880)&lt;=$L2880,"Đúng hạn","Trễ hạn"))</f>
      </c>
      <c r="N2880" s="225">
        <f>IF($C2880="","",ROW())</f>
      </c>
      <c r="O2880" s="225">
        <f>IF($I2880="Công việc",MATCH($C2880,'Kế hoạch'!$A$6:$A$305,0),"")</f>
      </c>
      <c r="P2880" s="234">
        <f>IF($O2880="","",INDEX('Kế hoạch'!$I$6:$I$305,$O2880))</f>
      </c>
      <c r="Q2880" s="225">
        <f>IF($O2880="","",INDEX('Kế hoạch'!$AJ$6:$AJ$305,$O2880))</f>
      </c>
      <c r="R2880" s="225">
        <f>IF($O2880="","",INDEX('Kế hoạch'!$AK$6:$AK$305,$O2880))</f>
      </c>
    </row>
    <row r="2881">
      <c r="A2881" s="223">
        <f>IF($C2881="","",COUNTIF($C$6:$C2881,"?*"))</f>
      </c>
      <c r="B2881" s="217"/>
      <c r="C2881" s="216"/>
      <c r="D2881" s="240"/>
      <c r="E2881" s="218"/>
      <c r="F2881" s="218"/>
      <c r="G2881" s="218"/>
      <c r="H2881" s="219"/>
      <c r="I2881" s="223">
        <f>IF($C2881="","",IF(ISNUMBER(MATCH($C2881,'Phản ánh'!$A$6:$A$505,0)),"Phản ánh",IF(ISNUMBER(MATCH($C2881,'Kế hoạch'!$A$6:$A$305,0)),"Công việc","Mã chưa có")))</f>
      </c>
      <c r="J2881" s="221">
        <f>IF($I2881="Phản ánh",INDEX('Phản ánh'!$C$6:$C$505,MATCH($C2881,'Phản ánh'!$A$6:$A$505,0)),IF($I2881="Công việc",INDEX('Kế hoạch'!$C$6:$C$305,$O2881),""))</f>
      </c>
      <c r="K2881" s="221">
        <f>IF($I2881="Phản ánh",INDEX('Phản ánh'!$K$6:$K$505,MATCH($C2881,'Phản ánh'!$A$6:$A$505,0))&amp;"",IF($I2881="Công việc",INDEX('Kế hoạch'!$N$6:$N$305,$O2881)&amp;"",""))</f>
      </c>
      <c r="L2881" s="220">
        <f>IF(OR($C2881="",N($B2881)=0),"",IF(AND($I2881="Phản ánh",$E2881="Đã xử lý"),INDEX('Phản ánh'!$U$6:$U$505,MATCH($C2881,'Phản ánh'!$A$6:$A$505,0)),IF(AND($I2881="Công việc",OR($E2881="Hoàn thành",$E2881="Hoàn thành kỳ")),IF(INDEX('Kế hoạch'!$B$6:$B$305,$O2881)="Đột xuất",INDEX('Kế hoạch'!$AY$6:$AY$305,$O2881),IF(N($P2881)=0,"",IF(INT($B2881)&lt;$P2881,$P2881,IF($Q2881&gt;0,$P2881+ROUND((INT($B2881)-$P2881)/$Q2881,0)*$Q2881,IF($R2881&gt;0,EDATE($P2881,ROUND((DATEDIF($P2881,INT($B2881),"m")+(INT($B2881)-EDATE($P2881,DATEDIF($P2881,INT($B2881),"m")))/(EDATE($P2881,DATEDIF($P2881,INT($B2881),"m")+1)-EDATE($P2881,DATEDIF($P2881,INT($B2881),"m"))))/$R2881,0)*$R2881),$P2881))))),"")))</f>
      </c>
      <c r="M2881" s="223">
        <f>IF(OR($C2881="",N($L2881)=0,N($B2881)=0),"",IF(IF(MOD($L2881,1)=0,INT($B2881),$B2881)&lt;=$L2881,"Đúng hạn","Trễ hạn"))</f>
      </c>
      <c r="N2881" s="225">
        <f>IF($C2881="","",ROW())</f>
      </c>
      <c r="O2881" s="225">
        <f>IF($I2881="Công việc",MATCH($C2881,'Kế hoạch'!$A$6:$A$305,0),"")</f>
      </c>
      <c r="P2881" s="234">
        <f>IF($O2881="","",INDEX('Kế hoạch'!$I$6:$I$305,$O2881))</f>
      </c>
      <c r="Q2881" s="225">
        <f>IF($O2881="","",INDEX('Kế hoạch'!$AJ$6:$AJ$305,$O2881))</f>
      </c>
      <c r="R2881" s="225">
        <f>IF($O2881="","",INDEX('Kế hoạch'!$AK$6:$AK$305,$O2881))</f>
      </c>
    </row>
    <row r="2882">
      <c r="A2882" s="223">
        <f>IF($C2882="","",COUNTIF($C$6:$C2882,"?*"))</f>
      </c>
      <c r="B2882" s="217"/>
      <c r="C2882" s="216"/>
      <c r="D2882" s="240"/>
      <c r="E2882" s="218"/>
      <c r="F2882" s="218"/>
      <c r="G2882" s="218"/>
      <c r="H2882" s="219"/>
      <c r="I2882" s="223">
        <f>IF($C2882="","",IF(ISNUMBER(MATCH($C2882,'Phản ánh'!$A$6:$A$505,0)),"Phản ánh",IF(ISNUMBER(MATCH($C2882,'Kế hoạch'!$A$6:$A$305,0)),"Công việc","Mã chưa có")))</f>
      </c>
      <c r="J2882" s="221">
        <f>IF($I2882="Phản ánh",INDEX('Phản ánh'!$C$6:$C$505,MATCH($C2882,'Phản ánh'!$A$6:$A$505,0)),IF($I2882="Công việc",INDEX('Kế hoạch'!$C$6:$C$305,$O2882),""))</f>
      </c>
      <c r="K2882" s="221">
        <f>IF($I2882="Phản ánh",INDEX('Phản ánh'!$K$6:$K$505,MATCH($C2882,'Phản ánh'!$A$6:$A$505,0))&amp;"",IF($I2882="Công việc",INDEX('Kế hoạch'!$N$6:$N$305,$O2882)&amp;"",""))</f>
      </c>
      <c r="L2882" s="220">
        <f>IF(OR($C2882="",N($B2882)=0),"",IF(AND($I2882="Phản ánh",$E2882="Đã xử lý"),INDEX('Phản ánh'!$U$6:$U$505,MATCH($C2882,'Phản ánh'!$A$6:$A$505,0)),IF(AND($I2882="Công việc",OR($E2882="Hoàn thành",$E2882="Hoàn thành kỳ")),IF(INDEX('Kế hoạch'!$B$6:$B$305,$O2882)="Đột xuất",INDEX('Kế hoạch'!$AY$6:$AY$305,$O2882),IF(N($P2882)=0,"",IF(INT($B2882)&lt;$P2882,$P2882,IF($Q2882&gt;0,$P2882+ROUND((INT($B2882)-$P2882)/$Q2882,0)*$Q2882,IF($R2882&gt;0,EDATE($P2882,ROUND((DATEDIF($P2882,INT($B2882),"m")+(INT($B2882)-EDATE($P2882,DATEDIF($P2882,INT($B2882),"m")))/(EDATE($P2882,DATEDIF($P2882,INT($B2882),"m")+1)-EDATE($P2882,DATEDIF($P2882,INT($B2882),"m"))))/$R2882,0)*$R2882),$P2882))))),"")))</f>
      </c>
      <c r="M2882" s="223">
        <f>IF(OR($C2882="",N($L2882)=0,N($B2882)=0),"",IF(IF(MOD($L2882,1)=0,INT($B2882),$B2882)&lt;=$L2882,"Đúng hạn","Trễ hạn"))</f>
      </c>
      <c r="N2882" s="225">
        <f>IF($C2882="","",ROW())</f>
      </c>
      <c r="O2882" s="225">
        <f>IF($I2882="Công việc",MATCH($C2882,'Kế hoạch'!$A$6:$A$305,0),"")</f>
      </c>
      <c r="P2882" s="234">
        <f>IF($O2882="","",INDEX('Kế hoạch'!$I$6:$I$305,$O2882))</f>
      </c>
      <c r="Q2882" s="225">
        <f>IF($O2882="","",INDEX('Kế hoạch'!$AJ$6:$AJ$305,$O2882))</f>
      </c>
      <c r="R2882" s="225">
        <f>IF($O2882="","",INDEX('Kế hoạch'!$AK$6:$AK$305,$O2882))</f>
      </c>
    </row>
    <row r="2883">
      <c r="A2883" s="223">
        <f>IF($C2883="","",COUNTIF($C$6:$C2883,"?*"))</f>
      </c>
      <c r="B2883" s="217"/>
      <c r="C2883" s="216"/>
      <c r="D2883" s="240"/>
      <c r="E2883" s="218"/>
      <c r="F2883" s="218"/>
      <c r="G2883" s="218"/>
      <c r="H2883" s="219"/>
      <c r="I2883" s="223">
        <f>IF($C2883="","",IF(ISNUMBER(MATCH($C2883,'Phản ánh'!$A$6:$A$505,0)),"Phản ánh",IF(ISNUMBER(MATCH($C2883,'Kế hoạch'!$A$6:$A$305,0)),"Công việc","Mã chưa có")))</f>
      </c>
      <c r="J2883" s="221">
        <f>IF($I2883="Phản ánh",INDEX('Phản ánh'!$C$6:$C$505,MATCH($C2883,'Phản ánh'!$A$6:$A$505,0)),IF($I2883="Công việc",INDEX('Kế hoạch'!$C$6:$C$305,$O2883),""))</f>
      </c>
      <c r="K2883" s="221">
        <f>IF($I2883="Phản ánh",INDEX('Phản ánh'!$K$6:$K$505,MATCH($C2883,'Phản ánh'!$A$6:$A$505,0))&amp;"",IF($I2883="Công việc",INDEX('Kế hoạch'!$N$6:$N$305,$O2883)&amp;"",""))</f>
      </c>
      <c r="L2883" s="220">
        <f>IF(OR($C2883="",N($B2883)=0),"",IF(AND($I2883="Phản ánh",$E2883="Đã xử lý"),INDEX('Phản ánh'!$U$6:$U$505,MATCH($C2883,'Phản ánh'!$A$6:$A$505,0)),IF(AND($I2883="Công việc",OR($E2883="Hoàn thành",$E2883="Hoàn thành kỳ")),IF(INDEX('Kế hoạch'!$B$6:$B$305,$O2883)="Đột xuất",INDEX('Kế hoạch'!$AY$6:$AY$305,$O2883),IF(N($P2883)=0,"",IF(INT($B2883)&lt;$P2883,$P2883,IF($Q2883&gt;0,$P2883+ROUND((INT($B2883)-$P2883)/$Q2883,0)*$Q2883,IF($R2883&gt;0,EDATE($P2883,ROUND((DATEDIF($P2883,INT($B2883),"m")+(INT($B2883)-EDATE($P2883,DATEDIF($P2883,INT($B2883),"m")))/(EDATE($P2883,DATEDIF($P2883,INT($B2883),"m")+1)-EDATE($P2883,DATEDIF($P2883,INT($B2883),"m"))))/$R2883,0)*$R2883),$P2883))))),"")))</f>
      </c>
      <c r="M2883" s="223">
        <f>IF(OR($C2883="",N($L2883)=0,N($B2883)=0),"",IF(IF(MOD($L2883,1)=0,INT($B2883),$B2883)&lt;=$L2883,"Đúng hạn","Trễ hạn"))</f>
      </c>
      <c r="N2883" s="225">
        <f>IF($C2883="","",ROW())</f>
      </c>
      <c r="O2883" s="225">
        <f>IF($I2883="Công việc",MATCH($C2883,'Kế hoạch'!$A$6:$A$305,0),"")</f>
      </c>
      <c r="P2883" s="234">
        <f>IF($O2883="","",INDEX('Kế hoạch'!$I$6:$I$305,$O2883))</f>
      </c>
      <c r="Q2883" s="225">
        <f>IF($O2883="","",INDEX('Kế hoạch'!$AJ$6:$AJ$305,$O2883))</f>
      </c>
      <c r="R2883" s="225">
        <f>IF($O2883="","",INDEX('Kế hoạch'!$AK$6:$AK$305,$O2883))</f>
      </c>
    </row>
    <row r="2884">
      <c r="A2884" s="223">
        <f>IF($C2884="","",COUNTIF($C$6:$C2884,"?*"))</f>
      </c>
      <c r="B2884" s="217"/>
      <c r="C2884" s="216"/>
      <c r="D2884" s="240"/>
      <c r="E2884" s="218"/>
      <c r="F2884" s="218"/>
      <c r="G2884" s="218"/>
      <c r="H2884" s="219"/>
      <c r="I2884" s="223">
        <f>IF($C2884="","",IF(ISNUMBER(MATCH($C2884,'Phản ánh'!$A$6:$A$505,0)),"Phản ánh",IF(ISNUMBER(MATCH($C2884,'Kế hoạch'!$A$6:$A$305,0)),"Công việc","Mã chưa có")))</f>
      </c>
      <c r="J2884" s="221">
        <f>IF($I2884="Phản ánh",INDEX('Phản ánh'!$C$6:$C$505,MATCH($C2884,'Phản ánh'!$A$6:$A$505,0)),IF($I2884="Công việc",INDEX('Kế hoạch'!$C$6:$C$305,$O2884),""))</f>
      </c>
      <c r="K2884" s="221">
        <f>IF($I2884="Phản ánh",INDEX('Phản ánh'!$K$6:$K$505,MATCH($C2884,'Phản ánh'!$A$6:$A$505,0))&amp;"",IF($I2884="Công việc",INDEX('Kế hoạch'!$N$6:$N$305,$O2884)&amp;"",""))</f>
      </c>
      <c r="L2884" s="220">
        <f>IF(OR($C2884="",N($B2884)=0),"",IF(AND($I2884="Phản ánh",$E2884="Đã xử lý"),INDEX('Phản ánh'!$U$6:$U$505,MATCH($C2884,'Phản ánh'!$A$6:$A$505,0)),IF(AND($I2884="Công việc",OR($E2884="Hoàn thành",$E2884="Hoàn thành kỳ")),IF(INDEX('Kế hoạch'!$B$6:$B$305,$O2884)="Đột xuất",INDEX('Kế hoạch'!$AY$6:$AY$305,$O2884),IF(N($P2884)=0,"",IF(INT($B2884)&lt;$P2884,$P2884,IF($Q2884&gt;0,$P2884+ROUND((INT($B2884)-$P2884)/$Q2884,0)*$Q2884,IF($R2884&gt;0,EDATE($P2884,ROUND((DATEDIF($P2884,INT($B2884),"m")+(INT($B2884)-EDATE($P2884,DATEDIF($P2884,INT($B2884),"m")))/(EDATE($P2884,DATEDIF($P2884,INT($B2884),"m")+1)-EDATE($P2884,DATEDIF($P2884,INT($B2884),"m"))))/$R2884,0)*$R2884),$P2884))))),"")))</f>
      </c>
      <c r="M2884" s="223">
        <f>IF(OR($C2884="",N($L2884)=0,N($B2884)=0),"",IF(IF(MOD($L2884,1)=0,INT($B2884),$B2884)&lt;=$L2884,"Đúng hạn","Trễ hạn"))</f>
      </c>
      <c r="N2884" s="225">
        <f>IF($C2884="","",ROW())</f>
      </c>
      <c r="O2884" s="225">
        <f>IF($I2884="Công việc",MATCH($C2884,'Kế hoạch'!$A$6:$A$305,0),"")</f>
      </c>
      <c r="P2884" s="234">
        <f>IF($O2884="","",INDEX('Kế hoạch'!$I$6:$I$305,$O2884))</f>
      </c>
      <c r="Q2884" s="225">
        <f>IF($O2884="","",INDEX('Kế hoạch'!$AJ$6:$AJ$305,$O2884))</f>
      </c>
      <c r="R2884" s="225">
        <f>IF($O2884="","",INDEX('Kế hoạch'!$AK$6:$AK$305,$O2884))</f>
      </c>
    </row>
    <row r="2885">
      <c r="A2885" s="223">
        <f>IF($C2885="","",COUNTIF($C$6:$C2885,"?*"))</f>
      </c>
      <c r="B2885" s="217"/>
      <c r="C2885" s="216"/>
      <c r="D2885" s="240"/>
      <c r="E2885" s="218"/>
      <c r="F2885" s="218"/>
      <c r="G2885" s="218"/>
      <c r="H2885" s="219"/>
      <c r="I2885" s="223">
        <f>IF($C2885="","",IF(ISNUMBER(MATCH($C2885,'Phản ánh'!$A$6:$A$505,0)),"Phản ánh",IF(ISNUMBER(MATCH($C2885,'Kế hoạch'!$A$6:$A$305,0)),"Công việc","Mã chưa có")))</f>
      </c>
      <c r="J2885" s="221">
        <f>IF($I2885="Phản ánh",INDEX('Phản ánh'!$C$6:$C$505,MATCH($C2885,'Phản ánh'!$A$6:$A$505,0)),IF($I2885="Công việc",INDEX('Kế hoạch'!$C$6:$C$305,$O2885),""))</f>
      </c>
      <c r="K2885" s="221">
        <f>IF($I2885="Phản ánh",INDEX('Phản ánh'!$K$6:$K$505,MATCH($C2885,'Phản ánh'!$A$6:$A$505,0))&amp;"",IF($I2885="Công việc",INDEX('Kế hoạch'!$N$6:$N$305,$O2885)&amp;"",""))</f>
      </c>
      <c r="L2885" s="220">
        <f>IF(OR($C2885="",N($B2885)=0),"",IF(AND($I2885="Phản ánh",$E2885="Đã xử lý"),INDEX('Phản ánh'!$U$6:$U$505,MATCH($C2885,'Phản ánh'!$A$6:$A$505,0)),IF(AND($I2885="Công việc",OR($E2885="Hoàn thành",$E2885="Hoàn thành kỳ")),IF(INDEX('Kế hoạch'!$B$6:$B$305,$O2885)="Đột xuất",INDEX('Kế hoạch'!$AY$6:$AY$305,$O2885),IF(N($P2885)=0,"",IF(INT($B2885)&lt;$P2885,$P2885,IF($Q2885&gt;0,$P2885+ROUND((INT($B2885)-$P2885)/$Q2885,0)*$Q2885,IF($R2885&gt;0,EDATE($P2885,ROUND((DATEDIF($P2885,INT($B2885),"m")+(INT($B2885)-EDATE($P2885,DATEDIF($P2885,INT($B2885),"m")))/(EDATE($P2885,DATEDIF($P2885,INT($B2885),"m")+1)-EDATE($P2885,DATEDIF($P2885,INT($B2885),"m"))))/$R2885,0)*$R2885),$P2885))))),"")))</f>
      </c>
      <c r="M2885" s="223">
        <f>IF(OR($C2885="",N($L2885)=0,N($B2885)=0),"",IF(IF(MOD($L2885,1)=0,INT($B2885),$B2885)&lt;=$L2885,"Đúng hạn","Trễ hạn"))</f>
      </c>
      <c r="N2885" s="225">
        <f>IF($C2885="","",ROW())</f>
      </c>
      <c r="O2885" s="225">
        <f>IF($I2885="Công việc",MATCH($C2885,'Kế hoạch'!$A$6:$A$305,0),"")</f>
      </c>
      <c r="P2885" s="234">
        <f>IF($O2885="","",INDEX('Kế hoạch'!$I$6:$I$305,$O2885))</f>
      </c>
      <c r="Q2885" s="225">
        <f>IF($O2885="","",INDEX('Kế hoạch'!$AJ$6:$AJ$305,$O2885))</f>
      </c>
      <c r="R2885" s="225">
        <f>IF($O2885="","",INDEX('Kế hoạch'!$AK$6:$AK$305,$O2885))</f>
      </c>
    </row>
    <row r="2886">
      <c r="A2886" s="223">
        <f>IF($C2886="","",COUNTIF($C$6:$C2886,"?*"))</f>
      </c>
      <c r="B2886" s="217"/>
      <c r="C2886" s="216"/>
      <c r="D2886" s="240"/>
      <c r="E2886" s="218"/>
      <c r="F2886" s="218"/>
      <c r="G2886" s="218"/>
      <c r="H2886" s="219"/>
      <c r="I2886" s="223">
        <f>IF($C2886="","",IF(ISNUMBER(MATCH($C2886,'Phản ánh'!$A$6:$A$505,0)),"Phản ánh",IF(ISNUMBER(MATCH($C2886,'Kế hoạch'!$A$6:$A$305,0)),"Công việc","Mã chưa có")))</f>
      </c>
      <c r="J2886" s="221">
        <f>IF($I2886="Phản ánh",INDEX('Phản ánh'!$C$6:$C$505,MATCH($C2886,'Phản ánh'!$A$6:$A$505,0)),IF($I2886="Công việc",INDEX('Kế hoạch'!$C$6:$C$305,$O2886),""))</f>
      </c>
      <c r="K2886" s="221">
        <f>IF($I2886="Phản ánh",INDEX('Phản ánh'!$K$6:$K$505,MATCH($C2886,'Phản ánh'!$A$6:$A$505,0))&amp;"",IF($I2886="Công việc",INDEX('Kế hoạch'!$N$6:$N$305,$O2886)&amp;"",""))</f>
      </c>
      <c r="L2886" s="220">
        <f>IF(OR($C2886="",N($B2886)=0),"",IF(AND($I2886="Phản ánh",$E2886="Đã xử lý"),INDEX('Phản ánh'!$U$6:$U$505,MATCH($C2886,'Phản ánh'!$A$6:$A$505,0)),IF(AND($I2886="Công việc",OR($E2886="Hoàn thành",$E2886="Hoàn thành kỳ")),IF(INDEX('Kế hoạch'!$B$6:$B$305,$O2886)="Đột xuất",INDEX('Kế hoạch'!$AY$6:$AY$305,$O2886),IF(N($P2886)=0,"",IF(INT($B2886)&lt;$P2886,$P2886,IF($Q2886&gt;0,$P2886+ROUND((INT($B2886)-$P2886)/$Q2886,0)*$Q2886,IF($R2886&gt;0,EDATE($P2886,ROUND((DATEDIF($P2886,INT($B2886),"m")+(INT($B2886)-EDATE($P2886,DATEDIF($P2886,INT($B2886),"m")))/(EDATE($P2886,DATEDIF($P2886,INT($B2886),"m")+1)-EDATE($P2886,DATEDIF($P2886,INT($B2886),"m"))))/$R2886,0)*$R2886),$P2886))))),"")))</f>
      </c>
      <c r="M2886" s="223">
        <f>IF(OR($C2886="",N($L2886)=0,N($B2886)=0),"",IF(IF(MOD($L2886,1)=0,INT($B2886),$B2886)&lt;=$L2886,"Đúng hạn","Trễ hạn"))</f>
      </c>
      <c r="N2886" s="225">
        <f>IF($C2886="","",ROW())</f>
      </c>
      <c r="O2886" s="225">
        <f>IF($I2886="Công việc",MATCH($C2886,'Kế hoạch'!$A$6:$A$305,0),"")</f>
      </c>
      <c r="P2886" s="234">
        <f>IF($O2886="","",INDEX('Kế hoạch'!$I$6:$I$305,$O2886))</f>
      </c>
      <c r="Q2886" s="225">
        <f>IF($O2886="","",INDEX('Kế hoạch'!$AJ$6:$AJ$305,$O2886))</f>
      </c>
      <c r="R2886" s="225">
        <f>IF($O2886="","",INDEX('Kế hoạch'!$AK$6:$AK$305,$O2886))</f>
      </c>
    </row>
    <row r="2887">
      <c r="A2887" s="223">
        <f>IF($C2887="","",COUNTIF($C$6:$C2887,"?*"))</f>
      </c>
      <c r="B2887" s="217"/>
      <c r="C2887" s="216"/>
      <c r="D2887" s="240"/>
      <c r="E2887" s="218"/>
      <c r="F2887" s="218"/>
      <c r="G2887" s="218"/>
      <c r="H2887" s="219"/>
      <c r="I2887" s="223">
        <f>IF($C2887="","",IF(ISNUMBER(MATCH($C2887,'Phản ánh'!$A$6:$A$505,0)),"Phản ánh",IF(ISNUMBER(MATCH($C2887,'Kế hoạch'!$A$6:$A$305,0)),"Công việc","Mã chưa có")))</f>
      </c>
      <c r="J2887" s="221">
        <f>IF($I2887="Phản ánh",INDEX('Phản ánh'!$C$6:$C$505,MATCH($C2887,'Phản ánh'!$A$6:$A$505,0)),IF($I2887="Công việc",INDEX('Kế hoạch'!$C$6:$C$305,$O2887),""))</f>
      </c>
      <c r="K2887" s="221">
        <f>IF($I2887="Phản ánh",INDEX('Phản ánh'!$K$6:$K$505,MATCH($C2887,'Phản ánh'!$A$6:$A$505,0))&amp;"",IF($I2887="Công việc",INDEX('Kế hoạch'!$N$6:$N$305,$O2887)&amp;"",""))</f>
      </c>
      <c r="L2887" s="220">
        <f>IF(OR($C2887="",N($B2887)=0),"",IF(AND($I2887="Phản ánh",$E2887="Đã xử lý"),INDEX('Phản ánh'!$U$6:$U$505,MATCH($C2887,'Phản ánh'!$A$6:$A$505,0)),IF(AND($I2887="Công việc",OR($E2887="Hoàn thành",$E2887="Hoàn thành kỳ")),IF(INDEX('Kế hoạch'!$B$6:$B$305,$O2887)="Đột xuất",INDEX('Kế hoạch'!$AY$6:$AY$305,$O2887),IF(N($P2887)=0,"",IF(INT($B2887)&lt;$P2887,$P2887,IF($Q2887&gt;0,$P2887+ROUND((INT($B2887)-$P2887)/$Q2887,0)*$Q2887,IF($R2887&gt;0,EDATE($P2887,ROUND((DATEDIF($P2887,INT($B2887),"m")+(INT($B2887)-EDATE($P2887,DATEDIF($P2887,INT($B2887),"m")))/(EDATE($P2887,DATEDIF($P2887,INT($B2887),"m")+1)-EDATE($P2887,DATEDIF($P2887,INT($B2887),"m"))))/$R2887,0)*$R2887),$P2887))))),"")))</f>
      </c>
      <c r="M2887" s="223">
        <f>IF(OR($C2887="",N($L2887)=0,N($B2887)=0),"",IF(IF(MOD($L2887,1)=0,INT($B2887),$B2887)&lt;=$L2887,"Đúng hạn","Trễ hạn"))</f>
      </c>
      <c r="N2887" s="225">
        <f>IF($C2887="","",ROW())</f>
      </c>
      <c r="O2887" s="225">
        <f>IF($I2887="Công việc",MATCH($C2887,'Kế hoạch'!$A$6:$A$305,0),"")</f>
      </c>
      <c r="P2887" s="234">
        <f>IF($O2887="","",INDEX('Kế hoạch'!$I$6:$I$305,$O2887))</f>
      </c>
      <c r="Q2887" s="225">
        <f>IF($O2887="","",INDEX('Kế hoạch'!$AJ$6:$AJ$305,$O2887))</f>
      </c>
      <c r="R2887" s="225">
        <f>IF($O2887="","",INDEX('Kế hoạch'!$AK$6:$AK$305,$O2887))</f>
      </c>
    </row>
    <row r="2888">
      <c r="A2888" s="223">
        <f>IF($C2888="","",COUNTIF($C$6:$C2888,"?*"))</f>
      </c>
      <c r="B2888" s="217"/>
      <c r="C2888" s="216"/>
      <c r="D2888" s="240"/>
      <c r="E2888" s="218"/>
      <c r="F2888" s="218"/>
      <c r="G2888" s="218"/>
      <c r="H2888" s="219"/>
      <c r="I2888" s="223">
        <f>IF($C2888="","",IF(ISNUMBER(MATCH($C2888,'Phản ánh'!$A$6:$A$505,0)),"Phản ánh",IF(ISNUMBER(MATCH($C2888,'Kế hoạch'!$A$6:$A$305,0)),"Công việc","Mã chưa có")))</f>
      </c>
      <c r="J2888" s="221">
        <f>IF($I2888="Phản ánh",INDEX('Phản ánh'!$C$6:$C$505,MATCH($C2888,'Phản ánh'!$A$6:$A$505,0)),IF($I2888="Công việc",INDEX('Kế hoạch'!$C$6:$C$305,$O2888),""))</f>
      </c>
      <c r="K2888" s="221">
        <f>IF($I2888="Phản ánh",INDEX('Phản ánh'!$K$6:$K$505,MATCH($C2888,'Phản ánh'!$A$6:$A$505,0))&amp;"",IF($I2888="Công việc",INDEX('Kế hoạch'!$N$6:$N$305,$O2888)&amp;"",""))</f>
      </c>
      <c r="L2888" s="220">
        <f>IF(OR($C2888="",N($B2888)=0),"",IF(AND($I2888="Phản ánh",$E2888="Đã xử lý"),INDEX('Phản ánh'!$U$6:$U$505,MATCH($C2888,'Phản ánh'!$A$6:$A$505,0)),IF(AND($I2888="Công việc",OR($E2888="Hoàn thành",$E2888="Hoàn thành kỳ")),IF(INDEX('Kế hoạch'!$B$6:$B$305,$O2888)="Đột xuất",INDEX('Kế hoạch'!$AY$6:$AY$305,$O2888),IF(N($P2888)=0,"",IF(INT($B2888)&lt;$P2888,$P2888,IF($Q2888&gt;0,$P2888+ROUND((INT($B2888)-$P2888)/$Q2888,0)*$Q2888,IF($R2888&gt;0,EDATE($P2888,ROUND((DATEDIF($P2888,INT($B2888),"m")+(INT($B2888)-EDATE($P2888,DATEDIF($P2888,INT($B2888),"m")))/(EDATE($P2888,DATEDIF($P2888,INT($B2888),"m")+1)-EDATE($P2888,DATEDIF($P2888,INT($B2888),"m"))))/$R2888,0)*$R2888),$P2888))))),"")))</f>
      </c>
      <c r="M2888" s="223">
        <f>IF(OR($C2888="",N($L2888)=0,N($B2888)=0),"",IF(IF(MOD($L2888,1)=0,INT($B2888),$B2888)&lt;=$L2888,"Đúng hạn","Trễ hạn"))</f>
      </c>
      <c r="N2888" s="225">
        <f>IF($C2888="","",ROW())</f>
      </c>
      <c r="O2888" s="225">
        <f>IF($I2888="Công việc",MATCH($C2888,'Kế hoạch'!$A$6:$A$305,0),"")</f>
      </c>
      <c r="P2888" s="234">
        <f>IF($O2888="","",INDEX('Kế hoạch'!$I$6:$I$305,$O2888))</f>
      </c>
      <c r="Q2888" s="225">
        <f>IF($O2888="","",INDEX('Kế hoạch'!$AJ$6:$AJ$305,$O2888))</f>
      </c>
      <c r="R2888" s="225">
        <f>IF($O2888="","",INDEX('Kế hoạch'!$AK$6:$AK$305,$O2888))</f>
      </c>
    </row>
    <row r="2889">
      <c r="A2889" s="223">
        <f>IF($C2889="","",COUNTIF($C$6:$C2889,"?*"))</f>
      </c>
      <c r="B2889" s="217"/>
      <c r="C2889" s="216"/>
      <c r="D2889" s="240"/>
      <c r="E2889" s="218"/>
      <c r="F2889" s="218"/>
      <c r="G2889" s="218"/>
      <c r="H2889" s="219"/>
      <c r="I2889" s="223">
        <f>IF($C2889="","",IF(ISNUMBER(MATCH($C2889,'Phản ánh'!$A$6:$A$505,0)),"Phản ánh",IF(ISNUMBER(MATCH($C2889,'Kế hoạch'!$A$6:$A$305,0)),"Công việc","Mã chưa có")))</f>
      </c>
      <c r="J2889" s="221">
        <f>IF($I2889="Phản ánh",INDEX('Phản ánh'!$C$6:$C$505,MATCH($C2889,'Phản ánh'!$A$6:$A$505,0)),IF($I2889="Công việc",INDEX('Kế hoạch'!$C$6:$C$305,$O2889),""))</f>
      </c>
      <c r="K2889" s="221">
        <f>IF($I2889="Phản ánh",INDEX('Phản ánh'!$K$6:$K$505,MATCH($C2889,'Phản ánh'!$A$6:$A$505,0))&amp;"",IF($I2889="Công việc",INDEX('Kế hoạch'!$N$6:$N$305,$O2889)&amp;"",""))</f>
      </c>
      <c r="L2889" s="220">
        <f>IF(OR($C2889="",N($B2889)=0),"",IF(AND($I2889="Phản ánh",$E2889="Đã xử lý"),INDEX('Phản ánh'!$U$6:$U$505,MATCH($C2889,'Phản ánh'!$A$6:$A$505,0)),IF(AND($I2889="Công việc",OR($E2889="Hoàn thành",$E2889="Hoàn thành kỳ")),IF(INDEX('Kế hoạch'!$B$6:$B$305,$O2889)="Đột xuất",INDEX('Kế hoạch'!$AY$6:$AY$305,$O2889),IF(N($P2889)=0,"",IF(INT($B2889)&lt;$P2889,$P2889,IF($Q2889&gt;0,$P2889+ROUND((INT($B2889)-$P2889)/$Q2889,0)*$Q2889,IF($R2889&gt;0,EDATE($P2889,ROUND((DATEDIF($P2889,INT($B2889),"m")+(INT($B2889)-EDATE($P2889,DATEDIF($P2889,INT($B2889),"m")))/(EDATE($P2889,DATEDIF($P2889,INT($B2889),"m")+1)-EDATE($P2889,DATEDIF($P2889,INT($B2889),"m"))))/$R2889,0)*$R2889),$P2889))))),"")))</f>
      </c>
      <c r="M2889" s="223">
        <f>IF(OR($C2889="",N($L2889)=0,N($B2889)=0),"",IF(IF(MOD($L2889,1)=0,INT($B2889),$B2889)&lt;=$L2889,"Đúng hạn","Trễ hạn"))</f>
      </c>
      <c r="N2889" s="225">
        <f>IF($C2889="","",ROW())</f>
      </c>
      <c r="O2889" s="225">
        <f>IF($I2889="Công việc",MATCH($C2889,'Kế hoạch'!$A$6:$A$305,0),"")</f>
      </c>
      <c r="P2889" s="234">
        <f>IF($O2889="","",INDEX('Kế hoạch'!$I$6:$I$305,$O2889))</f>
      </c>
      <c r="Q2889" s="225">
        <f>IF($O2889="","",INDEX('Kế hoạch'!$AJ$6:$AJ$305,$O2889))</f>
      </c>
      <c r="R2889" s="225">
        <f>IF($O2889="","",INDEX('Kế hoạch'!$AK$6:$AK$305,$O2889))</f>
      </c>
    </row>
    <row r="2890">
      <c r="A2890" s="223">
        <f>IF($C2890="","",COUNTIF($C$6:$C2890,"?*"))</f>
      </c>
      <c r="B2890" s="217"/>
      <c r="C2890" s="216"/>
      <c r="D2890" s="240"/>
      <c r="E2890" s="218"/>
      <c r="F2890" s="218"/>
      <c r="G2890" s="218"/>
      <c r="H2890" s="219"/>
      <c r="I2890" s="223">
        <f>IF($C2890="","",IF(ISNUMBER(MATCH($C2890,'Phản ánh'!$A$6:$A$505,0)),"Phản ánh",IF(ISNUMBER(MATCH($C2890,'Kế hoạch'!$A$6:$A$305,0)),"Công việc","Mã chưa có")))</f>
      </c>
      <c r="J2890" s="221">
        <f>IF($I2890="Phản ánh",INDEX('Phản ánh'!$C$6:$C$505,MATCH($C2890,'Phản ánh'!$A$6:$A$505,0)),IF($I2890="Công việc",INDEX('Kế hoạch'!$C$6:$C$305,$O2890),""))</f>
      </c>
      <c r="K2890" s="221">
        <f>IF($I2890="Phản ánh",INDEX('Phản ánh'!$K$6:$K$505,MATCH($C2890,'Phản ánh'!$A$6:$A$505,0))&amp;"",IF($I2890="Công việc",INDEX('Kế hoạch'!$N$6:$N$305,$O2890)&amp;"",""))</f>
      </c>
      <c r="L2890" s="220">
        <f>IF(OR($C2890="",N($B2890)=0),"",IF(AND($I2890="Phản ánh",$E2890="Đã xử lý"),INDEX('Phản ánh'!$U$6:$U$505,MATCH($C2890,'Phản ánh'!$A$6:$A$505,0)),IF(AND($I2890="Công việc",OR($E2890="Hoàn thành",$E2890="Hoàn thành kỳ")),IF(INDEX('Kế hoạch'!$B$6:$B$305,$O2890)="Đột xuất",INDEX('Kế hoạch'!$AY$6:$AY$305,$O2890),IF(N($P2890)=0,"",IF(INT($B2890)&lt;$P2890,$P2890,IF($Q2890&gt;0,$P2890+ROUND((INT($B2890)-$P2890)/$Q2890,0)*$Q2890,IF($R2890&gt;0,EDATE($P2890,ROUND((DATEDIF($P2890,INT($B2890),"m")+(INT($B2890)-EDATE($P2890,DATEDIF($P2890,INT($B2890),"m")))/(EDATE($P2890,DATEDIF($P2890,INT($B2890),"m")+1)-EDATE($P2890,DATEDIF($P2890,INT($B2890),"m"))))/$R2890,0)*$R2890),$P2890))))),"")))</f>
      </c>
      <c r="M2890" s="223">
        <f>IF(OR($C2890="",N($L2890)=0,N($B2890)=0),"",IF(IF(MOD($L2890,1)=0,INT($B2890),$B2890)&lt;=$L2890,"Đúng hạn","Trễ hạn"))</f>
      </c>
      <c r="N2890" s="225">
        <f>IF($C2890="","",ROW())</f>
      </c>
      <c r="O2890" s="225">
        <f>IF($I2890="Công việc",MATCH($C2890,'Kế hoạch'!$A$6:$A$305,0),"")</f>
      </c>
      <c r="P2890" s="234">
        <f>IF($O2890="","",INDEX('Kế hoạch'!$I$6:$I$305,$O2890))</f>
      </c>
      <c r="Q2890" s="225">
        <f>IF($O2890="","",INDEX('Kế hoạch'!$AJ$6:$AJ$305,$O2890))</f>
      </c>
      <c r="R2890" s="225">
        <f>IF($O2890="","",INDEX('Kế hoạch'!$AK$6:$AK$305,$O2890))</f>
      </c>
    </row>
    <row r="2891">
      <c r="A2891" s="223">
        <f>IF($C2891="","",COUNTIF($C$6:$C2891,"?*"))</f>
      </c>
      <c r="B2891" s="217"/>
      <c r="C2891" s="216"/>
      <c r="D2891" s="240"/>
      <c r="E2891" s="218"/>
      <c r="F2891" s="218"/>
      <c r="G2891" s="218"/>
      <c r="H2891" s="219"/>
      <c r="I2891" s="223">
        <f>IF($C2891="","",IF(ISNUMBER(MATCH($C2891,'Phản ánh'!$A$6:$A$505,0)),"Phản ánh",IF(ISNUMBER(MATCH($C2891,'Kế hoạch'!$A$6:$A$305,0)),"Công việc","Mã chưa có")))</f>
      </c>
      <c r="J2891" s="221">
        <f>IF($I2891="Phản ánh",INDEX('Phản ánh'!$C$6:$C$505,MATCH($C2891,'Phản ánh'!$A$6:$A$505,0)),IF($I2891="Công việc",INDEX('Kế hoạch'!$C$6:$C$305,$O2891),""))</f>
      </c>
      <c r="K2891" s="221">
        <f>IF($I2891="Phản ánh",INDEX('Phản ánh'!$K$6:$K$505,MATCH($C2891,'Phản ánh'!$A$6:$A$505,0))&amp;"",IF($I2891="Công việc",INDEX('Kế hoạch'!$N$6:$N$305,$O2891)&amp;"",""))</f>
      </c>
      <c r="L2891" s="220">
        <f>IF(OR($C2891="",N($B2891)=0),"",IF(AND($I2891="Phản ánh",$E2891="Đã xử lý"),INDEX('Phản ánh'!$U$6:$U$505,MATCH($C2891,'Phản ánh'!$A$6:$A$505,0)),IF(AND($I2891="Công việc",OR($E2891="Hoàn thành",$E2891="Hoàn thành kỳ")),IF(INDEX('Kế hoạch'!$B$6:$B$305,$O2891)="Đột xuất",INDEX('Kế hoạch'!$AY$6:$AY$305,$O2891),IF(N($P2891)=0,"",IF(INT($B2891)&lt;$P2891,$P2891,IF($Q2891&gt;0,$P2891+ROUND((INT($B2891)-$P2891)/$Q2891,0)*$Q2891,IF($R2891&gt;0,EDATE($P2891,ROUND((DATEDIF($P2891,INT($B2891),"m")+(INT($B2891)-EDATE($P2891,DATEDIF($P2891,INT($B2891),"m")))/(EDATE($P2891,DATEDIF($P2891,INT($B2891),"m")+1)-EDATE($P2891,DATEDIF($P2891,INT($B2891),"m"))))/$R2891,0)*$R2891),$P2891))))),"")))</f>
      </c>
      <c r="M2891" s="223">
        <f>IF(OR($C2891="",N($L2891)=0,N($B2891)=0),"",IF(IF(MOD($L2891,1)=0,INT($B2891),$B2891)&lt;=$L2891,"Đúng hạn","Trễ hạn"))</f>
      </c>
      <c r="N2891" s="225">
        <f>IF($C2891="","",ROW())</f>
      </c>
      <c r="O2891" s="225">
        <f>IF($I2891="Công việc",MATCH($C2891,'Kế hoạch'!$A$6:$A$305,0),"")</f>
      </c>
      <c r="P2891" s="234">
        <f>IF($O2891="","",INDEX('Kế hoạch'!$I$6:$I$305,$O2891))</f>
      </c>
      <c r="Q2891" s="225">
        <f>IF($O2891="","",INDEX('Kế hoạch'!$AJ$6:$AJ$305,$O2891))</f>
      </c>
      <c r="R2891" s="225">
        <f>IF($O2891="","",INDEX('Kế hoạch'!$AK$6:$AK$305,$O2891))</f>
      </c>
    </row>
    <row r="2892">
      <c r="A2892" s="223">
        <f>IF($C2892="","",COUNTIF($C$6:$C2892,"?*"))</f>
      </c>
      <c r="B2892" s="217"/>
      <c r="C2892" s="216"/>
      <c r="D2892" s="240"/>
      <c r="E2892" s="218"/>
      <c r="F2892" s="218"/>
      <c r="G2892" s="218"/>
      <c r="H2892" s="219"/>
      <c r="I2892" s="223">
        <f>IF($C2892="","",IF(ISNUMBER(MATCH($C2892,'Phản ánh'!$A$6:$A$505,0)),"Phản ánh",IF(ISNUMBER(MATCH($C2892,'Kế hoạch'!$A$6:$A$305,0)),"Công việc","Mã chưa có")))</f>
      </c>
      <c r="J2892" s="221">
        <f>IF($I2892="Phản ánh",INDEX('Phản ánh'!$C$6:$C$505,MATCH($C2892,'Phản ánh'!$A$6:$A$505,0)),IF($I2892="Công việc",INDEX('Kế hoạch'!$C$6:$C$305,$O2892),""))</f>
      </c>
      <c r="K2892" s="221">
        <f>IF($I2892="Phản ánh",INDEX('Phản ánh'!$K$6:$K$505,MATCH($C2892,'Phản ánh'!$A$6:$A$505,0))&amp;"",IF($I2892="Công việc",INDEX('Kế hoạch'!$N$6:$N$305,$O2892)&amp;"",""))</f>
      </c>
      <c r="L2892" s="220">
        <f>IF(OR($C2892="",N($B2892)=0),"",IF(AND($I2892="Phản ánh",$E2892="Đã xử lý"),INDEX('Phản ánh'!$U$6:$U$505,MATCH($C2892,'Phản ánh'!$A$6:$A$505,0)),IF(AND($I2892="Công việc",OR($E2892="Hoàn thành",$E2892="Hoàn thành kỳ")),IF(INDEX('Kế hoạch'!$B$6:$B$305,$O2892)="Đột xuất",INDEX('Kế hoạch'!$AY$6:$AY$305,$O2892),IF(N($P2892)=0,"",IF(INT($B2892)&lt;$P2892,$P2892,IF($Q2892&gt;0,$P2892+ROUND((INT($B2892)-$P2892)/$Q2892,0)*$Q2892,IF($R2892&gt;0,EDATE($P2892,ROUND((DATEDIF($P2892,INT($B2892),"m")+(INT($B2892)-EDATE($P2892,DATEDIF($P2892,INT($B2892),"m")))/(EDATE($P2892,DATEDIF($P2892,INT($B2892),"m")+1)-EDATE($P2892,DATEDIF($P2892,INT($B2892),"m"))))/$R2892,0)*$R2892),$P2892))))),"")))</f>
      </c>
      <c r="M2892" s="223">
        <f>IF(OR($C2892="",N($L2892)=0,N($B2892)=0),"",IF(IF(MOD($L2892,1)=0,INT($B2892),$B2892)&lt;=$L2892,"Đúng hạn","Trễ hạn"))</f>
      </c>
      <c r="N2892" s="225">
        <f>IF($C2892="","",ROW())</f>
      </c>
      <c r="O2892" s="225">
        <f>IF($I2892="Công việc",MATCH($C2892,'Kế hoạch'!$A$6:$A$305,0),"")</f>
      </c>
      <c r="P2892" s="234">
        <f>IF($O2892="","",INDEX('Kế hoạch'!$I$6:$I$305,$O2892))</f>
      </c>
      <c r="Q2892" s="225">
        <f>IF($O2892="","",INDEX('Kế hoạch'!$AJ$6:$AJ$305,$O2892))</f>
      </c>
      <c r="R2892" s="225">
        <f>IF($O2892="","",INDEX('Kế hoạch'!$AK$6:$AK$305,$O2892))</f>
      </c>
    </row>
    <row r="2893">
      <c r="A2893" s="223">
        <f>IF($C2893="","",COUNTIF($C$6:$C2893,"?*"))</f>
      </c>
      <c r="B2893" s="217"/>
      <c r="C2893" s="216"/>
      <c r="D2893" s="240"/>
      <c r="E2893" s="218"/>
      <c r="F2893" s="218"/>
      <c r="G2893" s="218"/>
      <c r="H2893" s="219"/>
      <c r="I2893" s="223">
        <f>IF($C2893="","",IF(ISNUMBER(MATCH($C2893,'Phản ánh'!$A$6:$A$505,0)),"Phản ánh",IF(ISNUMBER(MATCH($C2893,'Kế hoạch'!$A$6:$A$305,0)),"Công việc","Mã chưa có")))</f>
      </c>
      <c r="J2893" s="221">
        <f>IF($I2893="Phản ánh",INDEX('Phản ánh'!$C$6:$C$505,MATCH($C2893,'Phản ánh'!$A$6:$A$505,0)),IF($I2893="Công việc",INDEX('Kế hoạch'!$C$6:$C$305,$O2893),""))</f>
      </c>
      <c r="K2893" s="221">
        <f>IF($I2893="Phản ánh",INDEX('Phản ánh'!$K$6:$K$505,MATCH($C2893,'Phản ánh'!$A$6:$A$505,0))&amp;"",IF($I2893="Công việc",INDEX('Kế hoạch'!$N$6:$N$305,$O2893)&amp;"",""))</f>
      </c>
      <c r="L2893" s="220">
        <f>IF(OR($C2893="",N($B2893)=0),"",IF(AND($I2893="Phản ánh",$E2893="Đã xử lý"),INDEX('Phản ánh'!$U$6:$U$505,MATCH($C2893,'Phản ánh'!$A$6:$A$505,0)),IF(AND($I2893="Công việc",OR($E2893="Hoàn thành",$E2893="Hoàn thành kỳ")),IF(INDEX('Kế hoạch'!$B$6:$B$305,$O2893)="Đột xuất",INDEX('Kế hoạch'!$AY$6:$AY$305,$O2893),IF(N($P2893)=0,"",IF(INT($B2893)&lt;$P2893,$P2893,IF($Q2893&gt;0,$P2893+ROUND((INT($B2893)-$P2893)/$Q2893,0)*$Q2893,IF($R2893&gt;0,EDATE($P2893,ROUND((DATEDIF($P2893,INT($B2893),"m")+(INT($B2893)-EDATE($P2893,DATEDIF($P2893,INT($B2893),"m")))/(EDATE($P2893,DATEDIF($P2893,INT($B2893),"m")+1)-EDATE($P2893,DATEDIF($P2893,INT($B2893),"m"))))/$R2893,0)*$R2893),$P2893))))),"")))</f>
      </c>
      <c r="M2893" s="223">
        <f>IF(OR($C2893="",N($L2893)=0,N($B2893)=0),"",IF(IF(MOD($L2893,1)=0,INT($B2893),$B2893)&lt;=$L2893,"Đúng hạn","Trễ hạn"))</f>
      </c>
      <c r="N2893" s="225">
        <f>IF($C2893="","",ROW())</f>
      </c>
      <c r="O2893" s="225">
        <f>IF($I2893="Công việc",MATCH($C2893,'Kế hoạch'!$A$6:$A$305,0),"")</f>
      </c>
      <c r="P2893" s="234">
        <f>IF($O2893="","",INDEX('Kế hoạch'!$I$6:$I$305,$O2893))</f>
      </c>
      <c r="Q2893" s="225">
        <f>IF($O2893="","",INDEX('Kế hoạch'!$AJ$6:$AJ$305,$O2893))</f>
      </c>
      <c r="R2893" s="225">
        <f>IF($O2893="","",INDEX('Kế hoạch'!$AK$6:$AK$305,$O2893))</f>
      </c>
    </row>
    <row r="2894">
      <c r="A2894" s="223">
        <f>IF($C2894="","",COUNTIF($C$6:$C2894,"?*"))</f>
      </c>
      <c r="B2894" s="217"/>
      <c r="C2894" s="216"/>
      <c r="D2894" s="240"/>
      <c r="E2894" s="218"/>
      <c r="F2894" s="218"/>
      <c r="G2894" s="218"/>
      <c r="H2894" s="219"/>
      <c r="I2894" s="223">
        <f>IF($C2894="","",IF(ISNUMBER(MATCH($C2894,'Phản ánh'!$A$6:$A$505,0)),"Phản ánh",IF(ISNUMBER(MATCH($C2894,'Kế hoạch'!$A$6:$A$305,0)),"Công việc","Mã chưa có")))</f>
      </c>
      <c r="J2894" s="221">
        <f>IF($I2894="Phản ánh",INDEX('Phản ánh'!$C$6:$C$505,MATCH($C2894,'Phản ánh'!$A$6:$A$505,0)),IF($I2894="Công việc",INDEX('Kế hoạch'!$C$6:$C$305,$O2894),""))</f>
      </c>
      <c r="K2894" s="221">
        <f>IF($I2894="Phản ánh",INDEX('Phản ánh'!$K$6:$K$505,MATCH($C2894,'Phản ánh'!$A$6:$A$505,0))&amp;"",IF($I2894="Công việc",INDEX('Kế hoạch'!$N$6:$N$305,$O2894)&amp;"",""))</f>
      </c>
      <c r="L2894" s="220">
        <f>IF(OR($C2894="",N($B2894)=0),"",IF(AND($I2894="Phản ánh",$E2894="Đã xử lý"),INDEX('Phản ánh'!$U$6:$U$505,MATCH($C2894,'Phản ánh'!$A$6:$A$505,0)),IF(AND($I2894="Công việc",OR($E2894="Hoàn thành",$E2894="Hoàn thành kỳ")),IF(INDEX('Kế hoạch'!$B$6:$B$305,$O2894)="Đột xuất",INDEX('Kế hoạch'!$AY$6:$AY$305,$O2894),IF(N($P2894)=0,"",IF(INT($B2894)&lt;$P2894,$P2894,IF($Q2894&gt;0,$P2894+ROUND((INT($B2894)-$P2894)/$Q2894,0)*$Q2894,IF($R2894&gt;0,EDATE($P2894,ROUND((DATEDIF($P2894,INT($B2894),"m")+(INT($B2894)-EDATE($P2894,DATEDIF($P2894,INT($B2894),"m")))/(EDATE($P2894,DATEDIF($P2894,INT($B2894),"m")+1)-EDATE($P2894,DATEDIF($P2894,INT($B2894),"m"))))/$R2894,0)*$R2894),$P2894))))),"")))</f>
      </c>
      <c r="M2894" s="223">
        <f>IF(OR($C2894="",N($L2894)=0,N($B2894)=0),"",IF(IF(MOD($L2894,1)=0,INT($B2894),$B2894)&lt;=$L2894,"Đúng hạn","Trễ hạn"))</f>
      </c>
      <c r="N2894" s="225">
        <f>IF($C2894="","",ROW())</f>
      </c>
      <c r="O2894" s="225">
        <f>IF($I2894="Công việc",MATCH($C2894,'Kế hoạch'!$A$6:$A$305,0),"")</f>
      </c>
      <c r="P2894" s="234">
        <f>IF($O2894="","",INDEX('Kế hoạch'!$I$6:$I$305,$O2894))</f>
      </c>
      <c r="Q2894" s="225">
        <f>IF($O2894="","",INDEX('Kế hoạch'!$AJ$6:$AJ$305,$O2894))</f>
      </c>
      <c r="R2894" s="225">
        <f>IF($O2894="","",INDEX('Kế hoạch'!$AK$6:$AK$305,$O2894))</f>
      </c>
    </row>
    <row r="2895">
      <c r="A2895" s="223">
        <f>IF($C2895="","",COUNTIF($C$6:$C2895,"?*"))</f>
      </c>
      <c r="B2895" s="217"/>
      <c r="C2895" s="216"/>
      <c r="D2895" s="240"/>
      <c r="E2895" s="218"/>
      <c r="F2895" s="218"/>
      <c r="G2895" s="218"/>
      <c r="H2895" s="219"/>
      <c r="I2895" s="223">
        <f>IF($C2895="","",IF(ISNUMBER(MATCH($C2895,'Phản ánh'!$A$6:$A$505,0)),"Phản ánh",IF(ISNUMBER(MATCH($C2895,'Kế hoạch'!$A$6:$A$305,0)),"Công việc","Mã chưa có")))</f>
      </c>
      <c r="J2895" s="221">
        <f>IF($I2895="Phản ánh",INDEX('Phản ánh'!$C$6:$C$505,MATCH($C2895,'Phản ánh'!$A$6:$A$505,0)),IF($I2895="Công việc",INDEX('Kế hoạch'!$C$6:$C$305,$O2895),""))</f>
      </c>
      <c r="K2895" s="221">
        <f>IF($I2895="Phản ánh",INDEX('Phản ánh'!$K$6:$K$505,MATCH($C2895,'Phản ánh'!$A$6:$A$505,0))&amp;"",IF($I2895="Công việc",INDEX('Kế hoạch'!$N$6:$N$305,$O2895)&amp;"",""))</f>
      </c>
      <c r="L2895" s="220">
        <f>IF(OR($C2895="",N($B2895)=0),"",IF(AND($I2895="Phản ánh",$E2895="Đã xử lý"),INDEX('Phản ánh'!$U$6:$U$505,MATCH($C2895,'Phản ánh'!$A$6:$A$505,0)),IF(AND($I2895="Công việc",OR($E2895="Hoàn thành",$E2895="Hoàn thành kỳ")),IF(INDEX('Kế hoạch'!$B$6:$B$305,$O2895)="Đột xuất",INDEX('Kế hoạch'!$AY$6:$AY$305,$O2895),IF(N($P2895)=0,"",IF(INT($B2895)&lt;$P2895,$P2895,IF($Q2895&gt;0,$P2895+ROUND((INT($B2895)-$P2895)/$Q2895,0)*$Q2895,IF($R2895&gt;0,EDATE($P2895,ROUND((DATEDIF($P2895,INT($B2895),"m")+(INT($B2895)-EDATE($P2895,DATEDIF($P2895,INT($B2895),"m")))/(EDATE($P2895,DATEDIF($P2895,INT($B2895),"m")+1)-EDATE($P2895,DATEDIF($P2895,INT($B2895),"m"))))/$R2895,0)*$R2895),$P2895))))),"")))</f>
      </c>
      <c r="M2895" s="223">
        <f>IF(OR($C2895="",N($L2895)=0,N($B2895)=0),"",IF(IF(MOD($L2895,1)=0,INT($B2895),$B2895)&lt;=$L2895,"Đúng hạn","Trễ hạn"))</f>
      </c>
      <c r="N2895" s="225">
        <f>IF($C2895="","",ROW())</f>
      </c>
      <c r="O2895" s="225">
        <f>IF($I2895="Công việc",MATCH($C2895,'Kế hoạch'!$A$6:$A$305,0),"")</f>
      </c>
      <c r="P2895" s="234">
        <f>IF($O2895="","",INDEX('Kế hoạch'!$I$6:$I$305,$O2895))</f>
      </c>
      <c r="Q2895" s="225">
        <f>IF($O2895="","",INDEX('Kế hoạch'!$AJ$6:$AJ$305,$O2895))</f>
      </c>
      <c r="R2895" s="225">
        <f>IF($O2895="","",INDEX('Kế hoạch'!$AK$6:$AK$305,$O2895))</f>
      </c>
    </row>
    <row r="2896">
      <c r="A2896" s="223">
        <f>IF($C2896="","",COUNTIF($C$6:$C2896,"?*"))</f>
      </c>
      <c r="B2896" s="217"/>
      <c r="C2896" s="216"/>
      <c r="D2896" s="240"/>
      <c r="E2896" s="218"/>
      <c r="F2896" s="218"/>
      <c r="G2896" s="218"/>
      <c r="H2896" s="219"/>
      <c r="I2896" s="223">
        <f>IF($C2896="","",IF(ISNUMBER(MATCH($C2896,'Phản ánh'!$A$6:$A$505,0)),"Phản ánh",IF(ISNUMBER(MATCH($C2896,'Kế hoạch'!$A$6:$A$305,0)),"Công việc","Mã chưa có")))</f>
      </c>
      <c r="J2896" s="221">
        <f>IF($I2896="Phản ánh",INDEX('Phản ánh'!$C$6:$C$505,MATCH($C2896,'Phản ánh'!$A$6:$A$505,0)),IF($I2896="Công việc",INDEX('Kế hoạch'!$C$6:$C$305,$O2896),""))</f>
      </c>
      <c r="K2896" s="221">
        <f>IF($I2896="Phản ánh",INDEX('Phản ánh'!$K$6:$K$505,MATCH($C2896,'Phản ánh'!$A$6:$A$505,0))&amp;"",IF($I2896="Công việc",INDEX('Kế hoạch'!$N$6:$N$305,$O2896)&amp;"",""))</f>
      </c>
      <c r="L2896" s="220">
        <f>IF(OR($C2896="",N($B2896)=0),"",IF(AND($I2896="Phản ánh",$E2896="Đã xử lý"),INDEX('Phản ánh'!$U$6:$U$505,MATCH($C2896,'Phản ánh'!$A$6:$A$505,0)),IF(AND($I2896="Công việc",OR($E2896="Hoàn thành",$E2896="Hoàn thành kỳ")),IF(INDEX('Kế hoạch'!$B$6:$B$305,$O2896)="Đột xuất",INDEX('Kế hoạch'!$AY$6:$AY$305,$O2896),IF(N($P2896)=0,"",IF(INT($B2896)&lt;$P2896,$P2896,IF($Q2896&gt;0,$P2896+ROUND((INT($B2896)-$P2896)/$Q2896,0)*$Q2896,IF($R2896&gt;0,EDATE($P2896,ROUND((DATEDIF($P2896,INT($B2896),"m")+(INT($B2896)-EDATE($P2896,DATEDIF($P2896,INT($B2896),"m")))/(EDATE($P2896,DATEDIF($P2896,INT($B2896),"m")+1)-EDATE($P2896,DATEDIF($P2896,INT($B2896),"m"))))/$R2896,0)*$R2896),$P2896))))),"")))</f>
      </c>
      <c r="M2896" s="223">
        <f>IF(OR($C2896="",N($L2896)=0,N($B2896)=0),"",IF(IF(MOD($L2896,1)=0,INT($B2896),$B2896)&lt;=$L2896,"Đúng hạn","Trễ hạn"))</f>
      </c>
      <c r="N2896" s="225">
        <f>IF($C2896="","",ROW())</f>
      </c>
      <c r="O2896" s="225">
        <f>IF($I2896="Công việc",MATCH($C2896,'Kế hoạch'!$A$6:$A$305,0),"")</f>
      </c>
      <c r="P2896" s="234">
        <f>IF($O2896="","",INDEX('Kế hoạch'!$I$6:$I$305,$O2896))</f>
      </c>
      <c r="Q2896" s="225">
        <f>IF($O2896="","",INDEX('Kế hoạch'!$AJ$6:$AJ$305,$O2896))</f>
      </c>
      <c r="R2896" s="225">
        <f>IF($O2896="","",INDEX('Kế hoạch'!$AK$6:$AK$305,$O2896))</f>
      </c>
    </row>
    <row r="2897">
      <c r="A2897" s="223">
        <f>IF($C2897="","",COUNTIF($C$6:$C2897,"?*"))</f>
      </c>
      <c r="B2897" s="217"/>
      <c r="C2897" s="216"/>
      <c r="D2897" s="240"/>
      <c r="E2897" s="218"/>
      <c r="F2897" s="218"/>
      <c r="G2897" s="218"/>
      <c r="H2897" s="219"/>
      <c r="I2897" s="223">
        <f>IF($C2897="","",IF(ISNUMBER(MATCH($C2897,'Phản ánh'!$A$6:$A$505,0)),"Phản ánh",IF(ISNUMBER(MATCH($C2897,'Kế hoạch'!$A$6:$A$305,0)),"Công việc","Mã chưa có")))</f>
      </c>
      <c r="J2897" s="221">
        <f>IF($I2897="Phản ánh",INDEX('Phản ánh'!$C$6:$C$505,MATCH($C2897,'Phản ánh'!$A$6:$A$505,0)),IF($I2897="Công việc",INDEX('Kế hoạch'!$C$6:$C$305,$O2897),""))</f>
      </c>
      <c r="K2897" s="221">
        <f>IF($I2897="Phản ánh",INDEX('Phản ánh'!$K$6:$K$505,MATCH($C2897,'Phản ánh'!$A$6:$A$505,0))&amp;"",IF($I2897="Công việc",INDEX('Kế hoạch'!$N$6:$N$305,$O2897)&amp;"",""))</f>
      </c>
      <c r="L2897" s="220">
        <f>IF(OR($C2897="",N($B2897)=0),"",IF(AND($I2897="Phản ánh",$E2897="Đã xử lý"),INDEX('Phản ánh'!$U$6:$U$505,MATCH($C2897,'Phản ánh'!$A$6:$A$505,0)),IF(AND($I2897="Công việc",OR($E2897="Hoàn thành",$E2897="Hoàn thành kỳ")),IF(INDEX('Kế hoạch'!$B$6:$B$305,$O2897)="Đột xuất",INDEX('Kế hoạch'!$AY$6:$AY$305,$O2897),IF(N($P2897)=0,"",IF(INT($B2897)&lt;$P2897,$P2897,IF($Q2897&gt;0,$P2897+ROUND((INT($B2897)-$P2897)/$Q2897,0)*$Q2897,IF($R2897&gt;0,EDATE($P2897,ROUND((DATEDIF($P2897,INT($B2897),"m")+(INT($B2897)-EDATE($P2897,DATEDIF($P2897,INT($B2897),"m")))/(EDATE($P2897,DATEDIF($P2897,INT($B2897),"m")+1)-EDATE($P2897,DATEDIF($P2897,INT($B2897),"m"))))/$R2897,0)*$R2897),$P2897))))),"")))</f>
      </c>
      <c r="M2897" s="223">
        <f>IF(OR($C2897="",N($L2897)=0,N($B2897)=0),"",IF(IF(MOD($L2897,1)=0,INT($B2897),$B2897)&lt;=$L2897,"Đúng hạn","Trễ hạn"))</f>
      </c>
      <c r="N2897" s="225">
        <f>IF($C2897="","",ROW())</f>
      </c>
      <c r="O2897" s="225">
        <f>IF($I2897="Công việc",MATCH($C2897,'Kế hoạch'!$A$6:$A$305,0),"")</f>
      </c>
      <c r="P2897" s="234">
        <f>IF($O2897="","",INDEX('Kế hoạch'!$I$6:$I$305,$O2897))</f>
      </c>
      <c r="Q2897" s="225">
        <f>IF($O2897="","",INDEX('Kế hoạch'!$AJ$6:$AJ$305,$O2897))</f>
      </c>
      <c r="R2897" s="225">
        <f>IF($O2897="","",INDEX('Kế hoạch'!$AK$6:$AK$305,$O2897))</f>
      </c>
    </row>
    <row r="2898">
      <c r="A2898" s="223">
        <f>IF($C2898="","",COUNTIF($C$6:$C2898,"?*"))</f>
      </c>
      <c r="B2898" s="217"/>
      <c r="C2898" s="216"/>
      <c r="D2898" s="240"/>
      <c r="E2898" s="218"/>
      <c r="F2898" s="218"/>
      <c r="G2898" s="218"/>
      <c r="H2898" s="219"/>
      <c r="I2898" s="223">
        <f>IF($C2898="","",IF(ISNUMBER(MATCH($C2898,'Phản ánh'!$A$6:$A$505,0)),"Phản ánh",IF(ISNUMBER(MATCH($C2898,'Kế hoạch'!$A$6:$A$305,0)),"Công việc","Mã chưa có")))</f>
      </c>
      <c r="J2898" s="221">
        <f>IF($I2898="Phản ánh",INDEX('Phản ánh'!$C$6:$C$505,MATCH($C2898,'Phản ánh'!$A$6:$A$505,0)),IF($I2898="Công việc",INDEX('Kế hoạch'!$C$6:$C$305,$O2898),""))</f>
      </c>
      <c r="K2898" s="221">
        <f>IF($I2898="Phản ánh",INDEX('Phản ánh'!$K$6:$K$505,MATCH($C2898,'Phản ánh'!$A$6:$A$505,0))&amp;"",IF($I2898="Công việc",INDEX('Kế hoạch'!$N$6:$N$305,$O2898)&amp;"",""))</f>
      </c>
      <c r="L2898" s="220">
        <f>IF(OR($C2898="",N($B2898)=0),"",IF(AND($I2898="Phản ánh",$E2898="Đã xử lý"),INDEX('Phản ánh'!$U$6:$U$505,MATCH($C2898,'Phản ánh'!$A$6:$A$505,0)),IF(AND($I2898="Công việc",OR($E2898="Hoàn thành",$E2898="Hoàn thành kỳ")),IF(INDEX('Kế hoạch'!$B$6:$B$305,$O2898)="Đột xuất",INDEX('Kế hoạch'!$AY$6:$AY$305,$O2898),IF(N($P2898)=0,"",IF(INT($B2898)&lt;$P2898,$P2898,IF($Q2898&gt;0,$P2898+ROUND((INT($B2898)-$P2898)/$Q2898,0)*$Q2898,IF($R2898&gt;0,EDATE($P2898,ROUND((DATEDIF($P2898,INT($B2898),"m")+(INT($B2898)-EDATE($P2898,DATEDIF($P2898,INT($B2898),"m")))/(EDATE($P2898,DATEDIF($P2898,INT($B2898),"m")+1)-EDATE($P2898,DATEDIF($P2898,INT($B2898),"m"))))/$R2898,0)*$R2898),$P2898))))),"")))</f>
      </c>
      <c r="M2898" s="223">
        <f>IF(OR($C2898="",N($L2898)=0,N($B2898)=0),"",IF(IF(MOD($L2898,1)=0,INT($B2898),$B2898)&lt;=$L2898,"Đúng hạn","Trễ hạn"))</f>
      </c>
      <c r="N2898" s="225">
        <f>IF($C2898="","",ROW())</f>
      </c>
      <c r="O2898" s="225">
        <f>IF($I2898="Công việc",MATCH($C2898,'Kế hoạch'!$A$6:$A$305,0),"")</f>
      </c>
      <c r="P2898" s="234">
        <f>IF($O2898="","",INDEX('Kế hoạch'!$I$6:$I$305,$O2898))</f>
      </c>
      <c r="Q2898" s="225">
        <f>IF($O2898="","",INDEX('Kế hoạch'!$AJ$6:$AJ$305,$O2898))</f>
      </c>
      <c r="R2898" s="225">
        <f>IF($O2898="","",INDEX('Kế hoạch'!$AK$6:$AK$305,$O2898))</f>
      </c>
    </row>
    <row r="2899">
      <c r="A2899" s="223">
        <f>IF($C2899="","",COUNTIF($C$6:$C2899,"?*"))</f>
      </c>
      <c r="B2899" s="217"/>
      <c r="C2899" s="216"/>
      <c r="D2899" s="240"/>
      <c r="E2899" s="218"/>
      <c r="F2899" s="218"/>
      <c r="G2899" s="218"/>
      <c r="H2899" s="219"/>
      <c r="I2899" s="223">
        <f>IF($C2899="","",IF(ISNUMBER(MATCH($C2899,'Phản ánh'!$A$6:$A$505,0)),"Phản ánh",IF(ISNUMBER(MATCH($C2899,'Kế hoạch'!$A$6:$A$305,0)),"Công việc","Mã chưa có")))</f>
      </c>
      <c r="J2899" s="221">
        <f>IF($I2899="Phản ánh",INDEX('Phản ánh'!$C$6:$C$505,MATCH($C2899,'Phản ánh'!$A$6:$A$505,0)),IF($I2899="Công việc",INDEX('Kế hoạch'!$C$6:$C$305,$O2899),""))</f>
      </c>
      <c r="K2899" s="221">
        <f>IF($I2899="Phản ánh",INDEX('Phản ánh'!$K$6:$K$505,MATCH($C2899,'Phản ánh'!$A$6:$A$505,0))&amp;"",IF($I2899="Công việc",INDEX('Kế hoạch'!$N$6:$N$305,$O2899)&amp;"",""))</f>
      </c>
      <c r="L2899" s="220">
        <f>IF(OR($C2899="",N($B2899)=0),"",IF(AND($I2899="Phản ánh",$E2899="Đã xử lý"),INDEX('Phản ánh'!$U$6:$U$505,MATCH($C2899,'Phản ánh'!$A$6:$A$505,0)),IF(AND($I2899="Công việc",OR($E2899="Hoàn thành",$E2899="Hoàn thành kỳ")),IF(INDEX('Kế hoạch'!$B$6:$B$305,$O2899)="Đột xuất",INDEX('Kế hoạch'!$AY$6:$AY$305,$O2899),IF(N($P2899)=0,"",IF(INT($B2899)&lt;$P2899,$P2899,IF($Q2899&gt;0,$P2899+ROUND((INT($B2899)-$P2899)/$Q2899,0)*$Q2899,IF($R2899&gt;0,EDATE($P2899,ROUND((DATEDIF($P2899,INT($B2899),"m")+(INT($B2899)-EDATE($P2899,DATEDIF($P2899,INT($B2899),"m")))/(EDATE($P2899,DATEDIF($P2899,INT($B2899),"m")+1)-EDATE($P2899,DATEDIF($P2899,INT($B2899),"m"))))/$R2899,0)*$R2899),$P2899))))),"")))</f>
      </c>
      <c r="M2899" s="223">
        <f>IF(OR($C2899="",N($L2899)=0,N($B2899)=0),"",IF(IF(MOD($L2899,1)=0,INT($B2899),$B2899)&lt;=$L2899,"Đúng hạn","Trễ hạn"))</f>
      </c>
      <c r="N2899" s="225">
        <f>IF($C2899="","",ROW())</f>
      </c>
      <c r="O2899" s="225">
        <f>IF($I2899="Công việc",MATCH($C2899,'Kế hoạch'!$A$6:$A$305,0),"")</f>
      </c>
      <c r="P2899" s="234">
        <f>IF($O2899="","",INDEX('Kế hoạch'!$I$6:$I$305,$O2899))</f>
      </c>
      <c r="Q2899" s="225">
        <f>IF($O2899="","",INDEX('Kế hoạch'!$AJ$6:$AJ$305,$O2899))</f>
      </c>
      <c r="R2899" s="225">
        <f>IF($O2899="","",INDEX('Kế hoạch'!$AK$6:$AK$305,$O2899))</f>
      </c>
    </row>
    <row r="2900">
      <c r="A2900" s="223">
        <f>IF($C2900="","",COUNTIF($C$6:$C2900,"?*"))</f>
      </c>
      <c r="B2900" s="217"/>
      <c r="C2900" s="216"/>
      <c r="D2900" s="240"/>
      <c r="E2900" s="218"/>
      <c r="F2900" s="218"/>
      <c r="G2900" s="218"/>
      <c r="H2900" s="219"/>
      <c r="I2900" s="223">
        <f>IF($C2900="","",IF(ISNUMBER(MATCH($C2900,'Phản ánh'!$A$6:$A$505,0)),"Phản ánh",IF(ISNUMBER(MATCH($C2900,'Kế hoạch'!$A$6:$A$305,0)),"Công việc","Mã chưa có")))</f>
      </c>
      <c r="J2900" s="221">
        <f>IF($I2900="Phản ánh",INDEX('Phản ánh'!$C$6:$C$505,MATCH($C2900,'Phản ánh'!$A$6:$A$505,0)),IF($I2900="Công việc",INDEX('Kế hoạch'!$C$6:$C$305,$O2900),""))</f>
      </c>
      <c r="K2900" s="221">
        <f>IF($I2900="Phản ánh",INDEX('Phản ánh'!$K$6:$K$505,MATCH($C2900,'Phản ánh'!$A$6:$A$505,0))&amp;"",IF($I2900="Công việc",INDEX('Kế hoạch'!$N$6:$N$305,$O2900)&amp;"",""))</f>
      </c>
      <c r="L2900" s="220">
        <f>IF(OR($C2900="",N($B2900)=0),"",IF(AND($I2900="Phản ánh",$E2900="Đã xử lý"),INDEX('Phản ánh'!$U$6:$U$505,MATCH($C2900,'Phản ánh'!$A$6:$A$505,0)),IF(AND($I2900="Công việc",OR($E2900="Hoàn thành",$E2900="Hoàn thành kỳ")),IF(INDEX('Kế hoạch'!$B$6:$B$305,$O2900)="Đột xuất",INDEX('Kế hoạch'!$AY$6:$AY$305,$O2900),IF(N($P2900)=0,"",IF(INT($B2900)&lt;$P2900,$P2900,IF($Q2900&gt;0,$P2900+ROUND((INT($B2900)-$P2900)/$Q2900,0)*$Q2900,IF($R2900&gt;0,EDATE($P2900,ROUND((DATEDIF($P2900,INT($B2900),"m")+(INT($B2900)-EDATE($P2900,DATEDIF($P2900,INT($B2900),"m")))/(EDATE($P2900,DATEDIF($P2900,INT($B2900),"m")+1)-EDATE($P2900,DATEDIF($P2900,INT($B2900),"m"))))/$R2900,0)*$R2900),$P2900))))),"")))</f>
      </c>
      <c r="M2900" s="223">
        <f>IF(OR($C2900="",N($L2900)=0,N($B2900)=0),"",IF(IF(MOD($L2900,1)=0,INT($B2900),$B2900)&lt;=$L2900,"Đúng hạn","Trễ hạn"))</f>
      </c>
      <c r="N2900" s="225">
        <f>IF($C2900="","",ROW())</f>
      </c>
      <c r="O2900" s="225">
        <f>IF($I2900="Công việc",MATCH($C2900,'Kế hoạch'!$A$6:$A$305,0),"")</f>
      </c>
      <c r="P2900" s="234">
        <f>IF($O2900="","",INDEX('Kế hoạch'!$I$6:$I$305,$O2900))</f>
      </c>
      <c r="Q2900" s="225">
        <f>IF($O2900="","",INDEX('Kế hoạch'!$AJ$6:$AJ$305,$O2900))</f>
      </c>
      <c r="R2900" s="225">
        <f>IF($O2900="","",INDEX('Kế hoạch'!$AK$6:$AK$305,$O2900))</f>
      </c>
    </row>
    <row r="2901">
      <c r="A2901" s="223">
        <f>IF($C2901="","",COUNTIF($C$6:$C2901,"?*"))</f>
      </c>
      <c r="B2901" s="217"/>
      <c r="C2901" s="216"/>
      <c r="D2901" s="240"/>
      <c r="E2901" s="218"/>
      <c r="F2901" s="218"/>
      <c r="G2901" s="218"/>
      <c r="H2901" s="219"/>
      <c r="I2901" s="223">
        <f>IF($C2901="","",IF(ISNUMBER(MATCH($C2901,'Phản ánh'!$A$6:$A$505,0)),"Phản ánh",IF(ISNUMBER(MATCH($C2901,'Kế hoạch'!$A$6:$A$305,0)),"Công việc","Mã chưa có")))</f>
      </c>
      <c r="J2901" s="221">
        <f>IF($I2901="Phản ánh",INDEX('Phản ánh'!$C$6:$C$505,MATCH($C2901,'Phản ánh'!$A$6:$A$505,0)),IF($I2901="Công việc",INDEX('Kế hoạch'!$C$6:$C$305,$O2901),""))</f>
      </c>
      <c r="K2901" s="221">
        <f>IF($I2901="Phản ánh",INDEX('Phản ánh'!$K$6:$K$505,MATCH($C2901,'Phản ánh'!$A$6:$A$505,0))&amp;"",IF($I2901="Công việc",INDEX('Kế hoạch'!$N$6:$N$305,$O2901)&amp;"",""))</f>
      </c>
      <c r="L2901" s="220">
        <f>IF(OR($C2901="",N($B2901)=0),"",IF(AND($I2901="Phản ánh",$E2901="Đã xử lý"),INDEX('Phản ánh'!$U$6:$U$505,MATCH($C2901,'Phản ánh'!$A$6:$A$505,0)),IF(AND($I2901="Công việc",OR($E2901="Hoàn thành",$E2901="Hoàn thành kỳ")),IF(INDEX('Kế hoạch'!$B$6:$B$305,$O2901)="Đột xuất",INDEX('Kế hoạch'!$AY$6:$AY$305,$O2901),IF(N($P2901)=0,"",IF(INT($B2901)&lt;$P2901,$P2901,IF($Q2901&gt;0,$P2901+ROUND((INT($B2901)-$P2901)/$Q2901,0)*$Q2901,IF($R2901&gt;0,EDATE($P2901,ROUND((DATEDIF($P2901,INT($B2901),"m")+(INT($B2901)-EDATE($P2901,DATEDIF($P2901,INT($B2901),"m")))/(EDATE($P2901,DATEDIF($P2901,INT($B2901),"m")+1)-EDATE($P2901,DATEDIF($P2901,INT($B2901),"m"))))/$R2901,0)*$R2901),$P2901))))),"")))</f>
      </c>
      <c r="M2901" s="223">
        <f>IF(OR($C2901="",N($L2901)=0,N($B2901)=0),"",IF(IF(MOD($L2901,1)=0,INT($B2901),$B2901)&lt;=$L2901,"Đúng hạn","Trễ hạn"))</f>
      </c>
      <c r="N2901" s="225">
        <f>IF($C2901="","",ROW())</f>
      </c>
      <c r="O2901" s="225">
        <f>IF($I2901="Công việc",MATCH($C2901,'Kế hoạch'!$A$6:$A$305,0),"")</f>
      </c>
      <c r="P2901" s="234">
        <f>IF($O2901="","",INDEX('Kế hoạch'!$I$6:$I$305,$O2901))</f>
      </c>
      <c r="Q2901" s="225">
        <f>IF($O2901="","",INDEX('Kế hoạch'!$AJ$6:$AJ$305,$O2901))</f>
      </c>
      <c r="R2901" s="225">
        <f>IF($O2901="","",INDEX('Kế hoạch'!$AK$6:$AK$305,$O2901))</f>
      </c>
    </row>
    <row r="2902">
      <c r="A2902" s="223">
        <f>IF($C2902="","",COUNTIF($C$6:$C2902,"?*"))</f>
      </c>
      <c r="B2902" s="217"/>
      <c r="C2902" s="216"/>
      <c r="D2902" s="240"/>
      <c r="E2902" s="218"/>
      <c r="F2902" s="218"/>
      <c r="G2902" s="218"/>
      <c r="H2902" s="219"/>
      <c r="I2902" s="223">
        <f>IF($C2902="","",IF(ISNUMBER(MATCH($C2902,'Phản ánh'!$A$6:$A$505,0)),"Phản ánh",IF(ISNUMBER(MATCH($C2902,'Kế hoạch'!$A$6:$A$305,0)),"Công việc","Mã chưa có")))</f>
      </c>
      <c r="J2902" s="221">
        <f>IF($I2902="Phản ánh",INDEX('Phản ánh'!$C$6:$C$505,MATCH($C2902,'Phản ánh'!$A$6:$A$505,0)),IF($I2902="Công việc",INDEX('Kế hoạch'!$C$6:$C$305,$O2902),""))</f>
      </c>
      <c r="K2902" s="221">
        <f>IF($I2902="Phản ánh",INDEX('Phản ánh'!$K$6:$K$505,MATCH($C2902,'Phản ánh'!$A$6:$A$505,0))&amp;"",IF($I2902="Công việc",INDEX('Kế hoạch'!$N$6:$N$305,$O2902)&amp;"",""))</f>
      </c>
      <c r="L2902" s="220">
        <f>IF(OR($C2902="",N($B2902)=0),"",IF(AND($I2902="Phản ánh",$E2902="Đã xử lý"),INDEX('Phản ánh'!$U$6:$U$505,MATCH($C2902,'Phản ánh'!$A$6:$A$505,0)),IF(AND($I2902="Công việc",OR($E2902="Hoàn thành",$E2902="Hoàn thành kỳ")),IF(INDEX('Kế hoạch'!$B$6:$B$305,$O2902)="Đột xuất",INDEX('Kế hoạch'!$AY$6:$AY$305,$O2902),IF(N($P2902)=0,"",IF(INT($B2902)&lt;$P2902,$P2902,IF($Q2902&gt;0,$P2902+ROUND((INT($B2902)-$P2902)/$Q2902,0)*$Q2902,IF($R2902&gt;0,EDATE($P2902,ROUND((DATEDIF($P2902,INT($B2902),"m")+(INT($B2902)-EDATE($P2902,DATEDIF($P2902,INT($B2902),"m")))/(EDATE($P2902,DATEDIF($P2902,INT($B2902),"m")+1)-EDATE($P2902,DATEDIF($P2902,INT($B2902),"m"))))/$R2902,0)*$R2902),$P2902))))),"")))</f>
      </c>
      <c r="M2902" s="223">
        <f>IF(OR($C2902="",N($L2902)=0,N($B2902)=0),"",IF(IF(MOD($L2902,1)=0,INT($B2902),$B2902)&lt;=$L2902,"Đúng hạn","Trễ hạn"))</f>
      </c>
      <c r="N2902" s="225">
        <f>IF($C2902="","",ROW())</f>
      </c>
      <c r="O2902" s="225">
        <f>IF($I2902="Công việc",MATCH($C2902,'Kế hoạch'!$A$6:$A$305,0),"")</f>
      </c>
      <c r="P2902" s="234">
        <f>IF($O2902="","",INDEX('Kế hoạch'!$I$6:$I$305,$O2902))</f>
      </c>
      <c r="Q2902" s="225">
        <f>IF($O2902="","",INDEX('Kế hoạch'!$AJ$6:$AJ$305,$O2902))</f>
      </c>
      <c r="R2902" s="225">
        <f>IF($O2902="","",INDEX('Kế hoạch'!$AK$6:$AK$305,$O2902))</f>
      </c>
    </row>
    <row r="2903">
      <c r="A2903" s="223">
        <f>IF($C2903="","",COUNTIF($C$6:$C2903,"?*"))</f>
      </c>
      <c r="B2903" s="217"/>
      <c r="C2903" s="216"/>
      <c r="D2903" s="240"/>
      <c r="E2903" s="218"/>
      <c r="F2903" s="218"/>
      <c r="G2903" s="218"/>
      <c r="H2903" s="219"/>
      <c r="I2903" s="223">
        <f>IF($C2903="","",IF(ISNUMBER(MATCH($C2903,'Phản ánh'!$A$6:$A$505,0)),"Phản ánh",IF(ISNUMBER(MATCH($C2903,'Kế hoạch'!$A$6:$A$305,0)),"Công việc","Mã chưa có")))</f>
      </c>
      <c r="J2903" s="221">
        <f>IF($I2903="Phản ánh",INDEX('Phản ánh'!$C$6:$C$505,MATCH($C2903,'Phản ánh'!$A$6:$A$505,0)),IF($I2903="Công việc",INDEX('Kế hoạch'!$C$6:$C$305,$O2903),""))</f>
      </c>
      <c r="K2903" s="221">
        <f>IF($I2903="Phản ánh",INDEX('Phản ánh'!$K$6:$K$505,MATCH($C2903,'Phản ánh'!$A$6:$A$505,0))&amp;"",IF($I2903="Công việc",INDEX('Kế hoạch'!$N$6:$N$305,$O2903)&amp;"",""))</f>
      </c>
      <c r="L2903" s="220">
        <f>IF(OR($C2903="",N($B2903)=0),"",IF(AND($I2903="Phản ánh",$E2903="Đã xử lý"),INDEX('Phản ánh'!$U$6:$U$505,MATCH($C2903,'Phản ánh'!$A$6:$A$505,0)),IF(AND($I2903="Công việc",OR($E2903="Hoàn thành",$E2903="Hoàn thành kỳ")),IF(INDEX('Kế hoạch'!$B$6:$B$305,$O2903)="Đột xuất",INDEX('Kế hoạch'!$AY$6:$AY$305,$O2903),IF(N($P2903)=0,"",IF(INT($B2903)&lt;$P2903,$P2903,IF($Q2903&gt;0,$P2903+ROUND((INT($B2903)-$P2903)/$Q2903,0)*$Q2903,IF($R2903&gt;0,EDATE($P2903,ROUND((DATEDIF($P2903,INT($B2903),"m")+(INT($B2903)-EDATE($P2903,DATEDIF($P2903,INT($B2903),"m")))/(EDATE($P2903,DATEDIF($P2903,INT($B2903),"m")+1)-EDATE($P2903,DATEDIF($P2903,INT($B2903),"m"))))/$R2903,0)*$R2903),$P2903))))),"")))</f>
      </c>
      <c r="M2903" s="223">
        <f>IF(OR($C2903="",N($L2903)=0,N($B2903)=0),"",IF(IF(MOD($L2903,1)=0,INT($B2903),$B2903)&lt;=$L2903,"Đúng hạn","Trễ hạn"))</f>
      </c>
      <c r="N2903" s="225">
        <f>IF($C2903="","",ROW())</f>
      </c>
      <c r="O2903" s="225">
        <f>IF($I2903="Công việc",MATCH($C2903,'Kế hoạch'!$A$6:$A$305,0),"")</f>
      </c>
      <c r="P2903" s="234">
        <f>IF($O2903="","",INDEX('Kế hoạch'!$I$6:$I$305,$O2903))</f>
      </c>
      <c r="Q2903" s="225">
        <f>IF($O2903="","",INDEX('Kế hoạch'!$AJ$6:$AJ$305,$O2903))</f>
      </c>
      <c r="R2903" s="225">
        <f>IF($O2903="","",INDEX('Kế hoạch'!$AK$6:$AK$305,$O2903))</f>
      </c>
    </row>
    <row r="2904">
      <c r="A2904" s="223">
        <f>IF($C2904="","",COUNTIF($C$6:$C2904,"?*"))</f>
      </c>
      <c r="B2904" s="217"/>
      <c r="C2904" s="216"/>
      <c r="D2904" s="240"/>
      <c r="E2904" s="218"/>
      <c r="F2904" s="218"/>
      <c r="G2904" s="218"/>
      <c r="H2904" s="219"/>
      <c r="I2904" s="223">
        <f>IF($C2904="","",IF(ISNUMBER(MATCH($C2904,'Phản ánh'!$A$6:$A$505,0)),"Phản ánh",IF(ISNUMBER(MATCH($C2904,'Kế hoạch'!$A$6:$A$305,0)),"Công việc","Mã chưa có")))</f>
      </c>
      <c r="J2904" s="221">
        <f>IF($I2904="Phản ánh",INDEX('Phản ánh'!$C$6:$C$505,MATCH($C2904,'Phản ánh'!$A$6:$A$505,0)),IF($I2904="Công việc",INDEX('Kế hoạch'!$C$6:$C$305,$O2904),""))</f>
      </c>
      <c r="K2904" s="221">
        <f>IF($I2904="Phản ánh",INDEX('Phản ánh'!$K$6:$K$505,MATCH($C2904,'Phản ánh'!$A$6:$A$505,0))&amp;"",IF($I2904="Công việc",INDEX('Kế hoạch'!$N$6:$N$305,$O2904)&amp;"",""))</f>
      </c>
      <c r="L2904" s="220">
        <f>IF(OR($C2904="",N($B2904)=0),"",IF(AND($I2904="Phản ánh",$E2904="Đã xử lý"),INDEX('Phản ánh'!$U$6:$U$505,MATCH($C2904,'Phản ánh'!$A$6:$A$505,0)),IF(AND($I2904="Công việc",OR($E2904="Hoàn thành",$E2904="Hoàn thành kỳ")),IF(INDEX('Kế hoạch'!$B$6:$B$305,$O2904)="Đột xuất",INDEX('Kế hoạch'!$AY$6:$AY$305,$O2904),IF(N($P2904)=0,"",IF(INT($B2904)&lt;$P2904,$P2904,IF($Q2904&gt;0,$P2904+ROUND((INT($B2904)-$P2904)/$Q2904,0)*$Q2904,IF($R2904&gt;0,EDATE($P2904,ROUND((DATEDIF($P2904,INT($B2904),"m")+(INT($B2904)-EDATE($P2904,DATEDIF($P2904,INT($B2904),"m")))/(EDATE($P2904,DATEDIF($P2904,INT($B2904),"m")+1)-EDATE($P2904,DATEDIF($P2904,INT($B2904),"m"))))/$R2904,0)*$R2904),$P2904))))),"")))</f>
      </c>
      <c r="M2904" s="223">
        <f>IF(OR($C2904="",N($L2904)=0,N($B2904)=0),"",IF(IF(MOD($L2904,1)=0,INT($B2904),$B2904)&lt;=$L2904,"Đúng hạn","Trễ hạn"))</f>
      </c>
      <c r="N2904" s="225">
        <f>IF($C2904="","",ROW())</f>
      </c>
      <c r="O2904" s="225">
        <f>IF($I2904="Công việc",MATCH($C2904,'Kế hoạch'!$A$6:$A$305,0),"")</f>
      </c>
      <c r="P2904" s="234">
        <f>IF($O2904="","",INDEX('Kế hoạch'!$I$6:$I$305,$O2904))</f>
      </c>
      <c r="Q2904" s="225">
        <f>IF($O2904="","",INDEX('Kế hoạch'!$AJ$6:$AJ$305,$O2904))</f>
      </c>
      <c r="R2904" s="225">
        <f>IF($O2904="","",INDEX('Kế hoạch'!$AK$6:$AK$305,$O2904))</f>
      </c>
    </row>
    <row r="2905">
      <c r="A2905" s="223">
        <f>IF($C2905="","",COUNTIF($C$6:$C2905,"?*"))</f>
      </c>
      <c r="B2905" s="217"/>
      <c r="C2905" s="216"/>
      <c r="D2905" s="240"/>
      <c r="E2905" s="218"/>
      <c r="F2905" s="218"/>
      <c r="G2905" s="218"/>
      <c r="H2905" s="219"/>
      <c r="I2905" s="223">
        <f>IF($C2905="","",IF(ISNUMBER(MATCH($C2905,'Phản ánh'!$A$6:$A$505,0)),"Phản ánh",IF(ISNUMBER(MATCH($C2905,'Kế hoạch'!$A$6:$A$305,0)),"Công việc","Mã chưa có")))</f>
      </c>
      <c r="J2905" s="221">
        <f>IF($I2905="Phản ánh",INDEX('Phản ánh'!$C$6:$C$505,MATCH($C2905,'Phản ánh'!$A$6:$A$505,0)),IF($I2905="Công việc",INDEX('Kế hoạch'!$C$6:$C$305,$O2905),""))</f>
      </c>
      <c r="K2905" s="221">
        <f>IF($I2905="Phản ánh",INDEX('Phản ánh'!$K$6:$K$505,MATCH($C2905,'Phản ánh'!$A$6:$A$505,0))&amp;"",IF($I2905="Công việc",INDEX('Kế hoạch'!$N$6:$N$305,$O2905)&amp;"",""))</f>
      </c>
      <c r="L2905" s="220">
        <f>IF(OR($C2905="",N($B2905)=0),"",IF(AND($I2905="Phản ánh",$E2905="Đã xử lý"),INDEX('Phản ánh'!$U$6:$U$505,MATCH($C2905,'Phản ánh'!$A$6:$A$505,0)),IF(AND($I2905="Công việc",OR($E2905="Hoàn thành",$E2905="Hoàn thành kỳ")),IF(INDEX('Kế hoạch'!$B$6:$B$305,$O2905)="Đột xuất",INDEX('Kế hoạch'!$AY$6:$AY$305,$O2905),IF(N($P2905)=0,"",IF(INT($B2905)&lt;$P2905,$P2905,IF($Q2905&gt;0,$P2905+ROUND((INT($B2905)-$P2905)/$Q2905,0)*$Q2905,IF($R2905&gt;0,EDATE($P2905,ROUND((DATEDIF($P2905,INT($B2905),"m")+(INT($B2905)-EDATE($P2905,DATEDIF($P2905,INT($B2905),"m")))/(EDATE($P2905,DATEDIF($P2905,INT($B2905),"m")+1)-EDATE($P2905,DATEDIF($P2905,INT($B2905),"m"))))/$R2905,0)*$R2905),$P2905))))),"")))</f>
      </c>
      <c r="M2905" s="223">
        <f>IF(OR($C2905="",N($L2905)=0,N($B2905)=0),"",IF(IF(MOD($L2905,1)=0,INT($B2905),$B2905)&lt;=$L2905,"Đúng hạn","Trễ hạn"))</f>
      </c>
      <c r="N2905" s="225">
        <f>IF($C2905="","",ROW())</f>
      </c>
      <c r="O2905" s="225">
        <f>IF($I2905="Công việc",MATCH($C2905,'Kế hoạch'!$A$6:$A$305,0),"")</f>
      </c>
      <c r="P2905" s="234">
        <f>IF($O2905="","",INDEX('Kế hoạch'!$I$6:$I$305,$O2905))</f>
      </c>
      <c r="Q2905" s="225">
        <f>IF($O2905="","",INDEX('Kế hoạch'!$AJ$6:$AJ$305,$O2905))</f>
      </c>
      <c r="R2905" s="225">
        <f>IF($O2905="","",INDEX('Kế hoạch'!$AK$6:$AK$305,$O2905))</f>
      </c>
    </row>
    <row r="2906">
      <c r="A2906" s="223">
        <f>IF($C2906="","",COUNTIF($C$6:$C2906,"?*"))</f>
      </c>
      <c r="B2906" s="217"/>
      <c r="C2906" s="216"/>
      <c r="D2906" s="240"/>
      <c r="E2906" s="218"/>
      <c r="F2906" s="218"/>
      <c r="G2906" s="218"/>
      <c r="H2906" s="219"/>
      <c r="I2906" s="223">
        <f>IF($C2906="","",IF(ISNUMBER(MATCH($C2906,'Phản ánh'!$A$6:$A$505,0)),"Phản ánh",IF(ISNUMBER(MATCH($C2906,'Kế hoạch'!$A$6:$A$305,0)),"Công việc","Mã chưa có")))</f>
      </c>
      <c r="J2906" s="221">
        <f>IF($I2906="Phản ánh",INDEX('Phản ánh'!$C$6:$C$505,MATCH($C2906,'Phản ánh'!$A$6:$A$505,0)),IF($I2906="Công việc",INDEX('Kế hoạch'!$C$6:$C$305,$O2906),""))</f>
      </c>
      <c r="K2906" s="221">
        <f>IF($I2906="Phản ánh",INDEX('Phản ánh'!$K$6:$K$505,MATCH($C2906,'Phản ánh'!$A$6:$A$505,0))&amp;"",IF($I2906="Công việc",INDEX('Kế hoạch'!$N$6:$N$305,$O2906)&amp;"",""))</f>
      </c>
      <c r="L2906" s="220">
        <f>IF(OR($C2906="",N($B2906)=0),"",IF(AND($I2906="Phản ánh",$E2906="Đã xử lý"),INDEX('Phản ánh'!$U$6:$U$505,MATCH($C2906,'Phản ánh'!$A$6:$A$505,0)),IF(AND($I2906="Công việc",OR($E2906="Hoàn thành",$E2906="Hoàn thành kỳ")),IF(INDEX('Kế hoạch'!$B$6:$B$305,$O2906)="Đột xuất",INDEX('Kế hoạch'!$AY$6:$AY$305,$O2906),IF(N($P2906)=0,"",IF(INT($B2906)&lt;$P2906,$P2906,IF($Q2906&gt;0,$P2906+ROUND((INT($B2906)-$P2906)/$Q2906,0)*$Q2906,IF($R2906&gt;0,EDATE($P2906,ROUND((DATEDIF($P2906,INT($B2906),"m")+(INT($B2906)-EDATE($P2906,DATEDIF($P2906,INT($B2906),"m")))/(EDATE($P2906,DATEDIF($P2906,INT($B2906),"m")+1)-EDATE($P2906,DATEDIF($P2906,INT($B2906),"m"))))/$R2906,0)*$R2906),$P2906))))),"")))</f>
      </c>
      <c r="M2906" s="223">
        <f>IF(OR($C2906="",N($L2906)=0,N($B2906)=0),"",IF(IF(MOD($L2906,1)=0,INT($B2906),$B2906)&lt;=$L2906,"Đúng hạn","Trễ hạn"))</f>
      </c>
      <c r="N2906" s="225">
        <f>IF($C2906="","",ROW())</f>
      </c>
      <c r="O2906" s="225">
        <f>IF($I2906="Công việc",MATCH($C2906,'Kế hoạch'!$A$6:$A$305,0),"")</f>
      </c>
      <c r="P2906" s="234">
        <f>IF($O2906="","",INDEX('Kế hoạch'!$I$6:$I$305,$O2906))</f>
      </c>
      <c r="Q2906" s="225">
        <f>IF($O2906="","",INDEX('Kế hoạch'!$AJ$6:$AJ$305,$O2906))</f>
      </c>
      <c r="R2906" s="225">
        <f>IF($O2906="","",INDEX('Kế hoạch'!$AK$6:$AK$305,$O2906))</f>
      </c>
    </row>
    <row r="2907">
      <c r="A2907" s="223">
        <f>IF($C2907="","",COUNTIF($C$6:$C2907,"?*"))</f>
      </c>
      <c r="B2907" s="217"/>
      <c r="C2907" s="216"/>
      <c r="D2907" s="240"/>
      <c r="E2907" s="218"/>
      <c r="F2907" s="218"/>
      <c r="G2907" s="218"/>
      <c r="H2907" s="219"/>
      <c r="I2907" s="223">
        <f>IF($C2907="","",IF(ISNUMBER(MATCH($C2907,'Phản ánh'!$A$6:$A$505,0)),"Phản ánh",IF(ISNUMBER(MATCH($C2907,'Kế hoạch'!$A$6:$A$305,0)),"Công việc","Mã chưa có")))</f>
      </c>
      <c r="J2907" s="221">
        <f>IF($I2907="Phản ánh",INDEX('Phản ánh'!$C$6:$C$505,MATCH($C2907,'Phản ánh'!$A$6:$A$505,0)),IF($I2907="Công việc",INDEX('Kế hoạch'!$C$6:$C$305,$O2907),""))</f>
      </c>
      <c r="K2907" s="221">
        <f>IF($I2907="Phản ánh",INDEX('Phản ánh'!$K$6:$K$505,MATCH($C2907,'Phản ánh'!$A$6:$A$505,0))&amp;"",IF($I2907="Công việc",INDEX('Kế hoạch'!$N$6:$N$305,$O2907)&amp;"",""))</f>
      </c>
      <c r="L2907" s="220">
        <f>IF(OR($C2907="",N($B2907)=0),"",IF(AND($I2907="Phản ánh",$E2907="Đã xử lý"),INDEX('Phản ánh'!$U$6:$U$505,MATCH($C2907,'Phản ánh'!$A$6:$A$505,0)),IF(AND($I2907="Công việc",OR($E2907="Hoàn thành",$E2907="Hoàn thành kỳ")),IF(INDEX('Kế hoạch'!$B$6:$B$305,$O2907)="Đột xuất",INDEX('Kế hoạch'!$AY$6:$AY$305,$O2907),IF(N($P2907)=0,"",IF(INT($B2907)&lt;$P2907,$P2907,IF($Q2907&gt;0,$P2907+ROUND((INT($B2907)-$P2907)/$Q2907,0)*$Q2907,IF($R2907&gt;0,EDATE($P2907,ROUND((DATEDIF($P2907,INT($B2907),"m")+(INT($B2907)-EDATE($P2907,DATEDIF($P2907,INT($B2907),"m")))/(EDATE($P2907,DATEDIF($P2907,INT($B2907),"m")+1)-EDATE($P2907,DATEDIF($P2907,INT($B2907),"m"))))/$R2907,0)*$R2907),$P2907))))),"")))</f>
      </c>
      <c r="M2907" s="223">
        <f>IF(OR($C2907="",N($L2907)=0,N($B2907)=0),"",IF(IF(MOD($L2907,1)=0,INT($B2907),$B2907)&lt;=$L2907,"Đúng hạn","Trễ hạn"))</f>
      </c>
      <c r="N2907" s="225">
        <f>IF($C2907="","",ROW())</f>
      </c>
      <c r="O2907" s="225">
        <f>IF($I2907="Công việc",MATCH($C2907,'Kế hoạch'!$A$6:$A$305,0),"")</f>
      </c>
      <c r="P2907" s="234">
        <f>IF($O2907="","",INDEX('Kế hoạch'!$I$6:$I$305,$O2907))</f>
      </c>
      <c r="Q2907" s="225">
        <f>IF($O2907="","",INDEX('Kế hoạch'!$AJ$6:$AJ$305,$O2907))</f>
      </c>
      <c r="R2907" s="225">
        <f>IF($O2907="","",INDEX('Kế hoạch'!$AK$6:$AK$305,$O2907))</f>
      </c>
    </row>
    <row r="2908">
      <c r="A2908" s="223">
        <f>IF($C2908="","",COUNTIF($C$6:$C2908,"?*"))</f>
      </c>
      <c r="B2908" s="217"/>
      <c r="C2908" s="216"/>
      <c r="D2908" s="240"/>
      <c r="E2908" s="218"/>
      <c r="F2908" s="218"/>
      <c r="G2908" s="218"/>
      <c r="H2908" s="219"/>
      <c r="I2908" s="223">
        <f>IF($C2908="","",IF(ISNUMBER(MATCH($C2908,'Phản ánh'!$A$6:$A$505,0)),"Phản ánh",IF(ISNUMBER(MATCH($C2908,'Kế hoạch'!$A$6:$A$305,0)),"Công việc","Mã chưa có")))</f>
      </c>
      <c r="J2908" s="221">
        <f>IF($I2908="Phản ánh",INDEX('Phản ánh'!$C$6:$C$505,MATCH($C2908,'Phản ánh'!$A$6:$A$505,0)),IF($I2908="Công việc",INDEX('Kế hoạch'!$C$6:$C$305,$O2908),""))</f>
      </c>
      <c r="K2908" s="221">
        <f>IF($I2908="Phản ánh",INDEX('Phản ánh'!$K$6:$K$505,MATCH($C2908,'Phản ánh'!$A$6:$A$505,0))&amp;"",IF($I2908="Công việc",INDEX('Kế hoạch'!$N$6:$N$305,$O2908)&amp;"",""))</f>
      </c>
      <c r="L2908" s="220">
        <f>IF(OR($C2908="",N($B2908)=0),"",IF(AND($I2908="Phản ánh",$E2908="Đã xử lý"),INDEX('Phản ánh'!$U$6:$U$505,MATCH($C2908,'Phản ánh'!$A$6:$A$505,0)),IF(AND($I2908="Công việc",OR($E2908="Hoàn thành",$E2908="Hoàn thành kỳ")),IF(INDEX('Kế hoạch'!$B$6:$B$305,$O2908)="Đột xuất",INDEX('Kế hoạch'!$AY$6:$AY$305,$O2908),IF(N($P2908)=0,"",IF(INT($B2908)&lt;$P2908,$P2908,IF($Q2908&gt;0,$P2908+ROUND((INT($B2908)-$P2908)/$Q2908,0)*$Q2908,IF($R2908&gt;0,EDATE($P2908,ROUND((DATEDIF($P2908,INT($B2908),"m")+(INT($B2908)-EDATE($P2908,DATEDIF($P2908,INT($B2908),"m")))/(EDATE($P2908,DATEDIF($P2908,INT($B2908),"m")+1)-EDATE($P2908,DATEDIF($P2908,INT($B2908),"m"))))/$R2908,0)*$R2908),$P2908))))),"")))</f>
      </c>
      <c r="M2908" s="223">
        <f>IF(OR($C2908="",N($L2908)=0,N($B2908)=0),"",IF(IF(MOD($L2908,1)=0,INT($B2908),$B2908)&lt;=$L2908,"Đúng hạn","Trễ hạn"))</f>
      </c>
      <c r="N2908" s="225">
        <f>IF($C2908="","",ROW())</f>
      </c>
      <c r="O2908" s="225">
        <f>IF($I2908="Công việc",MATCH($C2908,'Kế hoạch'!$A$6:$A$305,0),"")</f>
      </c>
      <c r="P2908" s="234">
        <f>IF($O2908="","",INDEX('Kế hoạch'!$I$6:$I$305,$O2908))</f>
      </c>
      <c r="Q2908" s="225">
        <f>IF($O2908="","",INDEX('Kế hoạch'!$AJ$6:$AJ$305,$O2908))</f>
      </c>
      <c r="R2908" s="225">
        <f>IF($O2908="","",INDEX('Kế hoạch'!$AK$6:$AK$305,$O2908))</f>
      </c>
    </row>
    <row r="2909">
      <c r="A2909" s="223">
        <f>IF($C2909="","",COUNTIF($C$6:$C2909,"?*"))</f>
      </c>
      <c r="B2909" s="217"/>
      <c r="C2909" s="216"/>
      <c r="D2909" s="240"/>
      <c r="E2909" s="218"/>
      <c r="F2909" s="218"/>
      <c r="G2909" s="218"/>
      <c r="H2909" s="219"/>
      <c r="I2909" s="223">
        <f>IF($C2909="","",IF(ISNUMBER(MATCH($C2909,'Phản ánh'!$A$6:$A$505,0)),"Phản ánh",IF(ISNUMBER(MATCH($C2909,'Kế hoạch'!$A$6:$A$305,0)),"Công việc","Mã chưa có")))</f>
      </c>
      <c r="J2909" s="221">
        <f>IF($I2909="Phản ánh",INDEX('Phản ánh'!$C$6:$C$505,MATCH($C2909,'Phản ánh'!$A$6:$A$505,0)),IF($I2909="Công việc",INDEX('Kế hoạch'!$C$6:$C$305,$O2909),""))</f>
      </c>
      <c r="K2909" s="221">
        <f>IF($I2909="Phản ánh",INDEX('Phản ánh'!$K$6:$K$505,MATCH($C2909,'Phản ánh'!$A$6:$A$505,0))&amp;"",IF($I2909="Công việc",INDEX('Kế hoạch'!$N$6:$N$305,$O2909)&amp;"",""))</f>
      </c>
      <c r="L2909" s="220">
        <f>IF(OR($C2909="",N($B2909)=0),"",IF(AND($I2909="Phản ánh",$E2909="Đã xử lý"),INDEX('Phản ánh'!$U$6:$U$505,MATCH($C2909,'Phản ánh'!$A$6:$A$505,0)),IF(AND($I2909="Công việc",OR($E2909="Hoàn thành",$E2909="Hoàn thành kỳ")),IF(INDEX('Kế hoạch'!$B$6:$B$305,$O2909)="Đột xuất",INDEX('Kế hoạch'!$AY$6:$AY$305,$O2909),IF(N($P2909)=0,"",IF(INT($B2909)&lt;$P2909,$P2909,IF($Q2909&gt;0,$P2909+ROUND((INT($B2909)-$P2909)/$Q2909,0)*$Q2909,IF($R2909&gt;0,EDATE($P2909,ROUND((DATEDIF($P2909,INT($B2909),"m")+(INT($B2909)-EDATE($P2909,DATEDIF($P2909,INT($B2909),"m")))/(EDATE($P2909,DATEDIF($P2909,INT($B2909),"m")+1)-EDATE($P2909,DATEDIF($P2909,INT($B2909),"m"))))/$R2909,0)*$R2909),$P2909))))),"")))</f>
      </c>
      <c r="M2909" s="223">
        <f>IF(OR($C2909="",N($L2909)=0,N($B2909)=0),"",IF(IF(MOD($L2909,1)=0,INT($B2909),$B2909)&lt;=$L2909,"Đúng hạn","Trễ hạn"))</f>
      </c>
      <c r="N2909" s="225">
        <f>IF($C2909="","",ROW())</f>
      </c>
      <c r="O2909" s="225">
        <f>IF($I2909="Công việc",MATCH($C2909,'Kế hoạch'!$A$6:$A$305,0),"")</f>
      </c>
      <c r="P2909" s="234">
        <f>IF($O2909="","",INDEX('Kế hoạch'!$I$6:$I$305,$O2909))</f>
      </c>
      <c r="Q2909" s="225">
        <f>IF($O2909="","",INDEX('Kế hoạch'!$AJ$6:$AJ$305,$O2909))</f>
      </c>
      <c r="R2909" s="225">
        <f>IF($O2909="","",INDEX('Kế hoạch'!$AK$6:$AK$305,$O2909))</f>
      </c>
    </row>
    <row r="2910">
      <c r="A2910" s="223">
        <f>IF($C2910="","",COUNTIF($C$6:$C2910,"?*"))</f>
      </c>
      <c r="B2910" s="217"/>
      <c r="C2910" s="216"/>
      <c r="D2910" s="240"/>
      <c r="E2910" s="218"/>
      <c r="F2910" s="218"/>
      <c r="G2910" s="218"/>
      <c r="H2910" s="219"/>
      <c r="I2910" s="223">
        <f>IF($C2910="","",IF(ISNUMBER(MATCH($C2910,'Phản ánh'!$A$6:$A$505,0)),"Phản ánh",IF(ISNUMBER(MATCH($C2910,'Kế hoạch'!$A$6:$A$305,0)),"Công việc","Mã chưa có")))</f>
      </c>
      <c r="J2910" s="221">
        <f>IF($I2910="Phản ánh",INDEX('Phản ánh'!$C$6:$C$505,MATCH($C2910,'Phản ánh'!$A$6:$A$505,0)),IF($I2910="Công việc",INDEX('Kế hoạch'!$C$6:$C$305,$O2910),""))</f>
      </c>
      <c r="K2910" s="221">
        <f>IF($I2910="Phản ánh",INDEX('Phản ánh'!$K$6:$K$505,MATCH($C2910,'Phản ánh'!$A$6:$A$505,0))&amp;"",IF($I2910="Công việc",INDEX('Kế hoạch'!$N$6:$N$305,$O2910)&amp;"",""))</f>
      </c>
      <c r="L2910" s="220">
        <f>IF(OR($C2910="",N($B2910)=0),"",IF(AND($I2910="Phản ánh",$E2910="Đã xử lý"),INDEX('Phản ánh'!$U$6:$U$505,MATCH($C2910,'Phản ánh'!$A$6:$A$505,0)),IF(AND($I2910="Công việc",OR($E2910="Hoàn thành",$E2910="Hoàn thành kỳ")),IF(INDEX('Kế hoạch'!$B$6:$B$305,$O2910)="Đột xuất",INDEX('Kế hoạch'!$AY$6:$AY$305,$O2910),IF(N($P2910)=0,"",IF(INT($B2910)&lt;$P2910,$P2910,IF($Q2910&gt;0,$P2910+ROUND((INT($B2910)-$P2910)/$Q2910,0)*$Q2910,IF($R2910&gt;0,EDATE($P2910,ROUND((DATEDIF($P2910,INT($B2910),"m")+(INT($B2910)-EDATE($P2910,DATEDIF($P2910,INT($B2910),"m")))/(EDATE($P2910,DATEDIF($P2910,INT($B2910),"m")+1)-EDATE($P2910,DATEDIF($P2910,INT($B2910),"m"))))/$R2910,0)*$R2910),$P2910))))),"")))</f>
      </c>
      <c r="M2910" s="223">
        <f>IF(OR($C2910="",N($L2910)=0,N($B2910)=0),"",IF(IF(MOD($L2910,1)=0,INT($B2910),$B2910)&lt;=$L2910,"Đúng hạn","Trễ hạn"))</f>
      </c>
      <c r="N2910" s="225">
        <f>IF($C2910="","",ROW())</f>
      </c>
      <c r="O2910" s="225">
        <f>IF($I2910="Công việc",MATCH($C2910,'Kế hoạch'!$A$6:$A$305,0),"")</f>
      </c>
      <c r="P2910" s="234">
        <f>IF($O2910="","",INDEX('Kế hoạch'!$I$6:$I$305,$O2910))</f>
      </c>
      <c r="Q2910" s="225">
        <f>IF($O2910="","",INDEX('Kế hoạch'!$AJ$6:$AJ$305,$O2910))</f>
      </c>
      <c r="R2910" s="225">
        <f>IF($O2910="","",INDEX('Kế hoạch'!$AK$6:$AK$305,$O2910))</f>
      </c>
    </row>
    <row r="2911">
      <c r="A2911" s="223">
        <f>IF($C2911="","",COUNTIF($C$6:$C2911,"?*"))</f>
      </c>
      <c r="B2911" s="217"/>
      <c r="C2911" s="216"/>
      <c r="D2911" s="240"/>
      <c r="E2911" s="218"/>
      <c r="F2911" s="218"/>
      <c r="G2911" s="218"/>
      <c r="H2911" s="219"/>
      <c r="I2911" s="223">
        <f>IF($C2911="","",IF(ISNUMBER(MATCH($C2911,'Phản ánh'!$A$6:$A$505,0)),"Phản ánh",IF(ISNUMBER(MATCH($C2911,'Kế hoạch'!$A$6:$A$305,0)),"Công việc","Mã chưa có")))</f>
      </c>
      <c r="J2911" s="221">
        <f>IF($I2911="Phản ánh",INDEX('Phản ánh'!$C$6:$C$505,MATCH($C2911,'Phản ánh'!$A$6:$A$505,0)),IF($I2911="Công việc",INDEX('Kế hoạch'!$C$6:$C$305,$O2911),""))</f>
      </c>
      <c r="K2911" s="221">
        <f>IF($I2911="Phản ánh",INDEX('Phản ánh'!$K$6:$K$505,MATCH($C2911,'Phản ánh'!$A$6:$A$505,0))&amp;"",IF($I2911="Công việc",INDEX('Kế hoạch'!$N$6:$N$305,$O2911)&amp;"",""))</f>
      </c>
      <c r="L2911" s="220">
        <f>IF(OR($C2911="",N($B2911)=0),"",IF(AND($I2911="Phản ánh",$E2911="Đã xử lý"),INDEX('Phản ánh'!$U$6:$U$505,MATCH($C2911,'Phản ánh'!$A$6:$A$505,0)),IF(AND($I2911="Công việc",OR($E2911="Hoàn thành",$E2911="Hoàn thành kỳ")),IF(INDEX('Kế hoạch'!$B$6:$B$305,$O2911)="Đột xuất",INDEX('Kế hoạch'!$AY$6:$AY$305,$O2911),IF(N($P2911)=0,"",IF(INT($B2911)&lt;$P2911,$P2911,IF($Q2911&gt;0,$P2911+ROUND((INT($B2911)-$P2911)/$Q2911,0)*$Q2911,IF($R2911&gt;0,EDATE($P2911,ROUND((DATEDIF($P2911,INT($B2911),"m")+(INT($B2911)-EDATE($P2911,DATEDIF($P2911,INT($B2911),"m")))/(EDATE($P2911,DATEDIF($P2911,INT($B2911),"m")+1)-EDATE($P2911,DATEDIF($P2911,INT($B2911),"m"))))/$R2911,0)*$R2911),$P2911))))),"")))</f>
      </c>
      <c r="M2911" s="223">
        <f>IF(OR($C2911="",N($L2911)=0,N($B2911)=0),"",IF(IF(MOD($L2911,1)=0,INT($B2911),$B2911)&lt;=$L2911,"Đúng hạn","Trễ hạn"))</f>
      </c>
      <c r="N2911" s="225">
        <f>IF($C2911="","",ROW())</f>
      </c>
      <c r="O2911" s="225">
        <f>IF($I2911="Công việc",MATCH($C2911,'Kế hoạch'!$A$6:$A$305,0),"")</f>
      </c>
      <c r="P2911" s="234">
        <f>IF($O2911="","",INDEX('Kế hoạch'!$I$6:$I$305,$O2911))</f>
      </c>
      <c r="Q2911" s="225">
        <f>IF($O2911="","",INDEX('Kế hoạch'!$AJ$6:$AJ$305,$O2911))</f>
      </c>
      <c r="R2911" s="225">
        <f>IF($O2911="","",INDEX('Kế hoạch'!$AK$6:$AK$305,$O2911))</f>
      </c>
    </row>
    <row r="2912">
      <c r="A2912" s="223">
        <f>IF($C2912="","",COUNTIF($C$6:$C2912,"?*"))</f>
      </c>
      <c r="B2912" s="217"/>
      <c r="C2912" s="216"/>
      <c r="D2912" s="240"/>
      <c r="E2912" s="218"/>
      <c r="F2912" s="218"/>
      <c r="G2912" s="218"/>
      <c r="H2912" s="219"/>
      <c r="I2912" s="223">
        <f>IF($C2912="","",IF(ISNUMBER(MATCH($C2912,'Phản ánh'!$A$6:$A$505,0)),"Phản ánh",IF(ISNUMBER(MATCH($C2912,'Kế hoạch'!$A$6:$A$305,0)),"Công việc","Mã chưa có")))</f>
      </c>
      <c r="J2912" s="221">
        <f>IF($I2912="Phản ánh",INDEX('Phản ánh'!$C$6:$C$505,MATCH($C2912,'Phản ánh'!$A$6:$A$505,0)),IF($I2912="Công việc",INDEX('Kế hoạch'!$C$6:$C$305,$O2912),""))</f>
      </c>
      <c r="K2912" s="221">
        <f>IF($I2912="Phản ánh",INDEX('Phản ánh'!$K$6:$K$505,MATCH($C2912,'Phản ánh'!$A$6:$A$505,0))&amp;"",IF($I2912="Công việc",INDEX('Kế hoạch'!$N$6:$N$305,$O2912)&amp;"",""))</f>
      </c>
      <c r="L2912" s="220">
        <f>IF(OR($C2912="",N($B2912)=0),"",IF(AND($I2912="Phản ánh",$E2912="Đã xử lý"),INDEX('Phản ánh'!$U$6:$U$505,MATCH($C2912,'Phản ánh'!$A$6:$A$505,0)),IF(AND($I2912="Công việc",OR($E2912="Hoàn thành",$E2912="Hoàn thành kỳ")),IF(INDEX('Kế hoạch'!$B$6:$B$305,$O2912)="Đột xuất",INDEX('Kế hoạch'!$AY$6:$AY$305,$O2912),IF(N($P2912)=0,"",IF(INT($B2912)&lt;$P2912,$P2912,IF($Q2912&gt;0,$P2912+ROUND((INT($B2912)-$P2912)/$Q2912,0)*$Q2912,IF($R2912&gt;0,EDATE($P2912,ROUND((DATEDIF($P2912,INT($B2912),"m")+(INT($B2912)-EDATE($P2912,DATEDIF($P2912,INT($B2912),"m")))/(EDATE($P2912,DATEDIF($P2912,INT($B2912),"m")+1)-EDATE($P2912,DATEDIF($P2912,INT($B2912),"m"))))/$R2912,0)*$R2912),$P2912))))),"")))</f>
      </c>
      <c r="M2912" s="223">
        <f>IF(OR($C2912="",N($L2912)=0,N($B2912)=0),"",IF(IF(MOD($L2912,1)=0,INT($B2912),$B2912)&lt;=$L2912,"Đúng hạn","Trễ hạn"))</f>
      </c>
      <c r="N2912" s="225">
        <f>IF($C2912="","",ROW())</f>
      </c>
      <c r="O2912" s="225">
        <f>IF($I2912="Công việc",MATCH($C2912,'Kế hoạch'!$A$6:$A$305,0),"")</f>
      </c>
      <c r="P2912" s="234">
        <f>IF($O2912="","",INDEX('Kế hoạch'!$I$6:$I$305,$O2912))</f>
      </c>
      <c r="Q2912" s="225">
        <f>IF($O2912="","",INDEX('Kế hoạch'!$AJ$6:$AJ$305,$O2912))</f>
      </c>
      <c r="R2912" s="225">
        <f>IF($O2912="","",INDEX('Kế hoạch'!$AK$6:$AK$305,$O2912))</f>
      </c>
    </row>
    <row r="2913">
      <c r="A2913" s="223">
        <f>IF($C2913="","",COUNTIF($C$6:$C2913,"?*"))</f>
      </c>
      <c r="B2913" s="217"/>
      <c r="C2913" s="216"/>
      <c r="D2913" s="240"/>
      <c r="E2913" s="218"/>
      <c r="F2913" s="218"/>
      <c r="G2913" s="218"/>
      <c r="H2913" s="219"/>
      <c r="I2913" s="223">
        <f>IF($C2913="","",IF(ISNUMBER(MATCH($C2913,'Phản ánh'!$A$6:$A$505,0)),"Phản ánh",IF(ISNUMBER(MATCH($C2913,'Kế hoạch'!$A$6:$A$305,0)),"Công việc","Mã chưa có")))</f>
      </c>
      <c r="J2913" s="221">
        <f>IF($I2913="Phản ánh",INDEX('Phản ánh'!$C$6:$C$505,MATCH($C2913,'Phản ánh'!$A$6:$A$505,0)),IF($I2913="Công việc",INDEX('Kế hoạch'!$C$6:$C$305,$O2913),""))</f>
      </c>
      <c r="K2913" s="221">
        <f>IF($I2913="Phản ánh",INDEX('Phản ánh'!$K$6:$K$505,MATCH($C2913,'Phản ánh'!$A$6:$A$505,0))&amp;"",IF($I2913="Công việc",INDEX('Kế hoạch'!$N$6:$N$305,$O2913)&amp;"",""))</f>
      </c>
      <c r="L2913" s="220">
        <f>IF(OR($C2913="",N($B2913)=0),"",IF(AND($I2913="Phản ánh",$E2913="Đã xử lý"),INDEX('Phản ánh'!$U$6:$U$505,MATCH($C2913,'Phản ánh'!$A$6:$A$505,0)),IF(AND($I2913="Công việc",OR($E2913="Hoàn thành",$E2913="Hoàn thành kỳ")),IF(INDEX('Kế hoạch'!$B$6:$B$305,$O2913)="Đột xuất",INDEX('Kế hoạch'!$AY$6:$AY$305,$O2913),IF(N($P2913)=0,"",IF(INT($B2913)&lt;$P2913,$P2913,IF($Q2913&gt;0,$P2913+ROUND((INT($B2913)-$P2913)/$Q2913,0)*$Q2913,IF($R2913&gt;0,EDATE($P2913,ROUND((DATEDIF($P2913,INT($B2913),"m")+(INT($B2913)-EDATE($P2913,DATEDIF($P2913,INT($B2913),"m")))/(EDATE($P2913,DATEDIF($P2913,INT($B2913),"m")+1)-EDATE($P2913,DATEDIF($P2913,INT($B2913),"m"))))/$R2913,0)*$R2913),$P2913))))),"")))</f>
      </c>
      <c r="M2913" s="223">
        <f>IF(OR($C2913="",N($L2913)=0,N($B2913)=0),"",IF(IF(MOD($L2913,1)=0,INT($B2913),$B2913)&lt;=$L2913,"Đúng hạn","Trễ hạn"))</f>
      </c>
      <c r="N2913" s="225">
        <f>IF($C2913="","",ROW())</f>
      </c>
      <c r="O2913" s="225">
        <f>IF($I2913="Công việc",MATCH($C2913,'Kế hoạch'!$A$6:$A$305,0),"")</f>
      </c>
      <c r="P2913" s="234">
        <f>IF($O2913="","",INDEX('Kế hoạch'!$I$6:$I$305,$O2913))</f>
      </c>
      <c r="Q2913" s="225">
        <f>IF($O2913="","",INDEX('Kế hoạch'!$AJ$6:$AJ$305,$O2913))</f>
      </c>
      <c r="R2913" s="225">
        <f>IF($O2913="","",INDEX('Kế hoạch'!$AK$6:$AK$305,$O2913))</f>
      </c>
    </row>
    <row r="2914">
      <c r="A2914" s="223">
        <f>IF($C2914="","",COUNTIF($C$6:$C2914,"?*"))</f>
      </c>
      <c r="B2914" s="217"/>
      <c r="C2914" s="216"/>
      <c r="D2914" s="240"/>
      <c r="E2914" s="218"/>
      <c r="F2914" s="218"/>
      <c r="G2914" s="218"/>
      <c r="H2914" s="219"/>
      <c r="I2914" s="223">
        <f>IF($C2914="","",IF(ISNUMBER(MATCH($C2914,'Phản ánh'!$A$6:$A$505,0)),"Phản ánh",IF(ISNUMBER(MATCH($C2914,'Kế hoạch'!$A$6:$A$305,0)),"Công việc","Mã chưa có")))</f>
      </c>
      <c r="J2914" s="221">
        <f>IF($I2914="Phản ánh",INDEX('Phản ánh'!$C$6:$C$505,MATCH($C2914,'Phản ánh'!$A$6:$A$505,0)),IF($I2914="Công việc",INDEX('Kế hoạch'!$C$6:$C$305,$O2914),""))</f>
      </c>
      <c r="K2914" s="221">
        <f>IF($I2914="Phản ánh",INDEX('Phản ánh'!$K$6:$K$505,MATCH($C2914,'Phản ánh'!$A$6:$A$505,0))&amp;"",IF($I2914="Công việc",INDEX('Kế hoạch'!$N$6:$N$305,$O2914)&amp;"",""))</f>
      </c>
      <c r="L2914" s="220">
        <f>IF(OR($C2914="",N($B2914)=0),"",IF(AND($I2914="Phản ánh",$E2914="Đã xử lý"),INDEX('Phản ánh'!$U$6:$U$505,MATCH($C2914,'Phản ánh'!$A$6:$A$505,0)),IF(AND($I2914="Công việc",OR($E2914="Hoàn thành",$E2914="Hoàn thành kỳ")),IF(INDEX('Kế hoạch'!$B$6:$B$305,$O2914)="Đột xuất",INDEX('Kế hoạch'!$AY$6:$AY$305,$O2914),IF(N($P2914)=0,"",IF(INT($B2914)&lt;$P2914,$P2914,IF($Q2914&gt;0,$P2914+ROUND((INT($B2914)-$P2914)/$Q2914,0)*$Q2914,IF($R2914&gt;0,EDATE($P2914,ROUND((DATEDIF($P2914,INT($B2914),"m")+(INT($B2914)-EDATE($P2914,DATEDIF($P2914,INT($B2914),"m")))/(EDATE($P2914,DATEDIF($P2914,INT($B2914),"m")+1)-EDATE($P2914,DATEDIF($P2914,INT($B2914),"m"))))/$R2914,0)*$R2914),$P2914))))),"")))</f>
      </c>
      <c r="M2914" s="223">
        <f>IF(OR($C2914="",N($L2914)=0,N($B2914)=0),"",IF(IF(MOD($L2914,1)=0,INT($B2914),$B2914)&lt;=$L2914,"Đúng hạn","Trễ hạn"))</f>
      </c>
      <c r="N2914" s="225">
        <f>IF($C2914="","",ROW())</f>
      </c>
      <c r="O2914" s="225">
        <f>IF($I2914="Công việc",MATCH($C2914,'Kế hoạch'!$A$6:$A$305,0),"")</f>
      </c>
      <c r="P2914" s="234">
        <f>IF($O2914="","",INDEX('Kế hoạch'!$I$6:$I$305,$O2914))</f>
      </c>
      <c r="Q2914" s="225">
        <f>IF($O2914="","",INDEX('Kế hoạch'!$AJ$6:$AJ$305,$O2914))</f>
      </c>
      <c r="R2914" s="225">
        <f>IF($O2914="","",INDEX('Kế hoạch'!$AK$6:$AK$305,$O2914))</f>
      </c>
    </row>
    <row r="2915">
      <c r="A2915" s="223">
        <f>IF($C2915="","",COUNTIF($C$6:$C2915,"?*"))</f>
      </c>
      <c r="B2915" s="217"/>
      <c r="C2915" s="216"/>
      <c r="D2915" s="240"/>
      <c r="E2915" s="218"/>
      <c r="F2915" s="218"/>
      <c r="G2915" s="218"/>
      <c r="H2915" s="219"/>
      <c r="I2915" s="223">
        <f>IF($C2915="","",IF(ISNUMBER(MATCH($C2915,'Phản ánh'!$A$6:$A$505,0)),"Phản ánh",IF(ISNUMBER(MATCH($C2915,'Kế hoạch'!$A$6:$A$305,0)),"Công việc","Mã chưa có")))</f>
      </c>
      <c r="J2915" s="221">
        <f>IF($I2915="Phản ánh",INDEX('Phản ánh'!$C$6:$C$505,MATCH($C2915,'Phản ánh'!$A$6:$A$505,0)),IF($I2915="Công việc",INDEX('Kế hoạch'!$C$6:$C$305,$O2915),""))</f>
      </c>
      <c r="K2915" s="221">
        <f>IF($I2915="Phản ánh",INDEX('Phản ánh'!$K$6:$K$505,MATCH($C2915,'Phản ánh'!$A$6:$A$505,0))&amp;"",IF($I2915="Công việc",INDEX('Kế hoạch'!$N$6:$N$305,$O2915)&amp;"",""))</f>
      </c>
      <c r="L2915" s="220">
        <f>IF(OR($C2915="",N($B2915)=0),"",IF(AND($I2915="Phản ánh",$E2915="Đã xử lý"),INDEX('Phản ánh'!$U$6:$U$505,MATCH($C2915,'Phản ánh'!$A$6:$A$505,0)),IF(AND($I2915="Công việc",OR($E2915="Hoàn thành",$E2915="Hoàn thành kỳ")),IF(INDEX('Kế hoạch'!$B$6:$B$305,$O2915)="Đột xuất",INDEX('Kế hoạch'!$AY$6:$AY$305,$O2915),IF(N($P2915)=0,"",IF(INT($B2915)&lt;$P2915,$P2915,IF($Q2915&gt;0,$P2915+ROUND((INT($B2915)-$P2915)/$Q2915,0)*$Q2915,IF($R2915&gt;0,EDATE($P2915,ROUND((DATEDIF($P2915,INT($B2915),"m")+(INT($B2915)-EDATE($P2915,DATEDIF($P2915,INT($B2915),"m")))/(EDATE($P2915,DATEDIF($P2915,INT($B2915),"m")+1)-EDATE($P2915,DATEDIF($P2915,INT($B2915),"m"))))/$R2915,0)*$R2915),$P2915))))),"")))</f>
      </c>
      <c r="M2915" s="223">
        <f>IF(OR($C2915="",N($L2915)=0,N($B2915)=0),"",IF(IF(MOD($L2915,1)=0,INT($B2915),$B2915)&lt;=$L2915,"Đúng hạn","Trễ hạn"))</f>
      </c>
      <c r="N2915" s="225">
        <f>IF($C2915="","",ROW())</f>
      </c>
      <c r="O2915" s="225">
        <f>IF($I2915="Công việc",MATCH($C2915,'Kế hoạch'!$A$6:$A$305,0),"")</f>
      </c>
      <c r="P2915" s="234">
        <f>IF($O2915="","",INDEX('Kế hoạch'!$I$6:$I$305,$O2915))</f>
      </c>
      <c r="Q2915" s="225">
        <f>IF($O2915="","",INDEX('Kế hoạch'!$AJ$6:$AJ$305,$O2915))</f>
      </c>
      <c r="R2915" s="225">
        <f>IF($O2915="","",INDEX('Kế hoạch'!$AK$6:$AK$305,$O2915))</f>
      </c>
    </row>
    <row r="2916">
      <c r="A2916" s="223">
        <f>IF($C2916="","",COUNTIF($C$6:$C2916,"?*"))</f>
      </c>
      <c r="B2916" s="217"/>
      <c r="C2916" s="216"/>
      <c r="D2916" s="240"/>
      <c r="E2916" s="218"/>
      <c r="F2916" s="218"/>
      <c r="G2916" s="218"/>
      <c r="H2916" s="219"/>
      <c r="I2916" s="223">
        <f>IF($C2916="","",IF(ISNUMBER(MATCH($C2916,'Phản ánh'!$A$6:$A$505,0)),"Phản ánh",IF(ISNUMBER(MATCH($C2916,'Kế hoạch'!$A$6:$A$305,0)),"Công việc","Mã chưa có")))</f>
      </c>
      <c r="J2916" s="221">
        <f>IF($I2916="Phản ánh",INDEX('Phản ánh'!$C$6:$C$505,MATCH($C2916,'Phản ánh'!$A$6:$A$505,0)),IF($I2916="Công việc",INDEX('Kế hoạch'!$C$6:$C$305,$O2916),""))</f>
      </c>
      <c r="K2916" s="221">
        <f>IF($I2916="Phản ánh",INDEX('Phản ánh'!$K$6:$K$505,MATCH($C2916,'Phản ánh'!$A$6:$A$505,0))&amp;"",IF($I2916="Công việc",INDEX('Kế hoạch'!$N$6:$N$305,$O2916)&amp;"",""))</f>
      </c>
      <c r="L2916" s="220">
        <f>IF(OR($C2916="",N($B2916)=0),"",IF(AND($I2916="Phản ánh",$E2916="Đã xử lý"),INDEX('Phản ánh'!$U$6:$U$505,MATCH($C2916,'Phản ánh'!$A$6:$A$505,0)),IF(AND($I2916="Công việc",OR($E2916="Hoàn thành",$E2916="Hoàn thành kỳ")),IF(INDEX('Kế hoạch'!$B$6:$B$305,$O2916)="Đột xuất",INDEX('Kế hoạch'!$AY$6:$AY$305,$O2916),IF(N($P2916)=0,"",IF(INT($B2916)&lt;$P2916,$P2916,IF($Q2916&gt;0,$P2916+ROUND((INT($B2916)-$P2916)/$Q2916,0)*$Q2916,IF($R2916&gt;0,EDATE($P2916,ROUND((DATEDIF($P2916,INT($B2916),"m")+(INT($B2916)-EDATE($P2916,DATEDIF($P2916,INT($B2916),"m")))/(EDATE($P2916,DATEDIF($P2916,INT($B2916),"m")+1)-EDATE($P2916,DATEDIF($P2916,INT($B2916),"m"))))/$R2916,0)*$R2916),$P2916))))),"")))</f>
      </c>
      <c r="M2916" s="223">
        <f>IF(OR($C2916="",N($L2916)=0,N($B2916)=0),"",IF(IF(MOD($L2916,1)=0,INT($B2916),$B2916)&lt;=$L2916,"Đúng hạn","Trễ hạn"))</f>
      </c>
      <c r="N2916" s="225">
        <f>IF($C2916="","",ROW())</f>
      </c>
      <c r="O2916" s="225">
        <f>IF($I2916="Công việc",MATCH($C2916,'Kế hoạch'!$A$6:$A$305,0),"")</f>
      </c>
      <c r="P2916" s="234">
        <f>IF($O2916="","",INDEX('Kế hoạch'!$I$6:$I$305,$O2916))</f>
      </c>
      <c r="Q2916" s="225">
        <f>IF($O2916="","",INDEX('Kế hoạch'!$AJ$6:$AJ$305,$O2916))</f>
      </c>
      <c r="R2916" s="225">
        <f>IF($O2916="","",INDEX('Kế hoạch'!$AK$6:$AK$305,$O2916))</f>
      </c>
    </row>
    <row r="2917">
      <c r="A2917" s="223">
        <f>IF($C2917="","",COUNTIF($C$6:$C2917,"?*"))</f>
      </c>
      <c r="B2917" s="217"/>
      <c r="C2917" s="216"/>
      <c r="D2917" s="240"/>
      <c r="E2917" s="218"/>
      <c r="F2917" s="218"/>
      <c r="G2917" s="218"/>
      <c r="H2917" s="219"/>
      <c r="I2917" s="223">
        <f>IF($C2917="","",IF(ISNUMBER(MATCH($C2917,'Phản ánh'!$A$6:$A$505,0)),"Phản ánh",IF(ISNUMBER(MATCH($C2917,'Kế hoạch'!$A$6:$A$305,0)),"Công việc","Mã chưa có")))</f>
      </c>
      <c r="J2917" s="221">
        <f>IF($I2917="Phản ánh",INDEX('Phản ánh'!$C$6:$C$505,MATCH($C2917,'Phản ánh'!$A$6:$A$505,0)),IF($I2917="Công việc",INDEX('Kế hoạch'!$C$6:$C$305,$O2917),""))</f>
      </c>
      <c r="K2917" s="221">
        <f>IF($I2917="Phản ánh",INDEX('Phản ánh'!$K$6:$K$505,MATCH($C2917,'Phản ánh'!$A$6:$A$505,0))&amp;"",IF($I2917="Công việc",INDEX('Kế hoạch'!$N$6:$N$305,$O2917)&amp;"",""))</f>
      </c>
      <c r="L2917" s="220">
        <f>IF(OR($C2917="",N($B2917)=0),"",IF(AND($I2917="Phản ánh",$E2917="Đã xử lý"),INDEX('Phản ánh'!$U$6:$U$505,MATCH($C2917,'Phản ánh'!$A$6:$A$505,0)),IF(AND($I2917="Công việc",OR($E2917="Hoàn thành",$E2917="Hoàn thành kỳ")),IF(INDEX('Kế hoạch'!$B$6:$B$305,$O2917)="Đột xuất",INDEX('Kế hoạch'!$AY$6:$AY$305,$O2917),IF(N($P2917)=0,"",IF(INT($B2917)&lt;$P2917,$P2917,IF($Q2917&gt;0,$P2917+ROUND((INT($B2917)-$P2917)/$Q2917,0)*$Q2917,IF($R2917&gt;0,EDATE($P2917,ROUND((DATEDIF($P2917,INT($B2917),"m")+(INT($B2917)-EDATE($P2917,DATEDIF($P2917,INT($B2917),"m")))/(EDATE($P2917,DATEDIF($P2917,INT($B2917),"m")+1)-EDATE($P2917,DATEDIF($P2917,INT($B2917),"m"))))/$R2917,0)*$R2917),$P2917))))),"")))</f>
      </c>
      <c r="M2917" s="223">
        <f>IF(OR($C2917="",N($L2917)=0,N($B2917)=0),"",IF(IF(MOD($L2917,1)=0,INT($B2917),$B2917)&lt;=$L2917,"Đúng hạn","Trễ hạn"))</f>
      </c>
      <c r="N2917" s="225">
        <f>IF($C2917="","",ROW())</f>
      </c>
      <c r="O2917" s="225">
        <f>IF($I2917="Công việc",MATCH($C2917,'Kế hoạch'!$A$6:$A$305,0),"")</f>
      </c>
      <c r="P2917" s="234">
        <f>IF($O2917="","",INDEX('Kế hoạch'!$I$6:$I$305,$O2917))</f>
      </c>
      <c r="Q2917" s="225">
        <f>IF($O2917="","",INDEX('Kế hoạch'!$AJ$6:$AJ$305,$O2917))</f>
      </c>
      <c r="R2917" s="225">
        <f>IF($O2917="","",INDEX('Kế hoạch'!$AK$6:$AK$305,$O2917))</f>
      </c>
    </row>
    <row r="2918">
      <c r="A2918" s="223">
        <f>IF($C2918="","",COUNTIF($C$6:$C2918,"?*"))</f>
      </c>
      <c r="B2918" s="217"/>
      <c r="C2918" s="216"/>
      <c r="D2918" s="240"/>
      <c r="E2918" s="218"/>
      <c r="F2918" s="218"/>
      <c r="G2918" s="218"/>
      <c r="H2918" s="219"/>
      <c r="I2918" s="223">
        <f>IF($C2918="","",IF(ISNUMBER(MATCH($C2918,'Phản ánh'!$A$6:$A$505,0)),"Phản ánh",IF(ISNUMBER(MATCH($C2918,'Kế hoạch'!$A$6:$A$305,0)),"Công việc","Mã chưa có")))</f>
      </c>
      <c r="J2918" s="221">
        <f>IF($I2918="Phản ánh",INDEX('Phản ánh'!$C$6:$C$505,MATCH($C2918,'Phản ánh'!$A$6:$A$505,0)),IF($I2918="Công việc",INDEX('Kế hoạch'!$C$6:$C$305,$O2918),""))</f>
      </c>
      <c r="K2918" s="221">
        <f>IF($I2918="Phản ánh",INDEX('Phản ánh'!$K$6:$K$505,MATCH($C2918,'Phản ánh'!$A$6:$A$505,0))&amp;"",IF($I2918="Công việc",INDEX('Kế hoạch'!$N$6:$N$305,$O2918)&amp;"",""))</f>
      </c>
      <c r="L2918" s="220">
        <f>IF(OR($C2918="",N($B2918)=0),"",IF(AND($I2918="Phản ánh",$E2918="Đã xử lý"),INDEX('Phản ánh'!$U$6:$U$505,MATCH($C2918,'Phản ánh'!$A$6:$A$505,0)),IF(AND($I2918="Công việc",OR($E2918="Hoàn thành",$E2918="Hoàn thành kỳ")),IF(INDEX('Kế hoạch'!$B$6:$B$305,$O2918)="Đột xuất",INDEX('Kế hoạch'!$AY$6:$AY$305,$O2918),IF(N($P2918)=0,"",IF(INT($B2918)&lt;$P2918,$P2918,IF($Q2918&gt;0,$P2918+ROUND((INT($B2918)-$P2918)/$Q2918,0)*$Q2918,IF($R2918&gt;0,EDATE($P2918,ROUND((DATEDIF($P2918,INT($B2918),"m")+(INT($B2918)-EDATE($P2918,DATEDIF($P2918,INT($B2918),"m")))/(EDATE($P2918,DATEDIF($P2918,INT($B2918),"m")+1)-EDATE($P2918,DATEDIF($P2918,INT($B2918),"m"))))/$R2918,0)*$R2918),$P2918))))),"")))</f>
      </c>
      <c r="M2918" s="223">
        <f>IF(OR($C2918="",N($L2918)=0,N($B2918)=0),"",IF(IF(MOD($L2918,1)=0,INT($B2918),$B2918)&lt;=$L2918,"Đúng hạn","Trễ hạn"))</f>
      </c>
      <c r="N2918" s="225">
        <f>IF($C2918="","",ROW())</f>
      </c>
      <c r="O2918" s="225">
        <f>IF($I2918="Công việc",MATCH($C2918,'Kế hoạch'!$A$6:$A$305,0),"")</f>
      </c>
      <c r="P2918" s="234">
        <f>IF($O2918="","",INDEX('Kế hoạch'!$I$6:$I$305,$O2918))</f>
      </c>
      <c r="Q2918" s="225">
        <f>IF($O2918="","",INDEX('Kế hoạch'!$AJ$6:$AJ$305,$O2918))</f>
      </c>
      <c r="R2918" s="225">
        <f>IF($O2918="","",INDEX('Kế hoạch'!$AK$6:$AK$305,$O2918))</f>
      </c>
    </row>
    <row r="2919">
      <c r="A2919" s="223">
        <f>IF($C2919="","",COUNTIF($C$6:$C2919,"?*"))</f>
      </c>
      <c r="B2919" s="217"/>
      <c r="C2919" s="216"/>
      <c r="D2919" s="240"/>
      <c r="E2919" s="218"/>
      <c r="F2919" s="218"/>
      <c r="G2919" s="218"/>
      <c r="H2919" s="219"/>
      <c r="I2919" s="223">
        <f>IF($C2919="","",IF(ISNUMBER(MATCH($C2919,'Phản ánh'!$A$6:$A$505,0)),"Phản ánh",IF(ISNUMBER(MATCH($C2919,'Kế hoạch'!$A$6:$A$305,0)),"Công việc","Mã chưa có")))</f>
      </c>
      <c r="J2919" s="221">
        <f>IF($I2919="Phản ánh",INDEX('Phản ánh'!$C$6:$C$505,MATCH($C2919,'Phản ánh'!$A$6:$A$505,0)),IF($I2919="Công việc",INDEX('Kế hoạch'!$C$6:$C$305,$O2919),""))</f>
      </c>
      <c r="K2919" s="221">
        <f>IF($I2919="Phản ánh",INDEX('Phản ánh'!$K$6:$K$505,MATCH($C2919,'Phản ánh'!$A$6:$A$505,0))&amp;"",IF($I2919="Công việc",INDEX('Kế hoạch'!$N$6:$N$305,$O2919)&amp;"",""))</f>
      </c>
      <c r="L2919" s="220">
        <f>IF(OR($C2919="",N($B2919)=0),"",IF(AND($I2919="Phản ánh",$E2919="Đã xử lý"),INDEX('Phản ánh'!$U$6:$U$505,MATCH($C2919,'Phản ánh'!$A$6:$A$505,0)),IF(AND($I2919="Công việc",OR($E2919="Hoàn thành",$E2919="Hoàn thành kỳ")),IF(INDEX('Kế hoạch'!$B$6:$B$305,$O2919)="Đột xuất",INDEX('Kế hoạch'!$AY$6:$AY$305,$O2919),IF(N($P2919)=0,"",IF(INT($B2919)&lt;$P2919,$P2919,IF($Q2919&gt;0,$P2919+ROUND((INT($B2919)-$P2919)/$Q2919,0)*$Q2919,IF($R2919&gt;0,EDATE($P2919,ROUND((DATEDIF($P2919,INT($B2919),"m")+(INT($B2919)-EDATE($P2919,DATEDIF($P2919,INT($B2919),"m")))/(EDATE($P2919,DATEDIF($P2919,INT($B2919),"m")+1)-EDATE($P2919,DATEDIF($P2919,INT($B2919),"m"))))/$R2919,0)*$R2919),$P2919))))),"")))</f>
      </c>
      <c r="M2919" s="223">
        <f>IF(OR($C2919="",N($L2919)=0,N($B2919)=0),"",IF(IF(MOD($L2919,1)=0,INT($B2919),$B2919)&lt;=$L2919,"Đúng hạn","Trễ hạn"))</f>
      </c>
      <c r="N2919" s="225">
        <f>IF($C2919="","",ROW())</f>
      </c>
      <c r="O2919" s="225">
        <f>IF($I2919="Công việc",MATCH($C2919,'Kế hoạch'!$A$6:$A$305,0),"")</f>
      </c>
      <c r="P2919" s="234">
        <f>IF($O2919="","",INDEX('Kế hoạch'!$I$6:$I$305,$O2919))</f>
      </c>
      <c r="Q2919" s="225">
        <f>IF($O2919="","",INDEX('Kế hoạch'!$AJ$6:$AJ$305,$O2919))</f>
      </c>
      <c r="R2919" s="225">
        <f>IF($O2919="","",INDEX('Kế hoạch'!$AK$6:$AK$305,$O2919))</f>
      </c>
    </row>
    <row r="2920">
      <c r="A2920" s="223">
        <f>IF($C2920="","",COUNTIF($C$6:$C2920,"?*"))</f>
      </c>
      <c r="B2920" s="217"/>
      <c r="C2920" s="216"/>
      <c r="D2920" s="240"/>
      <c r="E2920" s="218"/>
      <c r="F2920" s="218"/>
      <c r="G2920" s="218"/>
      <c r="H2920" s="219"/>
      <c r="I2920" s="223">
        <f>IF($C2920="","",IF(ISNUMBER(MATCH($C2920,'Phản ánh'!$A$6:$A$505,0)),"Phản ánh",IF(ISNUMBER(MATCH($C2920,'Kế hoạch'!$A$6:$A$305,0)),"Công việc","Mã chưa có")))</f>
      </c>
      <c r="J2920" s="221">
        <f>IF($I2920="Phản ánh",INDEX('Phản ánh'!$C$6:$C$505,MATCH($C2920,'Phản ánh'!$A$6:$A$505,0)),IF($I2920="Công việc",INDEX('Kế hoạch'!$C$6:$C$305,$O2920),""))</f>
      </c>
      <c r="K2920" s="221">
        <f>IF($I2920="Phản ánh",INDEX('Phản ánh'!$K$6:$K$505,MATCH($C2920,'Phản ánh'!$A$6:$A$505,0))&amp;"",IF($I2920="Công việc",INDEX('Kế hoạch'!$N$6:$N$305,$O2920)&amp;"",""))</f>
      </c>
      <c r="L2920" s="220">
        <f>IF(OR($C2920="",N($B2920)=0),"",IF(AND($I2920="Phản ánh",$E2920="Đã xử lý"),INDEX('Phản ánh'!$U$6:$U$505,MATCH($C2920,'Phản ánh'!$A$6:$A$505,0)),IF(AND($I2920="Công việc",OR($E2920="Hoàn thành",$E2920="Hoàn thành kỳ")),IF(INDEX('Kế hoạch'!$B$6:$B$305,$O2920)="Đột xuất",INDEX('Kế hoạch'!$AY$6:$AY$305,$O2920),IF(N($P2920)=0,"",IF(INT($B2920)&lt;$P2920,$P2920,IF($Q2920&gt;0,$P2920+ROUND((INT($B2920)-$P2920)/$Q2920,0)*$Q2920,IF($R2920&gt;0,EDATE($P2920,ROUND((DATEDIF($P2920,INT($B2920),"m")+(INT($B2920)-EDATE($P2920,DATEDIF($P2920,INT($B2920),"m")))/(EDATE($P2920,DATEDIF($P2920,INT($B2920),"m")+1)-EDATE($P2920,DATEDIF($P2920,INT($B2920),"m"))))/$R2920,0)*$R2920),$P2920))))),"")))</f>
      </c>
      <c r="M2920" s="223">
        <f>IF(OR($C2920="",N($L2920)=0,N($B2920)=0),"",IF(IF(MOD($L2920,1)=0,INT($B2920),$B2920)&lt;=$L2920,"Đúng hạn","Trễ hạn"))</f>
      </c>
      <c r="N2920" s="225">
        <f>IF($C2920="","",ROW())</f>
      </c>
      <c r="O2920" s="225">
        <f>IF($I2920="Công việc",MATCH($C2920,'Kế hoạch'!$A$6:$A$305,0),"")</f>
      </c>
      <c r="P2920" s="234">
        <f>IF($O2920="","",INDEX('Kế hoạch'!$I$6:$I$305,$O2920))</f>
      </c>
      <c r="Q2920" s="225">
        <f>IF($O2920="","",INDEX('Kế hoạch'!$AJ$6:$AJ$305,$O2920))</f>
      </c>
      <c r="R2920" s="225">
        <f>IF($O2920="","",INDEX('Kế hoạch'!$AK$6:$AK$305,$O2920))</f>
      </c>
    </row>
    <row r="2921">
      <c r="A2921" s="223">
        <f>IF($C2921="","",COUNTIF($C$6:$C2921,"?*"))</f>
      </c>
      <c r="B2921" s="217"/>
      <c r="C2921" s="216"/>
      <c r="D2921" s="240"/>
      <c r="E2921" s="218"/>
      <c r="F2921" s="218"/>
      <c r="G2921" s="218"/>
      <c r="H2921" s="219"/>
      <c r="I2921" s="223">
        <f>IF($C2921="","",IF(ISNUMBER(MATCH($C2921,'Phản ánh'!$A$6:$A$505,0)),"Phản ánh",IF(ISNUMBER(MATCH($C2921,'Kế hoạch'!$A$6:$A$305,0)),"Công việc","Mã chưa có")))</f>
      </c>
      <c r="J2921" s="221">
        <f>IF($I2921="Phản ánh",INDEX('Phản ánh'!$C$6:$C$505,MATCH($C2921,'Phản ánh'!$A$6:$A$505,0)),IF($I2921="Công việc",INDEX('Kế hoạch'!$C$6:$C$305,$O2921),""))</f>
      </c>
      <c r="K2921" s="221">
        <f>IF($I2921="Phản ánh",INDEX('Phản ánh'!$K$6:$K$505,MATCH($C2921,'Phản ánh'!$A$6:$A$505,0))&amp;"",IF($I2921="Công việc",INDEX('Kế hoạch'!$N$6:$N$305,$O2921)&amp;"",""))</f>
      </c>
      <c r="L2921" s="220">
        <f>IF(OR($C2921="",N($B2921)=0),"",IF(AND($I2921="Phản ánh",$E2921="Đã xử lý"),INDEX('Phản ánh'!$U$6:$U$505,MATCH($C2921,'Phản ánh'!$A$6:$A$505,0)),IF(AND($I2921="Công việc",OR($E2921="Hoàn thành",$E2921="Hoàn thành kỳ")),IF(INDEX('Kế hoạch'!$B$6:$B$305,$O2921)="Đột xuất",INDEX('Kế hoạch'!$AY$6:$AY$305,$O2921),IF(N($P2921)=0,"",IF(INT($B2921)&lt;$P2921,$P2921,IF($Q2921&gt;0,$P2921+ROUND((INT($B2921)-$P2921)/$Q2921,0)*$Q2921,IF($R2921&gt;0,EDATE($P2921,ROUND((DATEDIF($P2921,INT($B2921),"m")+(INT($B2921)-EDATE($P2921,DATEDIF($P2921,INT($B2921),"m")))/(EDATE($P2921,DATEDIF($P2921,INT($B2921),"m")+1)-EDATE($P2921,DATEDIF($P2921,INT($B2921),"m"))))/$R2921,0)*$R2921),$P2921))))),"")))</f>
      </c>
      <c r="M2921" s="223">
        <f>IF(OR($C2921="",N($L2921)=0,N($B2921)=0),"",IF(IF(MOD($L2921,1)=0,INT($B2921),$B2921)&lt;=$L2921,"Đúng hạn","Trễ hạn"))</f>
      </c>
      <c r="N2921" s="225">
        <f>IF($C2921="","",ROW())</f>
      </c>
      <c r="O2921" s="225">
        <f>IF($I2921="Công việc",MATCH($C2921,'Kế hoạch'!$A$6:$A$305,0),"")</f>
      </c>
      <c r="P2921" s="234">
        <f>IF($O2921="","",INDEX('Kế hoạch'!$I$6:$I$305,$O2921))</f>
      </c>
      <c r="Q2921" s="225">
        <f>IF($O2921="","",INDEX('Kế hoạch'!$AJ$6:$AJ$305,$O2921))</f>
      </c>
      <c r="R2921" s="225">
        <f>IF($O2921="","",INDEX('Kế hoạch'!$AK$6:$AK$305,$O2921))</f>
      </c>
    </row>
    <row r="2922">
      <c r="A2922" s="223">
        <f>IF($C2922="","",COUNTIF($C$6:$C2922,"?*"))</f>
      </c>
      <c r="B2922" s="217"/>
      <c r="C2922" s="216"/>
      <c r="D2922" s="240"/>
      <c r="E2922" s="218"/>
      <c r="F2922" s="218"/>
      <c r="G2922" s="218"/>
      <c r="H2922" s="219"/>
      <c r="I2922" s="223">
        <f>IF($C2922="","",IF(ISNUMBER(MATCH($C2922,'Phản ánh'!$A$6:$A$505,0)),"Phản ánh",IF(ISNUMBER(MATCH($C2922,'Kế hoạch'!$A$6:$A$305,0)),"Công việc","Mã chưa có")))</f>
      </c>
      <c r="J2922" s="221">
        <f>IF($I2922="Phản ánh",INDEX('Phản ánh'!$C$6:$C$505,MATCH($C2922,'Phản ánh'!$A$6:$A$505,0)),IF($I2922="Công việc",INDEX('Kế hoạch'!$C$6:$C$305,$O2922),""))</f>
      </c>
      <c r="K2922" s="221">
        <f>IF($I2922="Phản ánh",INDEX('Phản ánh'!$K$6:$K$505,MATCH($C2922,'Phản ánh'!$A$6:$A$505,0))&amp;"",IF($I2922="Công việc",INDEX('Kế hoạch'!$N$6:$N$305,$O2922)&amp;"",""))</f>
      </c>
      <c r="L2922" s="220">
        <f>IF(OR($C2922="",N($B2922)=0),"",IF(AND($I2922="Phản ánh",$E2922="Đã xử lý"),INDEX('Phản ánh'!$U$6:$U$505,MATCH($C2922,'Phản ánh'!$A$6:$A$505,0)),IF(AND($I2922="Công việc",OR($E2922="Hoàn thành",$E2922="Hoàn thành kỳ")),IF(INDEX('Kế hoạch'!$B$6:$B$305,$O2922)="Đột xuất",INDEX('Kế hoạch'!$AY$6:$AY$305,$O2922),IF(N($P2922)=0,"",IF(INT($B2922)&lt;$P2922,$P2922,IF($Q2922&gt;0,$P2922+ROUND((INT($B2922)-$P2922)/$Q2922,0)*$Q2922,IF($R2922&gt;0,EDATE($P2922,ROUND((DATEDIF($P2922,INT($B2922),"m")+(INT($B2922)-EDATE($P2922,DATEDIF($P2922,INT($B2922),"m")))/(EDATE($P2922,DATEDIF($P2922,INT($B2922),"m")+1)-EDATE($P2922,DATEDIF($P2922,INT($B2922),"m"))))/$R2922,0)*$R2922),$P2922))))),"")))</f>
      </c>
      <c r="M2922" s="223">
        <f>IF(OR($C2922="",N($L2922)=0,N($B2922)=0),"",IF(IF(MOD($L2922,1)=0,INT($B2922),$B2922)&lt;=$L2922,"Đúng hạn","Trễ hạn"))</f>
      </c>
      <c r="N2922" s="225">
        <f>IF($C2922="","",ROW())</f>
      </c>
      <c r="O2922" s="225">
        <f>IF($I2922="Công việc",MATCH($C2922,'Kế hoạch'!$A$6:$A$305,0),"")</f>
      </c>
      <c r="P2922" s="234">
        <f>IF($O2922="","",INDEX('Kế hoạch'!$I$6:$I$305,$O2922))</f>
      </c>
      <c r="Q2922" s="225">
        <f>IF($O2922="","",INDEX('Kế hoạch'!$AJ$6:$AJ$305,$O2922))</f>
      </c>
      <c r="R2922" s="225">
        <f>IF($O2922="","",INDEX('Kế hoạch'!$AK$6:$AK$305,$O2922))</f>
      </c>
    </row>
    <row r="2923">
      <c r="A2923" s="223">
        <f>IF($C2923="","",COUNTIF($C$6:$C2923,"?*"))</f>
      </c>
      <c r="B2923" s="217"/>
      <c r="C2923" s="216"/>
      <c r="D2923" s="240"/>
      <c r="E2923" s="218"/>
      <c r="F2923" s="218"/>
      <c r="G2923" s="218"/>
      <c r="H2923" s="219"/>
      <c r="I2923" s="223">
        <f>IF($C2923="","",IF(ISNUMBER(MATCH($C2923,'Phản ánh'!$A$6:$A$505,0)),"Phản ánh",IF(ISNUMBER(MATCH($C2923,'Kế hoạch'!$A$6:$A$305,0)),"Công việc","Mã chưa có")))</f>
      </c>
      <c r="J2923" s="221">
        <f>IF($I2923="Phản ánh",INDEX('Phản ánh'!$C$6:$C$505,MATCH($C2923,'Phản ánh'!$A$6:$A$505,0)),IF($I2923="Công việc",INDEX('Kế hoạch'!$C$6:$C$305,$O2923),""))</f>
      </c>
      <c r="K2923" s="221">
        <f>IF($I2923="Phản ánh",INDEX('Phản ánh'!$K$6:$K$505,MATCH($C2923,'Phản ánh'!$A$6:$A$505,0))&amp;"",IF($I2923="Công việc",INDEX('Kế hoạch'!$N$6:$N$305,$O2923)&amp;"",""))</f>
      </c>
      <c r="L2923" s="220">
        <f>IF(OR($C2923="",N($B2923)=0),"",IF(AND($I2923="Phản ánh",$E2923="Đã xử lý"),INDEX('Phản ánh'!$U$6:$U$505,MATCH($C2923,'Phản ánh'!$A$6:$A$505,0)),IF(AND($I2923="Công việc",OR($E2923="Hoàn thành",$E2923="Hoàn thành kỳ")),IF(INDEX('Kế hoạch'!$B$6:$B$305,$O2923)="Đột xuất",INDEX('Kế hoạch'!$AY$6:$AY$305,$O2923),IF(N($P2923)=0,"",IF(INT($B2923)&lt;$P2923,$P2923,IF($Q2923&gt;0,$P2923+ROUND((INT($B2923)-$P2923)/$Q2923,0)*$Q2923,IF($R2923&gt;0,EDATE($P2923,ROUND((DATEDIF($P2923,INT($B2923),"m")+(INT($B2923)-EDATE($P2923,DATEDIF($P2923,INT($B2923),"m")))/(EDATE($P2923,DATEDIF($P2923,INT($B2923),"m")+1)-EDATE($P2923,DATEDIF($P2923,INT($B2923),"m"))))/$R2923,0)*$R2923),$P2923))))),"")))</f>
      </c>
      <c r="M2923" s="223">
        <f>IF(OR($C2923="",N($L2923)=0,N($B2923)=0),"",IF(IF(MOD($L2923,1)=0,INT($B2923),$B2923)&lt;=$L2923,"Đúng hạn","Trễ hạn"))</f>
      </c>
      <c r="N2923" s="225">
        <f>IF($C2923="","",ROW())</f>
      </c>
      <c r="O2923" s="225">
        <f>IF($I2923="Công việc",MATCH($C2923,'Kế hoạch'!$A$6:$A$305,0),"")</f>
      </c>
      <c r="P2923" s="234">
        <f>IF($O2923="","",INDEX('Kế hoạch'!$I$6:$I$305,$O2923))</f>
      </c>
      <c r="Q2923" s="225">
        <f>IF($O2923="","",INDEX('Kế hoạch'!$AJ$6:$AJ$305,$O2923))</f>
      </c>
      <c r="R2923" s="225">
        <f>IF($O2923="","",INDEX('Kế hoạch'!$AK$6:$AK$305,$O2923))</f>
      </c>
    </row>
    <row r="2924">
      <c r="A2924" s="223">
        <f>IF($C2924="","",COUNTIF($C$6:$C2924,"?*"))</f>
      </c>
      <c r="B2924" s="217"/>
      <c r="C2924" s="216"/>
      <c r="D2924" s="240"/>
      <c r="E2924" s="218"/>
      <c r="F2924" s="218"/>
      <c r="G2924" s="218"/>
      <c r="H2924" s="219"/>
      <c r="I2924" s="223">
        <f>IF($C2924="","",IF(ISNUMBER(MATCH($C2924,'Phản ánh'!$A$6:$A$505,0)),"Phản ánh",IF(ISNUMBER(MATCH($C2924,'Kế hoạch'!$A$6:$A$305,0)),"Công việc","Mã chưa có")))</f>
      </c>
      <c r="J2924" s="221">
        <f>IF($I2924="Phản ánh",INDEX('Phản ánh'!$C$6:$C$505,MATCH($C2924,'Phản ánh'!$A$6:$A$505,0)),IF($I2924="Công việc",INDEX('Kế hoạch'!$C$6:$C$305,$O2924),""))</f>
      </c>
      <c r="K2924" s="221">
        <f>IF($I2924="Phản ánh",INDEX('Phản ánh'!$K$6:$K$505,MATCH($C2924,'Phản ánh'!$A$6:$A$505,0))&amp;"",IF($I2924="Công việc",INDEX('Kế hoạch'!$N$6:$N$305,$O2924)&amp;"",""))</f>
      </c>
      <c r="L2924" s="220">
        <f>IF(OR($C2924="",N($B2924)=0),"",IF(AND($I2924="Phản ánh",$E2924="Đã xử lý"),INDEX('Phản ánh'!$U$6:$U$505,MATCH($C2924,'Phản ánh'!$A$6:$A$505,0)),IF(AND($I2924="Công việc",OR($E2924="Hoàn thành",$E2924="Hoàn thành kỳ")),IF(INDEX('Kế hoạch'!$B$6:$B$305,$O2924)="Đột xuất",INDEX('Kế hoạch'!$AY$6:$AY$305,$O2924),IF(N($P2924)=0,"",IF(INT($B2924)&lt;$P2924,$P2924,IF($Q2924&gt;0,$P2924+ROUND((INT($B2924)-$P2924)/$Q2924,0)*$Q2924,IF($R2924&gt;0,EDATE($P2924,ROUND((DATEDIF($P2924,INT($B2924),"m")+(INT($B2924)-EDATE($P2924,DATEDIF($P2924,INT($B2924),"m")))/(EDATE($P2924,DATEDIF($P2924,INT($B2924),"m")+1)-EDATE($P2924,DATEDIF($P2924,INT($B2924),"m"))))/$R2924,0)*$R2924),$P2924))))),"")))</f>
      </c>
      <c r="M2924" s="223">
        <f>IF(OR($C2924="",N($L2924)=0,N($B2924)=0),"",IF(IF(MOD($L2924,1)=0,INT($B2924),$B2924)&lt;=$L2924,"Đúng hạn","Trễ hạn"))</f>
      </c>
      <c r="N2924" s="225">
        <f>IF($C2924="","",ROW())</f>
      </c>
      <c r="O2924" s="225">
        <f>IF($I2924="Công việc",MATCH($C2924,'Kế hoạch'!$A$6:$A$305,0),"")</f>
      </c>
      <c r="P2924" s="234">
        <f>IF($O2924="","",INDEX('Kế hoạch'!$I$6:$I$305,$O2924))</f>
      </c>
      <c r="Q2924" s="225">
        <f>IF($O2924="","",INDEX('Kế hoạch'!$AJ$6:$AJ$305,$O2924))</f>
      </c>
      <c r="R2924" s="225">
        <f>IF($O2924="","",INDEX('Kế hoạch'!$AK$6:$AK$305,$O2924))</f>
      </c>
    </row>
    <row r="2925">
      <c r="A2925" s="223">
        <f>IF($C2925="","",COUNTIF($C$6:$C2925,"?*"))</f>
      </c>
      <c r="B2925" s="217"/>
      <c r="C2925" s="216"/>
      <c r="D2925" s="240"/>
      <c r="E2925" s="218"/>
      <c r="F2925" s="218"/>
      <c r="G2925" s="218"/>
      <c r="H2925" s="219"/>
      <c r="I2925" s="223">
        <f>IF($C2925="","",IF(ISNUMBER(MATCH($C2925,'Phản ánh'!$A$6:$A$505,0)),"Phản ánh",IF(ISNUMBER(MATCH($C2925,'Kế hoạch'!$A$6:$A$305,0)),"Công việc","Mã chưa có")))</f>
      </c>
      <c r="J2925" s="221">
        <f>IF($I2925="Phản ánh",INDEX('Phản ánh'!$C$6:$C$505,MATCH($C2925,'Phản ánh'!$A$6:$A$505,0)),IF($I2925="Công việc",INDEX('Kế hoạch'!$C$6:$C$305,$O2925),""))</f>
      </c>
      <c r="K2925" s="221">
        <f>IF($I2925="Phản ánh",INDEX('Phản ánh'!$K$6:$K$505,MATCH($C2925,'Phản ánh'!$A$6:$A$505,0))&amp;"",IF($I2925="Công việc",INDEX('Kế hoạch'!$N$6:$N$305,$O2925)&amp;"",""))</f>
      </c>
      <c r="L2925" s="220">
        <f>IF(OR($C2925="",N($B2925)=0),"",IF(AND($I2925="Phản ánh",$E2925="Đã xử lý"),INDEX('Phản ánh'!$U$6:$U$505,MATCH($C2925,'Phản ánh'!$A$6:$A$505,0)),IF(AND($I2925="Công việc",OR($E2925="Hoàn thành",$E2925="Hoàn thành kỳ")),IF(INDEX('Kế hoạch'!$B$6:$B$305,$O2925)="Đột xuất",INDEX('Kế hoạch'!$AY$6:$AY$305,$O2925),IF(N($P2925)=0,"",IF(INT($B2925)&lt;$P2925,$P2925,IF($Q2925&gt;0,$P2925+ROUND((INT($B2925)-$P2925)/$Q2925,0)*$Q2925,IF($R2925&gt;0,EDATE($P2925,ROUND((DATEDIF($P2925,INT($B2925),"m")+(INT($B2925)-EDATE($P2925,DATEDIF($P2925,INT($B2925),"m")))/(EDATE($P2925,DATEDIF($P2925,INT($B2925),"m")+1)-EDATE($P2925,DATEDIF($P2925,INT($B2925),"m"))))/$R2925,0)*$R2925),$P2925))))),"")))</f>
      </c>
      <c r="M2925" s="223">
        <f>IF(OR($C2925="",N($L2925)=0,N($B2925)=0),"",IF(IF(MOD($L2925,1)=0,INT($B2925),$B2925)&lt;=$L2925,"Đúng hạn","Trễ hạn"))</f>
      </c>
      <c r="N2925" s="225">
        <f>IF($C2925="","",ROW())</f>
      </c>
      <c r="O2925" s="225">
        <f>IF($I2925="Công việc",MATCH($C2925,'Kế hoạch'!$A$6:$A$305,0),"")</f>
      </c>
      <c r="P2925" s="234">
        <f>IF($O2925="","",INDEX('Kế hoạch'!$I$6:$I$305,$O2925))</f>
      </c>
      <c r="Q2925" s="225">
        <f>IF($O2925="","",INDEX('Kế hoạch'!$AJ$6:$AJ$305,$O2925))</f>
      </c>
      <c r="R2925" s="225">
        <f>IF($O2925="","",INDEX('Kế hoạch'!$AK$6:$AK$305,$O2925))</f>
      </c>
    </row>
    <row r="2926">
      <c r="A2926" s="223">
        <f>IF($C2926="","",COUNTIF($C$6:$C2926,"?*"))</f>
      </c>
      <c r="B2926" s="217"/>
      <c r="C2926" s="216"/>
      <c r="D2926" s="240"/>
      <c r="E2926" s="218"/>
      <c r="F2926" s="218"/>
      <c r="G2926" s="218"/>
      <c r="H2926" s="219"/>
      <c r="I2926" s="223">
        <f>IF($C2926="","",IF(ISNUMBER(MATCH($C2926,'Phản ánh'!$A$6:$A$505,0)),"Phản ánh",IF(ISNUMBER(MATCH($C2926,'Kế hoạch'!$A$6:$A$305,0)),"Công việc","Mã chưa có")))</f>
      </c>
      <c r="J2926" s="221">
        <f>IF($I2926="Phản ánh",INDEX('Phản ánh'!$C$6:$C$505,MATCH($C2926,'Phản ánh'!$A$6:$A$505,0)),IF($I2926="Công việc",INDEX('Kế hoạch'!$C$6:$C$305,$O2926),""))</f>
      </c>
      <c r="K2926" s="221">
        <f>IF($I2926="Phản ánh",INDEX('Phản ánh'!$K$6:$K$505,MATCH($C2926,'Phản ánh'!$A$6:$A$505,0))&amp;"",IF($I2926="Công việc",INDEX('Kế hoạch'!$N$6:$N$305,$O2926)&amp;"",""))</f>
      </c>
      <c r="L2926" s="220">
        <f>IF(OR($C2926="",N($B2926)=0),"",IF(AND($I2926="Phản ánh",$E2926="Đã xử lý"),INDEX('Phản ánh'!$U$6:$U$505,MATCH($C2926,'Phản ánh'!$A$6:$A$505,0)),IF(AND($I2926="Công việc",OR($E2926="Hoàn thành",$E2926="Hoàn thành kỳ")),IF(INDEX('Kế hoạch'!$B$6:$B$305,$O2926)="Đột xuất",INDEX('Kế hoạch'!$AY$6:$AY$305,$O2926),IF(N($P2926)=0,"",IF(INT($B2926)&lt;$P2926,$P2926,IF($Q2926&gt;0,$P2926+ROUND((INT($B2926)-$P2926)/$Q2926,0)*$Q2926,IF($R2926&gt;0,EDATE($P2926,ROUND((DATEDIF($P2926,INT($B2926),"m")+(INT($B2926)-EDATE($P2926,DATEDIF($P2926,INT($B2926),"m")))/(EDATE($P2926,DATEDIF($P2926,INT($B2926),"m")+1)-EDATE($P2926,DATEDIF($P2926,INT($B2926),"m"))))/$R2926,0)*$R2926),$P2926))))),"")))</f>
      </c>
      <c r="M2926" s="223">
        <f>IF(OR($C2926="",N($L2926)=0,N($B2926)=0),"",IF(IF(MOD($L2926,1)=0,INT($B2926),$B2926)&lt;=$L2926,"Đúng hạn","Trễ hạn"))</f>
      </c>
      <c r="N2926" s="225">
        <f>IF($C2926="","",ROW())</f>
      </c>
      <c r="O2926" s="225">
        <f>IF($I2926="Công việc",MATCH($C2926,'Kế hoạch'!$A$6:$A$305,0),"")</f>
      </c>
      <c r="P2926" s="234">
        <f>IF($O2926="","",INDEX('Kế hoạch'!$I$6:$I$305,$O2926))</f>
      </c>
      <c r="Q2926" s="225">
        <f>IF($O2926="","",INDEX('Kế hoạch'!$AJ$6:$AJ$305,$O2926))</f>
      </c>
      <c r="R2926" s="225">
        <f>IF($O2926="","",INDEX('Kế hoạch'!$AK$6:$AK$305,$O2926))</f>
      </c>
    </row>
    <row r="2927">
      <c r="A2927" s="223">
        <f>IF($C2927="","",COUNTIF($C$6:$C2927,"?*"))</f>
      </c>
      <c r="B2927" s="217"/>
      <c r="C2927" s="216"/>
      <c r="D2927" s="240"/>
      <c r="E2927" s="218"/>
      <c r="F2927" s="218"/>
      <c r="G2927" s="218"/>
      <c r="H2927" s="219"/>
      <c r="I2927" s="223">
        <f>IF($C2927="","",IF(ISNUMBER(MATCH($C2927,'Phản ánh'!$A$6:$A$505,0)),"Phản ánh",IF(ISNUMBER(MATCH($C2927,'Kế hoạch'!$A$6:$A$305,0)),"Công việc","Mã chưa có")))</f>
      </c>
      <c r="J2927" s="221">
        <f>IF($I2927="Phản ánh",INDEX('Phản ánh'!$C$6:$C$505,MATCH($C2927,'Phản ánh'!$A$6:$A$505,0)),IF($I2927="Công việc",INDEX('Kế hoạch'!$C$6:$C$305,$O2927),""))</f>
      </c>
      <c r="K2927" s="221">
        <f>IF($I2927="Phản ánh",INDEX('Phản ánh'!$K$6:$K$505,MATCH($C2927,'Phản ánh'!$A$6:$A$505,0))&amp;"",IF($I2927="Công việc",INDEX('Kế hoạch'!$N$6:$N$305,$O2927)&amp;"",""))</f>
      </c>
      <c r="L2927" s="220">
        <f>IF(OR($C2927="",N($B2927)=0),"",IF(AND($I2927="Phản ánh",$E2927="Đã xử lý"),INDEX('Phản ánh'!$U$6:$U$505,MATCH($C2927,'Phản ánh'!$A$6:$A$505,0)),IF(AND($I2927="Công việc",OR($E2927="Hoàn thành",$E2927="Hoàn thành kỳ")),IF(INDEX('Kế hoạch'!$B$6:$B$305,$O2927)="Đột xuất",INDEX('Kế hoạch'!$AY$6:$AY$305,$O2927),IF(N($P2927)=0,"",IF(INT($B2927)&lt;$P2927,$P2927,IF($Q2927&gt;0,$P2927+ROUND((INT($B2927)-$P2927)/$Q2927,0)*$Q2927,IF($R2927&gt;0,EDATE($P2927,ROUND((DATEDIF($P2927,INT($B2927),"m")+(INT($B2927)-EDATE($P2927,DATEDIF($P2927,INT($B2927),"m")))/(EDATE($P2927,DATEDIF($P2927,INT($B2927),"m")+1)-EDATE($P2927,DATEDIF($P2927,INT($B2927),"m"))))/$R2927,0)*$R2927),$P2927))))),"")))</f>
      </c>
      <c r="M2927" s="223">
        <f>IF(OR($C2927="",N($L2927)=0,N($B2927)=0),"",IF(IF(MOD($L2927,1)=0,INT($B2927),$B2927)&lt;=$L2927,"Đúng hạn","Trễ hạn"))</f>
      </c>
      <c r="N2927" s="225">
        <f>IF($C2927="","",ROW())</f>
      </c>
      <c r="O2927" s="225">
        <f>IF($I2927="Công việc",MATCH($C2927,'Kế hoạch'!$A$6:$A$305,0),"")</f>
      </c>
      <c r="P2927" s="234">
        <f>IF($O2927="","",INDEX('Kế hoạch'!$I$6:$I$305,$O2927))</f>
      </c>
      <c r="Q2927" s="225">
        <f>IF($O2927="","",INDEX('Kế hoạch'!$AJ$6:$AJ$305,$O2927))</f>
      </c>
      <c r="R2927" s="225">
        <f>IF($O2927="","",INDEX('Kế hoạch'!$AK$6:$AK$305,$O2927))</f>
      </c>
    </row>
    <row r="2928">
      <c r="A2928" s="223">
        <f>IF($C2928="","",COUNTIF($C$6:$C2928,"?*"))</f>
      </c>
      <c r="B2928" s="217"/>
      <c r="C2928" s="216"/>
      <c r="D2928" s="240"/>
      <c r="E2928" s="218"/>
      <c r="F2928" s="218"/>
      <c r="G2928" s="218"/>
      <c r="H2928" s="219"/>
      <c r="I2928" s="223">
        <f>IF($C2928="","",IF(ISNUMBER(MATCH($C2928,'Phản ánh'!$A$6:$A$505,0)),"Phản ánh",IF(ISNUMBER(MATCH($C2928,'Kế hoạch'!$A$6:$A$305,0)),"Công việc","Mã chưa có")))</f>
      </c>
      <c r="J2928" s="221">
        <f>IF($I2928="Phản ánh",INDEX('Phản ánh'!$C$6:$C$505,MATCH($C2928,'Phản ánh'!$A$6:$A$505,0)),IF($I2928="Công việc",INDEX('Kế hoạch'!$C$6:$C$305,$O2928),""))</f>
      </c>
      <c r="K2928" s="221">
        <f>IF($I2928="Phản ánh",INDEX('Phản ánh'!$K$6:$K$505,MATCH($C2928,'Phản ánh'!$A$6:$A$505,0))&amp;"",IF($I2928="Công việc",INDEX('Kế hoạch'!$N$6:$N$305,$O2928)&amp;"",""))</f>
      </c>
      <c r="L2928" s="220">
        <f>IF(OR($C2928="",N($B2928)=0),"",IF(AND($I2928="Phản ánh",$E2928="Đã xử lý"),INDEX('Phản ánh'!$U$6:$U$505,MATCH($C2928,'Phản ánh'!$A$6:$A$505,0)),IF(AND($I2928="Công việc",OR($E2928="Hoàn thành",$E2928="Hoàn thành kỳ")),IF(INDEX('Kế hoạch'!$B$6:$B$305,$O2928)="Đột xuất",INDEX('Kế hoạch'!$AY$6:$AY$305,$O2928),IF(N($P2928)=0,"",IF(INT($B2928)&lt;$P2928,$P2928,IF($Q2928&gt;0,$P2928+ROUND((INT($B2928)-$P2928)/$Q2928,0)*$Q2928,IF($R2928&gt;0,EDATE($P2928,ROUND((DATEDIF($P2928,INT($B2928),"m")+(INT($B2928)-EDATE($P2928,DATEDIF($P2928,INT($B2928),"m")))/(EDATE($P2928,DATEDIF($P2928,INT($B2928),"m")+1)-EDATE($P2928,DATEDIF($P2928,INT($B2928),"m"))))/$R2928,0)*$R2928),$P2928))))),"")))</f>
      </c>
      <c r="M2928" s="223">
        <f>IF(OR($C2928="",N($L2928)=0,N($B2928)=0),"",IF(IF(MOD($L2928,1)=0,INT($B2928),$B2928)&lt;=$L2928,"Đúng hạn","Trễ hạn"))</f>
      </c>
      <c r="N2928" s="225">
        <f>IF($C2928="","",ROW())</f>
      </c>
      <c r="O2928" s="225">
        <f>IF($I2928="Công việc",MATCH($C2928,'Kế hoạch'!$A$6:$A$305,0),"")</f>
      </c>
      <c r="P2928" s="234">
        <f>IF($O2928="","",INDEX('Kế hoạch'!$I$6:$I$305,$O2928))</f>
      </c>
      <c r="Q2928" s="225">
        <f>IF($O2928="","",INDEX('Kế hoạch'!$AJ$6:$AJ$305,$O2928))</f>
      </c>
      <c r="R2928" s="225">
        <f>IF($O2928="","",INDEX('Kế hoạch'!$AK$6:$AK$305,$O2928))</f>
      </c>
    </row>
    <row r="2929">
      <c r="A2929" s="223">
        <f>IF($C2929="","",COUNTIF($C$6:$C2929,"?*"))</f>
      </c>
      <c r="B2929" s="217"/>
      <c r="C2929" s="216"/>
      <c r="D2929" s="240"/>
      <c r="E2929" s="218"/>
      <c r="F2929" s="218"/>
      <c r="G2929" s="218"/>
      <c r="H2929" s="219"/>
      <c r="I2929" s="223">
        <f>IF($C2929="","",IF(ISNUMBER(MATCH($C2929,'Phản ánh'!$A$6:$A$505,0)),"Phản ánh",IF(ISNUMBER(MATCH($C2929,'Kế hoạch'!$A$6:$A$305,0)),"Công việc","Mã chưa có")))</f>
      </c>
      <c r="J2929" s="221">
        <f>IF($I2929="Phản ánh",INDEX('Phản ánh'!$C$6:$C$505,MATCH($C2929,'Phản ánh'!$A$6:$A$505,0)),IF($I2929="Công việc",INDEX('Kế hoạch'!$C$6:$C$305,$O2929),""))</f>
      </c>
      <c r="K2929" s="221">
        <f>IF($I2929="Phản ánh",INDEX('Phản ánh'!$K$6:$K$505,MATCH($C2929,'Phản ánh'!$A$6:$A$505,0))&amp;"",IF($I2929="Công việc",INDEX('Kế hoạch'!$N$6:$N$305,$O2929)&amp;"",""))</f>
      </c>
      <c r="L2929" s="220">
        <f>IF(OR($C2929="",N($B2929)=0),"",IF(AND($I2929="Phản ánh",$E2929="Đã xử lý"),INDEX('Phản ánh'!$U$6:$U$505,MATCH($C2929,'Phản ánh'!$A$6:$A$505,0)),IF(AND($I2929="Công việc",OR($E2929="Hoàn thành",$E2929="Hoàn thành kỳ")),IF(INDEX('Kế hoạch'!$B$6:$B$305,$O2929)="Đột xuất",INDEX('Kế hoạch'!$AY$6:$AY$305,$O2929),IF(N($P2929)=0,"",IF(INT($B2929)&lt;$P2929,$P2929,IF($Q2929&gt;0,$P2929+ROUND((INT($B2929)-$P2929)/$Q2929,0)*$Q2929,IF($R2929&gt;0,EDATE($P2929,ROUND((DATEDIF($P2929,INT($B2929),"m")+(INT($B2929)-EDATE($P2929,DATEDIF($P2929,INT($B2929),"m")))/(EDATE($P2929,DATEDIF($P2929,INT($B2929),"m")+1)-EDATE($P2929,DATEDIF($P2929,INT($B2929),"m"))))/$R2929,0)*$R2929),$P2929))))),"")))</f>
      </c>
      <c r="M2929" s="223">
        <f>IF(OR($C2929="",N($L2929)=0,N($B2929)=0),"",IF(IF(MOD($L2929,1)=0,INT($B2929),$B2929)&lt;=$L2929,"Đúng hạn","Trễ hạn"))</f>
      </c>
      <c r="N2929" s="225">
        <f>IF($C2929="","",ROW())</f>
      </c>
      <c r="O2929" s="225">
        <f>IF($I2929="Công việc",MATCH($C2929,'Kế hoạch'!$A$6:$A$305,0),"")</f>
      </c>
      <c r="P2929" s="234">
        <f>IF($O2929="","",INDEX('Kế hoạch'!$I$6:$I$305,$O2929))</f>
      </c>
      <c r="Q2929" s="225">
        <f>IF($O2929="","",INDEX('Kế hoạch'!$AJ$6:$AJ$305,$O2929))</f>
      </c>
      <c r="R2929" s="225">
        <f>IF($O2929="","",INDEX('Kế hoạch'!$AK$6:$AK$305,$O2929))</f>
      </c>
    </row>
    <row r="2930">
      <c r="A2930" s="223">
        <f>IF($C2930="","",COUNTIF($C$6:$C2930,"?*"))</f>
      </c>
      <c r="B2930" s="217"/>
      <c r="C2930" s="216"/>
      <c r="D2930" s="240"/>
      <c r="E2930" s="218"/>
      <c r="F2930" s="218"/>
      <c r="G2930" s="218"/>
      <c r="H2930" s="219"/>
      <c r="I2930" s="223">
        <f>IF($C2930="","",IF(ISNUMBER(MATCH($C2930,'Phản ánh'!$A$6:$A$505,0)),"Phản ánh",IF(ISNUMBER(MATCH($C2930,'Kế hoạch'!$A$6:$A$305,0)),"Công việc","Mã chưa có")))</f>
      </c>
      <c r="J2930" s="221">
        <f>IF($I2930="Phản ánh",INDEX('Phản ánh'!$C$6:$C$505,MATCH($C2930,'Phản ánh'!$A$6:$A$505,0)),IF($I2930="Công việc",INDEX('Kế hoạch'!$C$6:$C$305,$O2930),""))</f>
      </c>
      <c r="K2930" s="221">
        <f>IF($I2930="Phản ánh",INDEX('Phản ánh'!$K$6:$K$505,MATCH($C2930,'Phản ánh'!$A$6:$A$505,0))&amp;"",IF($I2930="Công việc",INDEX('Kế hoạch'!$N$6:$N$305,$O2930)&amp;"",""))</f>
      </c>
      <c r="L2930" s="220">
        <f>IF(OR($C2930="",N($B2930)=0),"",IF(AND($I2930="Phản ánh",$E2930="Đã xử lý"),INDEX('Phản ánh'!$U$6:$U$505,MATCH($C2930,'Phản ánh'!$A$6:$A$505,0)),IF(AND($I2930="Công việc",OR($E2930="Hoàn thành",$E2930="Hoàn thành kỳ")),IF(INDEX('Kế hoạch'!$B$6:$B$305,$O2930)="Đột xuất",INDEX('Kế hoạch'!$AY$6:$AY$305,$O2930),IF(N($P2930)=0,"",IF(INT($B2930)&lt;$P2930,$P2930,IF($Q2930&gt;0,$P2930+ROUND((INT($B2930)-$P2930)/$Q2930,0)*$Q2930,IF($R2930&gt;0,EDATE($P2930,ROUND((DATEDIF($P2930,INT($B2930),"m")+(INT($B2930)-EDATE($P2930,DATEDIF($P2930,INT($B2930),"m")))/(EDATE($P2930,DATEDIF($P2930,INT($B2930),"m")+1)-EDATE($P2930,DATEDIF($P2930,INT($B2930),"m"))))/$R2930,0)*$R2930),$P2930))))),"")))</f>
      </c>
      <c r="M2930" s="223">
        <f>IF(OR($C2930="",N($L2930)=0,N($B2930)=0),"",IF(IF(MOD($L2930,1)=0,INT($B2930),$B2930)&lt;=$L2930,"Đúng hạn","Trễ hạn"))</f>
      </c>
      <c r="N2930" s="225">
        <f>IF($C2930="","",ROW())</f>
      </c>
      <c r="O2930" s="225">
        <f>IF($I2930="Công việc",MATCH($C2930,'Kế hoạch'!$A$6:$A$305,0),"")</f>
      </c>
      <c r="P2930" s="234">
        <f>IF($O2930="","",INDEX('Kế hoạch'!$I$6:$I$305,$O2930))</f>
      </c>
      <c r="Q2930" s="225">
        <f>IF($O2930="","",INDEX('Kế hoạch'!$AJ$6:$AJ$305,$O2930))</f>
      </c>
      <c r="R2930" s="225">
        <f>IF($O2930="","",INDEX('Kế hoạch'!$AK$6:$AK$305,$O2930))</f>
      </c>
    </row>
    <row r="2931">
      <c r="A2931" s="223">
        <f>IF($C2931="","",COUNTIF($C$6:$C2931,"?*"))</f>
      </c>
      <c r="B2931" s="217"/>
      <c r="C2931" s="216"/>
      <c r="D2931" s="240"/>
      <c r="E2931" s="218"/>
      <c r="F2931" s="218"/>
      <c r="G2931" s="218"/>
      <c r="H2931" s="219"/>
      <c r="I2931" s="223">
        <f>IF($C2931="","",IF(ISNUMBER(MATCH($C2931,'Phản ánh'!$A$6:$A$505,0)),"Phản ánh",IF(ISNUMBER(MATCH($C2931,'Kế hoạch'!$A$6:$A$305,0)),"Công việc","Mã chưa có")))</f>
      </c>
      <c r="J2931" s="221">
        <f>IF($I2931="Phản ánh",INDEX('Phản ánh'!$C$6:$C$505,MATCH($C2931,'Phản ánh'!$A$6:$A$505,0)),IF($I2931="Công việc",INDEX('Kế hoạch'!$C$6:$C$305,$O2931),""))</f>
      </c>
      <c r="K2931" s="221">
        <f>IF($I2931="Phản ánh",INDEX('Phản ánh'!$K$6:$K$505,MATCH($C2931,'Phản ánh'!$A$6:$A$505,0))&amp;"",IF($I2931="Công việc",INDEX('Kế hoạch'!$N$6:$N$305,$O2931)&amp;"",""))</f>
      </c>
      <c r="L2931" s="220">
        <f>IF(OR($C2931="",N($B2931)=0),"",IF(AND($I2931="Phản ánh",$E2931="Đã xử lý"),INDEX('Phản ánh'!$U$6:$U$505,MATCH($C2931,'Phản ánh'!$A$6:$A$505,0)),IF(AND($I2931="Công việc",OR($E2931="Hoàn thành",$E2931="Hoàn thành kỳ")),IF(INDEX('Kế hoạch'!$B$6:$B$305,$O2931)="Đột xuất",INDEX('Kế hoạch'!$AY$6:$AY$305,$O2931),IF(N($P2931)=0,"",IF(INT($B2931)&lt;$P2931,$P2931,IF($Q2931&gt;0,$P2931+ROUND((INT($B2931)-$P2931)/$Q2931,0)*$Q2931,IF($R2931&gt;0,EDATE($P2931,ROUND((DATEDIF($P2931,INT($B2931),"m")+(INT($B2931)-EDATE($P2931,DATEDIF($P2931,INT($B2931),"m")))/(EDATE($P2931,DATEDIF($P2931,INT($B2931),"m")+1)-EDATE($P2931,DATEDIF($P2931,INT($B2931),"m"))))/$R2931,0)*$R2931),$P2931))))),"")))</f>
      </c>
      <c r="M2931" s="223">
        <f>IF(OR($C2931="",N($L2931)=0,N($B2931)=0),"",IF(IF(MOD($L2931,1)=0,INT($B2931),$B2931)&lt;=$L2931,"Đúng hạn","Trễ hạn"))</f>
      </c>
      <c r="N2931" s="225">
        <f>IF($C2931="","",ROW())</f>
      </c>
      <c r="O2931" s="225">
        <f>IF($I2931="Công việc",MATCH($C2931,'Kế hoạch'!$A$6:$A$305,0),"")</f>
      </c>
      <c r="P2931" s="234">
        <f>IF($O2931="","",INDEX('Kế hoạch'!$I$6:$I$305,$O2931))</f>
      </c>
      <c r="Q2931" s="225">
        <f>IF($O2931="","",INDEX('Kế hoạch'!$AJ$6:$AJ$305,$O2931))</f>
      </c>
      <c r="R2931" s="225">
        <f>IF($O2931="","",INDEX('Kế hoạch'!$AK$6:$AK$305,$O2931))</f>
      </c>
    </row>
    <row r="2932">
      <c r="A2932" s="223">
        <f>IF($C2932="","",COUNTIF($C$6:$C2932,"?*"))</f>
      </c>
      <c r="B2932" s="217"/>
      <c r="C2932" s="216"/>
      <c r="D2932" s="240"/>
      <c r="E2932" s="218"/>
      <c r="F2932" s="218"/>
      <c r="G2932" s="218"/>
      <c r="H2932" s="219"/>
      <c r="I2932" s="223">
        <f>IF($C2932="","",IF(ISNUMBER(MATCH($C2932,'Phản ánh'!$A$6:$A$505,0)),"Phản ánh",IF(ISNUMBER(MATCH($C2932,'Kế hoạch'!$A$6:$A$305,0)),"Công việc","Mã chưa có")))</f>
      </c>
      <c r="J2932" s="221">
        <f>IF($I2932="Phản ánh",INDEX('Phản ánh'!$C$6:$C$505,MATCH($C2932,'Phản ánh'!$A$6:$A$505,0)),IF($I2932="Công việc",INDEX('Kế hoạch'!$C$6:$C$305,$O2932),""))</f>
      </c>
      <c r="K2932" s="221">
        <f>IF($I2932="Phản ánh",INDEX('Phản ánh'!$K$6:$K$505,MATCH($C2932,'Phản ánh'!$A$6:$A$505,0))&amp;"",IF($I2932="Công việc",INDEX('Kế hoạch'!$N$6:$N$305,$O2932)&amp;"",""))</f>
      </c>
      <c r="L2932" s="220">
        <f>IF(OR($C2932="",N($B2932)=0),"",IF(AND($I2932="Phản ánh",$E2932="Đã xử lý"),INDEX('Phản ánh'!$U$6:$U$505,MATCH($C2932,'Phản ánh'!$A$6:$A$505,0)),IF(AND($I2932="Công việc",OR($E2932="Hoàn thành",$E2932="Hoàn thành kỳ")),IF(INDEX('Kế hoạch'!$B$6:$B$305,$O2932)="Đột xuất",INDEX('Kế hoạch'!$AY$6:$AY$305,$O2932),IF(N($P2932)=0,"",IF(INT($B2932)&lt;$P2932,$P2932,IF($Q2932&gt;0,$P2932+ROUND((INT($B2932)-$P2932)/$Q2932,0)*$Q2932,IF($R2932&gt;0,EDATE($P2932,ROUND((DATEDIF($P2932,INT($B2932),"m")+(INT($B2932)-EDATE($P2932,DATEDIF($P2932,INT($B2932),"m")))/(EDATE($P2932,DATEDIF($P2932,INT($B2932),"m")+1)-EDATE($P2932,DATEDIF($P2932,INT($B2932),"m"))))/$R2932,0)*$R2932),$P2932))))),"")))</f>
      </c>
      <c r="M2932" s="223">
        <f>IF(OR($C2932="",N($L2932)=0,N($B2932)=0),"",IF(IF(MOD($L2932,1)=0,INT($B2932),$B2932)&lt;=$L2932,"Đúng hạn","Trễ hạn"))</f>
      </c>
      <c r="N2932" s="225">
        <f>IF($C2932="","",ROW())</f>
      </c>
      <c r="O2932" s="225">
        <f>IF($I2932="Công việc",MATCH($C2932,'Kế hoạch'!$A$6:$A$305,0),"")</f>
      </c>
      <c r="P2932" s="234">
        <f>IF($O2932="","",INDEX('Kế hoạch'!$I$6:$I$305,$O2932))</f>
      </c>
      <c r="Q2932" s="225">
        <f>IF($O2932="","",INDEX('Kế hoạch'!$AJ$6:$AJ$305,$O2932))</f>
      </c>
      <c r="R2932" s="225">
        <f>IF($O2932="","",INDEX('Kế hoạch'!$AK$6:$AK$305,$O2932))</f>
      </c>
    </row>
    <row r="2933">
      <c r="A2933" s="223">
        <f>IF($C2933="","",COUNTIF($C$6:$C2933,"?*"))</f>
      </c>
      <c r="B2933" s="217"/>
      <c r="C2933" s="216"/>
      <c r="D2933" s="240"/>
      <c r="E2933" s="218"/>
      <c r="F2933" s="218"/>
      <c r="G2933" s="218"/>
      <c r="H2933" s="219"/>
      <c r="I2933" s="223">
        <f>IF($C2933="","",IF(ISNUMBER(MATCH($C2933,'Phản ánh'!$A$6:$A$505,0)),"Phản ánh",IF(ISNUMBER(MATCH($C2933,'Kế hoạch'!$A$6:$A$305,0)),"Công việc","Mã chưa có")))</f>
      </c>
      <c r="J2933" s="221">
        <f>IF($I2933="Phản ánh",INDEX('Phản ánh'!$C$6:$C$505,MATCH($C2933,'Phản ánh'!$A$6:$A$505,0)),IF($I2933="Công việc",INDEX('Kế hoạch'!$C$6:$C$305,$O2933),""))</f>
      </c>
      <c r="K2933" s="221">
        <f>IF($I2933="Phản ánh",INDEX('Phản ánh'!$K$6:$K$505,MATCH($C2933,'Phản ánh'!$A$6:$A$505,0))&amp;"",IF($I2933="Công việc",INDEX('Kế hoạch'!$N$6:$N$305,$O2933)&amp;"",""))</f>
      </c>
      <c r="L2933" s="220">
        <f>IF(OR($C2933="",N($B2933)=0),"",IF(AND($I2933="Phản ánh",$E2933="Đã xử lý"),INDEX('Phản ánh'!$U$6:$U$505,MATCH($C2933,'Phản ánh'!$A$6:$A$505,0)),IF(AND($I2933="Công việc",OR($E2933="Hoàn thành",$E2933="Hoàn thành kỳ")),IF(INDEX('Kế hoạch'!$B$6:$B$305,$O2933)="Đột xuất",INDEX('Kế hoạch'!$AY$6:$AY$305,$O2933),IF(N($P2933)=0,"",IF(INT($B2933)&lt;$P2933,$P2933,IF($Q2933&gt;0,$P2933+ROUND((INT($B2933)-$P2933)/$Q2933,0)*$Q2933,IF($R2933&gt;0,EDATE($P2933,ROUND((DATEDIF($P2933,INT($B2933),"m")+(INT($B2933)-EDATE($P2933,DATEDIF($P2933,INT($B2933),"m")))/(EDATE($P2933,DATEDIF($P2933,INT($B2933),"m")+1)-EDATE($P2933,DATEDIF($P2933,INT($B2933),"m"))))/$R2933,0)*$R2933),$P2933))))),"")))</f>
      </c>
      <c r="M2933" s="223">
        <f>IF(OR($C2933="",N($L2933)=0,N($B2933)=0),"",IF(IF(MOD($L2933,1)=0,INT($B2933),$B2933)&lt;=$L2933,"Đúng hạn","Trễ hạn"))</f>
      </c>
      <c r="N2933" s="225">
        <f>IF($C2933="","",ROW())</f>
      </c>
      <c r="O2933" s="225">
        <f>IF($I2933="Công việc",MATCH($C2933,'Kế hoạch'!$A$6:$A$305,0),"")</f>
      </c>
      <c r="P2933" s="234">
        <f>IF($O2933="","",INDEX('Kế hoạch'!$I$6:$I$305,$O2933))</f>
      </c>
      <c r="Q2933" s="225">
        <f>IF($O2933="","",INDEX('Kế hoạch'!$AJ$6:$AJ$305,$O2933))</f>
      </c>
      <c r="R2933" s="225">
        <f>IF($O2933="","",INDEX('Kế hoạch'!$AK$6:$AK$305,$O2933))</f>
      </c>
    </row>
    <row r="2934">
      <c r="A2934" s="223">
        <f>IF($C2934="","",COUNTIF($C$6:$C2934,"?*"))</f>
      </c>
      <c r="B2934" s="217"/>
      <c r="C2934" s="216"/>
      <c r="D2934" s="240"/>
      <c r="E2934" s="218"/>
      <c r="F2934" s="218"/>
      <c r="G2934" s="218"/>
      <c r="H2934" s="219"/>
      <c r="I2934" s="223">
        <f>IF($C2934="","",IF(ISNUMBER(MATCH($C2934,'Phản ánh'!$A$6:$A$505,0)),"Phản ánh",IF(ISNUMBER(MATCH($C2934,'Kế hoạch'!$A$6:$A$305,0)),"Công việc","Mã chưa có")))</f>
      </c>
      <c r="J2934" s="221">
        <f>IF($I2934="Phản ánh",INDEX('Phản ánh'!$C$6:$C$505,MATCH($C2934,'Phản ánh'!$A$6:$A$505,0)),IF($I2934="Công việc",INDEX('Kế hoạch'!$C$6:$C$305,$O2934),""))</f>
      </c>
      <c r="K2934" s="221">
        <f>IF($I2934="Phản ánh",INDEX('Phản ánh'!$K$6:$K$505,MATCH($C2934,'Phản ánh'!$A$6:$A$505,0))&amp;"",IF($I2934="Công việc",INDEX('Kế hoạch'!$N$6:$N$305,$O2934)&amp;"",""))</f>
      </c>
      <c r="L2934" s="220">
        <f>IF(OR($C2934="",N($B2934)=0),"",IF(AND($I2934="Phản ánh",$E2934="Đã xử lý"),INDEX('Phản ánh'!$U$6:$U$505,MATCH($C2934,'Phản ánh'!$A$6:$A$505,0)),IF(AND($I2934="Công việc",OR($E2934="Hoàn thành",$E2934="Hoàn thành kỳ")),IF(INDEX('Kế hoạch'!$B$6:$B$305,$O2934)="Đột xuất",INDEX('Kế hoạch'!$AY$6:$AY$305,$O2934),IF(N($P2934)=0,"",IF(INT($B2934)&lt;$P2934,$P2934,IF($Q2934&gt;0,$P2934+ROUND((INT($B2934)-$P2934)/$Q2934,0)*$Q2934,IF($R2934&gt;0,EDATE($P2934,ROUND((DATEDIF($P2934,INT($B2934),"m")+(INT($B2934)-EDATE($P2934,DATEDIF($P2934,INT($B2934),"m")))/(EDATE($P2934,DATEDIF($P2934,INT($B2934),"m")+1)-EDATE($P2934,DATEDIF($P2934,INT($B2934),"m"))))/$R2934,0)*$R2934),$P2934))))),"")))</f>
      </c>
      <c r="M2934" s="223">
        <f>IF(OR($C2934="",N($L2934)=0,N($B2934)=0),"",IF(IF(MOD($L2934,1)=0,INT($B2934),$B2934)&lt;=$L2934,"Đúng hạn","Trễ hạn"))</f>
      </c>
      <c r="N2934" s="225">
        <f>IF($C2934="","",ROW())</f>
      </c>
      <c r="O2934" s="225">
        <f>IF($I2934="Công việc",MATCH($C2934,'Kế hoạch'!$A$6:$A$305,0),"")</f>
      </c>
      <c r="P2934" s="234">
        <f>IF($O2934="","",INDEX('Kế hoạch'!$I$6:$I$305,$O2934))</f>
      </c>
      <c r="Q2934" s="225">
        <f>IF($O2934="","",INDEX('Kế hoạch'!$AJ$6:$AJ$305,$O2934))</f>
      </c>
      <c r="R2934" s="225">
        <f>IF($O2934="","",INDEX('Kế hoạch'!$AK$6:$AK$305,$O2934))</f>
      </c>
    </row>
    <row r="2935">
      <c r="A2935" s="223">
        <f>IF($C2935="","",COUNTIF($C$6:$C2935,"?*"))</f>
      </c>
      <c r="B2935" s="217"/>
      <c r="C2935" s="216"/>
      <c r="D2935" s="240"/>
      <c r="E2935" s="218"/>
      <c r="F2935" s="218"/>
      <c r="G2935" s="218"/>
      <c r="H2935" s="219"/>
      <c r="I2935" s="223">
        <f>IF($C2935="","",IF(ISNUMBER(MATCH($C2935,'Phản ánh'!$A$6:$A$505,0)),"Phản ánh",IF(ISNUMBER(MATCH($C2935,'Kế hoạch'!$A$6:$A$305,0)),"Công việc","Mã chưa có")))</f>
      </c>
      <c r="J2935" s="221">
        <f>IF($I2935="Phản ánh",INDEX('Phản ánh'!$C$6:$C$505,MATCH($C2935,'Phản ánh'!$A$6:$A$505,0)),IF($I2935="Công việc",INDEX('Kế hoạch'!$C$6:$C$305,$O2935),""))</f>
      </c>
      <c r="K2935" s="221">
        <f>IF($I2935="Phản ánh",INDEX('Phản ánh'!$K$6:$K$505,MATCH($C2935,'Phản ánh'!$A$6:$A$505,0))&amp;"",IF($I2935="Công việc",INDEX('Kế hoạch'!$N$6:$N$305,$O2935)&amp;"",""))</f>
      </c>
      <c r="L2935" s="220">
        <f>IF(OR($C2935="",N($B2935)=0),"",IF(AND($I2935="Phản ánh",$E2935="Đã xử lý"),INDEX('Phản ánh'!$U$6:$U$505,MATCH($C2935,'Phản ánh'!$A$6:$A$505,0)),IF(AND($I2935="Công việc",OR($E2935="Hoàn thành",$E2935="Hoàn thành kỳ")),IF(INDEX('Kế hoạch'!$B$6:$B$305,$O2935)="Đột xuất",INDEX('Kế hoạch'!$AY$6:$AY$305,$O2935),IF(N($P2935)=0,"",IF(INT($B2935)&lt;$P2935,$P2935,IF($Q2935&gt;0,$P2935+ROUND((INT($B2935)-$P2935)/$Q2935,0)*$Q2935,IF($R2935&gt;0,EDATE($P2935,ROUND((DATEDIF($P2935,INT($B2935),"m")+(INT($B2935)-EDATE($P2935,DATEDIF($P2935,INT($B2935),"m")))/(EDATE($P2935,DATEDIF($P2935,INT($B2935),"m")+1)-EDATE($P2935,DATEDIF($P2935,INT($B2935),"m"))))/$R2935,0)*$R2935),$P2935))))),"")))</f>
      </c>
      <c r="M2935" s="223">
        <f>IF(OR($C2935="",N($L2935)=0,N($B2935)=0),"",IF(IF(MOD($L2935,1)=0,INT($B2935),$B2935)&lt;=$L2935,"Đúng hạn","Trễ hạn"))</f>
      </c>
      <c r="N2935" s="225">
        <f>IF($C2935="","",ROW())</f>
      </c>
      <c r="O2935" s="225">
        <f>IF($I2935="Công việc",MATCH($C2935,'Kế hoạch'!$A$6:$A$305,0),"")</f>
      </c>
      <c r="P2935" s="234">
        <f>IF($O2935="","",INDEX('Kế hoạch'!$I$6:$I$305,$O2935))</f>
      </c>
      <c r="Q2935" s="225">
        <f>IF($O2935="","",INDEX('Kế hoạch'!$AJ$6:$AJ$305,$O2935))</f>
      </c>
      <c r="R2935" s="225">
        <f>IF($O2935="","",INDEX('Kế hoạch'!$AK$6:$AK$305,$O2935))</f>
      </c>
    </row>
    <row r="2936">
      <c r="A2936" s="223">
        <f>IF($C2936="","",COUNTIF($C$6:$C2936,"?*"))</f>
      </c>
      <c r="B2936" s="217"/>
      <c r="C2936" s="216"/>
      <c r="D2936" s="240"/>
      <c r="E2936" s="218"/>
      <c r="F2936" s="218"/>
      <c r="G2936" s="218"/>
      <c r="H2936" s="219"/>
      <c r="I2936" s="223">
        <f>IF($C2936="","",IF(ISNUMBER(MATCH($C2936,'Phản ánh'!$A$6:$A$505,0)),"Phản ánh",IF(ISNUMBER(MATCH($C2936,'Kế hoạch'!$A$6:$A$305,0)),"Công việc","Mã chưa có")))</f>
      </c>
      <c r="J2936" s="221">
        <f>IF($I2936="Phản ánh",INDEX('Phản ánh'!$C$6:$C$505,MATCH($C2936,'Phản ánh'!$A$6:$A$505,0)),IF($I2936="Công việc",INDEX('Kế hoạch'!$C$6:$C$305,$O2936),""))</f>
      </c>
      <c r="K2936" s="221">
        <f>IF($I2936="Phản ánh",INDEX('Phản ánh'!$K$6:$K$505,MATCH($C2936,'Phản ánh'!$A$6:$A$505,0))&amp;"",IF($I2936="Công việc",INDEX('Kế hoạch'!$N$6:$N$305,$O2936)&amp;"",""))</f>
      </c>
      <c r="L2936" s="220">
        <f>IF(OR($C2936="",N($B2936)=0),"",IF(AND($I2936="Phản ánh",$E2936="Đã xử lý"),INDEX('Phản ánh'!$U$6:$U$505,MATCH($C2936,'Phản ánh'!$A$6:$A$505,0)),IF(AND($I2936="Công việc",OR($E2936="Hoàn thành",$E2936="Hoàn thành kỳ")),IF(INDEX('Kế hoạch'!$B$6:$B$305,$O2936)="Đột xuất",INDEX('Kế hoạch'!$AY$6:$AY$305,$O2936),IF(N($P2936)=0,"",IF(INT($B2936)&lt;$P2936,$P2936,IF($Q2936&gt;0,$P2936+ROUND((INT($B2936)-$P2936)/$Q2936,0)*$Q2936,IF($R2936&gt;0,EDATE($P2936,ROUND((DATEDIF($P2936,INT($B2936),"m")+(INT($B2936)-EDATE($P2936,DATEDIF($P2936,INT($B2936),"m")))/(EDATE($P2936,DATEDIF($P2936,INT($B2936),"m")+1)-EDATE($P2936,DATEDIF($P2936,INT($B2936),"m"))))/$R2936,0)*$R2936),$P2936))))),"")))</f>
      </c>
      <c r="M2936" s="223">
        <f>IF(OR($C2936="",N($L2936)=0,N($B2936)=0),"",IF(IF(MOD($L2936,1)=0,INT($B2936),$B2936)&lt;=$L2936,"Đúng hạn","Trễ hạn"))</f>
      </c>
      <c r="N2936" s="225">
        <f>IF($C2936="","",ROW())</f>
      </c>
      <c r="O2936" s="225">
        <f>IF($I2936="Công việc",MATCH($C2936,'Kế hoạch'!$A$6:$A$305,0),"")</f>
      </c>
      <c r="P2936" s="234">
        <f>IF($O2936="","",INDEX('Kế hoạch'!$I$6:$I$305,$O2936))</f>
      </c>
      <c r="Q2936" s="225">
        <f>IF($O2936="","",INDEX('Kế hoạch'!$AJ$6:$AJ$305,$O2936))</f>
      </c>
      <c r="R2936" s="225">
        <f>IF($O2936="","",INDEX('Kế hoạch'!$AK$6:$AK$305,$O2936))</f>
      </c>
    </row>
    <row r="2937">
      <c r="A2937" s="223">
        <f>IF($C2937="","",COUNTIF($C$6:$C2937,"?*"))</f>
      </c>
      <c r="B2937" s="217"/>
      <c r="C2937" s="216"/>
      <c r="D2937" s="240"/>
      <c r="E2937" s="218"/>
      <c r="F2937" s="218"/>
      <c r="G2937" s="218"/>
      <c r="H2937" s="219"/>
      <c r="I2937" s="223">
        <f>IF($C2937="","",IF(ISNUMBER(MATCH($C2937,'Phản ánh'!$A$6:$A$505,0)),"Phản ánh",IF(ISNUMBER(MATCH($C2937,'Kế hoạch'!$A$6:$A$305,0)),"Công việc","Mã chưa có")))</f>
      </c>
      <c r="J2937" s="221">
        <f>IF($I2937="Phản ánh",INDEX('Phản ánh'!$C$6:$C$505,MATCH($C2937,'Phản ánh'!$A$6:$A$505,0)),IF($I2937="Công việc",INDEX('Kế hoạch'!$C$6:$C$305,$O2937),""))</f>
      </c>
      <c r="K2937" s="221">
        <f>IF($I2937="Phản ánh",INDEX('Phản ánh'!$K$6:$K$505,MATCH($C2937,'Phản ánh'!$A$6:$A$505,0))&amp;"",IF($I2937="Công việc",INDEX('Kế hoạch'!$N$6:$N$305,$O2937)&amp;"",""))</f>
      </c>
      <c r="L2937" s="220">
        <f>IF(OR($C2937="",N($B2937)=0),"",IF(AND($I2937="Phản ánh",$E2937="Đã xử lý"),INDEX('Phản ánh'!$U$6:$U$505,MATCH($C2937,'Phản ánh'!$A$6:$A$505,0)),IF(AND($I2937="Công việc",OR($E2937="Hoàn thành",$E2937="Hoàn thành kỳ")),IF(INDEX('Kế hoạch'!$B$6:$B$305,$O2937)="Đột xuất",INDEX('Kế hoạch'!$AY$6:$AY$305,$O2937),IF(N($P2937)=0,"",IF(INT($B2937)&lt;$P2937,$P2937,IF($Q2937&gt;0,$P2937+ROUND((INT($B2937)-$P2937)/$Q2937,0)*$Q2937,IF($R2937&gt;0,EDATE($P2937,ROUND((DATEDIF($P2937,INT($B2937),"m")+(INT($B2937)-EDATE($P2937,DATEDIF($P2937,INT($B2937),"m")))/(EDATE($P2937,DATEDIF($P2937,INT($B2937),"m")+1)-EDATE($P2937,DATEDIF($P2937,INT($B2937),"m"))))/$R2937,0)*$R2937),$P2937))))),"")))</f>
      </c>
      <c r="M2937" s="223">
        <f>IF(OR($C2937="",N($L2937)=0,N($B2937)=0),"",IF(IF(MOD($L2937,1)=0,INT($B2937),$B2937)&lt;=$L2937,"Đúng hạn","Trễ hạn"))</f>
      </c>
      <c r="N2937" s="225">
        <f>IF($C2937="","",ROW())</f>
      </c>
      <c r="O2937" s="225">
        <f>IF($I2937="Công việc",MATCH($C2937,'Kế hoạch'!$A$6:$A$305,0),"")</f>
      </c>
      <c r="P2937" s="234">
        <f>IF($O2937="","",INDEX('Kế hoạch'!$I$6:$I$305,$O2937))</f>
      </c>
      <c r="Q2937" s="225">
        <f>IF($O2937="","",INDEX('Kế hoạch'!$AJ$6:$AJ$305,$O2937))</f>
      </c>
      <c r="R2937" s="225">
        <f>IF($O2937="","",INDEX('Kế hoạch'!$AK$6:$AK$305,$O2937))</f>
      </c>
    </row>
    <row r="2938">
      <c r="A2938" s="223">
        <f>IF($C2938="","",COUNTIF($C$6:$C2938,"?*"))</f>
      </c>
      <c r="B2938" s="217"/>
      <c r="C2938" s="216"/>
      <c r="D2938" s="240"/>
      <c r="E2938" s="218"/>
      <c r="F2938" s="218"/>
      <c r="G2938" s="218"/>
      <c r="H2938" s="219"/>
      <c r="I2938" s="223">
        <f>IF($C2938="","",IF(ISNUMBER(MATCH($C2938,'Phản ánh'!$A$6:$A$505,0)),"Phản ánh",IF(ISNUMBER(MATCH($C2938,'Kế hoạch'!$A$6:$A$305,0)),"Công việc","Mã chưa có")))</f>
      </c>
      <c r="J2938" s="221">
        <f>IF($I2938="Phản ánh",INDEX('Phản ánh'!$C$6:$C$505,MATCH($C2938,'Phản ánh'!$A$6:$A$505,0)),IF($I2938="Công việc",INDEX('Kế hoạch'!$C$6:$C$305,$O2938),""))</f>
      </c>
      <c r="K2938" s="221">
        <f>IF($I2938="Phản ánh",INDEX('Phản ánh'!$K$6:$K$505,MATCH($C2938,'Phản ánh'!$A$6:$A$505,0))&amp;"",IF($I2938="Công việc",INDEX('Kế hoạch'!$N$6:$N$305,$O2938)&amp;"",""))</f>
      </c>
      <c r="L2938" s="220">
        <f>IF(OR($C2938="",N($B2938)=0),"",IF(AND($I2938="Phản ánh",$E2938="Đã xử lý"),INDEX('Phản ánh'!$U$6:$U$505,MATCH($C2938,'Phản ánh'!$A$6:$A$505,0)),IF(AND($I2938="Công việc",OR($E2938="Hoàn thành",$E2938="Hoàn thành kỳ")),IF(INDEX('Kế hoạch'!$B$6:$B$305,$O2938)="Đột xuất",INDEX('Kế hoạch'!$AY$6:$AY$305,$O2938),IF(N($P2938)=0,"",IF(INT($B2938)&lt;$P2938,$P2938,IF($Q2938&gt;0,$P2938+ROUND((INT($B2938)-$P2938)/$Q2938,0)*$Q2938,IF($R2938&gt;0,EDATE($P2938,ROUND((DATEDIF($P2938,INT($B2938),"m")+(INT($B2938)-EDATE($P2938,DATEDIF($P2938,INT($B2938),"m")))/(EDATE($P2938,DATEDIF($P2938,INT($B2938),"m")+1)-EDATE($P2938,DATEDIF($P2938,INT($B2938),"m"))))/$R2938,0)*$R2938),$P2938))))),"")))</f>
      </c>
      <c r="M2938" s="223">
        <f>IF(OR($C2938="",N($L2938)=0,N($B2938)=0),"",IF(IF(MOD($L2938,1)=0,INT($B2938),$B2938)&lt;=$L2938,"Đúng hạn","Trễ hạn"))</f>
      </c>
      <c r="N2938" s="225">
        <f>IF($C2938="","",ROW())</f>
      </c>
      <c r="O2938" s="225">
        <f>IF($I2938="Công việc",MATCH($C2938,'Kế hoạch'!$A$6:$A$305,0),"")</f>
      </c>
      <c r="P2938" s="234">
        <f>IF($O2938="","",INDEX('Kế hoạch'!$I$6:$I$305,$O2938))</f>
      </c>
      <c r="Q2938" s="225">
        <f>IF($O2938="","",INDEX('Kế hoạch'!$AJ$6:$AJ$305,$O2938))</f>
      </c>
      <c r="R2938" s="225">
        <f>IF($O2938="","",INDEX('Kế hoạch'!$AK$6:$AK$305,$O2938))</f>
      </c>
    </row>
    <row r="2939">
      <c r="A2939" s="223">
        <f>IF($C2939="","",COUNTIF($C$6:$C2939,"?*"))</f>
      </c>
      <c r="B2939" s="217"/>
      <c r="C2939" s="216"/>
      <c r="D2939" s="240"/>
      <c r="E2939" s="218"/>
      <c r="F2939" s="218"/>
      <c r="G2939" s="218"/>
      <c r="H2939" s="219"/>
      <c r="I2939" s="223">
        <f>IF($C2939="","",IF(ISNUMBER(MATCH($C2939,'Phản ánh'!$A$6:$A$505,0)),"Phản ánh",IF(ISNUMBER(MATCH($C2939,'Kế hoạch'!$A$6:$A$305,0)),"Công việc","Mã chưa có")))</f>
      </c>
      <c r="J2939" s="221">
        <f>IF($I2939="Phản ánh",INDEX('Phản ánh'!$C$6:$C$505,MATCH($C2939,'Phản ánh'!$A$6:$A$505,0)),IF($I2939="Công việc",INDEX('Kế hoạch'!$C$6:$C$305,$O2939),""))</f>
      </c>
      <c r="K2939" s="221">
        <f>IF($I2939="Phản ánh",INDEX('Phản ánh'!$K$6:$K$505,MATCH($C2939,'Phản ánh'!$A$6:$A$505,0))&amp;"",IF($I2939="Công việc",INDEX('Kế hoạch'!$N$6:$N$305,$O2939)&amp;"",""))</f>
      </c>
      <c r="L2939" s="220">
        <f>IF(OR($C2939="",N($B2939)=0),"",IF(AND($I2939="Phản ánh",$E2939="Đã xử lý"),INDEX('Phản ánh'!$U$6:$U$505,MATCH($C2939,'Phản ánh'!$A$6:$A$505,0)),IF(AND($I2939="Công việc",OR($E2939="Hoàn thành",$E2939="Hoàn thành kỳ")),IF(INDEX('Kế hoạch'!$B$6:$B$305,$O2939)="Đột xuất",INDEX('Kế hoạch'!$AY$6:$AY$305,$O2939),IF(N($P2939)=0,"",IF(INT($B2939)&lt;$P2939,$P2939,IF($Q2939&gt;0,$P2939+ROUND((INT($B2939)-$P2939)/$Q2939,0)*$Q2939,IF($R2939&gt;0,EDATE($P2939,ROUND((DATEDIF($P2939,INT($B2939),"m")+(INT($B2939)-EDATE($P2939,DATEDIF($P2939,INT($B2939),"m")))/(EDATE($P2939,DATEDIF($P2939,INT($B2939),"m")+1)-EDATE($P2939,DATEDIF($P2939,INT($B2939),"m"))))/$R2939,0)*$R2939),$P2939))))),"")))</f>
      </c>
      <c r="M2939" s="223">
        <f>IF(OR($C2939="",N($L2939)=0,N($B2939)=0),"",IF(IF(MOD($L2939,1)=0,INT($B2939),$B2939)&lt;=$L2939,"Đúng hạn","Trễ hạn"))</f>
      </c>
      <c r="N2939" s="225">
        <f>IF($C2939="","",ROW())</f>
      </c>
      <c r="O2939" s="225">
        <f>IF($I2939="Công việc",MATCH($C2939,'Kế hoạch'!$A$6:$A$305,0),"")</f>
      </c>
      <c r="P2939" s="234">
        <f>IF($O2939="","",INDEX('Kế hoạch'!$I$6:$I$305,$O2939))</f>
      </c>
      <c r="Q2939" s="225">
        <f>IF($O2939="","",INDEX('Kế hoạch'!$AJ$6:$AJ$305,$O2939))</f>
      </c>
      <c r="R2939" s="225">
        <f>IF($O2939="","",INDEX('Kế hoạch'!$AK$6:$AK$305,$O2939))</f>
      </c>
    </row>
    <row r="2940">
      <c r="A2940" s="223">
        <f>IF($C2940="","",COUNTIF($C$6:$C2940,"?*"))</f>
      </c>
      <c r="B2940" s="217"/>
      <c r="C2940" s="216"/>
      <c r="D2940" s="240"/>
      <c r="E2940" s="218"/>
      <c r="F2940" s="218"/>
      <c r="G2940" s="218"/>
      <c r="H2940" s="219"/>
      <c r="I2940" s="223">
        <f>IF($C2940="","",IF(ISNUMBER(MATCH($C2940,'Phản ánh'!$A$6:$A$505,0)),"Phản ánh",IF(ISNUMBER(MATCH($C2940,'Kế hoạch'!$A$6:$A$305,0)),"Công việc","Mã chưa có")))</f>
      </c>
      <c r="J2940" s="221">
        <f>IF($I2940="Phản ánh",INDEX('Phản ánh'!$C$6:$C$505,MATCH($C2940,'Phản ánh'!$A$6:$A$505,0)),IF($I2940="Công việc",INDEX('Kế hoạch'!$C$6:$C$305,$O2940),""))</f>
      </c>
      <c r="K2940" s="221">
        <f>IF($I2940="Phản ánh",INDEX('Phản ánh'!$K$6:$K$505,MATCH($C2940,'Phản ánh'!$A$6:$A$505,0))&amp;"",IF($I2940="Công việc",INDEX('Kế hoạch'!$N$6:$N$305,$O2940)&amp;"",""))</f>
      </c>
      <c r="L2940" s="220">
        <f>IF(OR($C2940="",N($B2940)=0),"",IF(AND($I2940="Phản ánh",$E2940="Đã xử lý"),INDEX('Phản ánh'!$U$6:$U$505,MATCH($C2940,'Phản ánh'!$A$6:$A$505,0)),IF(AND($I2940="Công việc",OR($E2940="Hoàn thành",$E2940="Hoàn thành kỳ")),IF(INDEX('Kế hoạch'!$B$6:$B$305,$O2940)="Đột xuất",INDEX('Kế hoạch'!$AY$6:$AY$305,$O2940),IF(N($P2940)=0,"",IF(INT($B2940)&lt;$P2940,$P2940,IF($Q2940&gt;0,$P2940+ROUND((INT($B2940)-$P2940)/$Q2940,0)*$Q2940,IF($R2940&gt;0,EDATE($P2940,ROUND((DATEDIF($P2940,INT($B2940),"m")+(INT($B2940)-EDATE($P2940,DATEDIF($P2940,INT($B2940),"m")))/(EDATE($P2940,DATEDIF($P2940,INT($B2940),"m")+1)-EDATE($P2940,DATEDIF($P2940,INT($B2940),"m"))))/$R2940,0)*$R2940),$P2940))))),"")))</f>
      </c>
      <c r="M2940" s="223">
        <f>IF(OR($C2940="",N($L2940)=0,N($B2940)=0),"",IF(IF(MOD($L2940,1)=0,INT($B2940),$B2940)&lt;=$L2940,"Đúng hạn","Trễ hạn"))</f>
      </c>
      <c r="N2940" s="225">
        <f>IF($C2940="","",ROW())</f>
      </c>
      <c r="O2940" s="225">
        <f>IF($I2940="Công việc",MATCH($C2940,'Kế hoạch'!$A$6:$A$305,0),"")</f>
      </c>
      <c r="P2940" s="234">
        <f>IF($O2940="","",INDEX('Kế hoạch'!$I$6:$I$305,$O2940))</f>
      </c>
      <c r="Q2940" s="225">
        <f>IF($O2940="","",INDEX('Kế hoạch'!$AJ$6:$AJ$305,$O2940))</f>
      </c>
      <c r="R2940" s="225">
        <f>IF($O2940="","",INDEX('Kế hoạch'!$AK$6:$AK$305,$O2940))</f>
      </c>
    </row>
    <row r="2941">
      <c r="A2941" s="223">
        <f>IF($C2941="","",COUNTIF($C$6:$C2941,"?*"))</f>
      </c>
      <c r="B2941" s="217"/>
      <c r="C2941" s="216"/>
      <c r="D2941" s="240"/>
      <c r="E2941" s="218"/>
      <c r="F2941" s="218"/>
      <c r="G2941" s="218"/>
      <c r="H2941" s="219"/>
      <c r="I2941" s="223">
        <f>IF($C2941="","",IF(ISNUMBER(MATCH($C2941,'Phản ánh'!$A$6:$A$505,0)),"Phản ánh",IF(ISNUMBER(MATCH($C2941,'Kế hoạch'!$A$6:$A$305,0)),"Công việc","Mã chưa có")))</f>
      </c>
      <c r="J2941" s="221">
        <f>IF($I2941="Phản ánh",INDEX('Phản ánh'!$C$6:$C$505,MATCH($C2941,'Phản ánh'!$A$6:$A$505,0)),IF($I2941="Công việc",INDEX('Kế hoạch'!$C$6:$C$305,$O2941),""))</f>
      </c>
      <c r="K2941" s="221">
        <f>IF($I2941="Phản ánh",INDEX('Phản ánh'!$K$6:$K$505,MATCH($C2941,'Phản ánh'!$A$6:$A$505,0))&amp;"",IF($I2941="Công việc",INDEX('Kế hoạch'!$N$6:$N$305,$O2941)&amp;"",""))</f>
      </c>
      <c r="L2941" s="220">
        <f>IF(OR($C2941="",N($B2941)=0),"",IF(AND($I2941="Phản ánh",$E2941="Đã xử lý"),INDEX('Phản ánh'!$U$6:$U$505,MATCH($C2941,'Phản ánh'!$A$6:$A$505,0)),IF(AND($I2941="Công việc",OR($E2941="Hoàn thành",$E2941="Hoàn thành kỳ")),IF(INDEX('Kế hoạch'!$B$6:$B$305,$O2941)="Đột xuất",INDEX('Kế hoạch'!$AY$6:$AY$305,$O2941),IF(N($P2941)=0,"",IF(INT($B2941)&lt;$P2941,$P2941,IF($Q2941&gt;0,$P2941+ROUND((INT($B2941)-$P2941)/$Q2941,0)*$Q2941,IF($R2941&gt;0,EDATE($P2941,ROUND((DATEDIF($P2941,INT($B2941),"m")+(INT($B2941)-EDATE($P2941,DATEDIF($P2941,INT($B2941),"m")))/(EDATE($P2941,DATEDIF($P2941,INT($B2941),"m")+1)-EDATE($P2941,DATEDIF($P2941,INT($B2941),"m"))))/$R2941,0)*$R2941),$P2941))))),"")))</f>
      </c>
      <c r="M2941" s="223">
        <f>IF(OR($C2941="",N($L2941)=0,N($B2941)=0),"",IF(IF(MOD($L2941,1)=0,INT($B2941),$B2941)&lt;=$L2941,"Đúng hạn","Trễ hạn"))</f>
      </c>
      <c r="N2941" s="225">
        <f>IF($C2941="","",ROW())</f>
      </c>
      <c r="O2941" s="225">
        <f>IF($I2941="Công việc",MATCH($C2941,'Kế hoạch'!$A$6:$A$305,0),"")</f>
      </c>
      <c r="P2941" s="234">
        <f>IF($O2941="","",INDEX('Kế hoạch'!$I$6:$I$305,$O2941))</f>
      </c>
      <c r="Q2941" s="225">
        <f>IF($O2941="","",INDEX('Kế hoạch'!$AJ$6:$AJ$305,$O2941))</f>
      </c>
      <c r="R2941" s="225">
        <f>IF($O2941="","",INDEX('Kế hoạch'!$AK$6:$AK$305,$O2941))</f>
      </c>
    </row>
    <row r="2942">
      <c r="A2942" s="223">
        <f>IF($C2942="","",COUNTIF($C$6:$C2942,"?*"))</f>
      </c>
      <c r="B2942" s="217"/>
      <c r="C2942" s="216"/>
      <c r="D2942" s="240"/>
      <c r="E2942" s="218"/>
      <c r="F2942" s="218"/>
      <c r="G2942" s="218"/>
      <c r="H2942" s="219"/>
      <c r="I2942" s="223">
        <f>IF($C2942="","",IF(ISNUMBER(MATCH($C2942,'Phản ánh'!$A$6:$A$505,0)),"Phản ánh",IF(ISNUMBER(MATCH($C2942,'Kế hoạch'!$A$6:$A$305,0)),"Công việc","Mã chưa có")))</f>
      </c>
      <c r="J2942" s="221">
        <f>IF($I2942="Phản ánh",INDEX('Phản ánh'!$C$6:$C$505,MATCH($C2942,'Phản ánh'!$A$6:$A$505,0)),IF($I2942="Công việc",INDEX('Kế hoạch'!$C$6:$C$305,$O2942),""))</f>
      </c>
      <c r="K2942" s="221">
        <f>IF($I2942="Phản ánh",INDEX('Phản ánh'!$K$6:$K$505,MATCH($C2942,'Phản ánh'!$A$6:$A$505,0))&amp;"",IF($I2942="Công việc",INDEX('Kế hoạch'!$N$6:$N$305,$O2942)&amp;"",""))</f>
      </c>
      <c r="L2942" s="220">
        <f>IF(OR($C2942="",N($B2942)=0),"",IF(AND($I2942="Phản ánh",$E2942="Đã xử lý"),INDEX('Phản ánh'!$U$6:$U$505,MATCH($C2942,'Phản ánh'!$A$6:$A$505,0)),IF(AND($I2942="Công việc",OR($E2942="Hoàn thành",$E2942="Hoàn thành kỳ")),IF(INDEX('Kế hoạch'!$B$6:$B$305,$O2942)="Đột xuất",INDEX('Kế hoạch'!$AY$6:$AY$305,$O2942),IF(N($P2942)=0,"",IF(INT($B2942)&lt;$P2942,$P2942,IF($Q2942&gt;0,$P2942+ROUND((INT($B2942)-$P2942)/$Q2942,0)*$Q2942,IF($R2942&gt;0,EDATE($P2942,ROUND((DATEDIF($P2942,INT($B2942),"m")+(INT($B2942)-EDATE($P2942,DATEDIF($P2942,INT($B2942),"m")))/(EDATE($P2942,DATEDIF($P2942,INT($B2942),"m")+1)-EDATE($P2942,DATEDIF($P2942,INT($B2942),"m"))))/$R2942,0)*$R2942),$P2942))))),"")))</f>
      </c>
      <c r="M2942" s="223">
        <f>IF(OR($C2942="",N($L2942)=0,N($B2942)=0),"",IF(IF(MOD($L2942,1)=0,INT($B2942),$B2942)&lt;=$L2942,"Đúng hạn","Trễ hạn"))</f>
      </c>
      <c r="N2942" s="225">
        <f>IF($C2942="","",ROW())</f>
      </c>
      <c r="O2942" s="225">
        <f>IF($I2942="Công việc",MATCH($C2942,'Kế hoạch'!$A$6:$A$305,0),"")</f>
      </c>
      <c r="P2942" s="234">
        <f>IF($O2942="","",INDEX('Kế hoạch'!$I$6:$I$305,$O2942))</f>
      </c>
      <c r="Q2942" s="225">
        <f>IF($O2942="","",INDEX('Kế hoạch'!$AJ$6:$AJ$305,$O2942))</f>
      </c>
      <c r="R2942" s="225">
        <f>IF($O2942="","",INDEX('Kế hoạch'!$AK$6:$AK$305,$O2942))</f>
      </c>
    </row>
    <row r="2943">
      <c r="A2943" s="223">
        <f>IF($C2943="","",COUNTIF($C$6:$C2943,"?*"))</f>
      </c>
      <c r="B2943" s="217"/>
      <c r="C2943" s="216"/>
      <c r="D2943" s="240"/>
      <c r="E2943" s="218"/>
      <c r="F2943" s="218"/>
      <c r="G2943" s="218"/>
      <c r="H2943" s="219"/>
      <c r="I2943" s="223">
        <f>IF($C2943="","",IF(ISNUMBER(MATCH($C2943,'Phản ánh'!$A$6:$A$505,0)),"Phản ánh",IF(ISNUMBER(MATCH($C2943,'Kế hoạch'!$A$6:$A$305,0)),"Công việc","Mã chưa có")))</f>
      </c>
      <c r="J2943" s="221">
        <f>IF($I2943="Phản ánh",INDEX('Phản ánh'!$C$6:$C$505,MATCH($C2943,'Phản ánh'!$A$6:$A$505,0)),IF($I2943="Công việc",INDEX('Kế hoạch'!$C$6:$C$305,$O2943),""))</f>
      </c>
      <c r="K2943" s="221">
        <f>IF($I2943="Phản ánh",INDEX('Phản ánh'!$K$6:$K$505,MATCH($C2943,'Phản ánh'!$A$6:$A$505,0))&amp;"",IF($I2943="Công việc",INDEX('Kế hoạch'!$N$6:$N$305,$O2943)&amp;"",""))</f>
      </c>
      <c r="L2943" s="220">
        <f>IF(OR($C2943="",N($B2943)=0),"",IF(AND($I2943="Phản ánh",$E2943="Đã xử lý"),INDEX('Phản ánh'!$U$6:$U$505,MATCH($C2943,'Phản ánh'!$A$6:$A$505,0)),IF(AND($I2943="Công việc",OR($E2943="Hoàn thành",$E2943="Hoàn thành kỳ")),IF(INDEX('Kế hoạch'!$B$6:$B$305,$O2943)="Đột xuất",INDEX('Kế hoạch'!$AY$6:$AY$305,$O2943),IF(N($P2943)=0,"",IF(INT($B2943)&lt;$P2943,$P2943,IF($Q2943&gt;0,$P2943+ROUND((INT($B2943)-$P2943)/$Q2943,0)*$Q2943,IF($R2943&gt;0,EDATE($P2943,ROUND((DATEDIF($P2943,INT($B2943),"m")+(INT($B2943)-EDATE($P2943,DATEDIF($P2943,INT($B2943),"m")))/(EDATE($P2943,DATEDIF($P2943,INT($B2943),"m")+1)-EDATE($P2943,DATEDIF($P2943,INT($B2943),"m"))))/$R2943,0)*$R2943),$P2943))))),"")))</f>
      </c>
      <c r="M2943" s="223">
        <f>IF(OR($C2943="",N($L2943)=0,N($B2943)=0),"",IF(IF(MOD($L2943,1)=0,INT($B2943),$B2943)&lt;=$L2943,"Đúng hạn","Trễ hạn"))</f>
      </c>
      <c r="N2943" s="225">
        <f>IF($C2943="","",ROW())</f>
      </c>
      <c r="O2943" s="225">
        <f>IF($I2943="Công việc",MATCH($C2943,'Kế hoạch'!$A$6:$A$305,0),"")</f>
      </c>
      <c r="P2943" s="234">
        <f>IF($O2943="","",INDEX('Kế hoạch'!$I$6:$I$305,$O2943))</f>
      </c>
      <c r="Q2943" s="225">
        <f>IF($O2943="","",INDEX('Kế hoạch'!$AJ$6:$AJ$305,$O2943))</f>
      </c>
      <c r="R2943" s="225">
        <f>IF($O2943="","",INDEX('Kế hoạch'!$AK$6:$AK$305,$O2943))</f>
      </c>
    </row>
    <row r="2944">
      <c r="A2944" s="223">
        <f>IF($C2944="","",COUNTIF($C$6:$C2944,"?*"))</f>
      </c>
      <c r="B2944" s="217"/>
      <c r="C2944" s="216"/>
      <c r="D2944" s="240"/>
      <c r="E2944" s="218"/>
      <c r="F2944" s="218"/>
      <c r="G2944" s="218"/>
      <c r="H2944" s="219"/>
      <c r="I2944" s="223">
        <f>IF($C2944="","",IF(ISNUMBER(MATCH($C2944,'Phản ánh'!$A$6:$A$505,0)),"Phản ánh",IF(ISNUMBER(MATCH($C2944,'Kế hoạch'!$A$6:$A$305,0)),"Công việc","Mã chưa có")))</f>
      </c>
      <c r="J2944" s="221">
        <f>IF($I2944="Phản ánh",INDEX('Phản ánh'!$C$6:$C$505,MATCH($C2944,'Phản ánh'!$A$6:$A$505,0)),IF($I2944="Công việc",INDEX('Kế hoạch'!$C$6:$C$305,$O2944),""))</f>
      </c>
      <c r="K2944" s="221">
        <f>IF($I2944="Phản ánh",INDEX('Phản ánh'!$K$6:$K$505,MATCH($C2944,'Phản ánh'!$A$6:$A$505,0))&amp;"",IF($I2944="Công việc",INDEX('Kế hoạch'!$N$6:$N$305,$O2944)&amp;"",""))</f>
      </c>
      <c r="L2944" s="220">
        <f>IF(OR($C2944="",N($B2944)=0),"",IF(AND($I2944="Phản ánh",$E2944="Đã xử lý"),INDEX('Phản ánh'!$U$6:$U$505,MATCH($C2944,'Phản ánh'!$A$6:$A$505,0)),IF(AND($I2944="Công việc",OR($E2944="Hoàn thành",$E2944="Hoàn thành kỳ")),IF(INDEX('Kế hoạch'!$B$6:$B$305,$O2944)="Đột xuất",INDEX('Kế hoạch'!$AY$6:$AY$305,$O2944),IF(N($P2944)=0,"",IF(INT($B2944)&lt;$P2944,$P2944,IF($Q2944&gt;0,$P2944+ROUND((INT($B2944)-$P2944)/$Q2944,0)*$Q2944,IF($R2944&gt;0,EDATE($P2944,ROUND((DATEDIF($P2944,INT($B2944),"m")+(INT($B2944)-EDATE($P2944,DATEDIF($P2944,INT($B2944),"m")))/(EDATE($P2944,DATEDIF($P2944,INT($B2944),"m")+1)-EDATE($P2944,DATEDIF($P2944,INT($B2944),"m"))))/$R2944,0)*$R2944),$P2944))))),"")))</f>
      </c>
      <c r="M2944" s="223">
        <f>IF(OR($C2944="",N($L2944)=0,N($B2944)=0),"",IF(IF(MOD($L2944,1)=0,INT($B2944),$B2944)&lt;=$L2944,"Đúng hạn","Trễ hạn"))</f>
      </c>
      <c r="N2944" s="225">
        <f>IF($C2944="","",ROW())</f>
      </c>
      <c r="O2944" s="225">
        <f>IF($I2944="Công việc",MATCH($C2944,'Kế hoạch'!$A$6:$A$305,0),"")</f>
      </c>
      <c r="P2944" s="234">
        <f>IF($O2944="","",INDEX('Kế hoạch'!$I$6:$I$305,$O2944))</f>
      </c>
      <c r="Q2944" s="225">
        <f>IF($O2944="","",INDEX('Kế hoạch'!$AJ$6:$AJ$305,$O2944))</f>
      </c>
      <c r="R2944" s="225">
        <f>IF($O2944="","",INDEX('Kế hoạch'!$AK$6:$AK$305,$O2944))</f>
      </c>
    </row>
    <row r="2945">
      <c r="A2945" s="223">
        <f>IF($C2945="","",COUNTIF($C$6:$C2945,"?*"))</f>
      </c>
      <c r="B2945" s="217"/>
      <c r="C2945" s="216"/>
      <c r="D2945" s="240"/>
      <c r="E2945" s="218"/>
      <c r="F2945" s="218"/>
      <c r="G2945" s="218"/>
      <c r="H2945" s="219"/>
      <c r="I2945" s="223">
        <f>IF($C2945="","",IF(ISNUMBER(MATCH($C2945,'Phản ánh'!$A$6:$A$505,0)),"Phản ánh",IF(ISNUMBER(MATCH($C2945,'Kế hoạch'!$A$6:$A$305,0)),"Công việc","Mã chưa có")))</f>
      </c>
      <c r="J2945" s="221">
        <f>IF($I2945="Phản ánh",INDEX('Phản ánh'!$C$6:$C$505,MATCH($C2945,'Phản ánh'!$A$6:$A$505,0)),IF($I2945="Công việc",INDEX('Kế hoạch'!$C$6:$C$305,$O2945),""))</f>
      </c>
      <c r="K2945" s="221">
        <f>IF($I2945="Phản ánh",INDEX('Phản ánh'!$K$6:$K$505,MATCH($C2945,'Phản ánh'!$A$6:$A$505,0))&amp;"",IF($I2945="Công việc",INDEX('Kế hoạch'!$N$6:$N$305,$O2945)&amp;"",""))</f>
      </c>
      <c r="L2945" s="220">
        <f>IF(OR($C2945="",N($B2945)=0),"",IF(AND($I2945="Phản ánh",$E2945="Đã xử lý"),INDEX('Phản ánh'!$U$6:$U$505,MATCH($C2945,'Phản ánh'!$A$6:$A$505,0)),IF(AND($I2945="Công việc",OR($E2945="Hoàn thành",$E2945="Hoàn thành kỳ")),IF(INDEX('Kế hoạch'!$B$6:$B$305,$O2945)="Đột xuất",INDEX('Kế hoạch'!$AY$6:$AY$305,$O2945),IF(N($P2945)=0,"",IF(INT($B2945)&lt;$P2945,$P2945,IF($Q2945&gt;0,$P2945+ROUND((INT($B2945)-$P2945)/$Q2945,0)*$Q2945,IF($R2945&gt;0,EDATE($P2945,ROUND((DATEDIF($P2945,INT($B2945),"m")+(INT($B2945)-EDATE($P2945,DATEDIF($P2945,INT($B2945),"m")))/(EDATE($P2945,DATEDIF($P2945,INT($B2945),"m")+1)-EDATE($P2945,DATEDIF($P2945,INT($B2945),"m"))))/$R2945,0)*$R2945),$P2945))))),"")))</f>
      </c>
      <c r="M2945" s="223">
        <f>IF(OR($C2945="",N($L2945)=0,N($B2945)=0),"",IF(IF(MOD($L2945,1)=0,INT($B2945),$B2945)&lt;=$L2945,"Đúng hạn","Trễ hạn"))</f>
      </c>
      <c r="N2945" s="225">
        <f>IF($C2945="","",ROW())</f>
      </c>
      <c r="O2945" s="225">
        <f>IF($I2945="Công việc",MATCH($C2945,'Kế hoạch'!$A$6:$A$305,0),"")</f>
      </c>
      <c r="P2945" s="234">
        <f>IF($O2945="","",INDEX('Kế hoạch'!$I$6:$I$305,$O2945))</f>
      </c>
      <c r="Q2945" s="225">
        <f>IF($O2945="","",INDEX('Kế hoạch'!$AJ$6:$AJ$305,$O2945))</f>
      </c>
      <c r="R2945" s="225">
        <f>IF($O2945="","",INDEX('Kế hoạch'!$AK$6:$AK$305,$O2945))</f>
      </c>
    </row>
    <row r="2946">
      <c r="A2946" s="223">
        <f>IF($C2946="","",COUNTIF($C$6:$C2946,"?*"))</f>
      </c>
      <c r="B2946" s="217"/>
      <c r="C2946" s="216"/>
      <c r="D2946" s="240"/>
      <c r="E2946" s="218"/>
      <c r="F2946" s="218"/>
      <c r="G2946" s="218"/>
      <c r="H2946" s="219"/>
      <c r="I2946" s="223">
        <f>IF($C2946="","",IF(ISNUMBER(MATCH($C2946,'Phản ánh'!$A$6:$A$505,0)),"Phản ánh",IF(ISNUMBER(MATCH($C2946,'Kế hoạch'!$A$6:$A$305,0)),"Công việc","Mã chưa có")))</f>
      </c>
      <c r="J2946" s="221">
        <f>IF($I2946="Phản ánh",INDEX('Phản ánh'!$C$6:$C$505,MATCH($C2946,'Phản ánh'!$A$6:$A$505,0)),IF($I2946="Công việc",INDEX('Kế hoạch'!$C$6:$C$305,$O2946),""))</f>
      </c>
      <c r="K2946" s="221">
        <f>IF($I2946="Phản ánh",INDEX('Phản ánh'!$K$6:$K$505,MATCH($C2946,'Phản ánh'!$A$6:$A$505,0))&amp;"",IF($I2946="Công việc",INDEX('Kế hoạch'!$N$6:$N$305,$O2946)&amp;"",""))</f>
      </c>
      <c r="L2946" s="220">
        <f>IF(OR($C2946="",N($B2946)=0),"",IF(AND($I2946="Phản ánh",$E2946="Đã xử lý"),INDEX('Phản ánh'!$U$6:$U$505,MATCH($C2946,'Phản ánh'!$A$6:$A$505,0)),IF(AND($I2946="Công việc",OR($E2946="Hoàn thành",$E2946="Hoàn thành kỳ")),IF(INDEX('Kế hoạch'!$B$6:$B$305,$O2946)="Đột xuất",INDEX('Kế hoạch'!$AY$6:$AY$305,$O2946),IF(N($P2946)=0,"",IF(INT($B2946)&lt;$P2946,$P2946,IF($Q2946&gt;0,$P2946+ROUND((INT($B2946)-$P2946)/$Q2946,0)*$Q2946,IF($R2946&gt;0,EDATE($P2946,ROUND((DATEDIF($P2946,INT($B2946),"m")+(INT($B2946)-EDATE($P2946,DATEDIF($P2946,INT($B2946),"m")))/(EDATE($P2946,DATEDIF($P2946,INT($B2946),"m")+1)-EDATE($P2946,DATEDIF($P2946,INT($B2946),"m"))))/$R2946,0)*$R2946),$P2946))))),"")))</f>
      </c>
      <c r="M2946" s="223">
        <f>IF(OR($C2946="",N($L2946)=0,N($B2946)=0),"",IF(IF(MOD($L2946,1)=0,INT($B2946),$B2946)&lt;=$L2946,"Đúng hạn","Trễ hạn"))</f>
      </c>
      <c r="N2946" s="225">
        <f>IF($C2946="","",ROW())</f>
      </c>
      <c r="O2946" s="225">
        <f>IF($I2946="Công việc",MATCH($C2946,'Kế hoạch'!$A$6:$A$305,0),"")</f>
      </c>
      <c r="P2946" s="234">
        <f>IF($O2946="","",INDEX('Kế hoạch'!$I$6:$I$305,$O2946))</f>
      </c>
      <c r="Q2946" s="225">
        <f>IF($O2946="","",INDEX('Kế hoạch'!$AJ$6:$AJ$305,$O2946))</f>
      </c>
      <c r="R2946" s="225">
        <f>IF($O2946="","",INDEX('Kế hoạch'!$AK$6:$AK$305,$O2946))</f>
      </c>
    </row>
    <row r="2947">
      <c r="A2947" s="223">
        <f>IF($C2947="","",COUNTIF($C$6:$C2947,"?*"))</f>
      </c>
      <c r="B2947" s="217"/>
      <c r="C2947" s="216"/>
      <c r="D2947" s="240"/>
      <c r="E2947" s="218"/>
      <c r="F2947" s="218"/>
      <c r="G2947" s="218"/>
      <c r="H2947" s="219"/>
      <c r="I2947" s="223">
        <f>IF($C2947="","",IF(ISNUMBER(MATCH($C2947,'Phản ánh'!$A$6:$A$505,0)),"Phản ánh",IF(ISNUMBER(MATCH($C2947,'Kế hoạch'!$A$6:$A$305,0)),"Công việc","Mã chưa có")))</f>
      </c>
      <c r="J2947" s="221">
        <f>IF($I2947="Phản ánh",INDEX('Phản ánh'!$C$6:$C$505,MATCH($C2947,'Phản ánh'!$A$6:$A$505,0)),IF($I2947="Công việc",INDEX('Kế hoạch'!$C$6:$C$305,$O2947),""))</f>
      </c>
      <c r="K2947" s="221">
        <f>IF($I2947="Phản ánh",INDEX('Phản ánh'!$K$6:$K$505,MATCH($C2947,'Phản ánh'!$A$6:$A$505,0))&amp;"",IF($I2947="Công việc",INDEX('Kế hoạch'!$N$6:$N$305,$O2947)&amp;"",""))</f>
      </c>
      <c r="L2947" s="220">
        <f>IF(OR($C2947="",N($B2947)=0),"",IF(AND($I2947="Phản ánh",$E2947="Đã xử lý"),INDEX('Phản ánh'!$U$6:$U$505,MATCH($C2947,'Phản ánh'!$A$6:$A$505,0)),IF(AND($I2947="Công việc",OR($E2947="Hoàn thành",$E2947="Hoàn thành kỳ")),IF(INDEX('Kế hoạch'!$B$6:$B$305,$O2947)="Đột xuất",INDEX('Kế hoạch'!$AY$6:$AY$305,$O2947),IF(N($P2947)=0,"",IF(INT($B2947)&lt;$P2947,$P2947,IF($Q2947&gt;0,$P2947+ROUND((INT($B2947)-$P2947)/$Q2947,0)*$Q2947,IF($R2947&gt;0,EDATE($P2947,ROUND((DATEDIF($P2947,INT($B2947),"m")+(INT($B2947)-EDATE($P2947,DATEDIF($P2947,INT($B2947),"m")))/(EDATE($P2947,DATEDIF($P2947,INT($B2947),"m")+1)-EDATE($P2947,DATEDIF($P2947,INT($B2947),"m"))))/$R2947,0)*$R2947),$P2947))))),"")))</f>
      </c>
      <c r="M2947" s="223">
        <f>IF(OR($C2947="",N($L2947)=0,N($B2947)=0),"",IF(IF(MOD($L2947,1)=0,INT($B2947),$B2947)&lt;=$L2947,"Đúng hạn","Trễ hạn"))</f>
      </c>
      <c r="N2947" s="225">
        <f>IF($C2947="","",ROW())</f>
      </c>
      <c r="O2947" s="225">
        <f>IF($I2947="Công việc",MATCH($C2947,'Kế hoạch'!$A$6:$A$305,0),"")</f>
      </c>
      <c r="P2947" s="234">
        <f>IF($O2947="","",INDEX('Kế hoạch'!$I$6:$I$305,$O2947))</f>
      </c>
      <c r="Q2947" s="225">
        <f>IF($O2947="","",INDEX('Kế hoạch'!$AJ$6:$AJ$305,$O2947))</f>
      </c>
      <c r="R2947" s="225">
        <f>IF($O2947="","",INDEX('Kế hoạch'!$AK$6:$AK$305,$O2947))</f>
      </c>
    </row>
    <row r="2948">
      <c r="A2948" s="223">
        <f>IF($C2948="","",COUNTIF($C$6:$C2948,"?*"))</f>
      </c>
      <c r="B2948" s="217"/>
      <c r="C2948" s="216"/>
      <c r="D2948" s="240"/>
      <c r="E2948" s="218"/>
      <c r="F2948" s="218"/>
      <c r="G2948" s="218"/>
      <c r="H2948" s="219"/>
      <c r="I2948" s="223">
        <f>IF($C2948="","",IF(ISNUMBER(MATCH($C2948,'Phản ánh'!$A$6:$A$505,0)),"Phản ánh",IF(ISNUMBER(MATCH($C2948,'Kế hoạch'!$A$6:$A$305,0)),"Công việc","Mã chưa có")))</f>
      </c>
      <c r="J2948" s="221">
        <f>IF($I2948="Phản ánh",INDEX('Phản ánh'!$C$6:$C$505,MATCH($C2948,'Phản ánh'!$A$6:$A$505,0)),IF($I2948="Công việc",INDEX('Kế hoạch'!$C$6:$C$305,$O2948),""))</f>
      </c>
      <c r="K2948" s="221">
        <f>IF($I2948="Phản ánh",INDEX('Phản ánh'!$K$6:$K$505,MATCH($C2948,'Phản ánh'!$A$6:$A$505,0))&amp;"",IF($I2948="Công việc",INDEX('Kế hoạch'!$N$6:$N$305,$O2948)&amp;"",""))</f>
      </c>
      <c r="L2948" s="220">
        <f>IF(OR($C2948="",N($B2948)=0),"",IF(AND($I2948="Phản ánh",$E2948="Đã xử lý"),INDEX('Phản ánh'!$U$6:$U$505,MATCH($C2948,'Phản ánh'!$A$6:$A$505,0)),IF(AND($I2948="Công việc",OR($E2948="Hoàn thành",$E2948="Hoàn thành kỳ")),IF(INDEX('Kế hoạch'!$B$6:$B$305,$O2948)="Đột xuất",INDEX('Kế hoạch'!$AY$6:$AY$305,$O2948),IF(N($P2948)=0,"",IF(INT($B2948)&lt;$P2948,$P2948,IF($Q2948&gt;0,$P2948+ROUND((INT($B2948)-$P2948)/$Q2948,0)*$Q2948,IF($R2948&gt;0,EDATE($P2948,ROUND((DATEDIF($P2948,INT($B2948),"m")+(INT($B2948)-EDATE($P2948,DATEDIF($P2948,INT($B2948),"m")))/(EDATE($P2948,DATEDIF($P2948,INT($B2948),"m")+1)-EDATE($P2948,DATEDIF($P2948,INT($B2948),"m"))))/$R2948,0)*$R2948),$P2948))))),"")))</f>
      </c>
      <c r="M2948" s="223">
        <f>IF(OR($C2948="",N($L2948)=0,N($B2948)=0),"",IF(IF(MOD($L2948,1)=0,INT($B2948),$B2948)&lt;=$L2948,"Đúng hạn","Trễ hạn"))</f>
      </c>
      <c r="N2948" s="225">
        <f>IF($C2948="","",ROW())</f>
      </c>
      <c r="O2948" s="225">
        <f>IF($I2948="Công việc",MATCH($C2948,'Kế hoạch'!$A$6:$A$305,0),"")</f>
      </c>
      <c r="P2948" s="234">
        <f>IF($O2948="","",INDEX('Kế hoạch'!$I$6:$I$305,$O2948))</f>
      </c>
      <c r="Q2948" s="225">
        <f>IF($O2948="","",INDEX('Kế hoạch'!$AJ$6:$AJ$305,$O2948))</f>
      </c>
      <c r="R2948" s="225">
        <f>IF($O2948="","",INDEX('Kế hoạch'!$AK$6:$AK$305,$O2948))</f>
      </c>
    </row>
    <row r="2949">
      <c r="A2949" s="223">
        <f>IF($C2949="","",COUNTIF($C$6:$C2949,"?*"))</f>
      </c>
      <c r="B2949" s="217"/>
      <c r="C2949" s="216"/>
      <c r="D2949" s="240"/>
      <c r="E2949" s="218"/>
      <c r="F2949" s="218"/>
      <c r="G2949" s="218"/>
      <c r="H2949" s="219"/>
      <c r="I2949" s="223">
        <f>IF($C2949="","",IF(ISNUMBER(MATCH($C2949,'Phản ánh'!$A$6:$A$505,0)),"Phản ánh",IF(ISNUMBER(MATCH($C2949,'Kế hoạch'!$A$6:$A$305,0)),"Công việc","Mã chưa có")))</f>
      </c>
      <c r="J2949" s="221">
        <f>IF($I2949="Phản ánh",INDEX('Phản ánh'!$C$6:$C$505,MATCH($C2949,'Phản ánh'!$A$6:$A$505,0)),IF($I2949="Công việc",INDEX('Kế hoạch'!$C$6:$C$305,$O2949),""))</f>
      </c>
      <c r="K2949" s="221">
        <f>IF($I2949="Phản ánh",INDEX('Phản ánh'!$K$6:$K$505,MATCH($C2949,'Phản ánh'!$A$6:$A$505,0))&amp;"",IF($I2949="Công việc",INDEX('Kế hoạch'!$N$6:$N$305,$O2949)&amp;"",""))</f>
      </c>
      <c r="L2949" s="220">
        <f>IF(OR($C2949="",N($B2949)=0),"",IF(AND($I2949="Phản ánh",$E2949="Đã xử lý"),INDEX('Phản ánh'!$U$6:$U$505,MATCH($C2949,'Phản ánh'!$A$6:$A$505,0)),IF(AND($I2949="Công việc",OR($E2949="Hoàn thành",$E2949="Hoàn thành kỳ")),IF(INDEX('Kế hoạch'!$B$6:$B$305,$O2949)="Đột xuất",INDEX('Kế hoạch'!$AY$6:$AY$305,$O2949),IF(N($P2949)=0,"",IF(INT($B2949)&lt;$P2949,$P2949,IF($Q2949&gt;0,$P2949+ROUND((INT($B2949)-$P2949)/$Q2949,0)*$Q2949,IF($R2949&gt;0,EDATE($P2949,ROUND((DATEDIF($P2949,INT($B2949),"m")+(INT($B2949)-EDATE($P2949,DATEDIF($P2949,INT($B2949),"m")))/(EDATE($P2949,DATEDIF($P2949,INT($B2949),"m")+1)-EDATE($P2949,DATEDIF($P2949,INT($B2949),"m"))))/$R2949,0)*$R2949),$P2949))))),"")))</f>
      </c>
      <c r="M2949" s="223">
        <f>IF(OR($C2949="",N($L2949)=0,N($B2949)=0),"",IF(IF(MOD($L2949,1)=0,INT($B2949),$B2949)&lt;=$L2949,"Đúng hạn","Trễ hạn"))</f>
      </c>
      <c r="N2949" s="225">
        <f>IF($C2949="","",ROW())</f>
      </c>
      <c r="O2949" s="225">
        <f>IF($I2949="Công việc",MATCH($C2949,'Kế hoạch'!$A$6:$A$305,0),"")</f>
      </c>
      <c r="P2949" s="234">
        <f>IF($O2949="","",INDEX('Kế hoạch'!$I$6:$I$305,$O2949))</f>
      </c>
      <c r="Q2949" s="225">
        <f>IF($O2949="","",INDEX('Kế hoạch'!$AJ$6:$AJ$305,$O2949))</f>
      </c>
      <c r="R2949" s="225">
        <f>IF($O2949="","",INDEX('Kế hoạch'!$AK$6:$AK$305,$O2949))</f>
      </c>
    </row>
    <row r="2950">
      <c r="A2950" s="223">
        <f>IF($C2950="","",COUNTIF($C$6:$C2950,"?*"))</f>
      </c>
      <c r="B2950" s="217"/>
      <c r="C2950" s="216"/>
      <c r="D2950" s="240"/>
      <c r="E2950" s="218"/>
      <c r="F2950" s="218"/>
      <c r="G2950" s="218"/>
      <c r="H2950" s="219"/>
      <c r="I2950" s="223">
        <f>IF($C2950="","",IF(ISNUMBER(MATCH($C2950,'Phản ánh'!$A$6:$A$505,0)),"Phản ánh",IF(ISNUMBER(MATCH($C2950,'Kế hoạch'!$A$6:$A$305,0)),"Công việc","Mã chưa có")))</f>
      </c>
      <c r="J2950" s="221">
        <f>IF($I2950="Phản ánh",INDEX('Phản ánh'!$C$6:$C$505,MATCH($C2950,'Phản ánh'!$A$6:$A$505,0)),IF($I2950="Công việc",INDEX('Kế hoạch'!$C$6:$C$305,$O2950),""))</f>
      </c>
      <c r="K2950" s="221">
        <f>IF($I2950="Phản ánh",INDEX('Phản ánh'!$K$6:$K$505,MATCH($C2950,'Phản ánh'!$A$6:$A$505,0))&amp;"",IF($I2950="Công việc",INDEX('Kế hoạch'!$N$6:$N$305,$O2950)&amp;"",""))</f>
      </c>
      <c r="L2950" s="220">
        <f>IF(OR($C2950="",N($B2950)=0),"",IF(AND($I2950="Phản ánh",$E2950="Đã xử lý"),INDEX('Phản ánh'!$U$6:$U$505,MATCH($C2950,'Phản ánh'!$A$6:$A$505,0)),IF(AND($I2950="Công việc",OR($E2950="Hoàn thành",$E2950="Hoàn thành kỳ")),IF(INDEX('Kế hoạch'!$B$6:$B$305,$O2950)="Đột xuất",INDEX('Kế hoạch'!$AY$6:$AY$305,$O2950),IF(N($P2950)=0,"",IF(INT($B2950)&lt;$P2950,$P2950,IF($Q2950&gt;0,$P2950+ROUND((INT($B2950)-$P2950)/$Q2950,0)*$Q2950,IF($R2950&gt;0,EDATE($P2950,ROUND((DATEDIF($P2950,INT($B2950),"m")+(INT($B2950)-EDATE($P2950,DATEDIF($P2950,INT($B2950),"m")))/(EDATE($P2950,DATEDIF($P2950,INT($B2950),"m")+1)-EDATE($P2950,DATEDIF($P2950,INT($B2950),"m"))))/$R2950,0)*$R2950),$P2950))))),"")))</f>
      </c>
      <c r="M2950" s="223">
        <f>IF(OR($C2950="",N($L2950)=0,N($B2950)=0),"",IF(IF(MOD($L2950,1)=0,INT($B2950),$B2950)&lt;=$L2950,"Đúng hạn","Trễ hạn"))</f>
      </c>
      <c r="N2950" s="225">
        <f>IF($C2950="","",ROW())</f>
      </c>
      <c r="O2950" s="225">
        <f>IF($I2950="Công việc",MATCH($C2950,'Kế hoạch'!$A$6:$A$305,0),"")</f>
      </c>
      <c r="P2950" s="234">
        <f>IF($O2950="","",INDEX('Kế hoạch'!$I$6:$I$305,$O2950))</f>
      </c>
      <c r="Q2950" s="225">
        <f>IF($O2950="","",INDEX('Kế hoạch'!$AJ$6:$AJ$305,$O2950))</f>
      </c>
      <c r="R2950" s="225">
        <f>IF($O2950="","",INDEX('Kế hoạch'!$AK$6:$AK$305,$O2950))</f>
      </c>
    </row>
    <row r="2951">
      <c r="A2951" s="223">
        <f>IF($C2951="","",COUNTIF($C$6:$C2951,"?*"))</f>
      </c>
      <c r="B2951" s="217"/>
      <c r="C2951" s="216"/>
      <c r="D2951" s="240"/>
      <c r="E2951" s="218"/>
      <c r="F2951" s="218"/>
      <c r="G2951" s="218"/>
      <c r="H2951" s="219"/>
      <c r="I2951" s="223">
        <f>IF($C2951="","",IF(ISNUMBER(MATCH($C2951,'Phản ánh'!$A$6:$A$505,0)),"Phản ánh",IF(ISNUMBER(MATCH($C2951,'Kế hoạch'!$A$6:$A$305,0)),"Công việc","Mã chưa có")))</f>
      </c>
      <c r="J2951" s="221">
        <f>IF($I2951="Phản ánh",INDEX('Phản ánh'!$C$6:$C$505,MATCH($C2951,'Phản ánh'!$A$6:$A$505,0)),IF($I2951="Công việc",INDEX('Kế hoạch'!$C$6:$C$305,$O2951),""))</f>
      </c>
      <c r="K2951" s="221">
        <f>IF($I2951="Phản ánh",INDEX('Phản ánh'!$K$6:$K$505,MATCH($C2951,'Phản ánh'!$A$6:$A$505,0))&amp;"",IF($I2951="Công việc",INDEX('Kế hoạch'!$N$6:$N$305,$O2951)&amp;"",""))</f>
      </c>
      <c r="L2951" s="220">
        <f>IF(OR($C2951="",N($B2951)=0),"",IF(AND($I2951="Phản ánh",$E2951="Đã xử lý"),INDEX('Phản ánh'!$U$6:$U$505,MATCH($C2951,'Phản ánh'!$A$6:$A$505,0)),IF(AND($I2951="Công việc",OR($E2951="Hoàn thành",$E2951="Hoàn thành kỳ")),IF(INDEX('Kế hoạch'!$B$6:$B$305,$O2951)="Đột xuất",INDEX('Kế hoạch'!$AY$6:$AY$305,$O2951),IF(N($P2951)=0,"",IF(INT($B2951)&lt;$P2951,$P2951,IF($Q2951&gt;0,$P2951+ROUND((INT($B2951)-$P2951)/$Q2951,0)*$Q2951,IF($R2951&gt;0,EDATE($P2951,ROUND((DATEDIF($P2951,INT($B2951),"m")+(INT($B2951)-EDATE($P2951,DATEDIF($P2951,INT($B2951),"m")))/(EDATE($P2951,DATEDIF($P2951,INT($B2951),"m")+1)-EDATE($P2951,DATEDIF($P2951,INT($B2951),"m"))))/$R2951,0)*$R2951),$P2951))))),"")))</f>
      </c>
      <c r="M2951" s="223">
        <f>IF(OR($C2951="",N($L2951)=0,N($B2951)=0),"",IF(IF(MOD($L2951,1)=0,INT($B2951),$B2951)&lt;=$L2951,"Đúng hạn","Trễ hạn"))</f>
      </c>
      <c r="N2951" s="225">
        <f>IF($C2951="","",ROW())</f>
      </c>
      <c r="O2951" s="225">
        <f>IF($I2951="Công việc",MATCH($C2951,'Kế hoạch'!$A$6:$A$305,0),"")</f>
      </c>
      <c r="P2951" s="234">
        <f>IF($O2951="","",INDEX('Kế hoạch'!$I$6:$I$305,$O2951))</f>
      </c>
      <c r="Q2951" s="225">
        <f>IF($O2951="","",INDEX('Kế hoạch'!$AJ$6:$AJ$305,$O2951))</f>
      </c>
      <c r="R2951" s="225">
        <f>IF($O2951="","",INDEX('Kế hoạch'!$AK$6:$AK$305,$O2951))</f>
      </c>
    </row>
    <row r="2952">
      <c r="A2952" s="223">
        <f>IF($C2952="","",COUNTIF($C$6:$C2952,"?*"))</f>
      </c>
      <c r="B2952" s="217"/>
      <c r="C2952" s="216"/>
      <c r="D2952" s="240"/>
      <c r="E2952" s="218"/>
      <c r="F2952" s="218"/>
      <c r="G2952" s="218"/>
      <c r="H2952" s="219"/>
      <c r="I2952" s="223">
        <f>IF($C2952="","",IF(ISNUMBER(MATCH($C2952,'Phản ánh'!$A$6:$A$505,0)),"Phản ánh",IF(ISNUMBER(MATCH($C2952,'Kế hoạch'!$A$6:$A$305,0)),"Công việc","Mã chưa có")))</f>
      </c>
      <c r="J2952" s="221">
        <f>IF($I2952="Phản ánh",INDEX('Phản ánh'!$C$6:$C$505,MATCH($C2952,'Phản ánh'!$A$6:$A$505,0)),IF($I2952="Công việc",INDEX('Kế hoạch'!$C$6:$C$305,$O2952),""))</f>
      </c>
      <c r="K2952" s="221">
        <f>IF($I2952="Phản ánh",INDEX('Phản ánh'!$K$6:$K$505,MATCH($C2952,'Phản ánh'!$A$6:$A$505,0))&amp;"",IF($I2952="Công việc",INDEX('Kế hoạch'!$N$6:$N$305,$O2952)&amp;"",""))</f>
      </c>
      <c r="L2952" s="220">
        <f>IF(OR($C2952="",N($B2952)=0),"",IF(AND($I2952="Phản ánh",$E2952="Đã xử lý"),INDEX('Phản ánh'!$U$6:$U$505,MATCH($C2952,'Phản ánh'!$A$6:$A$505,0)),IF(AND($I2952="Công việc",OR($E2952="Hoàn thành",$E2952="Hoàn thành kỳ")),IF(INDEX('Kế hoạch'!$B$6:$B$305,$O2952)="Đột xuất",INDEX('Kế hoạch'!$AY$6:$AY$305,$O2952),IF(N($P2952)=0,"",IF(INT($B2952)&lt;$P2952,$P2952,IF($Q2952&gt;0,$P2952+ROUND((INT($B2952)-$P2952)/$Q2952,0)*$Q2952,IF($R2952&gt;0,EDATE($P2952,ROUND((DATEDIF($P2952,INT($B2952),"m")+(INT($B2952)-EDATE($P2952,DATEDIF($P2952,INT($B2952),"m")))/(EDATE($P2952,DATEDIF($P2952,INT($B2952),"m")+1)-EDATE($P2952,DATEDIF($P2952,INT($B2952),"m"))))/$R2952,0)*$R2952),$P2952))))),"")))</f>
      </c>
      <c r="M2952" s="223">
        <f>IF(OR($C2952="",N($L2952)=0,N($B2952)=0),"",IF(IF(MOD($L2952,1)=0,INT($B2952),$B2952)&lt;=$L2952,"Đúng hạn","Trễ hạn"))</f>
      </c>
      <c r="N2952" s="225">
        <f>IF($C2952="","",ROW())</f>
      </c>
      <c r="O2952" s="225">
        <f>IF($I2952="Công việc",MATCH($C2952,'Kế hoạch'!$A$6:$A$305,0),"")</f>
      </c>
      <c r="P2952" s="234">
        <f>IF($O2952="","",INDEX('Kế hoạch'!$I$6:$I$305,$O2952))</f>
      </c>
      <c r="Q2952" s="225">
        <f>IF($O2952="","",INDEX('Kế hoạch'!$AJ$6:$AJ$305,$O2952))</f>
      </c>
      <c r="R2952" s="225">
        <f>IF($O2952="","",INDEX('Kế hoạch'!$AK$6:$AK$305,$O2952))</f>
      </c>
    </row>
    <row r="2953">
      <c r="A2953" s="223">
        <f>IF($C2953="","",COUNTIF($C$6:$C2953,"?*"))</f>
      </c>
      <c r="B2953" s="217"/>
      <c r="C2953" s="216"/>
      <c r="D2953" s="240"/>
      <c r="E2953" s="218"/>
      <c r="F2953" s="218"/>
      <c r="G2953" s="218"/>
      <c r="H2953" s="219"/>
      <c r="I2953" s="223">
        <f>IF($C2953="","",IF(ISNUMBER(MATCH($C2953,'Phản ánh'!$A$6:$A$505,0)),"Phản ánh",IF(ISNUMBER(MATCH($C2953,'Kế hoạch'!$A$6:$A$305,0)),"Công việc","Mã chưa có")))</f>
      </c>
      <c r="J2953" s="221">
        <f>IF($I2953="Phản ánh",INDEX('Phản ánh'!$C$6:$C$505,MATCH($C2953,'Phản ánh'!$A$6:$A$505,0)),IF($I2953="Công việc",INDEX('Kế hoạch'!$C$6:$C$305,$O2953),""))</f>
      </c>
      <c r="K2953" s="221">
        <f>IF($I2953="Phản ánh",INDEX('Phản ánh'!$K$6:$K$505,MATCH($C2953,'Phản ánh'!$A$6:$A$505,0))&amp;"",IF($I2953="Công việc",INDEX('Kế hoạch'!$N$6:$N$305,$O2953)&amp;"",""))</f>
      </c>
      <c r="L2953" s="220">
        <f>IF(OR($C2953="",N($B2953)=0),"",IF(AND($I2953="Phản ánh",$E2953="Đã xử lý"),INDEX('Phản ánh'!$U$6:$U$505,MATCH($C2953,'Phản ánh'!$A$6:$A$505,0)),IF(AND($I2953="Công việc",OR($E2953="Hoàn thành",$E2953="Hoàn thành kỳ")),IF(INDEX('Kế hoạch'!$B$6:$B$305,$O2953)="Đột xuất",INDEX('Kế hoạch'!$AY$6:$AY$305,$O2953),IF(N($P2953)=0,"",IF(INT($B2953)&lt;$P2953,$P2953,IF($Q2953&gt;0,$P2953+ROUND((INT($B2953)-$P2953)/$Q2953,0)*$Q2953,IF($R2953&gt;0,EDATE($P2953,ROUND((DATEDIF($P2953,INT($B2953),"m")+(INT($B2953)-EDATE($P2953,DATEDIF($P2953,INT($B2953),"m")))/(EDATE($P2953,DATEDIF($P2953,INT($B2953),"m")+1)-EDATE($P2953,DATEDIF($P2953,INT($B2953),"m"))))/$R2953,0)*$R2953),$P2953))))),"")))</f>
      </c>
      <c r="M2953" s="223">
        <f>IF(OR($C2953="",N($L2953)=0,N($B2953)=0),"",IF(IF(MOD($L2953,1)=0,INT($B2953),$B2953)&lt;=$L2953,"Đúng hạn","Trễ hạn"))</f>
      </c>
      <c r="N2953" s="225">
        <f>IF($C2953="","",ROW())</f>
      </c>
      <c r="O2953" s="225">
        <f>IF($I2953="Công việc",MATCH($C2953,'Kế hoạch'!$A$6:$A$305,0),"")</f>
      </c>
      <c r="P2953" s="234">
        <f>IF($O2953="","",INDEX('Kế hoạch'!$I$6:$I$305,$O2953))</f>
      </c>
      <c r="Q2953" s="225">
        <f>IF($O2953="","",INDEX('Kế hoạch'!$AJ$6:$AJ$305,$O2953))</f>
      </c>
      <c r="R2953" s="225">
        <f>IF($O2953="","",INDEX('Kế hoạch'!$AK$6:$AK$305,$O2953))</f>
      </c>
    </row>
    <row r="2954">
      <c r="A2954" s="223">
        <f>IF($C2954="","",COUNTIF($C$6:$C2954,"?*"))</f>
      </c>
      <c r="B2954" s="217"/>
      <c r="C2954" s="216"/>
      <c r="D2954" s="240"/>
      <c r="E2954" s="218"/>
      <c r="F2954" s="218"/>
      <c r="G2954" s="218"/>
      <c r="H2954" s="219"/>
      <c r="I2954" s="223">
        <f>IF($C2954="","",IF(ISNUMBER(MATCH($C2954,'Phản ánh'!$A$6:$A$505,0)),"Phản ánh",IF(ISNUMBER(MATCH($C2954,'Kế hoạch'!$A$6:$A$305,0)),"Công việc","Mã chưa có")))</f>
      </c>
      <c r="J2954" s="221">
        <f>IF($I2954="Phản ánh",INDEX('Phản ánh'!$C$6:$C$505,MATCH($C2954,'Phản ánh'!$A$6:$A$505,0)),IF($I2954="Công việc",INDEX('Kế hoạch'!$C$6:$C$305,$O2954),""))</f>
      </c>
      <c r="K2954" s="221">
        <f>IF($I2954="Phản ánh",INDEX('Phản ánh'!$K$6:$K$505,MATCH($C2954,'Phản ánh'!$A$6:$A$505,0))&amp;"",IF($I2954="Công việc",INDEX('Kế hoạch'!$N$6:$N$305,$O2954)&amp;"",""))</f>
      </c>
      <c r="L2954" s="220">
        <f>IF(OR($C2954="",N($B2954)=0),"",IF(AND($I2954="Phản ánh",$E2954="Đã xử lý"),INDEX('Phản ánh'!$U$6:$U$505,MATCH($C2954,'Phản ánh'!$A$6:$A$505,0)),IF(AND($I2954="Công việc",OR($E2954="Hoàn thành",$E2954="Hoàn thành kỳ")),IF(INDEX('Kế hoạch'!$B$6:$B$305,$O2954)="Đột xuất",INDEX('Kế hoạch'!$AY$6:$AY$305,$O2954),IF(N($P2954)=0,"",IF(INT($B2954)&lt;$P2954,$P2954,IF($Q2954&gt;0,$P2954+ROUND((INT($B2954)-$P2954)/$Q2954,0)*$Q2954,IF($R2954&gt;0,EDATE($P2954,ROUND((DATEDIF($P2954,INT($B2954),"m")+(INT($B2954)-EDATE($P2954,DATEDIF($P2954,INT($B2954),"m")))/(EDATE($P2954,DATEDIF($P2954,INT($B2954),"m")+1)-EDATE($P2954,DATEDIF($P2954,INT($B2954),"m"))))/$R2954,0)*$R2954),$P2954))))),"")))</f>
      </c>
      <c r="M2954" s="223">
        <f>IF(OR($C2954="",N($L2954)=0,N($B2954)=0),"",IF(IF(MOD($L2954,1)=0,INT($B2954),$B2954)&lt;=$L2954,"Đúng hạn","Trễ hạn"))</f>
      </c>
      <c r="N2954" s="225">
        <f>IF($C2954="","",ROW())</f>
      </c>
      <c r="O2954" s="225">
        <f>IF($I2954="Công việc",MATCH($C2954,'Kế hoạch'!$A$6:$A$305,0),"")</f>
      </c>
      <c r="P2954" s="234">
        <f>IF($O2954="","",INDEX('Kế hoạch'!$I$6:$I$305,$O2954))</f>
      </c>
      <c r="Q2954" s="225">
        <f>IF($O2954="","",INDEX('Kế hoạch'!$AJ$6:$AJ$305,$O2954))</f>
      </c>
      <c r="R2954" s="225">
        <f>IF($O2954="","",INDEX('Kế hoạch'!$AK$6:$AK$305,$O2954))</f>
      </c>
    </row>
    <row r="2955">
      <c r="A2955" s="223">
        <f>IF($C2955="","",COUNTIF($C$6:$C2955,"?*"))</f>
      </c>
      <c r="B2955" s="217"/>
      <c r="C2955" s="216"/>
      <c r="D2955" s="240"/>
      <c r="E2955" s="218"/>
      <c r="F2955" s="218"/>
      <c r="G2955" s="218"/>
      <c r="H2955" s="219"/>
      <c r="I2955" s="223">
        <f>IF($C2955="","",IF(ISNUMBER(MATCH($C2955,'Phản ánh'!$A$6:$A$505,0)),"Phản ánh",IF(ISNUMBER(MATCH($C2955,'Kế hoạch'!$A$6:$A$305,0)),"Công việc","Mã chưa có")))</f>
      </c>
      <c r="J2955" s="221">
        <f>IF($I2955="Phản ánh",INDEX('Phản ánh'!$C$6:$C$505,MATCH($C2955,'Phản ánh'!$A$6:$A$505,0)),IF($I2955="Công việc",INDEX('Kế hoạch'!$C$6:$C$305,$O2955),""))</f>
      </c>
      <c r="K2955" s="221">
        <f>IF($I2955="Phản ánh",INDEX('Phản ánh'!$K$6:$K$505,MATCH($C2955,'Phản ánh'!$A$6:$A$505,0))&amp;"",IF($I2955="Công việc",INDEX('Kế hoạch'!$N$6:$N$305,$O2955)&amp;"",""))</f>
      </c>
      <c r="L2955" s="220">
        <f>IF(OR($C2955="",N($B2955)=0),"",IF(AND($I2955="Phản ánh",$E2955="Đã xử lý"),INDEX('Phản ánh'!$U$6:$U$505,MATCH($C2955,'Phản ánh'!$A$6:$A$505,0)),IF(AND($I2955="Công việc",OR($E2955="Hoàn thành",$E2955="Hoàn thành kỳ")),IF(INDEX('Kế hoạch'!$B$6:$B$305,$O2955)="Đột xuất",INDEX('Kế hoạch'!$AY$6:$AY$305,$O2955),IF(N($P2955)=0,"",IF(INT($B2955)&lt;$P2955,$P2955,IF($Q2955&gt;0,$P2955+ROUND((INT($B2955)-$P2955)/$Q2955,0)*$Q2955,IF($R2955&gt;0,EDATE($P2955,ROUND((DATEDIF($P2955,INT($B2955),"m")+(INT($B2955)-EDATE($P2955,DATEDIF($P2955,INT($B2955),"m")))/(EDATE($P2955,DATEDIF($P2955,INT($B2955),"m")+1)-EDATE($P2955,DATEDIF($P2955,INT($B2955),"m"))))/$R2955,0)*$R2955),$P2955))))),"")))</f>
      </c>
      <c r="M2955" s="223">
        <f>IF(OR($C2955="",N($L2955)=0,N($B2955)=0),"",IF(IF(MOD($L2955,1)=0,INT($B2955),$B2955)&lt;=$L2955,"Đúng hạn","Trễ hạn"))</f>
      </c>
      <c r="N2955" s="225">
        <f>IF($C2955="","",ROW())</f>
      </c>
      <c r="O2955" s="225">
        <f>IF($I2955="Công việc",MATCH($C2955,'Kế hoạch'!$A$6:$A$305,0),"")</f>
      </c>
      <c r="P2955" s="234">
        <f>IF($O2955="","",INDEX('Kế hoạch'!$I$6:$I$305,$O2955))</f>
      </c>
      <c r="Q2955" s="225">
        <f>IF($O2955="","",INDEX('Kế hoạch'!$AJ$6:$AJ$305,$O2955))</f>
      </c>
      <c r="R2955" s="225">
        <f>IF($O2955="","",INDEX('Kế hoạch'!$AK$6:$AK$305,$O2955))</f>
      </c>
    </row>
    <row r="2956">
      <c r="A2956" s="223">
        <f>IF($C2956="","",COUNTIF($C$6:$C2956,"?*"))</f>
      </c>
      <c r="B2956" s="217"/>
      <c r="C2956" s="216"/>
      <c r="D2956" s="240"/>
      <c r="E2956" s="218"/>
      <c r="F2956" s="218"/>
      <c r="G2956" s="218"/>
      <c r="H2956" s="219"/>
      <c r="I2956" s="223">
        <f>IF($C2956="","",IF(ISNUMBER(MATCH($C2956,'Phản ánh'!$A$6:$A$505,0)),"Phản ánh",IF(ISNUMBER(MATCH($C2956,'Kế hoạch'!$A$6:$A$305,0)),"Công việc","Mã chưa có")))</f>
      </c>
      <c r="J2956" s="221">
        <f>IF($I2956="Phản ánh",INDEX('Phản ánh'!$C$6:$C$505,MATCH($C2956,'Phản ánh'!$A$6:$A$505,0)),IF($I2956="Công việc",INDEX('Kế hoạch'!$C$6:$C$305,$O2956),""))</f>
      </c>
      <c r="K2956" s="221">
        <f>IF($I2956="Phản ánh",INDEX('Phản ánh'!$K$6:$K$505,MATCH($C2956,'Phản ánh'!$A$6:$A$505,0))&amp;"",IF($I2956="Công việc",INDEX('Kế hoạch'!$N$6:$N$305,$O2956)&amp;"",""))</f>
      </c>
      <c r="L2956" s="220">
        <f>IF(OR($C2956="",N($B2956)=0),"",IF(AND($I2956="Phản ánh",$E2956="Đã xử lý"),INDEX('Phản ánh'!$U$6:$U$505,MATCH($C2956,'Phản ánh'!$A$6:$A$505,0)),IF(AND($I2956="Công việc",OR($E2956="Hoàn thành",$E2956="Hoàn thành kỳ")),IF(INDEX('Kế hoạch'!$B$6:$B$305,$O2956)="Đột xuất",INDEX('Kế hoạch'!$AY$6:$AY$305,$O2956),IF(N($P2956)=0,"",IF(INT($B2956)&lt;$P2956,$P2956,IF($Q2956&gt;0,$P2956+ROUND((INT($B2956)-$P2956)/$Q2956,0)*$Q2956,IF($R2956&gt;0,EDATE($P2956,ROUND((DATEDIF($P2956,INT($B2956),"m")+(INT($B2956)-EDATE($P2956,DATEDIF($P2956,INT($B2956),"m")))/(EDATE($P2956,DATEDIF($P2956,INT($B2956),"m")+1)-EDATE($P2956,DATEDIF($P2956,INT($B2956),"m"))))/$R2956,0)*$R2956),$P2956))))),"")))</f>
      </c>
      <c r="M2956" s="223">
        <f>IF(OR($C2956="",N($L2956)=0,N($B2956)=0),"",IF(IF(MOD($L2956,1)=0,INT($B2956),$B2956)&lt;=$L2956,"Đúng hạn","Trễ hạn"))</f>
      </c>
      <c r="N2956" s="225">
        <f>IF($C2956="","",ROW())</f>
      </c>
      <c r="O2956" s="225">
        <f>IF($I2956="Công việc",MATCH($C2956,'Kế hoạch'!$A$6:$A$305,0),"")</f>
      </c>
      <c r="P2956" s="234">
        <f>IF($O2956="","",INDEX('Kế hoạch'!$I$6:$I$305,$O2956))</f>
      </c>
      <c r="Q2956" s="225">
        <f>IF($O2956="","",INDEX('Kế hoạch'!$AJ$6:$AJ$305,$O2956))</f>
      </c>
      <c r="R2956" s="225">
        <f>IF($O2956="","",INDEX('Kế hoạch'!$AK$6:$AK$305,$O2956))</f>
      </c>
    </row>
    <row r="2957">
      <c r="A2957" s="223">
        <f>IF($C2957="","",COUNTIF($C$6:$C2957,"?*"))</f>
      </c>
      <c r="B2957" s="217"/>
      <c r="C2957" s="216"/>
      <c r="D2957" s="240"/>
      <c r="E2957" s="218"/>
      <c r="F2957" s="218"/>
      <c r="G2957" s="218"/>
      <c r="H2957" s="219"/>
      <c r="I2957" s="223">
        <f>IF($C2957="","",IF(ISNUMBER(MATCH($C2957,'Phản ánh'!$A$6:$A$505,0)),"Phản ánh",IF(ISNUMBER(MATCH($C2957,'Kế hoạch'!$A$6:$A$305,0)),"Công việc","Mã chưa có")))</f>
      </c>
      <c r="J2957" s="221">
        <f>IF($I2957="Phản ánh",INDEX('Phản ánh'!$C$6:$C$505,MATCH($C2957,'Phản ánh'!$A$6:$A$505,0)),IF($I2957="Công việc",INDEX('Kế hoạch'!$C$6:$C$305,$O2957),""))</f>
      </c>
      <c r="K2957" s="221">
        <f>IF($I2957="Phản ánh",INDEX('Phản ánh'!$K$6:$K$505,MATCH($C2957,'Phản ánh'!$A$6:$A$505,0))&amp;"",IF($I2957="Công việc",INDEX('Kế hoạch'!$N$6:$N$305,$O2957)&amp;"",""))</f>
      </c>
      <c r="L2957" s="220">
        <f>IF(OR($C2957="",N($B2957)=0),"",IF(AND($I2957="Phản ánh",$E2957="Đã xử lý"),INDEX('Phản ánh'!$U$6:$U$505,MATCH($C2957,'Phản ánh'!$A$6:$A$505,0)),IF(AND($I2957="Công việc",OR($E2957="Hoàn thành",$E2957="Hoàn thành kỳ")),IF(INDEX('Kế hoạch'!$B$6:$B$305,$O2957)="Đột xuất",INDEX('Kế hoạch'!$AY$6:$AY$305,$O2957),IF(N($P2957)=0,"",IF(INT($B2957)&lt;$P2957,$P2957,IF($Q2957&gt;0,$P2957+ROUND((INT($B2957)-$P2957)/$Q2957,0)*$Q2957,IF($R2957&gt;0,EDATE($P2957,ROUND((DATEDIF($P2957,INT($B2957),"m")+(INT($B2957)-EDATE($P2957,DATEDIF($P2957,INT($B2957),"m")))/(EDATE($P2957,DATEDIF($P2957,INT($B2957),"m")+1)-EDATE($P2957,DATEDIF($P2957,INT($B2957),"m"))))/$R2957,0)*$R2957),$P2957))))),"")))</f>
      </c>
      <c r="M2957" s="223">
        <f>IF(OR($C2957="",N($L2957)=0,N($B2957)=0),"",IF(IF(MOD($L2957,1)=0,INT($B2957),$B2957)&lt;=$L2957,"Đúng hạn","Trễ hạn"))</f>
      </c>
      <c r="N2957" s="225">
        <f>IF($C2957="","",ROW())</f>
      </c>
      <c r="O2957" s="225">
        <f>IF($I2957="Công việc",MATCH($C2957,'Kế hoạch'!$A$6:$A$305,0),"")</f>
      </c>
      <c r="P2957" s="234">
        <f>IF($O2957="","",INDEX('Kế hoạch'!$I$6:$I$305,$O2957))</f>
      </c>
      <c r="Q2957" s="225">
        <f>IF($O2957="","",INDEX('Kế hoạch'!$AJ$6:$AJ$305,$O2957))</f>
      </c>
      <c r="R2957" s="225">
        <f>IF($O2957="","",INDEX('Kế hoạch'!$AK$6:$AK$305,$O2957))</f>
      </c>
    </row>
    <row r="2958">
      <c r="A2958" s="223">
        <f>IF($C2958="","",COUNTIF($C$6:$C2958,"?*"))</f>
      </c>
      <c r="B2958" s="217"/>
      <c r="C2958" s="216"/>
      <c r="D2958" s="240"/>
      <c r="E2958" s="218"/>
      <c r="F2958" s="218"/>
      <c r="G2958" s="218"/>
      <c r="H2958" s="219"/>
      <c r="I2958" s="223">
        <f>IF($C2958="","",IF(ISNUMBER(MATCH($C2958,'Phản ánh'!$A$6:$A$505,0)),"Phản ánh",IF(ISNUMBER(MATCH($C2958,'Kế hoạch'!$A$6:$A$305,0)),"Công việc","Mã chưa có")))</f>
      </c>
      <c r="J2958" s="221">
        <f>IF($I2958="Phản ánh",INDEX('Phản ánh'!$C$6:$C$505,MATCH($C2958,'Phản ánh'!$A$6:$A$505,0)),IF($I2958="Công việc",INDEX('Kế hoạch'!$C$6:$C$305,$O2958),""))</f>
      </c>
      <c r="K2958" s="221">
        <f>IF($I2958="Phản ánh",INDEX('Phản ánh'!$K$6:$K$505,MATCH($C2958,'Phản ánh'!$A$6:$A$505,0))&amp;"",IF($I2958="Công việc",INDEX('Kế hoạch'!$N$6:$N$305,$O2958)&amp;"",""))</f>
      </c>
      <c r="L2958" s="220">
        <f>IF(OR($C2958="",N($B2958)=0),"",IF(AND($I2958="Phản ánh",$E2958="Đã xử lý"),INDEX('Phản ánh'!$U$6:$U$505,MATCH($C2958,'Phản ánh'!$A$6:$A$505,0)),IF(AND($I2958="Công việc",OR($E2958="Hoàn thành",$E2958="Hoàn thành kỳ")),IF(INDEX('Kế hoạch'!$B$6:$B$305,$O2958)="Đột xuất",INDEX('Kế hoạch'!$AY$6:$AY$305,$O2958),IF(N($P2958)=0,"",IF(INT($B2958)&lt;$P2958,$P2958,IF($Q2958&gt;0,$P2958+ROUND((INT($B2958)-$P2958)/$Q2958,0)*$Q2958,IF($R2958&gt;0,EDATE($P2958,ROUND((DATEDIF($P2958,INT($B2958),"m")+(INT($B2958)-EDATE($P2958,DATEDIF($P2958,INT($B2958),"m")))/(EDATE($P2958,DATEDIF($P2958,INT($B2958),"m")+1)-EDATE($P2958,DATEDIF($P2958,INT($B2958),"m"))))/$R2958,0)*$R2958),$P2958))))),"")))</f>
      </c>
      <c r="M2958" s="223">
        <f>IF(OR($C2958="",N($L2958)=0,N($B2958)=0),"",IF(IF(MOD($L2958,1)=0,INT($B2958),$B2958)&lt;=$L2958,"Đúng hạn","Trễ hạn"))</f>
      </c>
      <c r="N2958" s="225">
        <f>IF($C2958="","",ROW())</f>
      </c>
      <c r="O2958" s="225">
        <f>IF($I2958="Công việc",MATCH($C2958,'Kế hoạch'!$A$6:$A$305,0),"")</f>
      </c>
      <c r="P2958" s="234">
        <f>IF($O2958="","",INDEX('Kế hoạch'!$I$6:$I$305,$O2958))</f>
      </c>
      <c r="Q2958" s="225">
        <f>IF($O2958="","",INDEX('Kế hoạch'!$AJ$6:$AJ$305,$O2958))</f>
      </c>
      <c r="R2958" s="225">
        <f>IF($O2958="","",INDEX('Kế hoạch'!$AK$6:$AK$305,$O2958))</f>
      </c>
    </row>
    <row r="2959">
      <c r="A2959" s="223">
        <f>IF($C2959="","",COUNTIF($C$6:$C2959,"?*"))</f>
      </c>
      <c r="B2959" s="217"/>
      <c r="C2959" s="216"/>
      <c r="D2959" s="240"/>
      <c r="E2959" s="218"/>
      <c r="F2959" s="218"/>
      <c r="G2959" s="218"/>
      <c r="H2959" s="219"/>
      <c r="I2959" s="223">
        <f>IF($C2959="","",IF(ISNUMBER(MATCH($C2959,'Phản ánh'!$A$6:$A$505,0)),"Phản ánh",IF(ISNUMBER(MATCH($C2959,'Kế hoạch'!$A$6:$A$305,0)),"Công việc","Mã chưa có")))</f>
      </c>
      <c r="J2959" s="221">
        <f>IF($I2959="Phản ánh",INDEX('Phản ánh'!$C$6:$C$505,MATCH($C2959,'Phản ánh'!$A$6:$A$505,0)),IF($I2959="Công việc",INDEX('Kế hoạch'!$C$6:$C$305,$O2959),""))</f>
      </c>
      <c r="K2959" s="221">
        <f>IF($I2959="Phản ánh",INDEX('Phản ánh'!$K$6:$K$505,MATCH($C2959,'Phản ánh'!$A$6:$A$505,0))&amp;"",IF($I2959="Công việc",INDEX('Kế hoạch'!$N$6:$N$305,$O2959)&amp;"",""))</f>
      </c>
      <c r="L2959" s="220">
        <f>IF(OR($C2959="",N($B2959)=0),"",IF(AND($I2959="Phản ánh",$E2959="Đã xử lý"),INDEX('Phản ánh'!$U$6:$U$505,MATCH($C2959,'Phản ánh'!$A$6:$A$505,0)),IF(AND($I2959="Công việc",OR($E2959="Hoàn thành",$E2959="Hoàn thành kỳ")),IF(INDEX('Kế hoạch'!$B$6:$B$305,$O2959)="Đột xuất",INDEX('Kế hoạch'!$AY$6:$AY$305,$O2959),IF(N($P2959)=0,"",IF(INT($B2959)&lt;$P2959,$P2959,IF($Q2959&gt;0,$P2959+ROUND((INT($B2959)-$P2959)/$Q2959,0)*$Q2959,IF($R2959&gt;0,EDATE($P2959,ROUND((DATEDIF($P2959,INT($B2959),"m")+(INT($B2959)-EDATE($P2959,DATEDIF($P2959,INT($B2959),"m")))/(EDATE($P2959,DATEDIF($P2959,INT($B2959),"m")+1)-EDATE($P2959,DATEDIF($P2959,INT($B2959),"m"))))/$R2959,0)*$R2959),$P2959))))),"")))</f>
      </c>
      <c r="M2959" s="223">
        <f>IF(OR($C2959="",N($L2959)=0,N($B2959)=0),"",IF(IF(MOD($L2959,1)=0,INT($B2959),$B2959)&lt;=$L2959,"Đúng hạn","Trễ hạn"))</f>
      </c>
      <c r="N2959" s="225">
        <f>IF($C2959="","",ROW())</f>
      </c>
      <c r="O2959" s="225">
        <f>IF($I2959="Công việc",MATCH($C2959,'Kế hoạch'!$A$6:$A$305,0),"")</f>
      </c>
      <c r="P2959" s="234">
        <f>IF($O2959="","",INDEX('Kế hoạch'!$I$6:$I$305,$O2959))</f>
      </c>
      <c r="Q2959" s="225">
        <f>IF($O2959="","",INDEX('Kế hoạch'!$AJ$6:$AJ$305,$O2959))</f>
      </c>
      <c r="R2959" s="225">
        <f>IF($O2959="","",INDEX('Kế hoạch'!$AK$6:$AK$305,$O2959))</f>
      </c>
    </row>
    <row r="2960">
      <c r="A2960" s="223">
        <f>IF($C2960="","",COUNTIF($C$6:$C2960,"?*"))</f>
      </c>
      <c r="B2960" s="217"/>
      <c r="C2960" s="216"/>
      <c r="D2960" s="240"/>
      <c r="E2960" s="218"/>
      <c r="F2960" s="218"/>
      <c r="G2960" s="218"/>
      <c r="H2960" s="219"/>
      <c r="I2960" s="223">
        <f>IF($C2960="","",IF(ISNUMBER(MATCH($C2960,'Phản ánh'!$A$6:$A$505,0)),"Phản ánh",IF(ISNUMBER(MATCH($C2960,'Kế hoạch'!$A$6:$A$305,0)),"Công việc","Mã chưa có")))</f>
      </c>
      <c r="J2960" s="221">
        <f>IF($I2960="Phản ánh",INDEX('Phản ánh'!$C$6:$C$505,MATCH($C2960,'Phản ánh'!$A$6:$A$505,0)),IF($I2960="Công việc",INDEX('Kế hoạch'!$C$6:$C$305,$O2960),""))</f>
      </c>
      <c r="K2960" s="221">
        <f>IF($I2960="Phản ánh",INDEX('Phản ánh'!$K$6:$K$505,MATCH($C2960,'Phản ánh'!$A$6:$A$505,0))&amp;"",IF($I2960="Công việc",INDEX('Kế hoạch'!$N$6:$N$305,$O2960)&amp;"",""))</f>
      </c>
      <c r="L2960" s="220">
        <f>IF(OR($C2960="",N($B2960)=0),"",IF(AND($I2960="Phản ánh",$E2960="Đã xử lý"),INDEX('Phản ánh'!$U$6:$U$505,MATCH($C2960,'Phản ánh'!$A$6:$A$505,0)),IF(AND($I2960="Công việc",OR($E2960="Hoàn thành",$E2960="Hoàn thành kỳ")),IF(INDEX('Kế hoạch'!$B$6:$B$305,$O2960)="Đột xuất",INDEX('Kế hoạch'!$AY$6:$AY$305,$O2960),IF(N($P2960)=0,"",IF(INT($B2960)&lt;$P2960,$P2960,IF($Q2960&gt;0,$P2960+ROUND((INT($B2960)-$P2960)/$Q2960,0)*$Q2960,IF($R2960&gt;0,EDATE($P2960,ROUND((DATEDIF($P2960,INT($B2960),"m")+(INT($B2960)-EDATE($P2960,DATEDIF($P2960,INT($B2960),"m")))/(EDATE($P2960,DATEDIF($P2960,INT($B2960),"m")+1)-EDATE($P2960,DATEDIF($P2960,INT($B2960),"m"))))/$R2960,0)*$R2960),$P2960))))),"")))</f>
      </c>
      <c r="M2960" s="223">
        <f>IF(OR($C2960="",N($L2960)=0,N($B2960)=0),"",IF(IF(MOD($L2960,1)=0,INT($B2960),$B2960)&lt;=$L2960,"Đúng hạn","Trễ hạn"))</f>
      </c>
      <c r="N2960" s="225">
        <f>IF($C2960="","",ROW())</f>
      </c>
      <c r="O2960" s="225">
        <f>IF($I2960="Công việc",MATCH($C2960,'Kế hoạch'!$A$6:$A$305,0),"")</f>
      </c>
      <c r="P2960" s="234">
        <f>IF($O2960="","",INDEX('Kế hoạch'!$I$6:$I$305,$O2960))</f>
      </c>
      <c r="Q2960" s="225">
        <f>IF($O2960="","",INDEX('Kế hoạch'!$AJ$6:$AJ$305,$O2960))</f>
      </c>
      <c r="R2960" s="225">
        <f>IF($O2960="","",INDEX('Kế hoạch'!$AK$6:$AK$305,$O2960))</f>
      </c>
    </row>
    <row r="2961">
      <c r="A2961" s="223">
        <f>IF($C2961="","",COUNTIF($C$6:$C2961,"?*"))</f>
      </c>
      <c r="B2961" s="217"/>
      <c r="C2961" s="216"/>
      <c r="D2961" s="240"/>
      <c r="E2961" s="218"/>
      <c r="F2961" s="218"/>
      <c r="G2961" s="218"/>
      <c r="H2961" s="219"/>
      <c r="I2961" s="223">
        <f>IF($C2961="","",IF(ISNUMBER(MATCH($C2961,'Phản ánh'!$A$6:$A$505,0)),"Phản ánh",IF(ISNUMBER(MATCH($C2961,'Kế hoạch'!$A$6:$A$305,0)),"Công việc","Mã chưa có")))</f>
      </c>
      <c r="J2961" s="221">
        <f>IF($I2961="Phản ánh",INDEX('Phản ánh'!$C$6:$C$505,MATCH($C2961,'Phản ánh'!$A$6:$A$505,0)),IF($I2961="Công việc",INDEX('Kế hoạch'!$C$6:$C$305,$O2961),""))</f>
      </c>
      <c r="K2961" s="221">
        <f>IF($I2961="Phản ánh",INDEX('Phản ánh'!$K$6:$K$505,MATCH($C2961,'Phản ánh'!$A$6:$A$505,0))&amp;"",IF($I2961="Công việc",INDEX('Kế hoạch'!$N$6:$N$305,$O2961)&amp;"",""))</f>
      </c>
      <c r="L2961" s="220">
        <f>IF(OR($C2961="",N($B2961)=0),"",IF(AND($I2961="Phản ánh",$E2961="Đã xử lý"),INDEX('Phản ánh'!$U$6:$U$505,MATCH($C2961,'Phản ánh'!$A$6:$A$505,0)),IF(AND($I2961="Công việc",OR($E2961="Hoàn thành",$E2961="Hoàn thành kỳ")),IF(INDEX('Kế hoạch'!$B$6:$B$305,$O2961)="Đột xuất",INDEX('Kế hoạch'!$AY$6:$AY$305,$O2961),IF(N($P2961)=0,"",IF(INT($B2961)&lt;$P2961,$P2961,IF($Q2961&gt;0,$P2961+ROUND((INT($B2961)-$P2961)/$Q2961,0)*$Q2961,IF($R2961&gt;0,EDATE($P2961,ROUND((DATEDIF($P2961,INT($B2961),"m")+(INT($B2961)-EDATE($P2961,DATEDIF($P2961,INT($B2961),"m")))/(EDATE($P2961,DATEDIF($P2961,INT($B2961),"m")+1)-EDATE($P2961,DATEDIF($P2961,INT($B2961),"m"))))/$R2961,0)*$R2961),$P2961))))),"")))</f>
      </c>
      <c r="M2961" s="223">
        <f>IF(OR($C2961="",N($L2961)=0,N($B2961)=0),"",IF(IF(MOD($L2961,1)=0,INT($B2961),$B2961)&lt;=$L2961,"Đúng hạn","Trễ hạn"))</f>
      </c>
      <c r="N2961" s="225">
        <f>IF($C2961="","",ROW())</f>
      </c>
      <c r="O2961" s="225">
        <f>IF($I2961="Công việc",MATCH($C2961,'Kế hoạch'!$A$6:$A$305,0),"")</f>
      </c>
      <c r="P2961" s="234">
        <f>IF($O2961="","",INDEX('Kế hoạch'!$I$6:$I$305,$O2961))</f>
      </c>
      <c r="Q2961" s="225">
        <f>IF($O2961="","",INDEX('Kế hoạch'!$AJ$6:$AJ$305,$O2961))</f>
      </c>
      <c r="R2961" s="225">
        <f>IF($O2961="","",INDEX('Kế hoạch'!$AK$6:$AK$305,$O2961))</f>
      </c>
    </row>
    <row r="2962">
      <c r="A2962" s="223">
        <f>IF($C2962="","",COUNTIF($C$6:$C2962,"?*"))</f>
      </c>
      <c r="B2962" s="217"/>
      <c r="C2962" s="216"/>
      <c r="D2962" s="240"/>
      <c r="E2962" s="218"/>
      <c r="F2962" s="218"/>
      <c r="G2962" s="218"/>
      <c r="H2962" s="219"/>
      <c r="I2962" s="223">
        <f>IF($C2962="","",IF(ISNUMBER(MATCH($C2962,'Phản ánh'!$A$6:$A$505,0)),"Phản ánh",IF(ISNUMBER(MATCH($C2962,'Kế hoạch'!$A$6:$A$305,0)),"Công việc","Mã chưa có")))</f>
      </c>
      <c r="J2962" s="221">
        <f>IF($I2962="Phản ánh",INDEX('Phản ánh'!$C$6:$C$505,MATCH($C2962,'Phản ánh'!$A$6:$A$505,0)),IF($I2962="Công việc",INDEX('Kế hoạch'!$C$6:$C$305,$O2962),""))</f>
      </c>
      <c r="K2962" s="221">
        <f>IF($I2962="Phản ánh",INDEX('Phản ánh'!$K$6:$K$505,MATCH($C2962,'Phản ánh'!$A$6:$A$505,0))&amp;"",IF($I2962="Công việc",INDEX('Kế hoạch'!$N$6:$N$305,$O2962)&amp;"",""))</f>
      </c>
      <c r="L2962" s="220">
        <f>IF(OR($C2962="",N($B2962)=0),"",IF(AND($I2962="Phản ánh",$E2962="Đã xử lý"),INDEX('Phản ánh'!$U$6:$U$505,MATCH($C2962,'Phản ánh'!$A$6:$A$505,0)),IF(AND($I2962="Công việc",OR($E2962="Hoàn thành",$E2962="Hoàn thành kỳ")),IF(INDEX('Kế hoạch'!$B$6:$B$305,$O2962)="Đột xuất",INDEX('Kế hoạch'!$AY$6:$AY$305,$O2962),IF(N($P2962)=0,"",IF(INT($B2962)&lt;$P2962,$P2962,IF($Q2962&gt;0,$P2962+ROUND((INT($B2962)-$P2962)/$Q2962,0)*$Q2962,IF($R2962&gt;0,EDATE($P2962,ROUND((DATEDIF($P2962,INT($B2962),"m")+(INT($B2962)-EDATE($P2962,DATEDIF($P2962,INT($B2962),"m")))/(EDATE($P2962,DATEDIF($P2962,INT($B2962),"m")+1)-EDATE($P2962,DATEDIF($P2962,INT($B2962),"m"))))/$R2962,0)*$R2962),$P2962))))),"")))</f>
      </c>
      <c r="M2962" s="223">
        <f>IF(OR($C2962="",N($L2962)=0,N($B2962)=0),"",IF(IF(MOD($L2962,1)=0,INT($B2962),$B2962)&lt;=$L2962,"Đúng hạn","Trễ hạn"))</f>
      </c>
      <c r="N2962" s="225">
        <f>IF($C2962="","",ROW())</f>
      </c>
      <c r="O2962" s="225">
        <f>IF($I2962="Công việc",MATCH($C2962,'Kế hoạch'!$A$6:$A$305,0),"")</f>
      </c>
      <c r="P2962" s="234">
        <f>IF($O2962="","",INDEX('Kế hoạch'!$I$6:$I$305,$O2962))</f>
      </c>
      <c r="Q2962" s="225">
        <f>IF($O2962="","",INDEX('Kế hoạch'!$AJ$6:$AJ$305,$O2962))</f>
      </c>
      <c r="R2962" s="225">
        <f>IF($O2962="","",INDEX('Kế hoạch'!$AK$6:$AK$305,$O2962))</f>
      </c>
    </row>
    <row r="2963">
      <c r="A2963" s="223">
        <f>IF($C2963="","",COUNTIF($C$6:$C2963,"?*"))</f>
      </c>
      <c r="B2963" s="217"/>
      <c r="C2963" s="216"/>
      <c r="D2963" s="240"/>
      <c r="E2963" s="218"/>
      <c r="F2963" s="218"/>
      <c r="G2963" s="218"/>
      <c r="H2963" s="219"/>
      <c r="I2963" s="223">
        <f>IF($C2963="","",IF(ISNUMBER(MATCH($C2963,'Phản ánh'!$A$6:$A$505,0)),"Phản ánh",IF(ISNUMBER(MATCH($C2963,'Kế hoạch'!$A$6:$A$305,0)),"Công việc","Mã chưa có")))</f>
      </c>
      <c r="J2963" s="221">
        <f>IF($I2963="Phản ánh",INDEX('Phản ánh'!$C$6:$C$505,MATCH($C2963,'Phản ánh'!$A$6:$A$505,0)),IF($I2963="Công việc",INDEX('Kế hoạch'!$C$6:$C$305,$O2963),""))</f>
      </c>
      <c r="K2963" s="221">
        <f>IF($I2963="Phản ánh",INDEX('Phản ánh'!$K$6:$K$505,MATCH($C2963,'Phản ánh'!$A$6:$A$505,0))&amp;"",IF($I2963="Công việc",INDEX('Kế hoạch'!$N$6:$N$305,$O2963)&amp;"",""))</f>
      </c>
      <c r="L2963" s="220">
        <f>IF(OR($C2963="",N($B2963)=0),"",IF(AND($I2963="Phản ánh",$E2963="Đã xử lý"),INDEX('Phản ánh'!$U$6:$U$505,MATCH($C2963,'Phản ánh'!$A$6:$A$505,0)),IF(AND($I2963="Công việc",OR($E2963="Hoàn thành",$E2963="Hoàn thành kỳ")),IF(INDEX('Kế hoạch'!$B$6:$B$305,$O2963)="Đột xuất",INDEX('Kế hoạch'!$AY$6:$AY$305,$O2963),IF(N($P2963)=0,"",IF(INT($B2963)&lt;$P2963,$P2963,IF($Q2963&gt;0,$P2963+ROUND((INT($B2963)-$P2963)/$Q2963,0)*$Q2963,IF($R2963&gt;0,EDATE($P2963,ROUND((DATEDIF($P2963,INT($B2963),"m")+(INT($B2963)-EDATE($P2963,DATEDIF($P2963,INT($B2963),"m")))/(EDATE($P2963,DATEDIF($P2963,INT($B2963),"m")+1)-EDATE($P2963,DATEDIF($P2963,INT($B2963),"m"))))/$R2963,0)*$R2963),$P2963))))),"")))</f>
      </c>
      <c r="M2963" s="223">
        <f>IF(OR($C2963="",N($L2963)=0,N($B2963)=0),"",IF(IF(MOD($L2963,1)=0,INT($B2963),$B2963)&lt;=$L2963,"Đúng hạn","Trễ hạn"))</f>
      </c>
      <c r="N2963" s="225">
        <f>IF($C2963="","",ROW())</f>
      </c>
      <c r="O2963" s="225">
        <f>IF($I2963="Công việc",MATCH($C2963,'Kế hoạch'!$A$6:$A$305,0),"")</f>
      </c>
      <c r="P2963" s="234">
        <f>IF($O2963="","",INDEX('Kế hoạch'!$I$6:$I$305,$O2963))</f>
      </c>
      <c r="Q2963" s="225">
        <f>IF($O2963="","",INDEX('Kế hoạch'!$AJ$6:$AJ$305,$O2963))</f>
      </c>
      <c r="R2963" s="225">
        <f>IF($O2963="","",INDEX('Kế hoạch'!$AK$6:$AK$305,$O2963))</f>
      </c>
    </row>
    <row r="2964">
      <c r="A2964" s="223">
        <f>IF($C2964="","",COUNTIF($C$6:$C2964,"?*"))</f>
      </c>
      <c r="B2964" s="217"/>
      <c r="C2964" s="216"/>
      <c r="D2964" s="240"/>
      <c r="E2964" s="218"/>
      <c r="F2964" s="218"/>
      <c r="G2964" s="218"/>
      <c r="H2964" s="219"/>
      <c r="I2964" s="223">
        <f>IF($C2964="","",IF(ISNUMBER(MATCH($C2964,'Phản ánh'!$A$6:$A$505,0)),"Phản ánh",IF(ISNUMBER(MATCH($C2964,'Kế hoạch'!$A$6:$A$305,0)),"Công việc","Mã chưa có")))</f>
      </c>
      <c r="J2964" s="221">
        <f>IF($I2964="Phản ánh",INDEX('Phản ánh'!$C$6:$C$505,MATCH($C2964,'Phản ánh'!$A$6:$A$505,0)),IF($I2964="Công việc",INDEX('Kế hoạch'!$C$6:$C$305,$O2964),""))</f>
      </c>
      <c r="K2964" s="221">
        <f>IF($I2964="Phản ánh",INDEX('Phản ánh'!$K$6:$K$505,MATCH($C2964,'Phản ánh'!$A$6:$A$505,0))&amp;"",IF($I2964="Công việc",INDEX('Kế hoạch'!$N$6:$N$305,$O2964)&amp;"",""))</f>
      </c>
      <c r="L2964" s="220">
        <f>IF(OR($C2964="",N($B2964)=0),"",IF(AND($I2964="Phản ánh",$E2964="Đã xử lý"),INDEX('Phản ánh'!$U$6:$U$505,MATCH($C2964,'Phản ánh'!$A$6:$A$505,0)),IF(AND($I2964="Công việc",OR($E2964="Hoàn thành",$E2964="Hoàn thành kỳ")),IF(INDEX('Kế hoạch'!$B$6:$B$305,$O2964)="Đột xuất",INDEX('Kế hoạch'!$AY$6:$AY$305,$O2964),IF(N($P2964)=0,"",IF(INT($B2964)&lt;$P2964,$P2964,IF($Q2964&gt;0,$P2964+ROUND((INT($B2964)-$P2964)/$Q2964,0)*$Q2964,IF($R2964&gt;0,EDATE($P2964,ROUND((DATEDIF($P2964,INT($B2964),"m")+(INT($B2964)-EDATE($P2964,DATEDIF($P2964,INT($B2964),"m")))/(EDATE($P2964,DATEDIF($P2964,INT($B2964),"m")+1)-EDATE($P2964,DATEDIF($P2964,INT($B2964),"m"))))/$R2964,0)*$R2964),$P2964))))),"")))</f>
      </c>
      <c r="M2964" s="223">
        <f>IF(OR($C2964="",N($L2964)=0,N($B2964)=0),"",IF(IF(MOD($L2964,1)=0,INT($B2964),$B2964)&lt;=$L2964,"Đúng hạn","Trễ hạn"))</f>
      </c>
      <c r="N2964" s="225">
        <f>IF($C2964="","",ROW())</f>
      </c>
      <c r="O2964" s="225">
        <f>IF($I2964="Công việc",MATCH($C2964,'Kế hoạch'!$A$6:$A$305,0),"")</f>
      </c>
      <c r="P2964" s="234">
        <f>IF($O2964="","",INDEX('Kế hoạch'!$I$6:$I$305,$O2964))</f>
      </c>
      <c r="Q2964" s="225">
        <f>IF($O2964="","",INDEX('Kế hoạch'!$AJ$6:$AJ$305,$O2964))</f>
      </c>
      <c r="R2964" s="225">
        <f>IF($O2964="","",INDEX('Kế hoạch'!$AK$6:$AK$305,$O2964))</f>
      </c>
    </row>
    <row r="2965">
      <c r="A2965" s="223">
        <f>IF($C2965="","",COUNTIF($C$6:$C2965,"?*"))</f>
      </c>
      <c r="B2965" s="217"/>
      <c r="C2965" s="216"/>
      <c r="D2965" s="240"/>
      <c r="E2965" s="218"/>
      <c r="F2965" s="218"/>
      <c r="G2965" s="218"/>
      <c r="H2965" s="219"/>
      <c r="I2965" s="223">
        <f>IF($C2965="","",IF(ISNUMBER(MATCH($C2965,'Phản ánh'!$A$6:$A$505,0)),"Phản ánh",IF(ISNUMBER(MATCH($C2965,'Kế hoạch'!$A$6:$A$305,0)),"Công việc","Mã chưa có")))</f>
      </c>
      <c r="J2965" s="221">
        <f>IF($I2965="Phản ánh",INDEX('Phản ánh'!$C$6:$C$505,MATCH($C2965,'Phản ánh'!$A$6:$A$505,0)),IF($I2965="Công việc",INDEX('Kế hoạch'!$C$6:$C$305,$O2965),""))</f>
      </c>
      <c r="K2965" s="221">
        <f>IF($I2965="Phản ánh",INDEX('Phản ánh'!$K$6:$K$505,MATCH($C2965,'Phản ánh'!$A$6:$A$505,0))&amp;"",IF($I2965="Công việc",INDEX('Kế hoạch'!$N$6:$N$305,$O2965)&amp;"",""))</f>
      </c>
      <c r="L2965" s="220">
        <f>IF(OR($C2965="",N($B2965)=0),"",IF(AND($I2965="Phản ánh",$E2965="Đã xử lý"),INDEX('Phản ánh'!$U$6:$U$505,MATCH($C2965,'Phản ánh'!$A$6:$A$505,0)),IF(AND($I2965="Công việc",OR($E2965="Hoàn thành",$E2965="Hoàn thành kỳ")),IF(INDEX('Kế hoạch'!$B$6:$B$305,$O2965)="Đột xuất",INDEX('Kế hoạch'!$AY$6:$AY$305,$O2965),IF(N($P2965)=0,"",IF(INT($B2965)&lt;$P2965,$P2965,IF($Q2965&gt;0,$P2965+ROUND((INT($B2965)-$P2965)/$Q2965,0)*$Q2965,IF($R2965&gt;0,EDATE($P2965,ROUND((DATEDIF($P2965,INT($B2965),"m")+(INT($B2965)-EDATE($P2965,DATEDIF($P2965,INT($B2965),"m")))/(EDATE($P2965,DATEDIF($P2965,INT($B2965),"m")+1)-EDATE($P2965,DATEDIF($P2965,INT($B2965),"m"))))/$R2965,0)*$R2965),$P2965))))),"")))</f>
      </c>
      <c r="M2965" s="223">
        <f>IF(OR($C2965="",N($L2965)=0,N($B2965)=0),"",IF(IF(MOD($L2965,1)=0,INT($B2965),$B2965)&lt;=$L2965,"Đúng hạn","Trễ hạn"))</f>
      </c>
      <c r="N2965" s="225">
        <f>IF($C2965="","",ROW())</f>
      </c>
      <c r="O2965" s="225">
        <f>IF($I2965="Công việc",MATCH($C2965,'Kế hoạch'!$A$6:$A$305,0),"")</f>
      </c>
      <c r="P2965" s="234">
        <f>IF($O2965="","",INDEX('Kế hoạch'!$I$6:$I$305,$O2965))</f>
      </c>
      <c r="Q2965" s="225">
        <f>IF($O2965="","",INDEX('Kế hoạch'!$AJ$6:$AJ$305,$O2965))</f>
      </c>
      <c r="R2965" s="225">
        <f>IF($O2965="","",INDEX('Kế hoạch'!$AK$6:$AK$305,$O2965))</f>
      </c>
    </row>
    <row r="2966">
      <c r="A2966" s="223">
        <f>IF($C2966="","",COUNTIF($C$6:$C2966,"?*"))</f>
      </c>
      <c r="B2966" s="217"/>
      <c r="C2966" s="216"/>
      <c r="D2966" s="240"/>
      <c r="E2966" s="218"/>
      <c r="F2966" s="218"/>
      <c r="G2966" s="218"/>
      <c r="H2966" s="219"/>
      <c r="I2966" s="223">
        <f>IF($C2966="","",IF(ISNUMBER(MATCH($C2966,'Phản ánh'!$A$6:$A$505,0)),"Phản ánh",IF(ISNUMBER(MATCH($C2966,'Kế hoạch'!$A$6:$A$305,0)),"Công việc","Mã chưa có")))</f>
      </c>
      <c r="J2966" s="221">
        <f>IF($I2966="Phản ánh",INDEX('Phản ánh'!$C$6:$C$505,MATCH($C2966,'Phản ánh'!$A$6:$A$505,0)),IF($I2966="Công việc",INDEX('Kế hoạch'!$C$6:$C$305,$O2966),""))</f>
      </c>
      <c r="K2966" s="221">
        <f>IF($I2966="Phản ánh",INDEX('Phản ánh'!$K$6:$K$505,MATCH($C2966,'Phản ánh'!$A$6:$A$505,0))&amp;"",IF($I2966="Công việc",INDEX('Kế hoạch'!$N$6:$N$305,$O2966)&amp;"",""))</f>
      </c>
      <c r="L2966" s="220">
        <f>IF(OR($C2966="",N($B2966)=0),"",IF(AND($I2966="Phản ánh",$E2966="Đã xử lý"),INDEX('Phản ánh'!$U$6:$U$505,MATCH($C2966,'Phản ánh'!$A$6:$A$505,0)),IF(AND($I2966="Công việc",OR($E2966="Hoàn thành",$E2966="Hoàn thành kỳ")),IF(INDEX('Kế hoạch'!$B$6:$B$305,$O2966)="Đột xuất",INDEX('Kế hoạch'!$AY$6:$AY$305,$O2966),IF(N($P2966)=0,"",IF(INT($B2966)&lt;$P2966,$P2966,IF($Q2966&gt;0,$P2966+ROUND((INT($B2966)-$P2966)/$Q2966,0)*$Q2966,IF($R2966&gt;0,EDATE($P2966,ROUND((DATEDIF($P2966,INT($B2966),"m")+(INT($B2966)-EDATE($P2966,DATEDIF($P2966,INT($B2966),"m")))/(EDATE($P2966,DATEDIF($P2966,INT($B2966),"m")+1)-EDATE($P2966,DATEDIF($P2966,INT($B2966),"m"))))/$R2966,0)*$R2966),$P2966))))),"")))</f>
      </c>
      <c r="M2966" s="223">
        <f>IF(OR($C2966="",N($L2966)=0,N($B2966)=0),"",IF(IF(MOD($L2966,1)=0,INT($B2966),$B2966)&lt;=$L2966,"Đúng hạn","Trễ hạn"))</f>
      </c>
      <c r="N2966" s="225">
        <f>IF($C2966="","",ROW())</f>
      </c>
      <c r="O2966" s="225">
        <f>IF($I2966="Công việc",MATCH($C2966,'Kế hoạch'!$A$6:$A$305,0),"")</f>
      </c>
      <c r="P2966" s="234">
        <f>IF($O2966="","",INDEX('Kế hoạch'!$I$6:$I$305,$O2966))</f>
      </c>
      <c r="Q2966" s="225">
        <f>IF($O2966="","",INDEX('Kế hoạch'!$AJ$6:$AJ$305,$O2966))</f>
      </c>
      <c r="R2966" s="225">
        <f>IF($O2966="","",INDEX('Kế hoạch'!$AK$6:$AK$305,$O2966))</f>
      </c>
    </row>
    <row r="2967">
      <c r="A2967" s="223">
        <f>IF($C2967="","",COUNTIF($C$6:$C2967,"?*"))</f>
      </c>
      <c r="B2967" s="217"/>
      <c r="C2967" s="216"/>
      <c r="D2967" s="240"/>
      <c r="E2967" s="218"/>
      <c r="F2967" s="218"/>
      <c r="G2967" s="218"/>
      <c r="H2967" s="219"/>
      <c r="I2967" s="223">
        <f>IF($C2967="","",IF(ISNUMBER(MATCH($C2967,'Phản ánh'!$A$6:$A$505,0)),"Phản ánh",IF(ISNUMBER(MATCH($C2967,'Kế hoạch'!$A$6:$A$305,0)),"Công việc","Mã chưa có")))</f>
      </c>
      <c r="J2967" s="221">
        <f>IF($I2967="Phản ánh",INDEX('Phản ánh'!$C$6:$C$505,MATCH($C2967,'Phản ánh'!$A$6:$A$505,0)),IF($I2967="Công việc",INDEX('Kế hoạch'!$C$6:$C$305,$O2967),""))</f>
      </c>
      <c r="K2967" s="221">
        <f>IF($I2967="Phản ánh",INDEX('Phản ánh'!$K$6:$K$505,MATCH($C2967,'Phản ánh'!$A$6:$A$505,0))&amp;"",IF($I2967="Công việc",INDEX('Kế hoạch'!$N$6:$N$305,$O2967)&amp;"",""))</f>
      </c>
      <c r="L2967" s="220">
        <f>IF(OR($C2967="",N($B2967)=0),"",IF(AND($I2967="Phản ánh",$E2967="Đã xử lý"),INDEX('Phản ánh'!$U$6:$U$505,MATCH($C2967,'Phản ánh'!$A$6:$A$505,0)),IF(AND($I2967="Công việc",OR($E2967="Hoàn thành",$E2967="Hoàn thành kỳ")),IF(INDEX('Kế hoạch'!$B$6:$B$305,$O2967)="Đột xuất",INDEX('Kế hoạch'!$AY$6:$AY$305,$O2967),IF(N($P2967)=0,"",IF(INT($B2967)&lt;$P2967,$P2967,IF($Q2967&gt;0,$P2967+ROUND((INT($B2967)-$P2967)/$Q2967,0)*$Q2967,IF($R2967&gt;0,EDATE($P2967,ROUND((DATEDIF($P2967,INT($B2967),"m")+(INT($B2967)-EDATE($P2967,DATEDIF($P2967,INT($B2967),"m")))/(EDATE($P2967,DATEDIF($P2967,INT($B2967),"m")+1)-EDATE($P2967,DATEDIF($P2967,INT($B2967),"m"))))/$R2967,0)*$R2967),$P2967))))),"")))</f>
      </c>
      <c r="M2967" s="223">
        <f>IF(OR($C2967="",N($L2967)=0,N($B2967)=0),"",IF(IF(MOD($L2967,1)=0,INT($B2967),$B2967)&lt;=$L2967,"Đúng hạn","Trễ hạn"))</f>
      </c>
      <c r="N2967" s="225">
        <f>IF($C2967="","",ROW())</f>
      </c>
      <c r="O2967" s="225">
        <f>IF($I2967="Công việc",MATCH($C2967,'Kế hoạch'!$A$6:$A$305,0),"")</f>
      </c>
      <c r="P2967" s="234">
        <f>IF($O2967="","",INDEX('Kế hoạch'!$I$6:$I$305,$O2967))</f>
      </c>
      <c r="Q2967" s="225">
        <f>IF($O2967="","",INDEX('Kế hoạch'!$AJ$6:$AJ$305,$O2967))</f>
      </c>
      <c r="R2967" s="225">
        <f>IF($O2967="","",INDEX('Kế hoạch'!$AK$6:$AK$305,$O2967))</f>
      </c>
    </row>
    <row r="2968">
      <c r="A2968" s="223">
        <f>IF($C2968="","",COUNTIF($C$6:$C2968,"?*"))</f>
      </c>
      <c r="B2968" s="217"/>
      <c r="C2968" s="216"/>
      <c r="D2968" s="240"/>
      <c r="E2968" s="218"/>
      <c r="F2968" s="218"/>
      <c r="G2968" s="218"/>
      <c r="H2968" s="219"/>
      <c r="I2968" s="223">
        <f>IF($C2968="","",IF(ISNUMBER(MATCH($C2968,'Phản ánh'!$A$6:$A$505,0)),"Phản ánh",IF(ISNUMBER(MATCH($C2968,'Kế hoạch'!$A$6:$A$305,0)),"Công việc","Mã chưa có")))</f>
      </c>
      <c r="J2968" s="221">
        <f>IF($I2968="Phản ánh",INDEX('Phản ánh'!$C$6:$C$505,MATCH($C2968,'Phản ánh'!$A$6:$A$505,0)),IF($I2968="Công việc",INDEX('Kế hoạch'!$C$6:$C$305,$O2968),""))</f>
      </c>
      <c r="K2968" s="221">
        <f>IF($I2968="Phản ánh",INDEX('Phản ánh'!$K$6:$K$505,MATCH($C2968,'Phản ánh'!$A$6:$A$505,0))&amp;"",IF($I2968="Công việc",INDEX('Kế hoạch'!$N$6:$N$305,$O2968)&amp;"",""))</f>
      </c>
      <c r="L2968" s="220">
        <f>IF(OR($C2968="",N($B2968)=0),"",IF(AND($I2968="Phản ánh",$E2968="Đã xử lý"),INDEX('Phản ánh'!$U$6:$U$505,MATCH($C2968,'Phản ánh'!$A$6:$A$505,0)),IF(AND($I2968="Công việc",OR($E2968="Hoàn thành",$E2968="Hoàn thành kỳ")),IF(INDEX('Kế hoạch'!$B$6:$B$305,$O2968)="Đột xuất",INDEX('Kế hoạch'!$AY$6:$AY$305,$O2968),IF(N($P2968)=0,"",IF(INT($B2968)&lt;$P2968,$P2968,IF($Q2968&gt;0,$P2968+ROUND((INT($B2968)-$P2968)/$Q2968,0)*$Q2968,IF($R2968&gt;0,EDATE($P2968,ROUND((DATEDIF($P2968,INT($B2968),"m")+(INT($B2968)-EDATE($P2968,DATEDIF($P2968,INT($B2968),"m")))/(EDATE($P2968,DATEDIF($P2968,INT($B2968),"m")+1)-EDATE($P2968,DATEDIF($P2968,INT($B2968),"m"))))/$R2968,0)*$R2968),$P2968))))),"")))</f>
      </c>
      <c r="M2968" s="223">
        <f>IF(OR($C2968="",N($L2968)=0,N($B2968)=0),"",IF(IF(MOD($L2968,1)=0,INT($B2968),$B2968)&lt;=$L2968,"Đúng hạn","Trễ hạn"))</f>
      </c>
      <c r="N2968" s="225">
        <f>IF($C2968="","",ROW())</f>
      </c>
      <c r="O2968" s="225">
        <f>IF($I2968="Công việc",MATCH($C2968,'Kế hoạch'!$A$6:$A$305,0),"")</f>
      </c>
      <c r="P2968" s="234">
        <f>IF($O2968="","",INDEX('Kế hoạch'!$I$6:$I$305,$O2968))</f>
      </c>
      <c r="Q2968" s="225">
        <f>IF($O2968="","",INDEX('Kế hoạch'!$AJ$6:$AJ$305,$O2968))</f>
      </c>
      <c r="R2968" s="225">
        <f>IF($O2968="","",INDEX('Kế hoạch'!$AK$6:$AK$305,$O2968))</f>
      </c>
    </row>
    <row r="2969">
      <c r="A2969" s="223">
        <f>IF($C2969="","",COUNTIF($C$6:$C2969,"?*"))</f>
      </c>
      <c r="B2969" s="217"/>
      <c r="C2969" s="216"/>
      <c r="D2969" s="240"/>
      <c r="E2969" s="218"/>
      <c r="F2969" s="218"/>
      <c r="G2969" s="218"/>
      <c r="H2969" s="219"/>
      <c r="I2969" s="223">
        <f>IF($C2969="","",IF(ISNUMBER(MATCH($C2969,'Phản ánh'!$A$6:$A$505,0)),"Phản ánh",IF(ISNUMBER(MATCH($C2969,'Kế hoạch'!$A$6:$A$305,0)),"Công việc","Mã chưa có")))</f>
      </c>
      <c r="J2969" s="221">
        <f>IF($I2969="Phản ánh",INDEX('Phản ánh'!$C$6:$C$505,MATCH($C2969,'Phản ánh'!$A$6:$A$505,0)),IF($I2969="Công việc",INDEX('Kế hoạch'!$C$6:$C$305,$O2969),""))</f>
      </c>
      <c r="K2969" s="221">
        <f>IF($I2969="Phản ánh",INDEX('Phản ánh'!$K$6:$K$505,MATCH($C2969,'Phản ánh'!$A$6:$A$505,0))&amp;"",IF($I2969="Công việc",INDEX('Kế hoạch'!$N$6:$N$305,$O2969)&amp;"",""))</f>
      </c>
      <c r="L2969" s="220">
        <f>IF(OR($C2969="",N($B2969)=0),"",IF(AND($I2969="Phản ánh",$E2969="Đã xử lý"),INDEX('Phản ánh'!$U$6:$U$505,MATCH($C2969,'Phản ánh'!$A$6:$A$505,0)),IF(AND($I2969="Công việc",OR($E2969="Hoàn thành",$E2969="Hoàn thành kỳ")),IF(INDEX('Kế hoạch'!$B$6:$B$305,$O2969)="Đột xuất",INDEX('Kế hoạch'!$AY$6:$AY$305,$O2969),IF(N($P2969)=0,"",IF(INT($B2969)&lt;$P2969,$P2969,IF($Q2969&gt;0,$P2969+ROUND((INT($B2969)-$P2969)/$Q2969,0)*$Q2969,IF($R2969&gt;0,EDATE($P2969,ROUND((DATEDIF($P2969,INT($B2969),"m")+(INT($B2969)-EDATE($P2969,DATEDIF($P2969,INT($B2969),"m")))/(EDATE($P2969,DATEDIF($P2969,INT($B2969),"m")+1)-EDATE($P2969,DATEDIF($P2969,INT($B2969),"m"))))/$R2969,0)*$R2969),$P2969))))),"")))</f>
      </c>
      <c r="M2969" s="223">
        <f>IF(OR($C2969="",N($L2969)=0,N($B2969)=0),"",IF(IF(MOD($L2969,1)=0,INT($B2969),$B2969)&lt;=$L2969,"Đúng hạn","Trễ hạn"))</f>
      </c>
      <c r="N2969" s="225">
        <f>IF($C2969="","",ROW())</f>
      </c>
      <c r="O2969" s="225">
        <f>IF($I2969="Công việc",MATCH($C2969,'Kế hoạch'!$A$6:$A$305,0),"")</f>
      </c>
      <c r="P2969" s="234">
        <f>IF($O2969="","",INDEX('Kế hoạch'!$I$6:$I$305,$O2969))</f>
      </c>
      <c r="Q2969" s="225">
        <f>IF($O2969="","",INDEX('Kế hoạch'!$AJ$6:$AJ$305,$O2969))</f>
      </c>
      <c r="R2969" s="225">
        <f>IF($O2969="","",INDEX('Kế hoạch'!$AK$6:$AK$305,$O2969))</f>
      </c>
    </row>
    <row r="2970">
      <c r="A2970" s="223">
        <f>IF($C2970="","",COUNTIF($C$6:$C2970,"?*"))</f>
      </c>
      <c r="B2970" s="217"/>
      <c r="C2970" s="216"/>
      <c r="D2970" s="240"/>
      <c r="E2970" s="218"/>
      <c r="F2970" s="218"/>
      <c r="G2970" s="218"/>
      <c r="H2970" s="219"/>
      <c r="I2970" s="223">
        <f>IF($C2970="","",IF(ISNUMBER(MATCH($C2970,'Phản ánh'!$A$6:$A$505,0)),"Phản ánh",IF(ISNUMBER(MATCH($C2970,'Kế hoạch'!$A$6:$A$305,0)),"Công việc","Mã chưa có")))</f>
      </c>
      <c r="J2970" s="221">
        <f>IF($I2970="Phản ánh",INDEX('Phản ánh'!$C$6:$C$505,MATCH($C2970,'Phản ánh'!$A$6:$A$505,0)),IF($I2970="Công việc",INDEX('Kế hoạch'!$C$6:$C$305,$O2970),""))</f>
      </c>
      <c r="K2970" s="221">
        <f>IF($I2970="Phản ánh",INDEX('Phản ánh'!$K$6:$K$505,MATCH($C2970,'Phản ánh'!$A$6:$A$505,0))&amp;"",IF($I2970="Công việc",INDEX('Kế hoạch'!$N$6:$N$305,$O2970)&amp;"",""))</f>
      </c>
      <c r="L2970" s="220">
        <f>IF(OR($C2970="",N($B2970)=0),"",IF(AND($I2970="Phản ánh",$E2970="Đã xử lý"),INDEX('Phản ánh'!$U$6:$U$505,MATCH($C2970,'Phản ánh'!$A$6:$A$505,0)),IF(AND($I2970="Công việc",OR($E2970="Hoàn thành",$E2970="Hoàn thành kỳ")),IF(INDEX('Kế hoạch'!$B$6:$B$305,$O2970)="Đột xuất",INDEX('Kế hoạch'!$AY$6:$AY$305,$O2970),IF(N($P2970)=0,"",IF(INT($B2970)&lt;$P2970,$P2970,IF($Q2970&gt;0,$P2970+ROUND((INT($B2970)-$P2970)/$Q2970,0)*$Q2970,IF($R2970&gt;0,EDATE($P2970,ROUND((DATEDIF($P2970,INT($B2970),"m")+(INT($B2970)-EDATE($P2970,DATEDIF($P2970,INT($B2970),"m")))/(EDATE($P2970,DATEDIF($P2970,INT($B2970),"m")+1)-EDATE($P2970,DATEDIF($P2970,INT($B2970),"m"))))/$R2970,0)*$R2970),$P2970))))),"")))</f>
      </c>
      <c r="M2970" s="223">
        <f>IF(OR($C2970="",N($L2970)=0,N($B2970)=0),"",IF(IF(MOD($L2970,1)=0,INT($B2970),$B2970)&lt;=$L2970,"Đúng hạn","Trễ hạn"))</f>
      </c>
      <c r="N2970" s="225">
        <f>IF($C2970="","",ROW())</f>
      </c>
      <c r="O2970" s="225">
        <f>IF($I2970="Công việc",MATCH($C2970,'Kế hoạch'!$A$6:$A$305,0),"")</f>
      </c>
      <c r="P2970" s="234">
        <f>IF($O2970="","",INDEX('Kế hoạch'!$I$6:$I$305,$O2970))</f>
      </c>
      <c r="Q2970" s="225">
        <f>IF($O2970="","",INDEX('Kế hoạch'!$AJ$6:$AJ$305,$O2970))</f>
      </c>
      <c r="R2970" s="225">
        <f>IF($O2970="","",INDEX('Kế hoạch'!$AK$6:$AK$305,$O2970))</f>
      </c>
    </row>
    <row r="2971">
      <c r="A2971" s="223">
        <f>IF($C2971="","",COUNTIF($C$6:$C2971,"?*"))</f>
      </c>
      <c r="B2971" s="217"/>
      <c r="C2971" s="216"/>
      <c r="D2971" s="240"/>
      <c r="E2971" s="218"/>
      <c r="F2971" s="218"/>
      <c r="G2971" s="218"/>
      <c r="H2971" s="219"/>
      <c r="I2971" s="223">
        <f>IF($C2971="","",IF(ISNUMBER(MATCH($C2971,'Phản ánh'!$A$6:$A$505,0)),"Phản ánh",IF(ISNUMBER(MATCH($C2971,'Kế hoạch'!$A$6:$A$305,0)),"Công việc","Mã chưa có")))</f>
      </c>
      <c r="J2971" s="221">
        <f>IF($I2971="Phản ánh",INDEX('Phản ánh'!$C$6:$C$505,MATCH($C2971,'Phản ánh'!$A$6:$A$505,0)),IF($I2971="Công việc",INDEX('Kế hoạch'!$C$6:$C$305,$O2971),""))</f>
      </c>
      <c r="K2971" s="221">
        <f>IF($I2971="Phản ánh",INDEX('Phản ánh'!$K$6:$K$505,MATCH($C2971,'Phản ánh'!$A$6:$A$505,0))&amp;"",IF($I2971="Công việc",INDEX('Kế hoạch'!$N$6:$N$305,$O2971)&amp;"",""))</f>
      </c>
      <c r="L2971" s="220">
        <f>IF(OR($C2971="",N($B2971)=0),"",IF(AND($I2971="Phản ánh",$E2971="Đã xử lý"),INDEX('Phản ánh'!$U$6:$U$505,MATCH($C2971,'Phản ánh'!$A$6:$A$505,0)),IF(AND($I2971="Công việc",OR($E2971="Hoàn thành",$E2971="Hoàn thành kỳ")),IF(INDEX('Kế hoạch'!$B$6:$B$305,$O2971)="Đột xuất",INDEX('Kế hoạch'!$AY$6:$AY$305,$O2971),IF(N($P2971)=0,"",IF(INT($B2971)&lt;$P2971,$P2971,IF($Q2971&gt;0,$P2971+ROUND((INT($B2971)-$P2971)/$Q2971,0)*$Q2971,IF($R2971&gt;0,EDATE($P2971,ROUND((DATEDIF($P2971,INT($B2971),"m")+(INT($B2971)-EDATE($P2971,DATEDIF($P2971,INT($B2971),"m")))/(EDATE($P2971,DATEDIF($P2971,INT($B2971),"m")+1)-EDATE($P2971,DATEDIF($P2971,INT($B2971),"m"))))/$R2971,0)*$R2971),$P2971))))),"")))</f>
      </c>
      <c r="M2971" s="223">
        <f>IF(OR($C2971="",N($L2971)=0,N($B2971)=0),"",IF(IF(MOD($L2971,1)=0,INT($B2971),$B2971)&lt;=$L2971,"Đúng hạn","Trễ hạn"))</f>
      </c>
      <c r="N2971" s="225">
        <f>IF($C2971="","",ROW())</f>
      </c>
      <c r="O2971" s="225">
        <f>IF($I2971="Công việc",MATCH($C2971,'Kế hoạch'!$A$6:$A$305,0),"")</f>
      </c>
      <c r="P2971" s="234">
        <f>IF($O2971="","",INDEX('Kế hoạch'!$I$6:$I$305,$O2971))</f>
      </c>
      <c r="Q2971" s="225">
        <f>IF($O2971="","",INDEX('Kế hoạch'!$AJ$6:$AJ$305,$O2971))</f>
      </c>
      <c r="R2971" s="225">
        <f>IF($O2971="","",INDEX('Kế hoạch'!$AK$6:$AK$305,$O2971))</f>
      </c>
    </row>
    <row r="2972">
      <c r="A2972" s="223">
        <f>IF($C2972="","",COUNTIF($C$6:$C2972,"?*"))</f>
      </c>
      <c r="B2972" s="217"/>
      <c r="C2972" s="216"/>
      <c r="D2972" s="240"/>
      <c r="E2972" s="218"/>
      <c r="F2972" s="218"/>
      <c r="G2972" s="218"/>
      <c r="H2972" s="219"/>
      <c r="I2972" s="223">
        <f>IF($C2972="","",IF(ISNUMBER(MATCH($C2972,'Phản ánh'!$A$6:$A$505,0)),"Phản ánh",IF(ISNUMBER(MATCH($C2972,'Kế hoạch'!$A$6:$A$305,0)),"Công việc","Mã chưa có")))</f>
      </c>
      <c r="J2972" s="221">
        <f>IF($I2972="Phản ánh",INDEX('Phản ánh'!$C$6:$C$505,MATCH($C2972,'Phản ánh'!$A$6:$A$505,0)),IF($I2972="Công việc",INDEX('Kế hoạch'!$C$6:$C$305,$O2972),""))</f>
      </c>
      <c r="K2972" s="221">
        <f>IF($I2972="Phản ánh",INDEX('Phản ánh'!$K$6:$K$505,MATCH($C2972,'Phản ánh'!$A$6:$A$505,0))&amp;"",IF($I2972="Công việc",INDEX('Kế hoạch'!$N$6:$N$305,$O2972)&amp;"",""))</f>
      </c>
      <c r="L2972" s="220">
        <f>IF(OR($C2972="",N($B2972)=0),"",IF(AND($I2972="Phản ánh",$E2972="Đã xử lý"),INDEX('Phản ánh'!$U$6:$U$505,MATCH($C2972,'Phản ánh'!$A$6:$A$505,0)),IF(AND($I2972="Công việc",OR($E2972="Hoàn thành",$E2972="Hoàn thành kỳ")),IF(INDEX('Kế hoạch'!$B$6:$B$305,$O2972)="Đột xuất",INDEX('Kế hoạch'!$AY$6:$AY$305,$O2972),IF(N($P2972)=0,"",IF(INT($B2972)&lt;$P2972,$P2972,IF($Q2972&gt;0,$P2972+ROUND((INT($B2972)-$P2972)/$Q2972,0)*$Q2972,IF($R2972&gt;0,EDATE($P2972,ROUND((DATEDIF($P2972,INT($B2972),"m")+(INT($B2972)-EDATE($P2972,DATEDIF($P2972,INT($B2972),"m")))/(EDATE($P2972,DATEDIF($P2972,INT($B2972),"m")+1)-EDATE($P2972,DATEDIF($P2972,INT($B2972),"m"))))/$R2972,0)*$R2972),$P2972))))),"")))</f>
      </c>
      <c r="M2972" s="223">
        <f>IF(OR($C2972="",N($L2972)=0,N($B2972)=0),"",IF(IF(MOD($L2972,1)=0,INT($B2972),$B2972)&lt;=$L2972,"Đúng hạn","Trễ hạn"))</f>
      </c>
      <c r="N2972" s="225">
        <f>IF($C2972="","",ROW())</f>
      </c>
      <c r="O2972" s="225">
        <f>IF($I2972="Công việc",MATCH($C2972,'Kế hoạch'!$A$6:$A$305,0),"")</f>
      </c>
      <c r="P2972" s="234">
        <f>IF($O2972="","",INDEX('Kế hoạch'!$I$6:$I$305,$O2972))</f>
      </c>
      <c r="Q2972" s="225">
        <f>IF($O2972="","",INDEX('Kế hoạch'!$AJ$6:$AJ$305,$O2972))</f>
      </c>
      <c r="R2972" s="225">
        <f>IF($O2972="","",INDEX('Kế hoạch'!$AK$6:$AK$305,$O2972))</f>
      </c>
    </row>
    <row r="2973">
      <c r="A2973" s="223">
        <f>IF($C2973="","",COUNTIF($C$6:$C2973,"?*"))</f>
      </c>
      <c r="B2973" s="217"/>
      <c r="C2973" s="216"/>
      <c r="D2973" s="240"/>
      <c r="E2973" s="218"/>
      <c r="F2973" s="218"/>
      <c r="G2973" s="218"/>
      <c r="H2973" s="219"/>
      <c r="I2973" s="223">
        <f>IF($C2973="","",IF(ISNUMBER(MATCH($C2973,'Phản ánh'!$A$6:$A$505,0)),"Phản ánh",IF(ISNUMBER(MATCH($C2973,'Kế hoạch'!$A$6:$A$305,0)),"Công việc","Mã chưa có")))</f>
      </c>
      <c r="J2973" s="221">
        <f>IF($I2973="Phản ánh",INDEX('Phản ánh'!$C$6:$C$505,MATCH($C2973,'Phản ánh'!$A$6:$A$505,0)),IF($I2973="Công việc",INDEX('Kế hoạch'!$C$6:$C$305,$O2973),""))</f>
      </c>
      <c r="K2973" s="221">
        <f>IF($I2973="Phản ánh",INDEX('Phản ánh'!$K$6:$K$505,MATCH($C2973,'Phản ánh'!$A$6:$A$505,0))&amp;"",IF($I2973="Công việc",INDEX('Kế hoạch'!$N$6:$N$305,$O2973)&amp;"",""))</f>
      </c>
      <c r="L2973" s="220">
        <f>IF(OR($C2973="",N($B2973)=0),"",IF(AND($I2973="Phản ánh",$E2973="Đã xử lý"),INDEX('Phản ánh'!$U$6:$U$505,MATCH($C2973,'Phản ánh'!$A$6:$A$505,0)),IF(AND($I2973="Công việc",OR($E2973="Hoàn thành",$E2973="Hoàn thành kỳ")),IF(INDEX('Kế hoạch'!$B$6:$B$305,$O2973)="Đột xuất",INDEX('Kế hoạch'!$AY$6:$AY$305,$O2973),IF(N($P2973)=0,"",IF(INT($B2973)&lt;$P2973,$P2973,IF($Q2973&gt;0,$P2973+ROUND((INT($B2973)-$P2973)/$Q2973,0)*$Q2973,IF($R2973&gt;0,EDATE($P2973,ROUND((DATEDIF($P2973,INT($B2973),"m")+(INT($B2973)-EDATE($P2973,DATEDIF($P2973,INT($B2973),"m")))/(EDATE($P2973,DATEDIF($P2973,INT($B2973),"m")+1)-EDATE($P2973,DATEDIF($P2973,INT($B2973),"m"))))/$R2973,0)*$R2973),$P2973))))),"")))</f>
      </c>
      <c r="M2973" s="223">
        <f>IF(OR($C2973="",N($L2973)=0,N($B2973)=0),"",IF(IF(MOD($L2973,1)=0,INT($B2973),$B2973)&lt;=$L2973,"Đúng hạn","Trễ hạn"))</f>
      </c>
      <c r="N2973" s="225">
        <f>IF($C2973="","",ROW())</f>
      </c>
      <c r="O2973" s="225">
        <f>IF($I2973="Công việc",MATCH($C2973,'Kế hoạch'!$A$6:$A$305,0),"")</f>
      </c>
      <c r="P2973" s="234">
        <f>IF($O2973="","",INDEX('Kế hoạch'!$I$6:$I$305,$O2973))</f>
      </c>
      <c r="Q2973" s="225">
        <f>IF($O2973="","",INDEX('Kế hoạch'!$AJ$6:$AJ$305,$O2973))</f>
      </c>
      <c r="R2973" s="225">
        <f>IF($O2973="","",INDEX('Kế hoạch'!$AK$6:$AK$305,$O2973))</f>
      </c>
    </row>
    <row r="2974">
      <c r="A2974" s="223">
        <f>IF($C2974="","",COUNTIF($C$6:$C2974,"?*"))</f>
      </c>
      <c r="B2974" s="217"/>
      <c r="C2974" s="216"/>
      <c r="D2974" s="240"/>
      <c r="E2974" s="218"/>
      <c r="F2974" s="218"/>
      <c r="G2974" s="218"/>
      <c r="H2974" s="219"/>
      <c r="I2974" s="223">
        <f>IF($C2974="","",IF(ISNUMBER(MATCH($C2974,'Phản ánh'!$A$6:$A$505,0)),"Phản ánh",IF(ISNUMBER(MATCH($C2974,'Kế hoạch'!$A$6:$A$305,0)),"Công việc","Mã chưa có")))</f>
      </c>
      <c r="J2974" s="221">
        <f>IF($I2974="Phản ánh",INDEX('Phản ánh'!$C$6:$C$505,MATCH($C2974,'Phản ánh'!$A$6:$A$505,0)),IF($I2974="Công việc",INDEX('Kế hoạch'!$C$6:$C$305,$O2974),""))</f>
      </c>
      <c r="K2974" s="221">
        <f>IF($I2974="Phản ánh",INDEX('Phản ánh'!$K$6:$K$505,MATCH($C2974,'Phản ánh'!$A$6:$A$505,0))&amp;"",IF($I2974="Công việc",INDEX('Kế hoạch'!$N$6:$N$305,$O2974)&amp;"",""))</f>
      </c>
      <c r="L2974" s="220">
        <f>IF(OR($C2974="",N($B2974)=0),"",IF(AND($I2974="Phản ánh",$E2974="Đã xử lý"),INDEX('Phản ánh'!$U$6:$U$505,MATCH($C2974,'Phản ánh'!$A$6:$A$505,0)),IF(AND($I2974="Công việc",OR($E2974="Hoàn thành",$E2974="Hoàn thành kỳ")),IF(INDEX('Kế hoạch'!$B$6:$B$305,$O2974)="Đột xuất",INDEX('Kế hoạch'!$AY$6:$AY$305,$O2974),IF(N($P2974)=0,"",IF(INT($B2974)&lt;$P2974,$P2974,IF($Q2974&gt;0,$P2974+ROUND((INT($B2974)-$P2974)/$Q2974,0)*$Q2974,IF($R2974&gt;0,EDATE($P2974,ROUND((DATEDIF($P2974,INT($B2974),"m")+(INT($B2974)-EDATE($P2974,DATEDIF($P2974,INT($B2974),"m")))/(EDATE($P2974,DATEDIF($P2974,INT($B2974),"m")+1)-EDATE($P2974,DATEDIF($P2974,INT($B2974),"m"))))/$R2974,0)*$R2974),$P2974))))),"")))</f>
      </c>
      <c r="M2974" s="223">
        <f>IF(OR($C2974="",N($L2974)=0,N($B2974)=0),"",IF(IF(MOD($L2974,1)=0,INT($B2974),$B2974)&lt;=$L2974,"Đúng hạn","Trễ hạn"))</f>
      </c>
      <c r="N2974" s="225">
        <f>IF($C2974="","",ROW())</f>
      </c>
      <c r="O2974" s="225">
        <f>IF($I2974="Công việc",MATCH($C2974,'Kế hoạch'!$A$6:$A$305,0),"")</f>
      </c>
      <c r="P2974" s="234">
        <f>IF($O2974="","",INDEX('Kế hoạch'!$I$6:$I$305,$O2974))</f>
      </c>
      <c r="Q2974" s="225">
        <f>IF($O2974="","",INDEX('Kế hoạch'!$AJ$6:$AJ$305,$O2974))</f>
      </c>
      <c r="R2974" s="225">
        <f>IF($O2974="","",INDEX('Kế hoạch'!$AK$6:$AK$305,$O2974))</f>
      </c>
    </row>
    <row r="2975">
      <c r="A2975" s="223">
        <f>IF($C2975="","",COUNTIF($C$6:$C2975,"?*"))</f>
      </c>
      <c r="B2975" s="217"/>
      <c r="C2975" s="216"/>
      <c r="D2975" s="240"/>
      <c r="E2975" s="218"/>
      <c r="F2975" s="218"/>
      <c r="G2975" s="218"/>
      <c r="H2975" s="219"/>
      <c r="I2975" s="223">
        <f>IF($C2975="","",IF(ISNUMBER(MATCH($C2975,'Phản ánh'!$A$6:$A$505,0)),"Phản ánh",IF(ISNUMBER(MATCH($C2975,'Kế hoạch'!$A$6:$A$305,0)),"Công việc","Mã chưa có")))</f>
      </c>
      <c r="J2975" s="221">
        <f>IF($I2975="Phản ánh",INDEX('Phản ánh'!$C$6:$C$505,MATCH($C2975,'Phản ánh'!$A$6:$A$505,0)),IF($I2975="Công việc",INDEX('Kế hoạch'!$C$6:$C$305,$O2975),""))</f>
      </c>
      <c r="K2975" s="221">
        <f>IF($I2975="Phản ánh",INDEX('Phản ánh'!$K$6:$K$505,MATCH($C2975,'Phản ánh'!$A$6:$A$505,0))&amp;"",IF($I2975="Công việc",INDEX('Kế hoạch'!$N$6:$N$305,$O2975)&amp;"",""))</f>
      </c>
      <c r="L2975" s="220">
        <f>IF(OR($C2975="",N($B2975)=0),"",IF(AND($I2975="Phản ánh",$E2975="Đã xử lý"),INDEX('Phản ánh'!$U$6:$U$505,MATCH($C2975,'Phản ánh'!$A$6:$A$505,0)),IF(AND($I2975="Công việc",OR($E2975="Hoàn thành",$E2975="Hoàn thành kỳ")),IF(INDEX('Kế hoạch'!$B$6:$B$305,$O2975)="Đột xuất",INDEX('Kế hoạch'!$AY$6:$AY$305,$O2975),IF(N($P2975)=0,"",IF(INT($B2975)&lt;$P2975,$P2975,IF($Q2975&gt;0,$P2975+ROUND((INT($B2975)-$P2975)/$Q2975,0)*$Q2975,IF($R2975&gt;0,EDATE($P2975,ROUND((DATEDIF($P2975,INT($B2975),"m")+(INT($B2975)-EDATE($P2975,DATEDIF($P2975,INT($B2975),"m")))/(EDATE($P2975,DATEDIF($P2975,INT($B2975),"m")+1)-EDATE($P2975,DATEDIF($P2975,INT($B2975),"m"))))/$R2975,0)*$R2975),$P2975))))),"")))</f>
      </c>
      <c r="M2975" s="223">
        <f>IF(OR($C2975="",N($L2975)=0,N($B2975)=0),"",IF(IF(MOD($L2975,1)=0,INT($B2975),$B2975)&lt;=$L2975,"Đúng hạn","Trễ hạn"))</f>
      </c>
      <c r="N2975" s="225">
        <f>IF($C2975="","",ROW())</f>
      </c>
      <c r="O2975" s="225">
        <f>IF($I2975="Công việc",MATCH($C2975,'Kế hoạch'!$A$6:$A$305,0),"")</f>
      </c>
      <c r="P2975" s="234">
        <f>IF($O2975="","",INDEX('Kế hoạch'!$I$6:$I$305,$O2975))</f>
      </c>
      <c r="Q2975" s="225">
        <f>IF($O2975="","",INDEX('Kế hoạch'!$AJ$6:$AJ$305,$O2975))</f>
      </c>
      <c r="R2975" s="225">
        <f>IF($O2975="","",INDEX('Kế hoạch'!$AK$6:$AK$305,$O2975))</f>
      </c>
    </row>
    <row r="2976">
      <c r="A2976" s="223">
        <f>IF($C2976="","",COUNTIF($C$6:$C2976,"?*"))</f>
      </c>
      <c r="B2976" s="217"/>
      <c r="C2976" s="216"/>
      <c r="D2976" s="240"/>
      <c r="E2976" s="218"/>
      <c r="F2976" s="218"/>
      <c r="G2976" s="218"/>
      <c r="H2976" s="219"/>
      <c r="I2976" s="223">
        <f>IF($C2976="","",IF(ISNUMBER(MATCH($C2976,'Phản ánh'!$A$6:$A$505,0)),"Phản ánh",IF(ISNUMBER(MATCH($C2976,'Kế hoạch'!$A$6:$A$305,0)),"Công việc","Mã chưa có")))</f>
      </c>
      <c r="J2976" s="221">
        <f>IF($I2976="Phản ánh",INDEX('Phản ánh'!$C$6:$C$505,MATCH($C2976,'Phản ánh'!$A$6:$A$505,0)),IF($I2976="Công việc",INDEX('Kế hoạch'!$C$6:$C$305,$O2976),""))</f>
      </c>
      <c r="K2976" s="221">
        <f>IF($I2976="Phản ánh",INDEX('Phản ánh'!$K$6:$K$505,MATCH($C2976,'Phản ánh'!$A$6:$A$505,0))&amp;"",IF($I2976="Công việc",INDEX('Kế hoạch'!$N$6:$N$305,$O2976)&amp;"",""))</f>
      </c>
      <c r="L2976" s="220">
        <f>IF(OR($C2976="",N($B2976)=0),"",IF(AND($I2976="Phản ánh",$E2976="Đã xử lý"),INDEX('Phản ánh'!$U$6:$U$505,MATCH($C2976,'Phản ánh'!$A$6:$A$505,0)),IF(AND($I2976="Công việc",OR($E2976="Hoàn thành",$E2976="Hoàn thành kỳ")),IF(INDEX('Kế hoạch'!$B$6:$B$305,$O2976)="Đột xuất",INDEX('Kế hoạch'!$AY$6:$AY$305,$O2976),IF(N($P2976)=0,"",IF(INT($B2976)&lt;$P2976,$P2976,IF($Q2976&gt;0,$P2976+ROUND((INT($B2976)-$P2976)/$Q2976,0)*$Q2976,IF($R2976&gt;0,EDATE($P2976,ROUND((DATEDIF($P2976,INT($B2976),"m")+(INT($B2976)-EDATE($P2976,DATEDIF($P2976,INT($B2976),"m")))/(EDATE($P2976,DATEDIF($P2976,INT($B2976),"m")+1)-EDATE($P2976,DATEDIF($P2976,INT($B2976),"m"))))/$R2976,0)*$R2976),$P2976))))),"")))</f>
      </c>
      <c r="M2976" s="223">
        <f>IF(OR($C2976="",N($L2976)=0,N($B2976)=0),"",IF(IF(MOD($L2976,1)=0,INT($B2976),$B2976)&lt;=$L2976,"Đúng hạn","Trễ hạn"))</f>
      </c>
      <c r="N2976" s="225">
        <f>IF($C2976="","",ROW())</f>
      </c>
      <c r="O2976" s="225">
        <f>IF($I2976="Công việc",MATCH($C2976,'Kế hoạch'!$A$6:$A$305,0),"")</f>
      </c>
      <c r="P2976" s="234">
        <f>IF($O2976="","",INDEX('Kế hoạch'!$I$6:$I$305,$O2976))</f>
      </c>
      <c r="Q2976" s="225">
        <f>IF($O2976="","",INDEX('Kế hoạch'!$AJ$6:$AJ$305,$O2976))</f>
      </c>
      <c r="R2976" s="225">
        <f>IF($O2976="","",INDEX('Kế hoạch'!$AK$6:$AK$305,$O2976))</f>
      </c>
    </row>
    <row r="2977">
      <c r="A2977" s="223">
        <f>IF($C2977="","",COUNTIF($C$6:$C2977,"?*"))</f>
      </c>
      <c r="B2977" s="217"/>
      <c r="C2977" s="216"/>
      <c r="D2977" s="240"/>
      <c r="E2977" s="218"/>
      <c r="F2977" s="218"/>
      <c r="G2977" s="218"/>
      <c r="H2977" s="219"/>
      <c r="I2977" s="223">
        <f>IF($C2977="","",IF(ISNUMBER(MATCH($C2977,'Phản ánh'!$A$6:$A$505,0)),"Phản ánh",IF(ISNUMBER(MATCH($C2977,'Kế hoạch'!$A$6:$A$305,0)),"Công việc","Mã chưa có")))</f>
      </c>
      <c r="J2977" s="221">
        <f>IF($I2977="Phản ánh",INDEX('Phản ánh'!$C$6:$C$505,MATCH($C2977,'Phản ánh'!$A$6:$A$505,0)),IF($I2977="Công việc",INDEX('Kế hoạch'!$C$6:$C$305,$O2977),""))</f>
      </c>
      <c r="K2977" s="221">
        <f>IF($I2977="Phản ánh",INDEX('Phản ánh'!$K$6:$K$505,MATCH($C2977,'Phản ánh'!$A$6:$A$505,0))&amp;"",IF($I2977="Công việc",INDEX('Kế hoạch'!$N$6:$N$305,$O2977)&amp;"",""))</f>
      </c>
      <c r="L2977" s="220">
        <f>IF(OR($C2977="",N($B2977)=0),"",IF(AND($I2977="Phản ánh",$E2977="Đã xử lý"),INDEX('Phản ánh'!$U$6:$U$505,MATCH($C2977,'Phản ánh'!$A$6:$A$505,0)),IF(AND($I2977="Công việc",OR($E2977="Hoàn thành",$E2977="Hoàn thành kỳ")),IF(INDEX('Kế hoạch'!$B$6:$B$305,$O2977)="Đột xuất",INDEX('Kế hoạch'!$AY$6:$AY$305,$O2977),IF(N($P2977)=0,"",IF(INT($B2977)&lt;$P2977,$P2977,IF($Q2977&gt;0,$P2977+ROUND((INT($B2977)-$P2977)/$Q2977,0)*$Q2977,IF($R2977&gt;0,EDATE($P2977,ROUND((DATEDIF($P2977,INT($B2977),"m")+(INT($B2977)-EDATE($P2977,DATEDIF($P2977,INT($B2977),"m")))/(EDATE($P2977,DATEDIF($P2977,INT($B2977),"m")+1)-EDATE($P2977,DATEDIF($P2977,INT($B2977),"m"))))/$R2977,0)*$R2977),$P2977))))),"")))</f>
      </c>
      <c r="M2977" s="223">
        <f>IF(OR($C2977="",N($L2977)=0,N($B2977)=0),"",IF(IF(MOD($L2977,1)=0,INT($B2977),$B2977)&lt;=$L2977,"Đúng hạn","Trễ hạn"))</f>
      </c>
      <c r="N2977" s="225">
        <f>IF($C2977="","",ROW())</f>
      </c>
      <c r="O2977" s="225">
        <f>IF($I2977="Công việc",MATCH($C2977,'Kế hoạch'!$A$6:$A$305,0),"")</f>
      </c>
      <c r="P2977" s="234">
        <f>IF($O2977="","",INDEX('Kế hoạch'!$I$6:$I$305,$O2977))</f>
      </c>
      <c r="Q2977" s="225">
        <f>IF($O2977="","",INDEX('Kế hoạch'!$AJ$6:$AJ$305,$O2977))</f>
      </c>
      <c r="R2977" s="225">
        <f>IF($O2977="","",INDEX('Kế hoạch'!$AK$6:$AK$305,$O2977))</f>
      </c>
    </row>
    <row r="2978">
      <c r="A2978" s="223">
        <f>IF($C2978="","",COUNTIF($C$6:$C2978,"?*"))</f>
      </c>
      <c r="B2978" s="217"/>
      <c r="C2978" s="216"/>
      <c r="D2978" s="240"/>
      <c r="E2978" s="218"/>
      <c r="F2978" s="218"/>
      <c r="G2978" s="218"/>
      <c r="H2978" s="219"/>
      <c r="I2978" s="223">
        <f>IF($C2978="","",IF(ISNUMBER(MATCH($C2978,'Phản ánh'!$A$6:$A$505,0)),"Phản ánh",IF(ISNUMBER(MATCH($C2978,'Kế hoạch'!$A$6:$A$305,0)),"Công việc","Mã chưa có")))</f>
      </c>
      <c r="J2978" s="221">
        <f>IF($I2978="Phản ánh",INDEX('Phản ánh'!$C$6:$C$505,MATCH($C2978,'Phản ánh'!$A$6:$A$505,0)),IF($I2978="Công việc",INDEX('Kế hoạch'!$C$6:$C$305,$O2978),""))</f>
      </c>
      <c r="K2978" s="221">
        <f>IF($I2978="Phản ánh",INDEX('Phản ánh'!$K$6:$K$505,MATCH($C2978,'Phản ánh'!$A$6:$A$505,0))&amp;"",IF($I2978="Công việc",INDEX('Kế hoạch'!$N$6:$N$305,$O2978)&amp;"",""))</f>
      </c>
      <c r="L2978" s="220">
        <f>IF(OR($C2978="",N($B2978)=0),"",IF(AND($I2978="Phản ánh",$E2978="Đã xử lý"),INDEX('Phản ánh'!$U$6:$U$505,MATCH($C2978,'Phản ánh'!$A$6:$A$505,0)),IF(AND($I2978="Công việc",OR($E2978="Hoàn thành",$E2978="Hoàn thành kỳ")),IF(INDEX('Kế hoạch'!$B$6:$B$305,$O2978)="Đột xuất",INDEX('Kế hoạch'!$AY$6:$AY$305,$O2978),IF(N($P2978)=0,"",IF(INT($B2978)&lt;$P2978,$P2978,IF($Q2978&gt;0,$P2978+ROUND((INT($B2978)-$P2978)/$Q2978,0)*$Q2978,IF($R2978&gt;0,EDATE($P2978,ROUND((DATEDIF($P2978,INT($B2978),"m")+(INT($B2978)-EDATE($P2978,DATEDIF($P2978,INT($B2978),"m")))/(EDATE($P2978,DATEDIF($P2978,INT($B2978),"m")+1)-EDATE($P2978,DATEDIF($P2978,INT($B2978),"m"))))/$R2978,0)*$R2978),$P2978))))),"")))</f>
      </c>
      <c r="M2978" s="223">
        <f>IF(OR($C2978="",N($L2978)=0,N($B2978)=0),"",IF(IF(MOD($L2978,1)=0,INT($B2978),$B2978)&lt;=$L2978,"Đúng hạn","Trễ hạn"))</f>
      </c>
      <c r="N2978" s="225">
        <f>IF($C2978="","",ROW())</f>
      </c>
      <c r="O2978" s="225">
        <f>IF($I2978="Công việc",MATCH($C2978,'Kế hoạch'!$A$6:$A$305,0),"")</f>
      </c>
      <c r="P2978" s="234">
        <f>IF($O2978="","",INDEX('Kế hoạch'!$I$6:$I$305,$O2978))</f>
      </c>
      <c r="Q2978" s="225">
        <f>IF($O2978="","",INDEX('Kế hoạch'!$AJ$6:$AJ$305,$O2978))</f>
      </c>
      <c r="R2978" s="225">
        <f>IF($O2978="","",INDEX('Kế hoạch'!$AK$6:$AK$305,$O2978))</f>
      </c>
    </row>
    <row r="2979">
      <c r="A2979" s="223">
        <f>IF($C2979="","",COUNTIF($C$6:$C2979,"?*"))</f>
      </c>
      <c r="B2979" s="217"/>
      <c r="C2979" s="216"/>
      <c r="D2979" s="240"/>
      <c r="E2979" s="218"/>
      <c r="F2979" s="218"/>
      <c r="G2979" s="218"/>
      <c r="H2979" s="219"/>
      <c r="I2979" s="223">
        <f>IF($C2979="","",IF(ISNUMBER(MATCH($C2979,'Phản ánh'!$A$6:$A$505,0)),"Phản ánh",IF(ISNUMBER(MATCH($C2979,'Kế hoạch'!$A$6:$A$305,0)),"Công việc","Mã chưa có")))</f>
      </c>
      <c r="J2979" s="221">
        <f>IF($I2979="Phản ánh",INDEX('Phản ánh'!$C$6:$C$505,MATCH($C2979,'Phản ánh'!$A$6:$A$505,0)),IF($I2979="Công việc",INDEX('Kế hoạch'!$C$6:$C$305,$O2979),""))</f>
      </c>
      <c r="K2979" s="221">
        <f>IF($I2979="Phản ánh",INDEX('Phản ánh'!$K$6:$K$505,MATCH($C2979,'Phản ánh'!$A$6:$A$505,0))&amp;"",IF($I2979="Công việc",INDEX('Kế hoạch'!$N$6:$N$305,$O2979)&amp;"",""))</f>
      </c>
      <c r="L2979" s="220">
        <f>IF(OR($C2979="",N($B2979)=0),"",IF(AND($I2979="Phản ánh",$E2979="Đã xử lý"),INDEX('Phản ánh'!$U$6:$U$505,MATCH($C2979,'Phản ánh'!$A$6:$A$505,0)),IF(AND($I2979="Công việc",OR($E2979="Hoàn thành",$E2979="Hoàn thành kỳ")),IF(INDEX('Kế hoạch'!$B$6:$B$305,$O2979)="Đột xuất",INDEX('Kế hoạch'!$AY$6:$AY$305,$O2979),IF(N($P2979)=0,"",IF(INT($B2979)&lt;$P2979,$P2979,IF($Q2979&gt;0,$P2979+ROUND((INT($B2979)-$P2979)/$Q2979,0)*$Q2979,IF($R2979&gt;0,EDATE($P2979,ROUND((DATEDIF($P2979,INT($B2979),"m")+(INT($B2979)-EDATE($P2979,DATEDIF($P2979,INT($B2979),"m")))/(EDATE($P2979,DATEDIF($P2979,INT($B2979),"m")+1)-EDATE($P2979,DATEDIF($P2979,INT($B2979),"m"))))/$R2979,0)*$R2979),$P2979))))),"")))</f>
      </c>
      <c r="M2979" s="223">
        <f>IF(OR($C2979="",N($L2979)=0,N($B2979)=0),"",IF(IF(MOD($L2979,1)=0,INT($B2979),$B2979)&lt;=$L2979,"Đúng hạn","Trễ hạn"))</f>
      </c>
      <c r="N2979" s="225">
        <f>IF($C2979="","",ROW())</f>
      </c>
      <c r="O2979" s="225">
        <f>IF($I2979="Công việc",MATCH($C2979,'Kế hoạch'!$A$6:$A$305,0),"")</f>
      </c>
      <c r="P2979" s="234">
        <f>IF($O2979="","",INDEX('Kế hoạch'!$I$6:$I$305,$O2979))</f>
      </c>
      <c r="Q2979" s="225">
        <f>IF($O2979="","",INDEX('Kế hoạch'!$AJ$6:$AJ$305,$O2979))</f>
      </c>
      <c r="R2979" s="225">
        <f>IF($O2979="","",INDEX('Kế hoạch'!$AK$6:$AK$305,$O2979))</f>
      </c>
    </row>
    <row r="2980">
      <c r="A2980" s="223">
        <f>IF($C2980="","",COUNTIF($C$6:$C2980,"?*"))</f>
      </c>
      <c r="B2980" s="217"/>
      <c r="C2980" s="216"/>
      <c r="D2980" s="240"/>
      <c r="E2980" s="218"/>
      <c r="F2980" s="218"/>
      <c r="G2980" s="218"/>
      <c r="H2980" s="219"/>
      <c r="I2980" s="223">
        <f>IF($C2980="","",IF(ISNUMBER(MATCH($C2980,'Phản ánh'!$A$6:$A$505,0)),"Phản ánh",IF(ISNUMBER(MATCH($C2980,'Kế hoạch'!$A$6:$A$305,0)),"Công việc","Mã chưa có")))</f>
      </c>
      <c r="J2980" s="221">
        <f>IF($I2980="Phản ánh",INDEX('Phản ánh'!$C$6:$C$505,MATCH($C2980,'Phản ánh'!$A$6:$A$505,0)),IF($I2980="Công việc",INDEX('Kế hoạch'!$C$6:$C$305,$O2980),""))</f>
      </c>
      <c r="K2980" s="221">
        <f>IF($I2980="Phản ánh",INDEX('Phản ánh'!$K$6:$K$505,MATCH($C2980,'Phản ánh'!$A$6:$A$505,0))&amp;"",IF($I2980="Công việc",INDEX('Kế hoạch'!$N$6:$N$305,$O2980)&amp;"",""))</f>
      </c>
      <c r="L2980" s="220">
        <f>IF(OR($C2980="",N($B2980)=0),"",IF(AND($I2980="Phản ánh",$E2980="Đã xử lý"),INDEX('Phản ánh'!$U$6:$U$505,MATCH($C2980,'Phản ánh'!$A$6:$A$505,0)),IF(AND($I2980="Công việc",OR($E2980="Hoàn thành",$E2980="Hoàn thành kỳ")),IF(INDEX('Kế hoạch'!$B$6:$B$305,$O2980)="Đột xuất",INDEX('Kế hoạch'!$AY$6:$AY$305,$O2980),IF(N($P2980)=0,"",IF(INT($B2980)&lt;$P2980,$P2980,IF($Q2980&gt;0,$P2980+ROUND((INT($B2980)-$P2980)/$Q2980,0)*$Q2980,IF($R2980&gt;0,EDATE($P2980,ROUND((DATEDIF($P2980,INT($B2980),"m")+(INT($B2980)-EDATE($P2980,DATEDIF($P2980,INT($B2980),"m")))/(EDATE($P2980,DATEDIF($P2980,INT($B2980),"m")+1)-EDATE($P2980,DATEDIF($P2980,INT($B2980),"m"))))/$R2980,0)*$R2980),$P2980))))),"")))</f>
      </c>
      <c r="M2980" s="223">
        <f>IF(OR($C2980="",N($L2980)=0,N($B2980)=0),"",IF(IF(MOD($L2980,1)=0,INT($B2980),$B2980)&lt;=$L2980,"Đúng hạn","Trễ hạn"))</f>
      </c>
      <c r="N2980" s="225">
        <f>IF($C2980="","",ROW())</f>
      </c>
      <c r="O2980" s="225">
        <f>IF($I2980="Công việc",MATCH($C2980,'Kế hoạch'!$A$6:$A$305,0),"")</f>
      </c>
      <c r="P2980" s="234">
        <f>IF($O2980="","",INDEX('Kế hoạch'!$I$6:$I$305,$O2980))</f>
      </c>
      <c r="Q2980" s="225">
        <f>IF($O2980="","",INDEX('Kế hoạch'!$AJ$6:$AJ$305,$O2980))</f>
      </c>
      <c r="R2980" s="225">
        <f>IF($O2980="","",INDEX('Kế hoạch'!$AK$6:$AK$305,$O2980))</f>
      </c>
    </row>
    <row r="2981">
      <c r="A2981" s="223">
        <f>IF($C2981="","",COUNTIF($C$6:$C2981,"?*"))</f>
      </c>
      <c r="B2981" s="217"/>
      <c r="C2981" s="216"/>
      <c r="D2981" s="240"/>
      <c r="E2981" s="218"/>
      <c r="F2981" s="218"/>
      <c r="G2981" s="218"/>
      <c r="H2981" s="219"/>
      <c r="I2981" s="223">
        <f>IF($C2981="","",IF(ISNUMBER(MATCH($C2981,'Phản ánh'!$A$6:$A$505,0)),"Phản ánh",IF(ISNUMBER(MATCH($C2981,'Kế hoạch'!$A$6:$A$305,0)),"Công việc","Mã chưa có")))</f>
      </c>
      <c r="J2981" s="221">
        <f>IF($I2981="Phản ánh",INDEX('Phản ánh'!$C$6:$C$505,MATCH($C2981,'Phản ánh'!$A$6:$A$505,0)),IF($I2981="Công việc",INDEX('Kế hoạch'!$C$6:$C$305,$O2981),""))</f>
      </c>
      <c r="K2981" s="221">
        <f>IF($I2981="Phản ánh",INDEX('Phản ánh'!$K$6:$K$505,MATCH($C2981,'Phản ánh'!$A$6:$A$505,0))&amp;"",IF($I2981="Công việc",INDEX('Kế hoạch'!$N$6:$N$305,$O2981)&amp;"",""))</f>
      </c>
      <c r="L2981" s="220">
        <f>IF(OR($C2981="",N($B2981)=0),"",IF(AND($I2981="Phản ánh",$E2981="Đã xử lý"),INDEX('Phản ánh'!$U$6:$U$505,MATCH($C2981,'Phản ánh'!$A$6:$A$505,0)),IF(AND($I2981="Công việc",OR($E2981="Hoàn thành",$E2981="Hoàn thành kỳ")),IF(INDEX('Kế hoạch'!$B$6:$B$305,$O2981)="Đột xuất",INDEX('Kế hoạch'!$AY$6:$AY$305,$O2981),IF(N($P2981)=0,"",IF(INT($B2981)&lt;$P2981,$P2981,IF($Q2981&gt;0,$P2981+ROUND((INT($B2981)-$P2981)/$Q2981,0)*$Q2981,IF($R2981&gt;0,EDATE($P2981,ROUND((DATEDIF($P2981,INT($B2981),"m")+(INT($B2981)-EDATE($P2981,DATEDIF($P2981,INT($B2981),"m")))/(EDATE($P2981,DATEDIF($P2981,INT($B2981),"m")+1)-EDATE($P2981,DATEDIF($P2981,INT($B2981),"m"))))/$R2981,0)*$R2981),$P2981))))),"")))</f>
      </c>
      <c r="M2981" s="223">
        <f>IF(OR($C2981="",N($L2981)=0,N($B2981)=0),"",IF(IF(MOD($L2981,1)=0,INT($B2981),$B2981)&lt;=$L2981,"Đúng hạn","Trễ hạn"))</f>
      </c>
      <c r="N2981" s="225">
        <f>IF($C2981="","",ROW())</f>
      </c>
      <c r="O2981" s="225">
        <f>IF($I2981="Công việc",MATCH($C2981,'Kế hoạch'!$A$6:$A$305,0),"")</f>
      </c>
      <c r="P2981" s="234">
        <f>IF($O2981="","",INDEX('Kế hoạch'!$I$6:$I$305,$O2981))</f>
      </c>
      <c r="Q2981" s="225">
        <f>IF($O2981="","",INDEX('Kế hoạch'!$AJ$6:$AJ$305,$O2981))</f>
      </c>
      <c r="R2981" s="225">
        <f>IF($O2981="","",INDEX('Kế hoạch'!$AK$6:$AK$305,$O2981))</f>
      </c>
    </row>
    <row r="2982">
      <c r="A2982" s="223">
        <f>IF($C2982="","",COUNTIF($C$6:$C2982,"?*"))</f>
      </c>
      <c r="B2982" s="217"/>
      <c r="C2982" s="216"/>
      <c r="D2982" s="240"/>
      <c r="E2982" s="218"/>
      <c r="F2982" s="218"/>
      <c r="G2982" s="218"/>
      <c r="H2982" s="219"/>
      <c r="I2982" s="223">
        <f>IF($C2982="","",IF(ISNUMBER(MATCH($C2982,'Phản ánh'!$A$6:$A$505,0)),"Phản ánh",IF(ISNUMBER(MATCH($C2982,'Kế hoạch'!$A$6:$A$305,0)),"Công việc","Mã chưa có")))</f>
      </c>
      <c r="J2982" s="221">
        <f>IF($I2982="Phản ánh",INDEX('Phản ánh'!$C$6:$C$505,MATCH($C2982,'Phản ánh'!$A$6:$A$505,0)),IF($I2982="Công việc",INDEX('Kế hoạch'!$C$6:$C$305,$O2982),""))</f>
      </c>
      <c r="K2982" s="221">
        <f>IF($I2982="Phản ánh",INDEX('Phản ánh'!$K$6:$K$505,MATCH($C2982,'Phản ánh'!$A$6:$A$505,0))&amp;"",IF($I2982="Công việc",INDEX('Kế hoạch'!$N$6:$N$305,$O2982)&amp;"",""))</f>
      </c>
      <c r="L2982" s="220">
        <f>IF(OR($C2982="",N($B2982)=0),"",IF(AND($I2982="Phản ánh",$E2982="Đã xử lý"),INDEX('Phản ánh'!$U$6:$U$505,MATCH($C2982,'Phản ánh'!$A$6:$A$505,0)),IF(AND($I2982="Công việc",OR($E2982="Hoàn thành",$E2982="Hoàn thành kỳ")),IF(INDEX('Kế hoạch'!$B$6:$B$305,$O2982)="Đột xuất",INDEX('Kế hoạch'!$AY$6:$AY$305,$O2982),IF(N($P2982)=0,"",IF(INT($B2982)&lt;$P2982,$P2982,IF($Q2982&gt;0,$P2982+ROUND((INT($B2982)-$P2982)/$Q2982,0)*$Q2982,IF($R2982&gt;0,EDATE($P2982,ROUND((DATEDIF($P2982,INT($B2982),"m")+(INT($B2982)-EDATE($P2982,DATEDIF($P2982,INT($B2982),"m")))/(EDATE($P2982,DATEDIF($P2982,INT($B2982),"m")+1)-EDATE($P2982,DATEDIF($P2982,INT($B2982),"m"))))/$R2982,0)*$R2982),$P2982))))),"")))</f>
      </c>
      <c r="M2982" s="223">
        <f>IF(OR($C2982="",N($L2982)=0,N($B2982)=0),"",IF(IF(MOD($L2982,1)=0,INT($B2982),$B2982)&lt;=$L2982,"Đúng hạn","Trễ hạn"))</f>
      </c>
      <c r="N2982" s="225">
        <f>IF($C2982="","",ROW())</f>
      </c>
      <c r="O2982" s="225">
        <f>IF($I2982="Công việc",MATCH($C2982,'Kế hoạch'!$A$6:$A$305,0),"")</f>
      </c>
      <c r="P2982" s="234">
        <f>IF($O2982="","",INDEX('Kế hoạch'!$I$6:$I$305,$O2982))</f>
      </c>
      <c r="Q2982" s="225">
        <f>IF($O2982="","",INDEX('Kế hoạch'!$AJ$6:$AJ$305,$O2982))</f>
      </c>
      <c r="R2982" s="225">
        <f>IF($O2982="","",INDEX('Kế hoạch'!$AK$6:$AK$305,$O2982))</f>
      </c>
    </row>
    <row r="2983">
      <c r="A2983" s="223">
        <f>IF($C2983="","",COUNTIF($C$6:$C2983,"?*"))</f>
      </c>
      <c r="B2983" s="217"/>
      <c r="C2983" s="216"/>
      <c r="D2983" s="240"/>
      <c r="E2983" s="218"/>
      <c r="F2983" s="218"/>
      <c r="G2983" s="218"/>
      <c r="H2983" s="219"/>
      <c r="I2983" s="223">
        <f>IF($C2983="","",IF(ISNUMBER(MATCH($C2983,'Phản ánh'!$A$6:$A$505,0)),"Phản ánh",IF(ISNUMBER(MATCH($C2983,'Kế hoạch'!$A$6:$A$305,0)),"Công việc","Mã chưa có")))</f>
      </c>
      <c r="J2983" s="221">
        <f>IF($I2983="Phản ánh",INDEX('Phản ánh'!$C$6:$C$505,MATCH($C2983,'Phản ánh'!$A$6:$A$505,0)),IF($I2983="Công việc",INDEX('Kế hoạch'!$C$6:$C$305,$O2983),""))</f>
      </c>
      <c r="K2983" s="221">
        <f>IF($I2983="Phản ánh",INDEX('Phản ánh'!$K$6:$K$505,MATCH($C2983,'Phản ánh'!$A$6:$A$505,0))&amp;"",IF($I2983="Công việc",INDEX('Kế hoạch'!$N$6:$N$305,$O2983)&amp;"",""))</f>
      </c>
      <c r="L2983" s="220">
        <f>IF(OR($C2983="",N($B2983)=0),"",IF(AND($I2983="Phản ánh",$E2983="Đã xử lý"),INDEX('Phản ánh'!$U$6:$U$505,MATCH($C2983,'Phản ánh'!$A$6:$A$505,0)),IF(AND($I2983="Công việc",OR($E2983="Hoàn thành",$E2983="Hoàn thành kỳ")),IF(INDEX('Kế hoạch'!$B$6:$B$305,$O2983)="Đột xuất",INDEX('Kế hoạch'!$AY$6:$AY$305,$O2983),IF(N($P2983)=0,"",IF(INT($B2983)&lt;$P2983,$P2983,IF($Q2983&gt;0,$P2983+ROUND((INT($B2983)-$P2983)/$Q2983,0)*$Q2983,IF($R2983&gt;0,EDATE($P2983,ROUND((DATEDIF($P2983,INT($B2983),"m")+(INT($B2983)-EDATE($P2983,DATEDIF($P2983,INT($B2983),"m")))/(EDATE($P2983,DATEDIF($P2983,INT($B2983),"m")+1)-EDATE($P2983,DATEDIF($P2983,INT($B2983),"m"))))/$R2983,0)*$R2983),$P2983))))),"")))</f>
      </c>
      <c r="M2983" s="223">
        <f>IF(OR($C2983="",N($L2983)=0,N($B2983)=0),"",IF(IF(MOD($L2983,1)=0,INT($B2983),$B2983)&lt;=$L2983,"Đúng hạn","Trễ hạn"))</f>
      </c>
      <c r="N2983" s="225">
        <f>IF($C2983="","",ROW())</f>
      </c>
      <c r="O2983" s="225">
        <f>IF($I2983="Công việc",MATCH($C2983,'Kế hoạch'!$A$6:$A$305,0),"")</f>
      </c>
      <c r="P2983" s="234">
        <f>IF($O2983="","",INDEX('Kế hoạch'!$I$6:$I$305,$O2983))</f>
      </c>
      <c r="Q2983" s="225">
        <f>IF($O2983="","",INDEX('Kế hoạch'!$AJ$6:$AJ$305,$O2983))</f>
      </c>
      <c r="R2983" s="225">
        <f>IF($O2983="","",INDEX('Kế hoạch'!$AK$6:$AK$305,$O2983))</f>
      </c>
    </row>
    <row r="2984">
      <c r="A2984" s="223">
        <f>IF($C2984="","",COUNTIF($C$6:$C2984,"?*"))</f>
      </c>
      <c r="B2984" s="217"/>
      <c r="C2984" s="216"/>
      <c r="D2984" s="240"/>
      <c r="E2984" s="218"/>
      <c r="F2984" s="218"/>
      <c r="G2984" s="218"/>
      <c r="H2984" s="219"/>
      <c r="I2984" s="223">
        <f>IF($C2984="","",IF(ISNUMBER(MATCH($C2984,'Phản ánh'!$A$6:$A$505,0)),"Phản ánh",IF(ISNUMBER(MATCH($C2984,'Kế hoạch'!$A$6:$A$305,0)),"Công việc","Mã chưa có")))</f>
      </c>
      <c r="J2984" s="221">
        <f>IF($I2984="Phản ánh",INDEX('Phản ánh'!$C$6:$C$505,MATCH($C2984,'Phản ánh'!$A$6:$A$505,0)),IF($I2984="Công việc",INDEX('Kế hoạch'!$C$6:$C$305,$O2984),""))</f>
      </c>
      <c r="K2984" s="221">
        <f>IF($I2984="Phản ánh",INDEX('Phản ánh'!$K$6:$K$505,MATCH($C2984,'Phản ánh'!$A$6:$A$505,0))&amp;"",IF($I2984="Công việc",INDEX('Kế hoạch'!$N$6:$N$305,$O2984)&amp;"",""))</f>
      </c>
      <c r="L2984" s="220">
        <f>IF(OR($C2984="",N($B2984)=0),"",IF(AND($I2984="Phản ánh",$E2984="Đã xử lý"),INDEX('Phản ánh'!$U$6:$U$505,MATCH($C2984,'Phản ánh'!$A$6:$A$505,0)),IF(AND($I2984="Công việc",OR($E2984="Hoàn thành",$E2984="Hoàn thành kỳ")),IF(INDEX('Kế hoạch'!$B$6:$B$305,$O2984)="Đột xuất",INDEX('Kế hoạch'!$AY$6:$AY$305,$O2984),IF(N($P2984)=0,"",IF(INT($B2984)&lt;$P2984,$P2984,IF($Q2984&gt;0,$P2984+ROUND((INT($B2984)-$P2984)/$Q2984,0)*$Q2984,IF($R2984&gt;0,EDATE($P2984,ROUND((DATEDIF($P2984,INT($B2984),"m")+(INT($B2984)-EDATE($P2984,DATEDIF($P2984,INT($B2984),"m")))/(EDATE($P2984,DATEDIF($P2984,INT($B2984),"m")+1)-EDATE($P2984,DATEDIF($P2984,INT($B2984),"m"))))/$R2984,0)*$R2984),$P2984))))),"")))</f>
      </c>
      <c r="M2984" s="223">
        <f>IF(OR($C2984="",N($L2984)=0,N($B2984)=0),"",IF(IF(MOD($L2984,1)=0,INT($B2984),$B2984)&lt;=$L2984,"Đúng hạn","Trễ hạn"))</f>
      </c>
      <c r="N2984" s="225">
        <f>IF($C2984="","",ROW())</f>
      </c>
      <c r="O2984" s="225">
        <f>IF($I2984="Công việc",MATCH($C2984,'Kế hoạch'!$A$6:$A$305,0),"")</f>
      </c>
      <c r="P2984" s="234">
        <f>IF($O2984="","",INDEX('Kế hoạch'!$I$6:$I$305,$O2984))</f>
      </c>
      <c r="Q2984" s="225">
        <f>IF($O2984="","",INDEX('Kế hoạch'!$AJ$6:$AJ$305,$O2984))</f>
      </c>
      <c r="R2984" s="225">
        <f>IF($O2984="","",INDEX('Kế hoạch'!$AK$6:$AK$305,$O2984))</f>
      </c>
    </row>
    <row r="2985">
      <c r="A2985" s="223">
        <f>IF($C2985="","",COUNTIF($C$6:$C2985,"?*"))</f>
      </c>
      <c r="B2985" s="217"/>
      <c r="C2985" s="216"/>
      <c r="D2985" s="240"/>
      <c r="E2985" s="218"/>
      <c r="F2985" s="218"/>
      <c r="G2985" s="218"/>
      <c r="H2985" s="219"/>
      <c r="I2985" s="223">
        <f>IF($C2985="","",IF(ISNUMBER(MATCH($C2985,'Phản ánh'!$A$6:$A$505,0)),"Phản ánh",IF(ISNUMBER(MATCH($C2985,'Kế hoạch'!$A$6:$A$305,0)),"Công việc","Mã chưa có")))</f>
      </c>
      <c r="J2985" s="221">
        <f>IF($I2985="Phản ánh",INDEX('Phản ánh'!$C$6:$C$505,MATCH($C2985,'Phản ánh'!$A$6:$A$505,0)),IF($I2985="Công việc",INDEX('Kế hoạch'!$C$6:$C$305,$O2985),""))</f>
      </c>
      <c r="K2985" s="221">
        <f>IF($I2985="Phản ánh",INDEX('Phản ánh'!$K$6:$K$505,MATCH($C2985,'Phản ánh'!$A$6:$A$505,0))&amp;"",IF($I2985="Công việc",INDEX('Kế hoạch'!$N$6:$N$305,$O2985)&amp;"",""))</f>
      </c>
      <c r="L2985" s="220">
        <f>IF(OR($C2985="",N($B2985)=0),"",IF(AND($I2985="Phản ánh",$E2985="Đã xử lý"),INDEX('Phản ánh'!$U$6:$U$505,MATCH($C2985,'Phản ánh'!$A$6:$A$505,0)),IF(AND($I2985="Công việc",OR($E2985="Hoàn thành",$E2985="Hoàn thành kỳ")),IF(INDEX('Kế hoạch'!$B$6:$B$305,$O2985)="Đột xuất",INDEX('Kế hoạch'!$AY$6:$AY$305,$O2985),IF(N($P2985)=0,"",IF(INT($B2985)&lt;$P2985,$P2985,IF($Q2985&gt;0,$P2985+ROUND((INT($B2985)-$P2985)/$Q2985,0)*$Q2985,IF($R2985&gt;0,EDATE($P2985,ROUND((DATEDIF($P2985,INT($B2985),"m")+(INT($B2985)-EDATE($P2985,DATEDIF($P2985,INT($B2985),"m")))/(EDATE($P2985,DATEDIF($P2985,INT($B2985),"m")+1)-EDATE($P2985,DATEDIF($P2985,INT($B2985),"m"))))/$R2985,0)*$R2985),$P2985))))),"")))</f>
      </c>
      <c r="M2985" s="223">
        <f>IF(OR($C2985="",N($L2985)=0,N($B2985)=0),"",IF(IF(MOD($L2985,1)=0,INT($B2985),$B2985)&lt;=$L2985,"Đúng hạn","Trễ hạn"))</f>
      </c>
      <c r="N2985" s="225">
        <f>IF($C2985="","",ROW())</f>
      </c>
      <c r="O2985" s="225">
        <f>IF($I2985="Công việc",MATCH($C2985,'Kế hoạch'!$A$6:$A$305,0),"")</f>
      </c>
      <c r="P2985" s="234">
        <f>IF($O2985="","",INDEX('Kế hoạch'!$I$6:$I$305,$O2985))</f>
      </c>
      <c r="Q2985" s="225">
        <f>IF($O2985="","",INDEX('Kế hoạch'!$AJ$6:$AJ$305,$O2985))</f>
      </c>
      <c r="R2985" s="225">
        <f>IF($O2985="","",INDEX('Kế hoạch'!$AK$6:$AK$305,$O2985))</f>
      </c>
    </row>
    <row r="2986">
      <c r="A2986" s="223">
        <f>IF($C2986="","",COUNTIF($C$6:$C2986,"?*"))</f>
      </c>
      <c r="B2986" s="217"/>
      <c r="C2986" s="216"/>
      <c r="D2986" s="240"/>
      <c r="E2986" s="218"/>
      <c r="F2986" s="218"/>
      <c r="G2986" s="218"/>
      <c r="H2986" s="219"/>
      <c r="I2986" s="223">
        <f>IF($C2986="","",IF(ISNUMBER(MATCH($C2986,'Phản ánh'!$A$6:$A$505,0)),"Phản ánh",IF(ISNUMBER(MATCH($C2986,'Kế hoạch'!$A$6:$A$305,0)),"Công việc","Mã chưa có")))</f>
      </c>
      <c r="J2986" s="221">
        <f>IF($I2986="Phản ánh",INDEX('Phản ánh'!$C$6:$C$505,MATCH($C2986,'Phản ánh'!$A$6:$A$505,0)),IF($I2986="Công việc",INDEX('Kế hoạch'!$C$6:$C$305,$O2986),""))</f>
      </c>
      <c r="K2986" s="221">
        <f>IF($I2986="Phản ánh",INDEX('Phản ánh'!$K$6:$K$505,MATCH($C2986,'Phản ánh'!$A$6:$A$505,0))&amp;"",IF($I2986="Công việc",INDEX('Kế hoạch'!$N$6:$N$305,$O2986)&amp;"",""))</f>
      </c>
      <c r="L2986" s="220">
        <f>IF(OR($C2986="",N($B2986)=0),"",IF(AND($I2986="Phản ánh",$E2986="Đã xử lý"),INDEX('Phản ánh'!$U$6:$U$505,MATCH($C2986,'Phản ánh'!$A$6:$A$505,0)),IF(AND($I2986="Công việc",OR($E2986="Hoàn thành",$E2986="Hoàn thành kỳ")),IF(INDEX('Kế hoạch'!$B$6:$B$305,$O2986)="Đột xuất",INDEX('Kế hoạch'!$AY$6:$AY$305,$O2986),IF(N($P2986)=0,"",IF(INT($B2986)&lt;$P2986,$P2986,IF($Q2986&gt;0,$P2986+ROUND((INT($B2986)-$P2986)/$Q2986,0)*$Q2986,IF($R2986&gt;0,EDATE($P2986,ROUND((DATEDIF($P2986,INT($B2986),"m")+(INT($B2986)-EDATE($P2986,DATEDIF($P2986,INT($B2986),"m")))/(EDATE($P2986,DATEDIF($P2986,INT($B2986),"m")+1)-EDATE($P2986,DATEDIF($P2986,INT($B2986),"m"))))/$R2986,0)*$R2986),$P2986))))),"")))</f>
      </c>
      <c r="M2986" s="223">
        <f>IF(OR($C2986="",N($L2986)=0,N($B2986)=0),"",IF(IF(MOD($L2986,1)=0,INT($B2986),$B2986)&lt;=$L2986,"Đúng hạn","Trễ hạn"))</f>
      </c>
      <c r="N2986" s="225">
        <f>IF($C2986="","",ROW())</f>
      </c>
      <c r="O2986" s="225">
        <f>IF($I2986="Công việc",MATCH($C2986,'Kế hoạch'!$A$6:$A$305,0),"")</f>
      </c>
      <c r="P2986" s="234">
        <f>IF($O2986="","",INDEX('Kế hoạch'!$I$6:$I$305,$O2986))</f>
      </c>
      <c r="Q2986" s="225">
        <f>IF($O2986="","",INDEX('Kế hoạch'!$AJ$6:$AJ$305,$O2986))</f>
      </c>
      <c r="R2986" s="225">
        <f>IF($O2986="","",INDEX('Kế hoạch'!$AK$6:$AK$305,$O2986))</f>
      </c>
    </row>
    <row r="2987">
      <c r="A2987" s="223">
        <f>IF($C2987="","",COUNTIF($C$6:$C2987,"?*"))</f>
      </c>
      <c r="B2987" s="217"/>
      <c r="C2987" s="216"/>
      <c r="D2987" s="240"/>
      <c r="E2987" s="218"/>
      <c r="F2987" s="218"/>
      <c r="G2987" s="218"/>
      <c r="H2987" s="219"/>
      <c r="I2987" s="223">
        <f>IF($C2987="","",IF(ISNUMBER(MATCH($C2987,'Phản ánh'!$A$6:$A$505,0)),"Phản ánh",IF(ISNUMBER(MATCH($C2987,'Kế hoạch'!$A$6:$A$305,0)),"Công việc","Mã chưa có")))</f>
      </c>
      <c r="J2987" s="221">
        <f>IF($I2987="Phản ánh",INDEX('Phản ánh'!$C$6:$C$505,MATCH($C2987,'Phản ánh'!$A$6:$A$505,0)),IF($I2987="Công việc",INDEX('Kế hoạch'!$C$6:$C$305,$O2987),""))</f>
      </c>
      <c r="K2987" s="221">
        <f>IF($I2987="Phản ánh",INDEX('Phản ánh'!$K$6:$K$505,MATCH($C2987,'Phản ánh'!$A$6:$A$505,0))&amp;"",IF($I2987="Công việc",INDEX('Kế hoạch'!$N$6:$N$305,$O2987)&amp;"",""))</f>
      </c>
      <c r="L2987" s="220">
        <f>IF(OR($C2987="",N($B2987)=0),"",IF(AND($I2987="Phản ánh",$E2987="Đã xử lý"),INDEX('Phản ánh'!$U$6:$U$505,MATCH($C2987,'Phản ánh'!$A$6:$A$505,0)),IF(AND($I2987="Công việc",OR($E2987="Hoàn thành",$E2987="Hoàn thành kỳ")),IF(INDEX('Kế hoạch'!$B$6:$B$305,$O2987)="Đột xuất",INDEX('Kế hoạch'!$AY$6:$AY$305,$O2987),IF(N($P2987)=0,"",IF(INT($B2987)&lt;$P2987,$P2987,IF($Q2987&gt;0,$P2987+ROUND((INT($B2987)-$P2987)/$Q2987,0)*$Q2987,IF($R2987&gt;0,EDATE($P2987,ROUND((DATEDIF($P2987,INT($B2987),"m")+(INT($B2987)-EDATE($P2987,DATEDIF($P2987,INT($B2987),"m")))/(EDATE($P2987,DATEDIF($P2987,INT($B2987),"m")+1)-EDATE($P2987,DATEDIF($P2987,INT($B2987),"m"))))/$R2987,0)*$R2987),$P2987))))),"")))</f>
      </c>
      <c r="M2987" s="223">
        <f>IF(OR($C2987="",N($L2987)=0,N($B2987)=0),"",IF(IF(MOD($L2987,1)=0,INT($B2987),$B2987)&lt;=$L2987,"Đúng hạn","Trễ hạn"))</f>
      </c>
      <c r="N2987" s="225">
        <f>IF($C2987="","",ROW())</f>
      </c>
      <c r="O2987" s="225">
        <f>IF($I2987="Công việc",MATCH($C2987,'Kế hoạch'!$A$6:$A$305,0),"")</f>
      </c>
      <c r="P2987" s="234">
        <f>IF($O2987="","",INDEX('Kế hoạch'!$I$6:$I$305,$O2987))</f>
      </c>
      <c r="Q2987" s="225">
        <f>IF($O2987="","",INDEX('Kế hoạch'!$AJ$6:$AJ$305,$O2987))</f>
      </c>
      <c r="R2987" s="225">
        <f>IF($O2987="","",INDEX('Kế hoạch'!$AK$6:$AK$305,$O2987))</f>
      </c>
    </row>
    <row r="2988">
      <c r="A2988" s="223">
        <f>IF($C2988="","",COUNTIF($C$6:$C2988,"?*"))</f>
      </c>
      <c r="B2988" s="217"/>
      <c r="C2988" s="216"/>
      <c r="D2988" s="240"/>
      <c r="E2988" s="218"/>
      <c r="F2988" s="218"/>
      <c r="G2988" s="218"/>
      <c r="H2988" s="219"/>
      <c r="I2988" s="223">
        <f>IF($C2988="","",IF(ISNUMBER(MATCH($C2988,'Phản ánh'!$A$6:$A$505,0)),"Phản ánh",IF(ISNUMBER(MATCH($C2988,'Kế hoạch'!$A$6:$A$305,0)),"Công việc","Mã chưa có")))</f>
      </c>
      <c r="J2988" s="221">
        <f>IF($I2988="Phản ánh",INDEX('Phản ánh'!$C$6:$C$505,MATCH($C2988,'Phản ánh'!$A$6:$A$505,0)),IF($I2988="Công việc",INDEX('Kế hoạch'!$C$6:$C$305,$O2988),""))</f>
      </c>
      <c r="K2988" s="221">
        <f>IF($I2988="Phản ánh",INDEX('Phản ánh'!$K$6:$K$505,MATCH($C2988,'Phản ánh'!$A$6:$A$505,0))&amp;"",IF($I2988="Công việc",INDEX('Kế hoạch'!$N$6:$N$305,$O2988)&amp;"",""))</f>
      </c>
      <c r="L2988" s="220">
        <f>IF(OR($C2988="",N($B2988)=0),"",IF(AND($I2988="Phản ánh",$E2988="Đã xử lý"),INDEX('Phản ánh'!$U$6:$U$505,MATCH($C2988,'Phản ánh'!$A$6:$A$505,0)),IF(AND($I2988="Công việc",OR($E2988="Hoàn thành",$E2988="Hoàn thành kỳ")),IF(INDEX('Kế hoạch'!$B$6:$B$305,$O2988)="Đột xuất",INDEX('Kế hoạch'!$AY$6:$AY$305,$O2988),IF(N($P2988)=0,"",IF(INT($B2988)&lt;$P2988,$P2988,IF($Q2988&gt;0,$P2988+ROUND((INT($B2988)-$P2988)/$Q2988,0)*$Q2988,IF($R2988&gt;0,EDATE($P2988,ROUND((DATEDIF($P2988,INT($B2988),"m")+(INT($B2988)-EDATE($P2988,DATEDIF($P2988,INT($B2988),"m")))/(EDATE($P2988,DATEDIF($P2988,INT($B2988),"m")+1)-EDATE($P2988,DATEDIF($P2988,INT($B2988),"m"))))/$R2988,0)*$R2988),$P2988))))),"")))</f>
      </c>
      <c r="M2988" s="223">
        <f>IF(OR($C2988="",N($L2988)=0,N($B2988)=0),"",IF(IF(MOD($L2988,1)=0,INT($B2988),$B2988)&lt;=$L2988,"Đúng hạn","Trễ hạn"))</f>
      </c>
      <c r="N2988" s="225">
        <f>IF($C2988="","",ROW())</f>
      </c>
      <c r="O2988" s="225">
        <f>IF($I2988="Công việc",MATCH($C2988,'Kế hoạch'!$A$6:$A$305,0),"")</f>
      </c>
      <c r="P2988" s="234">
        <f>IF($O2988="","",INDEX('Kế hoạch'!$I$6:$I$305,$O2988))</f>
      </c>
      <c r="Q2988" s="225">
        <f>IF($O2988="","",INDEX('Kế hoạch'!$AJ$6:$AJ$305,$O2988))</f>
      </c>
      <c r="R2988" s="225">
        <f>IF($O2988="","",INDEX('Kế hoạch'!$AK$6:$AK$305,$O2988))</f>
      </c>
    </row>
    <row r="2989">
      <c r="A2989" s="223">
        <f>IF($C2989="","",COUNTIF($C$6:$C2989,"?*"))</f>
      </c>
      <c r="B2989" s="217"/>
      <c r="C2989" s="216"/>
      <c r="D2989" s="240"/>
      <c r="E2989" s="218"/>
      <c r="F2989" s="218"/>
      <c r="G2989" s="218"/>
      <c r="H2989" s="219"/>
      <c r="I2989" s="223">
        <f>IF($C2989="","",IF(ISNUMBER(MATCH($C2989,'Phản ánh'!$A$6:$A$505,0)),"Phản ánh",IF(ISNUMBER(MATCH($C2989,'Kế hoạch'!$A$6:$A$305,0)),"Công việc","Mã chưa có")))</f>
      </c>
      <c r="J2989" s="221">
        <f>IF($I2989="Phản ánh",INDEX('Phản ánh'!$C$6:$C$505,MATCH($C2989,'Phản ánh'!$A$6:$A$505,0)),IF($I2989="Công việc",INDEX('Kế hoạch'!$C$6:$C$305,$O2989),""))</f>
      </c>
      <c r="K2989" s="221">
        <f>IF($I2989="Phản ánh",INDEX('Phản ánh'!$K$6:$K$505,MATCH($C2989,'Phản ánh'!$A$6:$A$505,0))&amp;"",IF($I2989="Công việc",INDEX('Kế hoạch'!$N$6:$N$305,$O2989)&amp;"",""))</f>
      </c>
      <c r="L2989" s="220">
        <f>IF(OR($C2989="",N($B2989)=0),"",IF(AND($I2989="Phản ánh",$E2989="Đã xử lý"),INDEX('Phản ánh'!$U$6:$U$505,MATCH($C2989,'Phản ánh'!$A$6:$A$505,0)),IF(AND($I2989="Công việc",OR($E2989="Hoàn thành",$E2989="Hoàn thành kỳ")),IF(INDEX('Kế hoạch'!$B$6:$B$305,$O2989)="Đột xuất",INDEX('Kế hoạch'!$AY$6:$AY$305,$O2989),IF(N($P2989)=0,"",IF(INT($B2989)&lt;$P2989,$P2989,IF($Q2989&gt;0,$P2989+ROUND((INT($B2989)-$P2989)/$Q2989,0)*$Q2989,IF($R2989&gt;0,EDATE($P2989,ROUND((DATEDIF($P2989,INT($B2989),"m")+(INT($B2989)-EDATE($P2989,DATEDIF($P2989,INT($B2989),"m")))/(EDATE($P2989,DATEDIF($P2989,INT($B2989),"m")+1)-EDATE($P2989,DATEDIF($P2989,INT($B2989),"m"))))/$R2989,0)*$R2989),$P2989))))),"")))</f>
      </c>
      <c r="M2989" s="223">
        <f>IF(OR($C2989="",N($L2989)=0,N($B2989)=0),"",IF(IF(MOD($L2989,1)=0,INT($B2989),$B2989)&lt;=$L2989,"Đúng hạn","Trễ hạn"))</f>
      </c>
      <c r="N2989" s="225">
        <f>IF($C2989="","",ROW())</f>
      </c>
      <c r="O2989" s="225">
        <f>IF($I2989="Công việc",MATCH($C2989,'Kế hoạch'!$A$6:$A$305,0),"")</f>
      </c>
      <c r="P2989" s="234">
        <f>IF($O2989="","",INDEX('Kế hoạch'!$I$6:$I$305,$O2989))</f>
      </c>
      <c r="Q2989" s="225">
        <f>IF($O2989="","",INDEX('Kế hoạch'!$AJ$6:$AJ$305,$O2989))</f>
      </c>
      <c r="R2989" s="225">
        <f>IF($O2989="","",INDEX('Kế hoạch'!$AK$6:$AK$305,$O2989))</f>
      </c>
    </row>
    <row r="2990">
      <c r="A2990" s="223">
        <f>IF($C2990="","",COUNTIF($C$6:$C2990,"?*"))</f>
      </c>
      <c r="B2990" s="217"/>
      <c r="C2990" s="216"/>
      <c r="D2990" s="240"/>
      <c r="E2990" s="218"/>
      <c r="F2990" s="218"/>
      <c r="G2990" s="218"/>
      <c r="H2990" s="219"/>
      <c r="I2990" s="223">
        <f>IF($C2990="","",IF(ISNUMBER(MATCH($C2990,'Phản ánh'!$A$6:$A$505,0)),"Phản ánh",IF(ISNUMBER(MATCH($C2990,'Kế hoạch'!$A$6:$A$305,0)),"Công việc","Mã chưa có")))</f>
      </c>
      <c r="J2990" s="221">
        <f>IF($I2990="Phản ánh",INDEX('Phản ánh'!$C$6:$C$505,MATCH($C2990,'Phản ánh'!$A$6:$A$505,0)),IF($I2990="Công việc",INDEX('Kế hoạch'!$C$6:$C$305,$O2990),""))</f>
      </c>
      <c r="K2990" s="221">
        <f>IF($I2990="Phản ánh",INDEX('Phản ánh'!$K$6:$K$505,MATCH($C2990,'Phản ánh'!$A$6:$A$505,0))&amp;"",IF($I2990="Công việc",INDEX('Kế hoạch'!$N$6:$N$305,$O2990)&amp;"",""))</f>
      </c>
      <c r="L2990" s="220">
        <f>IF(OR($C2990="",N($B2990)=0),"",IF(AND($I2990="Phản ánh",$E2990="Đã xử lý"),INDEX('Phản ánh'!$U$6:$U$505,MATCH($C2990,'Phản ánh'!$A$6:$A$505,0)),IF(AND($I2990="Công việc",OR($E2990="Hoàn thành",$E2990="Hoàn thành kỳ")),IF(INDEX('Kế hoạch'!$B$6:$B$305,$O2990)="Đột xuất",INDEX('Kế hoạch'!$AY$6:$AY$305,$O2990),IF(N($P2990)=0,"",IF(INT($B2990)&lt;$P2990,$P2990,IF($Q2990&gt;0,$P2990+ROUND((INT($B2990)-$P2990)/$Q2990,0)*$Q2990,IF($R2990&gt;0,EDATE($P2990,ROUND((DATEDIF($P2990,INT($B2990),"m")+(INT($B2990)-EDATE($P2990,DATEDIF($P2990,INT($B2990),"m")))/(EDATE($P2990,DATEDIF($P2990,INT($B2990),"m")+1)-EDATE($P2990,DATEDIF($P2990,INT($B2990),"m"))))/$R2990,0)*$R2990),$P2990))))),"")))</f>
      </c>
      <c r="M2990" s="223">
        <f>IF(OR($C2990="",N($L2990)=0,N($B2990)=0),"",IF(IF(MOD($L2990,1)=0,INT($B2990),$B2990)&lt;=$L2990,"Đúng hạn","Trễ hạn"))</f>
      </c>
      <c r="N2990" s="225">
        <f>IF($C2990="","",ROW())</f>
      </c>
      <c r="O2990" s="225">
        <f>IF($I2990="Công việc",MATCH($C2990,'Kế hoạch'!$A$6:$A$305,0),"")</f>
      </c>
      <c r="P2990" s="234">
        <f>IF($O2990="","",INDEX('Kế hoạch'!$I$6:$I$305,$O2990))</f>
      </c>
      <c r="Q2990" s="225">
        <f>IF($O2990="","",INDEX('Kế hoạch'!$AJ$6:$AJ$305,$O2990))</f>
      </c>
      <c r="R2990" s="225">
        <f>IF($O2990="","",INDEX('Kế hoạch'!$AK$6:$AK$305,$O2990))</f>
      </c>
    </row>
    <row r="2991">
      <c r="A2991" s="223">
        <f>IF($C2991="","",COUNTIF($C$6:$C2991,"?*"))</f>
      </c>
      <c r="B2991" s="217"/>
      <c r="C2991" s="216"/>
      <c r="D2991" s="240"/>
      <c r="E2991" s="218"/>
      <c r="F2991" s="218"/>
      <c r="G2991" s="218"/>
      <c r="H2991" s="219"/>
      <c r="I2991" s="223">
        <f>IF($C2991="","",IF(ISNUMBER(MATCH($C2991,'Phản ánh'!$A$6:$A$505,0)),"Phản ánh",IF(ISNUMBER(MATCH($C2991,'Kế hoạch'!$A$6:$A$305,0)),"Công việc","Mã chưa có")))</f>
      </c>
      <c r="J2991" s="221">
        <f>IF($I2991="Phản ánh",INDEX('Phản ánh'!$C$6:$C$505,MATCH($C2991,'Phản ánh'!$A$6:$A$505,0)),IF($I2991="Công việc",INDEX('Kế hoạch'!$C$6:$C$305,$O2991),""))</f>
      </c>
      <c r="K2991" s="221">
        <f>IF($I2991="Phản ánh",INDEX('Phản ánh'!$K$6:$K$505,MATCH($C2991,'Phản ánh'!$A$6:$A$505,0))&amp;"",IF($I2991="Công việc",INDEX('Kế hoạch'!$N$6:$N$305,$O2991)&amp;"",""))</f>
      </c>
      <c r="L2991" s="220">
        <f>IF(OR($C2991="",N($B2991)=0),"",IF(AND($I2991="Phản ánh",$E2991="Đã xử lý"),INDEX('Phản ánh'!$U$6:$U$505,MATCH($C2991,'Phản ánh'!$A$6:$A$505,0)),IF(AND($I2991="Công việc",OR($E2991="Hoàn thành",$E2991="Hoàn thành kỳ")),IF(INDEX('Kế hoạch'!$B$6:$B$305,$O2991)="Đột xuất",INDEX('Kế hoạch'!$AY$6:$AY$305,$O2991),IF(N($P2991)=0,"",IF(INT($B2991)&lt;$P2991,$P2991,IF($Q2991&gt;0,$P2991+ROUND((INT($B2991)-$P2991)/$Q2991,0)*$Q2991,IF($R2991&gt;0,EDATE($P2991,ROUND((DATEDIF($P2991,INT($B2991),"m")+(INT($B2991)-EDATE($P2991,DATEDIF($P2991,INT($B2991),"m")))/(EDATE($P2991,DATEDIF($P2991,INT($B2991),"m")+1)-EDATE($P2991,DATEDIF($P2991,INT($B2991),"m"))))/$R2991,0)*$R2991),$P2991))))),"")))</f>
      </c>
      <c r="M2991" s="223">
        <f>IF(OR($C2991="",N($L2991)=0,N($B2991)=0),"",IF(IF(MOD($L2991,1)=0,INT($B2991),$B2991)&lt;=$L2991,"Đúng hạn","Trễ hạn"))</f>
      </c>
      <c r="N2991" s="225">
        <f>IF($C2991="","",ROW())</f>
      </c>
      <c r="O2991" s="225">
        <f>IF($I2991="Công việc",MATCH($C2991,'Kế hoạch'!$A$6:$A$305,0),"")</f>
      </c>
      <c r="P2991" s="234">
        <f>IF($O2991="","",INDEX('Kế hoạch'!$I$6:$I$305,$O2991))</f>
      </c>
      <c r="Q2991" s="225">
        <f>IF($O2991="","",INDEX('Kế hoạch'!$AJ$6:$AJ$305,$O2991))</f>
      </c>
      <c r="R2991" s="225">
        <f>IF($O2991="","",INDEX('Kế hoạch'!$AK$6:$AK$305,$O2991))</f>
      </c>
    </row>
    <row r="2992">
      <c r="A2992" s="223">
        <f>IF($C2992="","",COUNTIF($C$6:$C2992,"?*"))</f>
      </c>
      <c r="B2992" s="217"/>
      <c r="C2992" s="216"/>
      <c r="D2992" s="240"/>
      <c r="E2992" s="218"/>
      <c r="F2992" s="218"/>
      <c r="G2992" s="218"/>
      <c r="H2992" s="219"/>
      <c r="I2992" s="223">
        <f>IF($C2992="","",IF(ISNUMBER(MATCH($C2992,'Phản ánh'!$A$6:$A$505,0)),"Phản ánh",IF(ISNUMBER(MATCH($C2992,'Kế hoạch'!$A$6:$A$305,0)),"Công việc","Mã chưa có")))</f>
      </c>
      <c r="J2992" s="221">
        <f>IF($I2992="Phản ánh",INDEX('Phản ánh'!$C$6:$C$505,MATCH($C2992,'Phản ánh'!$A$6:$A$505,0)),IF($I2992="Công việc",INDEX('Kế hoạch'!$C$6:$C$305,$O2992),""))</f>
      </c>
      <c r="K2992" s="221">
        <f>IF($I2992="Phản ánh",INDEX('Phản ánh'!$K$6:$K$505,MATCH($C2992,'Phản ánh'!$A$6:$A$505,0))&amp;"",IF($I2992="Công việc",INDEX('Kế hoạch'!$N$6:$N$305,$O2992)&amp;"",""))</f>
      </c>
      <c r="L2992" s="220">
        <f>IF(OR($C2992="",N($B2992)=0),"",IF(AND($I2992="Phản ánh",$E2992="Đã xử lý"),INDEX('Phản ánh'!$U$6:$U$505,MATCH($C2992,'Phản ánh'!$A$6:$A$505,0)),IF(AND($I2992="Công việc",OR($E2992="Hoàn thành",$E2992="Hoàn thành kỳ")),IF(INDEX('Kế hoạch'!$B$6:$B$305,$O2992)="Đột xuất",INDEX('Kế hoạch'!$AY$6:$AY$305,$O2992),IF(N($P2992)=0,"",IF(INT($B2992)&lt;$P2992,$P2992,IF($Q2992&gt;0,$P2992+ROUND((INT($B2992)-$P2992)/$Q2992,0)*$Q2992,IF($R2992&gt;0,EDATE($P2992,ROUND((DATEDIF($P2992,INT($B2992),"m")+(INT($B2992)-EDATE($P2992,DATEDIF($P2992,INT($B2992),"m")))/(EDATE($P2992,DATEDIF($P2992,INT($B2992),"m")+1)-EDATE($P2992,DATEDIF($P2992,INT($B2992),"m"))))/$R2992,0)*$R2992),$P2992))))),"")))</f>
      </c>
      <c r="M2992" s="223">
        <f>IF(OR($C2992="",N($L2992)=0,N($B2992)=0),"",IF(IF(MOD($L2992,1)=0,INT($B2992),$B2992)&lt;=$L2992,"Đúng hạn","Trễ hạn"))</f>
      </c>
      <c r="N2992" s="225">
        <f>IF($C2992="","",ROW())</f>
      </c>
      <c r="O2992" s="225">
        <f>IF($I2992="Công việc",MATCH($C2992,'Kế hoạch'!$A$6:$A$305,0),"")</f>
      </c>
      <c r="P2992" s="234">
        <f>IF($O2992="","",INDEX('Kế hoạch'!$I$6:$I$305,$O2992))</f>
      </c>
      <c r="Q2992" s="225">
        <f>IF($O2992="","",INDEX('Kế hoạch'!$AJ$6:$AJ$305,$O2992))</f>
      </c>
      <c r="R2992" s="225">
        <f>IF($O2992="","",INDEX('Kế hoạch'!$AK$6:$AK$305,$O2992))</f>
      </c>
    </row>
    <row r="2993">
      <c r="A2993" s="223">
        <f>IF($C2993="","",COUNTIF($C$6:$C2993,"?*"))</f>
      </c>
      <c r="B2993" s="217"/>
      <c r="C2993" s="216"/>
      <c r="D2993" s="240"/>
      <c r="E2993" s="218"/>
      <c r="F2993" s="218"/>
      <c r="G2993" s="218"/>
      <c r="H2993" s="219"/>
      <c r="I2993" s="223">
        <f>IF($C2993="","",IF(ISNUMBER(MATCH($C2993,'Phản ánh'!$A$6:$A$505,0)),"Phản ánh",IF(ISNUMBER(MATCH($C2993,'Kế hoạch'!$A$6:$A$305,0)),"Công việc","Mã chưa có")))</f>
      </c>
      <c r="J2993" s="221">
        <f>IF($I2993="Phản ánh",INDEX('Phản ánh'!$C$6:$C$505,MATCH($C2993,'Phản ánh'!$A$6:$A$505,0)),IF($I2993="Công việc",INDEX('Kế hoạch'!$C$6:$C$305,$O2993),""))</f>
      </c>
      <c r="K2993" s="221">
        <f>IF($I2993="Phản ánh",INDEX('Phản ánh'!$K$6:$K$505,MATCH($C2993,'Phản ánh'!$A$6:$A$505,0))&amp;"",IF($I2993="Công việc",INDEX('Kế hoạch'!$N$6:$N$305,$O2993)&amp;"",""))</f>
      </c>
      <c r="L2993" s="220">
        <f>IF(OR($C2993="",N($B2993)=0),"",IF(AND($I2993="Phản ánh",$E2993="Đã xử lý"),INDEX('Phản ánh'!$U$6:$U$505,MATCH($C2993,'Phản ánh'!$A$6:$A$505,0)),IF(AND($I2993="Công việc",OR($E2993="Hoàn thành",$E2993="Hoàn thành kỳ")),IF(INDEX('Kế hoạch'!$B$6:$B$305,$O2993)="Đột xuất",INDEX('Kế hoạch'!$AY$6:$AY$305,$O2993),IF(N($P2993)=0,"",IF(INT($B2993)&lt;$P2993,$P2993,IF($Q2993&gt;0,$P2993+ROUND((INT($B2993)-$P2993)/$Q2993,0)*$Q2993,IF($R2993&gt;0,EDATE($P2993,ROUND((DATEDIF($P2993,INT($B2993),"m")+(INT($B2993)-EDATE($P2993,DATEDIF($P2993,INT($B2993),"m")))/(EDATE($P2993,DATEDIF($P2993,INT($B2993),"m")+1)-EDATE($P2993,DATEDIF($P2993,INT($B2993),"m"))))/$R2993,0)*$R2993),$P2993))))),"")))</f>
      </c>
      <c r="M2993" s="223">
        <f>IF(OR($C2993="",N($L2993)=0,N($B2993)=0),"",IF(IF(MOD($L2993,1)=0,INT($B2993),$B2993)&lt;=$L2993,"Đúng hạn","Trễ hạn"))</f>
      </c>
      <c r="N2993" s="225">
        <f>IF($C2993="","",ROW())</f>
      </c>
      <c r="O2993" s="225">
        <f>IF($I2993="Công việc",MATCH($C2993,'Kế hoạch'!$A$6:$A$305,0),"")</f>
      </c>
      <c r="P2993" s="234">
        <f>IF($O2993="","",INDEX('Kế hoạch'!$I$6:$I$305,$O2993))</f>
      </c>
      <c r="Q2993" s="225">
        <f>IF($O2993="","",INDEX('Kế hoạch'!$AJ$6:$AJ$305,$O2993))</f>
      </c>
      <c r="R2993" s="225">
        <f>IF($O2993="","",INDEX('Kế hoạch'!$AK$6:$AK$305,$O2993))</f>
      </c>
    </row>
    <row r="2994">
      <c r="A2994" s="223">
        <f>IF($C2994="","",COUNTIF($C$6:$C2994,"?*"))</f>
      </c>
      <c r="B2994" s="217"/>
      <c r="C2994" s="216"/>
      <c r="D2994" s="240"/>
      <c r="E2994" s="218"/>
      <c r="F2994" s="218"/>
      <c r="G2994" s="218"/>
      <c r="H2994" s="219"/>
      <c r="I2994" s="223">
        <f>IF($C2994="","",IF(ISNUMBER(MATCH($C2994,'Phản ánh'!$A$6:$A$505,0)),"Phản ánh",IF(ISNUMBER(MATCH($C2994,'Kế hoạch'!$A$6:$A$305,0)),"Công việc","Mã chưa có")))</f>
      </c>
      <c r="J2994" s="221">
        <f>IF($I2994="Phản ánh",INDEX('Phản ánh'!$C$6:$C$505,MATCH($C2994,'Phản ánh'!$A$6:$A$505,0)),IF($I2994="Công việc",INDEX('Kế hoạch'!$C$6:$C$305,$O2994),""))</f>
      </c>
      <c r="K2994" s="221">
        <f>IF($I2994="Phản ánh",INDEX('Phản ánh'!$K$6:$K$505,MATCH($C2994,'Phản ánh'!$A$6:$A$505,0))&amp;"",IF($I2994="Công việc",INDEX('Kế hoạch'!$N$6:$N$305,$O2994)&amp;"",""))</f>
      </c>
      <c r="L2994" s="220">
        <f>IF(OR($C2994="",N($B2994)=0),"",IF(AND($I2994="Phản ánh",$E2994="Đã xử lý"),INDEX('Phản ánh'!$U$6:$U$505,MATCH($C2994,'Phản ánh'!$A$6:$A$505,0)),IF(AND($I2994="Công việc",OR($E2994="Hoàn thành",$E2994="Hoàn thành kỳ")),IF(INDEX('Kế hoạch'!$B$6:$B$305,$O2994)="Đột xuất",INDEX('Kế hoạch'!$AY$6:$AY$305,$O2994),IF(N($P2994)=0,"",IF(INT($B2994)&lt;$P2994,$P2994,IF($Q2994&gt;0,$P2994+ROUND((INT($B2994)-$P2994)/$Q2994,0)*$Q2994,IF($R2994&gt;0,EDATE($P2994,ROUND((DATEDIF($P2994,INT($B2994),"m")+(INT($B2994)-EDATE($P2994,DATEDIF($P2994,INT($B2994),"m")))/(EDATE($P2994,DATEDIF($P2994,INT($B2994),"m")+1)-EDATE($P2994,DATEDIF($P2994,INT($B2994),"m"))))/$R2994,0)*$R2994),$P2994))))),"")))</f>
      </c>
      <c r="M2994" s="223">
        <f>IF(OR($C2994="",N($L2994)=0,N($B2994)=0),"",IF(IF(MOD($L2994,1)=0,INT($B2994),$B2994)&lt;=$L2994,"Đúng hạn","Trễ hạn"))</f>
      </c>
      <c r="N2994" s="225">
        <f>IF($C2994="","",ROW())</f>
      </c>
      <c r="O2994" s="225">
        <f>IF($I2994="Công việc",MATCH($C2994,'Kế hoạch'!$A$6:$A$305,0),"")</f>
      </c>
      <c r="P2994" s="234">
        <f>IF($O2994="","",INDEX('Kế hoạch'!$I$6:$I$305,$O2994))</f>
      </c>
      <c r="Q2994" s="225">
        <f>IF($O2994="","",INDEX('Kế hoạch'!$AJ$6:$AJ$305,$O2994))</f>
      </c>
      <c r="R2994" s="225">
        <f>IF($O2994="","",INDEX('Kế hoạch'!$AK$6:$AK$305,$O2994))</f>
      </c>
    </row>
    <row r="2995">
      <c r="A2995" s="223">
        <f>IF($C2995="","",COUNTIF($C$6:$C2995,"?*"))</f>
      </c>
      <c r="B2995" s="217"/>
      <c r="C2995" s="216"/>
      <c r="D2995" s="240"/>
      <c r="E2995" s="218"/>
      <c r="F2995" s="218"/>
      <c r="G2995" s="218"/>
      <c r="H2995" s="219"/>
      <c r="I2995" s="223">
        <f>IF($C2995="","",IF(ISNUMBER(MATCH($C2995,'Phản ánh'!$A$6:$A$505,0)),"Phản ánh",IF(ISNUMBER(MATCH($C2995,'Kế hoạch'!$A$6:$A$305,0)),"Công việc","Mã chưa có")))</f>
      </c>
      <c r="J2995" s="221">
        <f>IF($I2995="Phản ánh",INDEX('Phản ánh'!$C$6:$C$505,MATCH($C2995,'Phản ánh'!$A$6:$A$505,0)),IF($I2995="Công việc",INDEX('Kế hoạch'!$C$6:$C$305,$O2995),""))</f>
      </c>
      <c r="K2995" s="221">
        <f>IF($I2995="Phản ánh",INDEX('Phản ánh'!$K$6:$K$505,MATCH($C2995,'Phản ánh'!$A$6:$A$505,0))&amp;"",IF($I2995="Công việc",INDEX('Kế hoạch'!$N$6:$N$305,$O2995)&amp;"",""))</f>
      </c>
      <c r="L2995" s="220">
        <f>IF(OR($C2995="",N($B2995)=0),"",IF(AND($I2995="Phản ánh",$E2995="Đã xử lý"),INDEX('Phản ánh'!$U$6:$U$505,MATCH($C2995,'Phản ánh'!$A$6:$A$505,0)),IF(AND($I2995="Công việc",OR($E2995="Hoàn thành",$E2995="Hoàn thành kỳ")),IF(INDEX('Kế hoạch'!$B$6:$B$305,$O2995)="Đột xuất",INDEX('Kế hoạch'!$AY$6:$AY$305,$O2995),IF(N($P2995)=0,"",IF(INT($B2995)&lt;$P2995,$P2995,IF($Q2995&gt;0,$P2995+ROUND((INT($B2995)-$P2995)/$Q2995,0)*$Q2995,IF($R2995&gt;0,EDATE($P2995,ROUND((DATEDIF($P2995,INT($B2995),"m")+(INT($B2995)-EDATE($P2995,DATEDIF($P2995,INT($B2995),"m")))/(EDATE($P2995,DATEDIF($P2995,INT($B2995),"m")+1)-EDATE($P2995,DATEDIF($P2995,INT($B2995),"m"))))/$R2995,0)*$R2995),$P2995))))),"")))</f>
      </c>
      <c r="M2995" s="223">
        <f>IF(OR($C2995="",N($L2995)=0,N($B2995)=0),"",IF(IF(MOD($L2995,1)=0,INT($B2995),$B2995)&lt;=$L2995,"Đúng hạn","Trễ hạn"))</f>
      </c>
      <c r="N2995" s="225">
        <f>IF($C2995="","",ROW())</f>
      </c>
      <c r="O2995" s="225">
        <f>IF($I2995="Công việc",MATCH($C2995,'Kế hoạch'!$A$6:$A$305,0),"")</f>
      </c>
      <c r="P2995" s="234">
        <f>IF($O2995="","",INDEX('Kế hoạch'!$I$6:$I$305,$O2995))</f>
      </c>
      <c r="Q2995" s="225">
        <f>IF($O2995="","",INDEX('Kế hoạch'!$AJ$6:$AJ$305,$O2995))</f>
      </c>
      <c r="R2995" s="225">
        <f>IF($O2995="","",INDEX('Kế hoạch'!$AK$6:$AK$305,$O2995))</f>
      </c>
    </row>
    <row r="2996">
      <c r="A2996" s="223">
        <f>IF($C2996="","",COUNTIF($C$6:$C2996,"?*"))</f>
      </c>
      <c r="B2996" s="217"/>
      <c r="C2996" s="216"/>
      <c r="D2996" s="240"/>
      <c r="E2996" s="218"/>
      <c r="F2996" s="218"/>
      <c r="G2996" s="218"/>
      <c r="H2996" s="219"/>
      <c r="I2996" s="223">
        <f>IF($C2996="","",IF(ISNUMBER(MATCH($C2996,'Phản ánh'!$A$6:$A$505,0)),"Phản ánh",IF(ISNUMBER(MATCH($C2996,'Kế hoạch'!$A$6:$A$305,0)),"Công việc","Mã chưa có")))</f>
      </c>
      <c r="J2996" s="221">
        <f>IF($I2996="Phản ánh",INDEX('Phản ánh'!$C$6:$C$505,MATCH($C2996,'Phản ánh'!$A$6:$A$505,0)),IF($I2996="Công việc",INDEX('Kế hoạch'!$C$6:$C$305,$O2996),""))</f>
      </c>
      <c r="K2996" s="221">
        <f>IF($I2996="Phản ánh",INDEX('Phản ánh'!$K$6:$K$505,MATCH($C2996,'Phản ánh'!$A$6:$A$505,0))&amp;"",IF($I2996="Công việc",INDEX('Kế hoạch'!$N$6:$N$305,$O2996)&amp;"",""))</f>
      </c>
      <c r="L2996" s="220">
        <f>IF(OR($C2996="",N($B2996)=0),"",IF(AND($I2996="Phản ánh",$E2996="Đã xử lý"),INDEX('Phản ánh'!$U$6:$U$505,MATCH($C2996,'Phản ánh'!$A$6:$A$505,0)),IF(AND($I2996="Công việc",OR($E2996="Hoàn thành",$E2996="Hoàn thành kỳ")),IF(INDEX('Kế hoạch'!$B$6:$B$305,$O2996)="Đột xuất",INDEX('Kế hoạch'!$AY$6:$AY$305,$O2996),IF(N($P2996)=0,"",IF(INT($B2996)&lt;$P2996,$P2996,IF($Q2996&gt;0,$P2996+ROUND((INT($B2996)-$P2996)/$Q2996,0)*$Q2996,IF($R2996&gt;0,EDATE($P2996,ROUND((DATEDIF($P2996,INT($B2996),"m")+(INT($B2996)-EDATE($P2996,DATEDIF($P2996,INT($B2996),"m")))/(EDATE($P2996,DATEDIF($P2996,INT($B2996),"m")+1)-EDATE($P2996,DATEDIF($P2996,INT($B2996),"m"))))/$R2996,0)*$R2996),$P2996))))),"")))</f>
      </c>
      <c r="M2996" s="223">
        <f>IF(OR($C2996="",N($L2996)=0,N($B2996)=0),"",IF(IF(MOD($L2996,1)=0,INT($B2996),$B2996)&lt;=$L2996,"Đúng hạn","Trễ hạn"))</f>
      </c>
      <c r="N2996" s="225">
        <f>IF($C2996="","",ROW())</f>
      </c>
      <c r="O2996" s="225">
        <f>IF($I2996="Công việc",MATCH($C2996,'Kế hoạch'!$A$6:$A$305,0),"")</f>
      </c>
      <c r="P2996" s="234">
        <f>IF($O2996="","",INDEX('Kế hoạch'!$I$6:$I$305,$O2996))</f>
      </c>
      <c r="Q2996" s="225">
        <f>IF($O2996="","",INDEX('Kế hoạch'!$AJ$6:$AJ$305,$O2996))</f>
      </c>
      <c r="R2996" s="225">
        <f>IF($O2996="","",INDEX('Kế hoạch'!$AK$6:$AK$305,$O2996))</f>
      </c>
    </row>
    <row r="2997">
      <c r="A2997" s="223">
        <f>IF($C2997="","",COUNTIF($C$6:$C2997,"?*"))</f>
      </c>
      <c r="B2997" s="217"/>
      <c r="C2997" s="216"/>
      <c r="D2997" s="240"/>
      <c r="E2997" s="218"/>
      <c r="F2997" s="218"/>
      <c r="G2997" s="218"/>
      <c r="H2997" s="219"/>
      <c r="I2997" s="223">
        <f>IF($C2997="","",IF(ISNUMBER(MATCH($C2997,'Phản ánh'!$A$6:$A$505,0)),"Phản ánh",IF(ISNUMBER(MATCH($C2997,'Kế hoạch'!$A$6:$A$305,0)),"Công việc","Mã chưa có")))</f>
      </c>
      <c r="J2997" s="221">
        <f>IF($I2997="Phản ánh",INDEX('Phản ánh'!$C$6:$C$505,MATCH($C2997,'Phản ánh'!$A$6:$A$505,0)),IF($I2997="Công việc",INDEX('Kế hoạch'!$C$6:$C$305,$O2997),""))</f>
      </c>
      <c r="K2997" s="221">
        <f>IF($I2997="Phản ánh",INDEX('Phản ánh'!$K$6:$K$505,MATCH($C2997,'Phản ánh'!$A$6:$A$505,0))&amp;"",IF($I2997="Công việc",INDEX('Kế hoạch'!$N$6:$N$305,$O2997)&amp;"",""))</f>
      </c>
      <c r="L2997" s="220">
        <f>IF(OR($C2997="",N($B2997)=0),"",IF(AND($I2997="Phản ánh",$E2997="Đã xử lý"),INDEX('Phản ánh'!$U$6:$U$505,MATCH($C2997,'Phản ánh'!$A$6:$A$505,0)),IF(AND($I2997="Công việc",OR($E2997="Hoàn thành",$E2997="Hoàn thành kỳ")),IF(INDEX('Kế hoạch'!$B$6:$B$305,$O2997)="Đột xuất",INDEX('Kế hoạch'!$AY$6:$AY$305,$O2997),IF(N($P2997)=0,"",IF(INT($B2997)&lt;$P2997,$P2997,IF($Q2997&gt;0,$P2997+ROUND((INT($B2997)-$P2997)/$Q2997,0)*$Q2997,IF($R2997&gt;0,EDATE($P2997,ROUND((DATEDIF($P2997,INT($B2997),"m")+(INT($B2997)-EDATE($P2997,DATEDIF($P2997,INT($B2997),"m")))/(EDATE($P2997,DATEDIF($P2997,INT($B2997),"m")+1)-EDATE($P2997,DATEDIF($P2997,INT($B2997),"m"))))/$R2997,0)*$R2997),$P2997))))),"")))</f>
      </c>
      <c r="M2997" s="223">
        <f>IF(OR($C2997="",N($L2997)=0,N($B2997)=0),"",IF(IF(MOD($L2997,1)=0,INT($B2997),$B2997)&lt;=$L2997,"Đúng hạn","Trễ hạn"))</f>
      </c>
      <c r="N2997" s="225">
        <f>IF($C2997="","",ROW())</f>
      </c>
      <c r="O2997" s="225">
        <f>IF($I2997="Công việc",MATCH($C2997,'Kế hoạch'!$A$6:$A$305,0),"")</f>
      </c>
      <c r="P2997" s="234">
        <f>IF($O2997="","",INDEX('Kế hoạch'!$I$6:$I$305,$O2997))</f>
      </c>
      <c r="Q2997" s="225">
        <f>IF($O2997="","",INDEX('Kế hoạch'!$AJ$6:$AJ$305,$O2997))</f>
      </c>
      <c r="R2997" s="225">
        <f>IF($O2997="","",INDEX('Kế hoạch'!$AK$6:$AK$305,$O2997))</f>
      </c>
    </row>
    <row r="2998">
      <c r="A2998" s="223">
        <f>IF($C2998="","",COUNTIF($C$6:$C2998,"?*"))</f>
      </c>
      <c r="B2998" s="217"/>
      <c r="C2998" s="216"/>
      <c r="D2998" s="240"/>
      <c r="E2998" s="218"/>
      <c r="F2998" s="218"/>
      <c r="G2998" s="218"/>
      <c r="H2998" s="219"/>
      <c r="I2998" s="223">
        <f>IF($C2998="","",IF(ISNUMBER(MATCH($C2998,'Phản ánh'!$A$6:$A$505,0)),"Phản ánh",IF(ISNUMBER(MATCH($C2998,'Kế hoạch'!$A$6:$A$305,0)),"Công việc","Mã chưa có")))</f>
      </c>
      <c r="J2998" s="221">
        <f>IF($I2998="Phản ánh",INDEX('Phản ánh'!$C$6:$C$505,MATCH($C2998,'Phản ánh'!$A$6:$A$505,0)),IF($I2998="Công việc",INDEX('Kế hoạch'!$C$6:$C$305,$O2998),""))</f>
      </c>
      <c r="K2998" s="221">
        <f>IF($I2998="Phản ánh",INDEX('Phản ánh'!$K$6:$K$505,MATCH($C2998,'Phản ánh'!$A$6:$A$505,0))&amp;"",IF($I2998="Công việc",INDEX('Kế hoạch'!$N$6:$N$305,$O2998)&amp;"",""))</f>
      </c>
      <c r="L2998" s="220">
        <f>IF(OR($C2998="",N($B2998)=0),"",IF(AND($I2998="Phản ánh",$E2998="Đã xử lý"),INDEX('Phản ánh'!$U$6:$U$505,MATCH($C2998,'Phản ánh'!$A$6:$A$505,0)),IF(AND($I2998="Công việc",OR($E2998="Hoàn thành",$E2998="Hoàn thành kỳ")),IF(INDEX('Kế hoạch'!$B$6:$B$305,$O2998)="Đột xuất",INDEX('Kế hoạch'!$AY$6:$AY$305,$O2998),IF(N($P2998)=0,"",IF(INT($B2998)&lt;$P2998,$P2998,IF($Q2998&gt;0,$P2998+ROUND((INT($B2998)-$P2998)/$Q2998,0)*$Q2998,IF($R2998&gt;0,EDATE($P2998,ROUND((DATEDIF($P2998,INT($B2998),"m")+(INT($B2998)-EDATE($P2998,DATEDIF($P2998,INT($B2998),"m")))/(EDATE($P2998,DATEDIF($P2998,INT($B2998),"m")+1)-EDATE($P2998,DATEDIF($P2998,INT($B2998),"m"))))/$R2998,0)*$R2998),$P2998))))),"")))</f>
      </c>
      <c r="M2998" s="223">
        <f>IF(OR($C2998="",N($L2998)=0,N($B2998)=0),"",IF(IF(MOD($L2998,1)=0,INT($B2998),$B2998)&lt;=$L2998,"Đúng hạn","Trễ hạn"))</f>
      </c>
      <c r="N2998" s="225">
        <f>IF($C2998="","",ROW())</f>
      </c>
      <c r="O2998" s="225">
        <f>IF($I2998="Công việc",MATCH($C2998,'Kế hoạch'!$A$6:$A$305,0),"")</f>
      </c>
      <c r="P2998" s="234">
        <f>IF($O2998="","",INDEX('Kế hoạch'!$I$6:$I$305,$O2998))</f>
      </c>
      <c r="Q2998" s="225">
        <f>IF($O2998="","",INDEX('Kế hoạch'!$AJ$6:$AJ$305,$O2998))</f>
      </c>
      <c r="R2998" s="225">
        <f>IF($O2998="","",INDEX('Kế hoạch'!$AK$6:$AK$305,$O2998))</f>
      </c>
    </row>
    <row r="2999">
      <c r="A2999" s="223">
        <f>IF($C2999="","",COUNTIF($C$6:$C2999,"?*"))</f>
      </c>
      <c r="B2999" s="217"/>
      <c r="C2999" s="216"/>
      <c r="D2999" s="240"/>
      <c r="E2999" s="218"/>
      <c r="F2999" s="218"/>
      <c r="G2999" s="218"/>
      <c r="H2999" s="219"/>
      <c r="I2999" s="223">
        <f>IF($C2999="","",IF(ISNUMBER(MATCH($C2999,'Phản ánh'!$A$6:$A$505,0)),"Phản ánh",IF(ISNUMBER(MATCH($C2999,'Kế hoạch'!$A$6:$A$305,0)),"Công việc","Mã chưa có")))</f>
      </c>
      <c r="J2999" s="221">
        <f>IF($I2999="Phản ánh",INDEX('Phản ánh'!$C$6:$C$505,MATCH($C2999,'Phản ánh'!$A$6:$A$505,0)),IF($I2999="Công việc",INDEX('Kế hoạch'!$C$6:$C$305,$O2999),""))</f>
      </c>
      <c r="K2999" s="221">
        <f>IF($I2999="Phản ánh",INDEX('Phản ánh'!$K$6:$K$505,MATCH($C2999,'Phản ánh'!$A$6:$A$505,0))&amp;"",IF($I2999="Công việc",INDEX('Kế hoạch'!$N$6:$N$305,$O2999)&amp;"",""))</f>
      </c>
      <c r="L2999" s="220">
        <f>IF(OR($C2999="",N($B2999)=0),"",IF(AND($I2999="Phản ánh",$E2999="Đã xử lý"),INDEX('Phản ánh'!$U$6:$U$505,MATCH($C2999,'Phản ánh'!$A$6:$A$505,0)),IF(AND($I2999="Công việc",OR($E2999="Hoàn thành",$E2999="Hoàn thành kỳ")),IF(INDEX('Kế hoạch'!$B$6:$B$305,$O2999)="Đột xuất",INDEX('Kế hoạch'!$AY$6:$AY$305,$O2999),IF(N($P2999)=0,"",IF(INT($B2999)&lt;$P2999,$P2999,IF($Q2999&gt;0,$P2999+ROUND((INT($B2999)-$P2999)/$Q2999,0)*$Q2999,IF($R2999&gt;0,EDATE($P2999,ROUND((DATEDIF($P2999,INT($B2999),"m")+(INT($B2999)-EDATE($P2999,DATEDIF($P2999,INT($B2999),"m")))/(EDATE($P2999,DATEDIF($P2999,INT($B2999),"m")+1)-EDATE($P2999,DATEDIF($P2999,INT($B2999),"m"))))/$R2999,0)*$R2999),$P2999))))),"")))</f>
      </c>
      <c r="M2999" s="223">
        <f>IF(OR($C2999="",N($L2999)=0,N($B2999)=0),"",IF(IF(MOD($L2999,1)=0,INT($B2999),$B2999)&lt;=$L2999,"Đúng hạn","Trễ hạn"))</f>
      </c>
      <c r="N2999" s="225">
        <f>IF($C2999="","",ROW())</f>
      </c>
      <c r="O2999" s="225">
        <f>IF($I2999="Công việc",MATCH($C2999,'Kế hoạch'!$A$6:$A$305,0),"")</f>
      </c>
      <c r="P2999" s="234">
        <f>IF($O2999="","",INDEX('Kế hoạch'!$I$6:$I$305,$O2999))</f>
      </c>
      <c r="Q2999" s="225">
        <f>IF($O2999="","",INDEX('Kế hoạch'!$AJ$6:$AJ$305,$O2999))</f>
      </c>
      <c r="R2999" s="225">
        <f>IF($O2999="","",INDEX('Kế hoạch'!$AK$6:$AK$305,$O2999))</f>
      </c>
    </row>
    <row r="3000">
      <c r="A3000" s="223">
        <f>IF($C3000="","",COUNTIF($C$6:$C3000,"?*"))</f>
      </c>
      <c r="B3000" s="217"/>
      <c r="C3000" s="216"/>
      <c r="D3000" s="240"/>
      <c r="E3000" s="218"/>
      <c r="F3000" s="218"/>
      <c r="G3000" s="218"/>
      <c r="H3000" s="219"/>
      <c r="I3000" s="223">
        <f>IF($C3000="","",IF(ISNUMBER(MATCH($C3000,'Phản ánh'!$A$6:$A$505,0)),"Phản ánh",IF(ISNUMBER(MATCH($C3000,'Kế hoạch'!$A$6:$A$305,0)),"Công việc","Mã chưa có")))</f>
      </c>
      <c r="J3000" s="221">
        <f>IF($I3000="Phản ánh",INDEX('Phản ánh'!$C$6:$C$505,MATCH($C3000,'Phản ánh'!$A$6:$A$505,0)),IF($I3000="Công việc",INDEX('Kế hoạch'!$C$6:$C$305,$O3000),""))</f>
      </c>
      <c r="K3000" s="221">
        <f>IF($I3000="Phản ánh",INDEX('Phản ánh'!$K$6:$K$505,MATCH($C3000,'Phản ánh'!$A$6:$A$505,0))&amp;"",IF($I3000="Công việc",INDEX('Kế hoạch'!$N$6:$N$305,$O3000)&amp;"",""))</f>
      </c>
      <c r="L3000" s="220">
        <f>IF(OR($C3000="",N($B3000)=0),"",IF(AND($I3000="Phản ánh",$E3000="Đã xử lý"),INDEX('Phản ánh'!$U$6:$U$505,MATCH($C3000,'Phản ánh'!$A$6:$A$505,0)),IF(AND($I3000="Công việc",OR($E3000="Hoàn thành",$E3000="Hoàn thành kỳ")),IF(INDEX('Kế hoạch'!$B$6:$B$305,$O3000)="Đột xuất",INDEX('Kế hoạch'!$AY$6:$AY$305,$O3000),IF(N($P3000)=0,"",IF(INT($B3000)&lt;$P3000,$P3000,IF($Q3000&gt;0,$P3000+ROUND((INT($B3000)-$P3000)/$Q3000,0)*$Q3000,IF($R3000&gt;0,EDATE($P3000,ROUND((DATEDIF($P3000,INT($B3000),"m")+(INT($B3000)-EDATE($P3000,DATEDIF($P3000,INT($B3000),"m")))/(EDATE($P3000,DATEDIF($P3000,INT($B3000),"m")+1)-EDATE($P3000,DATEDIF($P3000,INT($B3000),"m"))))/$R3000,0)*$R3000),$P3000))))),"")))</f>
      </c>
      <c r="M3000" s="223">
        <f>IF(OR($C3000="",N($L3000)=0,N($B3000)=0),"",IF(IF(MOD($L3000,1)=0,INT($B3000),$B3000)&lt;=$L3000,"Đúng hạn","Trễ hạn"))</f>
      </c>
      <c r="N3000" s="225">
        <f>IF($C3000="","",ROW())</f>
      </c>
      <c r="O3000" s="225">
        <f>IF($I3000="Công việc",MATCH($C3000,'Kế hoạch'!$A$6:$A$305,0),"")</f>
      </c>
      <c r="P3000" s="234">
        <f>IF($O3000="","",INDEX('Kế hoạch'!$I$6:$I$305,$O3000))</f>
      </c>
      <c r="Q3000" s="225">
        <f>IF($O3000="","",INDEX('Kế hoạch'!$AJ$6:$AJ$305,$O3000))</f>
      </c>
      <c r="R3000" s="225">
        <f>IF($O3000="","",INDEX('Kế hoạch'!$AK$6:$AK$305,$O3000))</f>
      </c>
    </row>
    <row r="3001">
      <c r="A3001" s="223">
        <f>IF($C3001="","",COUNTIF($C$6:$C3001,"?*"))</f>
      </c>
      <c r="B3001" s="217"/>
      <c r="C3001" s="216"/>
      <c r="D3001" s="240"/>
      <c r="E3001" s="218"/>
      <c r="F3001" s="218"/>
      <c r="G3001" s="218"/>
      <c r="H3001" s="219"/>
      <c r="I3001" s="223">
        <f>IF($C3001="","",IF(ISNUMBER(MATCH($C3001,'Phản ánh'!$A$6:$A$505,0)),"Phản ánh",IF(ISNUMBER(MATCH($C3001,'Kế hoạch'!$A$6:$A$305,0)),"Công việc","Mã chưa có")))</f>
      </c>
      <c r="J3001" s="221">
        <f>IF($I3001="Phản ánh",INDEX('Phản ánh'!$C$6:$C$505,MATCH($C3001,'Phản ánh'!$A$6:$A$505,0)),IF($I3001="Công việc",INDEX('Kế hoạch'!$C$6:$C$305,$O3001),""))</f>
      </c>
      <c r="K3001" s="221">
        <f>IF($I3001="Phản ánh",INDEX('Phản ánh'!$K$6:$K$505,MATCH($C3001,'Phản ánh'!$A$6:$A$505,0))&amp;"",IF($I3001="Công việc",INDEX('Kế hoạch'!$N$6:$N$305,$O3001)&amp;"",""))</f>
      </c>
      <c r="L3001" s="220">
        <f>IF(OR($C3001="",N($B3001)=0),"",IF(AND($I3001="Phản ánh",$E3001="Đã xử lý"),INDEX('Phản ánh'!$U$6:$U$505,MATCH($C3001,'Phản ánh'!$A$6:$A$505,0)),IF(AND($I3001="Công việc",OR($E3001="Hoàn thành",$E3001="Hoàn thành kỳ")),IF(INDEX('Kế hoạch'!$B$6:$B$305,$O3001)="Đột xuất",INDEX('Kế hoạch'!$AY$6:$AY$305,$O3001),IF(N($P3001)=0,"",IF(INT($B3001)&lt;$P3001,$P3001,IF($Q3001&gt;0,$P3001+ROUND((INT($B3001)-$P3001)/$Q3001,0)*$Q3001,IF($R3001&gt;0,EDATE($P3001,ROUND((DATEDIF($P3001,INT($B3001),"m")+(INT($B3001)-EDATE($P3001,DATEDIF($P3001,INT($B3001),"m")))/(EDATE($P3001,DATEDIF($P3001,INT($B3001),"m")+1)-EDATE($P3001,DATEDIF($P3001,INT($B3001),"m"))))/$R3001,0)*$R3001),$P3001))))),"")))</f>
      </c>
      <c r="M3001" s="223">
        <f>IF(OR($C3001="",N($L3001)=0,N($B3001)=0),"",IF(IF(MOD($L3001,1)=0,INT($B3001),$B3001)&lt;=$L3001,"Đúng hạn","Trễ hạn"))</f>
      </c>
      <c r="N3001" s="225">
        <f>IF($C3001="","",ROW())</f>
      </c>
      <c r="O3001" s="225">
        <f>IF($I3001="Công việc",MATCH($C3001,'Kế hoạch'!$A$6:$A$305,0),"")</f>
      </c>
      <c r="P3001" s="234">
        <f>IF($O3001="","",INDEX('Kế hoạch'!$I$6:$I$305,$O3001))</f>
      </c>
      <c r="Q3001" s="225">
        <f>IF($O3001="","",INDEX('Kế hoạch'!$AJ$6:$AJ$305,$O3001))</f>
      </c>
      <c r="R3001" s="225">
        <f>IF($O3001="","",INDEX('Kế hoạch'!$AK$6:$AK$305,$O3001))</f>
      </c>
    </row>
    <row r="3002">
      <c r="A3002" s="223">
        <f>IF($C3002="","",COUNTIF($C$6:$C3002,"?*"))</f>
      </c>
      <c r="B3002" s="217"/>
      <c r="C3002" s="216"/>
      <c r="D3002" s="240"/>
      <c r="E3002" s="218"/>
      <c r="F3002" s="218"/>
      <c r="G3002" s="218"/>
      <c r="H3002" s="219"/>
      <c r="I3002" s="223">
        <f>IF($C3002="","",IF(ISNUMBER(MATCH($C3002,'Phản ánh'!$A$6:$A$505,0)),"Phản ánh",IF(ISNUMBER(MATCH($C3002,'Kế hoạch'!$A$6:$A$305,0)),"Công việc","Mã chưa có")))</f>
      </c>
      <c r="J3002" s="221">
        <f>IF($I3002="Phản ánh",INDEX('Phản ánh'!$C$6:$C$505,MATCH($C3002,'Phản ánh'!$A$6:$A$505,0)),IF($I3002="Công việc",INDEX('Kế hoạch'!$C$6:$C$305,$O3002),""))</f>
      </c>
      <c r="K3002" s="221">
        <f>IF($I3002="Phản ánh",INDEX('Phản ánh'!$K$6:$K$505,MATCH($C3002,'Phản ánh'!$A$6:$A$505,0))&amp;"",IF($I3002="Công việc",INDEX('Kế hoạch'!$N$6:$N$305,$O3002)&amp;"",""))</f>
      </c>
      <c r="L3002" s="220">
        <f>IF(OR($C3002="",N($B3002)=0),"",IF(AND($I3002="Phản ánh",$E3002="Đã xử lý"),INDEX('Phản ánh'!$U$6:$U$505,MATCH($C3002,'Phản ánh'!$A$6:$A$505,0)),IF(AND($I3002="Công việc",OR($E3002="Hoàn thành",$E3002="Hoàn thành kỳ")),IF(INDEX('Kế hoạch'!$B$6:$B$305,$O3002)="Đột xuất",INDEX('Kế hoạch'!$AY$6:$AY$305,$O3002),IF(N($P3002)=0,"",IF(INT($B3002)&lt;$P3002,$P3002,IF($Q3002&gt;0,$P3002+ROUND((INT($B3002)-$P3002)/$Q3002,0)*$Q3002,IF($R3002&gt;0,EDATE($P3002,ROUND((DATEDIF($P3002,INT($B3002),"m")+(INT($B3002)-EDATE($P3002,DATEDIF($P3002,INT($B3002),"m")))/(EDATE($P3002,DATEDIF($P3002,INT($B3002),"m")+1)-EDATE($P3002,DATEDIF($P3002,INT($B3002),"m"))))/$R3002,0)*$R3002),$P3002))))),"")))</f>
      </c>
      <c r="M3002" s="223">
        <f>IF(OR($C3002="",N($L3002)=0,N($B3002)=0),"",IF(IF(MOD($L3002,1)=0,INT($B3002),$B3002)&lt;=$L3002,"Đúng hạn","Trễ hạn"))</f>
      </c>
      <c r="N3002" s="225">
        <f>IF($C3002="","",ROW())</f>
      </c>
      <c r="O3002" s="225">
        <f>IF($I3002="Công việc",MATCH($C3002,'Kế hoạch'!$A$6:$A$305,0),"")</f>
      </c>
      <c r="P3002" s="234">
        <f>IF($O3002="","",INDEX('Kế hoạch'!$I$6:$I$305,$O3002))</f>
      </c>
      <c r="Q3002" s="225">
        <f>IF($O3002="","",INDEX('Kế hoạch'!$AJ$6:$AJ$305,$O3002))</f>
      </c>
      <c r="R3002" s="225">
        <f>IF($O3002="","",INDEX('Kế hoạch'!$AK$6:$AK$305,$O3002))</f>
      </c>
    </row>
    <row r="3003">
      <c r="A3003" s="223">
        <f>IF($C3003="","",COUNTIF($C$6:$C3003,"?*"))</f>
      </c>
      <c r="B3003" s="217"/>
      <c r="C3003" s="216"/>
      <c r="D3003" s="240"/>
      <c r="E3003" s="218"/>
      <c r="F3003" s="218"/>
      <c r="G3003" s="218"/>
      <c r="H3003" s="219"/>
      <c r="I3003" s="223">
        <f>IF($C3003="","",IF(ISNUMBER(MATCH($C3003,'Phản ánh'!$A$6:$A$505,0)),"Phản ánh",IF(ISNUMBER(MATCH($C3003,'Kế hoạch'!$A$6:$A$305,0)),"Công việc","Mã chưa có")))</f>
      </c>
      <c r="J3003" s="221">
        <f>IF($I3003="Phản ánh",INDEX('Phản ánh'!$C$6:$C$505,MATCH($C3003,'Phản ánh'!$A$6:$A$505,0)),IF($I3003="Công việc",INDEX('Kế hoạch'!$C$6:$C$305,$O3003),""))</f>
      </c>
      <c r="K3003" s="221">
        <f>IF($I3003="Phản ánh",INDEX('Phản ánh'!$K$6:$K$505,MATCH($C3003,'Phản ánh'!$A$6:$A$505,0))&amp;"",IF($I3003="Công việc",INDEX('Kế hoạch'!$N$6:$N$305,$O3003)&amp;"",""))</f>
      </c>
      <c r="L3003" s="220">
        <f>IF(OR($C3003="",N($B3003)=0),"",IF(AND($I3003="Phản ánh",$E3003="Đã xử lý"),INDEX('Phản ánh'!$U$6:$U$505,MATCH($C3003,'Phản ánh'!$A$6:$A$505,0)),IF(AND($I3003="Công việc",OR($E3003="Hoàn thành",$E3003="Hoàn thành kỳ")),IF(INDEX('Kế hoạch'!$B$6:$B$305,$O3003)="Đột xuất",INDEX('Kế hoạch'!$AY$6:$AY$305,$O3003),IF(N($P3003)=0,"",IF(INT($B3003)&lt;$P3003,$P3003,IF($Q3003&gt;0,$P3003+ROUND((INT($B3003)-$P3003)/$Q3003,0)*$Q3003,IF($R3003&gt;0,EDATE($P3003,ROUND((DATEDIF($P3003,INT($B3003),"m")+(INT($B3003)-EDATE($P3003,DATEDIF($P3003,INT($B3003),"m")))/(EDATE($P3003,DATEDIF($P3003,INT($B3003),"m")+1)-EDATE($P3003,DATEDIF($P3003,INT($B3003),"m"))))/$R3003,0)*$R3003),$P3003))))),"")))</f>
      </c>
      <c r="M3003" s="223">
        <f>IF(OR($C3003="",N($L3003)=0,N($B3003)=0),"",IF(IF(MOD($L3003,1)=0,INT($B3003),$B3003)&lt;=$L3003,"Đúng hạn","Trễ hạn"))</f>
      </c>
      <c r="N3003" s="225">
        <f>IF($C3003="","",ROW())</f>
      </c>
      <c r="O3003" s="225">
        <f>IF($I3003="Công việc",MATCH($C3003,'Kế hoạch'!$A$6:$A$305,0),"")</f>
      </c>
      <c r="P3003" s="234">
        <f>IF($O3003="","",INDEX('Kế hoạch'!$I$6:$I$305,$O3003))</f>
      </c>
      <c r="Q3003" s="225">
        <f>IF($O3003="","",INDEX('Kế hoạch'!$AJ$6:$AJ$305,$O3003))</f>
      </c>
      <c r="R3003" s="225">
        <f>IF($O3003="","",INDEX('Kế hoạch'!$AK$6:$AK$305,$O3003))</f>
      </c>
    </row>
    <row r="3004">
      <c r="A3004" s="223">
        <f>IF($C3004="","",COUNTIF($C$6:$C3004,"?*"))</f>
      </c>
      <c r="B3004" s="217"/>
      <c r="C3004" s="216"/>
      <c r="D3004" s="240"/>
      <c r="E3004" s="218"/>
      <c r="F3004" s="218"/>
      <c r="G3004" s="218"/>
      <c r="H3004" s="219"/>
      <c r="I3004" s="223">
        <f>IF($C3004="","",IF(ISNUMBER(MATCH($C3004,'Phản ánh'!$A$6:$A$505,0)),"Phản ánh",IF(ISNUMBER(MATCH($C3004,'Kế hoạch'!$A$6:$A$305,0)),"Công việc","Mã chưa có")))</f>
      </c>
      <c r="J3004" s="221">
        <f>IF($I3004="Phản ánh",INDEX('Phản ánh'!$C$6:$C$505,MATCH($C3004,'Phản ánh'!$A$6:$A$505,0)),IF($I3004="Công việc",INDEX('Kế hoạch'!$C$6:$C$305,$O3004),""))</f>
      </c>
      <c r="K3004" s="221">
        <f>IF($I3004="Phản ánh",INDEX('Phản ánh'!$K$6:$K$505,MATCH($C3004,'Phản ánh'!$A$6:$A$505,0))&amp;"",IF($I3004="Công việc",INDEX('Kế hoạch'!$N$6:$N$305,$O3004)&amp;"",""))</f>
      </c>
      <c r="L3004" s="220">
        <f>IF(OR($C3004="",N($B3004)=0),"",IF(AND($I3004="Phản ánh",$E3004="Đã xử lý"),INDEX('Phản ánh'!$U$6:$U$505,MATCH($C3004,'Phản ánh'!$A$6:$A$505,0)),IF(AND($I3004="Công việc",OR($E3004="Hoàn thành",$E3004="Hoàn thành kỳ")),IF(INDEX('Kế hoạch'!$B$6:$B$305,$O3004)="Đột xuất",INDEX('Kế hoạch'!$AY$6:$AY$305,$O3004),IF(N($P3004)=0,"",IF(INT($B3004)&lt;$P3004,$P3004,IF($Q3004&gt;0,$P3004+ROUND((INT($B3004)-$P3004)/$Q3004,0)*$Q3004,IF($R3004&gt;0,EDATE($P3004,ROUND((DATEDIF($P3004,INT($B3004),"m")+(INT($B3004)-EDATE($P3004,DATEDIF($P3004,INT($B3004),"m")))/(EDATE($P3004,DATEDIF($P3004,INT($B3004),"m")+1)-EDATE($P3004,DATEDIF($P3004,INT($B3004),"m"))))/$R3004,0)*$R3004),$P3004))))),"")))</f>
      </c>
      <c r="M3004" s="223">
        <f>IF(OR($C3004="",N($L3004)=0,N($B3004)=0),"",IF(IF(MOD($L3004,1)=0,INT($B3004),$B3004)&lt;=$L3004,"Đúng hạn","Trễ hạn"))</f>
      </c>
      <c r="N3004" s="225">
        <f>IF($C3004="","",ROW())</f>
      </c>
      <c r="O3004" s="225">
        <f>IF($I3004="Công việc",MATCH($C3004,'Kế hoạch'!$A$6:$A$305,0),"")</f>
      </c>
      <c r="P3004" s="234">
        <f>IF($O3004="","",INDEX('Kế hoạch'!$I$6:$I$305,$O3004))</f>
      </c>
      <c r="Q3004" s="225">
        <f>IF($O3004="","",INDEX('Kế hoạch'!$AJ$6:$AJ$305,$O3004))</f>
      </c>
      <c r="R3004" s="225">
        <f>IF($O3004="","",INDEX('Kế hoạch'!$AK$6:$AK$305,$O3004))</f>
      </c>
    </row>
    <row r="3005">
      <c r="A3005" s="223">
        <f>IF($C3005="","",COUNTIF($C$6:$C3005,"?*"))</f>
      </c>
      <c r="B3005" s="217"/>
      <c r="C3005" s="216"/>
      <c r="D3005" s="240"/>
      <c r="E3005" s="218"/>
      <c r="F3005" s="218"/>
      <c r="G3005" s="218"/>
      <c r="H3005" s="219"/>
      <c r="I3005" s="223">
        <f>IF($C3005="","",IF(ISNUMBER(MATCH($C3005,'Phản ánh'!$A$6:$A$505,0)),"Phản ánh",IF(ISNUMBER(MATCH($C3005,'Kế hoạch'!$A$6:$A$305,0)),"Công việc","Mã chưa có")))</f>
      </c>
      <c r="J3005" s="221">
        <f>IF($I3005="Phản ánh",INDEX('Phản ánh'!$C$6:$C$505,MATCH($C3005,'Phản ánh'!$A$6:$A$505,0)),IF($I3005="Công việc",INDEX('Kế hoạch'!$C$6:$C$305,$O3005),""))</f>
      </c>
      <c r="K3005" s="221">
        <f>IF($I3005="Phản ánh",INDEX('Phản ánh'!$K$6:$K$505,MATCH($C3005,'Phản ánh'!$A$6:$A$505,0))&amp;"",IF($I3005="Công việc",INDEX('Kế hoạch'!$N$6:$N$305,$O3005)&amp;"",""))</f>
      </c>
      <c r="L3005" s="220">
        <f>IF(OR($C3005="",N($B3005)=0),"",IF(AND($I3005="Phản ánh",$E3005="Đã xử lý"),INDEX('Phản ánh'!$U$6:$U$505,MATCH($C3005,'Phản ánh'!$A$6:$A$505,0)),IF(AND($I3005="Công việc",OR($E3005="Hoàn thành",$E3005="Hoàn thành kỳ")),IF(INDEX('Kế hoạch'!$B$6:$B$305,$O3005)="Đột xuất",INDEX('Kế hoạch'!$AY$6:$AY$305,$O3005),IF(N($P3005)=0,"",IF(INT($B3005)&lt;$P3005,$P3005,IF($Q3005&gt;0,$P3005+ROUND((INT($B3005)-$P3005)/$Q3005,0)*$Q3005,IF($R3005&gt;0,EDATE($P3005,ROUND((DATEDIF($P3005,INT($B3005),"m")+(INT($B3005)-EDATE($P3005,DATEDIF($P3005,INT($B3005),"m")))/(EDATE($P3005,DATEDIF($P3005,INT($B3005),"m")+1)-EDATE($P3005,DATEDIF($P3005,INT($B3005),"m"))))/$R3005,0)*$R3005),$P3005))))),"")))</f>
      </c>
      <c r="M3005" s="223">
        <f>IF(OR($C3005="",N($L3005)=0,N($B3005)=0),"",IF(IF(MOD($L3005,1)=0,INT($B3005),$B3005)&lt;=$L3005,"Đúng hạn","Trễ hạn"))</f>
      </c>
      <c r="N3005" s="225">
        <f>IF($C3005="","",ROW())</f>
      </c>
      <c r="O3005" s="225">
        <f>IF($I3005="Công việc",MATCH($C3005,'Kế hoạch'!$A$6:$A$305,0),"")</f>
      </c>
      <c r="P3005" s="234">
        <f>IF($O3005="","",INDEX('Kế hoạch'!$I$6:$I$305,$O3005))</f>
      </c>
      <c r="Q3005" s="225">
        <f>IF($O3005="","",INDEX('Kế hoạch'!$AJ$6:$AJ$305,$O3005))</f>
      </c>
      <c r="R3005" s="225">
        <f>IF($O3005="","",INDEX('Kế hoạch'!$AK$6:$AK$305,$O3005))</f>
      </c>
    </row>
  </sheetData>
  <sheetProtection selectLockedCells="0" selectUnlockedCells="0" sheet="1" objects="0" insertRows="1" insertHyperlinks="1" autoFilter="0" scenarios="0" formatColumns="0" deleteColumns="1" insertColumns="1" pivotTables="1" deleteRows="1" formatCells="1" formatRows="0" sort="1" password="88D8"/>
  <protectedRanges>
    <protectedRange password="DF96" sqref="B6:H3005" name="NhapLieuNhatKy"/>
  </protectedRanges>
  <autoFilter ref="A5:R3005"/>
  <mergeCells count="7">
    <mergeCell ref="I4:M4"/>
    <mergeCell ref="N4:R4"/>
    <mergeCell ref="A2:R2"/>
    <mergeCell ref="B4:H4"/>
    <mergeCell ref="A1:R1"/>
    <mergeCell ref="A3:F3"/>
    <mergeCell ref="G3:H3"/>
  </mergeCells>
  <conditionalFormatting sqref="I6:I3005">
    <cfRule type="expression" priority="1" dxfId="1" stopIfTrue="0">
      <formula>$I6="Mã chưa có"</formula>
    </cfRule>
  </conditionalFormatting>
  <conditionalFormatting sqref="E6:E3005">
    <cfRule type="expression" priority="2" dxfId="25" stopIfTrue="0">
      <formula>E6="Mới tiếp nhận"</formula>
    </cfRule>
    <cfRule type="expression" priority="3" dxfId="26" stopIfTrue="0">
      <formula>E6="Đang xử lý"</formula>
    </cfRule>
    <cfRule type="expression" priority="4" dxfId="27" stopIfTrue="0">
      <formula>E6="Chờ nhà thầu"</formula>
    </cfRule>
    <cfRule type="expression" priority="5" dxfId="20" stopIfTrue="0">
      <formula>E6="Đã xử lý"</formula>
    </cfRule>
    <cfRule type="expression" priority="6" dxfId="25" stopIfTrue="0">
      <formula>E6="Chưa bắt đầu"</formula>
    </cfRule>
    <cfRule type="expression" priority="7" dxfId="26" stopIfTrue="0">
      <formula>E6="Đang thực hiện"</formula>
    </cfRule>
    <cfRule type="expression" priority="8" dxfId="27" stopIfTrue="0">
      <formula>E6="Tạm hoãn"</formula>
    </cfRule>
    <cfRule type="expression" priority="9" dxfId="20" stopIfTrue="0">
      <formula>E6="Hoàn thành"</formula>
    </cfRule>
    <cfRule type="expression" priority="10" dxfId="20" stopIfTrue="0">
      <formula>E6="Hoàn thành kỳ"</formula>
    </cfRule>
  </conditionalFormatting>
  <conditionalFormatting sqref="D6:D3005">
    <cfRule type="dataBar" priority="11">
      <dataBar showValue="1">
        <cfvo type="num" val="0"/>
        <cfvo type="num" val="1"/>
        <color rgb="009B7BC4"/>
      </dataBar>
    </cfRule>
  </conditionalFormatting>
  <conditionalFormatting sqref="M6:M3005">
    <cfRule type="expression" priority="12" dxfId="18" stopIfTrue="0">
      <formula>$M6="Đúng hạn"</formula>
    </cfRule>
    <cfRule type="expression" priority="13" dxfId="21" stopIfTrue="0">
      <formula>$M6="Trễ hạn"</formula>
    </cfRule>
  </conditionalFormatting>
  <conditionalFormatting sqref="L6:L3005">
    <cfRule type="expression" priority="14" dxfId="43" stopIfTrue="0">
      <formula>AND(ISNUMBER(L6),MOD(L6,1)=0)</formula>
    </cfRule>
  </conditionalFormatting>
  <dataValidations count="6">
    <dataValidation sqref="B6:B3005" showDropDown="0" showInputMessage="1" showErrorMessage="0" allowBlank="1" errorTitle="Kiểm tra dữ liệu" error="Nhập ngày giờ dạng dd/mm/yyyy hh:mm." promptTitle="Ngày và giờ" prompt="Ngày giờ dạng dd/mm/yyyy hh:mm, ví dụ 24/09/2026 14:30. Phím tắt: Ctrl+; (ngày), dấu cách, Ctrl+Shift+; (giờ)." type="decimal" operator="greaterThan">
      <formula1>36526</formula1>
    </dataValidation>
    <dataValidation sqref="C6:C3005" showDropDown="0" showInputMessage="0" showErrorMessage="1" allowBlank="1" errorTitle="Kiểm tra dữ liệu" error="Giá trị chưa hợp lệ, vui lòng chọn trong danh sách hoặc nhập đúng định dạng." type="list">
      <formula1>=DanhSachMa</formula1>
    </dataValidation>
    <dataValidation sqref="D6:D3005" showDropDown="0" showInputMessage="1" showErrorMessage="0" allowBlank="1" errorTitle="Kiểm tra dữ liệu" error="Giá trị chưa hợp lệ, vui lòng chọn trong danh sách hoặc nhập đúng định dạng." prompt="Nhập tiến độ, ví dụ 60%" type="decimal" operator="between">
      <formula1>0</formula1>
      <formula2>1</formula2>
    </dataValidation>
    <dataValidation sqref="E6:E3005" showDropDown="0" showInputMessage="0" showErrorMessage="1" allowBlank="1" errorTitle="Kiểm tra dữ liệu" error="Giá trị chưa hợp lệ, vui lòng chọn trong danh sách hoặc nhập đúng định dạng." type="list">
      <formula1>=INDIRECT(IF($I6="Phản ánh","DM_TT_PA","DM_TT_CV"))</formula1>
    </dataValidation>
    <dataValidation sqref="G6:G3005" showDropDown="0" showInputMessage="0" showErrorMessage="0" allowBlank="1" errorTitle="Kiểm tra dữ liệu" error="Giá trị chưa hợp lệ, vui lòng chọn trong danh sách hoặc nhập đúng định dạng." type="list">
      <formula1>=DM_PhuTrach</formula1>
    </dataValidation>
    <dataValidation sqref="H6:H3005" showDropDown="0" showInputMessage="0" showErrorMessage="0" allowBlank="1" errorTitle="Kiểm tra dữ liệu" error="Nhập một số không âm." type="decimal" operator="greaterThanOrEqual">
      <formula1>0</formula1>
    </dataValidation>
  </dataValidations>
  <pageMargins left="0.75" right="0.75" top="1" bottom="1" header="0.5" footer="0.5"/>
  <pageSetup orientation="landscape" paperSize="9" fitToHeight="0" fitToWidth="1"/>
  <legacyDrawing xmlns:r="http://schemas.openxmlformats.org/officeDocument/2006/relationships" r:id="anysvml"/>
</worksheet>
</file>

<file path=xl/worksheets/sheet7.xml><?xml version="1.0" encoding="utf-8"?>
<worksheet xmlns="http://schemas.openxmlformats.org/spreadsheetml/2006/main">
  <sheetPr>
    <tabColor rgb="00A07A1C"/>
    <outlinePr summaryBelow="1" summaryRight="1"/>
    <pageSetUpPr fitToPage="1"/>
  </sheetPr>
  <dimension ref="A1:K505"/>
  <sheetViews>
    <sheetView showGridLines="0" tabSelected="0"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20" customWidth="1" min="3" max="3"/>
    <col width="12" customWidth="1" min="4" max="4"/>
    <col width="13" customWidth="1" min="5" max="5"/>
    <col width="54" customWidth="1" min="6" max="6"/>
    <col width="13" customWidth="1" min="7" max="7"/>
    <col width="46" customWidth="1" min="8" max="8"/>
    <col width="16" customWidth="1" min="9" max="9"/>
    <col width="17" customWidth="1" min="10" max="10"/>
    <col hidden="1" outlineLevel="1" width="7" customWidth="1" min="11" max="11"/>
  </cols>
  <sheetData>
    <row r="1" ht="34" customHeight="1">
      <c r="A1" s="183" t="inlineStr">
        <is>
          <t>LỜI NHẮN</t>
        </is>
      </c>
    </row>
    <row r="2" ht="20" customHeight="1">
      <c r="A2" s="184" t="inlineStr">
        <is>
          <t>Người xem để lại lời nhắn ở cột B đến F, không cần mật khẩu. Lời nhắn không tự đi vào phản ánh, kế hoạch hay số liệu tổng quan.</t>
        </is>
      </c>
      <c r="B2" s="5" t="n"/>
      <c r="C2" s="5" t="n"/>
      <c r="D2" s="5" t="n"/>
      <c r="E2" s="5" t="n"/>
      <c r="F2" s="5" t="n"/>
      <c r="G2" s="5" t="n"/>
      <c r="H2" s="5" t="n"/>
      <c r="I2" s="5" t="n"/>
      <c r="J2" s="5" t="n"/>
      <c r="K2" s="5" t="n"/>
    </row>
    <row r="3" ht="22" customHeight="1">
      <c r="A3" s="204" t="inlineStr">
        <is>
          <t>Ô nền trắng: nhập liệu. Cột tiêu đề xám: tự tính, không sửa.</t>
        </is>
      </c>
      <c r="G3" s="205" t="inlineStr">
        <is>
          <t>Chưa phản hồi</t>
        </is>
      </c>
      <c r="I3" s="241">
        <f>COUNTIFS($C$6:$C$505,"?*",$G$6:$G$505,"&lt;&gt;Đã phản hồi")</f>
      </c>
    </row>
    <row r="4" ht="18" customHeight="1">
      <c r="A4" s="209" t="inlineStr">
        <is>
          <t>TỰ TÍNH</t>
        </is>
      </c>
      <c r="B4" s="140" t="inlineStr">
        <is>
          <t>DÀNH CHO NGƯỜI XEM, KHÔNG CẦN MẬT KHẨU</t>
        </is>
      </c>
      <c r="C4" s="1" t="n"/>
      <c r="D4" s="1" t="n"/>
      <c r="E4" s="1" t="n"/>
      <c r="F4" s="1" t="n"/>
      <c r="G4" s="242" t="inlineStr">
        <is>
          <t>BAN QUẢN LÝ PHẢN HỒI, CẦN MẬT KHẨU NHẬP LIỆU</t>
        </is>
      </c>
      <c r="H4" s="243" t="n"/>
      <c r="I4" s="243" t="n"/>
      <c r="J4" s="243" t="n"/>
      <c r="K4" s="211" t="inlineStr">
        <is>
          <t>CỘT KỸ THUẬT</t>
        </is>
      </c>
    </row>
    <row r="5" ht="40" customHeight="1">
      <c r="A5" s="214" t="inlineStr">
        <is>
          <t>STT</t>
        </is>
      </c>
      <c r="B5" s="213" t="inlineStr">
        <is>
          <t>Thời điểm gửi</t>
        </is>
      </c>
      <c r="C5" s="213" t="inlineStr">
        <is>
          <t>Người gửi</t>
        </is>
      </c>
      <c r="D5" s="213" t="inlineStr">
        <is>
          <t>Căn hộ (không bắt buộc)</t>
        </is>
      </c>
      <c r="E5" s="213" t="inlineStr">
        <is>
          <t>Liên quan (mã PA hoặc CV)</t>
        </is>
      </c>
      <c r="F5" s="213" t="inlineStr">
        <is>
          <t>Nội dung lời nhắn</t>
        </is>
      </c>
      <c r="G5" s="244" t="inlineStr">
        <is>
          <t>Trạng thái</t>
        </is>
      </c>
      <c r="H5" s="244" t="inlineStr">
        <is>
          <t>Phản hồi của Ban Quản lý</t>
        </is>
      </c>
      <c r="I5" s="244" t="inlineStr">
        <is>
          <t>Người phản hồi</t>
        </is>
      </c>
      <c r="J5" s="244" t="inlineStr">
        <is>
          <t>Thời điểm phản hồi</t>
        </is>
      </c>
      <c r="K5" s="215" t="inlineStr">
        <is>
          <t>Thứ tự chờ phản hồi</t>
        </is>
      </c>
    </row>
    <row r="6" ht="44" customHeight="1">
      <c r="A6" s="223">
        <f>IF($C6="","",ROW()-5)</f>
      </c>
      <c r="B6" s="245"/>
      <c r="C6" s="246"/>
      <c r="D6" s="247"/>
      <c r="E6" s="247"/>
      <c r="F6" s="246"/>
      <c r="G6" s="216"/>
      <c r="H6" s="218"/>
      <c r="I6" s="218"/>
      <c r="J6" s="248"/>
      <c r="K6" s="225">
        <f>IF(AND($C6&lt;&gt;"",$G6&lt;&gt;"Đã phản hồi"),COUNTIFS($C$6:$C6,"?*",$G$6:$G6,"&lt;&gt;Đã phản hồi"),"")</f>
      </c>
    </row>
    <row r="7" ht="44" customHeight="1">
      <c r="A7" s="223">
        <f>IF($C7="","",ROW()-5)</f>
      </c>
      <c r="B7" s="245"/>
      <c r="C7" s="246"/>
      <c r="D7" s="247"/>
      <c r="E7" s="247"/>
      <c r="F7" s="246"/>
      <c r="G7" s="216"/>
      <c r="H7" s="218"/>
      <c r="I7" s="218"/>
      <c r="J7" s="248"/>
      <c r="K7" s="225">
        <f>IF(AND($C7&lt;&gt;"",$G7&lt;&gt;"Đã phản hồi"),COUNTIFS($C$6:$C7,"?*",$G$6:$G7,"&lt;&gt;Đã phản hồi"),"")</f>
      </c>
    </row>
    <row r="8" ht="44" customHeight="1">
      <c r="A8" s="223">
        <f>IF($C8="","",ROW()-5)</f>
      </c>
      <c r="B8" s="245"/>
      <c r="C8" s="246"/>
      <c r="D8" s="247"/>
      <c r="E8" s="247"/>
      <c r="F8" s="246"/>
      <c r="G8" s="216"/>
      <c r="H8" s="218"/>
      <c r="I8" s="218"/>
      <c r="J8" s="248"/>
      <c r="K8" s="225">
        <f>IF(AND($C8&lt;&gt;"",$G8&lt;&gt;"Đã phản hồi"),COUNTIFS($C$6:$C8,"?*",$G$6:$G8,"&lt;&gt;Đã phản hồi"),"")</f>
      </c>
    </row>
    <row r="9" ht="44" customHeight="1">
      <c r="A9" s="223">
        <f>IF($C9="","",ROW()-5)</f>
      </c>
      <c r="B9" s="245"/>
      <c r="C9" s="246"/>
      <c r="D9" s="247"/>
      <c r="E9" s="247"/>
      <c r="F9" s="246"/>
      <c r="G9" s="216"/>
      <c r="H9" s="218"/>
      <c r="I9" s="218"/>
      <c r="J9" s="248"/>
      <c r="K9" s="225">
        <f>IF(AND($C9&lt;&gt;"",$G9&lt;&gt;"Đã phản hồi"),COUNTIFS($C$6:$C9,"?*",$G$6:$G9,"&lt;&gt;Đã phản hồi"),"")</f>
      </c>
    </row>
    <row r="10" ht="44" customHeight="1">
      <c r="A10" s="223">
        <f>IF($C10="","",ROW()-5)</f>
      </c>
      <c r="B10" s="245"/>
      <c r="C10" s="246"/>
      <c r="D10" s="247"/>
      <c r="E10" s="247"/>
      <c r="F10" s="246"/>
      <c r="G10" s="216"/>
      <c r="H10" s="218"/>
      <c r="I10" s="218"/>
      <c r="J10" s="248"/>
      <c r="K10" s="225">
        <f>IF(AND($C10&lt;&gt;"",$G10&lt;&gt;"Đã phản hồi"),COUNTIFS($C$6:$C10,"?*",$G$6:$G10,"&lt;&gt;Đã phản hồi"),"")</f>
      </c>
    </row>
    <row r="11" ht="44" customHeight="1">
      <c r="A11" s="223">
        <f>IF($C11="","",ROW()-5)</f>
      </c>
      <c r="B11" s="245"/>
      <c r="C11" s="246"/>
      <c r="D11" s="247"/>
      <c r="E11" s="247"/>
      <c r="F11" s="246"/>
      <c r="G11" s="216"/>
      <c r="H11" s="218"/>
      <c r="I11" s="218"/>
      <c r="J11" s="248"/>
      <c r="K11" s="225">
        <f>IF(AND($C11&lt;&gt;"",$G11&lt;&gt;"Đã phản hồi"),COUNTIFS($C$6:$C11,"?*",$G$6:$G11,"&lt;&gt;Đã phản hồi"),"")</f>
      </c>
    </row>
    <row r="12" ht="44" customHeight="1">
      <c r="A12" s="223">
        <f>IF($C12="","",ROW()-5)</f>
      </c>
      <c r="B12" s="245"/>
      <c r="C12" s="246"/>
      <c r="D12" s="247"/>
      <c r="E12" s="247"/>
      <c r="F12" s="246"/>
      <c r="G12" s="216"/>
      <c r="H12" s="218"/>
      <c r="I12" s="218"/>
      <c r="J12" s="248"/>
      <c r="K12" s="225">
        <f>IF(AND($C12&lt;&gt;"",$G12&lt;&gt;"Đã phản hồi"),COUNTIFS($C$6:$C12,"?*",$G$6:$G12,"&lt;&gt;Đã phản hồi"),"")</f>
      </c>
    </row>
    <row r="13" ht="44" customHeight="1">
      <c r="A13" s="223">
        <f>IF($C13="","",ROW()-5)</f>
      </c>
      <c r="B13" s="245"/>
      <c r="C13" s="246"/>
      <c r="D13" s="247"/>
      <c r="E13" s="247"/>
      <c r="F13" s="246"/>
      <c r="G13" s="216"/>
      <c r="H13" s="218"/>
      <c r="I13" s="218"/>
      <c r="J13" s="248"/>
      <c r="K13" s="225">
        <f>IF(AND($C13&lt;&gt;"",$G13&lt;&gt;"Đã phản hồi"),COUNTIFS($C$6:$C13,"?*",$G$6:$G13,"&lt;&gt;Đã phản hồi"),"")</f>
      </c>
    </row>
    <row r="14" ht="44" customHeight="1">
      <c r="A14" s="223">
        <f>IF($C14="","",ROW()-5)</f>
      </c>
      <c r="B14" s="245"/>
      <c r="C14" s="246"/>
      <c r="D14" s="247"/>
      <c r="E14" s="247"/>
      <c r="F14" s="246"/>
      <c r="G14" s="216"/>
      <c r="H14" s="218"/>
      <c r="I14" s="218"/>
      <c r="J14" s="248"/>
      <c r="K14" s="225">
        <f>IF(AND($C14&lt;&gt;"",$G14&lt;&gt;"Đã phản hồi"),COUNTIFS($C$6:$C14,"?*",$G$6:$G14,"&lt;&gt;Đã phản hồi"),"")</f>
      </c>
    </row>
    <row r="15" ht="44" customHeight="1">
      <c r="A15" s="223">
        <f>IF($C15="","",ROW()-5)</f>
      </c>
      <c r="B15" s="245"/>
      <c r="C15" s="246"/>
      <c r="D15" s="247"/>
      <c r="E15" s="247"/>
      <c r="F15" s="246"/>
      <c r="G15" s="216"/>
      <c r="H15" s="218"/>
      <c r="I15" s="218"/>
      <c r="J15" s="248"/>
      <c r="K15" s="225">
        <f>IF(AND($C15&lt;&gt;"",$G15&lt;&gt;"Đã phản hồi"),COUNTIFS($C$6:$C15,"?*",$G$6:$G15,"&lt;&gt;Đã phản hồi"),"")</f>
      </c>
    </row>
    <row r="16" ht="44" customHeight="1">
      <c r="A16" s="223">
        <f>IF($C16="","",ROW()-5)</f>
      </c>
      <c r="B16" s="245"/>
      <c r="C16" s="246"/>
      <c r="D16" s="247"/>
      <c r="E16" s="247"/>
      <c r="F16" s="246"/>
      <c r="G16" s="216"/>
      <c r="H16" s="218"/>
      <c r="I16" s="218"/>
      <c r="J16" s="248"/>
      <c r="K16" s="225">
        <f>IF(AND($C16&lt;&gt;"",$G16&lt;&gt;"Đã phản hồi"),COUNTIFS($C$6:$C16,"?*",$G$6:$G16,"&lt;&gt;Đã phản hồi"),"")</f>
      </c>
    </row>
    <row r="17" ht="44" customHeight="1">
      <c r="A17" s="223">
        <f>IF($C17="","",ROW()-5)</f>
      </c>
      <c r="B17" s="245"/>
      <c r="C17" s="246"/>
      <c r="D17" s="247"/>
      <c r="E17" s="247"/>
      <c r="F17" s="246"/>
      <c r="G17" s="216"/>
      <c r="H17" s="218"/>
      <c r="I17" s="218"/>
      <c r="J17" s="248"/>
      <c r="K17" s="225">
        <f>IF(AND($C17&lt;&gt;"",$G17&lt;&gt;"Đã phản hồi"),COUNTIFS($C$6:$C17,"?*",$G$6:$G17,"&lt;&gt;Đã phản hồi"),"")</f>
      </c>
    </row>
    <row r="18" ht="44" customHeight="1">
      <c r="A18" s="223">
        <f>IF($C18="","",ROW()-5)</f>
      </c>
      <c r="B18" s="245"/>
      <c r="C18" s="246"/>
      <c r="D18" s="247"/>
      <c r="E18" s="247"/>
      <c r="F18" s="246"/>
      <c r="G18" s="216"/>
      <c r="H18" s="218"/>
      <c r="I18" s="218"/>
      <c r="J18" s="248"/>
      <c r="K18" s="225">
        <f>IF(AND($C18&lt;&gt;"",$G18&lt;&gt;"Đã phản hồi"),COUNTIFS($C$6:$C18,"?*",$G$6:$G18,"&lt;&gt;Đã phản hồi"),"")</f>
      </c>
    </row>
    <row r="19" ht="44" customHeight="1">
      <c r="A19" s="223">
        <f>IF($C19="","",ROW()-5)</f>
      </c>
      <c r="B19" s="245"/>
      <c r="C19" s="246"/>
      <c r="D19" s="247"/>
      <c r="E19" s="247"/>
      <c r="F19" s="246"/>
      <c r="G19" s="216"/>
      <c r="H19" s="218"/>
      <c r="I19" s="218"/>
      <c r="J19" s="248"/>
      <c r="K19" s="225">
        <f>IF(AND($C19&lt;&gt;"",$G19&lt;&gt;"Đã phản hồi"),COUNTIFS($C$6:$C19,"?*",$G$6:$G19,"&lt;&gt;Đã phản hồi"),"")</f>
      </c>
    </row>
    <row r="20" ht="44" customHeight="1">
      <c r="A20" s="223">
        <f>IF($C20="","",ROW()-5)</f>
      </c>
      <c r="B20" s="245"/>
      <c r="C20" s="246"/>
      <c r="D20" s="247"/>
      <c r="E20" s="247"/>
      <c r="F20" s="246"/>
      <c r="G20" s="216"/>
      <c r="H20" s="218"/>
      <c r="I20" s="218"/>
      <c r="J20" s="248"/>
      <c r="K20" s="225">
        <f>IF(AND($C20&lt;&gt;"",$G20&lt;&gt;"Đã phản hồi"),COUNTIFS($C$6:$C20,"?*",$G$6:$G20,"&lt;&gt;Đã phản hồi"),"")</f>
      </c>
    </row>
    <row r="21" ht="44" customHeight="1">
      <c r="A21" s="223">
        <f>IF($C21="","",ROW()-5)</f>
      </c>
      <c r="B21" s="245"/>
      <c r="C21" s="246"/>
      <c r="D21" s="247"/>
      <c r="E21" s="247"/>
      <c r="F21" s="246"/>
      <c r="G21" s="216"/>
      <c r="H21" s="218"/>
      <c r="I21" s="218"/>
      <c r="J21" s="248"/>
      <c r="K21" s="225">
        <f>IF(AND($C21&lt;&gt;"",$G21&lt;&gt;"Đã phản hồi"),COUNTIFS($C$6:$C21,"?*",$G$6:$G21,"&lt;&gt;Đã phản hồi"),"")</f>
      </c>
    </row>
    <row r="22" ht="44" customHeight="1">
      <c r="A22" s="223">
        <f>IF($C22="","",ROW()-5)</f>
      </c>
      <c r="B22" s="245"/>
      <c r="C22" s="246"/>
      <c r="D22" s="247"/>
      <c r="E22" s="247"/>
      <c r="F22" s="246"/>
      <c r="G22" s="216"/>
      <c r="H22" s="218"/>
      <c r="I22" s="218"/>
      <c r="J22" s="248"/>
      <c r="K22" s="225">
        <f>IF(AND($C22&lt;&gt;"",$G22&lt;&gt;"Đã phản hồi"),COUNTIFS($C$6:$C22,"?*",$G$6:$G22,"&lt;&gt;Đã phản hồi"),"")</f>
      </c>
    </row>
    <row r="23" ht="44" customHeight="1">
      <c r="A23" s="223">
        <f>IF($C23="","",ROW()-5)</f>
      </c>
      <c r="B23" s="245"/>
      <c r="C23" s="246"/>
      <c r="D23" s="247"/>
      <c r="E23" s="247"/>
      <c r="F23" s="246"/>
      <c r="G23" s="216"/>
      <c r="H23" s="218"/>
      <c r="I23" s="218"/>
      <c r="J23" s="248"/>
      <c r="K23" s="225">
        <f>IF(AND($C23&lt;&gt;"",$G23&lt;&gt;"Đã phản hồi"),COUNTIFS($C$6:$C23,"?*",$G$6:$G23,"&lt;&gt;Đã phản hồi"),"")</f>
      </c>
    </row>
    <row r="24" ht="44" customHeight="1">
      <c r="A24" s="223">
        <f>IF($C24="","",ROW()-5)</f>
      </c>
      <c r="B24" s="245"/>
      <c r="C24" s="246"/>
      <c r="D24" s="247"/>
      <c r="E24" s="247"/>
      <c r="F24" s="246"/>
      <c r="G24" s="216"/>
      <c r="H24" s="218"/>
      <c r="I24" s="218"/>
      <c r="J24" s="248"/>
      <c r="K24" s="225">
        <f>IF(AND($C24&lt;&gt;"",$G24&lt;&gt;"Đã phản hồi"),COUNTIFS($C$6:$C24,"?*",$G$6:$G24,"&lt;&gt;Đã phản hồi"),"")</f>
      </c>
    </row>
    <row r="25" ht="44" customHeight="1">
      <c r="A25" s="223">
        <f>IF($C25="","",ROW()-5)</f>
      </c>
      <c r="B25" s="245"/>
      <c r="C25" s="246"/>
      <c r="D25" s="247"/>
      <c r="E25" s="247"/>
      <c r="F25" s="246"/>
      <c r="G25" s="216"/>
      <c r="H25" s="218"/>
      <c r="I25" s="218"/>
      <c r="J25" s="248"/>
      <c r="K25" s="225">
        <f>IF(AND($C25&lt;&gt;"",$G25&lt;&gt;"Đã phản hồi"),COUNTIFS($C$6:$C25,"?*",$G$6:$G25,"&lt;&gt;Đã phản hồi"),"")</f>
      </c>
    </row>
    <row r="26" ht="44" customHeight="1">
      <c r="A26" s="223">
        <f>IF($C26="","",ROW()-5)</f>
      </c>
      <c r="B26" s="245"/>
      <c r="C26" s="246"/>
      <c r="D26" s="247"/>
      <c r="E26" s="247"/>
      <c r="F26" s="246"/>
      <c r="G26" s="216"/>
      <c r="H26" s="218"/>
      <c r="I26" s="218"/>
      <c r="J26" s="248"/>
      <c r="K26" s="225">
        <f>IF(AND($C26&lt;&gt;"",$G26&lt;&gt;"Đã phản hồi"),COUNTIFS($C$6:$C26,"?*",$G$6:$G26,"&lt;&gt;Đã phản hồi"),"")</f>
      </c>
    </row>
    <row r="27" ht="44" customHeight="1">
      <c r="A27" s="223">
        <f>IF($C27="","",ROW()-5)</f>
      </c>
      <c r="B27" s="245"/>
      <c r="C27" s="246"/>
      <c r="D27" s="247"/>
      <c r="E27" s="247"/>
      <c r="F27" s="246"/>
      <c r="G27" s="216"/>
      <c r="H27" s="218"/>
      <c r="I27" s="218"/>
      <c r="J27" s="248"/>
      <c r="K27" s="225">
        <f>IF(AND($C27&lt;&gt;"",$G27&lt;&gt;"Đã phản hồi"),COUNTIFS($C$6:$C27,"?*",$G$6:$G27,"&lt;&gt;Đã phản hồi"),"")</f>
      </c>
    </row>
    <row r="28" ht="44" customHeight="1">
      <c r="A28" s="223">
        <f>IF($C28="","",ROW()-5)</f>
      </c>
      <c r="B28" s="245"/>
      <c r="C28" s="246"/>
      <c r="D28" s="247"/>
      <c r="E28" s="247"/>
      <c r="F28" s="246"/>
      <c r="G28" s="216"/>
      <c r="H28" s="218"/>
      <c r="I28" s="218"/>
      <c r="J28" s="248"/>
      <c r="K28" s="225">
        <f>IF(AND($C28&lt;&gt;"",$G28&lt;&gt;"Đã phản hồi"),COUNTIFS($C$6:$C28,"?*",$G$6:$G28,"&lt;&gt;Đã phản hồi"),"")</f>
      </c>
    </row>
    <row r="29" ht="44" customHeight="1">
      <c r="A29" s="223">
        <f>IF($C29="","",ROW()-5)</f>
      </c>
      <c r="B29" s="245"/>
      <c r="C29" s="246"/>
      <c r="D29" s="247"/>
      <c r="E29" s="247"/>
      <c r="F29" s="246"/>
      <c r="G29" s="216"/>
      <c r="H29" s="218"/>
      <c r="I29" s="218"/>
      <c r="J29" s="248"/>
      <c r="K29" s="225">
        <f>IF(AND($C29&lt;&gt;"",$G29&lt;&gt;"Đã phản hồi"),COUNTIFS($C$6:$C29,"?*",$G$6:$G29,"&lt;&gt;Đã phản hồi"),"")</f>
      </c>
    </row>
    <row r="30" ht="44" customHeight="1">
      <c r="A30" s="223">
        <f>IF($C30="","",ROW()-5)</f>
      </c>
      <c r="B30" s="245"/>
      <c r="C30" s="246"/>
      <c r="D30" s="247"/>
      <c r="E30" s="247"/>
      <c r="F30" s="246"/>
      <c r="G30" s="216"/>
      <c r="H30" s="218"/>
      <c r="I30" s="218"/>
      <c r="J30" s="248"/>
      <c r="K30" s="225">
        <f>IF(AND($C30&lt;&gt;"",$G30&lt;&gt;"Đã phản hồi"),COUNTIFS($C$6:$C30,"?*",$G$6:$G30,"&lt;&gt;Đã phản hồi"),"")</f>
      </c>
    </row>
    <row r="31" ht="44" customHeight="1">
      <c r="A31" s="223">
        <f>IF($C31="","",ROW()-5)</f>
      </c>
      <c r="B31" s="245"/>
      <c r="C31" s="246"/>
      <c r="D31" s="247"/>
      <c r="E31" s="247"/>
      <c r="F31" s="246"/>
      <c r="G31" s="216"/>
      <c r="H31" s="218"/>
      <c r="I31" s="218"/>
      <c r="J31" s="248"/>
      <c r="K31" s="225">
        <f>IF(AND($C31&lt;&gt;"",$G31&lt;&gt;"Đã phản hồi"),COUNTIFS($C$6:$C31,"?*",$G$6:$G31,"&lt;&gt;Đã phản hồi"),"")</f>
      </c>
    </row>
    <row r="32" ht="44" customHeight="1">
      <c r="A32" s="223">
        <f>IF($C32="","",ROW()-5)</f>
      </c>
      <c r="B32" s="245"/>
      <c r="C32" s="246"/>
      <c r="D32" s="247"/>
      <c r="E32" s="247"/>
      <c r="F32" s="246"/>
      <c r="G32" s="216"/>
      <c r="H32" s="218"/>
      <c r="I32" s="218"/>
      <c r="J32" s="248"/>
      <c r="K32" s="225">
        <f>IF(AND($C32&lt;&gt;"",$G32&lt;&gt;"Đã phản hồi"),COUNTIFS($C$6:$C32,"?*",$G$6:$G32,"&lt;&gt;Đã phản hồi"),"")</f>
      </c>
    </row>
    <row r="33" ht="44" customHeight="1">
      <c r="A33" s="223">
        <f>IF($C33="","",ROW()-5)</f>
      </c>
      <c r="B33" s="245"/>
      <c r="C33" s="246"/>
      <c r="D33" s="247"/>
      <c r="E33" s="247"/>
      <c r="F33" s="246"/>
      <c r="G33" s="216"/>
      <c r="H33" s="218"/>
      <c r="I33" s="218"/>
      <c r="J33" s="248"/>
      <c r="K33" s="225">
        <f>IF(AND($C33&lt;&gt;"",$G33&lt;&gt;"Đã phản hồi"),COUNTIFS($C$6:$C33,"?*",$G$6:$G33,"&lt;&gt;Đã phản hồi"),"")</f>
      </c>
    </row>
    <row r="34" ht="44" customHeight="1">
      <c r="A34" s="223">
        <f>IF($C34="","",ROW()-5)</f>
      </c>
      <c r="B34" s="245"/>
      <c r="C34" s="246"/>
      <c r="D34" s="247"/>
      <c r="E34" s="247"/>
      <c r="F34" s="246"/>
      <c r="G34" s="216"/>
      <c r="H34" s="218"/>
      <c r="I34" s="218"/>
      <c r="J34" s="248"/>
      <c r="K34" s="225">
        <f>IF(AND($C34&lt;&gt;"",$G34&lt;&gt;"Đã phản hồi"),COUNTIFS($C$6:$C34,"?*",$G$6:$G34,"&lt;&gt;Đã phản hồi"),"")</f>
      </c>
    </row>
    <row r="35" ht="44" customHeight="1">
      <c r="A35" s="223">
        <f>IF($C35="","",ROW()-5)</f>
      </c>
      <c r="B35" s="245"/>
      <c r="C35" s="246"/>
      <c r="D35" s="247"/>
      <c r="E35" s="247"/>
      <c r="F35" s="246"/>
      <c r="G35" s="216"/>
      <c r="H35" s="218"/>
      <c r="I35" s="218"/>
      <c r="J35" s="248"/>
      <c r="K35" s="225">
        <f>IF(AND($C35&lt;&gt;"",$G35&lt;&gt;"Đã phản hồi"),COUNTIFS($C$6:$C35,"?*",$G$6:$G35,"&lt;&gt;Đã phản hồi"),"")</f>
      </c>
    </row>
    <row r="36" ht="44" customHeight="1">
      <c r="A36" s="223">
        <f>IF($C36="","",ROW()-5)</f>
      </c>
      <c r="B36" s="245"/>
      <c r="C36" s="246"/>
      <c r="D36" s="247"/>
      <c r="E36" s="247"/>
      <c r="F36" s="246"/>
      <c r="G36" s="216"/>
      <c r="H36" s="218"/>
      <c r="I36" s="218"/>
      <c r="J36" s="248"/>
      <c r="K36" s="225">
        <f>IF(AND($C36&lt;&gt;"",$G36&lt;&gt;"Đã phản hồi"),COUNTIFS($C$6:$C36,"?*",$G$6:$G36,"&lt;&gt;Đã phản hồi"),"")</f>
      </c>
    </row>
    <row r="37" ht="44" customHeight="1">
      <c r="A37" s="223">
        <f>IF($C37="","",ROW()-5)</f>
      </c>
      <c r="B37" s="245"/>
      <c r="C37" s="246"/>
      <c r="D37" s="247"/>
      <c r="E37" s="247"/>
      <c r="F37" s="246"/>
      <c r="G37" s="216"/>
      <c r="H37" s="218"/>
      <c r="I37" s="218"/>
      <c r="J37" s="248"/>
      <c r="K37" s="225">
        <f>IF(AND($C37&lt;&gt;"",$G37&lt;&gt;"Đã phản hồi"),COUNTIFS($C$6:$C37,"?*",$G$6:$G37,"&lt;&gt;Đã phản hồi"),"")</f>
      </c>
    </row>
    <row r="38" ht="44" customHeight="1">
      <c r="A38" s="223">
        <f>IF($C38="","",ROW()-5)</f>
      </c>
      <c r="B38" s="245"/>
      <c r="C38" s="246"/>
      <c r="D38" s="247"/>
      <c r="E38" s="247"/>
      <c r="F38" s="246"/>
      <c r="G38" s="216"/>
      <c r="H38" s="218"/>
      <c r="I38" s="218"/>
      <c r="J38" s="248"/>
      <c r="K38" s="225">
        <f>IF(AND($C38&lt;&gt;"",$G38&lt;&gt;"Đã phản hồi"),COUNTIFS($C$6:$C38,"?*",$G$6:$G38,"&lt;&gt;Đã phản hồi"),"")</f>
      </c>
    </row>
    <row r="39" ht="44" customHeight="1">
      <c r="A39" s="223">
        <f>IF($C39="","",ROW()-5)</f>
      </c>
      <c r="B39" s="245"/>
      <c r="C39" s="246"/>
      <c r="D39" s="247"/>
      <c r="E39" s="247"/>
      <c r="F39" s="246"/>
      <c r="G39" s="216"/>
      <c r="H39" s="218"/>
      <c r="I39" s="218"/>
      <c r="J39" s="248"/>
      <c r="K39" s="225">
        <f>IF(AND($C39&lt;&gt;"",$G39&lt;&gt;"Đã phản hồi"),COUNTIFS($C$6:$C39,"?*",$G$6:$G39,"&lt;&gt;Đã phản hồi"),"")</f>
      </c>
    </row>
    <row r="40" ht="44" customHeight="1">
      <c r="A40" s="223">
        <f>IF($C40="","",ROW()-5)</f>
      </c>
      <c r="B40" s="245"/>
      <c r="C40" s="246"/>
      <c r="D40" s="247"/>
      <c r="E40" s="247"/>
      <c r="F40" s="246"/>
      <c r="G40" s="216"/>
      <c r="H40" s="218"/>
      <c r="I40" s="218"/>
      <c r="J40" s="248"/>
      <c r="K40" s="225">
        <f>IF(AND($C40&lt;&gt;"",$G40&lt;&gt;"Đã phản hồi"),COUNTIFS($C$6:$C40,"?*",$G$6:$G40,"&lt;&gt;Đã phản hồi"),"")</f>
      </c>
    </row>
    <row r="41" ht="44" customHeight="1">
      <c r="A41" s="223">
        <f>IF($C41="","",ROW()-5)</f>
      </c>
      <c r="B41" s="245"/>
      <c r="C41" s="246"/>
      <c r="D41" s="247"/>
      <c r="E41" s="247"/>
      <c r="F41" s="246"/>
      <c r="G41" s="216"/>
      <c r="H41" s="218"/>
      <c r="I41" s="218"/>
      <c r="J41" s="248"/>
      <c r="K41" s="225">
        <f>IF(AND($C41&lt;&gt;"",$G41&lt;&gt;"Đã phản hồi"),COUNTIFS($C$6:$C41,"?*",$G$6:$G41,"&lt;&gt;Đã phản hồi"),"")</f>
      </c>
    </row>
    <row r="42" ht="44" customHeight="1">
      <c r="A42" s="223">
        <f>IF($C42="","",ROW()-5)</f>
      </c>
      <c r="B42" s="245"/>
      <c r="C42" s="246"/>
      <c r="D42" s="247"/>
      <c r="E42" s="247"/>
      <c r="F42" s="246"/>
      <c r="G42" s="216"/>
      <c r="H42" s="218"/>
      <c r="I42" s="218"/>
      <c r="J42" s="248"/>
      <c r="K42" s="225">
        <f>IF(AND($C42&lt;&gt;"",$G42&lt;&gt;"Đã phản hồi"),COUNTIFS($C$6:$C42,"?*",$G$6:$G42,"&lt;&gt;Đã phản hồi"),"")</f>
      </c>
    </row>
    <row r="43" ht="44" customHeight="1">
      <c r="A43" s="223">
        <f>IF($C43="","",ROW()-5)</f>
      </c>
      <c r="B43" s="245"/>
      <c r="C43" s="246"/>
      <c r="D43" s="247"/>
      <c r="E43" s="247"/>
      <c r="F43" s="246"/>
      <c r="G43" s="216"/>
      <c r="H43" s="218"/>
      <c r="I43" s="218"/>
      <c r="J43" s="248"/>
      <c r="K43" s="225">
        <f>IF(AND($C43&lt;&gt;"",$G43&lt;&gt;"Đã phản hồi"),COUNTIFS($C$6:$C43,"?*",$G$6:$G43,"&lt;&gt;Đã phản hồi"),"")</f>
      </c>
    </row>
    <row r="44" ht="44" customHeight="1">
      <c r="A44" s="223">
        <f>IF($C44="","",ROW()-5)</f>
      </c>
      <c r="B44" s="245"/>
      <c r="C44" s="246"/>
      <c r="D44" s="247"/>
      <c r="E44" s="247"/>
      <c r="F44" s="246"/>
      <c r="G44" s="216"/>
      <c r="H44" s="218"/>
      <c r="I44" s="218"/>
      <c r="J44" s="248"/>
      <c r="K44" s="225">
        <f>IF(AND($C44&lt;&gt;"",$G44&lt;&gt;"Đã phản hồi"),COUNTIFS($C$6:$C44,"?*",$G$6:$G44,"&lt;&gt;Đã phản hồi"),"")</f>
      </c>
    </row>
    <row r="45" ht="44" customHeight="1">
      <c r="A45" s="223">
        <f>IF($C45="","",ROW()-5)</f>
      </c>
      <c r="B45" s="245"/>
      <c r="C45" s="246"/>
      <c r="D45" s="247"/>
      <c r="E45" s="247"/>
      <c r="F45" s="246"/>
      <c r="G45" s="216"/>
      <c r="H45" s="218"/>
      <c r="I45" s="218"/>
      <c r="J45" s="248"/>
      <c r="K45" s="225">
        <f>IF(AND($C45&lt;&gt;"",$G45&lt;&gt;"Đã phản hồi"),COUNTIFS($C$6:$C45,"?*",$G$6:$G45,"&lt;&gt;Đã phản hồi"),"")</f>
      </c>
    </row>
    <row r="46" ht="44" customHeight="1">
      <c r="A46" s="223">
        <f>IF($C46="","",ROW()-5)</f>
      </c>
      <c r="B46" s="245"/>
      <c r="C46" s="246"/>
      <c r="D46" s="247"/>
      <c r="E46" s="247"/>
      <c r="F46" s="246"/>
      <c r="G46" s="216"/>
      <c r="H46" s="218"/>
      <c r="I46" s="218"/>
      <c r="J46" s="248"/>
      <c r="K46" s="225">
        <f>IF(AND($C46&lt;&gt;"",$G46&lt;&gt;"Đã phản hồi"),COUNTIFS($C$6:$C46,"?*",$G$6:$G46,"&lt;&gt;Đã phản hồi"),"")</f>
      </c>
    </row>
    <row r="47" ht="44" customHeight="1">
      <c r="A47" s="223">
        <f>IF($C47="","",ROW()-5)</f>
      </c>
      <c r="B47" s="245"/>
      <c r="C47" s="246"/>
      <c r="D47" s="247"/>
      <c r="E47" s="247"/>
      <c r="F47" s="246"/>
      <c r="G47" s="216"/>
      <c r="H47" s="218"/>
      <c r="I47" s="218"/>
      <c r="J47" s="248"/>
      <c r="K47" s="225">
        <f>IF(AND($C47&lt;&gt;"",$G47&lt;&gt;"Đã phản hồi"),COUNTIFS($C$6:$C47,"?*",$G$6:$G47,"&lt;&gt;Đã phản hồi"),"")</f>
      </c>
    </row>
    <row r="48" ht="44" customHeight="1">
      <c r="A48" s="223">
        <f>IF($C48="","",ROW()-5)</f>
      </c>
      <c r="B48" s="245"/>
      <c r="C48" s="246"/>
      <c r="D48" s="247"/>
      <c r="E48" s="247"/>
      <c r="F48" s="246"/>
      <c r="G48" s="216"/>
      <c r="H48" s="218"/>
      <c r="I48" s="218"/>
      <c r="J48" s="248"/>
      <c r="K48" s="225">
        <f>IF(AND($C48&lt;&gt;"",$G48&lt;&gt;"Đã phản hồi"),COUNTIFS($C$6:$C48,"?*",$G$6:$G48,"&lt;&gt;Đã phản hồi"),"")</f>
      </c>
    </row>
    <row r="49" ht="44" customHeight="1">
      <c r="A49" s="223">
        <f>IF($C49="","",ROW()-5)</f>
      </c>
      <c r="B49" s="245"/>
      <c r="C49" s="246"/>
      <c r="D49" s="247"/>
      <c r="E49" s="247"/>
      <c r="F49" s="246"/>
      <c r="G49" s="216"/>
      <c r="H49" s="218"/>
      <c r="I49" s="218"/>
      <c r="J49" s="248"/>
      <c r="K49" s="225">
        <f>IF(AND($C49&lt;&gt;"",$G49&lt;&gt;"Đã phản hồi"),COUNTIFS($C$6:$C49,"?*",$G$6:$G49,"&lt;&gt;Đã phản hồi"),"")</f>
      </c>
    </row>
    <row r="50" ht="44" customHeight="1">
      <c r="A50" s="223">
        <f>IF($C50="","",ROW()-5)</f>
      </c>
      <c r="B50" s="245"/>
      <c r="C50" s="246"/>
      <c r="D50" s="247"/>
      <c r="E50" s="247"/>
      <c r="F50" s="246"/>
      <c r="G50" s="216"/>
      <c r="H50" s="218"/>
      <c r="I50" s="218"/>
      <c r="J50" s="248"/>
      <c r="K50" s="225">
        <f>IF(AND($C50&lt;&gt;"",$G50&lt;&gt;"Đã phản hồi"),COUNTIFS($C$6:$C50,"?*",$G$6:$G50,"&lt;&gt;Đã phản hồi"),"")</f>
      </c>
    </row>
    <row r="51" ht="44" customHeight="1">
      <c r="A51" s="223">
        <f>IF($C51="","",ROW()-5)</f>
      </c>
      <c r="B51" s="245"/>
      <c r="C51" s="246"/>
      <c r="D51" s="247"/>
      <c r="E51" s="247"/>
      <c r="F51" s="246"/>
      <c r="G51" s="216"/>
      <c r="H51" s="218"/>
      <c r="I51" s="218"/>
      <c r="J51" s="248"/>
      <c r="K51" s="225">
        <f>IF(AND($C51&lt;&gt;"",$G51&lt;&gt;"Đã phản hồi"),COUNTIFS($C$6:$C51,"?*",$G$6:$G51,"&lt;&gt;Đã phản hồi"),"")</f>
      </c>
    </row>
    <row r="52" ht="44" customHeight="1">
      <c r="A52" s="223">
        <f>IF($C52="","",ROW()-5)</f>
      </c>
      <c r="B52" s="245"/>
      <c r="C52" s="246"/>
      <c r="D52" s="247"/>
      <c r="E52" s="247"/>
      <c r="F52" s="246"/>
      <c r="G52" s="216"/>
      <c r="H52" s="218"/>
      <c r="I52" s="218"/>
      <c r="J52" s="248"/>
      <c r="K52" s="225">
        <f>IF(AND($C52&lt;&gt;"",$G52&lt;&gt;"Đã phản hồi"),COUNTIFS($C$6:$C52,"?*",$G$6:$G52,"&lt;&gt;Đã phản hồi"),"")</f>
      </c>
    </row>
    <row r="53" ht="44" customHeight="1">
      <c r="A53" s="223">
        <f>IF($C53="","",ROW()-5)</f>
      </c>
      <c r="B53" s="245"/>
      <c r="C53" s="246"/>
      <c r="D53" s="247"/>
      <c r="E53" s="247"/>
      <c r="F53" s="246"/>
      <c r="G53" s="216"/>
      <c r="H53" s="218"/>
      <c r="I53" s="218"/>
      <c r="J53" s="248"/>
      <c r="K53" s="225">
        <f>IF(AND($C53&lt;&gt;"",$G53&lt;&gt;"Đã phản hồi"),COUNTIFS($C$6:$C53,"?*",$G$6:$G53,"&lt;&gt;Đã phản hồi"),"")</f>
      </c>
    </row>
    <row r="54" ht="44" customHeight="1">
      <c r="A54" s="223">
        <f>IF($C54="","",ROW()-5)</f>
      </c>
      <c r="B54" s="245"/>
      <c r="C54" s="246"/>
      <c r="D54" s="247"/>
      <c r="E54" s="247"/>
      <c r="F54" s="246"/>
      <c r="G54" s="216"/>
      <c r="H54" s="218"/>
      <c r="I54" s="218"/>
      <c r="J54" s="248"/>
      <c r="K54" s="225">
        <f>IF(AND($C54&lt;&gt;"",$G54&lt;&gt;"Đã phản hồi"),COUNTIFS($C$6:$C54,"?*",$G$6:$G54,"&lt;&gt;Đã phản hồi"),"")</f>
      </c>
    </row>
    <row r="55" ht="44" customHeight="1">
      <c r="A55" s="223">
        <f>IF($C55="","",ROW()-5)</f>
      </c>
      <c r="B55" s="245"/>
      <c r="C55" s="246"/>
      <c r="D55" s="247"/>
      <c r="E55" s="247"/>
      <c r="F55" s="246"/>
      <c r="G55" s="216"/>
      <c r="H55" s="218"/>
      <c r="I55" s="218"/>
      <c r="J55" s="248"/>
      <c r="K55" s="225">
        <f>IF(AND($C55&lt;&gt;"",$G55&lt;&gt;"Đã phản hồi"),COUNTIFS($C$6:$C55,"?*",$G$6:$G55,"&lt;&gt;Đã phản hồi"),"")</f>
      </c>
    </row>
    <row r="56" ht="44" customHeight="1">
      <c r="A56" s="223">
        <f>IF($C56="","",ROW()-5)</f>
      </c>
      <c r="B56" s="245"/>
      <c r="C56" s="246"/>
      <c r="D56" s="247"/>
      <c r="E56" s="247"/>
      <c r="F56" s="246"/>
      <c r="G56" s="216"/>
      <c r="H56" s="218"/>
      <c r="I56" s="218"/>
      <c r="J56" s="248"/>
      <c r="K56" s="225">
        <f>IF(AND($C56&lt;&gt;"",$G56&lt;&gt;"Đã phản hồi"),COUNTIFS($C$6:$C56,"?*",$G$6:$G56,"&lt;&gt;Đã phản hồi"),"")</f>
      </c>
    </row>
    <row r="57" ht="44" customHeight="1">
      <c r="A57" s="223">
        <f>IF($C57="","",ROW()-5)</f>
      </c>
      <c r="B57" s="245"/>
      <c r="C57" s="246"/>
      <c r="D57" s="247"/>
      <c r="E57" s="247"/>
      <c r="F57" s="246"/>
      <c r="G57" s="216"/>
      <c r="H57" s="218"/>
      <c r="I57" s="218"/>
      <c r="J57" s="248"/>
      <c r="K57" s="225">
        <f>IF(AND($C57&lt;&gt;"",$G57&lt;&gt;"Đã phản hồi"),COUNTIFS($C$6:$C57,"?*",$G$6:$G57,"&lt;&gt;Đã phản hồi"),"")</f>
      </c>
    </row>
    <row r="58" ht="44" customHeight="1">
      <c r="A58" s="223">
        <f>IF($C58="","",ROW()-5)</f>
      </c>
      <c r="B58" s="245"/>
      <c r="C58" s="246"/>
      <c r="D58" s="247"/>
      <c r="E58" s="247"/>
      <c r="F58" s="246"/>
      <c r="G58" s="216"/>
      <c r="H58" s="218"/>
      <c r="I58" s="218"/>
      <c r="J58" s="248"/>
      <c r="K58" s="225">
        <f>IF(AND($C58&lt;&gt;"",$G58&lt;&gt;"Đã phản hồi"),COUNTIFS($C$6:$C58,"?*",$G$6:$G58,"&lt;&gt;Đã phản hồi"),"")</f>
      </c>
    </row>
    <row r="59" ht="44" customHeight="1">
      <c r="A59" s="223">
        <f>IF($C59="","",ROW()-5)</f>
      </c>
      <c r="B59" s="245"/>
      <c r="C59" s="246"/>
      <c r="D59" s="247"/>
      <c r="E59" s="247"/>
      <c r="F59" s="246"/>
      <c r="G59" s="216"/>
      <c r="H59" s="218"/>
      <c r="I59" s="218"/>
      <c r="J59" s="248"/>
      <c r="K59" s="225">
        <f>IF(AND($C59&lt;&gt;"",$G59&lt;&gt;"Đã phản hồi"),COUNTIFS($C$6:$C59,"?*",$G$6:$G59,"&lt;&gt;Đã phản hồi"),"")</f>
      </c>
    </row>
    <row r="60" ht="44" customHeight="1">
      <c r="A60" s="223">
        <f>IF($C60="","",ROW()-5)</f>
      </c>
      <c r="B60" s="245"/>
      <c r="C60" s="246"/>
      <c r="D60" s="247"/>
      <c r="E60" s="247"/>
      <c r="F60" s="246"/>
      <c r="G60" s="216"/>
      <c r="H60" s="218"/>
      <c r="I60" s="218"/>
      <c r="J60" s="248"/>
      <c r="K60" s="225">
        <f>IF(AND($C60&lt;&gt;"",$G60&lt;&gt;"Đã phản hồi"),COUNTIFS($C$6:$C60,"?*",$G$6:$G60,"&lt;&gt;Đã phản hồi"),"")</f>
      </c>
    </row>
    <row r="61" ht="44" customHeight="1">
      <c r="A61" s="223">
        <f>IF($C61="","",ROW()-5)</f>
      </c>
      <c r="B61" s="245"/>
      <c r="C61" s="246"/>
      <c r="D61" s="247"/>
      <c r="E61" s="247"/>
      <c r="F61" s="246"/>
      <c r="G61" s="216"/>
      <c r="H61" s="218"/>
      <c r="I61" s="218"/>
      <c r="J61" s="248"/>
      <c r="K61" s="225">
        <f>IF(AND($C61&lt;&gt;"",$G61&lt;&gt;"Đã phản hồi"),COUNTIFS($C$6:$C61,"?*",$G$6:$G61,"&lt;&gt;Đã phản hồi"),"")</f>
      </c>
    </row>
    <row r="62" ht="44" customHeight="1">
      <c r="A62" s="223">
        <f>IF($C62="","",ROW()-5)</f>
      </c>
      <c r="B62" s="245"/>
      <c r="C62" s="246"/>
      <c r="D62" s="247"/>
      <c r="E62" s="247"/>
      <c r="F62" s="246"/>
      <c r="G62" s="216"/>
      <c r="H62" s="218"/>
      <c r="I62" s="218"/>
      <c r="J62" s="248"/>
      <c r="K62" s="225">
        <f>IF(AND($C62&lt;&gt;"",$G62&lt;&gt;"Đã phản hồi"),COUNTIFS($C$6:$C62,"?*",$G$6:$G62,"&lt;&gt;Đã phản hồi"),"")</f>
      </c>
    </row>
    <row r="63" ht="44" customHeight="1">
      <c r="A63" s="223">
        <f>IF($C63="","",ROW()-5)</f>
      </c>
      <c r="B63" s="245"/>
      <c r="C63" s="246"/>
      <c r="D63" s="247"/>
      <c r="E63" s="247"/>
      <c r="F63" s="246"/>
      <c r="G63" s="216"/>
      <c r="H63" s="218"/>
      <c r="I63" s="218"/>
      <c r="J63" s="248"/>
      <c r="K63" s="225">
        <f>IF(AND($C63&lt;&gt;"",$G63&lt;&gt;"Đã phản hồi"),COUNTIFS($C$6:$C63,"?*",$G$6:$G63,"&lt;&gt;Đã phản hồi"),"")</f>
      </c>
    </row>
    <row r="64" ht="44" customHeight="1">
      <c r="A64" s="223">
        <f>IF($C64="","",ROW()-5)</f>
      </c>
      <c r="B64" s="245"/>
      <c r="C64" s="246"/>
      <c r="D64" s="247"/>
      <c r="E64" s="247"/>
      <c r="F64" s="246"/>
      <c r="G64" s="216"/>
      <c r="H64" s="218"/>
      <c r="I64" s="218"/>
      <c r="J64" s="248"/>
      <c r="K64" s="225">
        <f>IF(AND($C64&lt;&gt;"",$G64&lt;&gt;"Đã phản hồi"),COUNTIFS($C$6:$C64,"?*",$G$6:$G64,"&lt;&gt;Đã phản hồi"),"")</f>
      </c>
    </row>
    <row r="65" ht="44" customHeight="1">
      <c r="A65" s="223">
        <f>IF($C65="","",ROW()-5)</f>
      </c>
      <c r="B65" s="245"/>
      <c r="C65" s="246"/>
      <c r="D65" s="247"/>
      <c r="E65" s="247"/>
      <c r="F65" s="246"/>
      <c r="G65" s="216"/>
      <c r="H65" s="218"/>
      <c r="I65" s="218"/>
      <c r="J65" s="248"/>
      <c r="K65" s="225">
        <f>IF(AND($C65&lt;&gt;"",$G65&lt;&gt;"Đã phản hồi"),COUNTIFS($C$6:$C65,"?*",$G$6:$G65,"&lt;&gt;Đã phản hồi"),"")</f>
      </c>
    </row>
    <row r="66">
      <c r="A66" s="223">
        <f>IF($C66="","",ROW()-5)</f>
      </c>
      <c r="B66" s="245"/>
      <c r="C66" s="246"/>
      <c r="D66" s="247"/>
      <c r="E66" s="247"/>
      <c r="F66" s="246"/>
      <c r="G66" s="216"/>
      <c r="H66" s="218"/>
      <c r="I66" s="218"/>
      <c r="J66" s="248"/>
      <c r="K66" s="225">
        <f>IF(AND($C66&lt;&gt;"",$G66&lt;&gt;"Đã phản hồi"),COUNTIFS($C$6:$C66,"?*",$G$6:$G66,"&lt;&gt;Đã phản hồi"),"")</f>
      </c>
    </row>
    <row r="67">
      <c r="A67" s="223">
        <f>IF($C67="","",ROW()-5)</f>
      </c>
      <c r="B67" s="245"/>
      <c r="C67" s="246"/>
      <c r="D67" s="247"/>
      <c r="E67" s="247"/>
      <c r="F67" s="246"/>
      <c r="G67" s="216"/>
      <c r="H67" s="218"/>
      <c r="I67" s="218"/>
      <c r="J67" s="248"/>
      <c r="K67" s="225">
        <f>IF(AND($C67&lt;&gt;"",$G67&lt;&gt;"Đã phản hồi"),COUNTIFS($C$6:$C67,"?*",$G$6:$G67,"&lt;&gt;Đã phản hồi"),"")</f>
      </c>
    </row>
    <row r="68">
      <c r="A68" s="223">
        <f>IF($C68="","",ROW()-5)</f>
      </c>
      <c r="B68" s="245"/>
      <c r="C68" s="246"/>
      <c r="D68" s="247"/>
      <c r="E68" s="247"/>
      <c r="F68" s="246"/>
      <c r="G68" s="216"/>
      <c r="H68" s="218"/>
      <c r="I68" s="218"/>
      <c r="J68" s="248"/>
      <c r="K68" s="225">
        <f>IF(AND($C68&lt;&gt;"",$G68&lt;&gt;"Đã phản hồi"),COUNTIFS($C$6:$C68,"?*",$G$6:$G68,"&lt;&gt;Đã phản hồi"),"")</f>
      </c>
    </row>
    <row r="69">
      <c r="A69" s="223">
        <f>IF($C69="","",ROW()-5)</f>
      </c>
      <c r="B69" s="245"/>
      <c r="C69" s="246"/>
      <c r="D69" s="247"/>
      <c r="E69" s="247"/>
      <c r="F69" s="246"/>
      <c r="G69" s="216"/>
      <c r="H69" s="218"/>
      <c r="I69" s="218"/>
      <c r="J69" s="248"/>
      <c r="K69" s="225">
        <f>IF(AND($C69&lt;&gt;"",$G69&lt;&gt;"Đã phản hồi"),COUNTIFS($C$6:$C69,"?*",$G$6:$G69,"&lt;&gt;Đã phản hồi"),"")</f>
      </c>
    </row>
    <row r="70">
      <c r="A70" s="223">
        <f>IF($C70="","",ROW()-5)</f>
      </c>
      <c r="B70" s="245"/>
      <c r="C70" s="246"/>
      <c r="D70" s="247"/>
      <c r="E70" s="247"/>
      <c r="F70" s="246"/>
      <c r="G70" s="216"/>
      <c r="H70" s="218"/>
      <c r="I70" s="218"/>
      <c r="J70" s="248"/>
      <c r="K70" s="225">
        <f>IF(AND($C70&lt;&gt;"",$G70&lt;&gt;"Đã phản hồi"),COUNTIFS($C$6:$C70,"?*",$G$6:$G70,"&lt;&gt;Đã phản hồi"),"")</f>
      </c>
    </row>
    <row r="71">
      <c r="A71" s="223">
        <f>IF($C71="","",ROW()-5)</f>
      </c>
      <c r="B71" s="245"/>
      <c r="C71" s="246"/>
      <c r="D71" s="247"/>
      <c r="E71" s="247"/>
      <c r="F71" s="246"/>
      <c r="G71" s="216"/>
      <c r="H71" s="218"/>
      <c r="I71" s="218"/>
      <c r="J71" s="248"/>
      <c r="K71" s="225">
        <f>IF(AND($C71&lt;&gt;"",$G71&lt;&gt;"Đã phản hồi"),COUNTIFS($C$6:$C71,"?*",$G$6:$G71,"&lt;&gt;Đã phản hồi"),"")</f>
      </c>
    </row>
    <row r="72">
      <c r="A72" s="223">
        <f>IF($C72="","",ROW()-5)</f>
      </c>
      <c r="B72" s="245"/>
      <c r="C72" s="246"/>
      <c r="D72" s="247"/>
      <c r="E72" s="247"/>
      <c r="F72" s="246"/>
      <c r="G72" s="216"/>
      <c r="H72" s="218"/>
      <c r="I72" s="218"/>
      <c r="J72" s="248"/>
      <c r="K72" s="225">
        <f>IF(AND($C72&lt;&gt;"",$G72&lt;&gt;"Đã phản hồi"),COUNTIFS($C$6:$C72,"?*",$G$6:$G72,"&lt;&gt;Đã phản hồi"),"")</f>
      </c>
    </row>
    <row r="73">
      <c r="A73" s="223">
        <f>IF($C73="","",ROW()-5)</f>
      </c>
      <c r="B73" s="245"/>
      <c r="C73" s="246"/>
      <c r="D73" s="247"/>
      <c r="E73" s="247"/>
      <c r="F73" s="246"/>
      <c r="G73" s="216"/>
      <c r="H73" s="218"/>
      <c r="I73" s="218"/>
      <c r="J73" s="248"/>
      <c r="K73" s="225">
        <f>IF(AND($C73&lt;&gt;"",$G73&lt;&gt;"Đã phản hồi"),COUNTIFS($C$6:$C73,"?*",$G$6:$G73,"&lt;&gt;Đã phản hồi"),"")</f>
      </c>
    </row>
    <row r="74">
      <c r="A74" s="223">
        <f>IF($C74="","",ROW()-5)</f>
      </c>
      <c r="B74" s="245"/>
      <c r="C74" s="246"/>
      <c r="D74" s="247"/>
      <c r="E74" s="247"/>
      <c r="F74" s="246"/>
      <c r="G74" s="216"/>
      <c r="H74" s="218"/>
      <c r="I74" s="218"/>
      <c r="J74" s="248"/>
      <c r="K74" s="225">
        <f>IF(AND($C74&lt;&gt;"",$G74&lt;&gt;"Đã phản hồi"),COUNTIFS($C$6:$C74,"?*",$G$6:$G74,"&lt;&gt;Đã phản hồi"),"")</f>
      </c>
    </row>
    <row r="75">
      <c r="A75" s="223">
        <f>IF($C75="","",ROW()-5)</f>
      </c>
      <c r="B75" s="245"/>
      <c r="C75" s="246"/>
      <c r="D75" s="247"/>
      <c r="E75" s="247"/>
      <c r="F75" s="246"/>
      <c r="G75" s="216"/>
      <c r="H75" s="218"/>
      <c r="I75" s="218"/>
      <c r="J75" s="248"/>
      <c r="K75" s="225">
        <f>IF(AND($C75&lt;&gt;"",$G75&lt;&gt;"Đã phản hồi"),COUNTIFS($C$6:$C75,"?*",$G$6:$G75,"&lt;&gt;Đã phản hồi"),"")</f>
      </c>
    </row>
    <row r="76">
      <c r="A76" s="223">
        <f>IF($C76="","",ROW()-5)</f>
      </c>
      <c r="B76" s="245"/>
      <c r="C76" s="246"/>
      <c r="D76" s="247"/>
      <c r="E76" s="247"/>
      <c r="F76" s="246"/>
      <c r="G76" s="216"/>
      <c r="H76" s="218"/>
      <c r="I76" s="218"/>
      <c r="J76" s="248"/>
      <c r="K76" s="225">
        <f>IF(AND($C76&lt;&gt;"",$G76&lt;&gt;"Đã phản hồi"),COUNTIFS($C$6:$C76,"?*",$G$6:$G76,"&lt;&gt;Đã phản hồi"),"")</f>
      </c>
    </row>
    <row r="77">
      <c r="A77" s="223">
        <f>IF($C77="","",ROW()-5)</f>
      </c>
      <c r="B77" s="245"/>
      <c r="C77" s="246"/>
      <c r="D77" s="247"/>
      <c r="E77" s="247"/>
      <c r="F77" s="246"/>
      <c r="G77" s="216"/>
      <c r="H77" s="218"/>
      <c r="I77" s="218"/>
      <c r="J77" s="248"/>
      <c r="K77" s="225">
        <f>IF(AND($C77&lt;&gt;"",$G77&lt;&gt;"Đã phản hồi"),COUNTIFS($C$6:$C77,"?*",$G$6:$G77,"&lt;&gt;Đã phản hồi"),"")</f>
      </c>
    </row>
    <row r="78">
      <c r="A78" s="223">
        <f>IF($C78="","",ROW()-5)</f>
      </c>
      <c r="B78" s="245"/>
      <c r="C78" s="246"/>
      <c r="D78" s="247"/>
      <c r="E78" s="247"/>
      <c r="F78" s="246"/>
      <c r="G78" s="216"/>
      <c r="H78" s="218"/>
      <c r="I78" s="218"/>
      <c r="J78" s="248"/>
      <c r="K78" s="225">
        <f>IF(AND($C78&lt;&gt;"",$G78&lt;&gt;"Đã phản hồi"),COUNTIFS($C$6:$C78,"?*",$G$6:$G78,"&lt;&gt;Đã phản hồi"),"")</f>
      </c>
    </row>
    <row r="79">
      <c r="A79" s="223">
        <f>IF($C79="","",ROW()-5)</f>
      </c>
      <c r="B79" s="245"/>
      <c r="C79" s="246"/>
      <c r="D79" s="247"/>
      <c r="E79" s="247"/>
      <c r="F79" s="246"/>
      <c r="G79" s="216"/>
      <c r="H79" s="218"/>
      <c r="I79" s="218"/>
      <c r="J79" s="248"/>
      <c r="K79" s="225">
        <f>IF(AND($C79&lt;&gt;"",$G79&lt;&gt;"Đã phản hồi"),COUNTIFS($C$6:$C79,"?*",$G$6:$G79,"&lt;&gt;Đã phản hồi"),"")</f>
      </c>
    </row>
    <row r="80">
      <c r="A80" s="223">
        <f>IF($C80="","",ROW()-5)</f>
      </c>
      <c r="B80" s="245"/>
      <c r="C80" s="246"/>
      <c r="D80" s="247"/>
      <c r="E80" s="247"/>
      <c r="F80" s="246"/>
      <c r="G80" s="216"/>
      <c r="H80" s="218"/>
      <c r="I80" s="218"/>
      <c r="J80" s="248"/>
      <c r="K80" s="225">
        <f>IF(AND($C80&lt;&gt;"",$G80&lt;&gt;"Đã phản hồi"),COUNTIFS($C$6:$C80,"?*",$G$6:$G80,"&lt;&gt;Đã phản hồi"),"")</f>
      </c>
    </row>
    <row r="81">
      <c r="A81" s="223">
        <f>IF($C81="","",ROW()-5)</f>
      </c>
      <c r="B81" s="245"/>
      <c r="C81" s="246"/>
      <c r="D81" s="247"/>
      <c r="E81" s="247"/>
      <c r="F81" s="246"/>
      <c r="G81" s="216"/>
      <c r="H81" s="218"/>
      <c r="I81" s="218"/>
      <c r="J81" s="248"/>
      <c r="K81" s="225">
        <f>IF(AND($C81&lt;&gt;"",$G81&lt;&gt;"Đã phản hồi"),COUNTIFS($C$6:$C81,"?*",$G$6:$G81,"&lt;&gt;Đã phản hồi"),"")</f>
      </c>
    </row>
    <row r="82">
      <c r="A82" s="223">
        <f>IF($C82="","",ROW()-5)</f>
      </c>
      <c r="B82" s="245"/>
      <c r="C82" s="246"/>
      <c r="D82" s="247"/>
      <c r="E82" s="247"/>
      <c r="F82" s="246"/>
      <c r="G82" s="216"/>
      <c r="H82" s="218"/>
      <c r="I82" s="218"/>
      <c r="J82" s="248"/>
      <c r="K82" s="225">
        <f>IF(AND($C82&lt;&gt;"",$G82&lt;&gt;"Đã phản hồi"),COUNTIFS($C$6:$C82,"?*",$G$6:$G82,"&lt;&gt;Đã phản hồi"),"")</f>
      </c>
    </row>
    <row r="83">
      <c r="A83" s="223">
        <f>IF($C83="","",ROW()-5)</f>
      </c>
      <c r="B83" s="245"/>
      <c r="C83" s="246"/>
      <c r="D83" s="247"/>
      <c r="E83" s="247"/>
      <c r="F83" s="246"/>
      <c r="G83" s="216"/>
      <c r="H83" s="218"/>
      <c r="I83" s="218"/>
      <c r="J83" s="248"/>
      <c r="K83" s="225">
        <f>IF(AND($C83&lt;&gt;"",$G83&lt;&gt;"Đã phản hồi"),COUNTIFS($C$6:$C83,"?*",$G$6:$G83,"&lt;&gt;Đã phản hồi"),"")</f>
      </c>
    </row>
    <row r="84">
      <c r="A84" s="223">
        <f>IF($C84="","",ROW()-5)</f>
      </c>
      <c r="B84" s="245"/>
      <c r="C84" s="246"/>
      <c r="D84" s="247"/>
      <c r="E84" s="247"/>
      <c r="F84" s="246"/>
      <c r="G84" s="216"/>
      <c r="H84" s="218"/>
      <c r="I84" s="218"/>
      <c r="J84" s="248"/>
      <c r="K84" s="225">
        <f>IF(AND($C84&lt;&gt;"",$G84&lt;&gt;"Đã phản hồi"),COUNTIFS($C$6:$C84,"?*",$G$6:$G84,"&lt;&gt;Đã phản hồi"),"")</f>
      </c>
    </row>
    <row r="85">
      <c r="A85" s="223">
        <f>IF($C85="","",ROW()-5)</f>
      </c>
      <c r="B85" s="245"/>
      <c r="C85" s="246"/>
      <c r="D85" s="247"/>
      <c r="E85" s="247"/>
      <c r="F85" s="246"/>
      <c r="G85" s="216"/>
      <c r="H85" s="218"/>
      <c r="I85" s="218"/>
      <c r="J85" s="248"/>
      <c r="K85" s="225">
        <f>IF(AND($C85&lt;&gt;"",$G85&lt;&gt;"Đã phản hồi"),COUNTIFS($C$6:$C85,"?*",$G$6:$G85,"&lt;&gt;Đã phản hồi"),"")</f>
      </c>
    </row>
    <row r="86">
      <c r="A86" s="223">
        <f>IF($C86="","",ROW()-5)</f>
      </c>
      <c r="B86" s="245"/>
      <c r="C86" s="246"/>
      <c r="D86" s="247"/>
      <c r="E86" s="247"/>
      <c r="F86" s="246"/>
      <c r="G86" s="216"/>
      <c r="H86" s="218"/>
      <c r="I86" s="218"/>
      <c r="J86" s="248"/>
      <c r="K86" s="225">
        <f>IF(AND($C86&lt;&gt;"",$G86&lt;&gt;"Đã phản hồi"),COUNTIFS($C$6:$C86,"?*",$G$6:$G86,"&lt;&gt;Đã phản hồi"),"")</f>
      </c>
    </row>
    <row r="87">
      <c r="A87" s="223">
        <f>IF($C87="","",ROW()-5)</f>
      </c>
      <c r="B87" s="245"/>
      <c r="C87" s="246"/>
      <c r="D87" s="247"/>
      <c r="E87" s="247"/>
      <c r="F87" s="246"/>
      <c r="G87" s="216"/>
      <c r="H87" s="218"/>
      <c r="I87" s="218"/>
      <c r="J87" s="248"/>
      <c r="K87" s="225">
        <f>IF(AND($C87&lt;&gt;"",$G87&lt;&gt;"Đã phản hồi"),COUNTIFS($C$6:$C87,"?*",$G$6:$G87,"&lt;&gt;Đã phản hồi"),"")</f>
      </c>
    </row>
    <row r="88">
      <c r="A88" s="223">
        <f>IF($C88="","",ROW()-5)</f>
      </c>
      <c r="B88" s="245"/>
      <c r="C88" s="246"/>
      <c r="D88" s="247"/>
      <c r="E88" s="247"/>
      <c r="F88" s="246"/>
      <c r="G88" s="216"/>
      <c r="H88" s="218"/>
      <c r="I88" s="218"/>
      <c r="J88" s="248"/>
      <c r="K88" s="225">
        <f>IF(AND($C88&lt;&gt;"",$G88&lt;&gt;"Đã phản hồi"),COUNTIFS($C$6:$C88,"?*",$G$6:$G88,"&lt;&gt;Đã phản hồi"),"")</f>
      </c>
    </row>
    <row r="89">
      <c r="A89" s="223">
        <f>IF($C89="","",ROW()-5)</f>
      </c>
      <c r="B89" s="245"/>
      <c r="C89" s="246"/>
      <c r="D89" s="247"/>
      <c r="E89" s="247"/>
      <c r="F89" s="246"/>
      <c r="G89" s="216"/>
      <c r="H89" s="218"/>
      <c r="I89" s="218"/>
      <c r="J89" s="248"/>
      <c r="K89" s="225">
        <f>IF(AND($C89&lt;&gt;"",$G89&lt;&gt;"Đã phản hồi"),COUNTIFS($C$6:$C89,"?*",$G$6:$G89,"&lt;&gt;Đã phản hồi"),"")</f>
      </c>
    </row>
    <row r="90">
      <c r="A90" s="223">
        <f>IF($C90="","",ROW()-5)</f>
      </c>
      <c r="B90" s="245"/>
      <c r="C90" s="246"/>
      <c r="D90" s="247"/>
      <c r="E90" s="247"/>
      <c r="F90" s="246"/>
      <c r="G90" s="216"/>
      <c r="H90" s="218"/>
      <c r="I90" s="218"/>
      <c r="J90" s="248"/>
      <c r="K90" s="225">
        <f>IF(AND($C90&lt;&gt;"",$G90&lt;&gt;"Đã phản hồi"),COUNTIFS($C$6:$C90,"?*",$G$6:$G90,"&lt;&gt;Đã phản hồi"),"")</f>
      </c>
    </row>
    <row r="91">
      <c r="A91" s="223">
        <f>IF($C91="","",ROW()-5)</f>
      </c>
      <c r="B91" s="245"/>
      <c r="C91" s="246"/>
      <c r="D91" s="247"/>
      <c r="E91" s="247"/>
      <c r="F91" s="246"/>
      <c r="G91" s="216"/>
      <c r="H91" s="218"/>
      <c r="I91" s="218"/>
      <c r="J91" s="248"/>
      <c r="K91" s="225">
        <f>IF(AND($C91&lt;&gt;"",$G91&lt;&gt;"Đã phản hồi"),COUNTIFS($C$6:$C91,"?*",$G$6:$G91,"&lt;&gt;Đã phản hồi"),"")</f>
      </c>
    </row>
    <row r="92">
      <c r="A92" s="223">
        <f>IF($C92="","",ROW()-5)</f>
      </c>
      <c r="B92" s="245"/>
      <c r="C92" s="246"/>
      <c r="D92" s="247"/>
      <c r="E92" s="247"/>
      <c r="F92" s="246"/>
      <c r="G92" s="216"/>
      <c r="H92" s="218"/>
      <c r="I92" s="218"/>
      <c r="J92" s="248"/>
      <c r="K92" s="225">
        <f>IF(AND($C92&lt;&gt;"",$G92&lt;&gt;"Đã phản hồi"),COUNTIFS($C$6:$C92,"?*",$G$6:$G92,"&lt;&gt;Đã phản hồi"),"")</f>
      </c>
    </row>
    <row r="93">
      <c r="A93" s="223">
        <f>IF($C93="","",ROW()-5)</f>
      </c>
      <c r="B93" s="245"/>
      <c r="C93" s="246"/>
      <c r="D93" s="247"/>
      <c r="E93" s="247"/>
      <c r="F93" s="246"/>
      <c r="G93" s="216"/>
      <c r="H93" s="218"/>
      <c r="I93" s="218"/>
      <c r="J93" s="248"/>
      <c r="K93" s="225">
        <f>IF(AND($C93&lt;&gt;"",$G93&lt;&gt;"Đã phản hồi"),COUNTIFS($C$6:$C93,"?*",$G$6:$G93,"&lt;&gt;Đã phản hồi"),"")</f>
      </c>
    </row>
    <row r="94">
      <c r="A94" s="223">
        <f>IF($C94="","",ROW()-5)</f>
      </c>
      <c r="B94" s="245"/>
      <c r="C94" s="246"/>
      <c r="D94" s="247"/>
      <c r="E94" s="247"/>
      <c r="F94" s="246"/>
      <c r="G94" s="216"/>
      <c r="H94" s="218"/>
      <c r="I94" s="218"/>
      <c r="J94" s="248"/>
      <c r="K94" s="225">
        <f>IF(AND($C94&lt;&gt;"",$G94&lt;&gt;"Đã phản hồi"),COUNTIFS($C$6:$C94,"?*",$G$6:$G94,"&lt;&gt;Đã phản hồi"),"")</f>
      </c>
    </row>
    <row r="95">
      <c r="A95" s="223">
        <f>IF($C95="","",ROW()-5)</f>
      </c>
      <c r="B95" s="245"/>
      <c r="C95" s="246"/>
      <c r="D95" s="247"/>
      <c r="E95" s="247"/>
      <c r="F95" s="246"/>
      <c r="G95" s="216"/>
      <c r="H95" s="218"/>
      <c r="I95" s="218"/>
      <c r="J95" s="248"/>
      <c r="K95" s="225">
        <f>IF(AND($C95&lt;&gt;"",$G95&lt;&gt;"Đã phản hồi"),COUNTIFS($C$6:$C95,"?*",$G$6:$G95,"&lt;&gt;Đã phản hồi"),"")</f>
      </c>
    </row>
    <row r="96">
      <c r="A96" s="223">
        <f>IF($C96="","",ROW()-5)</f>
      </c>
      <c r="B96" s="245"/>
      <c r="C96" s="246"/>
      <c r="D96" s="247"/>
      <c r="E96" s="247"/>
      <c r="F96" s="246"/>
      <c r="G96" s="216"/>
      <c r="H96" s="218"/>
      <c r="I96" s="218"/>
      <c r="J96" s="248"/>
      <c r="K96" s="225">
        <f>IF(AND($C96&lt;&gt;"",$G96&lt;&gt;"Đã phản hồi"),COUNTIFS($C$6:$C96,"?*",$G$6:$G96,"&lt;&gt;Đã phản hồi"),"")</f>
      </c>
    </row>
    <row r="97">
      <c r="A97" s="223">
        <f>IF($C97="","",ROW()-5)</f>
      </c>
      <c r="B97" s="245"/>
      <c r="C97" s="246"/>
      <c r="D97" s="247"/>
      <c r="E97" s="247"/>
      <c r="F97" s="246"/>
      <c r="G97" s="216"/>
      <c r="H97" s="218"/>
      <c r="I97" s="218"/>
      <c r="J97" s="248"/>
      <c r="K97" s="225">
        <f>IF(AND($C97&lt;&gt;"",$G97&lt;&gt;"Đã phản hồi"),COUNTIFS($C$6:$C97,"?*",$G$6:$G97,"&lt;&gt;Đã phản hồi"),"")</f>
      </c>
    </row>
    <row r="98">
      <c r="A98" s="223">
        <f>IF($C98="","",ROW()-5)</f>
      </c>
      <c r="B98" s="245"/>
      <c r="C98" s="246"/>
      <c r="D98" s="247"/>
      <c r="E98" s="247"/>
      <c r="F98" s="246"/>
      <c r="G98" s="216"/>
      <c r="H98" s="218"/>
      <c r="I98" s="218"/>
      <c r="J98" s="248"/>
      <c r="K98" s="225">
        <f>IF(AND($C98&lt;&gt;"",$G98&lt;&gt;"Đã phản hồi"),COUNTIFS($C$6:$C98,"?*",$G$6:$G98,"&lt;&gt;Đã phản hồi"),"")</f>
      </c>
    </row>
    <row r="99">
      <c r="A99" s="223">
        <f>IF($C99="","",ROW()-5)</f>
      </c>
      <c r="B99" s="245"/>
      <c r="C99" s="246"/>
      <c r="D99" s="247"/>
      <c r="E99" s="247"/>
      <c r="F99" s="246"/>
      <c r="G99" s="216"/>
      <c r="H99" s="218"/>
      <c r="I99" s="218"/>
      <c r="J99" s="248"/>
      <c r="K99" s="225">
        <f>IF(AND($C99&lt;&gt;"",$G99&lt;&gt;"Đã phản hồi"),COUNTIFS($C$6:$C99,"?*",$G$6:$G99,"&lt;&gt;Đã phản hồi"),"")</f>
      </c>
    </row>
    <row r="100">
      <c r="A100" s="223">
        <f>IF($C100="","",ROW()-5)</f>
      </c>
      <c r="B100" s="245"/>
      <c r="C100" s="246"/>
      <c r="D100" s="247"/>
      <c r="E100" s="247"/>
      <c r="F100" s="246"/>
      <c r="G100" s="216"/>
      <c r="H100" s="218"/>
      <c r="I100" s="218"/>
      <c r="J100" s="248"/>
      <c r="K100" s="225">
        <f>IF(AND($C100&lt;&gt;"",$G100&lt;&gt;"Đã phản hồi"),COUNTIFS($C$6:$C100,"?*",$G$6:$G100,"&lt;&gt;Đã phản hồi"),"")</f>
      </c>
    </row>
    <row r="101">
      <c r="A101" s="223">
        <f>IF($C101="","",ROW()-5)</f>
      </c>
      <c r="B101" s="245"/>
      <c r="C101" s="246"/>
      <c r="D101" s="247"/>
      <c r="E101" s="247"/>
      <c r="F101" s="246"/>
      <c r="G101" s="216"/>
      <c r="H101" s="218"/>
      <c r="I101" s="218"/>
      <c r="J101" s="248"/>
      <c r="K101" s="225">
        <f>IF(AND($C101&lt;&gt;"",$G101&lt;&gt;"Đã phản hồi"),COUNTIFS($C$6:$C101,"?*",$G$6:$G101,"&lt;&gt;Đã phản hồi"),"")</f>
      </c>
    </row>
    <row r="102">
      <c r="A102" s="223">
        <f>IF($C102="","",ROW()-5)</f>
      </c>
      <c r="B102" s="245"/>
      <c r="C102" s="246"/>
      <c r="D102" s="247"/>
      <c r="E102" s="247"/>
      <c r="F102" s="246"/>
      <c r="G102" s="216"/>
      <c r="H102" s="218"/>
      <c r="I102" s="218"/>
      <c r="J102" s="248"/>
      <c r="K102" s="225">
        <f>IF(AND($C102&lt;&gt;"",$G102&lt;&gt;"Đã phản hồi"),COUNTIFS($C$6:$C102,"?*",$G$6:$G102,"&lt;&gt;Đã phản hồi"),"")</f>
      </c>
    </row>
    <row r="103">
      <c r="A103" s="223">
        <f>IF($C103="","",ROW()-5)</f>
      </c>
      <c r="B103" s="245"/>
      <c r="C103" s="246"/>
      <c r="D103" s="247"/>
      <c r="E103" s="247"/>
      <c r="F103" s="246"/>
      <c r="G103" s="216"/>
      <c r="H103" s="218"/>
      <c r="I103" s="218"/>
      <c r="J103" s="248"/>
      <c r="K103" s="225">
        <f>IF(AND($C103&lt;&gt;"",$G103&lt;&gt;"Đã phản hồi"),COUNTIFS($C$6:$C103,"?*",$G$6:$G103,"&lt;&gt;Đã phản hồi"),"")</f>
      </c>
    </row>
    <row r="104">
      <c r="A104" s="223">
        <f>IF($C104="","",ROW()-5)</f>
      </c>
      <c r="B104" s="245"/>
      <c r="C104" s="246"/>
      <c r="D104" s="247"/>
      <c r="E104" s="247"/>
      <c r="F104" s="246"/>
      <c r="G104" s="216"/>
      <c r="H104" s="218"/>
      <c r="I104" s="218"/>
      <c r="J104" s="248"/>
      <c r="K104" s="225">
        <f>IF(AND($C104&lt;&gt;"",$G104&lt;&gt;"Đã phản hồi"),COUNTIFS($C$6:$C104,"?*",$G$6:$G104,"&lt;&gt;Đã phản hồi"),"")</f>
      </c>
    </row>
    <row r="105">
      <c r="A105" s="223">
        <f>IF($C105="","",ROW()-5)</f>
      </c>
      <c r="B105" s="245"/>
      <c r="C105" s="246"/>
      <c r="D105" s="247"/>
      <c r="E105" s="247"/>
      <c r="F105" s="246"/>
      <c r="G105" s="216"/>
      <c r="H105" s="218"/>
      <c r="I105" s="218"/>
      <c r="J105" s="248"/>
      <c r="K105" s="225">
        <f>IF(AND($C105&lt;&gt;"",$G105&lt;&gt;"Đã phản hồi"),COUNTIFS($C$6:$C105,"?*",$G$6:$G105,"&lt;&gt;Đã phản hồi"),"")</f>
      </c>
    </row>
    <row r="106">
      <c r="A106" s="223">
        <f>IF($C106="","",ROW()-5)</f>
      </c>
      <c r="B106" s="245"/>
      <c r="C106" s="246"/>
      <c r="D106" s="247"/>
      <c r="E106" s="247"/>
      <c r="F106" s="246"/>
      <c r="G106" s="216"/>
      <c r="H106" s="218"/>
      <c r="I106" s="218"/>
      <c r="J106" s="248"/>
      <c r="K106" s="225">
        <f>IF(AND($C106&lt;&gt;"",$G106&lt;&gt;"Đã phản hồi"),COUNTIFS($C$6:$C106,"?*",$G$6:$G106,"&lt;&gt;Đã phản hồi"),"")</f>
      </c>
    </row>
    <row r="107">
      <c r="A107" s="223">
        <f>IF($C107="","",ROW()-5)</f>
      </c>
      <c r="B107" s="245"/>
      <c r="C107" s="246"/>
      <c r="D107" s="247"/>
      <c r="E107" s="247"/>
      <c r="F107" s="246"/>
      <c r="G107" s="216"/>
      <c r="H107" s="218"/>
      <c r="I107" s="218"/>
      <c r="J107" s="248"/>
      <c r="K107" s="225">
        <f>IF(AND($C107&lt;&gt;"",$G107&lt;&gt;"Đã phản hồi"),COUNTIFS($C$6:$C107,"?*",$G$6:$G107,"&lt;&gt;Đã phản hồi"),"")</f>
      </c>
    </row>
    <row r="108">
      <c r="A108" s="223">
        <f>IF($C108="","",ROW()-5)</f>
      </c>
      <c r="B108" s="245"/>
      <c r="C108" s="246"/>
      <c r="D108" s="247"/>
      <c r="E108" s="247"/>
      <c r="F108" s="246"/>
      <c r="G108" s="216"/>
      <c r="H108" s="218"/>
      <c r="I108" s="218"/>
      <c r="J108" s="248"/>
      <c r="K108" s="225">
        <f>IF(AND($C108&lt;&gt;"",$G108&lt;&gt;"Đã phản hồi"),COUNTIFS($C$6:$C108,"?*",$G$6:$G108,"&lt;&gt;Đã phản hồi"),"")</f>
      </c>
    </row>
    <row r="109">
      <c r="A109" s="223">
        <f>IF($C109="","",ROW()-5)</f>
      </c>
      <c r="B109" s="245"/>
      <c r="C109" s="246"/>
      <c r="D109" s="247"/>
      <c r="E109" s="247"/>
      <c r="F109" s="246"/>
      <c r="G109" s="216"/>
      <c r="H109" s="218"/>
      <c r="I109" s="218"/>
      <c r="J109" s="248"/>
      <c r="K109" s="225">
        <f>IF(AND($C109&lt;&gt;"",$G109&lt;&gt;"Đã phản hồi"),COUNTIFS($C$6:$C109,"?*",$G$6:$G109,"&lt;&gt;Đã phản hồi"),"")</f>
      </c>
    </row>
    <row r="110">
      <c r="A110" s="223">
        <f>IF($C110="","",ROW()-5)</f>
      </c>
      <c r="B110" s="245"/>
      <c r="C110" s="246"/>
      <c r="D110" s="247"/>
      <c r="E110" s="247"/>
      <c r="F110" s="246"/>
      <c r="G110" s="216"/>
      <c r="H110" s="218"/>
      <c r="I110" s="218"/>
      <c r="J110" s="248"/>
      <c r="K110" s="225">
        <f>IF(AND($C110&lt;&gt;"",$G110&lt;&gt;"Đã phản hồi"),COUNTIFS($C$6:$C110,"?*",$G$6:$G110,"&lt;&gt;Đã phản hồi"),"")</f>
      </c>
    </row>
    <row r="111">
      <c r="A111" s="223">
        <f>IF($C111="","",ROW()-5)</f>
      </c>
      <c r="B111" s="245"/>
      <c r="C111" s="246"/>
      <c r="D111" s="247"/>
      <c r="E111" s="247"/>
      <c r="F111" s="246"/>
      <c r="G111" s="216"/>
      <c r="H111" s="218"/>
      <c r="I111" s="218"/>
      <c r="J111" s="248"/>
      <c r="K111" s="225">
        <f>IF(AND($C111&lt;&gt;"",$G111&lt;&gt;"Đã phản hồi"),COUNTIFS($C$6:$C111,"?*",$G$6:$G111,"&lt;&gt;Đã phản hồi"),"")</f>
      </c>
    </row>
    <row r="112">
      <c r="A112" s="223">
        <f>IF($C112="","",ROW()-5)</f>
      </c>
      <c r="B112" s="245"/>
      <c r="C112" s="246"/>
      <c r="D112" s="247"/>
      <c r="E112" s="247"/>
      <c r="F112" s="246"/>
      <c r="G112" s="216"/>
      <c r="H112" s="218"/>
      <c r="I112" s="218"/>
      <c r="J112" s="248"/>
      <c r="K112" s="225">
        <f>IF(AND($C112&lt;&gt;"",$G112&lt;&gt;"Đã phản hồi"),COUNTIFS($C$6:$C112,"?*",$G$6:$G112,"&lt;&gt;Đã phản hồi"),"")</f>
      </c>
    </row>
    <row r="113">
      <c r="A113" s="223">
        <f>IF($C113="","",ROW()-5)</f>
      </c>
      <c r="B113" s="245"/>
      <c r="C113" s="246"/>
      <c r="D113" s="247"/>
      <c r="E113" s="247"/>
      <c r="F113" s="246"/>
      <c r="G113" s="216"/>
      <c r="H113" s="218"/>
      <c r="I113" s="218"/>
      <c r="J113" s="248"/>
      <c r="K113" s="225">
        <f>IF(AND($C113&lt;&gt;"",$G113&lt;&gt;"Đã phản hồi"),COUNTIFS($C$6:$C113,"?*",$G$6:$G113,"&lt;&gt;Đã phản hồi"),"")</f>
      </c>
    </row>
    <row r="114">
      <c r="A114" s="223">
        <f>IF($C114="","",ROW()-5)</f>
      </c>
      <c r="B114" s="245"/>
      <c r="C114" s="246"/>
      <c r="D114" s="247"/>
      <c r="E114" s="247"/>
      <c r="F114" s="246"/>
      <c r="G114" s="216"/>
      <c r="H114" s="218"/>
      <c r="I114" s="218"/>
      <c r="J114" s="248"/>
      <c r="K114" s="225">
        <f>IF(AND($C114&lt;&gt;"",$G114&lt;&gt;"Đã phản hồi"),COUNTIFS($C$6:$C114,"?*",$G$6:$G114,"&lt;&gt;Đã phản hồi"),"")</f>
      </c>
    </row>
    <row r="115">
      <c r="A115" s="223">
        <f>IF($C115="","",ROW()-5)</f>
      </c>
      <c r="B115" s="245"/>
      <c r="C115" s="246"/>
      <c r="D115" s="247"/>
      <c r="E115" s="247"/>
      <c r="F115" s="246"/>
      <c r="G115" s="216"/>
      <c r="H115" s="218"/>
      <c r="I115" s="218"/>
      <c r="J115" s="248"/>
      <c r="K115" s="225">
        <f>IF(AND($C115&lt;&gt;"",$G115&lt;&gt;"Đã phản hồi"),COUNTIFS($C$6:$C115,"?*",$G$6:$G115,"&lt;&gt;Đã phản hồi"),"")</f>
      </c>
    </row>
    <row r="116">
      <c r="A116" s="223">
        <f>IF($C116="","",ROW()-5)</f>
      </c>
      <c r="B116" s="245"/>
      <c r="C116" s="246"/>
      <c r="D116" s="247"/>
      <c r="E116" s="247"/>
      <c r="F116" s="246"/>
      <c r="G116" s="216"/>
      <c r="H116" s="218"/>
      <c r="I116" s="218"/>
      <c r="J116" s="248"/>
      <c r="K116" s="225">
        <f>IF(AND($C116&lt;&gt;"",$G116&lt;&gt;"Đã phản hồi"),COUNTIFS($C$6:$C116,"?*",$G$6:$G116,"&lt;&gt;Đã phản hồi"),"")</f>
      </c>
    </row>
    <row r="117">
      <c r="A117" s="223">
        <f>IF($C117="","",ROW()-5)</f>
      </c>
      <c r="B117" s="245"/>
      <c r="C117" s="246"/>
      <c r="D117" s="247"/>
      <c r="E117" s="247"/>
      <c r="F117" s="246"/>
      <c r="G117" s="216"/>
      <c r="H117" s="218"/>
      <c r="I117" s="218"/>
      <c r="J117" s="248"/>
      <c r="K117" s="225">
        <f>IF(AND($C117&lt;&gt;"",$G117&lt;&gt;"Đã phản hồi"),COUNTIFS($C$6:$C117,"?*",$G$6:$G117,"&lt;&gt;Đã phản hồi"),"")</f>
      </c>
    </row>
    <row r="118">
      <c r="A118" s="223">
        <f>IF($C118="","",ROW()-5)</f>
      </c>
      <c r="B118" s="245"/>
      <c r="C118" s="246"/>
      <c r="D118" s="247"/>
      <c r="E118" s="247"/>
      <c r="F118" s="246"/>
      <c r="G118" s="216"/>
      <c r="H118" s="218"/>
      <c r="I118" s="218"/>
      <c r="J118" s="248"/>
      <c r="K118" s="225">
        <f>IF(AND($C118&lt;&gt;"",$G118&lt;&gt;"Đã phản hồi"),COUNTIFS($C$6:$C118,"?*",$G$6:$G118,"&lt;&gt;Đã phản hồi"),"")</f>
      </c>
    </row>
    <row r="119">
      <c r="A119" s="223">
        <f>IF($C119="","",ROW()-5)</f>
      </c>
      <c r="B119" s="245"/>
      <c r="C119" s="246"/>
      <c r="D119" s="247"/>
      <c r="E119" s="247"/>
      <c r="F119" s="246"/>
      <c r="G119" s="216"/>
      <c r="H119" s="218"/>
      <c r="I119" s="218"/>
      <c r="J119" s="248"/>
      <c r="K119" s="225">
        <f>IF(AND($C119&lt;&gt;"",$G119&lt;&gt;"Đã phản hồi"),COUNTIFS($C$6:$C119,"?*",$G$6:$G119,"&lt;&gt;Đã phản hồi"),"")</f>
      </c>
    </row>
    <row r="120">
      <c r="A120" s="223">
        <f>IF($C120="","",ROW()-5)</f>
      </c>
      <c r="B120" s="245"/>
      <c r="C120" s="246"/>
      <c r="D120" s="247"/>
      <c r="E120" s="247"/>
      <c r="F120" s="246"/>
      <c r="G120" s="216"/>
      <c r="H120" s="218"/>
      <c r="I120" s="218"/>
      <c r="J120" s="248"/>
      <c r="K120" s="225">
        <f>IF(AND($C120&lt;&gt;"",$G120&lt;&gt;"Đã phản hồi"),COUNTIFS($C$6:$C120,"?*",$G$6:$G120,"&lt;&gt;Đã phản hồi"),"")</f>
      </c>
    </row>
    <row r="121">
      <c r="A121" s="223">
        <f>IF($C121="","",ROW()-5)</f>
      </c>
      <c r="B121" s="245"/>
      <c r="C121" s="246"/>
      <c r="D121" s="247"/>
      <c r="E121" s="247"/>
      <c r="F121" s="246"/>
      <c r="G121" s="216"/>
      <c r="H121" s="218"/>
      <c r="I121" s="218"/>
      <c r="J121" s="248"/>
      <c r="K121" s="225">
        <f>IF(AND($C121&lt;&gt;"",$G121&lt;&gt;"Đã phản hồi"),COUNTIFS($C$6:$C121,"?*",$G$6:$G121,"&lt;&gt;Đã phản hồi"),"")</f>
      </c>
    </row>
    <row r="122">
      <c r="A122" s="223">
        <f>IF($C122="","",ROW()-5)</f>
      </c>
      <c r="B122" s="245"/>
      <c r="C122" s="246"/>
      <c r="D122" s="247"/>
      <c r="E122" s="247"/>
      <c r="F122" s="246"/>
      <c r="G122" s="216"/>
      <c r="H122" s="218"/>
      <c r="I122" s="218"/>
      <c r="J122" s="248"/>
      <c r="K122" s="225">
        <f>IF(AND($C122&lt;&gt;"",$G122&lt;&gt;"Đã phản hồi"),COUNTIFS($C$6:$C122,"?*",$G$6:$G122,"&lt;&gt;Đã phản hồi"),"")</f>
      </c>
    </row>
    <row r="123">
      <c r="A123" s="223">
        <f>IF($C123="","",ROW()-5)</f>
      </c>
      <c r="B123" s="245"/>
      <c r="C123" s="246"/>
      <c r="D123" s="247"/>
      <c r="E123" s="247"/>
      <c r="F123" s="246"/>
      <c r="G123" s="216"/>
      <c r="H123" s="218"/>
      <c r="I123" s="218"/>
      <c r="J123" s="248"/>
      <c r="K123" s="225">
        <f>IF(AND($C123&lt;&gt;"",$G123&lt;&gt;"Đã phản hồi"),COUNTIFS($C$6:$C123,"?*",$G$6:$G123,"&lt;&gt;Đã phản hồi"),"")</f>
      </c>
    </row>
    <row r="124">
      <c r="A124" s="223">
        <f>IF($C124="","",ROW()-5)</f>
      </c>
      <c r="B124" s="245"/>
      <c r="C124" s="246"/>
      <c r="D124" s="247"/>
      <c r="E124" s="247"/>
      <c r="F124" s="246"/>
      <c r="G124" s="216"/>
      <c r="H124" s="218"/>
      <c r="I124" s="218"/>
      <c r="J124" s="248"/>
      <c r="K124" s="225">
        <f>IF(AND($C124&lt;&gt;"",$G124&lt;&gt;"Đã phản hồi"),COUNTIFS($C$6:$C124,"?*",$G$6:$G124,"&lt;&gt;Đã phản hồi"),"")</f>
      </c>
    </row>
    <row r="125">
      <c r="A125" s="223">
        <f>IF($C125="","",ROW()-5)</f>
      </c>
      <c r="B125" s="245"/>
      <c r="C125" s="246"/>
      <c r="D125" s="247"/>
      <c r="E125" s="247"/>
      <c r="F125" s="246"/>
      <c r="G125" s="216"/>
      <c r="H125" s="218"/>
      <c r="I125" s="218"/>
      <c r="J125" s="248"/>
      <c r="K125" s="225">
        <f>IF(AND($C125&lt;&gt;"",$G125&lt;&gt;"Đã phản hồi"),COUNTIFS($C$6:$C125,"?*",$G$6:$G125,"&lt;&gt;Đã phản hồi"),"")</f>
      </c>
    </row>
    <row r="126">
      <c r="A126" s="223">
        <f>IF($C126="","",ROW()-5)</f>
      </c>
      <c r="B126" s="245"/>
      <c r="C126" s="246"/>
      <c r="D126" s="247"/>
      <c r="E126" s="247"/>
      <c r="F126" s="246"/>
      <c r="G126" s="216"/>
      <c r="H126" s="218"/>
      <c r="I126" s="218"/>
      <c r="J126" s="248"/>
      <c r="K126" s="225">
        <f>IF(AND($C126&lt;&gt;"",$G126&lt;&gt;"Đã phản hồi"),COUNTIFS($C$6:$C126,"?*",$G$6:$G126,"&lt;&gt;Đã phản hồi"),"")</f>
      </c>
    </row>
    <row r="127">
      <c r="A127" s="223">
        <f>IF($C127="","",ROW()-5)</f>
      </c>
      <c r="B127" s="245"/>
      <c r="C127" s="246"/>
      <c r="D127" s="247"/>
      <c r="E127" s="247"/>
      <c r="F127" s="246"/>
      <c r="G127" s="216"/>
      <c r="H127" s="218"/>
      <c r="I127" s="218"/>
      <c r="J127" s="248"/>
      <c r="K127" s="225">
        <f>IF(AND($C127&lt;&gt;"",$G127&lt;&gt;"Đã phản hồi"),COUNTIFS($C$6:$C127,"?*",$G$6:$G127,"&lt;&gt;Đã phản hồi"),"")</f>
      </c>
    </row>
    <row r="128">
      <c r="A128" s="223">
        <f>IF($C128="","",ROW()-5)</f>
      </c>
      <c r="B128" s="245"/>
      <c r="C128" s="246"/>
      <c r="D128" s="247"/>
      <c r="E128" s="247"/>
      <c r="F128" s="246"/>
      <c r="G128" s="216"/>
      <c r="H128" s="218"/>
      <c r="I128" s="218"/>
      <c r="J128" s="248"/>
      <c r="K128" s="225">
        <f>IF(AND($C128&lt;&gt;"",$G128&lt;&gt;"Đã phản hồi"),COUNTIFS($C$6:$C128,"?*",$G$6:$G128,"&lt;&gt;Đã phản hồi"),"")</f>
      </c>
    </row>
    <row r="129">
      <c r="A129" s="223">
        <f>IF($C129="","",ROW()-5)</f>
      </c>
      <c r="B129" s="245"/>
      <c r="C129" s="246"/>
      <c r="D129" s="247"/>
      <c r="E129" s="247"/>
      <c r="F129" s="246"/>
      <c r="G129" s="216"/>
      <c r="H129" s="218"/>
      <c r="I129" s="218"/>
      <c r="J129" s="248"/>
      <c r="K129" s="225">
        <f>IF(AND($C129&lt;&gt;"",$G129&lt;&gt;"Đã phản hồi"),COUNTIFS($C$6:$C129,"?*",$G$6:$G129,"&lt;&gt;Đã phản hồi"),"")</f>
      </c>
    </row>
    <row r="130">
      <c r="A130" s="223">
        <f>IF($C130="","",ROW()-5)</f>
      </c>
      <c r="B130" s="245"/>
      <c r="C130" s="246"/>
      <c r="D130" s="247"/>
      <c r="E130" s="247"/>
      <c r="F130" s="246"/>
      <c r="G130" s="216"/>
      <c r="H130" s="218"/>
      <c r="I130" s="218"/>
      <c r="J130" s="248"/>
      <c r="K130" s="225">
        <f>IF(AND($C130&lt;&gt;"",$G130&lt;&gt;"Đã phản hồi"),COUNTIFS($C$6:$C130,"?*",$G$6:$G130,"&lt;&gt;Đã phản hồi"),"")</f>
      </c>
    </row>
    <row r="131">
      <c r="A131" s="223">
        <f>IF($C131="","",ROW()-5)</f>
      </c>
      <c r="B131" s="245"/>
      <c r="C131" s="246"/>
      <c r="D131" s="247"/>
      <c r="E131" s="247"/>
      <c r="F131" s="246"/>
      <c r="G131" s="216"/>
      <c r="H131" s="218"/>
      <c r="I131" s="218"/>
      <c r="J131" s="248"/>
      <c r="K131" s="225">
        <f>IF(AND($C131&lt;&gt;"",$G131&lt;&gt;"Đã phản hồi"),COUNTIFS($C$6:$C131,"?*",$G$6:$G131,"&lt;&gt;Đã phản hồi"),"")</f>
      </c>
    </row>
    <row r="132">
      <c r="A132" s="223">
        <f>IF($C132="","",ROW()-5)</f>
      </c>
      <c r="B132" s="245"/>
      <c r="C132" s="246"/>
      <c r="D132" s="247"/>
      <c r="E132" s="247"/>
      <c r="F132" s="246"/>
      <c r="G132" s="216"/>
      <c r="H132" s="218"/>
      <c r="I132" s="218"/>
      <c r="J132" s="248"/>
      <c r="K132" s="225">
        <f>IF(AND($C132&lt;&gt;"",$G132&lt;&gt;"Đã phản hồi"),COUNTIFS($C$6:$C132,"?*",$G$6:$G132,"&lt;&gt;Đã phản hồi"),"")</f>
      </c>
    </row>
    <row r="133">
      <c r="A133" s="223">
        <f>IF($C133="","",ROW()-5)</f>
      </c>
      <c r="B133" s="245"/>
      <c r="C133" s="246"/>
      <c r="D133" s="247"/>
      <c r="E133" s="247"/>
      <c r="F133" s="246"/>
      <c r="G133" s="216"/>
      <c r="H133" s="218"/>
      <c r="I133" s="218"/>
      <c r="J133" s="248"/>
      <c r="K133" s="225">
        <f>IF(AND($C133&lt;&gt;"",$G133&lt;&gt;"Đã phản hồi"),COUNTIFS($C$6:$C133,"?*",$G$6:$G133,"&lt;&gt;Đã phản hồi"),"")</f>
      </c>
    </row>
    <row r="134">
      <c r="A134" s="223">
        <f>IF($C134="","",ROW()-5)</f>
      </c>
      <c r="B134" s="245"/>
      <c r="C134" s="246"/>
      <c r="D134" s="247"/>
      <c r="E134" s="247"/>
      <c r="F134" s="246"/>
      <c r="G134" s="216"/>
      <c r="H134" s="218"/>
      <c r="I134" s="218"/>
      <c r="J134" s="248"/>
      <c r="K134" s="225">
        <f>IF(AND($C134&lt;&gt;"",$G134&lt;&gt;"Đã phản hồi"),COUNTIFS($C$6:$C134,"?*",$G$6:$G134,"&lt;&gt;Đã phản hồi"),"")</f>
      </c>
    </row>
    <row r="135">
      <c r="A135" s="223">
        <f>IF($C135="","",ROW()-5)</f>
      </c>
      <c r="B135" s="245"/>
      <c r="C135" s="246"/>
      <c r="D135" s="247"/>
      <c r="E135" s="247"/>
      <c r="F135" s="246"/>
      <c r="G135" s="216"/>
      <c r="H135" s="218"/>
      <c r="I135" s="218"/>
      <c r="J135" s="248"/>
      <c r="K135" s="225">
        <f>IF(AND($C135&lt;&gt;"",$G135&lt;&gt;"Đã phản hồi"),COUNTIFS($C$6:$C135,"?*",$G$6:$G135,"&lt;&gt;Đã phản hồi"),"")</f>
      </c>
    </row>
    <row r="136">
      <c r="A136" s="223">
        <f>IF($C136="","",ROW()-5)</f>
      </c>
      <c r="B136" s="245"/>
      <c r="C136" s="246"/>
      <c r="D136" s="247"/>
      <c r="E136" s="247"/>
      <c r="F136" s="246"/>
      <c r="G136" s="216"/>
      <c r="H136" s="218"/>
      <c r="I136" s="218"/>
      <c r="J136" s="248"/>
      <c r="K136" s="225">
        <f>IF(AND($C136&lt;&gt;"",$G136&lt;&gt;"Đã phản hồi"),COUNTIFS($C$6:$C136,"?*",$G$6:$G136,"&lt;&gt;Đã phản hồi"),"")</f>
      </c>
    </row>
    <row r="137">
      <c r="A137" s="223">
        <f>IF($C137="","",ROW()-5)</f>
      </c>
      <c r="B137" s="245"/>
      <c r="C137" s="246"/>
      <c r="D137" s="247"/>
      <c r="E137" s="247"/>
      <c r="F137" s="246"/>
      <c r="G137" s="216"/>
      <c r="H137" s="218"/>
      <c r="I137" s="218"/>
      <c r="J137" s="248"/>
      <c r="K137" s="225">
        <f>IF(AND($C137&lt;&gt;"",$G137&lt;&gt;"Đã phản hồi"),COUNTIFS($C$6:$C137,"?*",$G$6:$G137,"&lt;&gt;Đã phản hồi"),"")</f>
      </c>
    </row>
    <row r="138">
      <c r="A138" s="223">
        <f>IF($C138="","",ROW()-5)</f>
      </c>
      <c r="B138" s="245"/>
      <c r="C138" s="246"/>
      <c r="D138" s="247"/>
      <c r="E138" s="247"/>
      <c r="F138" s="246"/>
      <c r="G138" s="216"/>
      <c r="H138" s="218"/>
      <c r="I138" s="218"/>
      <c r="J138" s="248"/>
      <c r="K138" s="225">
        <f>IF(AND($C138&lt;&gt;"",$G138&lt;&gt;"Đã phản hồi"),COUNTIFS($C$6:$C138,"?*",$G$6:$G138,"&lt;&gt;Đã phản hồi"),"")</f>
      </c>
    </row>
    <row r="139">
      <c r="A139" s="223">
        <f>IF($C139="","",ROW()-5)</f>
      </c>
      <c r="B139" s="245"/>
      <c r="C139" s="246"/>
      <c r="D139" s="247"/>
      <c r="E139" s="247"/>
      <c r="F139" s="246"/>
      <c r="G139" s="216"/>
      <c r="H139" s="218"/>
      <c r="I139" s="218"/>
      <c r="J139" s="248"/>
      <c r="K139" s="225">
        <f>IF(AND($C139&lt;&gt;"",$G139&lt;&gt;"Đã phản hồi"),COUNTIFS($C$6:$C139,"?*",$G$6:$G139,"&lt;&gt;Đã phản hồi"),"")</f>
      </c>
    </row>
    <row r="140">
      <c r="A140" s="223">
        <f>IF($C140="","",ROW()-5)</f>
      </c>
      <c r="B140" s="245"/>
      <c r="C140" s="246"/>
      <c r="D140" s="247"/>
      <c r="E140" s="247"/>
      <c r="F140" s="246"/>
      <c r="G140" s="216"/>
      <c r="H140" s="218"/>
      <c r="I140" s="218"/>
      <c r="J140" s="248"/>
      <c r="K140" s="225">
        <f>IF(AND($C140&lt;&gt;"",$G140&lt;&gt;"Đã phản hồi"),COUNTIFS($C$6:$C140,"?*",$G$6:$G140,"&lt;&gt;Đã phản hồi"),"")</f>
      </c>
    </row>
    <row r="141">
      <c r="A141" s="223">
        <f>IF($C141="","",ROW()-5)</f>
      </c>
      <c r="B141" s="245"/>
      <c r="C141" s="246"/>
      <c r="D141" s="247"/>
      <c r="E141" s="247"/>
      <c r="F141" s="246"/>
      <c r="G141" s="216"/>
      <c r="H141" s="218"/>
      <c r="I141" s="218"/>
      <c r="J141" s="248"/>
      <c r="K141" s="225">
        <f>IF(AND($C141&lt;&gt;"",$G141&lt;&gt;"Đã phản hồi"),COUNTIFS($C$6:$C141,"?*",$G$6:$G141,"&lt;&gt;Đã phản hồi"),"")</f>
      </c>
    </row>
    <row r="142">
      <c r="A142" s="223">
        <f>IF($C142="","",ROW()-5)</f>
      </c>
      <c r="B142" s="245"/>
      <c r="C142" s="246"/>
      <c r="D142" s="247"/>
      <c r="E142" s="247"/>
      <c r="F142" s="246"/>
      <c r="G142" s="216"/>
      <c r="H142" s="218"/>
      <c r="I142" s="218"/>
      <c r="J142" s="248"/>
      <c r="K142" s="225">
        <f>IF(AND($C142&lt;&gt;"",$G142&lt;&gt;"Đã phản hồi"),COUNTIFS($C$6:$C142,"?*",$G$6:$G142,"&lt;&gt;Đã phản hồi"),"")</f>
      </c>
    </row>
    <row r="143">
      <c r="A143" s="223">
        <f>IF($C143="","",ROW()-5)</f>
      </c>
      <c r="B143" s="245"/>
      <c r="C143" s="246"/>
      <c r="D143" s="247"/>
      <c r="E143" s="247"/>
      <c r="F143" s="246"/>
      <c r="G143" s="216"/>
      <c r="H143" s="218"/>
      <c r="I143" s="218"/>
      <c r="J143" s="248"/>
      <c r="K143" s="225">
        <f>IF(AND($C143&lt;&gt;"",$G143&lt;&gt;"Đã phản hồi"),COUNTIFS($C$6:$C143,"?*",$G$6:$G143,"&lt;&gt;Đã phản hồi"),"")</f>
      </c>
    </row>
    <row r="144">
      <c r="A144" s="223">
        <f>IF($C144="","",ROW()-5)</f>
      </c>
      <c r="B144" s="245"/>
      <c r="C144" s="246"/>
      <c r="D144" s="247"/>
      <c r="E144" s="247"/>
      <c r="F144" s="246"/>
      <c r="G144" s="216"/>
      <c r="H144" s="218"/>
      <c r="I144" s="218"/>
      <c r="J144" s="248"/>
      <c r="K144" s="225">
        <f>IF(AND($C144&lt;&gt;"",$G144&lt;&gt;"Đã phản hồi"),COUNTIFS($C$6:$C144,"?*",$G$6:$G144,"&lt;&gt;Đã phản hồi"),"")</f>
      </c>
    </row>
    <row r="145">
      <c r="A145" s="223">
        <f>IF($C145="","",ROW()-5)</f>
      </c>
      <c r="B145" s="245"/>
      <c r="C145" s="246"/>
      <c r="D145" s="247"/>
      <c r="E145" s="247"/>
      <c r="F145" s="246"/>
      <c r="G145" s="216"/>
      <c r="H145" s="218"/>
      <c r="I145" s="218"/>
      <c r="J145" s="248"/>
      <c r="K145" s="225">
        <f>IF(AND($C145&lt;&gt;"",$G145&lt;&gt;"Đã phản hồi"),COUNTIFS($C$6:$C145,"?*",$G$6:$G145,"&lt;&gt;Đã phản hồi"),"")</f>
      </c>
    </row>
    <row r="146">
      <c r="A146" s="223">
        <f>IF($C146="","",ROW()-5)</f>
      </c>
      <c r="B146" s="245"/>
      <c r="C146" s="246"/>
      <c r="D146" s="247"/>
      <c r="E146" s="247"/>
      <c r="F146" s="246"/>
      <c r="G146" s="216"/>
      <c r="H146" s="218"/>
      <c r="I146" s="218"/>
      <c r="J146" s="248"/>
      <c r="K146" s="225">
        <f>IF(AND($C146&lt;&gt;"",$G146&lt;&gt;"Đã phản hồi"),COUNTIFS($C$6:$C146,"?*",$G$6:$G146,"&lt;&gt;Đã phản hồi"),"")</f>
      </c>
    </row>
    <row r="147">
      <c r="A147" s="223">
        <f>IF($C147="","",ROW()-5)</f>
      </c>
      <c r="B147" s="245"/>
      <c r="C147" s="246"/>
      <c r="D147" s="247"/>
      <c r="E147" s="247"/>
      <c r="F147" s="246"/>
      <c r="G147" s="216"/>
      <c r="H147" s="218"/>
      <c r="I147" s="218"/>
      <c r="J147" s="248"/>
      <c r="K147" s="225">
        <f>IF(AND($C147&lt;&gt;"",$G147&lt;&gt;"Đã phản hồi"),COUNTIFS($C$6:$C147,"?*",$G$6:$G147,"&lt;&gt;Đã phản hồi"),"")</f>
      </c>
    </row>
    <row r="148">
      <c r="A148" s="223">
        <f>IF($C148="","",ROW()-5)</f>
      </c>
      <c r="B148" s="245"/>
      <c r="C148" s="246"/>
      <c r="D148" s="247"/>
      <c r="E148" s="247"/>
      <c r="F148" s="246"/>
      <c r="G148" s="216"/>
      <c r="H148" s="218"/>
      <c r="I148" s="218"/>
      <c r="J148" s="248"/>
      <c r="K148" s="225">
        <f>IF(AND($C148&lt;&gt;"",$G148&lt;&gt;"Đã phản hồi"),COUNTIFS($C$6:$C148,"?*",$G$6:$G148,"&lt;&gt;Đã phản hồi"),"")</f>
      </c>
    </row>
    <row r="149">
      <c r="A149" s="223">
        <f>IF($C149="","",ROW()-5)</f>
      </c>
      <c r="B149" s="245"/>
      <c r="C149" s="246"/>
      <c r="D149" s="247"/>
      <c r="E149" s="247"/>
      <c r="F149" s="246"/>
      <c r="G149" s="216"/>
      <c r="H149" s="218"/>
      <c r="I149" s="218"/>
      <c r="J149" s="248"/>
      <c r="K149" s="225">
        <f>IF(AND($C149&lt;&gt;"",$G149&lt;&gt;"Đã phản hồi"),COUNTIFS($C$6:$C149,"?*",$G$6:$G149,"&lt;&gt;Đã phản hồi"),"")</f>
      </c>
    </row>
    <row r="150">
      <c r="A150" s="223">
        <f>IF($C150="","",ROW()-5)</f>
      </c>
      <c r="B150" s="245"/>
      <c r="C150" s="246"/>
      <c r="D150" s="247"/>
      <c r="E150" s="247"/>
      <c r="F150" s="246"/>
      <c r="G150" s="216"/>
      <c r="H150" s="218"/>
      <c r="I150" s="218"/>
      <c r="J150" s="248"/>
      <c r="K150" s="225">
        <f>IF(AND($C150&lt;&gt;"",$G150&lt;&gt;"Đã phản hồi"),COUNTIFS($C$6:$C150,"?*",$G$6:$G150,"&lt;&gt;Đã phản hồi"),"")</f>
      </c>
    </row>
    <row r="151">
      <c r="A151" s="223">
        <f>IF($C151="","",ROW()-5)</f>
      </c>
      <c r="B151" s="245"/>
      <c r="C151" s="246"/>
      <c r="D151" s="247"/>
      <c r="E151" s="247"/>
      <c r="F151" s="246"/>
      <c r="G151" s="216"/>
      <c r="H151" s="218"/>
      <c r="I151" s="218"/>
      <c r="J151" s="248"/>
      <c r="K151" s="225">
        <f>IF(AND($C151&lt;&gt;"",$G151&lt;&gt;"Đã phản hồi"),COUNTIFS($C$6:$C151,"?*",$G$6:$G151,"&lt;&gt;Đã phản hồi"),"")</f>
      </c>
    </row>
    <row r="152">
      <c r="A152" s="223">
        <f>IF($C152="","",ROW()-5)</f>
      </c>
      <c r="B152" s="245"/>
      <c r="C152" s="246"/>
      <c r="D152" s="247"/>
      <c r="E152" s="247"/>
      <c r="F152" s="246"/>
      <c r="G152" s="216"/>
      <c r="H152" s="218"/>
      <c r="I152" s="218"/>
      <c r="J152" s="248"/>
      <c r="K152" s="225">
        <f>IF(AND($C152&lt;&gt;"",$G152&lt;&gt;"Đã phản hồi"),COUNTIFS($C$6:$C152,"?*",$G$6:$G152,"&lt;&gt;Đã phản hồi"),"")</f>
      </c>
    </row>
    <row r="153">
      <c r="A153" s="223">
        <f>IF($C153="","",ROW()-5)</f>
      </c>
      <c r="B153" s="245"/>
      <c r="C153" s="246"/>
      <c r="D153" s="247"/>
      <c r="E153" s="247"/>
      <c r="F153" s="246"/>
      <c r="G153" s="216"/>
      <c r="H153" s="218"/>
      <c r="I153" s="218"/>
      <c r="J153" s="248"/>
      <c r="K153" s="225">
        <f>IF(AND($C153&lt;&gt;"",$G153&lt;&gt;"Đã phản hồi"),COUNTIFS($C$6:$C153,"?*",$G$6:$G153,"&lt;&gt;Đã phản hồi"),"")</f>
      </c>
    </row>
    <row r="154">
      <c r="A154" s="223">
        <f>IF($C154="","",ROW()-5)</f>
      </c>
      <c r="B154" s="245"/>
      <c r="C154" s="246"/>
      <c r="D154" s="247"/>
      <c r="E154" s="247"/>
      <c r="F154" s="246"/>
      <c r="G154" s="216"/>
      <c r="H154" s="218"/>
      <c r="I154" s="218"/>
      <c r="J154" s="248"/>
      <c r="K154" s="225">
        <f>IF(AND($C154&lt;&gt;"",$G154&lt;&gt;"Đã phản hồi"),COUNTIFS($C$6:$C154,"?*",$G$6:$G154,"&lt;&gt;Đã phản hồi"),"")</f>
      </c>
    </row>
    <row r="155">
      <c r="A155" s="223">
        <f>IF($C155="","",ROW()-5)</f>
      </c>
      <c r="B155" s="245"/>
      <c r="C155" s="246"/>
      <c r="D155" s="247"/>
      <c r="E155" s="247"/>
      <c r="F155" s="246"/>
      <c r="G155" s="216"/>
      <c r="H155" s="218"/>
      <c r="I155" s="218"/>
      <c r="J155" s="248"/>
      <c r="K155" s="225">
        <f>IF(AND($C155&lt;&gt;"",$G155&lt;&gt;"Đã phản hồi"),COUNTIFS($C$6:$C155,"?*",$G$6:$G155,"&lt;&gt;Đã phản hồi"),"")</f>
      </c>
    </row>
    <row r="156">
      <c r="A156" s="223">
        <f>IF($C156="","",ROW()-5)</f>
      </c>
      <c r="B156" s="245"/>
      <c r="C156" s="246"/>
      <c r="D156" s="247"/>
      <c r="E156" s="247"/>
      <c r="F156" s="246"/>
      <c r="G156" s="216"/>
      <c r="H156" s="218"/>
      <c r="I156" s="218"/>
      <c r="J156" s="248"/>
      <c r="K156" s="225">
        <f>IF(AND($C156&lt;&gt;"",$G156&lt;&gt;"Đã phản hồi"),COUNTIFS($C$6:$C156,"?*",$G$6:$G156,"&lt;&gt;Đã phản hồi"),"")</f>
      </c>
    </row>
    <row r="157">
      <c r="A157" s="223">
        <f>IF($C157="","",ROW()-5)</f>
      </c>
      <c r="B157" s="245"/>
      <c r="C157" s="246"/>
      <c r="D157" s="247"/>
      <c r="E157" s="247"/>
      <c r="F157" s="246"/>
      <c r="G157" s="216"/>
      <c r="H157" s="218"/>
      <c r="I157" s="218"/>
      <c r="J157" s="248"/>
      <c r="K157" s="225">
        <f>IF(AND($C157&lt;&gt;"",$G157&lt;&gt;"Đã phản hồi"),COUNTIFS($C$6:$C157,"?*",$G$6:$G157,"&lt;&gt;Đã phản hồi"),"")</f>
      </c>
    </row>
    <row r="158">
      <c r="A158" s="223">
        <f>IF($C158="","",ROW()-5)</f>
      </c>
      <c r="B158" s="245"/>
      <c r="C158" s="246"/>
      <c r="D158" s="247"/>
      <c r="E158" s="247"/>
      <c r="F158" s="246"/>
      <c r="G158" s="216"/>
      <c r="H158" s="218"/>
      <c r="I158" s="218"/>
      <c r="J158" s="248"/>
      <c r="K158" s="225">
        <f>IF(AND($C158&lt;&gt;"",$G158&lt;&gt;"Đã phản hồi"),COUNTIFS($C$6:$C158,"?*",$G$6:$G158,"&lt;&gt;Đã phản hồi"),"")</f>
      </c>
    </row>
    <row r="159">
      <c r="A159" s="223">
        <f>IF($C159="","",ROW()-5)</f>
      </c>
      <c r="B159" s="245"/>
      <c r="C159" s="246"/>
      <c r="D159" s="247"/>
      <c r="E159" s="247"/>
      <c r="F159" s="246"/>
      <c r="G159" s="216"/>
      <c r="H159" s="218"/>
      <c r="I159" s="218"/>
      <c r="J159" s="248"/>
      <c r="K159" s="225">
        <f>IF(AND($C159&lt;&gt;"",$G159&lt;&gt;"Đã phản hồi"),COUNTIFS($C$6:$C159,"?*",$G$6:$G159,"&lt;&gt;Đã phản hồi"),"")</f>
      </c>
    </row>
    <row r="160">
      <c r="A160" s="223">
        <f>IF($C160="","",ROW()-5)</f>
      </c>
      <c r="B160" s="245"/>
      <c r="C160" s="246"/>
      <c r="D160" s="247"/>
      <c r="E160" s="247"/>
      <c r="F160" s="246"/>
      <c r="G160" s="216"/>
      <c r="H160" s="218"/>
      <c r="I160" s="218"/>
      <c r="J160" s="248"/>
      <c r="K160" s="225">
        <f>IF(AND($C160&lt;&gt;"",$G160&lt;&gt;"Đã phản hồi"),COUNTIFS($C$6:$C160,"?*",$G$6:$G160,"&lt;&gt;Đã phản hồi"),"")</f>
      </c>
    </row>
    <row r="161">
      <c r="A161" s="223">
        <f>IF($C161="","",ROW()-5)</f>
      </c>
      <c r="B161" s="245"/>
      <c r="C161" s="246"/>
      <c r="D161" s="247"/>
      <c r="E161" s="247"/>
      <c r="F161" s="246"/>
      <c r="G161" s="216"/>
      <c r="H161" s="218"/>
      <c r="I161" s="218"/>
      <c r="J161" s="248"/>
      <c r="K161" s="225">
        <f>IF(AND($C161&lt;&gt;"",$G161&lt;&gt;"Đã phản hồi"),COUNTIFS($C$6:$C161,"?*",$G$6:$G161,"&lt;&gt;Đã phản hồi"),"")</f>
      </c>
    </row>
    <row r="162">
      <c r="A162" s="223">
        <f>IF($C162="","",ROW()-5)</f>
      </c>
      <c r="B162" s="245"/>
      <c r="C162" s="246"/>
      <c r="D162" s="247"/>
      <c r="E162" s="247"/>
      <c r="F162" s="246"/>
      <c r="G162" s="216"/>
      <c r="H162" s="218"/>
      <c r="I162" s="218"/>
      <c r="J162" s="248"/>
      <c r="K162" s="225">
        <f>IF(AND($C162&lt;&gt;"",$G162&lt;&gt;"Đã phản hồi"),COUNTIFS($C$6:$C162,"?*",$G$6:$G162,"&lt;&gt;Đã phản hồi"),"")</f>
      </c>
    </row>
    <row r="163">
      <c r="A163" s="223">
        <f>IF($C163="","",ROW()-5)</f>
      </c>
      <c r="B163" s="245"/>
      <c r="C163" s="246"/>
      <c r="D163" s="247"/>
      <c r="E163" s="247"/>
      <c r="F163" s="246"/>
      <c r="G163" s="216"/>
      <c r="H163" s="218"/>
      <c r="I163" s="218"/>
      <c r="J163" s="248"/>
      <c r="K163" s="225">
        <f>IF(AND($C163&lt;&gt;"",$G163&lt;&gt;"Đã phản hồi"),COUNTIFS($C$6:$C163,"?*",$G$6:$G163,"&lt;&gt;Đã phản hồi"),"")</f>
      </c>
    </row>
    <row r="164">
      <c r="A164" s="223">
        <f>IF($C164="","",ROW()-5)</f>
      </c>
      <c r="B164" s="245"/>
      <c r="C164" s="246"/>
      <c r="D164" s="247"/>
      <c r="E164" s="247"/>
      <c r="F164" s="246"/>
      <c r="G164" s="216"/>
      <c r="H164" s="218"/>
      <c r="I164" s="218"/>
      <c r="J164" s="248"/>
      <c r="K164" s="225">
        <f>IF(AND($C164&lt;&gt;"",$G164&lt;&gt;"Đã phản hồi"),COUNTIFS($C$6:$C164,"?*",$G$6:$G164,"&lt;&gt;Đã phản hồi"),"")</f>
      </c>
    </row>
    <row r="165">
      <c r="A165" s="223">
        <f>IF($C165="","",ROW()-5)</f>
      </c>
      <c r="B165" s="245"/>
      <c r="C165" s="246"/>
      <c r="D165" s="247"/>
      <c r="E165" s="247"/>
      <c r="F165" s="246"/>
      <c r="G165" s="216"/>
      <c r="H165" s="218"/>
      <c r="I165" s="218"/>
      <c r="J165" s="248"/>
      <c r="K165" s="225">
        <f>IF(AND($C165&lt;&gt;"",$G165&lt;&gt;"Đã phản hồi"),COUNTIFS($C$6:$C165,"?*",$G$6:$G165,"&lt;&gt;Đã phản hồi"),"")</f>
      </c>
    </row>
    <row r="166">
      <c r="A166" s="223">
        <f>IF($C166="","",ROW()-5)</f>
      </c>
      <c r="B166" s="245"/>
      <c r="C166" s="246"/>
      <c r="D166" s="247"/>
      <c r="E166" s="247"/>
      <c r="F166" s="246"/>
      <c r="G166" s="216"/>
      <c r="H166" s="218"/>
      <c r="I166" s="218"/>
      <c r="J166" s="248"/>
      <c r="K166" s="225">
        <f>IF(AND($C166&lt;&gt;"",$G166&lt;&gt;"Đã phản hồi"),COUNTIFS($C$6:$C166,"?*",$G$6:$G166,"&lt;&gt;Đã phản hồi"),"")</f>
      </c>
    </row>
    <row r="167">
      <c r="A167" s="223">
        <f>IF($C167="","",ROW()-5)</f>
      </c>
      <c r="B167" s="245"/>
      <c r="C167" s="246"/>
      <c r="D167" s="247"/>
      <c r="E167" s="247"/>
      <c r="F167" s="246"/>
      <c r="G167" s="216"/>
      <c r="H167" s="218"/>
      <c r="I167" s="218"/>
      <c r="J167" s="248"/>
      <c r="K167" s="225">
        <f>IF(AND($C167&lt;&gt;"",$G167&lt;&gt;"Đã phản hồi"),COUNTIFS($C$6:$C167,"?*",$G$6:$G167,"&lt;&gt;Đã phản hồi"),"")</f>
      </c>
    </row>
    <row r="168">
      <c r="A168" s="223">
        <f>IF($C168="","",ROW()-5)</f>
      </c>
      <c r="B168" s="245"/>
      <c r="C168" s="246"/>
      <c r="D168" s="247"/>
      <c r="E168" s="247"/>
      <c r="F168" s="246"/>
      <c r="G168" s="216"/>
      <c r="H168" s="218"/>
      <c r="I168" s="218"/>
      <c r="J168" s="248"/>
      <c r="K168" s="225">
        <f>IF(AND($C168&lt;&gt;"",$G168&lt;&gt;"Đã phản hồi"),COUNTIFS($C$6:$C168,"?*",$G$6:$G168,"&lt;&gt;Đã phản hồi"),"")</f>
      </c>
    </row>
    <row r="169">
      <c r="A169" s="223">
        <f>IF($C169="","",ROW()-5)</f>
      </c>
      <c r="B169" s="245"/>
      <c r="C169" s="246"/>
      <c r="D169" s="247"/>
      <c r="E169" s="247"/>
      <c r="F169" s="246"/>
      <c r="G169" s="216"/>
      <c r="H169" s="218"/>
      <c r="I169" s="218"/>
      <c r="J169" s="248"/>
      <c r="K169" s="225">
        <f>IF(AND($C169&lt;&gt;"",$G169&lt;&gt;"Đã phản hồi"),COUNTIFS($C$6:$C169,"?*",$G$6:$G169,"&lt;&gt;Đã phản hồi"),"")</f>
      </c>
    </row>
    <row r="170">
      <c r="A170" s="223">
        <f>IF($C170="","",ROW()-5)</f>
      </c>
      <c r="B170" s="245"/>
      <c r="C170" s="246"/>
      <c r="D170" s="247"/>
      <c r="E170" s="247"/>
      <c r="F170" s="246"/>
      <c r="G170" s="216"/>
      <c r="H170" s="218"/>
      <c r="I170" s="218"/>
      <c r="J170" s="248"/>
      <c r="K170" s="225">
        <f>IF(AND($C170&lt;&gt;"",$G170&lt;&gt;"Đã phản hồi"),COUNTIFS($C$6:$C170,"?*",$G$6:$G170,"&lt;&gt;Đã phản hồi"),"")</f>
      </c>
    </row>
    <row r="171">
      <c r="A171" s="223">
        <f>IF($C171="","",ROW()-5)</f>
      </c>
      <c r="B171" s="245"/>
      <c r="C171" s="246"/>
      <c r="D171" s="247"/>
      <c r="E171" s="247"/>
      <c r="F171" s="246"/>
      <c r="G171" s="216"/>
      <c r="H171" s="218"/>
      <c r="I171" s="218"/>
      <c r="J171" s="248"/>
      <c r="K171" s="225">
        <f>IF(AND($C171&lt;&gt;"",$G171&lt;&gt;"Đã phản hồi"),COUNTIFS($C$6:$C171,"?*",$G$6:$G171,"&lt;&gt;Đã phản hồi"),"")</f>
      </c>
    </row>
    <row r="172">
      <c r="A172" s="223">
        <f>IF($C172="","",ROW()-5)</f>
      </c>
      <c r="B172" s="245"/>
      <c r="C172" s="246"/>
      <c r="D172" s="247"/>
      <c r="E172" s="247"/>
      <c r="F172" s="246"/>
      <c r="G172" s="216"/>
      <c r="H172" s="218"/>
      <c r="I172" s="218"/>
      <c r="J172" s="248"/>
      <c r="K172" s="225">
        <f>IF(AND($C172&lt;&gt;"",$G172&lt;&gt;"Đã phản hồi"),COUNTIFS($C$6:$C172,"?*",$G$6:$G172,"&lt;&gt;Đã phản hồi"),"")</f>
      </c>
    </row>
    <row r="173">
      <c r="A173" s="223">
        <f>IF($C173="","",ROW()-5)</f>
      </c>
      <c r="B173" s="245"/>
      <c r="C173" s="246"/>
      <c r="D173" s="247"/>
      <c r="E173" s="247"/>
      <c r="F173" s="246"/>
      <c r="G173" s="216"/>
      <c r="H173" s="218"/>
      <c r="I173" s="218"/>
      <c r="J173" s="248"/>
      <c r="K173" s="225">
        <f>IF(AND($C173&lt;&gt;"",$G173&lt;&gt;"Đã phản hồi"),COUNTIFS($C$6:$C173,"?*",$G$6:$G173,"&lt;&gt;Đã phản hồi"),"")</f>
      </c>
    </row>
    <row r="174">
      <c r="A174" s="223">
        <f>IF($C174="","",ROW()-5)</f>
      </c>
      <c r="B174" s="245"/>
      <c r="C174" s="246"/>
      <c r="D174" s="247"/>
      <c r="E174" s="247"/>
      <c r="F174" s="246"/>
      <c r="G174" s="216"/>
      <c r="H174" s="218"/>
      <c r="I174" s="218"/>
      <c r="J174" s="248"/>
      <c r="K174" s="225">
        <f>IF(AND($C174&lt;&gt;"",$G174&lt;&gt;"Đã phản hồi"),COUNTIFS($C$6:$C174,"?*",$G$6:$G174,"&lt;&gt;Đã phản hồi"),"")</f>
      </c>
    </row>
    <row r="175">
      <c r="A175" s="223">
        <f>IF($C175="","",ROW()-5)</f>
      </c>
      <c r="B175" s="245"/>
      <c r="C175" s="246"/>
      <c r="D175" s="247"/>
      <c r="E175" s="247"/>
      <c r="F175" s="246"/>
      <c r="G175" s="216"/>
      <c r="H175" s="218"/>
      <c r="I175" s="218"/>
      <c r="J175" s="248"/>
      <c r="K175" s="225">
        <f>IF(AND($C175&lt;&gt;"",$G175&lt;&gt;"Đã phản hồi"),COUNTIFS($C$6:$C175,"?*",$G$6:$G175,"&lt;&gt;Đã phản hồi"),"")</f>
      </c>
    </row>
    <row r="176">
      <c r="A176" s="223">
        <f>IF($C176="","",ROW()-5)</f>
      </c>
      <c r="B176" s="245"/>
      <c r="C176" s="246"/>
      <c r="D176" s="247"/>
      <c r="E176" s="247"/>
      <c r="F176" s="246"/>
      <c r="G176" s="216"/>
      <c r="H176" s="218"/>
      <c r="I176" s="218"/>
      <c r="J176" s="248"/>
      <c r="K176" s="225">
        <f>IF(AND($C176&lt;&gt;"",$G176&lt;&gt;"Đã phản hồi"),COUNTIFS($C$6:$C176,"?*",$G$6:$G176,"&lt;&gt;Đã phản hồi"),"")</f>
      </c>
    </row>
    <row r="177">
      <c r="A177" s="223">
        <f>IF($C177="","",ROW()-5)</f>
      </c>
      <c r="B177" s="245"/>
      <c r="C177" s="246"/>
      <c r="D177" s="247"/>
      <c r="E177" s="247"/>
      <c r="F177" s="246"/>
      <c r="G177" s="216"/>
      <c r="H177" s="218"/>
      <c r="I177" s="218"/>
      <c r="J177" s="248"/>
      <c r="K177" s="225">
        <f>IF(AND($C177&lt;&gt;"",$G177&lt;&gt;"Đã phản hồi"),COUNTIFS($C$6:$C177,"?*",$G$6:$G177,"&lt;&gt;Đã phản hồi"),"")</f>
      </c>
    </row>
    <row r="178">
      <c r="A178" s="223">
        <f>IF($C178="","",ROW()-5)</f>
      </c>
      <c r="B178" s="245"/>
      <c r="C178" s="246"/>
      <c r="D178" s="247"/>
      <c r="E178" s="247"/>
      <c r="F178" s="246"/>
      <c r="G178" s="216"/>
      <c r="H178" s="218"/>
      <c r="I178" s="218"/>
      <c r="J178" s="248"/>
      <c r="K178" s="225">
        <f>IF(AND($C178&lt;&gt;"",$G178&lt;&gt;"Đã phản hồi"),COUNTIFS($C$6:$C178,"?*",$G$6:$G178,"&lt;&gt;Đã phản hồi"),"")</f>
      </c>
    </row>
    <row r="179">
      <c r="A179" s="223">
        <f>IF($C179="","",ROW()-5)</f>
      </c>
      <c r="B179" s="245"/>
      <c r="C179" s="246"/>
      <c r="D179" s="247"/>
      <c r="E179" s="247"/>
      <c r="F179" s="246"/>
      <c r="G179" s="216"/>
      <c r="H179" s="218"/>
      <c r="I179" s="218"/>
      <c r="J179" s="248"/>
      <c r="K179" s="225">
        <f>IF(AND($C179&lt;&gt;"",$G179&lt;&gt;"Đã phản hồi"),COUNTIFS($C$6:$C179,"?*",$G$6:$G179,"&lt;&gt;Đã phản hồi"),"")</f>
      </c>
    </row>
    <row r="180">
      <c r="A180" s="223">
        <f>IF($C180="","",ROW()-5)</f>
      </c>
      <c r="B180" s="245"/>
      <c r="C180" s="246"/>
      <c r="D180" s="247"/>
      <c r="E180" s="247"/>
      <c r="F180" s="246"/>
      <c r="G180" s="216"/>
      <c r="H180" s="218"/>
      <c r="I180" s="218"/>
      <c r="J180" s="248"/>
      <c r="K180" s="225">
        <f>IF(AND($C180&lt;&gt;"",$G180&lt;&gt;"Đã phản hồi"),COUNTIFS($C$6:$C180,"?*",$G$6:$G180,"&lt;&gt;Đã phản hồi"),"")</f>
      </c>
    </row>
    <row r="181">
      <c r="A181" s="223">
        <f>IF($C181="","",ROW()-5)</f>
      </c>
      <c r="B181" s="245"/>
      <c r="C181" s="246"/>
      <c r="D181" s="247"/>
      <c r="E181" s="247"/>
      <c r="F181" s="246"/>
      <c r="G181" s="216"/>
      <c r="H181" s="218"/>
      <c r="I181" s="218"/>
      <c r="J181" s="248"/>
      <c r="K181" s="225">
        <f>IF(AND($C181&lt;&gt;"",$G181&lt;&gt;"Đã phản hồi"),COUNTIFS($C$6:$C181,"?*",$G$6:$G181,"&lt;&gt;Đã phản hồi"),"")</f>
      </c>
    </row>
    <row r="182">
      <c r="A182" s="223">
        <f>IF($C182="","",ROW()-5)</f>
      </c>
      <c r="B182" s="245"/>
      <c r="C182" s="246"/>
      <c r="D182" s="247"/>
      <c r="E182" s="247"/>
      <c r="F182" s="246"/>
      <c r="G182" s="216"/>
      <c r="H182" s="218"/>
      <c r="I182" s="218"/>
      <c r="J182" s="248"/>
      <c r="K182" s="225">
        <f>IF(AND($C182&lt;&gt;"",$G182&lt;&gt;"Đã phản hồi"),COUNTIFS($C$6:$C182,"?*",$G$6:$G182,"&lt;&gt;Đã phản hồi"),"")</f>
      </c>
    </row>
    <row r="183">
      <c r="A183" s="223">
        <f>IF($C183="","",ROW()-5)</f>
      </c>
      <c r="B183" s="245"/>
      <c r="C183" s="246"/>
      <c r="D183" s="247"/>
      <c r="E183" s="247"/>
      <c r="F183" s="246"/>
      <c r="G183" s="216"/>
      <c r="H183" s="218"/>
      <c r="I183" s="218"/>
      <c r="J183" s="248"/>
      <c r="K183" s="225">
        <f>IF(AND($C183&lt;&gt;"",$G183&lt;&gt;"Đã phản hồi"),COUNTIFS($C$6:$C183,"?*",$G$6:$G183,"&lt;&gt;Đã phản hồi"),"")</f>
      </c>
    </row>
    <row r="184">
      <c r="A184" s="223">
        <f>IF($C184="","",ROW()-5)</f>
      </c>
      <c r="B184" s="245"/>
      <c r="C184" s="246"/>
      <c r="D184" s="247"/>
      <c r="E184" s="247"/>
      <c r="F184" s="246"/>
      <c r="G184" s="216"/>
      <c r="H184" s="218"/>
      <c r="I184" s="218"/>
      <c r="J184" s="248"/>
      <c r="K184" s="225">
        <f>IF(AND($C184&lt;&gt;"",$G184&lt;&gt;"Đã phản hồi"),COUNTIFS($C$6:$C184,"?*",$G$6:$G184,"&lt;&gt;Đã phản hồi"),"")</f>
      </c>
    </row>
    <row r="185">
      <c r="A185" s="223">
        <f>IF($C185="","",ROW()-5)</f>
      </c>
      <c r="B185" s="245"/>
      <c r="C185" s="246"/>
      <c r="D185" s="247"/>
      <c r="E185" s="247"/>
      <c r="F185" s="246"/>
      <c r="G185" s="216"/>
      <c r="H185" s="218"/>
      <c r="I185" s="218"/>
      <c r="J185" s="248"/>
      <c r="K185" s="225">
        <f>IF(AND($C185&lt;&gt;"",$G185&lt;&gt;"Đã phản hồi"),COUNTIFS($C$6:$C185,"?*",$G$6:$G185,"&lt;&gt;Đã phản hồi"),"")</f>
      </c>
    </row>
    <row r="186">
      <c r="A186" s="223">
        <f>IF($C186="","",ROW()-5)</f>
      </c>
      <c r="B186" s="245"/>
      <c r="C186" s="246"/>
      <c r="D186" s="247"/>
      <c r="E186" s="247"/>
      <c r="F186" s="246"/>
      <c r="G186" s="216"/>
      <c r="H186" s="218"/>
      <c r="I186" s="218"/>
      <c r="J186" s="248"/>
      <c r="K186" s="225">
        <f>IF(AND($C186&lt;&gt;"",$G186&lt;&gt;"Đã phản hồi"),COUNTIFS($C$6:$C186,"?*",$G$6:$G186,"&lt;&gt;Đã phản hồi"),"")</f>
      </c>
    </row>
    <row r="187">
      <c r="A187" s="223">
        <f>IF($C187="","",ROW()-5)</f>
      </c>
      <c r="B187" s="245"/>
      <c r="C187" s="246"/>
      <c r="D187" s="247"/>
      <c r="E187" s="247"/>
      <c r="F187" s="246"/>
      <c r="G187" s="216"/>
      <c r="H187" s="218"/>
      <c r="I187" s="218"/>
      <c r="J187" s="248"/>
      <c r="K187" s="225">
        <f>IF(AND($C187&lt;&gt;"",$G187&lt;&gt;"Đã phản hồi"),COUNTIFS($C$6:$C187,"?*",$G$6:$G187,"&lt;&gt;Đã phản hồi"),"")</f>
      </c>
    </row>
    <row r="188">
      <c r="A188" s="223">
        <f>IF($C188="","",ROW()-5)</f>
      </c>
      <c r="B188" s="245"/>
      <c r="C188" s="246"/>
      <c r="D188" s="247"/>
      <c r="E188" s="247"/>
      <c r="F188" s="246"/>
      <c r="G188" s="216"/>
      <c r="H188" s="218"/>
      <c r="I188" s="218"/>
      <c r="J188" s="248"/>
      <c r="K188" s="225">
        <f>IF(AND($C188&lt;&gt;"",$G188&lt;&gt;"Đã phản hồi"),COUNTIFS($C$6:$C188,"?*",$G$6:$G188,"&lt;&gt;Đã phản hồi"),"")</f>
      </c>
    </row>
    <row r="189">
      <c r="A189" s="223">
        <f>IF($C189="","",ROW()-5)</f>
      </c>
      <c r="B189" s="245"/>
      <c r="C189" s="246"/>
      <c r="D189" s="247"/>
      <c r="E189" s="247"/>
      <c r="F189" s="246"/>
      <c r="G189" s="216"/>
      <c r="H189" s="218"/>
      <c r="I189" s="218"/>
      <c r="J189" s="248"/>
      <c r="K189" s="225">
        <f>IF(AND($C189&lt;&gt;"",$G189&lt;&gt;"Đã phản hồi"),COUNTIFS($C$6:$C189,"?*",$G$6:$G189,"&lt;&gt;Đã phản hồi"),"")</f>
      </c>
    </row>
    <row r="190">
      <c r="A190" s="223">
        <f>IF($C190="","",ROW()-5)</f>
      </c>
      <c r="B190" s="245"/>
      <c r="C190" s="246"/>
      <c r="D190" s="247"/>
      <c r="E190" s="247"/>
      <c r="F190" s="246"/>
      <c r="G190" s="216"/>
      <c r="H190" s="218"/>
      <c r="I190" s="218"/>
      <c r="J190" s="248"/>
      <c r="K190" s="225">
        <f>IF(AND($C190&lt;&gt;"",$G190&lt;&gt;"Đã phản hồi"),COUNTIFS($C$6:$C190,"?*",$G$6:$G190,"&lt;&gt;Đã phản hồi"),"")</f>
      </c>
    </row>
    <row r="191">
      <c r="A191" s="223">
        <f>IF($C191="","",ROW()-5)</f>
      </c>
      <c r="B191" s="245"/>
      <c r="C191" s="246"/>
      <c r="D191" s="247"/>
      <c r="E191" s="247"/>
      <c r="F191" s="246"/>
      <c r="G191" s="216"/>
      <c r="H191" s="218"/>
      <c r="I191" s="218"/>
      <c r="J191" s="248"/>
      <c r="K191" s="225">
        <f>IF(AND($C191&lt;&gt;"",$G191&lt;&gt;"Đã phản hồi"),COUNTIFS($C$6:$C191,"?*",$G$6:$G191,"&lt;&gt;Đã phản hồi"),"")</f>
      </c>
    </row>
    <row r="192">
      <c r="A192" s="223">
        <f>IF($C192="","",ROW()-5)</f>
      </c>
      <c r="B192" s="245"/>
      <c r="C192" s="246"/>
      <c r="D192" s="247"/>
      <c r="E192" s="247"/>
      <c r="F192" s="246"/>
      <c r="G192" s="216"/>
      <c r="H192" s="218"/>
      <c r="I192" s="218"/>
      <c r="J192" s="248"/>
      <c r="K192" s="225">
        <f>IF(AND($C192&lt;&gt;"",$G192&lt;&gt;"Đã phản hồi"),COUNTIFS($C$6:$C192,"?*",$G$6:$G192,"&lt;&gt;Đã phản hồi"),"")</f>
      </c>
    </row>
    <row r="193">
      <c r="A193" s="223">
        <f>IF($C193="","",ROW()-5)</f>
      </c>
      <c r="B193" s="245"/>
      <c r="C193" s="246"/>
      <c r="D193" s="247"/>
      <c r="E193" s="247"/>
      <c r="F193" s="246"/>
      <c r="G193" s="216"/>
      <c r="H193" s="218"/>
      <c r="I193" s="218"/>
      <c r="J193" s="248"/>
      <c r="K193" s="225">
        <f>IF(AND($C193&lt;&gt;"",$G193&lt;&gt;"Đã phản hồi"),COUNTIFS($C$6:$C193,"?*",$G$6:$G193,"&lt;&gt;Đã phản hồi"),"")</f>
      </c>
    </row>
    <row r="194">
      <c r="A194" s="223">
        <f>IF($C194="","",ROW()-5)</f>
      </c>
      <c r="B194" s="245"/>
      <c r="C194" s="246"/>
      <c r="D194" s="247"/>
      <c r="E194" s="247"/>
      <c r="F194" s="246"/>
      <c r="G194" s="216"/>
      <c r="H194" s="218"/>
      <c r="I194" s="218"/>
      <c r="J194" s="248"/>
      <c r="K194" s="225">
        <f>IF(AND($C194&lt;&gt;"",$G194&lt;&gt;"Đã phản hồi"),COUNTIFS($C$6:$C194,"?*",$G$6:$G194,"&lt;&gt;Đã phản hồi"),"")</f>
      </c>
    </row>
    <row r="195">
      <c r="A195" s="223">
        <f>IF($C195="","",ROW()-5)</f>
      </c>
      <c r="B195" s="245"/>
      <c r="C195" s="246"/>
      <c r="D195" s="247"/>
      <c r="E195" s="247"/>
      <c r="F195" s="246"/>
      <c r="G195" s="216"/>
      <c r="H195" s="218"/>
      <c r="I195" s="218"/>
      <c r="J195" s="248"/>
      <c r="K195" s="225">
        <f>IF(AND($C195&lt;&gt;"",$G195&lt;&gt;"Đã phản hồi"),COUNTIFS($C$6:$C195,"?*",$G$6:$G195,"&lt;&gt;Đã phản hồi"),"")</f>
      </c>
    </row>
    <row r="196">
      <c r="A196" s="223">
        <f>IF($C196="","",ROW()-5)</f>
      </c>
      <c r="B196" s="245"/>
      <c r="C196" s="246"/>
      <c r="D196" s="247"/>
      <c r="E196" s="247"/>
      <c r="F196" s="246"/>
      <c r="G196" s="216"/>
      <c r="H196" s="218"/>
      <c r="I196" s="218"/>
      <c r="J196" s="248"/>
      <c r="K196" s="225">
        <f>IF(AND($C196&lt;&gt;"",$G196&lt;&gt;"Đã phản hồi"),COUNTIFS($C$6:$C196,"?*",$G$6:$G196,"&lt;&gt;Đã phản hồi"),"")</f>
      </c>
    </row>
    <row r="197">
      <c r="A197" s="223">
        <f>IF($C197="","",ROW()-5)</f>
      </c>
      <c r="B197" s="245"/>
      <c r="C197" s="246"/>
      <c r="D197" s="247"/>
      <c r="E197" s="247"/>
      <c r="F197" s="246"/>
      <c r="G197" s="216"/>
      <c r="H197" s="218"/>
      <c r="I197" s="218"/>
      <c r="J197" s="248"/>
      <c r="K197" s="225">
        <f>IF(AND($C197&lt;&gt;"",$G197&lt;&gt;"Đã phản hồi"),COUNTIFS($C$6:$C197,"?*",$G$6:$G197,"&lt;&gt;Đã phản hồi"),"")</f>
      </c>
    </row>
    <row r="198">
      <c r="A198" s="223">
        <f>IF($C198="","",ROW()-5)</f>
      </c>
      <c r="B198" s="245"/>
      <c r="C198" s="246"/>
      <c r="D198" s="247"/>
      <c r="E198" s="247"/>
      <c r="F198" s="246"/>
      <c r="G198" s="216"/>
      <c r="H198" s="218"/>
      <c r="I198" s="218"/>
      <c r="J198" s="248"/>
      <c r="K198" s="225">
        <f>IF(AND($C198&lt;&gt;"",$G198&lt;&gt;"Đã phản hồi"),COUNTIFS($C$6:$C198,"?*",$G$6:$G198,"&lt;&gt;Đã phản hồi"),"")</f>
      </c>
    </row>
    <row r="199">
      <c r="A199" s="223">
        <f>IF($C199="","",ROW()-5)</f>
      </c>
      <c r="B199" s="245"/>
      <c r="C199" s="246"/>
      <c r="D199" s="247"/>
      <c r="E199" s="247"/>
      <c r="F199" s="246"/>
      <c r="G199" s="216"/>
      <c r="H199" s="218"/>
      <c r="I199" s="218"/>
      <c r="J199" s="248"/>
      <c r="K199" s="225">
        <f>IF(AND($C199&lt;&gt;"",$G199&lt;&gt;"Đã phản hồi"),COUNTIFS($C$6:$C199,"?*",$G$6:$G199,"&lt;&gt;Đã phản hồi"),"")</f>
      </c>
    </row>
    <row r="200">
      <c r="A200" s="223">
        <f>IF($C200="","",ROW()-5)</f>
      </c>
      <c r="B200" s="245"/>
      <c r="C200" s="246"/>
      <c r="D200" s="247"/>
      <c r="E200" s="247"/>
      <c r="F200" s="246"/>
      <c r="G200" s="216"/>
      <c r="H200" s="218"/>
      <c r="I200" s="218"/>
      <c r="J200" s="248"/>
      <c r="K200" s="225">
        <f>IF(AND($C200&lt;&gt;"",$G200&lt;&gt;"Đã phản hồi"),COUNTIFS($C$6:$C200,"?*",$G$6:$G200,"&lt;&gt;Đã phản hồi"),"")</f>
      </c>
    </row>
    <row r="201">
      <c r="A201" s="223">
        <f>IF($C201="","",ROW()-5)</f>
      </c>
      <c r="B201" s="245"/>
      <c r="C201" s="246"/>
      <c r="D201" s="247"/>
      <c r="E201" s="247"/>
      <c r="F201" s="246"/>
      <c r="G201" s="216"/>
      <c r="H201" s="218"/>
      <c r="I201" s="218"/>
      <c r="J201" s="248"/>
      <c r="K201" s="225">
        <f>IF(AND($C201&lt;&gt;"",$G201&lt;&gt;"Đã phản hồi"),COUNTIFS($C$6:$C201,"?*",$G$6:$G201,"&lt;&gt;Đã phản hồi"),"")</f>
      </c>
    </row>
    <row r="202">
      <c r="A202" s="223">
        <f>IF($C202="","",ROW()-5)</f>
      </c>
      <c r="B202" s="245"/>
      <c r="C202" s="246"/>
      <c r="D202" s="247"/>
      <c r="E202" s="247"/>
      <c r="F202" s="246"/>
      <c r="G202" s="216"/>
      <c r="H202" s="218"/>
      <c r="I202" s="218"/>
      <c r="J202" s="248"/>
      <c r="K202" s="225">
        <f>IF(AND($C202&lt;&gt;"",$G202&lt;&gt;"Đã phản hồi"),COUNTIFS($C$6:$C202,"?*",$G$6:$G202,"&lt;&gt;Đã phản hồi"),"")</f>
      </c>
    </row>
    <row r="203">
      <c r="A203" s="223">
        <f>IF($C203="","",ROW()-5)</f>
      </c>
      <c r="B203" s="245"/>
      <c r="C203" s="246"/>
      <c r="D203" s="247"/>
      <c r="E203" s="247"/>
      <c r="F203" s="246"/>
      <c r="G203" s="216"/>
      <c r="H203" s="218"/>
      <c r="I203" s="218"/>
      <c r="J203" s="248"/>
      <c r="K203" s="225">
        <f>IF(AND($C203&lt;&gt;"",$G203&lt;&gt;"Đã phản hồi"),COUNTIFS($C$6:$C203,"?*",$G$6:$G203,"&lt;&gt;Đã phản hồi"),"")</f>
      </c>
    </row>
    <row r="204">
      <c r="A204" s="223">
        <f>IF($C204="","",ROW()-5)</f>
      </c>
      <c r="B204" s="245"/>
      <c r="C204" s="246"/>
      <c r="D204" s="247"/>
      <c r="E204" s="247"/>
      <c r="F204" s="246"/>
      <c r="G204" s="216"/>
      <c r="H204" s="218"/>
      <c r="I204" s="218"/>
      <c r="J204" s="248"/>
      <c r="K204" s="225">
        <f>IF(AND($C204&lt;&gt;"",$G204&lt;&gt;"Đã phản hồi"),COUNTIFS($C$6:$C204,"?*",$G$6:$G204,"&lt;&gt;Đã phản hồi"),"")</f>
      </c>
    </row>
    <row r="205">
      <c r="A205" s="223">
        <f>IF($C205="","",ROW()-5)</f>
      </c>
      <c r="B205" s="245"/>
      <c r="C205" s="246"/>
      <c r="D205" s="247"/>
      <c r="E205" s="247"/>
      <c r="F205" s="246"/>
      <c r="G205" s="216"/>
      <c r="H205" s="218"/>
      <c r="I205" s="218"/>
      <c r="J205" s="248"/>
      <c r="K205" s="225">
        <f>IF(AND($C205&lt;&gt;"",$G205&lt;&gt;"Đã phản hồi"),COUNTIFS($C$6:$C205,"?*",$G$6:$G205,"&lt;&gt;Đã phản hồi"),"")</f>
      </c>
    </row>
    <row r="206">
      <c r="A206" s="223">
        <f>IF($C206="","",ROW()-5)</f>
      </c>
      <c r="B206" s="245"/>
      <c r="C206" s="246"/>
      <c r="D206" s="247"/>
      <c r="E206" s="247"/>
      <c r="F206" s="246"/>
      <c r="G206" s="216"/>
      <c r="H206" s="218"/>
      <c r="I206" s="218"/>
      <c r="J206" s="248"/>
      <c r="K206" s="225">
        <f>IF(AND($C206&lt;&gt;"",$G206&lt;&gt;"Đã phản hồi"),COUNTIFS($C$6:$C206,"?*",$G$6:$G206,"&lt;&gt;Đã phản hồi"),"")</f>
      </c>
    </row>
    <row r="207">
      <c r="A207" s="223">
        <f>IF($C207="","",ROW()-5)</f>
      </c>
      <c r="B207" s="245"/>
      <c r="C207" s="246"/>
      <c r="D207" s="247"/>
      <c r="E207" s="247"/>
      <c r="F207" s="246"/>
      <c r="G207" s="216"/>
      <c r="H207" s="218"/>
      <c r="I207" s="218"/>
      <c r="J207" s="248"/>
      <c r="K207" s="225">
        <f>IF(AND($C207&lt;&gt;"",$G207&lt;&gt;"Đã phản hồi"),COUNTIFS($C$6:$C207,"?*",$G$6:$G207,"&lt;&gt;Đã phản hồi"),"")</f>
      </c>
    </row>
    <row r="208">
      <c r="A208" s="223">
        <f>IF($C208="","",ROW()-5)</f>
      </c>
      <c r="B208" s="245"/>
      <c r="C208" s="246"/>
      <c r="D208" s="247"/>
      <c r="E208" s="247"/>
      <c r="F208" s="246"/>
      <c r="G208" s="216"/>
      <c r="H208" s="218"/>
      <c r="I208" s="218"/>
      <c r="J208" s="248"/>
      <c r="K208" s="225">
        <f>IF(AND($C208&lt;&gt;"",$G208&lt;&gt;"Đã phản hồi"),COUNTIFS($C$6:$C208,"?*",$G$6:$G208,"&lt;&gt;Đã phản hồi"),"")</f>
      </c>
    </row>
    <row r="209">
      <c r="A209" s="223">
        <f>IF($C209="","",ROW()-5)</f>
      </c>
      <c r="B209" s="245"/>
      <c r="C209" s="246"/>
      <c r="D209" s="247"/>
      <c r="E209" s="247"/>
      <c r="F209" s="246"/>
      <c r="G209" s="216"/>
      <c r="H209" s="218"/>
      <c r="I209" s="218"/>
      <c r="J209" s="248"/>
      <c r="K209" s="225">
        <f>IF(AND($C209&lt;&gt;"",$G209&lt;&gt;"Đã phản hồi"),COUNTIFS($C$6:$C209,"?*",$G$6:$G209,"&lt;&gt;Đã phản hồi"),"")</f>
      </c>
    </row>
    <row r="210">
      <c r="A210" s="223">
        <f>IF($C210="","",ROW()-5)</f>
      </c>
      <c r="B210" s="245"/>
      <c r="C210" s="246"/>
      <c r="D210" s="247"/>
      <c r="E210" s="247"/>
      <c r="F210" s="246"/>
      <c r="G210" s="216"/>
      <c r="H210" s="218"/>
      <c r="I210" s="218"/>
      <c r="J210" s="248"/>
      <c r="K210" s="225">
        <f>IF(AND($C210&lt;&gt;"",$G210&lt;&gt;"Đã phản hồi"),COUNTIFS($C$6:$C210,"?*",$G$6:$G210,"&lt;&gt;Đã phản hồi"),"")</f>
      </c>
    </row>
    <row r="211">
      <c r="A211" s="223">
        <f>IF($C211="","",ROW()-5)</f>
      </c>
      <c r="B211" s="245"/>
      <c r="C211" s="246"/>
      <c r="D211" s="247"/>
      <c r="E211" s="247"/>
      <c r="F211" s="246"/>
      <c r="G211" s="216"/>
      <c r="H211" s="218"/>
      <c r="I211" s="218"/>
      <c r="J211" s="248"/>
      <c r="K211" s="225">
        <f>IF(AND($C211&lt;&gt;"",$G211&lt;&gt;"Đã phản hồi"),COUNTIFS($C$6:$C211,"?*",$G$6:$G211,"&lt;&gt;Đã phản hồi"),"")</f>
      </c>
    </row>
    <row r="212">
      <c r="A212" s="223">
        <f>IF($C212="","",ROW()-5)</f>
      </c>
      <c r="B212" s="245"/>
      <c r="C212" s="246"/>
      <c r="D212" s="247"/>
      <c r="E212" s="247"/>
      <c r="F212" s="246"/>
      <c r="G212" s="216"/>
      <c r="H212" s="218"/>
      <c r="I212" s="218"/>
      <c r="J212" s="248"/>
      <c r="K212" s="225">
        <f>IF(AND($C212&lt;&gt;"",$G212&lt;&gt;"Đã phản hồi"),COUNTIFS($C$6:$C212,"?*",$G$6:$G212,"&lt;&gt;Đã phản hồi"),"")</f>
      </c>
    </row>
    <row r="213">
      <c r="A213" s="223">
        <f>IF($C213="","",ROW()-5)</f>
      </c>
      <c r="B213" s="245"/>
      <c r="C213" s="246"/>
      <c r="D213" s="247"/>
      <c r="E213" s="247"/>
      <c r="F213" s="246"/>
      <c r="G213" s="216"/>
      <c r="H213" s="218"/>
      <c r="I213" s="218"/>
      <c r="J213" s="248"/>
      <c r="K213" s="225">
        <f>IF(AND($C213&lt;&gt;"",$G213&lt;&gt;"Đã phản hồi"),COUNTIFS($C$6:$C213,"?*",$G$6:$G213,"&lt;&gt;Đã phản hồi"),"")</f>
      </c>
    </row>
    <row r="214">
      <c r="A214" s="223">
        <f>IF($C214="","",ROW()-5)</f>
      </c>
      <c r="B214" s="245"/>
      <c r="C214" s="246"/>
      <c r="D214" s="247"/>
      <c r="E214" s="247"/>
      <c r="F214" s="246"/>
      <c r="G214" s="216"/>
      <c r="H214" s="218"/>
      <c r="I214" s="218"/>
      <c r="J214" s="248"/>
      <c r="K214" s="225">
        <f>IF(AND($C214&lt;&gt;"",$G214&lt;&gt;"Đã phản hồi"),COUNTIFS($C$6:$C214,"?*",$G$6:$G214,"&lt;&gt;Đã phản hồi"),"")</f>
      </c>
    </row>
    <row r="215">
      <c r="A215" s="223">
        <f>IF($C215="","",ROW()-5)</f>
      </c>
      <c r="B215" s="245"/>
      <c r="C215" s="246"/>
      <c r="D215" s="247"/>
      <c r="E215" s="247"/>
      <c r="F215" s="246"/>
      <c r="G215" s="216"/>
      <c r="H215" s="218"/>
      <c r="I215" s="218"/>
      <c r="J215" s="248"/>
      <c r="K215" s="225">
        <f>IF(AND($C215&lt;&gt;"",$G215&lt;&gt;"Đã phản hồi"),COUNTIFS($C$6:$C215,"?*",$G$6:$G215,"&lt;&gt;Đã phản hồi"),"")</f>
      </c>
    </row>
    <row r="216">
      <c r="A216" s="223">
        <f>IF($C216="","",ROW()-5)</f>
      </c>
      <c r="B216" s="245"/>
      <c r="C216" s="246"/>
      <c r="D216" s="247"/>
      <c r="E216" s="247"/>
      <c r="F216" s="246"/>
      <c r="G216" s="216"/>
      <c r="H216" s="218"/>
      <c r="I216" s="218"/>
      <c r="J216" s="248"/>
      <c r="K216" s="225">
        <f>IF(AND($C216&lt;&gt;"",$G216&lt;&gt;"Đã phản hồi"),COUNTIFS($C$6:$C216,"?*",$G$6:$G216,"&lt;&gt;Đã phản hồi"),"")</f>
      </c>
    </row>
    <row r="217">
      <c r="A217" s="223">
        <f>IF($C217="","",ROW()-5)</f>
      </c>
      <c r="B217" s="245"/>
      <c r="C217" s="246"/>
      <c r="D217" s="247"/>
      <c r="E217" s="247"/>
      <c r="F217" s="246"/>
      <c r="G217" s="216"/>
      <c r="H217" s="218"/>
      <c r="I217" s="218"/>
      <c r="J217" s="248"/>
      <c r="K217" s="225">
        <f>IF(AND($C217&lt;&gt;"",$G217&lt;&gt;"Đã phản hồi"),COUNTIFS($C$6:$C217,"?*",$G$6:$G217,"&lt;&gt;Đã phản hồi"),"")</f>
      </c>
    </row>
    <row r="218">
      <c r="A218" s="223">
        <f>IF($C218="","",ROW()-5)</f>
      </c>
      <c r="B218" s="245"/>
      <c r="C218" s="246"/>
      <c r="D218" s="247"/>
      <c r="E218" s="247"/>
      <c r="F218" s="246"/>
      <c r="G218" s="216"/>
      <c r="H218" s="218"/>
      <c r="I218" s="218"/>
      <c r="J218" s="248"/>
      <c r="K218" s="225">
        <f>IF(AND($C218&lt;&gt;"",$G218&lt;&gt;"Đã phản hồi"),COUNTIFS($C$6:$C218,"?*",$G$6:$G218,"&lt;&gt;Đã phản hồi"),"")</f>
      </c>
    </row>
    <row r="219">
      <c r="A219" s="223">
        <f>IF($C219="","",ROW()-5)</f>
      </c>
      <c r="B219" s="245"/>
      <c r="C219" s="246"/>
      <c r="D219" s="247"/>
      <c r="E219" s="247"/>
      <c r="F219" s="246"/>
      <c r="G219" s="216"/>
      <c r="H219" s="218"/>
      <c r="I219" s="218"/>
      <c r="J219" s="248"/>
      <c r="K219" s="225">
        <f>IF(AND($C219&lt;&gt;"",$G219&lt;&gt;"Đã phản hồi"),COUNTIFS($C$6:$C219,"?*",$G$6:$G219,"&lt;&gt;Đã phản hồi"),"")</f>
      </c>
    </row>
    <row r="220">
      <c r="A220" s="223">
        <f>IF($C220="","",ROW()-5)</f>
      </c>
      <c r="B220" s="245"/>
      <c r="C220" s="246"/>
      <c r="D220" s="247"/>
      <c r="E220" s="247"/>
      <c r="F220" s="246"/>
      <c r="G220" s="216"/>
      <c r="H220" s="218"/>
      <c r="I220" s="218"/>
      <c r="J220" s="248"/>
      <c r="K220" s="225">
        <f>IF(AND($C220&lt;&gt;"",$G220&lt;&gt;"Đã phản hồi"),COUNTIFS($C$6:$C220,"?*",$G$6:$G220,"&lt;&gt;Đã phản hồi"),"")</f>
      </c>
    </row>
    <row r="221">
      <c r="A221" s="223">
        <f>IF($C221="","",ROW()-5)</f>
      </c>
      <c r="B221" s="245"/>
      <c r="C221" s="246"/>
      <c r="D221" s="247"/>
      <c r="E221" s="247"/>
      <c r="F221" s="246"/>
      <c r="G221" s="216"/>
      <c r="H221" s="218"/>
      <c r="I221" s="218"/>
      <c r="J221" s="248"/>
      <c r="K221" s="225">
        <f>IF(AND($C221&lt;&gt;"",$G221&lt;&gt;"Đã phản hồi"),COUNTIFS($C$6:$C221,"?*",$G$6:$G221,"&lt;&gt;Đã phản hồi"),"")</f>
      </c>
    </row>
    <row r="222">
      <c r="A222" s="223">
        <f>IF($C222="","",ROW()-5)</f>
      </c>
      <c r="B222" s="245"/>
      <c r="C222" s="246"/>
      <c r="D222" s="247"/>
      <c r="E222" s="247"/>
      <c r="F222" s="246"/>
      <c r="G222" s="216"/>
      <c r="H222" s="218"/>
      <c r="I222" s="218"/>
      <c r="J222" s="248"/>
      <c r="K222" s="225">
        <f>IF(AND($C222&lt;&gt;"",$G222&lt;&gt;"Đã phản hồi"),COUNTIFS($C$6:$C222,"?*",$G$6:$G222,"&lt;&gt;Đã phản hồi"),"")</f>
      </c>
    </row>
    <row r="223">
      <c r="A223" s="223">
        <f>IF($C223="","",ROW()-5)</f>
      </c>
      <c r="B223" s="245"/>
      <c r="C223" s="246"/>
      <c r="D223" s="247"/>
      <c r="E223" s="247"/>
      <c r="F223" s="246"/>
      <c r="G223" s="216"/>
      <c r="H223" s="218"/>
      <c r="I223" s="218"/>
      <c r="J223" s="248"/>
      <c r="K223" s="225">
        <f>IF(AND($C223&lt;&gt;"",$G223&lt;&gt;"Đã phản hồi"),COUNTIFS($C$6:$C223,"?*",$G$6:$G223,"&lt;&gt;Đã phản hồi"),"")</f>
      </c>
    </row>
    <row r="224">
      <c r="A224" s="223">
        <f>IF($C224="","",ROW()-5)</f>
      </c>
      <c r="B224" s="245"/>
      <c r="C224" s="246"/>
      <c r="D224" s="247"/>
      <c r="E224" s="247"/>
      <c r="F224" s="246"/>
      <c r="G224" s="216"/>
      <c r="H224" s="218"/>
      <c r="I224" s="218"/>
      <c r="J224" s="248"/>
      <c r="K224" s="225">
        <f>IF(AND($C224&lt;&gt;"",$G224&lt;&gt;"Đã phản hồi"),COUNTIFS($C$6:$C224,"?*",$G$6:$G224,"&lt;&gt;Đã phản hồi"),"")</f>
      </c>
    </row>
    <row r="225">
      <c r="A225" s="223">
        <f>IF($C225="","",ROW()-5)</f>
      </c>
      <c r="B225" s="245"/>
      <c r="C225" s="246"/>
      <c r="D225" s="247"/>
      <c r="E225" s="247"/>
      <c r="F225" s="246"/>
      <c r="G225" s="216"/>
      <c r="H225" s="218"/>
      <c r="I225" s="218"/>
      <c r="J225" s="248"/>
      <c r="K225" s="225">
        <f>IF(AND($C225&lt;&gt;"",$G225&lt;&gt;"Đã phản hồi"),COUNTIFS($C$6:$C225,"?*",$G$6:$G225,"&lt;&gt;Đã phản hồi"),"")</f>
      </c>
    </row>
    <row r="226">
      <c r="A226" s="223">
        <f>IF($C226="","",ROW()-5)</f>
      </c>
      <c r="B226" s="245"/>
      <c r="C226" s="246"/>
      <c r="D226" s="247"/>
      <c r="E226" s="247"/>
      <c r="F226" s="246"/>
      <c r="G226" s="216"/>
      <c r="H226" s="218"/>
      <c r="I226" s="218"/>
      <c r="J226" s="248"/>
      <c r="K226" s="225">
        <f>IF(AND($C226&lt;&gt;"",$G226&lt;&gt;"Đã phản hồi"),COUNTIFS($C$6:$C226,"?*",$G$6:$G226,"&lt;&gt;Đã phản hồi"),"")</f>
      </c>
    </row>
    <row r="227">
      <c r="A227" s="223">
        <f>IF($C227="","",ROW()-5)</f>
      </c>
      <c r="B227" s="245"/>
      <c r="C227" s="246"/>
      <c r="D227" s="247"/>
      <c r="E227" s="247"/>
      <c r="F227" s="246"/>
      <c r="G227" s="216"/>
      <c r="H227" s="218"/>
      <c r="I227" s="218"/>
      <c r="J227" s="248"/>
      <c r="K227" s="225">
        <f>IF(AND($C227&lt;&gt;"",$G227&lt;&gt;"Đã phản hồi"),COUNTIFS($C$6:$C227,"?*",$G$6:$G227,"&lt;&gt;Đã phản hồi"),"")</f>
      </c>
    </row>
    <row r="228">
      <c r="A228" s="223">
        <f>IF($C228="","",ROW()-5)</f>
      </c>
      <c r="B228" s="245"/>
      <c r="C228" s="246"/>
      <c r="D228" s="247"/>
      <c r="E228" s="247"/>
      <c r="F228" s="246"/>
      <c r="G228" s="216"/>
      <c r="H228" s="218"/>
      <c r="I228" s="218"/>
      <c r="J228" s="248"/>
      <c r="K228" s="225">
        <f>IF(AND($C228&lt;&gt;"",$G228&lt;&gt;"Đã phản hồi"),COUNTIFS($C$6:$C228,"?*",$G$6:$G228,"&lt;&gt;Đã phản hồi"),"")</f>
      </c>
    </row>
    <row r="229">
      <c r="A229" s="223">
        <f>IF($C229="","",ROW()-5)</f>
      </c>
      <c r="B229" s="245"/>
      <c r="C229" s="246"/>
      <c r="D229" s="247"/>
      <c r="E229" s="247"/>
      <c r="F229" s="246"/>
      <c r="G229" s="216"/>
      <c r="H229" s="218"/>
      <c r="I229" s="218"/>
      <c r="J229" s="248"/>
      <c r="K229" s="225">
        <f>IF(AND($C229&lt;&gt;"",$G229&lt;&gt;"Đã phản hồi"),COUNTIFS($C$6:$C229,"?*",$G$6:$G229,"&lt;&gt;Đã phản hồi"),"")</f>
      </c>
    </row>
    <row r="230">
      <c r="A230" s="223">
        <f>IF($C230="","",ROW()-5)</f>
      </c>
      <c r="B230" s="245"/>
      <c r="C230" s="246"/>
      <c r="D230" s="247"/>
      <c r="E230" s="247"/>
      <c r="F230" s="246"/>
      <c r="G230" s="216"/>
      <c r="H230" s="218"/>
      <c r="I230" s="218"/>
      <c r="J230" s="248"/>
      <c r="K230" s="225">
        <f>IF(AND($C230&lt;&gt;"",$G230&lt;&gt;"Đã phản hồi"),COUNTIFS($C$6:$C230,"?*",$G$6:$G230,"&lt;&gt;Đã phản hồi"),"")</f>
      </c>
    </row>
    <row r="231">
      <c r="A231" s="223">
        <f>IF($C231="","",ROW()-5)</f>
      </c>
      <c r="B231" s="245"/>
      <c r="C231" s="246"/>
      <c r="D231" s="247"/>
      <c r="E231" s="247"/>
      <c r="F231" s="246"/>
      <c r="G231" s="216"/>
      <c r="H231" s="218"/>
      <c r="I231" s="218"/>
      <c r="J231" s="248"/>
      <c r="K231" s="225">
        <f>IF(AND($C231&lt;&gt;"",$G231&lt;&gt;"Đã phản hồi"),COUNTIFS($C$6:$C231,"?*",$G$6:$G231,"&lt;&gt;Đã phản hồi"),"")</f>
      </c>
    </row>
    <row r="232">
      <c r="A232" s="223">
        <f>IF($C232="","",ROW()-5)</f>
      </c>
      <c r="B232" s="245"/>
      <c r="C232" s="246"/>
      <c r="D232" s="247"/>
      <c r="E232" s="247"/>
      <c r="F232" s="246"/>
      <c r="G232" s="216"/>
      <c r="H232" s="218"/>
      <c r="I232" s="218"/>
      <c r="J232" s="248"/>
      <c r="K232" s="225">
        <f>IF(AND($C232&lt;&gt;"",$G232&lt;&gt;"Đã phản hồi"),COUNTIFS($C$6:$C232,"?*",$G$6:$G232,"&lt;&gt;Đã phản hồi"),"")</f>
      </c>
    </row>
    <row r="233">
      <c r="A233" s="223">
        <f>IF($C233="","",ROW()-5)</f>
      </c>
      <c r="B233" s="245"/>
      <c r="C233" s="246"/>
      <c r="D233" s="247"/>
      <c r="E233" s="247"/>
      <c r="F233" s="246"/>
      <c r="G233" s="216"/>
      <c r="H233" s="218"/>
      <c r="I233" s="218"/>
      <c r="J233" s="248"/>
      <c r="K233" s="225">
        <f>IF(AND($C233&lt;&gt;"",$G233&lt;&gt;"Đã phản hồi"),COUNTIFS($C$6:$C233,"?*",$G$6:$G233,"&lt;&gt;Đã phản hồi"),"")</f>
      </c>
    </row>
    <row r="234">
      <c r="A234" s="223">
        <f>IF($C234="","",ROW()-5)</f>
      </c>
      <c r="B234" s="245"/>
      <c r="C234" s="246"/>
      <c r="D234" s="247"/>
      <c r="E234" s="247"/>
      <c r="F234" s="246"/>
      <c r="G234" s="216"/>
      <c r="H234" s="218"/>
      <c r="I234" s="218"/>
      <c r="J234" s="248"/>
      <c r="K234" s="225">
        <f>IF(AND($C234&lt;&gt;"",$G234&lt;&gt;"Đã phản hồi"),COUNTIFS($C$6:$C234,"?*",$G$6:$G234,"&lt;&gt;Đã phản hồi"),"")</f>
      </c>
    </row>
    <row r="235">
      <c r="A235" s="223">
        <f>IF($C235="","",ROW()-5)</f>
      </c>
      <c r="B235" s="245"/>
      <c r="C235" s="246"/>
      <c r="D235" s="247"/>
      <c r="E235" s="247"/>
      <c r="F235" s="246"/>
      <c r="G235" s="216"/>
      <c r="H235" s="218"/>
      <c r="I235" s="218"/>
      <c r="J235" s="248"/>
      <c r="K235" s="225">
        <f>IF(AND($C235&lt;&gt;"",$G235&lt;&gt;"Đã phản hồi"),COUNTIFS($C$6:$C235,"?*",$G$6:$G235,"&lt;&gt;Đã phản hồi"),"")</f>
      </c>
    </row>
    <row r="236">
      <c r="A236" s="223">
        <f>IF($C236="","",ROW()-5)</f>
      </c>
      <c r="B236" s="245"/>
      <c r="C236" s="246"/>
      <c r="D236" s="247"/>
      <c r="E236" s="247"/>
      <c r="F236" s="246"/>
      <c r="G236" s="216"/>
      <c r="H236" s="218"/>
      <c r="I236" s="218"/>
      <c r="J236" s="248"/>
      <c r="K236" s="225">
        <f>IF(AND($C236&lt;&gt;"",$G236&lt;&gt;"Đã phản hồi"),COUNTIFS($C$6:$C236,"?*",$G$6:$G236,"&lt;&gt;Đã phản hồi"),"")</f>
      </c>
    </row>
    <row r="237">
      <c r="A237" s="223">
        <f>IF($C237="","",ROW()-5)</f>
      </c>
      <c r="B237" s="245"/>
      <c r="C237" s="246"/>
      <c r="D237" s="247"/>
      <c r="E237" s="247"/>
      <c r="F237" s="246"/>
      <c r="G237" s="216"/>
      <c r="H237" s="218"/>
      <c r="I237" s="218"/>
      <c r="J237" s="248"/>
      <c r="K237" s="225">
        <f>IF(AND($C237&lt;&gt;"",$G237&lt;&gt;"Đã phản hồi"),COUNTIFS($C$6:$C237,"?*",$G$6:$G237,"&lt;&gt;Đã phản hồi"),"")</f>
      </c>
    </row>
    <row r="238">
      <c r="A238" s="223">
        <f>IF($C238="","",ROW()-5)</f>
      </c>
      <c r="B238" s="245"/>
      <c r="C238" s="246"/>
      <c r="D238" s="247"/>
      <c r="E238" s="247"/>
      <c r="F238" s="246"/>
      <c r="G238" s="216"/>
      <c r="H238" s="218"/>
      <c r="I238" s="218"/>
      <c r="J238" s="248"/>
      <c r="K238" s="225">
        <f>IF(AND($C238&lt;&gt;"",$G238&lt;&gt;"Đã phản hồi"),COUNTIFS($C$6:$C238,"?*",$G$6:$G238,"&lt;&gt;Đã phản hồi"),"")</f>
      </c>
    </row>
    <row r="239">
      <c r="A239" s="223">
        <f>IF($C239="","",ROW()-5)</f>
      </c>
      <c r="B239" s="245"/>
      <c r="C239" s="246"/>
      <c r="D239" s="247"/>
      <c r="E239" s="247"/>
      <c r="F239" s="246"/>
      <c r="G239" s="216"/>
      <c r="H239" s="218"/>
      <c r="I239" s="218"/>
      <c r="J239" s="248"/>
      <c r="K239" s="225">
        <f>IF(AND($C239&lt;&gt;"",$G239&lt;&gt;"Đã phản hồi"),COUNTIFS($C$6:$C239,"?*",$G$6:$G239,"&lt;&gt;Đã phản hồi"),"")</f>
      </c>
    </row>
    <row r="240">
      <c r="A240" s="223">
        <f>IF($C240="","",ROW()-5)</f>
      </c>
      <c r="B240" s="245"/>
      <c r="C240" s="246"/>
      <c r="D240" s="247"/>
      <c r="E240" s="247"/>
      <c r="F240" s="246"/>
      <c r="G240" s="216"/>
      <c r="H240" s="218"/>
      <c r="I240" s="218"/>
      <c r="J240" s="248"/>
      <c r="K240" s="225">
        <f>IF(AND($C240&lt;&gt;"",$G240&lt;&gt;"Đã phản hồi"),COUNTIFS($C$6:$C240,"?*",$G$6:$G240,"&lt;&gt;Đã phản hồi"),"")</f>
      </c>
    </row>
    <row r="241">
      <c r="A241" s="223">
        <f>IF($C241="","",ROW()-5)</f>
      </c>
      <c r="B241" s="245"/>
      <c r="C241" s="246"/>
      <c r="D241" s="247"/>
      <c r="E241" s="247"/>
      <c r="F241" s="246"/>
      <c r="G241" s="216"/>
      <c r="H241" s="218"/>
      <c r="I241" s="218"/>
      <c r="J241" s="248"/>
      <c r="K241" s="225">
        <f>IF(AND($C241&lt;&gt;"",$G241&lt;&gt;"Đã phản hồi"),COUNTIFS($C$6:$C241,"?*",$G$6:$G241,"&lt;&gt;Đã phản hồi"),"")</f>
      </c>
    </row>
    <row r="242">
      <c r="A242" s="223">
        <f>IF($C242="","",ROW()-5)</f>
      </c>
      <c r="B242" s="245"/>
      <c r="C242" s="246"/>
      <c r="D242" s="247"/>
      <c r="E242" s="247"/>
      <c r="F242" s="246"/>
      <c r="G242" s="216"/>
      <c r="H242" s="218"/>
      <c r="I242" s="218"/>
      <c r="J242" s="248"/>
      <c r="K242" s="225">
        <f>IF(AND($C242&lt;&gt;"",$G242&lt;&gt;"Đã phản hồi"),COUNTIFS($C$6:$C242,"?*",$G$6:$G242,"&lt;&gt;Đã phản hồi"),"")</f>
      </c>
    </row>
    <row r="243">
      <c r="A243" s="223">
        <f>IF($C243="","",ROW()-5)</f>
      </c>
      <c r="B243" s="245"/>
      <c r="C243" s="246"/>
      <c r="D243" s="247"/>
      <c r="E243" s="247"/>
      <c r="F243" s="246"/>
      <c r="G243" s="216"/>
      <c r="H243" s="218"/>
      <c r="I243" s="218"/>
      <c r="J243" s="248"/>
      <c r="K243" s="225">
        <f>IF(AND($C243&lt;&gt;"",$G243&lt;&gt;"Đã phản hồi"),COUNTIFS($C$6:$C243,"?*",$G$6:$G243,"&lt;&gt;Đã phản hồi"),"")</f>
      </c>
    </row>
    <row r="244">
      <c r="A244" s="223">
        <f>IF($C244="","",ROW()-5)</f>
      </c>
      <c r="B244" s="245"/>
      <c r="C244" s="246"/>
      <c r="D244" s="247"/>
      <c r="E244" s="247"/>
      <c r="F244" s="246"/>
      <c r="G244" s="216"/>
      <c r="H244" s="218"/>
      <c r="I244" s="218"/>
      <c r="J244" s="248"/>
      <c r="K244" s="225">
        <f>IF(AND($C244&lt;&gt;"",$G244&lt;&gt;"Đã phản hồi"),COUNTIFS($C$6:$C244,"?*",$G$6:$G244,"&lt;&gt;Đã phản hồi"),"")</f>
      </c>
    </row>
    <row r="245">
      <c r="A245" s="223">
        <f>IF($C245="","",ROW()-5)</f>
      </c>
      <c r="B245" s="245"/>
      <c r="C245" s="246"/>
      <c r="D245" s="247"/>
      <c r="E245" s="247"/>
      <c r="F245" s="246"/>
      <c r="G245" s="216"/>
      <c r="H245" s="218"/>
      <c r="I245" s="218"/>
      <c r="J245" s="248"/>
      <c r="K245" s="225">
        <f>IF(AND($C245&lt;&gt;"",$G245&lt;&gt;"Đã phản hồi"),COUNTIFS($C$6:$C245,"?*",$G$6:$G245,"&lt;&gt;Đã phản hồi"),"")</f>
      </c>
    </row>
    <row r="246">
      <c r="A246" s="223">
        <f>IF($C246="","",ROW()-5)</f>
      </c>
      <c r="B246" s="245"/>
      <c r="C246" s="246"/>
      <c r="D246" s="247"/>
      <c r="E246" s="247"/>
      <c r="F246" s="246"/>
      <c r="G246" s="216"/>
      <c r="H246" s="218"/>
      <c r="I246" s="218"/>
      <c r="J246" s="248"/>
      <c r="K246" s="225">
        <f>IF(AND($C246&lt;&gt;"",$G246&lt;&gt;"Đã phản hồi"),COUNTIFS($C$6:$C246,"?*",$G$6:$G246,"&lt;&gt;Đã phản hồi"),"")</f>
      </c>
    </row>
    <row r="247">
      <c r="A247" s="223">
        <f>IF($C247="","",ROW()-5)</f>
      </c>
      <c r="B247" s="245"/>
      <c r="C247" s="246"/>
      <c r="D247" s="247"/>
      <c r="E247" s="247"/>
      <c r="F247" s="246"/>
      <c r="G247" s="216"/>
      <c r="H247" s="218"/>
      <c r="I247" s="218"/>
      <c r="J247" s="248"/>
      <c r="K247" s="225">
        <f>IF(AND($C247&lt;&gt;"",$G247&lt;&gt;"Đã phản hồi"),COUNTIFS($C$6:$C247,"?*",$G$6:$G247,"&lt;&gt;Đã phản hồi"),"")</f>
      </c>
    </row>
    <row r="248">
      <c r="A248" s="223">
        <f>IF($C248="","",ROW()-5)</f>
      </c>
      <c r="B248" s="245"/>
      <c r="C248" s="246"/>
      <c r="D248" s="247"/>
      <c r="E248" s="247"/>
      <c r="F248" s="246"/>
      <c r="G248" s="216"/>
      <c r="H248" s="218"/>
      <c r="I248" s="218"/>
      <c r="J248" s="248"/>
      <c r="K248" s="225">
        <f>IF(AND($C248&lt;&gt;"",$G248&lt;&gt;"Đã phản hồi"),COUNTIFS($C$6:$C248,"?*",$G$6:$G248,"&lt;&gt;Đã phản hồi"),"")</f>
      </c>
    </row>
    <row r="249">
      <c r="A249" s="223">
        <f>IF($C249="","",ROW()-5)</f>
      </c>
      <c r="B249" s="245"/>
      <c r="C249" s="246"/>
      <c r="D249" s="247"/>
      <c r="E249" s="247"/>
      <c r="F249" s="246"/>
      <c r="G249" s="216"/>
      <c r="H249" s="218"/>
      <c r="I249" s="218"/>
      <c r="J249" s="248"/>
      <c r="K249" s="225">
        <f>IF(AND($C249&lt;&gt;"",$G249&lt;&gt;"Đã phản hồi"),COUNTIFS($C$6:$C249,"?*",$G$6:$G249,"&lt;&gt;Đã phản hồi"),"")</f>
      </c>
    </row>
    <row r="250">
      <c r="A250" s="223">
        <f>IF($C250="","",ROW()-5)</f>
      </c>
      <c r="B250" s="245"/>
      <c r="C250" s="246"/>
      <c r="D250" s="247"/>
      <c r="E250" s="247"/>
      <c r="F250" s="246"/>
      <c r="G250" s="216"/>
      <c r="H250" s="218"/>
      <c r="I250" s="218"/>
      <c r="J250" s="248"/>
      <c r="K250" s="225">
        <f>IF(AND($C250&lt;&gt;"",$G250&lt;&gt;"Đã phản hồi"),COUNTIFS($C$6:$C250,"?*",$G$6:$G250,"&lt;&gt;Đã phản hồi"),"")</f>
      </c>
    </row>
    <row r="251">
      <c r="A251" s="223">
        <f>IF($C251="","",ROW()-5)</f>
      </c>
      <c r="B251" s="245"/>
      <c r="C251" s="246"/>
      <c r="D251" s="247"/>
      <c r="E251" s="247"/>
      <c r="F251" s="246"/>
      <c r="G251" s="216"/>
      <c r="H251" s="218"/>
      <c r="I251" s="218"/>
      <c r="J251" s="248"/>
      <c r="K251" s="225">
        <f>IF(AND($C251&lt;&gt;"",$G251&lt;&gt;"Đã phản hồi"),COUNTIFS($C$6:$C251,"?*",$G$6:$G251,"&lt;&gt;Đã phản hồi"),"")</f>
      </c>
    </row>
    <row r="252">
      <c r="A252" s="223">
        <f>IF($C252="","",ROW()-5)</f>
      </c>
      <c r="B252" s="245"/>
      <c r="C252" s="246"/>
      <c r="D252" s="247"/>
      <c r="E252" s="247"/>
      <c r="F252" s="246"/>
      <c r="G252" s="216"/>
      <c r="H252" s="218"/>
      <c r="I252" s="218"/>
      <c r="J252" s="248"/>
      <c r="K252" s="225">
        <f>IF(AND($C252&lt;&gt;"",$G252&lt;&gt;"Đã phản hồi"),COUNTIFS($C$6:$C252,"?*",$G$6:$G252,"&lt;&gt;Đã phản hồi"),"")</f>
      </c>
    </row>
    <row r="253">
      <c r="A253" s="223">
        <f>IF($C253="","",ROW()-5)</f>
      </c>
      <c r="B253" s="245"/>
      <c r="C253" s="246"/>
      <c r="D253" s="247"/>
      <c r="E253" s="247"/>
      <c r="F253" s="246"/>
      <c r="G253" s="216"/>
      <c r="H253" s="218"/>
      <c r="I253" s="218"/>
      <c r="J253" s="248"/>
      <c r="K253" s="225">
        <f>IF(AND($C253&lt;&gt;"",$G253&lt;&gt;"Đã phản hồi"),COUNTIFS($C$6:$C253,"?*",$G$6:$G253,"&lt;&gt;Đã phản hồi"),"")</f>
      </c>
    </row>
    <row r="254">
      <c r="A254" s="223">
        <f>IF($C254="","",ROW()-5)</f>
      </c>
      <c r="B254" s="245"/>
      <c r="C254" s="246"/>
      <c r="D254" s="247"/>
      <c r="E254" s="247"/>
      <c r="F254" s="246"/>
      <c r="G254" s="216"/>
      <c r="H254" s="218"/>
      <c r="I254" s="218"/>
      <c r="J254" s="248"/>
      <c r="K254" s="225">
        <f>IF(AND($C254&lt;&gt;"",$G254&lt;&gt;"Đã phản hồi"),COUNTIFS($C$6:$C254,"?*",$G$6:$G254,"&lt;&gt;Đã phản hồi"),"")</f>
      </c>
    </row>
    <row r="255">
      <c r="A255" s="223">
        <f>IF($C255="","",ROW()-5)</f>
      </c>
      <c r="B255" s="245"/>
      <c r="C255" s="246"/>
      <c r="D255" s="247"/>
      <c r="E255" s="247"/>
      <c r="F255" s="246"/>
      <c r="G255" s="216"/>
      <c r="H255" s="218"/>
      <c r="I255" s="218"/>
      <c r="J255" s="248"/>
      <c r="K255" s="225">
        <f>IF(AND($C255&lt;&gt;"",$G255&lt;&gt;"Đã phản hồi"),COUNTIFS($C$6:$C255,"?*",$G$6:$G255,"&lt;&gt;Đã phản hồi"),"")</f>
      </c>
    </row>
    <row r="256">
      <c r="A256" s="223">
        <f>IF($C256="","",ROW()-5)</f>
      </c>
      <c r="B256" s="245"/>
      <c r="C256" s="246"/>
      <c r="D256" s="247"/>
      <c r="E256" s="247"/>
      <c r="F256" s="246"/>
      <c r="G256" s="216"/>
      <c r="H256" s="218"/>
      <c r="I256" s="218"/>
      <c r="J256" s="248"/>
      <c r="K256" s="225">
        <f>IF(AND($C256&lt;&gt;"",$G256&lt;&gt;"Đã phản hồi"),COUNTIFS($C$6:$C256,"?*",$G$6:$G256,"&lt;&gt;Đã phản hồi"),"")</f>
      </c>
    </row>
    <row r="257">
      <c r="A257" s="223">
        <f>IF($C257="","",ROW()-5)</f>
      </c>
      <c r="B257" s="245"/>
      <c r="C257" s="246"/>
      <c r="D257" s="247"/>
      <c r="E257" s="247"/>
      <c r="F257" s="246"/>
      <c r="G257" s="216"/>
      <c r="H257" s="218"/>
      <c r="I257" s="218"/>
      <c r="J257" s="248"/>
      <c r="K257" s="225">
        <f>IF(AND($C257&lt;&gt;"",$G257&lt;&gt;"Đã phản hồi"),COUNTIFS($C$6:$C257,"?*",$G$6:$G257,"&lt;&gt;Đã phản hồi"),"")</f>
      </c>
    </row>
    <row r="258">
      <c r="A258" s="223">
        <f>IF($C258="","",ROW()-5)</f>
      </c>
      <c r="B258" s="245"/>
      <c r="C258" s="246"/>
      <c r="D258" s="247"/>
      <c r="E258" s="247"/>
      <c r="F258" s="246"/>
      <c r="G258" s="216"/>
      <c r="H258" s="218"/>
      <c r="I258" s="218"/>
      <c r="J258" s="248"/>
      <c r="K258" s="225">
        <f>IF(AND($C258&lt;&gt;"",$G258&lt;&gt;"Đã phản hồi"),COUNTIFS($C$6:$C258,"?*",$G$6:$G258,"&lt;&gt;Đã phản hồi"),"")</f>
      </c>
    </row>
    <row r="259">
      <c r="A259" s="223">
        <f>IF($C259="","",ROW()-5)</f>
      </c>
      <c r="B259" s="245"/>
      <c r="C259" s="246"/>
      <c r="D259" s="247"/>
      <c r="E259" s="247"/>
      <c r="F259" s="246"/>
      <c r="G259" s="216"/>
      <c r="H259" s="218"/>
      <c r="I259" s="218"/>
      <c r="J259" s="248"/>
      <c r="K259" s="225">
        <f>IF(AND($C259&lt;&gt;"",$G259&lt;&gt;"Đã phản hồi"),COUNTIFS($C$6:$C259,"?*",$G$6:$G259,"&lt;&gt;Đã phản hồi"),"")</f>
      </c>
    </row>
    <row r="260">
      <c r="A260" s="223">
        <f>IF($C260="","",ROW()-5)</f>
      </c>
      <c r="B260" s="245"/>
      <c r="C260" s="246"/>
      <c r="D260" s="247"/>
      <c r="E260" s="247"/>
      <c r="F260" s="246"/>
      <c r="G260" s="216"/>
      <c r="H260" s="218"/>
      <c r="I260" s="218"/>
      <c r="J260" s="248"/>
      <c r="K260" s="225">
        <f>IF(AND($C260&lt;&gt;"",$G260&lt;&gt;"Đã phản hồi"),COUNTIFS($C$6:$C260,"?*",$G$6:$G260,"&lt;&gt;Đã phản hồi"),"")</f>
      </c>
    </row>
    <row r="261">
      <c r="A261" s="223">
        <f>IF($C261="","",ROW()-5)</f>
      </c>
      <c r="B261" s="245"/>
      <c r="C261" s="246"/>
      <c r="D261" s="247"/>
      <c r="E261" s="247"/>
      <c r="F261" s="246"/>
      <c r="G261" s="216"/>
      <c r="H261" s="218"/>
      <c r="I261" s="218"/>
      <c r="J261" s="248"/>
      <c r="K261" s="225">
        <f>IF(AND($C261&lt;&gt;"",$G261&lt;&gt;"Đã phản hồi"),COUNTIFS($C$6:$C261,"?*",$G$6:$G261,"&lt;&gt;Đã phản hồi"),"")</f>
      </c>
    </row>
    <row r="262">
      <c r="A262" s="223">
        <f>IF($C262="","",ROW()-5)</f>
      </c>
      <c r="B262" s="245"/>
      <c r="C262" s="246"/>
      <c r="D262" s="247"/>
      <c r="E262" s="247"/>
      <c r="F262" s="246"/>
      <c r="G262" s="216"/>
      <c r="H262" s="218"/>
      <c r="I262" s="218"/>
      <c r="J262" s="248"/>
      <c r="K262" s="225">
        <f>IF(AND($C262&lt;&gt;"",$G262&lt;&gt;"Đã phản hồi"),COUNTIFS($C$6:$C262,"?*",$G$6:$G262,"&lt;&gt;Đã phản hồi"),"")</f>
      </c>
    </row>
    <row r="263">
      <c r="A263" s="223">
        <f>IF($C263="","",ROW()-5)</f>
      </c>
      <c r="B263" s="245"/>
      <c r="C263" s="246"/>
      <c r="D263" s="247"/>
      <c r="E263" s="247"/>
      <c r="F263" s="246"/>
      <c r="G263" s="216"/>
      <c r="H263" s="218"/>
      <c r="I263" s="218"/>
      <c r="J263" s="248"/>
      <c r="K263" s="225">
        <f>IF(AND($C263&lt;&gt;"",$G263&lt;&gt;"Đã phản hồi"),COUNTIFS($C$6:$C263,"?*",$G$6:$G263,"&lt;&gt;Đã phản hồi"),"")</f>
      </c>
    </row>
    <row r="264">
      <c r="A264" s="223">
        <f>IF($C264="","",ROW()-5)</f>
      </c>
      <c r="B264" s="245"/>
      <c r="C264" s="246"/>
      <c r="D264" s="247"/>
      <c r="E264" s="247"/>
      <c r="F264" s="246"/>
      <c r="G264" s="216"/>
      <c r="H264" s="218"/>
      <c r="I264" s="218"/>
      <c r="J264" s="248"/>
      <c r="K264" s="225">
        <f>IF(AND($C264&lt;&gt;"",$G264&lt;&gt;"Đã phản hồi"),COUNTIFS($C$6:$C264,"?*",$G$6:$G264,"&lt;&gt;Đã phản hồi"),"")</f>
      </c>
    </row>
    <row r="265">
      <c r="A265" s="223">
        <f>IF($C265="","",ROW()-5)</f>
      </c>
      <c r="B265" s="245"/>
      <c r="C265" s="246"/>
      <c r="D265" s="247"/>
      <c r="E265" s="247"/>
      <c r="F265" s="246"/>
      <c r="G265" s="216"/>
      <c r="H265" s="218"/>
      <c r="I265" s="218"/>
      <c r="J265" s="248"/>
      <c r="K265" s="225">
        <f>IF(AND($C265&lt;&gt;"",$G265&lt;&gt;"Đã phản hồi"),COUNTIFS($C$6:$C265,"?*",$G$6:$G265,"&lt;&gt;Đã phản hồi"),"")</f>
      </c>
    </row>
    <row r="266">
      <c r="A266" s="223">
        <f>IF($C266="","",ROW()-5)</f>
      </c>
      <c r="B266" s="245"/>
      <c r="C266" s="246"/>
      <c r="D266" s="247"/>
      <c r="E266" s="247"/>
      <c r="F266" s="246"/>
      <c r="G266" s="216"/>
      <c r="H266" s="218"/>
      <c r="I266" s="218"/>
      <c r="J266" s="248"/>
      <c r="K266" s="225">
        <f>IF(AND($C266&lt;&gt;"",$G266&lt;&gt;"Đã phản hồi"),COUNTIFS($C$6:$C266,"?*",$G$6:$G266,"&lt;&gt;Đã phản hồi"),"")</f>
      </c>
    </row>
    <row r="267">
      <c r="A267" s="223">
        <f>IF($C267="","",ROW()-5)</f>
      </c>
      <c r="B267" s="245"/>
      <c r="C267" s="246"/>
      <c r="D267" s="247"/>
      <c r="E267" s="247"/>
      <c r="F267" s="246"/>
      <c r="G267" s="216"/>
      <c r="H267" s="218"/>
      <c r="I267" s="218"/>
      <c r="J267" s="248"/>
      <c r="K267" s="225">
        <f>IF(AND($C267&lt;&gt;"",$G267&lt;&gt;"Đã phản hồi"),COUNTIFS($C$6:$C267,"?*",$G$6:$G267,"&lt;&gt;Đã phản hồi"),"")</f>
      </c>
    </row>
    <row r="268">
      <c r="A268" s="223">
        <f>IF($C268="","",ROW()-5)</f>
      </c>
      <c r="B268" s="245"/>
      <c r="C268" s="246"/>
      <c r="D268" s="247"/>
      <c r="E268" s="247"/>
      <c r="F268" s="246"/>
      <c r="G268" s="216"/>
      <c r="H268" s="218"/>
      <c r="I268" s="218"/>
      <c r="J268" s="248"/>
      <c r="K268" s="225">
        <f>IF(AND($C268&lt;&gt;"",$G268&lt;&gt;"Đã phản hồi"),COUNTIFS($C$6:$C268,"?*",$G$6:$G268,"&lt;&gt;Đã phản hồi"),"")</f>
      </c>
    </row>
    <row r="269">
      <c r="A269" s="223">
        <f>IF($C269="","",ROW()-5)</f>
      </c>
      <c r="B269" s="245"/>
      <c r="C269" s="246"/>
      <c r="D269" s="247"/>
      <c r="E269" s="247"/>
      <c r="F269" s="246"/>
      <c r="G269" s="216"/>
      <c r="H269" s="218"/>
      <c r="I269" s="218"/>
      <c r="J269" s="248"/>
      <c r="K269" s="225">
        <f>IF(AND($C269&lt;&gt;"",$G269&lt;&gt;"Đã phản hồi"),COUNTIFS($C$6:$C269,"?*",$G$6:$G269,"&lt;&gt;Đã phản hồi"),"")</f>
      </c>
    </row>
    <row r="270">
      <c r="A270" s="223">
        <f>IF($C270="","",ROW()-5)</f>
      </c>
      <c r="B270" s="245"/>
      <c r="C270" s="246"/>
      <c r="D270" s="247"/>
      <c r="E270" s="247"/>
      <c r="F270" s="246"/>
      <c r="G270" s="216"/>
      <c r="H270" s="218"/>
      <c r="I270" s="218"/>
      <c r="J270" s="248"/>
      <c r="K270" s="225">
        <f>IF(AND($C270&lt;&gt;"",$G270&lt;&gt;"Đã phản hồi"),COUNTIFS($C$6:$C270,"?*",$G$6:$G270,"&lt;&gt;Đã phản hồi"),"")</f>
      </c>
    </row>
    <row r="271">
      <c r="A271" s="223">
        <f>IF($C271="","",ROW()-5)</f>
      </c>
      <c r="B271" s="245"/>
      <c r="C271" s="246"/>
      <c r="D271" s="247"/>
      <c r="E271" s="247"/>
      <c r="F271" s="246"/>
      <c r="G271" s="216"/>
      <c r="H271" s="218"/>
      <c r="I271" s="218"/>
      <c r="J271" s="248"/>
      <c r="K271" s="225">
        <f>IF(AND($C271&lt;&gt;"",$G271&lt;&gt;"Đã phản hồi"),COUNTIFS($C$6:$C271,"?*",$G$6:$G271,"&lt;&gt;Đã phản hồi"),"")</f>
      </c>
    </row>
    <row r="272">
      <c r="A272" s="223">
        <f>IF($C272="","",ROW()-5)</f>
      </c>
      <c r="B272" s="245"/>
      <c r="C272" s="246"/>
      <c r="D272" s="247"/>
      <c r="E272" s="247"/>
      <c r="F272" s="246"/>
      <c r="G272" s="216"/>
      <c r="H272" s="218"/>
      <c r="I272" s="218"/>
      <c r="J272" s="248"/>
      <c r="K272" s="225">
        <f>IF(AND($C272&lt;&gt;"",$G272&lt;&gt;"Đã phản hồi"),COUNTIFS($C$6:$C272,"?*",$G$6:$G272,"&lt;&gt;Đã phản hồi"),"")</f>
      </c>
    </row>
    <row r="273">
      <c r="A273" s="223">
        <f>IF($C273="","",ROW()-5)</f>
      </c>
      <c r="B273" s="245"/>
      <c r="C273" s="246"/>
      <c r="D273" s="247"/>
      <c r="E273" s="247"/>
      <c r="F273" s="246"/>
      <c r="G273" s="216"/>
      <c r="H273" s="218"/>
      <c r="I273" s="218"/>
      <c r="J273" s="248"/>
      <c r="K273" s="225">
        <f>IF(AND($C273&lt;&gt;"",$G273&lt;&gt;"Đã phản hồi"),COUNTIFS($C$6:$C273,"?*",$G$6:$G273,"&lt;&gt;Đã phản hồi"),"")</f>
      </c>
    </row>
    <row r="274">
      <c r="A274" s="223">
        <f>IF($C274="","",ROW()-5)</f>
      </c>
      <c r="B274" s="245"/>
      <c r="C274" s="246"/>
      <c r="D274" s="247"/>
      <c r="E274" s="247"/>
      <c r="F274" s="246"/>
      <c r="G274" s="216"/>
      <c r="H274" s="218"/>
      <c r="I274" s="218"/>
      <c r="J274" s="248"/>
      <c r="K274" s="225">
        <f>IF(AND($C274&lt;&gt;"",$G274&lt;&gt;"Đã phản hồi"),COUNTIFS($C$6:$C274,"?*",$G$6:$G274,"&lt;&gt;Đã phản hồi"),"")</f>
      </c>
    </row>
    <row r="275">
      <c r="A275" s="223">
        <f>IF($C275="","",ROW()-5)</f>
      </c>
      <c r="B275" s="245"/>
      <c r="C275" s="246"/>
      <c r="D275" s="247"/>
      <c r="E275" s="247"/>
      <c r="F275" s="246"/>
      <c r="G275" s="216"/>
      <c r="H275" s="218"/>
      <c r="I275" s="218"/>
      <c r="J275" s="248"/>
      <c r="K275" s="225">
        <f>IF(AND($C275&lt;&gt;"",$G275&lt;&gt;"Đã phản hồi"),COUNTIFS($C$6:$C275,"?*",$G$6:$G275,"&lt;&gt;Đã phản hồi"),"")</f>
      </c>
    </row>
    <row r="276">
      <c r="A276" s="223">
        <f>IF($C276="","",ROW()-5)</f>
      </c>
      <c r="B276" s="245"/>
      <c r="C276" s="246"/>
      <c r="D276" s="247"/>
      <c r="E276" s="247"/>
      <c r="F276" s="246"/>
      <c r="G276" s="216"/>
      <c r="H276" s="218"/>
      <c r="I276" s="218"/>
      <c r="J276" s="248"/>
      <c r="K276" s="225">
        <f>IF(AND($C276&lt;&gt;"",$G276&lt;&gt;"Đã phản hồi"),COUNTIFS($C$6:$C276,"?*",$G$6:$G276,"&lt;&gt;Đã phản hồi"),"")</f>
      </c>
    </row>
    <row r="277">
      <c r="A277" s="223">
        <f>IF($C277="","",ROW()-5)</f>
      </c>
      <c r="B277" s="245"/>
      <c r="C277" s="246"/>
      <c r="D277" s="247"/>
      <c r="E277" s="247"/>
      <c r="F277" s="246"/>
      <c r="G277" s="216"/>
      <c r="H277" s="218"/>
      <c r="I277" s="218"/>
      <c r="J277" s="248"/>
      <c r="K277" s="225">
        <f>IF(AND($C277&lt;&gt;"",$G277&lt;&gt;"Đã phản hồi"),COUNTIFS($C$6:$C277,"?*",$G$6:$G277,"&lt;&gt;Đã phản hồi"),"")</f>
      </c>
    </row>
    <row r="278">
      <c r="A278" s="223">
        <f>IF($C278="","",ROW()-5)</f>
      </c>
      <c r="B278" s="245"/>
      <c r="C278" s="246"/>
      <c r="D278" s="247"/>
      <c r="E278" s="247"/>
      <c r="F278" s="246"/>
      <c r="G278" s="216"/>
      <c r="H278" s="218"/>
      <c r="I278" s="218"/>
      <c r="J278" s="248"/>
      <c r="K278" s="225">
        <f>IF(AND($C278&lt;&gt;"",$G278&lt;&gt;"Đã phản hồi"),COUNTIFS($C$6:$C278,"?*",$G$6:$G278,"&lt;&gt;Đã phản hồi"),"")</f>
      </c>
    </row>
    <row r="279">
      <c r="A279" s="223">
        <f>IF($C279="","",ROW()-5)</f>
      </c>
      <c r="B279" s="245"/>
      <c r="C279" s="246"/>
      <c r="D279" s="247"/>
      <c r="E279" s="247"/>
      <c r="F279" s="246"/>
      <c r="G279" s="216"/>
      <c r="H279" s="218"/>
      <c r="I279" s="218"/>
      <c r="J279" s="248"/>
      <c r="K279" s="225">
        <f>IF(AND($C279&lt;&gt;"",$G279&lt;&gt;"Đã phản hồi"),COUNTIFS($C$6:$C279,"?*",$G$6:$G279,"&lt;&gt;Đã phản hồi"),"")</f>
      </c>
    </row>
    <row r="280">
      <c r="A280" s="223">
        <f>IF($C280="","",ROW()-5)</f>
      </c>
      <c r="B280" s="245"/>
      <c r="C280" s="246"/>
      <c r="D280" s="247"/>
      <c r="E280" s="247"/>
      <c r="F280" s="246"/>
      <c r="G280" s="216"/>
      <c r="H280" s="218"/>
      <c r="I280" s="218"/>
      <c r="J280" s="248"/>
      <c r="K280" s="225">
        <f>IF(AND($C280&lt;&gt;"",$G280&lt;&gt;"Đã phản hồi"),COUNTIFS($C$6:$C280,"?*",$G$6:$G280,"&lt;&gt;Đã phản hồi"),"")</f>
      </c>
    </row>
    <row r="281">
      <c r="A281" s="223">
        <f>IF($C281="","",ROW()-5)</f>
      </c>
      <c r="B281" s="245"/>
      <c r="C281" s="246"/>
      <c r="D281" s="247"/>
      <c r="E281" s="247"/>
      <c r="F281" s="246"/>
      <c r="G281" s="216"/>
      <c r="H281" s="218"/>
      <c r="I281" s="218"/>
      <c r="J281" s="248"/>
      <c r="K281" s="225">
        <f>IF(AND($C281&lt;&gt;"",$G281&lt;&gt;"Đã phản hồi"),COUNTIFS($C$6:$C281,"?*",$G$6:$G281,"&lt;&gt;Đã phản hồi"),"")</f>
      </c>
    </row>
    <row r="282">
      <c r="A282" s="223">
        <f>IF($C282="","",ROW()-5)</f>
      </c>
      <c r="B282" s="245"/>
      <c r="C282" s="246"/>
      <c r="D282" s="247"/>
      <c r="E282" s="247"/>
      <c r="F282" s="246"/>
      <c r="G282" s="216"/>
      <c r="H282" s="218"/>
      <c r="I282" s="218"/>
      <c r="J282" s="248"/>
      <c r="K282" s="225">
        <f>IF(AND($C282&lt;&gt;"",$G282&lt;&gt;"Đã phản hồi"),COUNTIFS($C$6:$C282,"?*",$G$6:$G282,"&lt;&gt;Đã phản hồi"),"")</f>
      </c>
    </row>
    <row r="283">
      <c r="A283" s="223">
        <f>IF($C283="","",ROW()-5)</f>
      </c>
      <c r="B283" s="245"/>
      <c r="C283" s="246"/>
      <c r="D283" s="247"/>
      <c r="E283" s="247"/>
      <c r="F283" s="246"/>
      <c r="G283" s="216"/>
      <c r="H283" s="218"/>
      <c r="I283" s="218"/>
      <c r="J283" s="248"/>
      <c r="K283" s="225">
        <f>IF(AND($C283&lt;&gt;"",$G283&lt;&gt;"Đã phản hồi"),COUNTIFS($C$6:$C283,"?*",$G$6:$G283,"&lt;&gt;Đã phản hồi"),"")</f>
      </c>
    </row>
    <row r="284">
      <c r="A284" s="223">
        <f>IF($C284="","",ROW()-5)</f>
      </c>
      <c r="B284" s="245"/>
      <c r="C284" s="246"/>
      <c r="D284" s="247"/>
      <c r="E284" s="247"/>
      <c r="F284" s="246"/>
      <c r="G284" s="216"/>
      <c r="H284" s="218"/>
      <c r="I284" s="218"/>
      <c r="J284" s="248"/>
      <c r="K284" s="225">
        <f>IF(AND($C284&lt;&gt;"",$G284&lt;&gt;"Đã phản hồi"),COUNTIFS($C$6:$C284,"?*",$G$6:$G284,"&lt;&gt;Đã phản hồi"),"")</f>
      </c>
    </row>
    <row r="285">
      <c r="A285" s="223">
        <f>IF($C285="","",ROW()-5)</f>
      </c>
      <c r="B285" s="245"/>
      <c r="C285" s="246"/>
      <c r="D285" s="247"/>
      <c r="E285" s="247"/>
      <c r="F285" s="246"/>
      <c r="G285" s="216"/>
      <c r="H285" s="218"/>
      <c r="I285" s="218"/>
      <c r="J285" s="248"/>
      <c r="K285" s="225">
        <f>IF(AND($C285&lt;&gt;"",$G285&lt;&gt;"Đã phản hồi"),COUNTIFS($C$6:$C285,"?*",$G$6:$G285,"&lt;&gt;Đã phản hồi"),"")</f>
      </c>
    </row>
    <row r="286">
      <c r="A286" s="223">
        <f>IF($C286="","",ROW()-5)</f>
      </c>
      <c r="B286" s="245"/>
      <c r="C286" s="246"/>
      <c r="D286" s="247"/>
      <c r="E286" s="247"/>
      <c r="F286" s="246"/>
      <c r="G286" s="216"/>
      <c r="H286" s="218"/>
      <c r="I286" s="218"/>
      <c r="J286" s="248"/>
      <c r="K286" s="225">
        <f>IF(AND($C286&lt;&gt;"",$G286&lt;&gt;"Đã phản hồi"),COUNTIFS($C$6:$C286,"?*",$G$6:$G286,"&lt;&gt;Đã phản hồi"),"")</f>
      </c>
    </row>
    <row r="287">
      <c r="A287" s="223">
        <f>IF($C287="","",ROW()-5)</f>
      </c>
      <c r="B287" s="245"/>
      <c r="C287" s="246"/>
      <c r="D287" s="247"/>
      <c r="E287" s="247"/>
      <c r="F287" s="246"/>
      <c r="G287" s="216"/>
      <c r="H287" s="218"/>
      <c r="I287" s="218"/>
      <c r="J287" s="248"/>
      <c r="K287" s="225">
        <f>IF(AND($C287&lt;&gt;"",$G287&lt;&gt;"Đã phản hồi"),COUNTIFS($C$6:$C287,"?*",$G$6:$G287,"&lt;&gt;Đã phản hồi"),"")</f>
      </c>
    </row>
    <row r="288">
      <c r="A288" s="223">
        <f>IF($C288="","",ROW()-5)</f>
      </c>
      <c r="B288" s="245"/>
      <c r="C288" s="246"/>
      <c r="D288" s="247"/>
      <c r="E288" s="247"/>
      <c r="F288" s="246"/>
      <c r="G288" s="216"/>
      <c r="H288" s="218"/>
      <c r="I288" s="218"/>
      <c r="J288" s="248"/>
      <c r="K288" s="225">
        <f>IF(AND($C288&lt;&gt;"",$G288&lt;&gt;"Đã phản hồi"),COUNTIFS($C$6:$C288,"?*",$G$6:$G288,"&lt;&gt;Đã phản hồi"),"")</f>
      </c>
    </row>
    <row r="289">
      <c r="A289" s="223">
        <f>IF($C289="","",ROW()-5)</f>
      </c>
      <c r="B289" s="245"/>
      <c r="C289" s="246"/>
      <c r="D289" s="247"/>
      <c r="E289" s="247"/>
      <c r="F289" s="246"/>
      <c r="G289" s="216"/>
      <c r="H289" s="218"/>
      <c r="I289" s="218"/>
      <c r="J289" s="248"/>
      <c r="K289" s="225">
        <f>IF(AND($C289&lt;&gt;"",$G289&lt;&gt;"Đã phản hồi"),COUNTIFS($C$6:$C289,"?*",$G$6:$G289,"&lt;&gt;Đã phản hồi"),"")</f>
      </c>
    </row>
    <row r="290">
      <c r="A290" s="223">
        <f>IF($C290="","",ROW()-5)</f>
      </c>
      <c r="B290" s="245"/>
      <c r="C290" s="246"/>
      <c r="D290" s="247"/>
      <c r="E290" s="247"/>
      <c r="F290" s="246"/>
      <c r="G290" s="216"/>
      <c r="H290" s="218"/>
      <c r="I290" s="218"/>
      <c r="J290" s="248"/>
      <c r="K290" s="225">
        <f>IF(AND($C290&lt;&gt;"",$G290&lt;&gt;"Đã phản hồi"),COUNTIFS($C$6:$C290,"?*",$G$6:$G290,"&lt;&gt;Đã phản hồi"),"")</f>
      </c>
    </row>
    <row r="291">
      <c r="A291" s="223">
        <f>IF($C291="","",ROW()-5)</f>
      </c>
      <c r="B291" s="245"/>
      <c r="C291" s="246"/>
      <c r="D291" s="247"/>
      <c r="E291" s="247"/>
      <c r="F291" s="246"/>
      <c r="G291" s="216"/>
      <c r="H291" s="218"/>
      <c r="I291" s="218"/>
      <c r="J291" s="248"/>
      <c r="K291" s="225">
        <f>IF(AND($C291&lt;&gt;"",$G291&lt;&gt;"Đã phản hồi"),COUNTIFS($C$6:$C291,"?*",$G$6:$G291,"&lt;&gt;Đã phản hồi"),"")</f>
      </c>
    </row>
    <row r="292">
      <c r="A292" s="223">
        <f>IF($C292="","",ROW()-5)</f>
      </c>
      <c r="B292" s="245"/>
      <c r="C292" s="246"/>
      <c r="D292" s="247"/>
      <c r="E292" s="247"/>
      <c r="F292" s="246"/>
      <c r="G292" s="216"/>
      <c r="H292" s="218"/>
      <c r="I292" s="218"/>
      <c r="J292" s="248"/>
      <c r="K292" s="225">
        <f>IF(AND($C292&lt;&gt;"",$G292&lt;&gt;"Đã phản hồi"),COUNTIFS($C$6:$C292,"?*",$G$6:$G292,"&lt;&gt;Đã phản hồi"),"")</f>
      </c>
    </row>
    <row r="293">
      <c r="A293" s="223">
        <f>IF($C293="","",ROW()-5)</f>
      </c>
      <c r="B293" s="245"/>
      <c r="C293" s="246"/>
      <c r="D293" s="247"/>
      <c r="E293" s="247"/>
      <c r="F293" s="246"/>
      <c r="G293" s="216"/>
      <c r="H293" s="218"/>
      <c r="I293" s="218"/>
      <c r="J293" s="248"/>
      <c r="K293" s="225">
        <f>IF(AND($C293&lt;&gt;"",$G293&lt;&gt;"Đã phản hồi"),COUNTIFS($C$6:$C293,"?*",$G$6:$G293,"&lt;&gt;Đã phản hồi"),"")</f>
      </c>
    </row>
    <row r="294">
      <c r="A294" s="223">
        <f>IF($C294="","",ROW()-5)</f>
      </c>
      <c r="B294" s="245"/>
      <c r="C294" s="246"/>
      <c r="D294" s="247"/>
      <c r="E294" s="247"/>
      <c r="F294" s="246"/>
      <c r="G294" s="216"/>
      <c r="H294" s="218"/>
      <c r="I294" s="218"/>
      <c r="J294" s="248"/>
      <c r="K294" s="225">
        <f>IF(AND($C294&lt;&gt;"",$G294&lt;&gt;"Đã phản hồi"),COUNTIFS($C$6:$C294,"?*",$G$6:$G294,"&lt;&gt;Đã phản hồi"),"")</f>
      </c>
    </row>
    <row r="295">
      <c r="A295" s="223">
        <f>IF($C295="","",ROW()-5)</f>
      </c>
      <c r="B295" s="245"/>
      <c r="C295" s="246"/>
      <c r="D295" s="247"/>
      <c r="E295" s="247"/>
      <c r="F295" s="246"/>
      <c r="G295" s="216"/>
      <c r="H295" s="218"/>
      <c r="I295" s="218"/>
      <c r="J295" s="248"/>
      <c r="K295" s="225">
        <f>IF(AND($C295&lt;&gt;"",$G295&lt;&gt;"Đã phản hồi"),COUNTIFS($C$6:$C295,"?*",$G$6:$G295,"&lt;&gt;Đã phản hồi"),"")</f>
      </c>
    </row>
    <row r="296">
      <c r="A296" s="223">
        <f>IF($C296="","",ROW()-5)</f>
      </c>
      <c r="B296" s="245"/>
      <c r="C296" s="246"/>
      <c r="D296" s="247"/>
      <c r="E296" s="247"/>
      <c r="F296" s="246"/>
      <c r="G296" s="216"/>
      <c r="H296" s="218"/>
      <c r="I296" s="218"/>
      <c r="J296" s="248"/>
      <c r="K296" s="225">
        <f>IF(AND($C296&lt;&gt;"",$G296&lt;&gt;"Đã phản hồi"),COUNTIFS($C$6:$C296,"?*",$G$6:$G296,"&lt;&gt;Đã phản hồi"),"")</f>
      </c>
    </row>
    <row r="297">
      <c r="A297" s="223">
        <f>IF($C297="","",ROW()-5)</f>
      </c>
      <c r="B297" s="245"/>
      <c r="C297" s="246"/>
      <c r="D297" s="247"/>
      <c r="E297" s="247"/>
      <c r="F297" s="246"/>
      <c r="G297" s="216"/>
      <c r="H297" s="218"/>
      <c r="I297" s="218"/>
      <c r="J297" s="248"/>
      <c r="K297" s="225">
        <f>IF(AND($C297&lt;&gt;"",$G297&lt;&gt;"Đã phản hồi"),COUNTIFS($C$6:$C297,"?*",$G$6:$G297,"&lt;&gt;Đã phản hồi"),"")</f>
      </c>
    </row>
    <row r="298">
      <c r="A298" s="223">
        <f>IF($C298="","",ROW()-5)</f>
      </c>
      <c r="B298" s="245"/>
      <c r="C298" s="246"/>
      <c r="D298" s="247"/>
      <c r="E298" s="247"/>
      <c r="F298" s="246"/>
      <c r="G298" s="216"/>
      <c r="H298" s="218"/>
      <c r="I298" s="218"/>
      <c r="J298" s="248"/>
      <c r="K298" s="225">
        <f>IF(AND($C298&lt;&gt;"",$G298&lt;&gt;"Đã phản hồi"),COUNTIFS($C$6:$C298,"?*",$G$6:$G298,"&lt;&gt;Đã phản hồi"),"")</f>
      </c>
    </row>
    <row r="299">
      <c r="A299" s="223">
        <f>IF($C299="","",ROW()-5)</f>
      </c>
      <c r="B299" s="245"/>
      <c r="C299" s="246"/>
      <c r="D299" s="247"/>
      <c r="E299" s="247"/>
      <c r="F299" s="246"/>
      <c r="G299" s="216"/>
      <c r="H299" s="218"/>
      <c r="I299" s="218"/>
      <c r="J299" s="248"/>
      <c r="K299" s="225">
        <f>IF(AND($C299&lt;&gt;"",$G299&lt;&gt;"Đã phản hồi"),COUNTIFS($C$6:$C299,"?*",$G$6:$G299,"&lt;&gt;Đã phản hồi"),"")</f>
      </c>
    </row>
    <row r="300">
      <c r="A300" s="223">
        <f>IF($C300="","",ROW()-5)</f>
      </c>
      <c r="B300" s="245"/>
      <c r="C300" s="246"/>
      <c r="D300" s="247"/>
      <c r="E300" s="247"/>
      <c r="F300" s="246"/>
      <c r="G300" s="216"/>
      <c r="H300" s="218"/>
      <c r="I300" s="218"/>
      <c r="J300" s="248"/>
      <c r="K300" s="225">
        <f>IF(AND($C300&lt;&gt;"",$G300&lt;&gt;"Đã phản hồi"),COUNTIFS($C$6:$C300,"?*",$G$6:$G300,"&lt;&gt;Đã phản hồi"),"")</f>
      </c>
    </row>
    <row r="301">
      <c r="A301" s="223">
        <f>IF($C301="","",ROW()-5)</f>
      </c>
      <c r="B301" s="245"/>
      <c r="C301" s="246"/>
      <c r="D301" s="247"/>
      <c r="E301" s="247"/>
      <c r="F301" s="246"/>
      <c r="G301" s="216"/>
      <c r="H301" s="218"/>
      <c r="I301" s="218"/>
      <c r="J301" s="248"/>
      <c r="K301" s="225">
        <f>IF(AND($C301&lt;&gt;"",$G301&lt;&gt;"Đã phản hồi"),COUNTIFS($C$6:$C301,"?*",$G$6:$G301,"&lt;&gt;Đã phản hồi"),"")</f>
      </c>
    </row>
    <row r="302">
      <c r="A302" s="223">
        <f>IF($C302="","",ROW()-5)</f>
      </c>
      <c r="B302" s="245"/>
      <c r="C302" s="246"/>
      <c r="D302" s="247"/>
      <c r="E302" s="247"/>
      <c r="F302" s="246"/>
      <c r="G302" s="216"/>
      <c r="H302" s="218"/>
      <c r="I302" s="218"/>
      <c r="J302" s="248"/>
      <c r="K302" s="225">
        <f>IF(AND($C302&lt;&gt;"",$G302&lt;&gt;"Đã phản hồi"),COUNTIFS($C$6:$C302,"?*",$G$6:$G302,"&lt;&gt;Đã phản hồi"),"")</f>
      </c>
    </row>
    <row r="303">
      <c r="A303" s="223">
        <f>IF($C303="","",ROW()-5)</f>
      </c>
      <c r="B303" s="245"/>
      <c r="C303" s="246"/>
      <c r="D303" s="247"/>
      <c r="E303" s="247"/>
      <c r="F303" s="246"/>
      <c r="G303" s="216"/>
      <c r="H303" s="218"/>
      <c r="I303" s="218"/>
      <c r="J303" s="248"/>
      <c r="K303" s="225">
        <f>IF(AND($C303&lt;&gt;"",$G303&lt;&gt;"Đã phản hồi"),COUNTIFS($C$6:$C303,"?*",$G$6:$G303,"&lt;&gt;Đã phản hồi"),"")</f>
      </c>
    </row>
    <row r="304">
      <c r="A304" s="223">
        <f>IF($C304="","",ROW()-5)</f>
      </c>
      <c r="B304" s="245"/>
      <c r="C304" s="246"/>
      <c r="D304" s="247"/>
      <c r="E304" s="247"/>
      <c r="F304" s="246"/>
      <c r="G304" s="216"/>
      <c r="H304" s="218"/>
      <c r="I304" s="218"/>
      <c r="J304" s="248"/>
      <c r="K304" s="225">
        <f>IF(AND($C304&lt;&gt;"",$G304&lt;&gt;"Đã phản hồi"),COUNTIFS($C$6:$C304,"?*",$G$6:$G304,"&lt;&gt;Đã phản hồi"),"")</f>
      </c>
    </row>
    <row r="305">
      <c r="A305" s="223">
        <f>IF($C305="","",ROW()-5)</f>
      </c>
      <c r="B305" s="245"/>
      <c r="C305" s="246"/>
      <c r="D305" s="247"/>
      <c r="E305" s="247"/>
      <c r="F305" s="246"/>
      <c r="G305" s="216"/>
      <c r="H305" s="218"/>
      <c r="I305" s="218"/>
      <c r="J305" s="248"/>
      <c r="K305" s="225">
        <f>IF(AND($C305&lt;&gt;"",$G305&lt;&gt;"Đã phản hồi"),COUNTIFS($C$6:$C305,"?*",$G$6:$G305,"&lt;&gt;Đã phản hồi"),"")</f>
      </c>
    </row>
    <row r="306">
      <c r="A306" s="223">
        <f>IF($C306="","",ROW()-5)</f>
      </c>
      <c r="B306" s="245"/>
      <c r="C306" s="246"/>
      <c r="D306" s="247"/>
      <c r="E306" s="247"/>
      <c r="F306" s="246"/>
      <c r="G306" s="216"/>
      <c r="H306" s="218"/>
      <c r="I306" s="218"/>
      <c r="J306" s="248"/>
      <c r="K306" s="225">
        <f>IF(AND($C306&lt;&gt;"",$G306&lt;&gt;"Đã phản hồi"),COUNTIFS($C$6:$C306,"?*",$G$6:$G306,"&lt;&gt;Đã phản hồi"),"")</f>
      </c>
    </row>
    <row r="307">
      <c r="A307" s="223">
        <f>IF($C307="","",ROW()-5)</f>
      </c>
      <c r="B307" s="245"/>
      <c r="C307" s="246"/>
      <c r="D307" s="247"/>
      <c r="E307" s="247"/>
      <c r="F307" s="246"/>
      <c r="G307" s="216"/>
      <c r="H307" s="218"/>
      <c r="I307" s="218"/>
      <c r="J307" s="248"/>
      <c r="K307" s="225">
        <f>IF(AND($C307&lt;&gt;"",$G307&lt;&gt;"Đã phản hồi"),COUNTIFS($C$6:$C307,"?*",$G$6:$G307,"&lt;&gt;Đã phản hồi"),"")</f>
      </c>
    </row>
    <row r="308">
      <c r="A308" s="223">
        <f>IF($C308="","",ROW()-5)</f>
      </c>
      <c r="B308" s="245"/>
      <c r="C308" s="246"/>
      <c r="D308" s="247"/>
      <c r="E308" s="247"/>
      <c r="F308" s="246"/>
      <c r="G308" s="216"/>
      <c r="H308" s="218"/>
      <c r="I308" s="218"/>
      <c r="J308" s="248"/>
      <c r="K308" s="225">
        <f>IF(AND($C308&lt;&gt;"",$G308&lt;&gt;"Đã phản hồi"),COUNTIFS($C$6:$C308,"?*",$G$6:$G308,"&lt;&gt;Đã phản hồi"),"")</f>
      </c>
    </row>
    <row r="309">
      <c r="A309" s="223">
        <f>IF($C309="","",ROW()-5)</f>
      </c>
      <c r="B309" s="245"/>
      <c r="C309" s="246"/>
      <c r="D309" s="247"/>
      <c r="E309" s="247"/>
      <c r="F309" s="246"/>
      <c r="G309" s="216"/>
      <c r="H309" s="218"/>
      <c r="I309" s="218"/>
      <c r="J309" s="248"/>
      <c r="K309" s="225">
        <f>IF(AND($C309&lt;&gt;"",$G309&lt;&gt;"Đã phản hồi"),COUNTIFS($C$6:$C309,"?*",$G$6:$G309,"&lt;&gt;Đã phản hồi"),"")</f>
      </c>
    </row>
    <row r="310">
      <c r="A310" s="223">
        <f>IF($C310="","",ROW()-5)</f>
      </c>
      <c r="B310" s="245"/>
      <c r="C310" s="246"/>
      <c r="D310" s="247"/>
      <c r="E310" s="247"/>
      <c r="F310" s="246"/>
      <c r="G310" s="216"/>
      <c r="H310" s="218"/>
      <c r="I310" s="218"/>
      <c r="J310" s="248"/>
      <c r="K310" s="225">
        <f>IF(AND($C310&lt;&gt;"",$G310&lt;&gt;"Đã phản hồi"),COUNTIFS($C$6:$C310,"?*",$G$6:$G310,"&lt;&gt;Đã phản hồi"),"")</f>
      </c>
    </row>
    <row r="311">
      <c r="A311" s="223">
        <f>IF($C311="","",ROW()-5)</f>
      </c>
      <c r="B311" s="245"/>
      <c r="C311" s="246"/>
      <c r="D311" s="247"/>
      <c r="E311" s="247"/>
      <c r="F311" s="246"/>
      <c r="G311" s="216"/>
      <c r="H311" s="218"/>
      <c r="I311" s="218"/>
      <c r="J311" s="248"/>
      <c r="K311" s="225">
        <f>IF(AND($C311&lt;&gt;"",$G311&lt;&gt;"Đã phản hồi"),COUNTIFS($C$6:$C311,"?*",$G$6:$G311,"&lt;&gt;Đã phản hồi"),"")</f>
      </c>
    </row>
    <row r="312">
      <c r="A312" s="223">
        <f>IF($C312="","",ROW()-5)</f>
      </c>
      <c r="B312" s="245"/>
      <c r="C312" s="246"/>
      <c r="D312" s="247"/>
      <c r="E312" s="247"/>
      <c r="F312" s="246"/>
      <c r="G312" s="216"/>
      <c r="H312" s="218"/>
      <c r="I312" s="218"/>
      <c r="J312" s="248"/>
      <c r="K312" s="225">
        <f>IF(AND($C312&lt;&gt;"",$G312&lt;&gt;"Đã phản hồi"),COUNTIFS($C$6:$C312,"?*",$G$6:$G312,"&lt;&gt;Đã phản hồi"),"")</f>
      </c>
    </row>
    <row r="313">
      <c r="A313" s="223">
        <f>IF($C313="","",ROW()-5)</f>
      </c>
      <c r="B313" s="245"/>
      <c r="C313" s="246"/>
      <c r="D313" s="247"/>
      <c r="E313" s="247"/>
      <c r="F313" s="246"/>
      <c r="G313" s="216"/>
      <c r="H313" s="218"/>
      <c r="I313" s="218"/>
      <c r="J313" s="248"/>
      <c r="K313" s="225">
        <f>IF(AND($C313&lt;&gt;"",$G313&lt;&gt;"Đã phản hồi"),COUNTIFS($C$6:$C313,"?*",$G$6:$G313,"&lt;&gt;Đã phản hồi"),"")</f>
      </c>
    </row>
    <row r="314">
      <c r="A314" s="223">
        <f>IF($C314="","",ROW()-5)</f>
      </c>
      <c r="B314" s="245"/>
      <c r="C314" s="246"/>
      <c r="D314" s="247"/>
      <c r="E314" s="247"/>
      <c r="F314" s="246"/>
      <c r="G314" s="216"/>
      <c r="H314" s="218"/>
      <c r="I314" s="218"/>
      <c r="J314" s="248"/>
      <c r="K314" s="225">
        <f>IF(AND($C314&lt;&gt;"",$G314&lt;&gt;"Đã phản hồi"),COUNTIFS($C$6:$C314,"?*",$G$6:$G314,"&lt;&gt;Đã phản hồi"),"")</f>
      </c>
    </row>
    <row r="315">
      <c r="A315" s="223">
        <f>IF($C315="","",ROW()-5)</f>
      </c>
      <c r="B315" s="245"/>
      <c r="C315" s="246"/>
      <c r="D315" s="247"/>
      <c r="E315" s="247"/>
      <c r="F315" s="246"/>
      <c r="G315" s="216"/>
      <c r="H315" s="218"/>
      <c r="I315" s="218"/>
      <c r="J315" s="248"/>
      <c r="K315" s="225">
        <f>IF(AND($C315&lt;&gt;"",$G315&lt;&gt;"Đã phản hồi"),COUNTIFS($C$6:$C315,"?*",$G$6:$G315,"&lt;&gt;Đã phản hồi"),"")</f>
      </c>
    </row>
    <row r="316">
      <c r="A316" s="223">
        <f>IF($C316="","",ROW()-5)</f>
      </c>
      <c r="B316" s="245"/>
      <c r="C316" s="246"/>
      <c r="D316" s="247"/>
      <c r="E316" s="247"/>
      <c r="F316" s="246"/>
      <c r="G316" s="216"/>
      <c r="H316" s="218"/>
      <c r="I316" s="218"/>
      <c r="J316" s="248"/>
      <c r="K316" s="225">
        <f>IF(AND($C316&lt;&gt;"",$G316&lt;&gt;"Đã phản hồi"),COUNTIFS($C$6:$C316,"?*",$G$6:$G316,"&lt;&gt;Đã phản hồi"),"")</f>
      </c>
    </row>
    <row r="317">
      <c r="A317" s="223">
        <f>IF($C317="","",ROW()-5)</f>
      </c>
      <c r="B317" s="245"/>
      <c r="C317" s="246"/>
      <c r="D317" s="247"/>
      <c r="E317" s="247"/>
      <c r="F317" s="246"/>
      <c r="G317" s="216"/>
      <c r="H317" s="218"/>
      <c r="I317" s="218"/>
      <c r="J317" s="248"/>
      <c r="K317" s="225">
        <f>IF(AND($C317&lt;&gt;"",$G317&lt;&gt;"Đã phản hồi"),COUNTIFS($C$6:$C317,"?*",$G$6:$G317,"&lt;&gt;Đã phản hồi"),"")</f>
      </c>
    </row>
    <row r="318">
      <c r="A318" s="223">
        <f>IF($C318="","",ROW()-5)</f>
      </c>
      <c r="B318" s="245"/>
      <c r="C318" s="246"/>
      <c r="D318" s="247"/>
      <c r="E318" s="247"/>
      <c r="F318" s="246"/>
      <c r="G318" s="216"/>
      <c r="H318" s="218"/>
      <c r="I318" s="218"/>
      <c r="J318" s="248"/>
      <c r="K318" s="225">
        <f>IF(AND($C318&lt;&gt;"",$G318&lt;&gt;"Đã phản hồi"),COUNTIFS($C$6:$C318,"?*",$G$6:$G318,"&lt;&gt;Đã phản hồi"),"")</f>
      </c>
    </row>
    <row r="319">
      <c r="A319" s="223">
        <f>IF($C319="","",ROW()-5)</f>
      </c>
      <c r="B319" s="245"/>
      <c r="C319" s="246"/>
      <c r="D319" s="247"/>
      <c r="E319" s="247"/>
      <c r="F319" s="246"/>
      <c r="G319" s="216"/>
      <c r="H319" s="218"/>
      <c r="I319" s="218"/>
      <c r="J319" s="248"/>
      <c r="K319" s="225">
        <f>IF(AND($C319&lt;&gt;"",$G319&lt;&gt;"Đã phản hồi"),COUNTIFS($C$6:$C319,"?*",$G$6:$G319,"&lt;&gt;Đã phản hồi"),"")</f>
      </c>
    </row>
    <row r="320">
      <c r="A320" s="223">
        <f>IF($C320="","",ROW()-5)</f>
      </c>
      <c r="B320" s="245"/>
      <c r="C320" s="246"/>
      <c r="D320" s="247"/>
      <c r="E320" s="247"/>
      <c r="F320" s="246"/>
      <c r="G320" s="216"/>
      <c r="H320" s="218"/>
      <c r="I320" s="218"/>
      <c r="J320" s="248"/>
      <c r="K320" s="225">
        <f>IF(AND($C320&lt;&gt;"",$G320&lt;&gt;"Đã phản hồi"),COUNTIFS($C$6:$C320,"?*",$G$6:$G320,"&lt;&gt;Đã phản hồi"),"")</f>
      </c>
    </row>
    <row r="321">
      <c r="A321" s="223">
        <f>IF($C321="","",ROW()-5)</f>
      </c>
      <c r="B321" s="245"/>
      <c r="C321" s="246"/>
      <c r="D321" s="247"/>
      <c r="E321" s="247"/>
      <c r="F321" s="246"/>
      <c r="G321" s="216"/>
      <c r="H321" s="218"/>
      <c r="I321" s="218"/>
      <c r="J321" s="248"/>
      <c r="K321" s="225">
        <f>IF(AND($C321&lt;&gt;"",$G321&lt;&gt;"Đã phản hồi"),COUNTIFS($C$6:$C321,"?*",$G$6:$G321,"&lt;&gt;Đã phản hồi"),"")</f>
      </c>
    </row>
    <row r="322">
      <c r="A322" s="223">
        <f>IF($C322="","",ROW()-5)</f>
      </c>
      <c r="B322" s="245"/>
      <c r="C322" s="246"/>
      <c r="D322" s="247"/>
      <c r="E322" s="247"/>
      <c r="F322" s="246"/>
      <c r="G322" s="216"/>
      <c r="H322" s="218"/>
      <c r="I322" s="218"/>
      <c r="J322" s="248"/>
      <c r="K322" s="225">
        <f>IF(AND($C322&lt;&gt;"",$G322&lt;&gt;"Đã phản hồi"),COUNTIFS($C$6:$C322,"?*",$G$6:$G322,"&lt;&gt;Đã phản hồi"),"")</f>
      </c>
    </row>
    <row r="323">
      <c r="A323" s="223">
        <f>IF($C323="","",ROW()-5)</f>
      </c>
      <c r="B323" s="245"/>
      <c r="C323" s="246"/>
      <c r="D323" s="247"/>
      <c r="E323" s="247"/>
      <c r="F323" s="246"/>
      <c r="G323" s="216"/>
      <c r="H323" s="218"/>
      <c r="I323" s="218"/>
      <c r="J323" s="248"/>
      <c r="K323" s="225">
        <f>IF(AND($C323&lt;&gt;"",$G323&lt;&gt;"Đã phản hồi"),COUNTIFS($C$6:$C323,"?*",$G$6:$G323,"&lt;&gt;Đã phản hồi"),"")</f>
      </c>
    </row>
    <row r="324">
      <c r="A324" s="223">
        <f>IF($C324="","",ROW()-5)</f>
      </c>
      <c r="B324" s="245"/>
      <c r="C324" s="246"/>
      <c r="D324" s="247"/>
      <c r="E324" s="247"/>
      <c r="F324" s="246"/>
      <c r="G324" s="216"/>
      <c r="H324" s="218"/>
      <c r="I324" s="218"/>
      <c r="J324" s="248"/>
      <c r="K324" s="225">
        <f>IF(AND($C324&lt;&gt;"",$G324&lt;&gt;"Đã phản hồi"),COUNTIFS($C$6:$C324,"?*",$G$6:$G324,"&lt;&gt;Đã phản hồi"),"")</f>
      </c>
    </row>
    <row r="325">
      <c r="A325" s="223">
        <f>IF($C325="","",ROW()-5)</f>
      </c>
      <c r="B325" s="245"/>
      <c r="C325" s="246"/>
      <c r="D325" s="247"/>
      <c r="E325" s="247"/>
      <c r="F325" s="246"/>
      <c r="G325" s="216"/>
      <c r="H325" s="218"/>
      <c r="I325" s="218"/>
      <c r="J325" s="248"/>
      <c r="K325" s="225">
        <f>IF(AND($C325&lt;&gt;"",$G325&lt;&gt;"Đã phản hồi"),COUNTIFS($C$6:$C325,"?*",$G$6:$G325,"&lt;&gt;Đã phản hồi"),"")</f>
      </c>
    </row>
    <row r="326">
      <c r="A326" s="223">
        <f>IF($C326="","",ROW()-5)</f>
      </c>
      <c r="B326" s="245"/>
      <c r="C326" s="246"/>
      <c r="D326" s="247"/>
      <c r="E326" s="247"/>
      <c r="F326" s="246"/>
      <c r="G326" s="216"/>
      <c r="H326" s="218"/>
      <c r="I326" s="218"/>
      <c r="J326" s="248"/>
      <c r="K326" s="225">
        <f>IF(AND($C326&lt;&gt;"",$G326&lt;&gt;"Đã phản hồi"),COUNTIFS($C$6:$C326,"?*",$G$6:$G326,"&lt;&gt;Đã phản hồi"),"")</f>
      </c>
    </row>
    <row r="327">
      <c r="A327" s="223">
        <f>IF($C327="","",ROW()-5)</f>
      </c>
      <c r="B327" s="245"/>
      <c r="C327" s="246"/>
      <c r="D327" s="247"/>
      <c r="E327" s="247"/>
      <c r="F327" s="246"/>
      <c r="G327" s="216"/>
      <c r="H327" s="218"/>
      <c r="I327" s="218"/>
      <c r="J327" s="248"/>
      <c r="K327" s="225">
        <f>IF(AND($C327&lt;&gt;"",$G327&lt;&gt;"Đã phản hồi"),COUNTIFS($C$6:$C327,"?*",$G$6:$G327,"&lt;&gt;Đã phản hồi"),"")</f>
      </c>
    </row>
    <row r="328">
      <c r="A328" s="223">
        <f>IF($C328="","",ROW()-5)</f>
      </c>
      <c r="B328" s="245"/>
      <c r="C328" s="246"/>
      <c r="D328" s="247"/>
      <c r="E328" s="247"/>
      <c r="F328" s="246"/>
      <c r="G328" s="216"/>
      <c r="H328" s="218"/>
      <c r="I328" s="218"/>
      <c r="J328" s="248"/>
      <c r="K328" s="225">
        <f>IF(AND($C328&lt;&gt;"",$G328&lt;&gt;"Đã phản hồi"),COUNTIFS($C$6:$C328,"?*",$G$6:$G328,"&lt;&gt;Đã phản hồi"),"")</f>
      </c>
    </row>
    <row r="329">
      <c r="A329" s="223">
        <f>IF($C329="","",ROW()-5)</f>
      </c>
      <c r="B329" s="245"/>
      <c r="C329" s="246"/>
      <c r="D329" s="247"/>
      <c r="E329" s="247"/>
      <c r="F329" s="246"/>
      <c r="G329" s="216"/>
      <c r="H329" s="218"/>
      <c r="I329" s="218"/>
      <c r="J329" s="248"/>
      <c r="K329" s="225">
        <f>IF(AND($C329&lt;&gt;"",$G329&lt;&gt;"Đã phản hồi"),COUNTIFS($C$6:$C329,"?*",$G$6:$G329,"&lt;&gt;Đã phản hồi"),"")</f>
      </c>
    </row>
    <row r="330">
      <c r="A330" s="223">
        <f>IF($C330="","",ROW()-5)</f>
      </c>
      <c r="B330" s="245"/>
      <c r="C330" s="246"/>
      <c r="D330" s="247"/>
      <c r="E330" s="247"/>
      <c r="F330" s="246"/>
      <c r="G330" s="216"/>
      <c r="H330" s="218"/>
      <c r="I330" s="218"/>
      <c r="J330" s="248"/>
      <c r="K330" s="225">
        <f>IF(AND($C330&lt;&gt;"",$G330&lt;&gt;"Đã phản hồi"),COUNTIFS($C$6:$C330,"?*",$G$6:$G330,"&lt;&gt;Đã phản hồi"),"")</f>
      </c>
    </row>
    <row r="331">
      <c r="A331" s="223">
        <f>IF($C331="","",ROW()-5)</f>
      </c>
      <c r="B331" s="245"/>
      <c r="C331" s="246"/>
      <c r="D331" s="247"/>
      <c r="E331" s="247"/>
      <c r="F331" s="246"/>
      <c r="G331" s="216"/>
      <c r="H331" s="218"/>
      <c r="I331" s="218"/>
      <c r="J331" s="248"/>
      <c r="K331" s="225">
        <f>IF(AND($C331&lt;&gt;"",$G331&lt;&gt;"Đã phản hồi"),COUNTIFS($C$6:$C331,"?*",$G$6:$G331,"&lt;&gt;Đã phản hồi"),"")</f>
      </c>
    </row>
    <row r="332">
      <c r="A332" s="223">
        <f>IF($C332="","",ROW()-5)</f>
      </c>
      <c r="B332" s="245"/>
      <c r="C332" s="246"/>
      <c r="D332" s="247"/>
      <c r="E332" s="247"/>
      <c r="F332" s="246"/>
      <c r="G332" s="216"/>
      <c r="H332" s="218"/>
      <c r="I332" s="218"/>
      <c r="J332" s="248"/>
      <c r="K332" s="225">
        <f>IF(AND($C332&lt;&gt;"",$G332&lt;&gt;"Đã phản hồi"),COUNTIFS($C$6:$C332,"?*",$G$6:$G332,"&lt;&gt;Đã phản hồi"),"")</f>
      </c>
    </row>
    <row r="333">
      <c r="A333" s="223">
        <f>IF($C333="","",ROW()-5)</f>
      </c>
      <c r="B333" s="245"/>
      <c r="C333" s="246"/>
      <c r="D333" s="247"/>
      <c r="E333" s="247"/>
      <c r="F333" s="246"/>
      <c r="G333" s="216"/>
      <c r="H333" s="218"/>
      <c r="I333" s="218"/>
      <c r="J333" s="248"/>
      <c r="K333" s="225">
        <f>IF(AND($C333&lt;&gt;"",$G333&lt;&gt;"Đã phản hồi"),COUNTIFS($C$6:$C333,"?*",$G$6:$G333,"&lt;&gt;Đã phản hồi"),"")</f>
      </c>
    </row>
    <row r="334">
      <c r="A334" s="223">
        <f>IF($C334="","",ROW()-5)</f>
      </c>
      <c r="B334" s="245"/>
      <c r="C334" s="246"/>
      <c r="D334" s="247"/>
      <c r="E334" s="247"/>
      <c r="F334" s="246"/>
      <c r="G334" s="216"/>
      <c r="H334" s="218"/>
      <c r="I334" s="218"/>
      <c r="J334" s="248"/>
      <c r="K334" s="225">
        <f>IF(AND($C334&lt;&gt;"",$G334&lt;&gt;"Đã phản hồi"),COUNTIFS($C$6:$C334,"?*",$G$6:$G334,"&lt;&gt;Đã phản hồi"),"")</f>
      </c>
    </row>
    <row r="335">
      <c r="A335" s="223">
        <f>IF($C335="","",ROW()-5)</f>
      </c>
      <c r="B335" s="245"/>
      <c r="C335" s="246"/>
      <c r="D335" s="247"/>
      <c r="E335" s="247"/>
      <c r="F335" s="246"/>
      <c r="G335" s="216"/>
      <c r="H335" s="218"/>
      <c r="I335" s="218"/>
      <c r="J335" s="248"/>
      <c r="K335" s="225">
        <f>IF(AND($C335&lt;&gt;"",$G335&lt;&gt;"Đã phản hồi"),COUNTIFS($C$6:$C335,"?*",$G$6:$G335,"&lt;&gt;Đã phản hồi"),"")</f>
      </c>
    </row>
    <row r="336">
      <c r="A336" s="223">
        <f>IF($C336="","",ROW()-5)</f>
      </c>
      <c r="B336" s="245"/>
      <c r="C336" s="246"/>
      <c r="D336" s="247"/>
      <c r="E336" s="247"/>
      <c r="F336" s="246"/>
      <c r="G336" s="216"/>
      <c r="H336" s="218"/>
      <c r="I336" s="218"/>
      <c r="J336" s="248"/>
      <c r="K336" s="225">
        <f>IF(AND($C336&lt;&gt;"",$G336&lt;&gt;"Đã phản hồi"),COUNTIFS($C$6:$C336,"?*",$G$6:$G336,"&lt;&gt;Đã phản hồi"),"")</f>
      </c>
    </row>
    <row r="337">
      <c r="A337" s="223">
        <f>IF($C337="","",ROW()-5)</f>
      </c>
      <c r="B337" s="245"/>
      <c r="C337" s="246"/>
      <c r="D337" s="247"/>
      <c r="E337" s="247"/>
      <c r="F337" s="246"/>
      <c r="G337" s="216"/>
      <c r="H337" s="218"/>
      <c r="I337" s="218"/>
      <c r="J337" s="248"/>
      <c r="K337" s="225">
        <f>IF(AND($C337&lt;&gt;"",$G337&lt;&gt;"Đã phản hồi"),COUNTIFS($C$6:$C337,"?*",$G$6:$G337,"&lt;&gt;Đã phản hồi"),"")</f>
      </c>
    </row>
    <row r="338">
      <c r="A338" s="223">
        <f>IF($C338="","",ROW()-5)</f>
      </c>
      <c r="B338" s="245"/>
      <c r="C338" s="246"/>
      <c r="D338" s="247"/>
      <c r="E338" s="247"/>
      <c r="F338" s="246"/>
      <c r="G338" s="216"/>
      <c r="H338" s="218"/>
      <c r="I338" s="218"/>
      <c r="J338" s="248"/>
      <c r="K338" s="225">
        <f>IF(AND($C338&lt;&gt;"",$G338&lt;&gt;"Đã phản hồi"),COUNTIFS($C$6:$C338,"?*",$G$6:$G338,"&lt;&gt;Đã phản hồi"),"")</f>
      </c>
    </row>
    <row r="339">
      <c r="A339" s="223">
        <f>IF($C339="","",ROW()-5)</f>
      </c>
      <c r="B339" s="245"/>
      <c r="C339" s="246"/>
      <c r="D339" s="247"/>
      <c r="E339" s="247"/>
      <c r="F339" s="246"/>
      <c r="G339" s="216"/>
      <c r="H339" s="218"/>
      <c r="I339" s="218"/>
      <c r="J339" s="248"/>
      <c r="K339" s="225">
        <f>IF(AND($C339&lt;&gt;"",$G339&lt;&gt;"Đã phản hồi"),COUNTIFS($C$6:$C339,"?*",$G$6:$G339,"&lt;&gt;Đã phản hồi"),"")</f>
      </c>
    </row>
    <row r="340">
      <c r="A340" s="223">
        <f>IF($C340="","",ROW()-5)</f>
      </c>
      <c r="B340" s="245"/>
      <c r="C340" s="246"/>
      <c r="D340" s="247"/>
      <c r="E340" s="247"/>
      <c r="F340" s="246"/>
      <c r="G340" s="216"/>
      <c r="H340" s="218"/>
      <c r="I340" s="218"/>
      <c r="J340" s="248"/>
      <c r="K340" s="225">
        <f>IF(AND($C340&lt;&gt;"",$G340&lt;&gt;"Đã phản hồi"),COUNTIFS($C$6:$C340,"?*",$G$6:$G340,"&lt;&gt;Đã phản hồi"),"")</f>
      </c>
    </row>
    <row r="341">
      <c r="A341" s="223">
        <f>IF($C341="","",ROW()-5)</f>
      </c>
      <c r="B341" s="245"/>
      <c r="C341" s="246"/>
      <c r="D341" s="247"/>
      <c r="E341" s="247"/>
      <c r="F341" s="246"/>
      <c r="G341" s="216"/>
      <c r="H341" s="218"/>
      <c r="I341" s="218"/>
      <c r="J341" s="248"/>
      <c r="K341" s="225">
        <f>IF(AND($C341&lt;&gt;"",$G341&lt;&gt;"Đã phản hồi"),COUNTIFS($C$6:$C341,"?*",$G$6:$G341,"&lt;&gt;Đã phản hồi"),"")</f>
      </c>
    </row>
    <row r="342">
      <c r="A342" s="223">
        <f>IF($C342="","",ROW()-5)</f>
      </c>
      <c r="B342" s="245"/>
      <c r="C342" s="246"/>
      <c r="D342" s="247"/>
      <c r="E342" s="247"/>
      <c r="F342" s="246"/>
      <c r="G342" s="216"/>
      <c r="H342" s="218"/>
      <c r="I342" s="218"/>
      <c r="J342" s="248"/>
      <c r="K342" s="225">
        <f>IF(AND($C342&lt;&gt;"",$G342&lt;&gt;"Đã phản hồi"),COUNTIFS($C$6:$C342,"?*",$G$6:$G342,"&lt;&gt;Đã phản hồi"),"")</f>
      </c>
    </row>
    <row r="343">
      <c r="A343" s="223">
        <f>IF($C343="","",ROW()-5)</f>
      </c>
      <c r="B343" s="245"/>
      <c r="C343" s="246"/>
      <c r="D343" s="247"/>
      <c r="E343" s="247"/>
      <c r="F343" s="246"/>
      <c r="G343" s="216"/>
      <c r="H343" s="218"/>
      <c r="I343" s="218"/>
      <c r="J343" s="248"/>
      <c r="K343" s="225">
        <f>IF(AND($C343&lt;&gt;"",$G343&lt;&gt;"Đã phản hồi"),COUNTIFS($C$6:$C343,"?*",$G$6:$G343,"&lt;&gt;Đã phản hồi"),"")</f>
      </c>
    </row>
    <row r="344">
      <c r="A344" s="223">
        <f>IF($C344="","",ROW()-5)</f>
      </c>
      <c r="B344" s="245"/>
      <c r="C344" s="246"/>
      <c r="D344" s="247"/>
      <c r="E344" s="247"/>
      <c r="F344" s="246"/>
      <c r="G344" s="216"/>
      <c r="H344" s="218"/>
      <c r="I344" s="218"/>
      <c r="J344" s="248"/>
      <c r="K344" s="225">
        <f>IF(AND($C344&lt;&gt;"",$G344&lt;&gt;"Đã phản hồi"),COUNTIFS($C$6:$C344,"?*",$G$6:$G344,"&lt;&gt;Đã phản hồi"),"")</f>
      </c>
    </row>
    <row r="345">
      <c r="A345" s="223">
        <f>IF($C345="","",ROW()-5)</f>
      </c>
      <c r="B345" s="245"/>
      <c r="C345" s="246"/>
      <c r="D345" s="247"/>
      <c r="E345" s="247"/>
      <c r="F345" s="246"/>
      <c r="G345" s="216"/>
      <c r="H345" s="218"/>
      <c r="I345" s="218"/>
      <c r="J345" s="248"/>
      <c r="K345" s="225">
        <f>IF(AND($C345&lt;&gt;"",$G345&lt;&gt;"Đã phản hồi"),COUNTIFS($C$6:$C345,"?*",$G$6:$G345,"&lt;&gt;Đã phản hồi"),"")</f>
      </c>
    </row>
    <row r="346">
      <c r="A346" s="223">
        <f>IF($C346="","",ROW()-5)</f>
      </c>
      <c r="B346" s="245"/>
      <c r="C346" s="246"/>
      <c r="D346" s="247"/>
      <c r="E346" s="247"/>
      <c r="F346" s="246"/>
      <c r="G346" s="216"/>
      <c r="H346" s="218"/>
      <c r="I346" s="218"/>
      <c r="J346" s="248"/>
      <c r="K346" s="225">
        <f>IF(AND($C346&lt;&gt;"",$G346&lt;&gt;"Đã phản hồi"),COUNTIFS($C$6:$C346,"?*",$G$6:$G346,"&lt;&gt;Đã phản hồi"),"")</f>
      </c>
    </row>
    <row r="347">
      <c r="A347" s="223">
        <f>IF($C347="","",ROW()-5)</f>
      </c>
      <c r="B347" s="245"/>
      <c r="C347" s="246"/>
      <c r="D347" s="247"/>
      <c r="E347" s="247"/>
      <c r="F347" s="246"/>
      <c r="G347" s="216"/>
      <c r="H347" s="218"/>
      <c r="I347" s="218"/>
      <c r="J347" s="248"/>
      <c r="K347" s="225">
        <f>IF(AND($C347&lt;&gt;"",$G347&lt;&gt;"Đã phản hồi"),COUNTIFS($C$6:$C347,"?*",$G$6:$G347,"&lt;&gt;Đã phản hồi"),"")</f>
      </c>
    </row>
    <row r="348">
      <c r="A348" s="223">
        <f>IF($C348="","",ROW()-5)</f>
      </c>
      <c r="B348" s="245"/>
      <c r="C348" s="246"/>
      <c r="D348" s="247"/>
      <c r="E348" s="247"/>
      <c r="F348" s="246"/>
      <c r="G348" s="216"/>
      <c r="H348" s="218"/>
      <c r="I348" s="218"/>
      <c r="J348" s="248"/>
      <c r="K348" s="225">
        <f>IF(AND($C348&lt;&gt;"",$G348&lt;&gt;"Đã phản hồi"),COUNTIFS($C$6:$C348,"?*",$G$6:$G348,"&lt;&gt;Đã phản hồi"),"")</f>
      </c>
    </row>
    <row r="349">
      <c r="A349" s="223">
        <f>IF($C349="","",ROW()-5)</f>
      </c>
      <c r="B349" s="245"/>
      <c r="C349" s="246"/>
      <c r="D349" s="247"/>
      <c r="E349" s="247"/>
      <c r="F349" s="246"/>
      <c r="G349" s="216"/>
      <c r="H349" s="218"/>
      <c r="I349" s="218"/>
      <c r="J349" s="248"/>
      <c r="K349" s="225">
        <f>IF(AND($C349&lt;&gt;"",$G349&lt;&gt;"Đã phản hồi"),COUNTIFS($C$6:$C349,"?*",$G$6:$G349,"&lt;&gt;Đã phản hồi"),"")</f>
      </c>
    </row>
    <row r="350">
      <c r="A350" s="223">
        <f>IF($C350="","",ROW()-5)</f>
      </c>
      <c r="B350" s="245"/>
      <c r="C350" s="246"/>
      <c r="D350" s="247"/>
      <c r="E350" s="247"/>
      <c r="F350" s="246"/>
      <c r="G350" s="216"/>
      <c r="H350" s="218"/>
      <c r="I350" s="218"/>
      <c r="J350" s="248"/>
      <c r="K350" s="225">
        <f>IF(AND($C350&lt;&gt;"",$G350&lt;&gt;"Đã phản hồi"),COUNTIFS($C$6:$C350,"?*",$G$6:$G350,"&lt;&gt;Đã phản hồi"),"")</f>
      </c>
    </row>
    <row r="351">
      <c r="A351" s="223">
        <f>IF($C351="","",ROW()-5)</f>
      </c>
      <c r="B351" s="245"/>
      <c r="C351" s="246"/>
      <c r="D351" s="247"/>
      <c r="E351" s="247"/>
      <c r="F351" s="246"/>
      <c r="G351" s="216"/>
      <c r="H351" s="218"/>
      <c r="I351" s="218"/>
      <c r="J351" s="248"/>
      <c r="K351" s="225">
        <f>IF(AND($C351&lt;&gt;"",$G351&lt;&gt;"Đã phản hồi"),COUNTIFS($C$6:$C351,"?*",$G$6:$G351,"&lt;&gt;Đã phản hồi"),"")</f>
      </c>
    </row>
    <row r="352">
      <c r="A352" s="223">
        <f>IF($C352="","",ROW()-5)</f>
      </c>
      <c r="B352" s="245"/>
      <c r="C352" s="246"/>
      <c r="D352" s="247"/>
      <c r="E352" s="247"/>
      <c r="F352" s="246"/>
      <c r="G352" s="216"/>
      <c r="H352" s="218"/>
      <c r="I352" s="218"/>
      <c r="J352" s="248"/>
      <c r="K352" s="225">
        <f>IF(AND($C352&lt;&gt;"",$G352&lt;&gt;"Đã phản hồi"),COUNTIFS($C$6:$C352,"?*",$G$6:$G352,"&lt;&gt;Đã phản hồi"),"")</f>
      </c>
    </row>
    <row r="353">
      <c r="A353" s="223">
        <f>IF($C353="","",ROW()-5)</f>
      </c>
      <c r="B353" s="245"/>
      <c r="C353" s="246"/>
      <c r="D353" s="247"/>
      <c r="E353" s="247"/>
      <c r="F353" s="246"/>
      <c r="G353" s="216"/>
      <c r="H353" s="218"/>
      <c r="I353" s="218"/>
      <c r="J353" s="248"/>
      <c r="K353" s="225">
        <f>IF(AND($C353&lt;&gt;"",$G353&lt;&gt;"Đã phản hồi"),COUNTIFS($C$6:$C353,"?*",$G$6:$G353,"&lt;&gt;Đã phản hồi"),"")</f>
      </c>
    </row>
    <row r="354">
      <c r="A354" s="223">
        <f>IF($C354="","",ROW()-5)</f>
      </c>
      <c r="B354" s="245"/>
      <c r="C354" s="246"/>
      <c r="D354" s="247"/>
      <c r="E354" s="247"/>
      <c r="F354" s="246"/>
      <c r="G354" s="216"/>
      <c r="H354" s="218"/>
      <c r="I354" s="218"/>
      <c r="J354" s="248"/>
      <c r="K354" s="225">
        <f>IF(AND($C354&lt;&gt;"",$G354&lt;&gt;"Đã phản hồi"),COUNTIFS($C$6:$C354,"?*",$G$6:$G354,"&lt;&gt;Đã phản hồi"),"")</f>
      </c>
    </row>
    <row r="355">
      <c r="A355" s="223">
        <f>IF($C355="","",ROW()-5)</f>
      </c>
      <c r="B355" s="245"/>
      <c r="C355" s="246"/>
      <c r="D355" s="247"/>
      <c r="E355" s="247"/>
      <c r="F355" s="246"/>
      <c r="G355" s="216"/>
      <c r="H355" s="218"/>
      <c r="I355" s="218"/>
      <c r="J355" s="248"/>
      <c r="K355" s="225">
        <f>IF(AND($C355&lt;&gt;"",$G355&lt;&gt;"Đã phản hồi"),COUNTIFS($C$6:$C355,"?*",$G$6:$G355,"&lt;&gt;Đã phản hồi"),"")</f>
      </c>
    </row>
    <row r="356">
      <c r="A356" s="223">
        <f>IF($C356="","",ROW()-5)</f>
      </c>
      <c r="B356" s="245"/>
      <c r="C356" s="246"/>
      <c r="D356" s="247"/>
      <c r="E356" s="247"/>
      <c r="F356" s="246"/>
      <c r="G356" s="216"/>
      <c r="H356" s="218"/>
      <c r="I356" s="218"/>
      <c r="J356" s="248"/>
      <c r="K356" s="225">
        <f>IF(AND($C356&lt;&gt;"",$G356&lt;&gt;"Đã phản hồi"),COUNTIFS($C$6:$C356,"?*",$G$6:$G356,"&lt;&gt;Đã phản hồi"),"")</f>
      </c>
    </row>
    <row r="357">
      <c r="A357" s="223">
        <f>IF($C357="","",ROW()-5)</f>
      </c>
      <c r="B357" s="245"/>
      <c r="C357" s="246"/>
      <c r="D357" s="247"/>
      <c r="E357" s="247"/>
      <c r="F357" s="246"/>
      <c r="G357" s="216"/>
      <c r="H357" s="218"/>
      <c r="I357" s="218"/>
      <c r="J357" s="248"/>
      <c r="K357" s="225">
        <f>IF(AND($C357&lt;&gt;"",$G357&lt;&gt;"Đã phản hồi"),COUNTIFS($C$6:$C357,"?*",$G$6:$G357,"&lt;&gt;Đã phản hồi"),"")</f>
      </c>
    </row>
    <row r="358">
      <c r="A358" s="223">
        <f>IF($C358="","",ROW()-5)</f>
      </c>
      <c r="B358" s="245"/>
      <c r="C358" s="246"/>
      <c r="D358" s="247"/>
      <c r="E358" s="247"/>
      <c r="F358" s="246"/>
      <c r="G358" s="216"/>
      <c r="H358" s="218"/>
      <c r="I358" s="218"/>
      <c r="J358" s="248"/>
      <c r="K358" s="225">
        <f>IF(AND($C358&lt;&gt;"",$G358&lt;&gt;"Đã phản hồi"),COUNTIFS($C$6:$C358,"?*",$G$6:$G358,"&lt;&gt;Đã phản hồi"),"")</f>
      </c>
    </row>
    <row r="359">
      <c r="A359" s="223">
        <f>IF($C359="","",ROW()-5)</f>
      </c>
      <c r="B359" s="245"/>
      <c r="C359" s="246"/>
      <c r="D359" s="247"/>
      <c r="E359" s="247"/>
      <c r="F359" s="246"/>
      <c r="G359" s="216"/>
      <c r="H359" s="218"/>
      <c r="I359" s="218"/>
      <c r="J359" s="248"/>
      <c r="K359" s="225">
        <f>IF(AND($C359&lt;&gt;"",$G359&lt;&gt;"Đã phản hồi"),COUNTIFS($C$6:$C359,"?*",$G$6:$G359,"&lt;&gt;Đã phản hồi"),"")</f>
      </c>
    </row>
    <row r="360">
      <c r="A360" s="223">
        <f>IF($C360="","",ROW()-5)</f>
      </c>
      <c r="B360" s="245"/>
      <c r="C360" s="246"/>
      <c r="D360" s="247"/>
      <c r="E360" s="247"/>
      <c r="F360" s="246"/>
      <c r="G360" s="216"/>
      <c r="H360" s="218"/>
      <c r="I360" s="218"/>
      <c r="J360" s="248"/>
      <c r="K360" s="225">
        <f>IF(AND($C360&lt;&gt;"",$G360&lt;&gt;"Đã phản hồi"),COUNTIFS($C$6:$C360,"?*",$G$6:$G360,"&lt;&gt;Đã phản hồi"),"")</f>
      </c>
    </row>
    <row r="361">
      <c r="A361" s="223">
        <f>IF($C361="","",ROW()-5)</f>
      </c>
      <c r="B361" s="245"/>
      <c r="C361" s="246"/>
      <c r="D361" s="247"/>
      <c r="E361" s="247"/>
      <c r="F361" s="246"/>
      <c r="G361" s="216"/>
      <c r="H361" s="218"/>
      <c r="I361" s="218"/>
      <c r="J361" s="248"/>
      <c r="K361" s="225">
        <f>IF(AND($C361&lt;&gt;"",$G361&lt;&gt;"Đã phản hồi"),COUNTIFS($C$6:$C361,"?*",$G$6:$G361,"&lt;&gt;Đã phản hồi"),"")</f>
      </c>
    </row>
    <row r="362">
      <c r="A362" s="223">
        <f>IF($C362="","",ROW()-5)</f>
      </c>
      <c r="B362" s="245"/>
      <c r="C362" s="246"/>
      <c r="D362" s="247"/>
      <c r="E362" s="247"/>
      <c r="F362" s="246"/>
      <c r="G362" s="216"/>
      <c r="H362" s="218"/>
      <c r="I362" s="218"/>
      <c r="J362" s="248"/>
      <c r="K362" s="225">
        <f>IF(AND($C362&lt;&gt;"",$G362&lt;&gt;"Đã phản hồi"),COUNTIFS($C$6:$C362,"?*",$G$6:$G362,"&lt;&gt;Đã phản hồi"),"")</f>
      </c>
    </row>
    <row r="363">
      <c r="A363" s="223">
        <f>IF($C363="","",ROW()-5)</f>
      </c>
      <c r="B363" s="245"/>
      <c r="C363" s="246"/>
      <c r="D363" s="247"/>
      <c r="E363" s="247"/>
      <c r="F363" s="246"/>
      <c r="G363" s="216"/>
      <c r="H363" s="218"/>
      <c r="I363" s="218"/>
      <c r="J363" s="248"/>
      <c r="K363" s="225">
        <f>IF(AND($C363&lt;&gt;"",$G363&lt;&gt;"Đã phản hồi"),COUNTIFS($C$6:$C363,"?*",$G$6:$G363,"&lt;&gt;Đã phản hồi"),"")</f>
      </c>
    </row>
    <row r="364">
      <c r="A364" s="223">
        <f>IF($C364="","",ROW()-5)</f>
      </c>
      <c r="B364" s="245"/>
      <c r="C364" s="246"/>
      <c r="D364" s="247"/>
      <c r="E364" s="247"/>
      <c r="F364" s="246"/>
      <c r="G364" s="216"/>
      <c r="H364" s="218"/>
      <c r="I364" s="218"/>
      <c r="J364" s="248"/>
      <c r="K364" s="225">
        <f>IF(AND($C364&lt;&gt;"",$G364&lt;&gt;"Đã phản hồi"),COUNTIFS($C$6:$C364,"?*",$G$6:$G364,"&lt;&gt;Đã phản hồi"),"")</f>
      </c>
    </row>
    <row r="365">
      <c r="A365" s="223">
        <f>IF($C365="","",ROW()-5)</f>
      </c>
      <c r="B365" s="245"/>
      <c r="C365" s="246"/>
      <c r="D365" s="247"/>
      <c r="E365" s="247"/>
      <c r="F365" s="246"/>
      <c r="G365" s="216"/>
      <c r="H365" s="218"/>
      <c r="I365" s="218"/>
      <c r="J365" s="248"/>
      <c r="K365" s="225">
        <f>IF(AND($C365&lt;&gt;"",$G365&lt;&gt;"Đã phản hồi"),COUNTIFS($C$6:$C365,"?*",$G$6:$G365,"&lt;&gt;Đã phản hồi"),"")</f>
      </c>
    </row>
    <row r="366">
      <c r="A366" s="223">
        <f>IF($C366="","",ROW()-5)</f>
      </c>
      <c r="B366" s="245"/>
      <c r="C366" s="246"/>
      <c r="D366" s="247"/>
      <c r="E366" s="247"/>
      <c r="F366" s="246"/>
      <c r="G366" s="216"/>
      <c r="H366" s="218"/>
      <c r="I366" s="218"/>
      <c r="J366" s="248"/>
      <c r="K366" s="225">
        <f>IF(AND($C366&lt;&gt;"",$G366&lt;&gt;"Đã phản hồi"),COUNTIFS($C$6:$C366,"?*",$G$6:$G366,"&lt;&gt;Đã phản hồi"),"")</f>
      </c>
    </row>
    <row r="367">
      <c r="A367" s="223">
        <f>IF($C367="","",ROW()-5)</f>
      </c>
      <c r="B367" s="245"/>
      <c r="C367" s="246"/>
      <c r="D367" s="247"/>
      <c r="E367" s="247"/>
      <c r="F367" s="246"/>
      <c r="G367" s="216"/>
      <c r="H367" s="218"/>
      <c r="I367" s="218"/>
      <c r="J367" s="248"/>
      <c r="K367" s="225">
        <f>IF(AND($C367&lt;&gt;"",$G367&lt;&gt;"Đã phản hồi"),COUNTIFS($C$6:$C367,"?*",$G$6:$G367,"&lt;&gt;Đã phản hồi"),"")</f>
      </c>
    </row>
    <row r="368">
      <c r="A368" s="223">
        <f>IF($C368="","",ROW()-5)</f>
      </c>
      <c r="B368" s="245"/>
      <c r="C368" s="246"/>
      <c r="D368" s="247"/>
      <c r="E368" s="247"/>
      <c r="F368" s="246"/>
      <c r="G368" s="216"/>
      <c r="H368" s="218"/>
      <c r="I368" s="218"/>
      <c r="J368" s="248"/>
      <c r="K368" s="225">
        <f>IF(AND($C368&lt;&gt;"",$G368&lt;&gt;"Đã phản hồi"),COUNTIFS($C$6:$C368,"?*",$G$6:$G368,"&lt;&gt;Đã phản hồi"),"")</f>
      </c>
    </row>
    <row r="369">
      <c r="A369" s="223">
        <f>IF($C369="","",ROW()-5)</f>
      </c>
      <c r="B369" s="245"/>
      <c r="C369" s="246"/>
      <c r="D369" s="247"/>
      <c r="E369" s="247"/>
      <c r="F369" s="246"/>
      <c r="G369" s="216"/>
      <c r="H369" s="218"/>
      <c r="I369" s="218"/>
      <c r="J369" s="248"/>
      <c r="K369" s="225">
        <f>IF(AND($C369&lt;&gt;"",$G369&lt;&gt;"Đã phản hồi"),COUNTIFS($C$6:$C369,"?*",$G$6:$G369,"&lt;&gt;Đã phản hồi"),"")</f>
      </c>
    </row>
    <row r="370">
      <c r="A370" s="223">
        <f>IF($C370="","",ROW()-5)</f>
      </c>
      <c r="B370" s="245"/>
      <c r="C370" s="246"/>
      <c r="D370" s="247"/>
      <c r="E370" s="247"/>
      <c r="F370" s="246"/>
      <c r="G370" s="216"/>
      <c r="H370" s="218"/>
      <c r="I370" s="218"/>
      <c r="J370" s="248"/>
      <c r="K370" s="225">
        <f>IF(AND($C370&lt;&gt;"",$G370&lt;&gt;"Đã phản hồi"),COUNTIFS($C$6:$C370,"?*",$G$6:$G370,"&lt;&gt;Đã phản hồi"),"")</f>
      </c>
    </row>
    <row r="371">
      <c r="A371" s="223">
        <f>IF($C371="","",ROW()-5)</f>
      </c>
      <c r="B371" s="245"/>
      <c r="C371" s="246"/>
      <c r="D371" s="247"/>
      <c r="E371" s="247"/>
      <c r="F371" s="246"/>
      <c r="G371" s="216"/>
      <c r="H371" s="218"/>
      <c r="I371" s="218"/>
      <c r="J371" s="248"/>
      <c r="K371" s="225">
        <f>IF(AND($C371&lt;&gt;"",$G371&lt;&gt;"Đã phản hồi"),COUNTIFS($C$6:$C371,"?*",$G$6:$G371,"&lt;&gt;Đã phản hồi"),"")</f>
      </c>
    </row>
    <row r="372">
      <c r="A372" s="223">
        <f>IF($C372="","",ROW()-5)</f>
      </c>
      <c r="B372" s="245"/>
      <c r="C372" s="246"/>
      <c r="D372" s="247"/>
      <c r="E372" s="247"/>
      <c r="F372" s="246"/>
      <c r="G372" s="216"/>
      <c r="H372" s="218"/>
      <c r="I372" s="218"/>
      <c r="J372" s="248"/>
      <c r="K372" s="225">
        <f>IF(AND($C372&lt;&gt;"",$G372&lt;&gt;"Đã phản hồi"),COUNTIFS($C$6:$C372,"?*",$G$6:$G372,"&lt;&gt;Đã phản hồi"),"")</f>
      </c>
    </row>
    <row r="373">
      <c r="A373" s="223">
        <f>IF($C373="","",ROW()-5)</f>
      </c>
      <c r="B373" s="245"/>
      <c r="C373" s="246"/>
      <c r="D373" s="247"/>
      <c r="E373" s="247"/>
      <c r="F373" s="246"/>
      <c r="G373" s="216"/>
      <c r="H373" s="218"/>
      <c r="I373" s="218"/>
      <c r="J373" s="248"/>
      <c r="K373" s="225">
        <f>IF(AND($C373&lt;&gt;"",$G373&lt;&gt;"Đã phản hồi"),COUNTIFS($C$6:$C373,"?*",$G$6:$G373,"&lt;&gt;Đã phản hồi"),"")</f>
      </c>
    </row>
    <row r="374">
      <c r="A374" s="223">
        <f>IF($C374="","",ROW()-5)</f>
      </c>
      <c r="B374" s="245"/>
      <c r="C374" s="246"/>
      <c r="D374" s="247"/>
      <c r="E374" s="247"/>
      <c r="F374" s="246"/>
      <c r="G374" s="216"/>
      <c r="H374" s="218"/>
      <c r="I374" s="218"/>
      <c r="J374" s="248"/>
      <c r="K374" s="225">
        <f>IF(AND($C374&lt;&gt;"",$G374&lt;&gt;"Đã phản hồi"),COUNTIFS($C$6:$C374,"?*",$G$6:$G374,"&lt;&gt;Đã phản hồi"),"")</f>
      </c>
    </row>
    <row r="375">
      <c r="A375" s="223">
        <f>IF($C375="","",ROW()-5)</f>
      </c>
      <c r="B375" s="245"/>
      <c r="C375" s="246"/>
      <c r="D375" s="247"/>
      <c r="E375" s="247"/>
      <c r="F375" s="246"/>
      <c r="G375" s="216"/>
      <c r="H375" s="218"/>
      <c r="I375" s="218"/>
      <c r="J375" s="248"/>
      <c r="K375" s="225">
        <f>IF(AND($C375&lt;&gt;"",$G375&lt;&gt;"Đã phản hồi"),COUNTIFS($C$6:$C375,"?*",$G$6:$G375,"&lt;&gt;Đã phản hồi"),"")</f>
      </c>
    </row>
    <row r="376">
      <c r="A376" s="223">
        <f>IF($C376="","",ROW()-5)</f>
      </c>
      <c r="B376" s="245"/>
      <c r="C376" s="246"/>
      <c r="D376" s="247"/>
      <c r="E376" s="247"/>
      <c r="F376" s="246"/>
      <c r="G376" s="216"/>
      <c r="H376" s="218"/>
      <c r="I376" s="218"/>
      <c r="J376" s="248"/>
      <c r="K376" s="225">
        <f>IF(AND($C376&lt;&gt;"",$G376&lt;&gt;"Đã phản hồi"),COUNTIFS($C$6:$C376,"?*",$G$6:$G376,"&lt;&gt;Đã phản hồi"),"")</f>
      </c>
    </row>
    <row r="377">
      <c r="A377" s="223">
        <f>IF($C377="","",ROW()-5)</f>
      </c>
      <c r="B377" s="245"/>
      <c r="C377" s="246"/>
      <c r="D377" s="247"/>
      <c r="E377" s="247"/>
      <c r="F377" s="246"/>
      <c r="G377" s="216"/>
      <c r="H377" s="218"/>
      <c r="I377" s="218"/>
      <c r="J377" s="248"/>
      <c r="K377" s="225">
        <f>IF(AND($C377&lt;&gt;"",$G377&lt;&gt;"Đã phản hồi"),COUNTIFS($C$6:$C377,"?*",$G$6:$G377,"&lt;&gt;Đã phản hồi"),"")</f>
      </c>
    </row>
    <row r="378">
      <c r="A378" s="223">
        <f>IF($C378="","",ROW()-5)</f>
      </c>
      <c r="B378" s="245"/>
      <c r="C378" s="246"/>
      <c r="D378" s="247"/>
      <c r="E378" s="247"/>
      <c r="F378" s="246"/>
      <c r="G378" s="216"/>
      <c r="H378" s="218"/>
      <c r="I378" s="218"/>
      <c r="J378" s="248"/>
      <c r="K378" s="225">
        <f>IF(AND($C378&lt;&gt;"",$G378&lt;&gt;"Đã phản hồi"),COUNTIFS($C$6:$C378,"?*",$G$6:$G378,"&lt;&gt;Đã phản hồi"),"")</f>
      </c>
    </row>
    <row r="379">
      <c r="A379" s="223">
        <f>IF($C379="","",ROW()-5)</f>
      </c>
      <c r="B379" s="245"/>
      <c r="C379" s="246"/>
      <c r="D379" s="247"/>
      <c r="E379" s="247"/>
      <c r="F379" s="246"/>
      <c r="G379" s="216"/>
      <c r="H379" s="218"/>
      <c r="I379" s="218"/>
      <c r="J379" s="248"/>
      <c r="K379" s="225">
        <f>IF(AND($C379&lt;&gt;"",$G379&lt;&gt;"Đã phản hồi"),COUNTIFS($C$6:$C379,"?*",$G$6:$G379,"&lt;&gt;Đã phản hồi"),"")</f>
      </c>
    </row>
    <row r="380">
      <c r="A380" s="223">
        <f>IF($C380="","",ROW()-5)</f>
      </c>
      <c r="B380" s="245"/>
      <c r="C380" s="246"/>
      <c r="D380" s="247"/>
      <c r="E380" s="247"/>
      <c r="F380" s="246"/>
      <c r="G380" s="216"/>
      <c r="H380" s="218"/>
      <c r="I380" s="218"/>
      <c r="J380" s="248"/>
      <c r="K380" s="225">
        <f>IF(AND($C380&lt;&gt;"",$G380&lt;&gt;"Đã phản hồi"),COUNTIFS($C$6:$C380,"?*",$G$6:$G380,"&lt;&gt;Đã phản hồi"),"")</f>
      </c>
    </row>
    <row r="381">
      <c r="A381" s="223">
        <f>IF($C381="","",ROW()-5)</f>
      </c>
      <c r="B381" s="245"/>
      <c r="C381" s="246"/>
      <c r="D381" s="247"/>
      <c r="E381" s="247"/>
      <c r="F381" s="246"/>
      <c r="G381" s="216"/>
      <c r="H381" s="218"/>
      <c r="I381" s="218"/>
      <c r="J381" s="248"/>
      <c r="K381" s="225">
        <f>IF(AND($C381&lt;&gt;"",$G381&lt;&gt;"Đã phản hồi"),COUNTIFS($C$6:$C381,"?*",$G$6:$G381,"&lt;&gt;Đã phản hồi"),"")</f>
      </c>
    </row>
    <row r="382">
      <c r="A382" s="223">
        <f>IF($C382="","",ROW()-5)</f>
      </c>
      <c r="B382" s="245"/>
      <c r="C382" s="246"/>
      <c r="D382" s="247"/>
      <c r="E382" s="247"/>
      <c r="F382" s="246"/>
      <c r="G382" s="216"/>
      <c r="H382" s="218"/>
      <c r="I382" s="218"/>
      <c r="J382" s="248"/>
      <c r="K382" s="225">
        <f>IF(AND($C382&lt;&gt;"",$G382&lt;&gt;"Đã phản hồi"),COUNTIFS($C$6:$C382,"?*",$G$6:$G382,"&lt;&gt;Đã phản hồi"),"")</f>
      </c>
    </row>
    <row r="383">
      <c r="A383" s="223">
        <f>IF($C383="","",ROW()-5)</f>
      </c>
      <c r="B383" s="245"/>
      <c r="C383" s="246"/>
      <c r="D383" s="247"/>
      <c r="E383" s="247"/>
      <c r="F383" s="246"/>
      <c r="G383" s="216"/>
      <c r="H383" s="218"/>
      <c r="I383" s="218"/>
      <c r="J383" s="248"/>
      <c r="K383" s="225">
        <f>IF(AND($C383&lt;&gt;"",$G383&lt;&gt;"Đã phản hồi"),COUNTIFS($C$6:$C383,"?*",$G$6:$G383,"&lt;&gt;Đã phản hồi"),"")</f>
      </c>
    </row>
    <row r="384">
      <c r="A384" s="223">
        <f>IF($C384="","",ROW()-5)</f>
      </c>
      <c r="B384" s="245"/>
      <c r="C384" s="246"/>
      <c r="D384" s="247"/>
      <c r="E384" s="247"/>
      <c r="F384" s="246"/>
      <c r="G384" s="216"/>
      <c r="H384" s="218"/>
      <c r="I384" s="218"/>
      <c r="J384" s="248"/>
      <c r="K384" s="225">
        <f>IF(AND($C384&lt;&gt;"",$G384&lt;&gt;"Đã phản hồi"),COUNTIFS($C$6:$C384,"?*",$G$6:$G384,"&lt;&gt;Đã phản hồi"),"")</f>
      </c>
    </row>
    <row r="385">
      <c r="A385" s="223">
        <f>IF($C385="","",ROW()-5)</f>
      </c>
      <c r="B385" s="245"/>
      <c r="C385" s="246"/>
      <c r="D385" s="247"/>
      <c r="E385" s="247"/>
      <c r="F385" s="246"/>
      <c r="G385" s="216"/>
      <c r="H385" s="218"/>
      <c r="I385" s="218"/>
      <c r="J385" s="248"/>
      <c r="K385" s="225">
        <f>IF(AND($C385&lt;&gt;"",$G385&lt;&gt;"Đã phản hồi"),COUNTIFS($C$6:$C385,"?*",$G$6:$G385,"&lt;&gt;Đã phản hồi"),"")</f>
      </c>
    </row>
    <row r="386">
      <c r="A386" s="223">
        <f>IF($C386="","",ROW()-5)</f>
      </c>
      <c r="B386" s="245"/>
      <c r="C386" s="246"/>
      <c r="D386" s="247"/>
      <c r="E386" s="247"/>
      <c r="F386" s="246"/>
      <c r="G386" s="216"/>
      <c r="H386" s="218"/>
      <c r="I386" s="218"/>
      <c r="J386" s="248"/>
      <c r="K386" s="225">
        <f>IF(AND($C386&lt;&gt;"",$G386&lt;&gt;"Đã phản hồi"),COUNTIFS($C$6:$C386,"?*",$G$6:$G386,"&lt;&gt;Đã phản hồi"),"")</f>
      </c>
    </row>
    <row r="387">
      <c r="A387" s="223">
        <f>IF($C387="","",ROW()-5)</f>
      </c>
      <c r="B387" s="245"/>
      <c r="C387" s="246"/>
      <c r="D387" s="247"/>
      <c r="E387" s="247"/>
      <c r="F387" s="246"/>
      <c r="G387" s="216"/>
      <c r="H387" s="218"/>
      <c r="I387" s="218"/>
      <c r="J387" s="248"/>
      <c r="K387" s="225">
        <f>IF(AND($C387&lt;&gt;"",$G387&lt;&gt;"Đã phản hồi"),COUNTIFS($C$6:$C387,"?*",$G$6:$G387,"&lt;&gt;Đã phản hồi"),"")</f>
      </c>
    </row>
    <row r="388">
      <c r="A388" s="223">
        <f>IF($C388="","",ROW()-5)</f>
      </c>
      <c r="B388" s="245"/>
      <c r="C388" s="246"/>
      <c r="D388" s="247"/>
      <c r="E388" s="247"/>
      <c r="F388" s="246"/>
      <c r="G388" s="216"/>
      <c r="H388" s="218"/>
      <c r="I388" s="218"/>
      <c r="J388" s="248"/>
      <c r="K388" s="225">
        <f>IF(AND($C388&lt;&gt;"",$G388&lt;&gt;"Đã phản hồi"),COUNTIFS($C$6:$C388,"?*",$G$6:$G388,"&lt;&gt;Đã phản hồi"),"")</f>
      </c>
    </row>
    <row r="389">
      <c r="A389" s="223">
        <f>IF($C389="","",ROW()-5)</f>
      </c>
      <c r="B389" s="245"/>
      <c r="C389" s="246"/>
      <c r="D389" s="247"/>
      <c r="E389" s="247"/>
      <c r="F389" s="246"/>
      <c r="G389" s="216"/>
      <c r="H389" s="218"/>
      <c r="I389" s="218"/>
      <c r="J389" s="248"/>
      <c r="K389" s="225">
        <f>IF(AND($C389&lt;&gt;"",$G389&lt;&gt;"Đã phản hồi"),COUNTIFS($C$6:$C389,"?*",$G$6:$G389,"&lt;&gt;Đã phản hồi"),"")</f>
      </c>
    </row>
    <row r="390">
      <c r="A390" s="223">
        <f>IF($C390="","",ROW()-5)</f>
      </c>
      <c r="B390" s="245"/>
      <c r="C390" s="246"/>
      <c r="D390" s="247"/>
      <c r="E390" s="247"/>
      <c r="F390" s="246"/>
      <c r="G390" s="216"/>
      <c r="H390" s="218"/>
      <c r="I390" s="218"/>
      <c r="J390" s="248"/>
      <c r="K390" s="225">
        <f>IF(AND($C390&lt;&gt;"",$G390&lt;&gt;"Đã phản hồi"),COUNTIFS($C$6:$C390,"?*",$G$6:$G390,"&lt;&gt;Đã phản hồi"),"")</f>
      </c>
    </row>
    <row r="391">
      <c r="A391" s="223">
        <f>IF($C391="","",ROW()-5)</f>
      </c>
      <c r="B391" s="245"/>
      <c r="C391" s="246"/>
      <c r="D391" s="247"/>
      <c r="E391" s="247"/>
      <c r="F391" s="246"/>
      <c r="G391" s="216"/>
      <c r="H391" s="218"/>
      <c r="I391" s="218"/>
      <c r="J391" s="248"/>
      <c r="K391" s="225">
        <f>IF(AND($C391&lt;&gt;"",$G391&lt;&gt;"Đã phản hồi"),COUNTIFS($C$6:$C391,"?*",$G$6:$G391,"&lt;&gt;Đã phản hồi"),"")</f>
      </c>
    </row>
    <row r="392">
      <c r="A392" s="223">
        <f>IF($C392="","",ROW()-5)</f>
      </c>
      <c r="B392" s="245"/>
      <c r="C392" s="246"/>
      <c r="D392" s="247"/>
      <c r="E392" s="247"/>
      <c r="F392" s="246"/>
      <c r="G392" s="216"/>
      <c r="H392" s="218"/>
      <c r="I392" s="218"/>
      <c r="J392" s="248"/>
      <c r="K392" s="225">
        <f>IF(AND($C392&lt;&gt;"",$G392&lt;&gt;"Đã phản hồi"),COUNTIFS($C$6:$C392,"?*",$G$6:$G392,"&lt;&gt;Đã phản hồi"),"")</f>
      </c>
    </row>
    <row r="393">
      <c r="A393" s="223">
        <f>IF($C393="","",ROW()-5)</f>
      </c>
      <c r="B393" s="245"/>
      <c r="C393" s="246"/>
      <c r="D393" s="247"/>
      <c r="E393" s="247"/>
      <c r="F393" s="246"/>
      <c r="G393" s="216"/>
      <c r="H393" s="218"/>
      <c r="I393" s="218"/>
      <c r="J393" s="248"/>
      <c r="K393" s="225">
        <f>IF(AND($C393&lt;&gt;"",$G393&lt;&gt;"Đã phản hồi"),COUNTIFS($C$6:$C393,"?*",$G$6:$G393,"&lt;&gt;Đã phản hồi"),"")</f>
      </c>
    </row>
    <row r="394">
      <c r="A394" s="223">
        <f>IF($C394="","",ROW()-5)</f>
      </c>
      <c r="B394" s="245"/>
      <c r="C394" s="246"/>
      <c r="D394" s="247"/>
      <c r="E394" s="247"/>
      <c r="F394" s="246"/>
      <c r="G394" s="216"/>
      <c r="H394" s="218"/>
      <c r="I394" s="218"/>
      <c r="J394" s="248"/>
      <c r="K394" s="225">
        <f>IF(AND($C394&lt;&gt;"",$G394&lt;&gt;"Đã phản hồi"),COUNTIFS($C$6:$C394,"?*",$G$6:$G394,"&lt;&gt;Đã phản hồi"),"")</f>
      </c>
    </row>
    <row r="395">
      <c r="A395" s="223">
        <f>IF($C395="","",ROW()-5)</f>
      </c>
      <c r="B395" s="245"/>
      <c r="C395" s="246"/>
      <c r="D395" s="247"/>
      <c r="E395" s="247"/>
      <c r="F395" s="246"/>
      <c r="G395" s="216"/>
      <c r="H395" s="218"/>
      <c r="I395" s="218"/>
      <c r="J395" s="248"/>
      <c r="K395" s="225">
        <f>IF(AND($C395&lt;&gt;"",$G395&lt;&gt;"Đã phản hồi"),COUNTIFS($C$6:$C395,"?*",$G$6:$G395,"&lt;&gt;Đã phản hồi"),"")</f>
      </c>
    </row>
    <row r="396">
      <c r="A396" s="223">
        <f>IF($C396="","",ROW()-5)</f>
      </c>
      <c r="B396" s="245"/>
      <c r="C396" s="246"/>
      <c r="D396" s="247"/>
      <c r="E396" s="247"/>
      <c r="F396" s="246"/>
      <c r="G396" s="216"/>
      <c r="H396" s="218"/>
      <c r="I396" s="218"/>
      <c r="J396" s="248"/>
      <c r="K396" s="225">
        <f>IF(AND($C396&lt;&gt;"",$G396&lt;&gt;"Đã phản hồi"),COUNTIFS($C$6:$C396,"?*",$G$6:$G396,"&lt;&gt;Đã phản hồi"),"")</f>
      </c>
    </row>
    <row r="397">
      <c r="A397" s="223">
        <f>IF($C397="","",ROW()-5)</f>
      </c>
      <c r="B397" s="245"/>
      <c r="C397" s="246"/>
      <c r="D397" s="247"/>
      <c r="E397" s="247"/>
      <c r="F397" s="246"/>
      <c r="G397" s="216"/>
      <c r="H397" s="218"/>
      <c r="I397" s="218"/>
      <c r="J397" s="248"/>
      <c r="K397" s="225">
        <f>IF(AND($C397&lt;&gt;"",$G397&lt;&gt;"Đã phản hồi"),COUNTIFS($C$6:$C397,"?*",$G$6:$G397,"&lt;&gt;Đã phản hồi"),"")</f>
      </c>
    </row>
    <row r="398">
      <c r="A398" s="223">
        <f>IF($C398="","",ROW()-5)</f>
      </c>
      <c r="B398" s="245"/>
      <c r="C398" s="246"/>
      <c r="D398" s="247"/>
      <c r="E398" s="247"/>
      <c r="F398" s="246"/>
      <c r="G398" s="216"/>
      <c r="H398" s="218"/>
      <c r="I398" s="218"/>
      <c r="J398" s="248"/>
      <c r="K398" s="225">
        <f>IF(AND($C398&lt;&gt;"",$G398&lt;&gt;"Đã phản hồi"),COUNTIFS($C$6:$C398,"?*",$G$6:$G398,"&lt;&gt;Đã phản hồi"),"")</f>
      </c>
    </row>
    <row r="399">
      <c r="A399" s="223">
        <f>IF($C399="","",ROW()-5)</f>
      </c>
      <c r="B399" s="245"/>
      <c r="C399" s="246"/>
      <c r="D399" s="247"/>
      <c r="E399" s="247"/>
      <c r="F399" s="246"/>
      <c r="G399" s="216"/>
      <c r="H399" s="218"/>
      <c r="I399" s="218"/>
      <c r="J399" s="248"/>
      <c r="K399" s="225">
        <f>IF(AND($C399&lt;&gt;"",$G399&lt;&gt;"Đã phản hồi"),COUNTIFS($C$6:$C399,"?*",$G$6:$G399,"&lt;&gt;Đã phản hồi"),"")</f>
      </c>
    </row>
    <row r="400">
      <c r="A400" s="223">
        <f>IF($C400="","",ROW()-5)</f>
      </c>
      <c r="B400" s="245"/>
      <c r="C400" s="246"/>
      <c r="D400" s="247"/>
      <c r="E400" s="247"/>
      <c r="F400" s="246"/>
      <c r="G400" s="216"/>
      <c r="H400" s="218"/>
      <c r="I400" s="218"/>
      <c r="J400" s="248"/>
      <c r="K400" s="225">
        <f>IF(AND($C400&lt;&gt;"",$G400&lt;&gt;"Đã phản hồi"),COUNTIFS($C$6:$C400,"?*",$G$6:$G400,"&lt;&gt;Đã phản hồi"),"")</f>
      </c>
    </row>
    <row r="401">
      <c r="A401" s="223">
        <f>IF($C401="","",ROW()-5)</f>
      </c>
      <c r="B401" s="245"/>
      <c r="C401" s="246"/>
      <c r="D401" s="247"/>
      <c r="E401" s="247"/>
      <c r="F401" s="246"/>
      <c r="G401" s="216"/>
      <c r="H401" s="218"/>
      <c r="I401" s="218"/>
      <c r="J401" s="248"/>
      <c r="K401" s="225">
        <f>IF(AND($C401&lt;&gt;"",$G401&lt;&gt;"Đã phản hồi"),COUNTIFS($C$6:$C401,"?*",$G$6:$G401,"&lt;&gt;Đã phản hồi"),"")</f>
      </c>
    </row>
    <row r="402">
      <c r="A402" s="223">
        <f>IF($C402="","",ROW()-5)</f>
      </c>
      <c r="B402" s="245"/>
      <c r="C402" s="246"/>
      <c r="D402" s="247"/>
      <c r="E402" s="247"/>
      <c r="F402" s="246"/>
      <c r="G402" s="216"/>
      <c r="H402" s="218"/>
      <c r="I402" s="218"/>
      <c r="J402" s="248"/>
      <c r="K402" s="225">
        <f>IF(AND($C402&lt;&gt;"",$G402&lt;&gt;"Đã phản hồi"),COUNTIFS($C$6:$C402,"?*",$G$6:$G402,"&lt;&gt;Đã phản hồi"),"")</f>
      </c>
    </row>
    <row r="403">
      <c r="A403" s="223">
        <f>IF($C403="","",ROW()-5)</f>
      </c>
      <c r="B403" s="245"/>
      <c r="C403" s="246"/>
      <c r="D403" s="247"/>
      <c r="E403" s="247"/>
      <c r="F403" s="246"/>
      <c r="G403" s="216"/>
      <c r="H403" s="218"/>
      <c r="I403" s="218"/>
      <c r="J403" s="248"/>
      <c r="K403" s="225">
        <f>IF(AND($C403&lt;&gt;"",$G403&lt;&gt;"Đã phản hồi"),COUNTIFS($C$6:$C403,"?*",$G$6:$G403,"&lt;&gt;Đã phản hồi"),"")</f>
      </c>
    </row>
    <row r="404">
      <c r="A404" s="223">
        <f>IF($C404="","",ROW()-5)</f>
      </c>
      <c r="B404" s="245"/>
      <c r="C404" s="246"/>
      <c r="D404" s="247"/>
      <c r="E404" s="247"/>
      <c r="F404" s="246"/>
      <c r="G404" s="216"/>
      <c r="H404" s="218"/>
      <c r="I404" s="218"/>
      <c r="J404" s="248"/>
      <c r="K404" s="225">
        <f>IF(AND($C404&lt;&gt;"",$G404&lt;&gt;"Đã phản hồi"),COUNTIFS($C$6:$C404,"?*",$G$6:$G404,"&lt;&gt;Đã phản hồi"),"")</f>
      </c>
    </row>
    <row r="405">
      <c r="A405" s="223">
        <f>IF($C405="","",ROW()-5)</f>
      </c>
      <c r="B405" s="245"/>
      <c r="C405" s="246"/>
      <c r="D405" s="247"/>
      <c r="E405" s="247"/>
      <c r="F405" s="246"/>
      <c r="G405" s="216"/>
      <c r="H405" s="218"/>
      <c r="I405" s="218"/>
      <c r="J405" s="248"/>
      <c r="K405" s="225">
        <f>IF(AND($C405&lt;&gt;"",$G405&lt;&gt;"Đã phản hồi"),COUNTIFS($C$6:$C405,"?*",$G$6:$G405,"&lt;&gt;Đã phản hồi"),"")</f>
      </c>
    </row>
    <row r="406">
      <c r="A406" s="223">
        <f>IF($C406="","",ROW()-5)</f>
      </c>
      <c r="B406" s="245"/>
      <c r="C406" s="246"/>
      <c r="D406" s="247"/>
      <c r="E406" s="247"/>
      <c r="F406" s="246"/>
      <c r="G406" s="216"/>
      <c r="H406" s="218"/>
      <c r="I406" s="218"/>
      <c r="J406" s="248"/>
      <c r="K406" s="225">
        <f>IF(AND($C406&lt;&gt;"",$G406&lt;&gt;"Đã phản hồi"),COUNTIFS($C$6:$C406,"?*",$G$6:$G406,"&lt;&gt;Đã phản hồi"),"")</f>
      </c>
    </row>
    <row r="407">
      <c r="A407" s="223">
        <f>IF($C407="","",ROW()-5)</f>
      </c>
      <c r="B407" s="245"/>
      <c r="C407" s="246"/>
      <c r="D407" s="247"/>
      <c r="E407" s="247"/>
      <c r="F407" s="246"/>
      <c r="G407" s="216"/>
      <c r="H407" s="218"/>
      <c r="I407" s="218"/>
      <c r="J407" s="248"/>
      <c r="K407" s="225">
        <f>IF(AND($C407&lt;&gt;"",$G407&lt;&gt;"Đã phản hồi"),COUNTIFS($C$6:$C407,"?*",$G$6:$G407,"&lt;&gt;Đã phản hồi"),"")</f>
      </c>
    </row>
    <row r="408">
      <c r="A408" s="223">
        <f>IF($C408="","",ROW()-5)</f>
      </c>
      <c r="B408" s="245"/>
      <c r="C408" s="246"/>
      <c r="D408" s="247"/>
      <c r="E408" s="247"/>
      <c r="F408" s="246"/>
      <c r="G408" s="216"/>
      <c r="H408" s="218"/>
      <c r="I408" s="218"/>
      <c r="J408" s="248"/>
      <c r="K408" s="225">
        <f>IF(AND($C408&lt;&gt;"",$G408&lt;&gt;"Đã phản hồi"),COUNTIFS($C$6:$C408,"?*",$G$6:$G408,"&lt;&gt;Đã phản hồi"),"")</f>
      </c>
    </row>
    <row r="409">
      <c r="A409" s="223">
        <f>IF($C409="","",ROW()-5)</f>
      </c>
      <c r="B409" s="245"/>
      <c r="C409" s="246"/>
      <c r="D409" s="247"/>
      <c r="E409" s="247"/>
      <c r="F409" s="246"/>
      <c r="G409" s="216"/>
      <c r="H409" s="218"/>
      <c r="I409" s="218"/>
      <c r="J409" s="248"/>
      <c r="K409" s="225">
        <f>IF(AND($C409&lt;&gt;"",$G409&lt;&gt;"Đã phản hồi"),COUNTIFS($C$6:$C409,"?*",$G$6:$G409,"&lt;&gt;Đã phản hồi"),"")</f>
      </c>
    </row>
    <row r="410">
      <c r="A410" s="223">
        <f>IF($C410="","",ROW()-5)</f>
      </c>
      <c r="B410" s="245"/>
      <c r="C410" s="246"/>
      <c r="D410" s="247"/>
      <c r="E410" s="247"/>
      <c r="F410" s="246"/>
      <c r="G410" s="216"/>
      <c r="H410" s="218"/>
      <c r="I410" s="218"/>
      <c r="J410" s="248"/>
      <c r="K410" s="225">
        <f>IF(AND($C410&lt;&gt;"",$G410&lt;&gt;"Đã phản hồi"),COUNTIFS($C$6:$C410,"?*",$G$6:$G410,"&lt;&gt;Đã phản hồi"),"")</f>
      </c>
    </row>
    <row r="411">
      <c r="A411" s="223">
        <f>IF($C411="","",ROW()-5)</f>
      </c>
      <c r="B411" s="245"/>
      <c r="C411" s="246"/>
      <c r="D411" s="247"/>
      <c r="E411" s="247"/>
      <c r="F411" s="246"/>
      <c r="G411" s="216"/>
      <c r="H411" s="218"/>
      <c r="I411" s="218"/>
      <c r="J411" s="248"/>
      <c r="K411" s="225">
        <f>IF(AND($C411&lt;&gt;"",$G411&lt;&gt;"Đã phản hồi"),COUNTIFS($C$6:$C411,"?*",$G$6:$G411,"&lt;&gt;Đã phản hồi"),"")</f>
      </c>
    </row>
    <row r="412">
      <c r="A412" s="223">
        <f>IF($C412="","",ROW()-5)</f>
      </c>
      <c r="B412" s="245"/>
      <c r="C412" s="246"/>
      <c r="D412" s="247"/>
      <c r="E412" s="247"/>
      <c r="F412" s="246"/>
      <c r="G412" s="216"/>
      <c r="H412" s="218"/>
      <c r="I412" s="218"/>
      <c r="J412" s="248"/>
      <c r="K412" s="225">
        <f>IF(AND($C412&lt;&gt;"",$G412&lt;&gt;"Đã phản hồi"),COUNTIFS($C$6:$C412,"?*",$G$6:$G412,"&lt;&gt;Đã phản hồi"),"")</f>
      </c>
    </row>
    <row r="413">
      <c r="A413" s="223">
        <f>IF($C413="","",ROW()-5)</f>
      </c>
      <c r="B413" s="245"/>
      <c r="C413" s="246"/>
      <c r="D413" s="247"/>
      <c r="E413" s="247"/>
      <c r="F413" s="246"/>
      <c r="G413" s="216"/>
      <c r="H413" s="218"/>
      <c r="I413" s="218"/>
      <c r="J413" s="248"/>
      <c r="K413" s="225">
        <f>IF(AND($C413&lt;&gt;"",$G413&lt;&gt;"Đã phản hồi"),COUNTIFS($C$6:$C413,"?*",$G$6:$G413,"&lt;&gt;Đã phản hồi"),"")</f>
      </c>
    </row>
    <row r="414">
      <c r="A414" s="223">
        <f>IF($C414="","",ROW()-5)</f>
      </c>
      <c r="B414" s="245"/>
      <c r="C414" s="246"/>
      <c r="D414" s="247"/>
      <c r="E414" s="247"/>
      <c r="F414" s="246"/>
      <c r="G414" s="216"/>
      <c r="H414" s="218"/>
      <c r="I414" s="218"/>
      <c r="J414" s="248"/>
      <c r="K414" s="225">
        <f>IF(AND($C414&lt;&gt;"",$G414&lt;&gt;"Đã phản hồi"),COUNTIFS($C$6:$C414,"?*",$G$6:$G414,"&lt;&gt;Đã phản hồi"),"")</f>
      </c>
    </row>
    <row r="415">
      <c r="A415" s="223">
        <f>IF($C415="","",ROW()-5)</f>
      </c>
      <c r="B415" s="245"/>
      <c r="C415" s="246"/>
      <c r="D415" s="247"/>
      <c r="E415" s="247"/>
      <c r="F415" s="246"/>
      <c r="G415" s="216"/>
      <c r="H415" s="218"/>
      <c r="I415" s="218"/>
      <c r="J415" s="248"/>
      <c r="K415" s="225">
        <f>IF(AND($C415&lt;&gt;"",$G415&lt;&gt;"Đã phản hồi"),COUNTIFS($C$6:$C415,"?*",$G$6:$G415,"&lt;&gt;Đã phản hồi"),"")</f>
      </c>
    </row>
    <row r="416">
      <c r="A416" s="223">
        <f>IF($C416="","",ROW()-5)</f>
      </c>
      <c r="B416" s="245"/>
      <c r="C416" s="246"/>
      <c r="D416" s="247"/>
      <c r="E416" s="247"/>
      <c r="F416" s="246"/>
      <c r="G416" s="216"/>
      <c r="H416" s="218"/>
      <c r="I416" s="218"/>
      <c r="J416" s="248"/>
      <c r="K416" s="225">
        <f>IF(AND($C416&lt;&gt;"",$G416&lt;&gt;"Đã phản hồi"),COUNTIFS($C$6:$C416,"?*",$G$6:$G416,"&lt;&gt;Đã phản hồi"),"")</f>
      </c>
    </row>
    <row r="417">
      <c r="A417" s="223">
        <f>IF($C417="","",ROW()-5)</f>
      </c>
      <c r="B417" s="245"/>
      <c r="C417" s="246"/>
      <c r="D417" s="247"/>
      <c r="E417" s="247"/>
      <c r="F417" s="246"/>
      <c r="G417" s="216"/>
      <c r="H417" s="218"/>
      <c r="I417" s="218"/>
      <c r="J417" s="248"/>
      <c r="K417" s="225">
        <f>IF(AND($C417&lt;&gt;"",$G417&lt;&gt;"Đã phản hồi"),COUNTIFS($C$6:$C417,"?*",$G$6:$G417,"&lt;&gt;Đã phản hồi"),"")</f>
      </c>
    </row>
    <row r="418">
      <c r="A418" s="223">
        <f>IF($C418="","",ROW()-5)</f>
      </c>
      <c r="B418" s="245"/>
      <c r="C418" s="246"/>
      <c r="D418" s="247"/>
      <c r="E418" s="247"/>
      <c r="F418" s="246"/>
      <c r="G418" s="216"/>
      <c r="H418" s="218"/>
      <c r="I418" s="218"/>
      <c r="J418" s="248"/>
      <c r="K418" s="225">
        <f>IF(AND($C418&lt;&gt;"",$G418&lt;&gt;"Đã phản hồi"),COUNTIFS($C$6:$C418,"?*",$G$6:$G418,"&lt;&gt;Đã phản hồi"),"")</f>
      </c>
    </row>
    <row r="419">
      <c r="A419" s="223">
        <f>IF($C419="","",ROW()-5)</f>
      </c>
      <c r="B419" s="245"/>
      <c r="C419" s="246"/>
      <c r="D419" s="247"/>
      <c r="E419" s="247"/>
      <c r="F419" s="246"/>
      <c r="G419" s="216"/>
      <c r="H419" s="218"/>
      <c r="I419" s="218"/>
      <c r="J419" s="248"/>
      <c r="K419" s="225">
        <f>IF(AND($C419&lt;&gt;"",$G419&lt;&gt;"Đã phản hồi"),COUNTIFS($C$6:$C419,"?*",$G$6:$G419,"&lt;&gt;Đã phản hồi"),"")</f>
      </c>
    </row>
    <row r="420">
      <c r="A420" s="223">
        <f>IF($C420="","",ROW()-5)</f>
      </c>
      <c r="B420" s="245"/>
      <c r="C420" s="246"/>
      <c r="D420" s="247"/>
      <c r="E420" s="247"/>
      <c r="F420" s="246"/>
      <c r="G420" s="216"/>
      <c r="H420" s="218"/>
      <c r="I420" s="218"/>
      <c r="J420" s="248"/>
      <c r="K420" s="225">
        <f>IF(AND($C420&lt;&gt;"",$G420&lt;&gt;"Đã phản hồi"),COUNTIFS($C$6:$C420,"?*",$G$6:$G420,"&lt;&gt;Đã phản hồi"),"")</f>
      </c>
    </row>
    <row r="421">
      <c r="A421" s="223">
        <f>IF($C421="","",ROW()-5)</f>
      </c>
      <c r="B421" s="245"/>
      <c r="C421" s="246"/>
      <c r="D421" s="247"/>
      <c r="E421" s="247"/>
      <c r="F421" s="246"/>
      <c r="G421" s="216"/>
      <c r="H421" s="218"/>
      <c r="I421" s="218"/>
      <c r="J421" s="248"/>
      <c r="K421" s="225">
        <f>IF(AND($C421&lt;&gt;"",$G421&lt;&gt;"Đã phản hồi"),COUNTIFS($C$6:$C421,"?*",$G$6:$G421,"&lt;&gt;Đã phản hồi"),"")</f>
      </c>
    </row>
    <row r="422">
      <c r="A422" s="223">
        <f>IF($C422="","",ROW()-5)</f>
      </c>
      <c r="B422" s="245"/>
      <c r="C422" s="246"/>
      <c r="D422" s="247"/>
      <c r="E422" s="247"/>
      <c r="F422" s="246"/>
      <c r="G422" s="216"/>
      <c r="H422" s="218"/>
      <c r="I422" s="218"/>
      <c r="J422" s="248"/>
      <c r="K422" s="225">
        <f>IF(AND($C422&lt;&gt;"",$G422&lt;&gt;"Đã phản hồi"),COUNTIFS($C$6:$C422,"?*",$G$6:$G422,"&lt;&gt;Đã phản hồi"),"")</f>
      </c>
    </row>
    <row r="423">
      <c r="A423" s="223">
        <f>IF($C423="","",ROW()-5)</f>
      </c>
      <c r="B423" s="245"/>
      <c r="C423" s="246"/>
      <c r="D423" s="247"/>
      <c r="E423" s="247"/>
      <c r="F423" s="246"/>
      <c r="G423" s="216"/>
      <c r="H423" s="218"/>
      <c r="I423" s="218"/>
      <c r="J423" s="248"/>
      <c r="K423" s="225">
        <f>IF(AND($C423&lt;&gt;"",$G423&lt;&gt;"Đã phản hồi"),COUNTIFS($C$6:$C423,"?*",$G$6:$G423,"&lt;&gt;Đã phản hồi"),"")</f>
      </c>
    </row>
    <row r="424">
      <c r="A424" s="223">
        <f>IF($C424="","",ROW()-5)</f>
      </c>
      <c r="B424" s="245"/>
      <c r="C424" s="246"/>
      <c r="D424" s="247"/>
      <c r="E424" s="247"/>
      <c r="F424" s="246"/>
      <c r="G424" s="216"/>
      <c r="H424" s="218"/>
      <c r="I424" s="218"/>
      <c r="J424" s="248"/>
      <c r="K424" s="225">
        <f>IF(AND($C424&lt;&gt;"",$G424&lt;&gt;"Đã phản hồi"),COUNTIFS($C$6:$C424,"?*",$G$6:$G424,"&lt;&gt;Đã phản hồi"),"")</f>
      </c>
    </row>
    <row r="425">
      <c r="A425" s="223">
        <f>IF($C425="","",ROW()-5)</f>
      </c>
      <c r="B425" s="245"/>
      <c r="C425" s="246"/>
      <c r="D425" s="247"/>
      <c r="E425" s="247"/>
      <c r="F425" s="246"/>
      <c r="G425" s="216"/>
      <c r="H425" s="218"/>
      <c r="I425" s="218"/>
      <c r="J425" s="248"/>
      <c r="K425" s="225">
        <f>IF(AND($C425&lt;&gt;"",$G425&lt;&gt;"Đã phản hồi"),COUNTIFS($C$6:$C425,"?*",$G$6:$G425,"&lt;&gt;Đã phản hồi"),"")</f>
      </c>
    </row>
    <row r="426">
      <c r="A426" s="223">
        <f>IF($C426="","",ROW()-5)</f>
      </c>
      <c r="B426" s="245"/>
      <c r="C426" s="246"/>
      <c r="D426" s="247"/>
      <c r="E426" s="247"/>
      <c r="F426" s="246"/>
      <c r="G426" s="216"/>
      <c r="H426" s="218"/>
      <c r="I426" s="218"/>
      <c r="J426" s="248"/>
      <c r="K426" s="225">
        <f>IF(AND($C426&lt;&gt;"",$G426&lt;&gt;"Đã phản hồi"),COUNTIFS($C$6:$C426,"?*",$G$6:$G426,"&lt;&gt;Đã phản hồi"),"")</f>
      </c>
    </row>
    <row r="427">
      <c r="A427" s="223">
        <f>IF($C427="","",ROW()-5)</f>
      </c>
      <c r="B427" s="245"/>
      <c r="C427" s="246"/>
      <c r="D427" s="247"/>
      <c r="E427" s="247"/>
      <c r="F427" s="246"/>
      <c r="G427" s="216"/>
      <c r="H427" s="218"/>
      <c r="I427" s="218"/>
      <c r="J427" s="248"/>
      <c r="K427" s="225">
        <f>IF(AND($C427&lt;&gt;"",$G427&lt;&gt;"Đã phản hồi"),COUNTIFS($C$6:$C427,"?*",$G$6:$G427,"&lt;&gt;Đã phản hồi"),"")</f>
      </c>
    </row>
    <row r="428">
      <c r="A428" s="223">
        <f>IF($C428="","",ROW()-5)</f>
      </c>
      <c r="B428" s="245"/>
      <c r="C428" s="246"/>
      <c r="D428" s="247"/>
      <c r="E428" s="247"/>
      <c r="F428" s="246"/>
      <c r="G428" s="216"/>
      <c r="H428" s="218"/>
      <c r="I428" s="218"/>
      <c r="J428" s="248"/>
      <c r="K428" s="225">
        <f>IF(AND($C428&lt;&gt;"",$G428&lt;&gt;"Đã phản hồi"),COUNTIFS($C$6:$C428,"?*",$G$6:$G428,"&lt;&gt;Đã phản hồi"),"")</f>
      </c>
    </row>
    <row r="429">
      <c r="A429" s="223">
        <f>IF($C429="","",ROW()-5)</f>
      </c>
      <c r="B429" s="245"/>
      <c r="C429" s="246"/>
      <c r="D429" s="247"/>
      <c r="E429" s="247"/>
      <c r="F429" s="246"/>
      <c r="G429" s="216"/>
      <c r="H429" s="218"/>
      <c r="I429" s="218"/>
      <c r="J429" s="248"/>
      <c r="K429" s="225">
        <f>IF(AND($C429&lt;&gt;"",$G429&lt;&gt;"Đã phản hồi"),COUNTIFS($C$6:$C429,"?*",$G$6:$G429,"&lt;&gt;Đã phản hồi"),"")</f>
      </c>
    </row>
    <row r="430">
      <c r="A430" s="223">
        <f>IF($C430="","",ROW()-5)</f>
      </c>
      <c r="B430" s="245"/>
      <c r="C430" s="246"/>
      <c r="D430" s="247"/>
      <c r="E430" s="247"/>
      <c r="F430" s="246"/>
      <c r="G430" s="216"/>
      <c r="H430" s="218"/>
      <c r="I430" s="218"/>
      <c r="J430" s="248"/>
      <c r="K430" s="225">
        <f>IF(AND($C430&lt;&gt;"",$G430&lt;&gt;"Đã phản hồi"),COUNTIFS($C$6:$C430,"?*",$G$6:$G430,"&lt;&gt;Đã phản hồi"),"")</f>
      </c>
    </row>
    <row r="431">
      <c r="A431" s="223">
        <f>IF($C431="","",ROW()-5)</f>
      </c>
      <c r="B431" s="245"/>
      <c r="C431" s="246"/>
      <c r="D431" s="247"/>
      <c r="E431" s="247"/>
      <c r="F431" s="246"/>
      <c r="G431" s="216"/>
      <c r="H431" s="218"/>
      <c r="I431" s="218"/>
      <c r="J431" s="248"/>
      <c r="K431" s="225">
        <f>IF(AND($C431&lt;&gt;"",$G431&lt;&gt;"Đã phản hồi"),COUNTIFS($C$6:$C431,"?*",$G$6:$G431,"&lt;&gt;Đã phản hồi"),"")</f>
      </c>
    </row>
    <row r="432">
      <c r="A432" s="223">
        <f>IF($C432="","",ROW()-5)</f>
      </c>
      <c r="B432" s="245"/>
      <c r="C432" s="246"/>
      <c r="D432" s="247"/>
      <c r="E432" s="247"/>
      <c r="F432" s="246"/>
      <c r="G432" s="216"/>
      <c r="H432" s="218"/>
      <c r="I432" s="218"/>
      <c r="J432" s="248"/>
      <c r="K432" s="225">
        <f>IF(AND($C432&lt;&gt;"",$G432&lt;&gt;"Đã phản hồi"),COUNTIFS($C$6:$C432,"?*",$G$6:$G432,"&lt;&gt;Đã phản hồi"),"")</f>
      </c>
    </row>
    <row r="433">
      <c r="A433" s="223">
        <f>IF($C433="","",ROW()-5)</f>
      </c>
      <c r="B433" s="245"/>
      <c r="C433" s="246"/>
      <c r="D433" s="247"/>
      <c r="E433" s="247"/>
      <c r="F433" s="246"/>
      <c r="G433" s="216"/>
      <c r="H433" s="218"/>
      <c r="I433" s="218"/>
      <c r="J433" s="248"/>
      <c r="K433" s="225">
        <f>IF(AND($C433&lt;&gt;"",$G433&lt;&gt;"Đã phản hồi"),COUNTIFS($C$6:$C433,"?*",$G$6:$G433,"&lt;&gt;Đã phản hồi"),"")</f>
      </c>
    </row>
    <row r="434">
      <c r="A434" s="223">
        <f>IF($C434="","",ROW()-5)</f>
      </c>
      <c r="B434" s="245"/>
      <c r="C434" s="246"/>
      <c r="D434" s="247"/>
      <c r="E434" s="247"/>
      <c r="F434" s="246"/>
      <c r="G434" s="216"/>
      <c r="H434" s="218"/>
      <c r="I434" s="218"/>
      <c r="J434" s="248"/>
      <c r="K434" s="225">
        <f>IF(AND($C434&lt;&gt;"",$G434&lt;&gt;"Đã phản hồi"),COUNTIFS($C$6:$C434,"?*",$G$6:$G434,"&lt;&gt;Đã phản hồi"),"")</f>
      </c>
    </row>
    <row r="435">
      <c r="A435" s="223">
        <f>IF($C435="","",ROW()-5)</f>
      </c>
      <c r="B435" s="245"/>
      <c r="C435" s="246"/>
      <c r="D435" s="247"/>
      <c r="E435" s="247"/>
      <c r="F435" s="246"/>
      <c r="G435" s="216"/>
      <c r="H435" s="218"/>
      <c r="I435" s="218"/>
      <c r="J435" s="248"/>
      <c r="K435" s="225">
        <f>IF(AND($C435&lt;&gt;"",$G435&lt;&gt;"Đã phản hồi"),COUNTIFS($C$6:$C435,"?*",$G$6:$G435,"&lt;&gt;Đã phản hồi"),"")</f>
      </c>
    </row>
    <row r="436">
      <c r="A436" s="223">
        <f>IF($C436="","",ROW()-5)</f>
      </c>
      <c r="B436" s="245"/>
      <c r="C436" s="246"/>
      <c r="D436" s="247"/>
      <c r="E436" s="247"/>
      <c r="F436" s="246"/>
      <c r="G436" s="216"/>
      <c r="H436" s="218"/>
      <c r="I436" s="218"/>
      <c r="J436" s="248"/>
      <c r="K436" s="225">
        <f>IF(AND($C436&lt;&gt;"",$G436&lt;&gt;"Đã phản hồi"),COUNTIFS($C$6:$C436,"?*",$G$6:$G436,"&lt;&gt;Đã phản hồi"),"")</f>
      </c>
    </row>
    <row r="437">
      <c r="A437" s="223">
        <f>IF($C437="","",ROW()-5)</f>
      </c>
      <c r="B437" s="245"/>
      <c r="C437" s="246"/>
      <c r="D437" s="247"/>
      <c r="E437" s="247"/>
      <c r="F437" s="246"/>
      <c r="G437" s="216"/>
      <c r="H437" s="218"/>
      <c r="I437" s="218"/>
      <c r="J437" s="248"/>
      <c r="K437" s="225">
        <f>IF(AND($C437&lt;&gt;"",$G437&lt;&gt;"Đã phản hồi"),COUNTIFS($C$6:$C437,"?*",$G$6:$G437,"&lt;&gt;Đã phản hồi"),"")</f>
      </c>
    </row>
    <row r="438">
      <c r="A438" s="223">
        <f>IF($C438="","",ROW()-5)</f>
      </c>
      <c r="B438" s="245"/>
      <c r="C438" s="246"/>
      <c r="D438" s="247"/>
      <c r="E438" s="247"/>
      <c r="F438" s="246"/>
      <c r="G438" s="216"/>
      <c r="H438" s="218"/>
      <c r="I438" s="218"/>
      <c r="J438" s="248"/>
      <c r="K438" s="225">
        <f>IF(AND($C438&lt;&gt;"",$G438&lt;&gt;"Đã phản hồi"),COUNTIFS($C$6:$C438,"?*",$G$6:$G438,"&lt;&gt;Đã phản hồi"),"")</f>
      </c>
    </row>
    <row r="439">
      <c r="A439" s="223">
        <f>IF($C439="","",ROW()-5)</f>
      </c>
      <c r="B439" s="245"/>
      <c r="C439" s="246"/>
      <c r="D439" s="247"/>
      <c r="E439" s="247"/>
      <c r="F439" s="246"/>
      <c r="G439" s="216"/>
      <c r="H439" s="218"/>
      <c r="I439" s="218"/>
      <c r="J439" s="248"/>
      <c r="K439" s="225">
        <f>IF(AND($C439&lt;&gt;"",$G439&lt;&gt;"Đã phản hồi"),COUNTIFS($C$6:$C439,"?*",$G$6:$G439,"&lt;&gt;Đã phản hồi"),"")</f>
      </c>
    </row>
    <row r="440">
      <c r="A440" s="223">
        <f>IF($C440="","",ROW()-5)</f>
      </c>
      <c r="B440" s="245"/>
      <c r="C440" s="246"/>
      <c r="D440" s="247"/>
      <c r="E440" s="247"/>
      <c r="F440" s="246"/>
      <c r="G440" s="216"/>
      <c r="H440" s="218"/>
      <c r="I440" s="218"/>
      <c r="J440" s="248"/>
      <c r="K440" s="225">
        <f>IF(AND($C440&lt;&gt;"",$G440&lt;&gt;"Đã phản hồi"),COUNTIFS($C$6:$C440,"?*",$G$6:$G440,"&lt;&gt;Đã phản hồi"),"")</f>
      </c>
    </row>
    <row r="441">
      <c r="A441" s="223">
        <f>IF($C441="","",ROW()-5)</f>
      </c>
      <c r="B441" s="245"/>
      <c r="C441" s="246"/>
      <c r="D441" s="247"/>
      <c r="E441" s="247"/>
      <c r="F441" s="246"/>
      <c r="G441" s="216"/>
      <c r="H441" s="218"/>
      <c r="I441" s="218"/>
      <c r="J441" s="248"/>
      <c r="K441" s="225">
        <f>IF(AND($C441&lt;&gt;"",$G441&lt;&gt;"Đã phản hồi"),COUNTIFS($C$6:$C441,"?*",$G$6:$G441,"&lt;&gt;Đã phản hồi"),"")</f>
      </c>
    </row>
    <row r="442">
      <c r="A442" s="223">
        <f>IF($C442="","",ROW()-5)</f>
      </c>
      <c r="B442" s="245"/>
      <c r="C442" s="246"/>
      <c r="D442" s="247"/>
      <c r="E442" s="247"/>
      <c r="F442" s="246"/>
      <c r="G442" s="216"/>
      <c r="H442" s="218"/>
      <c r="I442" s="218"/>
      <c r="J442" s="248"/>
      <c r="K442" s="225">
        <f>IF(AND($C442&lt;&gt;"",$G442&lt;&gt;"Đã phản hồi"),COUNTIFS($C$6:$C442,"?*",$G$6:$G442,"&lt;&gt;Đã phản hồi"),"")</f>
      </c>
    </row>
    <row r="443">
      <c r="A443" s="223">
        <f>IF($C443="","",ROW()-5)</f>
      </c>
      <c r="B443" s="245"/>
      <c r="C443" s="246"/>
      <c r="D443" s="247"/>
      <c r="E443" s="247"/>
      <c r="F443" s="246"/>
      <c r="G443" s="216"/>
      <c r="H443" s="218"/>
      <c r="I443" s="218"/>
      <c r="J443" s="248"/>
      <c r="K443" s="225">
        <f>IF(AND($C443&lt;&gt;"",$G443&lt;&gt;"Đã phản hồi"),COUNTIFS($C$6:$C443,"?*",$G$6:$G443,"&lt;&gt;Đã phản hồi"),"")</f>
      </c>
    </row>
    <row r="444">
      <c r="A444" s="223">
        <f>IF($C444="","",ROW()-5)</f>
      </c>
      <c r="B444" s="245"/>
      <c r="C444" s="246"/>
      <c r="D444" s="247"/>
      <c r="E444" s="247"/>
      <c r="F444" s="246"/>
      <c r="G444" s="216"/>
      <c r="H444" s="218"/>
      <c r="I444" s="218"/>
      <c r="J444" s="248"/>
      <c r="K444" s="225">
        <f>IF(AND($C444&lt;&gt;"",$G444&lt;&gt;"Đã phản hồi"),COUNTIFS($C$6:$C444,"?*",$G$6:$G444,"&lt;&gt;Đã phản hồi"),"")</f>
      </c>
    </row>
    <row r="445">
      <c r="A445" s="223">
        <f>IF($C445="","",ROW()-5)</f>
      </c>
      <c r="B445" s="245"/>
      <c r="C445" s="246"/>
      <c r="D445" s="247"/>
      <c r="E445" s="247"/>
      <c r="F445" s="246"/>
      <c r="G445" s="216"/>
      <c r="H445" s="218"/>
      <c r="I445" s="218"/>
      <c r="J445" s="248"/>
      <c r="K445" s="225">
        <f>IF(AND($C445&lt;&gt;"",$G445&lt;&gt;"Đã phản hồi"),COUNTIFS($C$6:$C445,"?*",$G$6:$G445,"&lt;&gt;Đã phản hồi"),"")</f>
      </c>
    </row>
    <row r="446">
      <c r="A446" s="223">
        <f>IF($C446="","",ROW()-5)</f>
      </c>
      <c r="B446" s="245"/>
      <c r="C446" s="246"/>
      <c r="D446" s="247"/>
      <c r="E446" s="247"/>
      <c r="F446" s="246"/>
      <c r="G446" s="216"/>
      <c r="H446" s="218"/>
      <c r="I446" s="218"/>
      <c r="J446" s="248"/>
      <c r="K446" s="225">
        <f>IF(AND($C446&lt;&gt;"",$G446&lt;&gt;"Đã phản hồi"),COUNTIFS($C$6:$C446,"?*",$G$6:$G446,"&lt;&gt;Đã phản hồi"),"")</f>
      </c>
    </row>
    <row r="447">
      <c r="A447" s="223">
        <f>IF($C447="","",ROW()-5)</f>
      </c>
      <c r="B447" s="245"/>
      <c r="C447" s="246"/>
      <c r="D447" s="247"/>
      <c r="E447" s="247"/>
      <c r="F447" s="246"/>
      <c r="G447" s="216"/>
      <c r="H447" s="218"/>
      <c r="I447" s="218"/>
      <c r="J447" s="248"/>
      <c r="K447" s="225">
        <f>IF(AND($C447&lt;&gt;"",$G447&lt;&gt;"Đã phản hồi"),COUNTIFS($C$6:$C447,"?*",$G$6:$G447,"&lt;&gt;Đã phản hồi"),"")</f>
      </c>
    </row>
    <row r="448">
      <c r="A448" s="223">
        <f>IF($C448="","",ROW()-5)</f>
      </c>
      <c r="B448" s="245"/>
      <c r="C448" s="246"/>
      <c r="D448" s="247"/>
      <c r="E448" s="247"/>
      <c r="F448" s="246"/>
      <c r="G448" s="216"/>
      <c r="H448" s="218"/>
      <c r="I448" s="218"/>
      <c r="J448" s="248"/>
      <c r="K448" s="225">
        <f>IF(AND($C448&lt;&gt;"",$G448&lt;&gt;"Đã phản hồi"),COUNTIFS($C$6:$C448,"?*",$G$6:$G448,"&lt;&gt;Đã phản hồi"),"")</f>
      </c>
    </row>
    <row r="449">
      <c r="A449" s="223">
        <f>IF($C449="","",ROW()-5)</f>
      </c>
      <c r="B449" s="245"/>
      <c r="C449" s="246"/>
      <c r="D449" s="247"/>
      <c r="E449" s="247"/>
      <c r="F449" s="246"/>
      <c r="G449" s="216"/>
      <c r="H449" s="218"/>
      <c r="I449" s="218"/>
      <c r="J449" s="248"/>
      <c r="K449" s="225">
        <f>IF(AND($C449&lt;&gt;"",$G449&lt;&gt;"Đã phản hồi"),COUNTIFS($C$6:$C449,"?*",$G$6:$G449,"&lt;&gt;Đã phản hồi"),"")</f>
      </c>
    </row>
    <row r="450">
      <c r="A450" s="223">
        <f>IF($C450="","",ROW()-5)</f>
      </c>
      <c r="B450" s="245"/>
      <c r="C450" s="246"/>
      <c r="D450" s="247"/>
      <c r="E450" s="247"/>
      <c r="F450" s="246"/>
      <c r="G450" s="216"/>
      <c r="H450" s="218"/>
      <c r="I450" s="218"/>
      <c r="J450" s="248"/>
      <c r="K450" s="225">
        <f>IF(AND($C450&lt;&gt;"",$G450&lt;&gt;"Đã phản hồi"),COUNTIFS($C$6:$C450,"?*",$G$6:$G450,"&lt;&gt;Đã phản hồi"),"")</f>
      </c>
    </row>
    <row r="451">
      <c r="A451" s="223">
        <f>IF($C451="","",ROW()-5)</f>
      </c>
      <c r="B451" s="245"/>
      <c r="C451" s="246"/>
      <c r="D451" s="247"/>
      <c r="E451" s="247"/>
      <c r="F451" s="246"/>
      <c r="G451" s="216"/>
      <c r="H451" s="218"/>
      <c r="I451" s="218"/>
      <c r="J451" s="248"/>
      <c r="K451" s="225">
        <f>IF(AND($C451&lt;&gt;"",$G451&lt;&gt;"Đã phản hồi"),COUNTIFS($C$6:$C451,"?*",$G$6:$G451,"&lt;&gt;Đã phản hồi"),"")</f>
      </c>
    </row>
    <row r="452">
      <c r="A452" s="223">
        <f>IF($C452="","",ROW()-5)</f>
      </c>
      <c r="B452" s="245"/>
      <c r="C452" s="246"/>
      <c r="D452" s="247"/>
      <c r="E452" s="247"/>
      <c r="F452" s="246"/>
      <c r="G452" s="216"/>
      <c r="H452" s="218"/>
      <c r="I452" s="218"/>
      <c r="J452" s="248"/>
      <c r="K452" s="225">
        <f>IF(AND($C452&lt;&gt;"",$G452&lt;&gt;"Đã phản hồi"),COUNTIFS($C$6:$C452,"?*",$G$6:$G452,"&lt;&gt;Đã phản hồi"),"")</f>
      </c>
    </row>
    <row r="453">
      <c r="A453" s="223">
        <f>IF($C453="","",ROW()-5)</f>
      </c>
      <c r="B453" s="245"/>
      <c r="C453" s="246"/>
      <c r="D453" s="247"/>
      <c r="E453" s="247"/>
      <c r="F453" s="246"/>
      <c r="G453" s="216"/>
      <c r="H453" s="218"/>
      <c r="I453" s="218"/>
      <c r="J453" s="248"/>
      <c r="K453" s="225">
        <f>IF(AND($C453&lt;&gt;"",$G453&lt;&gt;"Đã phản hồi"),COUNTIFS($C$6:$C453,"?*",$G$6:$G453,"&lt;&gt;Đã phản hồi"),"")</f>
      </c>
    </row>
    <row r="454">
      <c r="A454" s="223">
        <f>IF($C454="","",ROW()-5)</f>
      </c>
      <c r="B454" s="245"/>
      <c r="C454" s="246"/>
      <c r="D454" s="247"/>
      <c r="E454" s="247"/>
      <c r="F454" s="246"/>
      <c r="G454" s="216"/>
      <c r="H454" s="218"/>
      <c r="I454" s="218"/>
      <c r="J454" s="248"/>
      <c r="K454" s="225">
        <f>IF(AND($C454&lt;&gt;"",$G454&lt;&gt;"Đã phản hồi"),COUNTIFS($C$6:$C454,"?*",$G$6:$G454,"&lt;&gt;Đã phản hồi"),"")</f>
      </c>
    </row>
    <row r="455">
      <c r="A455" s="223">
        <f>IF($C455="","",ROW()-5)</f>
      </c>
      <c r="B455" s="245"/>
      <c r="C455" s="246"/>
      <c r="D455" s="247"/>
      <c r="E455" s="247"/>
      <c r="F455" s="246"/>
      <c r="G455" s="216"/>
      <c r="H455" s="218"/>
      <c r="I455" s="218"/>
      <c r="J455" s="248"/>
      <c r="K455" s="225">
        <f>IF(AND($C455&lt;&gt;"",$G455&lt;&gt;"Đã phản hồi"),COUNTIFS($C$6:$C455,"?*",$G$6:$G455,"&lt;&gt;Đã phản hồi"),"")</f>
      </c>
    </row>
    <row r="456">
      <c r="A456" s="223">
        <f>IF($C456="","",ROW()-5)</f>
      </c>
      <c r="B456" s="245"/>
      <c r="C456" s="246"/>
      <c r="D456" s="247"/>
      <c r="E456" s="247"/>
      <c r="F456" s="246"/>
      <c r="G456" s="216"/>
      <c r="H456" s="218"/>
      <c r="I456" s="218"/>
      <c r="J456" s="248"/>
      <c r="K456" s="225">
        <f>IF(AND($C456&lt;&gt;"",$G456&lt;&gt;"Đã phản hồi"),COUNTIFS($C$6:$C456,"?*",$G$6:$G456,"&lt;&gt;Đã phản hồi"),"")</f>
      </c>
    </row>
    <row r="457">
      <c r="A457" s="223">
        <f>IF($C457="","",ROW()-5)</f>
      </c>
      <c r="B457" s="245"/>
      <c r="C457" s="246"/>
      <c r="D457" s="247"/>
      <c r="E457" s="247"/>
      <c r="F457" s="246"/>
      <c r="G457" s="216"/>
      <c r="H457" s="218"/>
      <c r="I457" s="218"/>
      <c r="J457" s="248"/>
      <c r="K457" s="225">
        <f>IF(AND($C457&lt;&gt;"",$G457&lt;&gt;"Đã phản hồi"),COUNTIFS($C$6:$C457,"?*",$G$6:$G457,"&lt;&gt;Đã phản hồi"),"")</f>
      </c>
    </row>
    <row r="458">
      <c r="A458" s="223">
        <f>IF($C458="","",ROW()-5)</f>
      </c>
      <c r="B458" s="245"/>
      <c r="C458" s="246"/>
      <c r="D458" s="247"/>
      <c r="E458" s="247"/>
      <c r="F458" s="246"/>
      <c r="G458" s="216"/>
      <c r="H458" s="218"/>
      <c r="I458" s="218"/>
      <c r="J458" s="248"/>
      <c r="K458" s="225">
        <f>IF(AND($C458&lt;&gt;"",$G458&lt;&gt;"Đã phản hồi"),COUNTIFS($C$6:$C458,"?*",$G$6:$G458,"&lt;&gt;Đã phản hồi"),"")</f>
      </c>
    </row>
    <row r="459">
      <c r="A459" s="223">
        <f>IF($C459="","",ROW()-5)</f>
      </c>
      <c r="B459" s="245"/>
      <c r="C459" s="246"/>
      <c r="D459" s="247"/>
      <c r="E459" s="247"/>
      <c r="F459" s="246"/>
      <c r="G459" s="216"/>
      <c r="H459" s="218"/>
      <c r="I459" s="218"/>
      <c r="J459" s="248"/>
      <c r="K459" s="225">
        <f>IF(AND($C459&lt;&gt;"",$G459&lt;&gt;"Đã phản hồi"),COUNTIFS($C$6:$C459,"?*",$G$6:$G459,"&lt;&gt;Đã phản hồi"),"")</f>
      </c>
    </row>
    <row r="460">
      <c r="A460" s="223">
        <f>IF($C460="","",ROW()-5)</f>
      </c>
      <c r="B460" s="245"/>
      <c r="C460" s="246"/>
      <c r="D460" s="247"/>
      <c r="E460" s="247"/>
      <c r="F460" s="246"/>
      <c r="G460" s="216"/>
      <c r="H460" s="218"/>
      <c r="I460" s="218"/>
      <c r="J460" s="248"/>
      <c r="K460" s="225">
        <f>IF(AND($C460&lt;&gt;"",$G460&lt;&gt;"Đã phản hồi"),COUNTIFS($C$6:$C460,"?*",$G$6:$G460,"&lt;&gt;Đã phản hồi"),"")</f>
      </c>
    </row>
    <row r="461">
      <c r="A461" s="223">
        <f>IF($C461="","",ROW()-5)</f>
      </c>
      <c r="B461" s="245"/>
      <c r="C461" s="246"/>
      <c r="D461" s="247"/>
      <c r="E461" s="247"/>
      <c r="F461" s="246"/>
      <c r="G461" s="216"/>
      <c r="H461" s="218"/>
      <c r="I461" s="218"/>
      <c r="J461" s="248"/>
      <c r="K461" s="225">
        <f>IF(AND($C461&lt;&gt;"",$G461&lt;&gt;"Đã phản hồi"),COUNTIFS($C$6:$C461,"?*",$G$6:$G461,"&lt;&gt;Đã phản hồi"),"")</f>
      </c>
    </row>
    <row r="462">
      <c r="A462" s="223">
        <f>IF($C462="","",ROW()-5)</f>
      </c>
      <c r="B462" s="245"/>
      <c r="C462" s="246"/>
      <c r="D462" s="247"/>
      <c r="E462" s="247"/>
      <c r="F462" s="246"/>
      <c r="G462" s="216"/>
      <c r="H462" s="218"/>
      <c r="I462" s="218"/>
      <c r="J462" s="248"/>
      <c r="K462" s="225">
        <f>IF(AND($C462&lt;&gt;"",$G462&lt;&gt;"Đã phản hồi"),COUNTIFS($C$6:$C462,"?*",$G$6:$G462,"&lt;&gt;Đã phản hồi"),"")</f>
      </c>
    </row>
    <row r="463">
      <c r="A463" s="223">
        <f>IF($C463="","",ROW()-5)</f>
      </c>
      <c r="B463" s="245"/>
      <c r="C463" s="246"/>
      <c r="D463" s="247"/>
      <c r="E463" s="247"/>
      <c r="F463" s="246"/>
      <c r="G463" s="216"/>
      <c r="H463" s="218"/>
      <c r="I463" s="218"/>
      <c r="J463" s="248"/>
      <c r="K463" s="225">
        <f>IF(AND($C463&lt;&gt;"",$G463&lt;&gt;"Đã phản hồi"),COUNTIFS($C$6:$C463,"?*",$G$6:$G463,"&lt;&gt;Đã phản hồi"),"")</f>
      </c>
    </row>
    <row r="464">
      <c r="A464" s="223">
        <f>IF($C464="","",ROW()-5)</f>
      </c>
      <c r="B464" s="245"/>
      <c r="C464" s="246"/>
      <c r="D464" s="247"/>
      <c r="E464" s="247"/>
      <c r="F464" s="246"/>
      <c r="G464" s="216"/>
      <c r="H464" s="218"/>
      <c r="I464" s="218"/>
      <c r="J464" s="248"/>
      <c r="K464" s="225">
        <f>IF(AND($C464&lt;&gt;"",$G464&lt;&gt;"Đã phản hồi"),COUNTIFS($C$6:$C464,"?*",$G$6:$G464,"&lt;&gt;Đã phản hồi"),"")</f>
      </c>
    </row>
    <row r="465">
      <c r="A465" s="223">
        <f>IF($C465="","",ROW()-5)</f>
      </c>
      <c r="B465" s="245"/>
      <c r="C465" s="246"/>
      <c r="D465" s="247"/>
      <c r="E465" s="247"/>
      <c r="F465" s="246"/>
      <c r="G465" s="216"/>
      <c r="H465" s="218"/>
      <c r="I465" s="218"/>
      <c r="J465" s="248"/>
      <c r="K465" s="225">
        <f>IF(AND($C465&lt;&gt;"",$G465&lt;&gt;"Đã phản hồi"),COUNTIFS($C$6:$C465,"?*",$G$6:$G465,"&lt;&gt;Đã phản hồi"),"")</f>
      </c>
    </row>
    <row r="466">
      <c r="A466" s="223">
        <f>IF($C466="","",ROW()-5)</f>
      </c>
      <c r="B466" s="245"/>
      <c r="C466" s="246"/>
      <c r="D466" s="247"/>
      <c r="E466" s="247"/>
      <c r="F466" s="246"/>
      <c r="G466" s="216"/>
      <c r="H466" s="218"/>
      <c r="I466" s="218"/>
      <c r="J466" s="248"/>
      <c r="K466" s="225">
        <f>IF(AND($C466&lt;&gt;"",$G466&lt;&gt;"Đã phản hồi"),COUNTIFS($C$6:$C466,"?*",$G$6:$G466,"&lt;&gt;Đã phản hồi"),"")</f>
      </c>
    </row>
    <row r="467">
      <c r="A467" s="223">
        <f>IF($C467="","",ROW()-5)</f>
      </c>
      <c r="B467" s="245"/>
      <c r="C467" s="246"/>
      <c r="D467" s="247"/>
      <c r="E467" s="247"/>
      <c r="F467" s="246"/>
      <c r="G467" s="216"/>
      <c r="H467" s="218"/>
      <c r="I467" s="218"/>
      <c r="J467" s="248"/>
      <c r="K467" s="225">
        <f>IF(AND($C467&lt;&gt;"",$G467&lt;&gt;"Đã phản hồi"),COUNTIFS($C$6:$C467,"?*",$G$6:$G467,"&lt;&gt;Đã phản hồi"),"")</f>
      </c>
    </row>
    <row r="468">
      <c r="A468" s="223">
        <f>IF($C468="","",ROW()-5)</f>
      </c>
      <c r="B468" s="245"/>
      <c r="C468" s="246"/>
      <c r="D468" s="247"/>
      <c r="E468" s="247"/>
      <c r="F468" s="246"/>
      <c r="G468" s="216"/>
      <c r="H468" s="218"/>
      <c r="I468" s="218"/>
      <c r="J468" s="248"/>
      <c r="K468" s="225">
        <f>IF(AND($C468&lt;&gt;"",$G468&lt;&gt;"Đã phản hồi"),COUNTIFS($C$6:$C468,"?*",$G$6:$G468,"&lt;&gt;Đã phản hồi"),"")</f>
      </c>
    </row>
    <row r="469">
      <c r="A469" s="223">
        <f>IF($C469="","",ROW()-5)</f>
      </c>
      <c r="B469" s="245"/>
      <c r="C469" s="246"/>
      <c r="D469" s="247"/>
      <c r="E469" s="247"/>
      <c r="F469" s="246"/>
      <c r="G469" s="216"/>
      <c r="H469" s="218"/>
      <c r="I469" s="218"/>
      <c r="J469" s="248"/>
      <c r="K469" s="225">
        <f>IF(AND($C469&lt;&gt;"",$G469&lt;&gt;"Đã phản hồi"),COUNTIFS($C$6:$C469,"?*",$G$6:$G469,"&lt;&gt;Đã phản hồi"),"")</f>
      </c>
    </row>
    <row r="470">
      <c r="A470" s="223">
        <f>IF($C470="","",ROW()-5)</f>
      </c>
      <c r="B470" s="245"/>
      <c r="C470" s="246"/>
      <c r="D470" s="247"/>
      <c r="E470" s="247"/>
      <c r="F470" s="246"/>
      <c r="G470" s="216"/>
      <c r="H470" s="218"/>
      <c r="I470" s="218"/>
      <c r="J470" s="248"/>
      <c r="K470" s="225">
        <f>IF(AND($C470&lt;&gt;"",$G470&lt;&gt;"Đã phản hồi"),COUNTIFS($C$6:$C470,"?*",$G$6:$G470,"&lt;&gt;Đã phản hồi"),"")</f>
      </c>
    </row>
    <row r="471">
      <c r="A471" s="223">
        <f>IF($C471="","",ROW()-5)</f>
      </c>
      <c r="B471" s="245"/>
      <c r="C471" s="246"/>
      <c r="D471" s="247"/>
      <c r="E471" s="247"/>
      <c r="F471" s="246"/>
      <c r="G471" s="216"/>
      <c r="H471" s="218"/>
      <c r="I471" s="218"/>
      <c r="J471" s="248"/>
      <c r="K471" s="225">
        <f>IF(AND($C471&lt;&gt;"",$G471&lt;&gt;"Đã phản hồi"),COUNTIFS($C$6:$C471,"?*",$G$6:$G471,"&lt;&gt;Đã phản hồi"),"")</f>
      </c>
    </row>
    <row r="472">
      <c r="A472" s="223">
        <f>IF($C472="","",ROW()-5)</f>
      </c>
      <c r="B472" s="245"/>
      <c r="C472" s="246"/>
      <c r="D472" s="247"/>
      <c r="E472" s="247"/>
      <c r="F472" s="246"/>
      <c r="G472" s="216"/>
      <c r="H472" s="218"/>
      <c r="I472" s="218"/>
      <c r="J472" s="248"/>
      <c r="K472" s="225">
        <f>IF(AND($C472&lt;&gt;"",$G472&lt;&gt;"Đã phản hồi"),COUNTIFS($C$6:$C472,"?*",$G$6:$G472,"&lt;&gt;Đã phản hồi"),"")</f>
      </c>
    </row>
    <row r="473">
      <c r="A473" s="223">
        <f>IF($C473="","",ROW()-5)</f>
      </c>
      <c r="B473" s="245"/>
      <c r="C473" s="246"/>
      <c r="D473" s="247"/>
      <c r="E473" s="247"/>
      <c r="F473" s="246"/>
      <c r="G473" s="216"/>
      <c r="H473" s="218"/>
      <c r="I473" s="218"/>
      <c r="J473" s="248"/>
      <c r="K473" s="225">
        <f>IF(AND($C473&lt;&gt;"",$G473&lt;&gt;"Đã phản hồi"),COUNTIFS($C$6:$C473,"?*",$G$6:$G473,"&lt;&gt;Đã phản hồi"),"")</f>
      </c>
    </row>
    <row r="474">
      <c r="A474" s="223">
        <f>IF($C474="","",ROW()-5)</f>
      </c>
      <c r="B474" s="245"/>
      <c r="C474" s="246"/>
      <c r="D474" s="247"/>
      <c r="E474" s="247"/>
      <c r="F474" s="246"/>
      <c r="G474" s="216"/>
      <c r="H474" s="218"/>
      <c r="I474" s="218"/>
      <c r="J474" s="248"/>
      <c r="K474" s="225">
        <f>IF(AND($C474&lt;&gt;"",$G474&lt;&gt;"Đã phản hồi"),COUNTIFS($C$6:$C474,"?*",$G$6:$G474,"&lt;&gt;Đã phản hồi"),"")</f>
      </c>
    </row>
    <row r="475">
      <c r="A475" s="223">
        <f>IF($C475="","",ROW()-5)</f>
      </c>
      <c r="B475" s="245"/>
      <c r="C475" s="246"/>
      <c r="D475" s="247"/>
      <c r="E475" s="247"/>
      <c r="F475" s="246"/>
      <c r="G475" s="216"/>
      <c r="H475" s="218"/>
      <c r="I475" s="218"/>
      <c r="J475" s="248"/>
      <c r="K475" s="225">
        <f>IF(AND($C475&lt;&gt;"",$G475&lt;&gt;"Đã phản hồi"),COUNTIFS($C$6:$C475,"?*",$G$6:$G475,"&lt;&gt;Đã phản hồi"),"")</f>
      </c>
    </row>
    <row r="476">
      <c r="A476" s="223">
        <f>IF($C476="","",ROW()-5)</f>
      </c>
      <c r="B476" s="245"/>
      <c r="C476" s="246"/>
      <c r="D476" s="247"/>
      <c r="E476" s="247"/>
      <c r="F476" s="246"/>
      <c r="G476" s="216"/>
      <c r="H476" s="218"/>
      <c r="I476" s="218"/>
      <c r="J476" s="248"/>
      <c r="K476" s="225">
        <f>IF(AND($C476&lt;&gt;"",$G476&lt;&gt;"Đã phản hồi"),COUNTIFS($C$6:$C476,"?*",$G$6:$G476,"&lt;&gt;Đã phản hồi"),"")</f>
      </c>
    </row>
    <row r="477">
      <c r="A477" s="223">
        <f>IF($C477="","",ROW()-5)</f>
      </c>
      <c r="B477" s="245"/>
      <c r="C477" s="246"/>
      <c r="D477" s="247"/>
      <c r="E477" s="247"/>
      <c r="F477" s="246"/>
      <c r="G477" s="216"/>
      <c r="H477" s="218"/>
      <c r="I477" s="218"/>
      <c r="J477" s="248"/>
      <c r="K477" s="225">
        <f>IF(AND($C477&lt;&gt;"",$G477&lt;&gt;"Đã phản hồi"),COUNTIFS($C$6:$C477,"?*",$G$6:$G477,"&lt;&gt;Đã phản hồi"),"")</f>
      </c>
    </row>
    <row r="478">
      <c r="A478" s="223">
        <f>IF($C478="","",ROW()-5)</f>
      </c>
      <c r="B478" s="245"/>
      <c r="C478" s="246"/>
      <c r="D478" s="247"/>
      <c r="E478" s="247"/>
      <c r="F478" s="246"/>
      <c r="G478" s="216"/>
      <c r="H478" s="218"/>
      <c r="I478" s="218"/>
      <c r="J478" s="248"/>
      <c r="K478" s="225">
        <f>IF(AND($C478&lt;&gt;"",$G478&lt;&gt;"Đã phản hồi"),COUNTIFS($C$6:$C478,"?*",$G$6:$G478,"&lt;&gt;Đã phản hồi"),"")</f>
      </c>
    </row>
    <row r="479">
      <c r="A479" s="223">
        <f>IF($C479="","",ROW()-5)</f>
      </c>
      <c r="B479" s="245"/>
      <c r="C479" s="246"/>
      <c r="D479" s="247"/>
      <c r="E479" s="247"/>
      <c r="F479" s="246"/>
      <c r="G479" s="216"/>
      <c r="H479" s="218"/>
      <c r="I479" s="218"/>
      <c r="J479" s="248"/>
      <c r="K479" s="225">
        <f>IF(AND($C479&lt;&gt;"",$G479&lt;&gt;"Đã phản hồi"),COUNTIFS($C$6:$C479,"?*",$G$6:$G479,"&lt;&gt;Đã phản hồi"),"")</f>
      </c>
    </row>
    <row r="480">
      <c r="A480" s="223">
        <f>IF($C480="","",ROW()-5)</f>
      </c>
      <c r="B480" s="245"/>
      <c r="C480" s="246"/>
      <c r="D480" s="247"/>
      <c r="E480" s="247"/>
      <c r="F480" s="246"/>
      <c r="G480" s="216"/>
      <c r="H480" s="218"/>
      <c r="I480" s="218"/>
      <c r="J480" s="248"/>
      <c r="K480" s="225">
        <f>IF(AND($C480&lt;&gt;"",$G480&lt;&gt;"Đã phản hồi"),COUNTIFS($C$6:$C480,"?*",$G$6:$G480,"&lt;&gt;Đã phản hồi"),"")</f>
      </c>
    </row>
    <row r="481">
      <c r="A481" s="223">
        <f>IF($C481="","",ROW()-5)</f>
      </c>
      <c r="B481" s="245"/>
      <c r="C481" s="246"/>
      <c r="D481" s="247"/>
      <c r="E481" s="247"/>
      <c r="F481" s="246"/>
      <c r="G481" s="216"/>
      <c r="H481" s="218"/>
      <c r="I481" s="218"/>
      <c r="J481" s="248"/>
      <c r="K481" s="225">
        <f>IF(AND($C481&lt;&gt;"",$G481&lt;&gt;"Đã phản hồi"),COUNTIFS($C$6:$C481,"?*",$G$6:$G481,"&lt;&gt;Đã phản hồi"),"")</f>
      </c>
    </row>
    <row r="482">
      <c r="A482" s="223">
        <f>IF($C482="","",ROW()-5)</f>
      </c>
      <c r="B482" s="245"/>
      <c r="C482" s="246"/>
      <c r="D482" s="247"/>
      <c r="E482" s="247"/>
      <c r="F482" s="246"/>
      <c r="G482" s="216"/>
      <c r="H482" s="218"/>
      <c r="I482" s="218"/>
      <c r="J482" s="248"/>
      <c r="K482" s="225">
        <f>IF(AND($C482&lt;&gt;"",$G482&lt;&gt;"Đã phản hồi"),COUNTIFS($C$6:$C482,"?*",$G$6:$G482,"&lt;&gt;Đã phản hồi"),"")</f>
      </c>
    </row>
    <row r="483">
      <c r="A483" s="223">
        <f>IF($C483="","",ROW()-5)</f>
      </c>
      <c r="B483" s="245"/>
      <c r="C483" s="246"/>
      <c r="D483" s="247"/>
      <c r="E483" s="247"/>
      <c r="F483" s="246"/>
      <c r="G483" s="216"/>
      <c r="H483" s="218"/>
      <c r="I483" s="218"/>
      <c r="J483" s="248"/>
      <c r="K483" s="225">
        <f>IF(AND($C483&lt;&gt;"",$G483&lt;&gt;"Đã phản hồi"),COUNTIFS($C$6:$C483,"?*",$G$6:$G483,"&lt;&gt;Đã phản hồi"),"")</f>
      </c>
    </row>
    <row r="484">
      <c r="A484" s="223">
        <f>IF($C484="","",ROW()-5)</f>
      </c>
      <c r="B484" s="245"/>
      <c r="C484" s="246"/>
      <c r="D484" s="247"/>
      <c r="E484" s="247"/>
      <c r="F484" s="246"/>
      <c r="G484" s="216"/>
      <c r="H484" s="218"/>
      <c r="I484" s="218"/>
      <c r="J484" s="248"/>
      <c r="K484" s="225">
        <f>IF(AND($C484&lt;&gt;"",$G484&lt;&gt;"Đã phản hồi"),COUNTIFS($C$6:$C484,"?*",$G$6:$G484,"&lt;&gt;Đã phản hồi"),"")</f>
      </c>
    </row>
    <row r="485">
      <c r="A485" s="223">
        <f>IF($C485="","",ROW()-5)</f>
      </c>
      <c r="B485" s="245"/>
      <c r="C485" s="246"/>
      <c r="D485" s="247"/>
      <c r="E485" s="247"/>
      <c r="F485" s="246"/>
      <c r="G485" s="216"/>
      <c r="H485" s="218"/>
      <c r="I485" s="218"/>
      <c r="J485" s="248"/>
      <c r="K485" s="225">
        <f>IF(AND($C485&lt;&gt;"",$G485&lt;&gt;"Đã phản hồi"),COUNTIFS($C$6:$C485,"?*",$G$6:$G485,"&lt;&gt;Đã phản hồi"),"")</f>
      </c>
    </row>
    <row r="486">
      <c r="A486" s="223">
        <f>IF($C486="","",ROW()-5)</f>
      </c>
      <c r="B486" s="245"/>
      <c r="C486" s="246"/>
      <c r="D486" s="247"/>
      <c r="E486" s="247"/>
      <c r="F486" s="246"/>
      <c r="G486" s="216"/>
      <c r="H486" s="218"/>
      <c r="I486" s="218"/>
      <c r="J486" s="248"/>
      <c r="K486" s="225">
        <f>IF(AND($C486&lt;&gt;"",$G486&lt;&gt;"Đã phản hồi"),COUNTIFS($C$6:$C486,"?*",$G$6:$G486,"&lt;&gt;Đã phản hồi"),"")</f>
      </c>
    </row>
    <row r="487">
      <c r="A487" s="223">
        <f>IF($C487="","",ROW()-5)</f>
      </c>
      <c r="B487" s="245"/>
      <c r="C487" s="246"/>
      <c r="D487" s="247"/>
      <c r="E487" s="247"/>
      <c r="F487" s="246"/>
      <c r="G487" s="216"/>
      <c r="H487" s="218"/>
      <c r="I487" s="218"/>
      <c r="J487" s="248"/>
      <c r="K487" s="225">
        <f>IF(AND($C487&lt;&gt;"",$G487&lt;&gt;"Đã phản hồi"),COUNTIFS($C$6:$C487,"?*",$G$6:$G487,"&lt;&gt;Đã phản hồi"),"")</f>
      </c>
    </row>
    <row r="488">
      <c r="A488" s="223">
        <f>IF($C488="","",ROW()-5)</f>
      </c>
      <c r="B488" s="245"/>
      <c r="C488" s="246"/>
      <c r="D488" s="247"/>
      <c r="E488" s="247"/>
      <c r="F488" s="246"/>
      <c r="G488" s="216"/>
      <c r="H488" s="218"/>
      <c r="I488" s="218"/>
      <c r="J488" s="248"/>
      <c r="K488" s="225">
        <f>IF(AND($C488&lt;&gt;"",$G488&lt;&gt;"Đã phản hồi"),COUNTIFS($C$6:$C488,"?*",$G$6:$G488,"&lt;&gt;Đã phản hồi"),"")</f>
      </c>
    </row>
    <row r="489">
      <c r="A489" s="223">
        <f>IF($C489="","",ROW()-5)</f>
      </c>
      <c r="B489" s="245"/>
      <c r="C489" s="246"/>
      <c r="D489" s="247"/>
      <c r="E489" s="247"/>
      <c r="F489" s="246"/>
      <c r="G489" s="216"/>
      <c r="H489" s="218"/>
      <c r="I489" s="218"/>
      <c r="J489" s="248"/>
      <c r="K489" s="225">
        <f>IF(AND($C489&lt;&gt;"",$G489&lt;&gt;"Đã phản hồi"),COUNTIFS($C$6:$C489,"?*",$G$6:$G489,"&lt;&gt;Đã phản hồi"),"")</f>
      </c>
    </row>
    <row r="490">
      <c r="A490" s="223">
        <f>IF($C490="","",ROW()-5)</f>
      </c>
      <c r="B490" s="245"/>
      <c r="C490" s="246"/>
      <c r="D490" s="247"/>
      <c r="E490" s="247"/>
      <c r="F490" s="246"/>
      <c r="G490" s="216"/>
      <c r="H490" s="218"/>
      <c r="I490" s="218"/>
      <c r="J490" s="248"/>
      <c r="K490" s="225">
        <f>IF(AND($C490&lt;&gt;"",$G490&lt;&gt;"Đã phản hồi"),COUNTIFS($C$6:$C490,"?*",$G$6:$G490,"&lt;&gt;Đã phản hồi"),"")</f>
      </c>
    </row>
    <row r="491">
      <c r="A491" s="223">
        <f>IF($C491="","",ROW()-5)</f>
      </c>
      <c r="B491" s="245"/>
      <c r="C491" s="246"/>
      <c r="D491" s="247"/>
      <c r="E491" s="247"/>
      <c r="F491" s="246"/>
      <c r="G491" s="216"/>
      <c r="H491" s="218"/>
      <c r="I491" s="218"/>
      <c r="J491" s="248"/>
      <c r="K491" s="225">
        <f>IF(AND($C491&lt;&gt;"",$G491&lt;&gt;"Đã phản hồi"),COUNTIFS($C$6:$C491,"?*",$G$6:$G491,"&lt;&gt;Đã phản hồi"),"")</f>
      </c>
    </row>
    <row r="492">
      <c r="A492" s="223">
        <f>IF($C492="","",ROW()-5)</f>
      </c>
      <c r="B492" s="245"/>
      <c r="C492" s="246"/>
      <c r="D492" s="247"/>
      <c r="E492" s="247"/>
      <c r="F492" s="246"/>
      <c r="G492" s="216"/>
      <c r="H492" s="218"/>
      <c r="I492" s="218"/>
      <c r="J492" s="248"/>
      <c r="K492" s="225">
        <f>IF(AND($C492&lt;&gt;"",$G492&lt;&gt;"Đã phản hồi"),COUNTIFS($C$6:$C492,"?*",$G$6:$G492,"&lt;&gt;Đã phản hồi"),"")</f>
      </c>
    </row>
    <row r="493">
      <c r="A493" s="223">
        <f>IF($C493="","",ROW()-5)</f>
      </c>
      <c r="B493" s="245"/>
      <c r="C493" s="246"/>
      <c r="D493" s="247"/>
      <c r="E493" s="247"/>
      <c r="F493" s="246"/>
      <c r="G493" s="216"/>
      <c r="H493" s="218"/>
      <c r="I493" s="218"/>
      <c r="J493" s="248"/>
      <c r="K493" s="225">
        <f>IF(AND($C493&lt;&gt;"",$G493&lt;&gt;"Đã phản hồi"),COUNTIFS($C$6:$C493,"?*",$G$6:$G493,"&lt;&gt;Đã phản hồi"),"")</f>
      </c>
    </row>
    <row r="494">
      <c r="A494" s="223">
        <f>IF($C494="","",ROW()-5)</f>
      </c>
      <c r="B494" s="245"/>
      <c r="C494" s="246"/>
      <c r="D494" s="247"/>
      <c r="E494" s="247"/>
      <c r="F494" s="246"/>
      <c r="G494" s="216"/>
      <c r="H494" s="218"/>
      <c r="I494" s="218"/>
      <c r="J494" s="248"/>
      <c r="K494" s="225">
        <f>IF(AND($C494&lt;&gt;"",$G494&lt;&gt;"Đã phản hồi"),COUNTIFS($C$6:$C494,"?*",$G$6:$G494,"&lt;&gt;Đã phản hồi"),"")</f>
      </c>
    </row>
    <row r="495">
      <c r="A495" s="223">
        <f>IF($C495="","",ROW()-5)</f>
      </c>
      <c r="B495" s="245"/>
      <c r="C495" s="246"/>
      <c r="D495" s="247"/>
      <c r="E495" s="247"/>
      <c r="F495" s="246"/>
      <c r="G495" s="216"/>
      <c r="H495" s="218"/>
      <c r="I495" s="218"/>
      <c r="J495" s="248"/>
      <c r="K495" s="225">
        <f>IF(AND($C495&lt;&gt;"",$G495&lt;&gt;"Đã phản hồi"),COUNTIFS($C$6:$C495,"?*",$G$6:$G495,"&lt;&gt;Đã phản hồi"),"")</f>
      </c>
    </row>
    <row r="496">
      <c r="A496" s="223">
        <f>IF($C496="","",ROW()-5)</f>
      </c>
      <c r="B496" s="245"/>
      <c r="C496" s="246"/>
      <c r="D496" s="247"/>
      <c r="E496" s="247"/>
      <c r="F496" s="246"/>
      <c r="G496" s="216"/>
      <c r="H496" s="218"/>
      <c r="I496" s="218"/>
      <c r="J496" s="248"/>
      <c r="K496" s="225">
        <f>IF(AND($C496&lt;&gt;"",$G496&lt;&gt;"Đã phản hồi"),COUNTIFS($C$6:$C496,"?*",$G$6:$G496,"&lt;&gt;Đã phản hồi"),"")</f>
      </c>
    </row>
    <row r="497">
      <c r="A497" s="223">
        <f>IF($C497="","",ROW()-5)</f>
      </c>
      <c r="B497" s="245"/>
      <c r="C497" s="246"/>
      <c r="D497" s="247"/>
      <c r="E497" s="247"/>
      <c r="F497" s="246"/>
      <c r="G497" s="216"/>
      <c r="H497" s="218"/>
      <c r="I497" s="218"/>
      <c r="J497" s="248"/>
      <c r="K497" s="225">
        <f>IF(AND($C497&lt;&gt;"",$G497&lt;&gt;"Đã phản hồi"),COUNTIFS($C$6:$C497,"?*",$G$6:$G497,"&lt;&gt;Đã phản hồi"),"")</f>
      </c>
    </row>
    <row r="498">
      <c r="A498" s="223">
        <f>IF($C498="","",ROW()-5)</f>
      </c>
      <c r="B498" s="245"/>
      <c r="C498" s="246"/>
      <c r="D498" s="247"/>
      <c r="E498" s="247"/>
      <c r="F498" s="246"/>
      <c r="G498" s="216"/>
      <c r="H498" s="218"/>
      <c r="I498" s="218"/>
      <c r="J498" s="248"/>
      <c r="K498" s="225">
        <f>IF(AND($C498&lt;&gt;"",$G498&lt;&gt;"Đã phản hồi"),COUNTIFS($C$6:$C498,"?*",$G$6:$G498,"&lt;&gt;Đã phản hồi"),"")</f>
      </c>
    </row>
    <row r="499">
      <c r="A499" s="223">
        <f>IF($C499="","",ROW()-5)</f>
      </c>
      <c r="B499" s="245"/>
      <c r="C499" s="246"/>
      <c r="D499" s="247"/>
      <c r="E499" s="247"/>
      <c r="F499" s="246"/>
      <c r="G499" s="216"/>
      <c r="H499" s="218"/>
      <c r="I499" s="218"/>
      <c r="J499" s="248"/>
      <c r="K499" s="225">
        <f>IF(AND($C499&lt;&gt;"",$G499&lt;&gt;"Đã phản hồi"),COUNTIFS($C$6:$C499,"?*",$G$6:$G499,"&lt;&gt;Đã phản hồi"),"")</f>
      </c>
    </row>
    <row r="500">
      <c r="A500" s="223">
        <f>IF($C500="","",ROW()-5)</f>
      </c>
      <c r="B500" s="245"/>
      <c r="C500" s="246"/>
      <c r="D500" s="247"/>
      <c r="E500" s="247"/>
      <c r="F500" s="246"/>
      <c r="G500" s="216"/>
      <c r="H500" s="218"/>
      <c r="I500" s="218"/>
      <c r="J500" s="248"/>
      <c r="K500" s="225">
        <f>IF(AND($C500&lt;&gt;"",$G500&lt;&gt;"Đã phản hồi"),COUNTIFS($C$6:$C500,"?*",$G$6:$G500,"&lt;&gt;Đã phản hồi"),"")</f>
      </c>
    </row>
    <row r="501">
      <c r="A501" s="223">
        <f>IF($C501="","",ROW()-5)</f>
      </c>
      <c r="B501" s="245"/>
      <c r="C501" s="246"/>
      <c r="D501" s="247"/>
      <c r="E501" s="247"/>
      <c r="F501" s="246"/>
      <c r="G501" s="216"/>
      <c r="H501" s="218"/>
      <c r="I501" s="218"/>
      <c r="J501" s="248"/>
      <c r="K501" s="225">
        <f>IF(AND($C501&lt;&gt;"",$G501&lt;&gt;"Đã phản hồi"),COUNTIFS($C$6:$C501,"?*",$G$6:$G501,"&lt;&gt;Đã phản hồi"),"")</f>
      </c>
    </row>
    <row r="502">
      <c r="A502" s="223">
        <f>IF($C502="","",ROW()-5)</f>
      </c>
      <c r="B502" s="245"/>
      <c r="C502" s="246"/>
      <c r="D502" s="247"/>
      <c r="E502" s="247"/>
      <c r="F502" s="246"/>
      <c r="G502" s="216"/>
      <c r="H502" s="218"/>
      <c r="I502" s="218"/>
      <c r="J502" s="248"/>
      <c r="K502" s="225">
        <f>IF(AND($C502&lt;&gt;"",$G502&lt;&gt;"Đã phản hồi"),COUNTIFS($C$6:$C502,"?*",$G$6:$G502,"&lt;&gt;Đã phản hồi"),"")</f>
      </c>
    </row>
    <row r="503">
      <c r="A503" s="223">
        <f>IF($C503="","",ROW()-5)</f>
      </c>
      <c r="B503" s="245"/>
      <c r="C503" s="246"/>
      <c r="D503" s="247"/>
      <c r="E503" s="247"/>
      <c r="F503" s="246"/>
      <c r="G503" s="216"/>
      <c r="H503" s="218"/>
      <c r="I503" s="218"/>
      <c r="J503" s="248"/>
      <c r="K503" s="225">
        <f>IF(AND($C503&lt;&gt;"",$G503&lt;&gt;"Đã phản hồi"),COUNTIFS($C$6:$C503,"?*",$G$6:$G503,"&lt;&gt;Đã phản hồi"),"")</f>
      </c>
    </row>
    <row r="504">
      <c r="A504" s="223">
        <f>IF($C504="","",ROW()-5)</f>
      </c>
      <c r="B504" s="245"/>
      <c r="C504" s="246"/>
      <c r="D504" s="247"/>
      <c r="E504" s="247"/>
      <c r="F504" s="246"/>
      <c r="G504" s="216"/>
      <c r="H504" s="218"/>
      <c r="I504" s="218"/>
      <c r="J504" s="248"/>
      <c r="K504" s="225">
        <f>IF(AND($C504&lt;&gt;"",$G504&lt;&gt;"Đã phản hồi"),COUNTIFS($C$6:$C504,"?*",$G$6:$G504,"&lt;&gt;Đã phản hồi"),"")</f>
      </c>
    </row>
    <row r="505">
      <c r="A505" s="223">
        <f>IF($C505="","",ROW()-5)</f>
      </c>
      <c r="B505" s="245"/>
      <c r="C505" s="246"/>
      <c r="D505" s="247"/>
      <c r="E505" s="247"/>
      <c r="F505" s="246"/>
      <c r="G505" s="216"/>
      <c r="H505" s="218"/>
      <c r="I505" s="218"/>
      <c r="J505" s="248"/>
      <c r="K505" s="225">
        <f>IF(AND($C505&lt;&gt;"",$G505&lt;&gt;"Đã phản hồi"),COUNTIFS($C$6:$C505,"?*",$G$6:$G505,"&lt;&gt;Đã phản hồi"),"")</f>
      </c>
    </row>
  </sheetData>
  <sheetProtection selectLockedCells="0" selectUnlockedCells="0" sheet="1" objects="0" insertRows="1" insertHyperlinks="1" autoFilter="0" scenarios="0" formatColumns="0" deleteColumns="1" insertColumns="1" pivotTables="1" deleteRows="1" formatCells="1" formatRows="0" sort="1" password="88D8"/>
  <protectedRanges>
    <protectedRange password="DF96" sqref="G6:J505" name="PhanHoiLoiNhan"/>
  </protectedRanges>
  <autoFilter ref="A5:K505"/>
  <mergeCells count="6">
    <mergeCell ref="B4:F4"/>
    <mergeCell ref="G4:J4"/>
    <mergeCell ref="A2:K2"/>
    <mergeCell ref="A3:F3"/>
    <mergeCell ref="A1:K1"/>
    <mergeCell ref="G3:H3"/>
  </mergeCells>
  <conditionalFormatting sqref="G6:G505">
    <cfRule type="expression" priority="1" dxfId="17" stopIfTrue="0">
      <formula>AND($C6&lt;&gt;"",OR($G6="",$G6="Mới"))</formula>
    </cfRule>
    <cfRule type="expression" priority="2" dxfId="18" stopIfTrue="0">
      <formula>$G6="Đã phản hồi"</formula>
    </cfRule>
    <cfRule type="expression" priority="3" dxfId="44" stopIfTrue="0">
      <formula>$G6="Đã xem"</formula>
    </cfRule>
  </conditionalFormatting>
  <dataValidations count="3">
    <dataValidation sqref="B6:B505" showDropDown="0" showInputMessage="1" showErrorMessage="0" allowBlank="1" errorTitle="Kiểm tra dữ liệu" error="Nhập ngày giờ dạng dd/mm/yyyy hh:mm." promptTitle="Ngày và giờ" prompt="Ngày giờ dạng dd/mm/yyyy hh:mm, ví dụ 24/09/2026 14:30. Phím tắt: Ctrl+; (ngày), dấu cách, Ctrl+Shift+; (giờ)." type="decimal" operator="greaterThan">
      <formula1>36526</formula1>
    </dataValidation>
    <dataValidation sqref="G6:G505" showDropDown="0" showInputMessage="0" showErrorMessage="1" allowBlank="1" errorTitle="Kiểm tra dữ liệu" error="Giá trị chưa hợp lệ, vui lòng chọn trong danh sách hoặc nhập đúng định dạng." type="list">
      <formula1>"Mới,Đã xem,Đã phản hồi"</formula1>
    </dataValidation>
    <dataValidation sqref="J6:J505" showDropDown="0" showInputMessage="1" showErrorMessage="0" allowBlank="1" errorTitle="Kiểm tra dữ liệu" error="Nhập ngày giờ dạng dd/mm/yyyy hh:mm." promptTitle="Ngày và giờ" prompt="Ngày giờ dạng dd/mm/yyyy hh:mm, ví dụ 24/09/2026 14:30. Phím tắt: Ctrl+; (ngày), dấu cách, Ctrl+Shift+; (giờ)." type="decimal" operator="greaterThan">
      <formula1>36526</formula1>
    </dataValidation>
  </dataValidations>
  <pageMargins left="0.75" right="0.75" top="1" bottom="1" header="0.5" footer="0.5"/>
  <pageSetup orientation="landscape" paperSize="9" fitToHeight="0" fitToWidth="1"/>
</worksheet>
</file>

<file path=xl/worksheets/sheet8.xml><?xml version="1.0" encoding="utf-8"?>
<worksheet xmlns="http://schemas.openxmlformats.org/spreadsheetml/2006/main">
  <sheetPr>
    <tabColor rgb="007F8C8D"/>
    <outlinePr summaryBelow="1" summaryRight="1"/>
    <pageSetUpPr fitToPage="1"/>
  </sheetPr>
  <dimension ref="A1:AE805"/>
  <sheetViews>
    <sheetView showGridLines="0" tabSelected="0" zoomScale="100" workbookViewId="0">
      <pane ySplit="5" topLeftCell="A6" activePane="bottomLeft" state="frozen"/>
      <selection pane="bottomLeft" activeCell="A1" sqref="A1"/>
    </sheetView>
  </sheetViews>
  <sheetFormatPr baseColWidth="8" defaultRowHeight="15"/>
  <cols>
    <col width="2" customWidth="1" min="1" max="1"/>
    <col width="20" customWidth="1" min="2" max="2"/>
    <col width="8" customWidth="1" min="3" max="3"/>
    <col width="13" customWidth="1" min="4" max="4"/>
    <col width="13" customWidth="1" min="5" max="5"/>
    <col width="17" customWidth="1" min="6" max="6"/>
    <col width="17" customWidth="1" min="7" max="7"/>
    <col width="13" customWidth="1" min="8" max="8"/>
    <col width="20" customWidth="1" min="9" max="9"/>
    <col width="13" customWidth="1" min="10" max="10"/>
    <col width="10" customWidth="1" min="11" max="11"/>
    <col width="10" customWidth="1" min="12" max="12"/>
    <col width="24" customWidth="1" min="13" max="13"/>
    <col width="26" customWidth="1" min="14" max="14"/>
    <col width="2" customWidth="1" min="15" max="15"/>
    <col width="18" customWidth="1" min="16" max="16"/>
    <col width="2" customWidth="1" min="17" max="17"/>
    <col width="20" customWidth="1" min="18" max="18"/>
    <col width="24" customWidth="1" min="19" max="19"/>
    <col width="13" customWidth="1" min="20" max="20"/>
    <col width="2" customWidth="1" min="21" max="21"/>
    <col width="20" customWidth="1" min="22" max="22"/>
    <col width="24" customWidth="1" min="23" max="23"/>
    <col width="13" customWidth="1" min="24" max="24"/>
    <col width="2" customWidth="1" min="25" max="25"/>
    <col width="20" customWidth="1" min="26" max="26"/>
    <col width="2" customWidth="1" min="27" max="27"/>
    <col width="13" customWidth="1" min="28" max="28"/>
    <col width="12" customWidth="1" min="29" max="29"/>
    <col width="2" customWidth="1" min="30" max="30"/>
    <col width="12" customWidth="1" min="31" max="31"/>
  </cols>
  <sheetData>
    <row r="1" ht="34" customHeight="1">
      <c r="A1" s="183" t="inlineStr">
        <is>
          <t>DANH MỤC DÙNG CHUNG</t>
        </is>
      </c>
    </row>
    <row r="2" ht="20" customHeight="1">
      <c r="A2" s="249" t="inlineStr">
        <is>
          <t>Danh sách thả xuống cho ba tab nhập liệu. Ô nền vàng nhạt có thể sửa hoặc bổ sung: TV BQT, đơn vị, người phụ trách, người thực hiện, kênh tiếp nhận, thời hạn chuẩn.</t>
        </is>
      </c>
      <c r="B2" s="250" t="n"/>
      <c r="C2" s="250" t="n"/>
      <c r="D2" s="250" t="n"/>
      <c r="E2" s="250" t="n"/>
      <c r="F2" s="250" t="n"/>
      <c r="G2" s="250" t="n"/>
      <c r="H2" s="250" t="n"/>
      <c r="I2" s="250" t="n"/>
      <c r="J2" s="250" t="n"/>
      <c r="K2" s="250" t="n"/>
      <c r="L2" s="250" t="n"/>
      <c r="M2" s="250" t="n"/>
      <c r="N2" s="250" t="n"/>
      <c r="O2" s="250" t="n"/>
      <c r="P2" s="250" t="n"/>
      <c r="Q2" s="250" t="n"/>
      <c r="R2" s="250" t="n"/>
      <c r="S2" s="250" t="n"/>
      <c r="T2" s="250" t="n"/>
      <c r="U2" s="250" t="n"/>
      <c r="V2" s="250" t="n"/>
      <c r="W2" s="250" t="n"/>
      <c r="X2" s="250" t="n"/>
      <c r="Y2" s="250" t="n"/>
      <c r="Z2" s="250" t="n"/>
      <c r="AA2" s="250" t="n"/>
      <c r="AB2" s="250" t="n"/>
      <c r="AC2" s="250" t="n"/>
      <c r="AD2" s="250" t="n"/>
      <c r="AE2" s="250" t="n"/>
    </row>
    <row r="3" ht="8" customHeight="1"/>
    <row r="4">
      <c r="A4" s="204" t="inlineStr">
        <is>
          <t>Không đổi tên các giá trị đang dùng ở cột B đến L vì công thức tổng hợp dựa trên đúng tên này. Cột P tự tính, không sửa. Danh sách người phụ trách và người thực hiện chỉ để chọn nhanh; gõ tên khác vẫn được.</t>
        </is>
      </c>
    </row>
    <row r="5" ht="30" customHeight="1">
      <c r="B5" s="251" t="inlineStr">
        <is>
          <t>Vị trí</t>
        </is>
      </c>
      <c r="C5" s="251" t="inlineStr">
        <is>
          <t>Tầng</t>
        </is>
      </c>
      <c r="D5" s="251" t="inlineStr">
        <is>
          <t>Phân loại</t>
        </is>
      </c>
      <c r="E5" s="251" t="inlineStr">
        <is>
          <t>Cấp độ khẩn</t>
        </is>
      </c>
      <c r="F5" s="251" t="inlineStr">
        <is>
          <t>Trạng thái phản ánh</t>
        </is>
      </c>
      <c r="G5" s="251" t="inlineStr">
        <is>
          <t>Trạng thái công việc</t>
        </is>
      </c>
      <c r="H5" s="251" t="inlineStr">
        <is>
          <t>Loại công việc</t>
        </is>
      </c>
      <c r="I5" s="251" t="inlineStr">
        <is>
          <t>Nhóm việc</t>
        </is>
      </c>
      <c r="J5" s="251" t="inlineStr">
        <is>
          <t>Tần suất</t>
        </is>
      </c>
      <c r="K5" s="251" t="inlineStr">
        <is>
          <t>Số ngày mỗi kỳ</t>
        </is>
      </c>
      <c r="L5" s="251" t="inlineStr">
        <is>
          <t>Số tháng mỗi kỳ</t>
        </is>
      </c>
      <c r="M5" s="251" t="inlineStr">
        <is>
          <t>Thành viên BQT</t>
        </is>
      </c>
      <c r="N5" s="251" t="inlineStr">
        <is>
          <t>Bộ phận, đơn vị thực hiện</t>
        </is>
      </c>
      <c r="P5" s="10" t="inlineStr">
        <is>
          <t>Danh sách mã (tự tính)</t>
        </is>
      </c>
      <c r="R5" s="251" t="inlineStr">
        <is>
          <t>Người phụ trách</t>
        </is>
      </c>
      <c r="S5" s="251" t="inlineStr">
        <is>
          <t>Chức danh</t>
        </is>
      </c>
      <c r="T5" s="251" t="inlineStr">
        <is>
          <t>Điện thoại</t>
        </is>
      </c>
      <c r="V5" s="251" t="inlineStr">
        <is>
          <t>Người thực hiện, nhà thầu</t>
        </is>
      </c>
      <c r="W5" s="251" t="inlineStr">
        <is>
          <t>Vai trò, đơn vị</t>
        </is>
      </c>
      <c r="X5" s="251" t="inlineStr">
        <is>
          <t>Điện thoại</t>
        </is>
      </c>
      <c r="Z5" s="251" t="inlineStr">
        <is>
          <t>Kênh tiếp nhận</t>
        </is>
      </c>
      <c r="AB5" s="251" t="inlineStr">
        <is>
          <t>Cấp độ khẩn</t>
        </is>
      </c>
      <c r="AC5" s="251" t="inlineStr">
        <is>
          <t>Thời hạn chuẩn (giờ)</t>
        </is>
      </c>
      <c r="AE5" s="251" t="inlineStr">
        <is>
          <t>Đơn vị thời gian</t>
        </is>
      </c>
    </row>
    <row r="6">
      <c r="B6" s="252" t="inlineStr">
        <is>
          <t>Block A</t>
        </is>
      </c>
      <c r="C6" s="252" t="inlineStr">
        <is>
          <t>Sảnh</t>
        </is>
      </c>
      <c r="D6" s="252" t="inlineStr">
        <is>
          <t>An ninh</t>
        </is>
      </c>
      <c r="E6" s="252" t="inlineStr">
        <is>
          <t>Khẩn cấp</t>
        </is>
      </c>
      <c r="F6" s="252" t="inlineStr">
        <is>
          <t>Mới tiếp nhận</t>
        </is>
      </c>
      <c r="G6" s="252" t="inlineStr">
        <is>
          <t>Chưa bắt đầu</t>
        </is>
      </c>
      <c r="H6" s="252" t="inlineStr">
        <is>
          <t>Định kỳ</t>
        </is>
      </c>
      <c r="I6" s="252" t="inlineStr">
        <is>
          <t>Bảo trì kỹ thuật</t>
        </is>
      </c>
      <c r="J6" s="252" t="inlineStr">
        <is>
          <t>Hằng ngày</t>
        </is>
      </c>
      <c r="K6" s="253" t="n">
        <v>1</v>
      </c>
      <c r="L6" s="253" t="n">
        <v>0</v>
      </c>
      <c r="M6" s="254" t="n"/>
      <c r="N6" s="254" t="inlineStr">
        <is>
          <t>Ban Quản lý</t>
        </is>
      </c>
      <c r="P6" s="255">
        <f>IF(ROW()-5&lt;=COUNTA('Phản ánh'!$A$6:$A$505),INDEX('Phản ánh'!$A$6:$A$505,ROW()-5),IF(ROW()-5-COUNTA('Phản ánh'!$A$6:$A$505)&lt;=COUNTA('Kế hoạch'!$A$6:$A$305),INDEX('Kế hoạch'!$A$6:$A$305,ROW()-5-COUNTA('Phản ánh'!$A$6:$A$505)),""))</f>
      </c>
      <c r="R6" s="254" t="n"/>
      <c r="S6" s="254" t="n"/>
      <c r="T6" s="254" t="n"/>
      <c r="V6" s="254" t="n"/>
      <c r="W6" s="254" t="n"/>
      <c r="X6" s="254" t="n"/>
      <c r="Z6" s="254" t="inlineStr">
        <is>
          <t>Zalo nhóm cư dân</t>
        </is>
      </c>
      <c r="AB6" s="252" t="inlineStr">
        <is>
          <t>Khẩn cấp</t>
        </is>
      </c>
      <c r="AC6" s="256" t="n">
        <v>24</v>
      </c>
      <c r="AE6" s="252" t="inlineStr">
        <is>
          <t>Giờ</t>
        </is>
      </c>
    </row>
    <row r="7">
      <c r="B7" s="252" t="inlineStr">
        <is>
          <t>Block B</t>
        </is>
      </c>
      <c r="C7" s="257" t="n">
        <v>1</v>
      </c>
      <c r="D7" s="252" t="inlineStr">
        <is>
          <t>Kỹ thuật</t>
        </is>
      </c>
      <c r="E7" s="252" t="inlineStr">
        <is>
          <t>Cao</t>
        </is>
      </c>
      <c r="F7" s="252" t="inlineStr">
        <is>
          <t>Đang xử lý</t>
        </is>
      </c>
      <c r="G7" s="252" t="inlineStr">
        <is>
          <t>Đang thực hiện</t>
        </is>
      </c>
      <c r="H7" s="252" t="inlineStr">
        <is>
          <t>Đột xuất</t>
        </is>
      </c>
      <c r="I7" s="252" t="inlineStr">
        <is>
          <t>Sửa chữa xây dựng</t>
        </is>
      </c>
      <c r="J7" s="252" t="inlineStr">
        <is>
          <t>Hằng tuần</t>
        </is>
      </c>
      <c r="K7" s="253" t="n">
        <v>7</v>
      </c>
      <c r="L7" s="253" t="n">
        <v>0</v>
      </c>
      <c r="M7" s="254" t="n"/>
      <c r="N7" s="254" t="inlineStr">
        <is>
          <t>An ninh (BQL)</t>
        </is>
      </c>
      <c r="P7" s="255">
        <f>IF(ROW()-5&lt;=COUNTA('Phản ánh'!$A$6:$A$505),INDEX('Phản ánh'!$A$6:$A$505,ROW()-5),IF(ROW()-5-COUNTA('Phản ánh'!$A$6:$A$505)&lt;=COUNTA('Kế hoạch'!$A$6:$A$305),INDEX('Kế hoạch'!$A$6:$A$305,ROW()-5-COUNTA('Phản ánh'!$A$6:$A$505)),""))</f>
      </c>
      <c r="R7" s="254" t="n"/>
      <c r="S7" s="254" t="n"/>
      <c r="T7" s="254" t="n"/>
      <c r="V7" s="254" t="n"/>
      <c r="W7" s="254" t="n"/>
      <c r="X7" s="254" t="n"/>
      <c r="Z7" s="254" t="inlineStr">
        <is>
          <t>Hotline BQL</t>
        </is>
      </c>
      <c r="AB7" s="252" t="inlineStr">
        <is>
          <t>Cao</t>
        </is>
      </c>
      <c r="AC7" s="256" t="n">
        <v>72</v>
      </c>
      <c r="AE7" s="252" t="inlineStr">
        <is>
          <t>Ngày</t>
        </is>
      </c>
    </row>
    <row r="8">
      <c r="B8" s="252" t="inlineStr">
        <is>
          <t>Block C</t>
        </is>
      </c>
      <c r="C8" s="257" t="n">
        <v>2</v>
      </c>
      <c r="D8" s="252" t="inlineStr">
        <is>
          <t>Xây dựng</t>
        </is>
      </c>
      <c r="E8" s="252" t="inlineStr">
        <is>
          <t>Trung bình</t>
        </is>
      </c>
      <c r="F8" s="252" t="inlineStr">
        <is>
          <t>Chờ nhà thầu</t>
        </is>
      </c>
      <c r="G8" s="252" t="inlineStr">
        <is>
          <t>Tạm hoãn</t>
        </is>
      </c>
      <c r="I8" s="252" t="inlineStr">
        <is>
          <t>Vệ sinh môi trường</t>
        </is>
      </c>
      <c r="J8" s="252" t="inlineStr">
        <is>
          <t>2 tuần/lần</t>
        </is>
      </c>
      <c r="K8" s="253" t="n">
        <v>14</v>
      </c>
      <c r="L8" s="253" t="n">
        <v>0</v>
      </c>
      <c r="M8" s="254" t="n"/>
      <c r="N8" s="254" t="inlineStr">
        <is>
          <t>Kỹ thuật (BQL)</t>
        </is>
      </c>
      <c r="P8" s="255">
        <f>IF(ROW()-5&lt;=COUNTA('Phản ánh'!$A$6:$A$505),INDEX('Phản ánh'!$A$6:$A$505,ROW()-5),IF(ROW()-5-COUNTA('Phản ánh'!$A$6:$A$505)&lt;=COUNTA('Kế hoạch'!$A$6:$A$305),INDEX('Kế hoạch'!$A$6:$A$305,ROW()-5-COUNTA('Phản ánh'!$A$6:$A$505)),""))</f>
      </c>
      <c r="R8" s="254" t="n"/>
      <c r="S8" s="254" t="n"/>
      <c r="T8" s="254" t="n"/>
      <c r="V8" s="254" t="n"/>
      <c r="W8" s="254" t="n"/>
      <c r="X8" s="254" t="n"/>
      <c r="Z8" s="254" t="inlineStr">
        <is>
          <t>Trực tiếp tại quầy</t>
        </is>
      </c>
      <c r="AB8" s="252" t="inlineStr">
        <is>
          <t>Trung bình</t>
        </is>
      </c>
      <c r="AC8" s="256" t="n">
        <v>168</v>
      </c>
    </row>
    <row r="9">
      <c r="B9" s="252" t="inlineStr">
        <is>
          <t>Block D</t>
        </is>
      </c>
      <c r="C9" s="257" t="n">
        <v>3</v>
      </c>
      <c r="D9" s="252" t="inlineStr">
        <is>
          <t>Môi trường</t>
        </is>
      </c>
      <c r="E9" s="252" t="inlineStr">
        <is>
          <t>Thấp</t>
        </is>
      </c>
      <c r="F9" s="252" t="inlineStr">
        <is>
          <t>Đã xử lý</t>
        </is>
      </c>
      <c r="G9" s="252" t="inlineStr">
        <is>
          <t>Hoàn thành</t>
        </is>
      </c>
      <c r="I9" s="252" t="inlineStr">
        <is>
          <t>Cảnh quan cây xanh</t>
        </is>
      </c>
      <c r="J9" s="252" t="inlineStr">
        <is>
          <t>Hằng tháng</t>
        </is>
      </c>
      <c r="K9" s="253" t="n">
        <v>0</v>
      </c>
      <c r="L9" s="253" t="n">
        <v>1</v>
      </c>
      <c r="M9" s="254" t="n"/>
      <c r="N9" s="254" t="inlineStr">
        <is>
          <t>Vệ sinh, cảnh quan (BQL)</t>
        </is>
      </c>
      <c r="P9" s="255">
        <f>IF(ROW()-5&lt;=COUNTA('Phản ánh'!$A$6:$A$505),INDEX('Phản ánh'!$A$6:$A$505,ROW()-5),IF(ROW()-5-COUNTA('Phản ánh'!$A$6:$A$505)&lt;=COUNTA('Kế hoạch'!$A$6:$A$305),INDEX('Kế hoạch'!$A$6:$A$305,ROW()-5-COUNTA('Phản ánh'!$A$6:$A$505)),""))</f>
      </c>
      <c r="R9" s="254" t="n"/>
      <c r="S9" s="254" t="n"/>
      <c r="T9" s="254" t="n"/>
      <c r="V9" s="254" t="n"/>
      <c r="W9" s="254" t="n"/>
      <c r="X9" s="254" t="n"/>
      <c r="Z9" s="254" t="inlineStr">
        <is>
          <t>Email</t>
        </is>
      </c>
      <c r="AB9" s="252" t="inlineStr">
        <is>
          <t>Thấp</t>
        </is>
      </c>
      <c r="AC9" s="256" t="n">
        <v>336</v>
      </c>
    </row>
    <row r="10">
      <c r="B10" s="252" t="inlineStr">
        <is>
          <t>Block E</t>
        </is>
      </c>
      <c r="C10" s="257" t="n">
        <v>4</v>
      </c>
      <c r="D10" s="252" t="inlineStr">
        <is>
          <t>Văn hóa</t>
        </is>
      </c>
      <c r="G10" s="252" t="inlineStr">
        <is>
          <t>Hoàn thành kỳ</t>
        </is>
      </c>
      <c r="I10" s="252" t="inlineStr">
        <is>
          <t>PCCC và an ninh</t>
        </is>
      </c>
      <c r="J10" s="252" t="inlineStr">
        <is>
          <t>Hằng quý</t>
        </is>
      </c>
      <c r="K10" s="253" t="n">
        <v>0</v>
      </c>
      <c r="L10" s="253" t="n">
        <v>3</v>
      </c>
      <c r="M10" s="254" t="n"/>
      <c r="N10" s="254" t="inlineStr">
        <is>
          <t>Kế toán (BQL)</t>
        </is>
      </c>
      <c r="P10" s="255">
        <f>IF(ROW()-5&lt;=COUNTA('Phản ánh'!$A$6:$A$505),INDEX('Phản ánh'!$A$6:$A$505,ROW()-5),IF(ROW()-5-COUNTA('Phản ánh'!$A$6:$A$505)&lt;=COUNTA('Kế hoạch'!$A$6:$A$305),INDEX('Kế hoạch'!$A$6:$A$305,ROW()-5-COUNTA('Phản ánh'!$A$6:$A$505)),""))</f>
      </c>
      <c r="R10" s="254" t="n"/>
      <c r="S10" s="254" t="n"/>
      <c r="T10" s="254" t="n"/>
      <c r="V10" s="254" t="n"/>
      <c r="W10" s="254" t="n"/>
      <c r="X10" s="254" t="n"/>
      <c r="Z10" s="254" t="inlineStr">
        <is>
          <t>Hộp thư góp ý</t>
        </is>
      </c>
    </row>
    <row r="11">
      <c r="B11" s="252" t="inlineStr">
        <is>
          <t>Block G</t>
        </is>
      </c>
      <c r="C11" s="257" t="n">
        <v>5</v>
      </c>
      <c r="D11" s="252" t="inlineStr">
        <is>
          <t>Thể thao</t>
        </is>
      </c>
      <c r="I11" s="252" t="inlineStr">
        <is>
          <t>Hồ bơi và tiện ích</t>
        </is>
      </c>
      <c r="J11" s="252" t="inlineStr">
        <is>
          <t>6 tháng/lần</t>
        </is>
      </c>
      <c r="K11" s="253" t="n">
        <v>0</v>
      </c>
      <c r="L11" s="253" t="n">
        <v>6</v>
      </c>
      <c r="M11" s="254" t="n"/>
      <c r="N11" s="254" t="inlineStr">
        <is>
          <t>Hành chính (BQL)</t>
        </is>
      </c>
      <c r="P11" s="255">
        <f>IF(ROW()-5&lt;=COUNTA('Phản ánh'!$A$6:$A$505),INDEX('Phản ánh'!$A$6:$A$505,ROW()-5),IF(ROW()-5-COUNTA('Phản ánh'!$A$6:$A$505)&lt;=COUNTA('Kế hoạch'!$A$6:$A$305),INDEX('Kế hoạch'!$A$6:$A$305,ROW()-5-COUNTA('Phản ánh'!$A$6:$A$505)),""))</f>
      </c>
      <c r="R11" s="254" t="n"/>
      <c r="S11" s="254" t="n"/>
      <c r="T11" s="254" t="n"/>
      <c r="V11" s="254" t="n"/>
      <c r="W11" s="254" t="n"/>
      <c r="X11" s="254" t="n"/>
      <c r="Z11" s="254" t="inlineStr">
        <is>
          <t>Họp cư dân</t>
        </is>
      </c>
      <c r="AB11" s="258" t="inlineStr">
        <is>
          <t>Deadline để trống: lấy thời điểm ghi nhận cộng thời gian ước tính; chưa có ước tính thì cộng thời hạn chuẩn theo cấp độ khẩn.</t>
        </is>
      </c>
    </row>
    <row r="12">
      <c r="B12" s="252" t="inlineStr">
        <is>
          <t>Cổng 1</t>
        </is>
      </c>
      <c r="C12" s="257" t="n">
        <v>6</v>
      </c>
      <c r="D12" s="252" t="inlineStr">
        <is>
          <t>Tài chính</t>
        </is>
      </c>
      <c r="I12" s="252" t="inlineStr">
        <is>
          <t>Khác</t>
        </is>
      </c>
      <c r="J12" s="252" t="inlineStr">
        <is>
          <t>Hằng năm</t>
        </is>
      </c>
      <c r="K12" s="253" t="n">
        <v>0</v>
      </c>
      <c r="L12" s="253" t="n">
        <v>12</v>
      </c>
      <c r="M12" s="254" t="n"/>
      <c r="N12" s="254" t="inlineStr">
        <is>
          <t>Tổ vệ sinh</t>
        </is>
      </c>
      <c r="P12" s="255">
        <f>IF(ROW()-5&lt;=COUNTA('Phản ánh'!$A$6:$A$505),INDEX('Phản ánh'!$A$6:$A$505,ROW()-5),IF(ROW()-5-COUNTA('Phản ánh'!$A$6:$A$505)&lt;=COUNTA('Kế hoạch'!$A$6:$A$305),INDEX('Kế hoạch'!$A$6:$A$305,ROW()-5-COUNTA('Phản ánh'!$A$6:$A$505)),""))</f>
      </c>
      <c r="R12" s="254" t="n"/>
      <c r="S12" s="254" t="n"/>
      <c r="T12" s="254" t="n"/>
      <c r="V12" s="254" t="n"/>
      <c r="W12" s="254" t="n"/>
      <c r="X12" s="254" t="n"/>
      <c r="Z12" s="254" t="inlineStr">
        <is>
          <t>BQL tự phát hiện</t>
        </is>
      </c>
    </row>
    <row r="13">
      <c r="B13" s="252" t="inlineStr">
        <is>
          <t>Cổng 2</t>
        </is>
      </c>
      <c r="C13" s="257" t="n">
        <v>7</v>
      </c>
      <c r="D13" s="252" t="inlineStr">
        <is>
          <t>Khác</t>
        </is>
      </c>
      <c r="M13" s="254" t="n"/>
      <c r="N13" s="254" t="inlineStr">
        <is>
          <t>Tổ cảnh quan</t>
        </is>
      </c>
      <c r="P13" s="255">
        <f>IF(ROW()-5&lt;=COUNTA('Phản ánh'!$A$6:$A$505),INDEX('Phản ánh'!$A$6:$A$505,ROW()-5),IF(ROW()-5-COUNTA('Phản ánh'!$A$6:$A$505)&lt;=COUNTA('Kế hoạch'!$A$6:$A$305),INDEX('Kế hoạch'!$A$6:$A$305,ROW()-5-COUNTA('Phản ánh'!$A$6:$A$505)),""))</f>
      </c>
      <c r="R13" s="254" t="n"/>
      <c r="S13" s="254" t="n"/>
      <c r="T13" s="254" t="n"/>
      <c r="V13" s="254" t="n"/>
      <c r="W13" s="254" t="n"/>
      <c r="X13" s="254" t="n"/>
      <c r="Z13" s="254" t="n"/>
    </row>
    <row r="14">
      <c r="B14" s="252" t="inlineStr">
        <is>
          <t>Hầm xe</t>
        </is>
      </c>
      <c r="C14" s="257" t="n">
        <v>8</v>
      </c>
      <c r="M14" s="254" t="n"/>
      <c r="N14" s="254" t="inlineStr">
        <is>
          <t>Nhà thầu thang máy</t>
        </is>
      </c>
      <c r="P14" s="255">
        <f>IF(ROW()-5&lt;=COUNTA('Phản ánh'!$A$6:$A$505),INDEX('Phản ánh'!$A$6:$A$505,ROW()-5),IF(ROW()-5-COUNTA('Phản ánh'!$A$6:$A$505)&lt;=COUNTA('Kế hoạch'!$A$6:$A$305),INDEX('Kế hoạch'!$A$6:$A$305,ROW()-5-COUNTA('Phản ánh'!$A$6:$A$505)),""))</f>
      </c>
      <c r="R14" s="254" t="n"/>
      <c r="S14" s="254" t="n"/>
      <c r="T14" s="254" t="n"/>
      <c r="V14" s="254" t="n"/>
      <c r="W14" s="254" t="n"/>
      <c r="X14" s="254" t="n"/>
      <c r="Z14" s="254" t="n"/>
    </row>
    <row r="15">
      <c r="B15" s="252" t="inlineStr">
        <is>
          <t>Khu hồ bơi</t>
        </is>
      </c>
      <c r="C15" s="257" t="n">
        <v>9</v>
      </c>
      <c r="M15" s="254" t="n"/>
      <c r="N15" s="254" t="inlineStr">
        <is>
          <t>Nhà thầu PCCC</t>
        </is>
      </c>
      <c r="P15" s="255">
        <f>IF(ROW()-5&lt;=COUNTA('Phản ánh'!$A$6:$A$505),INDEX('Phản ánh'!$A$6:$A$505,ROW()-5),IF(ROW()-5-COUNTA('Phản ánh'!$A$6:$A$505)&lt;=COUNTA('Kế hoạch'!$A$6:$A$305),INDEX('Kế hoạch'!$A$6:$A$305,ROW()-5-COUNTA('Phản ánh'!$A$6:$A$505)),""))</f>
      </c>
      <c r="R15" s="254" t="n"/>
      <c r="S15" s="254" t="n"/>
      <c r="T15" s="254" t="n"/>
      <c r="V15" s="254" t="n"/>
      <c r="W15" s="254" t="n"/>
      <c r="X15" s="254" t="n"/>
      <c r="Z15" s="254" t="n"/>
    </row>
    <row r="16">
      <c r="B16" s="252" t="inlineStr">
        <is>
          <t>Hồ bơi lớn</t>
        </is>
      </c>
      <c r="C16" s="257" t="n">
        <v>10</v>
      </c>
      <c r="M16" s="254" t="n"/>
      <c r="N16" s="254" t="inlineStr">
        <is>
          <t>Nhà thầu xây dựng</t>
        </is>
      </c>
      <c r="P16" s="255">
        <f>IF(ROW()-5&lt;=COUNTA('Phản ánh'!$A$6:$A$505),INDEX('Phản ánh'!$A$6:$A$505,ROW()-5),IF(ROW()-5-COUNTA('Phản ánh'!$A$6:$A$505)&lt;=COUNTA('Kế hoạch'!$A$6:$A$305),INDEX('Kế hoạch'!$A$6:$A$305,ROW()-5-COUNTA('Phản ánh'!$A$6:$A$505)),""))</f>
      </c>
      <c r="R16" s="254" t="n"/>
      <c r="S16" s="254" t="n"/>
      <c r="T16" s="254" t="n"/>
      <c r="V16" s="254" t="n"/>
      <c r="W16" s="254" t="n"/>
      <c r="X16" s="254" t="n"/>
      <c r="Z16" s="254" t="n"/>
    </row>
    <row r="17">
      <c r="B17" s="252" t="inlineStr">
        <is>
          <t>Hồ bơi nhỏ</t>
        </is>
      </c>
      <c r="C17" s="257" t="n">
        <v>11</v>
      </c>
      <c r="M17" s="254" t="n"/>
      <c r="N17" s="254" t="inlineStr">
        <is>
          <t>Nhà thầu thiết bị gym</t>
        </is>
      </c>
      <c r="P17" s="255">
        <f>IF(ROW()-5&lt;=COUNTA('Phản ánh'!$A$6:$A$505),INDEX('Phản ánh'!$A$6:$A$505,ROW()-5),IF(ROW()-5-COUNTA('Phản ánh'!$A$6:$A$505)&lt;=COUNTA('Kế hoạch'!$A$6:$A$305),INDEX('Kế hoạch'!$A$6:$A$305,ROW()-5-COUNTA('Phản ánh'!$A$6:$A$505)),""))</f>
      </c>
      <c r="R17" s="254" t="n"/>
      <c r="S17" s="254" t="n"/>
      <c r="T17" s="254" t="n"/>
      <c r="V17" s="254" t="n"/>
      <c r="W17" s="254" t="n"/>
      <c r="X17" s="254" t="n"/>
      <c r="Z17" s="254" t="n"/>
    </row>
    <row r="18">
      <c r="B18" s="252" t="inlineStr">
        <is>
          <t>Phòng gym</t>
        </is>
      </c>
      <c r="C18" s="257" t="n">
        <v>12</v>
      </c>
      <c r="M18" s="254" t="n"/>
      <c r="N18" s="254" t="inlineStr">
        <is>
          <t>Đơn vị diệt côn trùng</t>
        </is>
      </c>
      <c r="P18" s="255">
        <f>IF(ROW()-5&lt;=COUNTA('Phản ánh'!$A$6:$A$505),INDEX('Phản ánh'!$A$6:$A$505,ROW()-5),IF(ROW()-5-COUNTA('Phản ánh'!$A$6:$A$505)&lt;=COUNTA('Kế hoạch'!$A$6:$A$305),INDEX('Kế hoạch'!$A$6:$A$305,ROW()-5-COUNTA('Phản ánh'!$A$6:$A$505)),""))</f>
      </c>
      <c r="V18" s="254" t="n"/>
      <c r="W18" s="254" t="n"/>
      <c r="X18" s="254" t="n"/>
    </row>
    <row r="19">
      <c r="B19" s="252" t="inlineStr">
        <is>
          <t>Phòng bida</t>
        </is>
      </c>
      <c r="C19" s="257" t="n">
        <v>13</v>
      </c>
      <c r="M19" s="254" t="n"/>
      <c r="N19" s="254" t="n"/>
      <c r="P19" s="255">
        <f>IF(ROW()-5&lt;=COUNTA('Phản ánh'!$A$6:$A$505),INDEX('Phản ánh'!$A$6:$A$505,ROW()-5),IF(ROW()-5-COUNTA('Phản ánh'!$A$6:$A$505)&lt;=COUNTA('Kế hoạch'!$A$6:$A$305),INDEX('Kế hoạch'!$A$6:$A$305,ROW()-5-COUNTA('Phản ánh'!$A$6:$A$505)),""))</f>
      </c>
      <c r="V19" s="254" t="n"/>
      <c r="W19" s="254" t="n"/>
      <c r="X19" s="254" t="n"/>
    </row>
    <row r="20">
      <c r="B20" s="252" t="inlineStr">
        <is>
          <t>Sân tennis</t>
        </is>
      </c>
      <c r="C20" s="257" t="n">
        <v>14</v>
      </c>
      <c r="M20" s="254" t="n"/>
      <c r="N20" s="254" t="n"/>
      <c r="P20" s="255">
        <f>IF(ROW()-5&lt;=COUNTA('Phản ánh'!$A$6:$A$505),INDEX('Phản ánh'!$A$6:$A$505,ROW()-5),IF(ROW()-5-COUNTA('Phản ánh'!$A$6:$A$505)&lt;=COUNTA('Kế hoạch'!$A$6:$A$305),INDEX('Kế hoạch'!$A$6:$A$305,ROW()-5-COUNTA('Phản ánh'!$A$6:$A$505)),""))</f>
      </c>
      <c r="V20" s="254" t="n"/>
      <c r="W20" s="254" t="n"/>
      <c r="X20" s="254" t="n"/>
    </row>
    <row r="21">
      <c r="B21" s="252" t="inlineStr">
        <is>
          <t>Sân bóng rổ</t>
        </is>
      </c>
      <c r="C21" s="257" t="n">
        <v>15</v>
      </c>
      <c r="N21" s="254" t="n"/>
      <c r="P21" s="255">
        <f>IF(ROW()-5&lt;=COUNTA('Phản ánh'!$A$6:$A$505),INDEX('Phản ánh'!$A$6:$A$505,ROW()-5),IF(ROW()-5-COUNTA('Phản ánh'!$A$6:$A$505)&lt;=COUNTA('Kế hoạch'!$A$6:$A$305),INDEX('Kế hoạch'!$A$6:$A$305,ROW()-5-COUNTA('Phản ánh'!$A$6:$A$505)),""))</f>
      </c>
      <c r="V21" s="254" t="n"/>
      <c r="W21" s="254" t="n"/>
      <c r="X21" s="254" t="n"/>
    </row>
    <row r="22">
      <c r="B22" s="252" t="inlineStr">
        <is>
          <t>Nhà chơi trẻ em Block A</t>
        </is>
      </c>
      <c r="C22" s="257" t="n">
        <v>16</v>
      </c>
      <c r="N22" s="254" t="n"/>
      <c r="P22" s="255">
        <f>IF(ROW()-5&lt;=COUNTA('Phản ánh'!$A$6:$A$505),INDEX('Phản ánh'!$A$6:$A$505,ROW()-5),IF(ROW()-5-COUNTA('Phản ánh'!$A$6:$A$505)&lt;=COUNTA('Kế hoạch'!$A$6:$A$305),INDEX('Kế hoạch'!$A$6:$A$305,ROW()-5-COUNTA('Phản ánh'!$A$6:$A$505)),""))</f>
      </c>
      <c r="V22" s="254" t="n"/>
      <c r="W22" s="254" t="n"/>
      <c r="X22" s="254" t="n"/>
    </row>
    <row r="23">
      <c r="B23" s="252" t="inlineStr">
        <is>
          <t>Nhà chơi trẻ em Block D</t>
        </is>
      </c>
      <c r="C23" s="257" t="n">
        <v>17</v>
      </c>
      <c r="N23" s="254" t="n"/>
      <c r="P23" s="255">
        <f>IF(ROW()-5&lt;=COUNTA('Phản ánh'!$A$6:$A$505),INDEX('Phản ánh'!$A$6:$A$505,ROW()-5),IF(ROW()-5-COUNTA('Phản ánh'!$A$6:$A$505)&lt;=COUNTA('Kế hoạch'!$A$6:$A$305),INDEX('Kế hoạch'!$A$6:$A$305,ROW()-5-COUNTA('Phản ánh'!$A$6:$A$505)),""))</f>
      </c>
      <c r="V23" s="254" t="n"/>
      <c r="W23" s="254" t="n"/>
      <c r="X23" s="254" t="n"/>
    </row>
    <row r="24">
      <c r="B24" s="252" t="inlineStr">
        <is>
          <t>Phòng yoga Block D</t>
        </is>
      </c>
      <c r="C24" s="257" t="n">
        <v>18</v>
      </c>
      <c r="N24" s="254" t="n"/>
      <c r="P24" s="255">
        <f>IF(ROW()-5&lt;=COUNTA('Phản ánh'!$A$6:$A$505),INDEX('Phản ánh'!$A$6:$A$505,ROW()-5),IF(ROW()-5-COUNTA('Phản ánh'!$A$6:$A$505)&lt;=COUNTA('Kế hoạch'!$A$6:$A$305),INDEX('Kế hoạch'!$A$6:$A$305,ROW()-5-COUNTA('Phản ánh'!$A$6:$A$505)),""))</f>
      </c>
      <c r="V24" s="254" t="n"/>
      <c r="W24" s="254" t="n"/>
      <c r="X24" s="254" t="n"/>
    </row>
    <row r="25">
      <c r="B25" s="252" t="inlineStr">
        <is>
          <t>Nhà chung Block C</t>
        </is>
      </c>
      <c r="C25" s="257" t="n">
        <v>19</v>
      </c>
      <c r="N25" s="254" t="n"/>
      <c r="P25" s="255">
        <f>IF(ROW()-5&lt;=COUNTA('Phản ánh'!$A$6:$A$505),INDEX('Phản ánh'!$A$6:$A$505,ROW()-5),IF(ROW()-5-COUNTA('Phản ánh'!$A$6:$A$505)&lt;=COUNTA('Kế hoạch'!$A$6:$A$305),INDEX('Kế hoạch'!$A$6:$A$305,ROW()-5-COUNTA('Phản ánh'!$A$6:$A$505)),""))</f>
      </c>
      <c r="V25" s="254" t="n"/>
      <c r="W25" s="254" t="n"/>
      <c r="X25" s="254" t="n"/>
    </row>
    <row r="26">
      <c r="B26" s="252" t="inlineStr">
        <is>
          <t>Phòng bóng bàn Block C</t>
        </is>
      </c>
      <c r="C26" s="257" t="n">
        <v>20</v>
      </c>
      <c r="N26" s="254" t="n"/>
      <c r="P26" s="255">
        <f>IF(ROW()-5&lt;=COUNTA('Phản ánh'!$A$6:$A$505),INDEX('Phản ánh'!$A$6:$A$505,ROW()-5),IF(ROW()-5-COUNTA('Phản ánh'!$A$6:$A$505)&lt;=COUNTA('Kế hoạch'!$A$6:$A$305),INDEX('Kế hoạch'!$A$6:$A$305,ROW()-5-COUNTA('Phản ánh'!$A$6:$A$505)),""))</f>
      </c>
      <c r="V26" s="254" t="n"/>
      <c r="W26" s="254" t="n"/>
      <c r="X26" s="254" t="n"/>
    </row>
    <row r="27">
      <c r="B27" s="252" t="inlineStr">
        <is>
          <t>Nhà sinh hoạt Block G</t>
        </is>
      </c>
      <c r="C27" s="257" t="n">
        <v>21</v>
      </c>
      <c r="N27" s="254" t="n"/>
      <c r="P27" s="255">
        <f>IF(ROW()-5&lt;=COUNTA('Phản ánh'!$A$6:$A$505),INDEX('Phản ánh'!$A$6:$A$505,ROW()-5),IF(ROW()-5-COUNTA('Phản ánh'!$A$6:$A$505)&lt;=COUNTA('Kế hoạch'!$A$6:$A$305),INDEX('Kế hoạch'!$A$6:$A$305,ROW()-5-COUNTA('Phản ánh'!$A$6:$A$505)),""))</f>
      </c>
      <c r="V27" s="254" t="n"/>
      <c r="W27" s="254" t="n"/>
      <c r="X27" s="254" t="n"/>
    </row>
    <row r="28">
      <c r="B28" s="252" t="inlineStr">
        <is>
          <t>Khuôn viên</t>
        </is>
      </c>
      <c r="C28" s="257" t="n">
        <v>22</v>
      </c>
      <c r="N28" s="254" t="n"/>
      <c r="P28" s="255">
        <f>IF(ROW()-5&lt;=COUNTA('Phản ánh'!$A$6:$A$505),INDEX('Phản ánh'!$A$6:$A$505,ROW()-5),IF(ROW()-5-COUNTA('Phản ánh'!$A$6:$A$505)&lt;=COUNTA('Kế hoạch'!$A$6:$A$305),INDEX('Kế hoạch'!$A$6:$A$305,ROW()-5-COUNTA('Phản ánh'!$A$6:$A$505)),""))</f>
      </c>
      <c r="V28" s="254" t="n"/>
      <c r="W28" s="254" t="n"/>
      <c r="X28" s="254" t="n"/>
    </row>
    <row r="29">
      <c r="B29" s="252" t="inlineStr">
        <is>
          <t>Toàn khu</t>
        </is>
      </c>
      <c r="C29" s="257" t="n">
        <v>23</v>
      </c>
      <c r="N29" s="254" t="n"/>
      <c r="P29" s="255">
        <f>IF(ROW()-5&lt;=COUNTA('Phản ánh'!$A$6:$A$505),INDEX('Phản ánh'!$A$6:$A$505,ROW()-5),IF(ROW()-5-COUNTA('Phản ánh'!$A$6:$A$505)&lt;=COUNTA('Kế hoạch'!$A$6:$A$305),INDEX('Kế hoạch'!$A$6:$A$305,ROW()-5-COUNTA('Phản ánh'!$A$6:$A$505)),""))</f>
      </c>
      <c r="V29" s="254" t="n"/>
      <c r="W29" s="254" t="n"/>
      <c r="X29" s="254" t="n"/>
    </row>
    <row r="30">
      <c r="C30" s="252" t="inlineStr">
        <is>
          <t>Mái</t>
        </is>
      </c>
      <c r="N30" s="254" t="n"/>
      <c r="P30" s="255">
        <f>IF(ROW()-5&lt;=COUNTA('Phản ánh'!$A$6:$A$505),INDEX('Phản ánh'!$A$6:$A$505,ROW()-5),IF(ROW()-5-COUNTA('Phản ánh'!$A$6:$A$505)&lt;=COUNTA('Kế hoạch'!$A$6:$A$305),INDEX('Kế hoạch'!$A$6:$A$305,ROW()-5-COUNTA('Phản ánh'!$A$6:$A$505)),""))</f>
      </c>
      <c r="V30" s="254" t="n"/>
      <c r="W30" s="254" t="n"/>
      <c r="X30" s="254" t="n"/>
    </row>
    <row r="31">
      <c r="P31" s="255">
        <f>IF(ROW()-5&lt;=COUNTA('Phản ánh'!$A$6:$A$505),INDEX('Phản ánh'!$A$6:$A$505,ROW()-5),IF(ROW()-5-COUNTA('Phản ánh'!$A$6:$A$505)&lt;=COUNTA('Kế hoạch'!$A$6:$A$305),INDEX('Kế hoạch'!$A$6:$A$305,ROW()-5-COUNTA('Phản ánh'!$A$6:$A$505)),""))</f>
      </c>
      <c r="V31" s="254" t="n"/>
      <c r="W31" s="254" t="n"/>
      <c r="X31" s="254" t="n"/>
    </row>
    <row r="32">
      <c r="P32" s="255">
        <f>IF(ROW()-5&lt;=COUNTA('Phản ánh'!$A$6:$A$505),INDEX('Phản ánh'!$A$6:$A$505,ROW()-5),IF(ROW()-5-COUNTA('Phản ánh'!$A$6:$A$505)&lt;=COUNTA('Kế hoạch'!$A$6:$A$305),INDEX('Kế hoạch'!$A$6:$A$305,ROW()-5-COUNTA('Phản ánh'!$A$6:$A$505)),""))</f>
      </c>
      <c r="V32" s="254" t="n"/>
      <c r="W32" s="254" t="n"/>
      <c r="X32" s="254" t="n"/>
    </row>
    <row r="33">
      <c r="P33" s="255">
        <f>IF(ROW()-5&lt;=COUNTA('Phản ánh'!$A$6:$A$505),INDEX('Phản ánh'!$A$6:$A$505,ROW()-5),IF(ROW()-5-COUNTA('Phản ánh'!$A$6:$A$505)&lt;=COUNTA('Kế hoạch'!$A$6:$A$305),INDEX('Kế hoạch'!$A$6:$A$305,ROW()-5-COUNTA('Phản ánh'!$A$6:$A$505)),""))</f>
      </c>
      <c r="V33" s="254" t="n"/>
      <c r="W33" s="254" t="n"/>
      <c r="X33" s="254" t="n"/>
    </row>
    <row r="34">
      <c r="P34" s="255">
        <f>IF(ROW()-5&lt;=COUNTA('Phản ánh'!$A$6:$A$505),INDEX('Phản ánh'!$A$6:$A$505,ROW()-5),IF(ROW()-5-COUNTA('Phản ánh'!$A$6:$A$505)&lt;=COUNTA('Kế hoạch'!$A$6:$A$305),INDEX('Kế hoạch'!$A$6:$A$305,ROW()-5-COUNTA('Phản ánh'!$A$6:$A$505)),""))</f>
      </c>
      <c r="V34" s="254" t="n"/>
      <c r="W34" s="254" t="n"/>
      <c r="X34" s="254" t="n"/>
    </row>
    <row r="35">
      <c r="P35" s="255">
        <f>IF(ROW()-5&lt;=COUNTA('Phản ánh'!$A$6:$A$505),INDEX('Phản ánh'!$A$6:$A$505,ROW()-5),IF(ROW()-5-COUNTA('Phản ánh'!$A$6:$A$505)&lt;=COUNTA('Kế hoạch'!$A$6:$A$305),INDEX('Kế hoạch'!$A$6:$A$305,ROW()-5-COUNTA('Phản ánh'!$A$6:$A$505)),""))</f>
      </c>
      <c r="V35" s="254" t="n"/>
      <c r="W35" s="254" t="n"/>
      <c r="X35" s="254" t="n"/>
    </row>
    <row r="36">
      <c r="P36" s="255">
        <f>IF(ROW()-5&lt;=COUNTA('Phản ánh'!$A$6:$A$505),INDEX('Phản ánh'!$A$6:$A$505,ROW()-5),IF(ROW()-5-COUNTA('Phản ánh'!$A$6:$A$505)&lt;=COUNTA('Kế hoạch'!$A$6:$A$305),INDEX('Kế hoạch'!$A$6:$A$305,ROW()-5-COUNTA('Phản ánh'!$A$6:$A$505)),""))</f>
      </c>
    </row>
    <row r="37">
      <c r="P37" s="255">
        <f>IF(ROW()-5&lt;=COUNTA('Phản ánh'!$A$6:$A$505),INDEX('Phản ánh'!$A$6:$A$505,ROW()-5),IF(ROW()-5-COUNTA('Phản ánh'!$A$6:$A$505)&lt;=COUNTA('Kế hoạch'!$A$6:$A$305),INDEX('Kế hoạch'!$A$6:$A$305,ROW()-5-COUNTA('Phản ánh'!$A$6:$A$505)),""))</f>
      </c>
    </row>
    <row r="38">
      <c r="P38" s="255">
        <f>IF(ROW()-5&lt;=COUNTA('Phản ánh'!$A$6:$A$505),INDEX('Phản ánh'!$A$6:$A$505,ROW()-5),IF(ROW()-5-COUNTA('Phản ánh'!$A$6:$A$505)&lt;=COUNTA('Kế hoạch'!$A$6:$A$305),INDEX('Kế hoạch'!$A$6:$A$305,ROW()-5-COUNTA('Phản ánh'!$A$6:$A$505)),""))</f>
      </c>
    </row>
    <row r="39">
      <c r="P39" s="255">
        <f>IF(ROW()-5&lt;=COUNTA('Phản ánh'!$A$6:$A$505),INDEX('Phản ánh'!$A$6:$A$505,ROW()-5),IF(ROW()-5-COUNTA('Phản ánh'!$A$6:$A$505)&lt;=COUNTA('Kế hoạch'!$A$6:$A$305),INDEX('Kế hoạch'!$A$6:$A$305,ROW()-5-COUNTA('Phản ánh'!$A$6:$A$505)),""))</f>
      </c>
    </row>
    <row r="40">
      <c r="P40" s="255">
        <f>IF(ROW()-5&lt;=COUNTA('Phản ánh'!$A$6:$A$505),INDEX('Phản ánh'!$A$6:$A$505,ROW()-5),IF(ROW()-5-COUNTA('Phản ánh'!$A$6:$A$505)&lt;=COUNTA('Kế hoạch'!$A$6:$A$305),INDEX('Kế hoạch'!$A$6:$A$305,ROW()-5-COUNTA('Phản ánh'!$A$6:$A$505)),""))</f>
      </c>
    </row>
    <row r="41">
      <c r="P41" s="255">
        <f>IF(ROW()-5&lt;=COUNTA('Phản ánh'!$A$6:$A$505),INDEX('Phản ánh'!$A$6:$A$505,ROW()-5),IF(ROW()-5-COUNTA('Phản ánh'!$A$6:$A$505)&lt;=COUNTA('Kế hoạch'!$A$6:$A$305),INDEX('Kế hoạch'!$A$6:$A$305,ROW()-5-COUNTA('Phản ánh'!$A$6:$A$505)),""))</f>
      </c>
    </row>
    <row r="42">
      <c r="P42" s="255">
        <f>IF(ROW()-5&lt;=COUNTA('Phản ánh'!$A$6:$A$505),INDEX('Phản ánh'!$A$6:$A$505,ROW()-5),IF(ROW()-5-COUNTA('Phản ánh'!$A$6:$A$505)&lt;=COUNTA('Kế hoạch'!$A$6:$A$305),INDEX('Kế hoạch'!$A$6:$A$305,ROW()-5-COUNTA('Phản ánh'!$A$6:$A$505)),""))</f>
      </c>
    </row>
    <row r="43">
      <c r="P43" s="255">
        <f>IF(ROW()-5&lt;=COUNTA('Phản ánh'!$A$6:$A$505),INDEX('Phản ánh'!$A$6:$A$505,ROW()-5),IF(ROW()-5-COUNTA('Phản ánh'!$A$6:$A$505)&lt;=COUNTA('Kế hoạch'!$A$6:$A$305),INDEX('Kế hoạch'!$A$6:$A$305,ROW()-5-COUNTA('Phản ánh'!$A$6:$A$505)),""))</f>
      </c>
    </row>
    <row r="44">
      <c r="P44" s="255">
        <f>IF(ROW()-5&lt;=COUNTA('Phản ánh'!$A$6:$A$505),INDEX('Phản ánh'!$A$6:$A$505,ROW()-5),IF(ROW()-5-COUNTA('Phản ánh'!$A$6:$A$505)&lt;=COUNTA('Kế hoạch'!$A$6:$A$305),INDEX('Kế hoạch'!$A$6:$A$305,ROW()-5-COUNTA('Phản ánh'!$A$6:$A$505)),""))</f>
      </c>
    </row>
    <row r="45">
      <c r="P45" s="255">
        <f>IF(ROW()-5&lt;=COUNTA('Phản ánh'!$A$6:$A$505),INDEX('Phản ánh'!$A$6:$A$505,ROW()-5),IF(ROW()-5-COUNTA('Phản ánh'!$A$6:$A$505)&lt;=COUNTA('Kế hoạch'!$A$6:$A$305),INDEX('Kế hoạch'!$A$6:$A$305,ROW()-5-COUNTA('Phản ánh'!$A$6:$A$505)),""))</f>
      </c>
    </row>
    <row r="46">
      <c r="P46" s="255">
        <f>IF(ROW()-5&lt;=COUNTA('Phản ánh'!$A$6:$A$505),INDEX('Phản ánh'!$A$6:$A$505,ROW()-5),IF(ROW()-5-COUNTA('Phản ánh'!$A$6:$A$505)&lt;=COUNTA('Kế hoạch'!$A$6:$A$305),INDEX('Kế hoạch'!$A$6:$A$305,ROW()-5-COUNTA('Phản ánh'!$A$6:$A$505)),""))</f>
      </c>
    </row>
    <row r="47">
      <c r="P47" s="255">
        <f>IF(ROW()-5&lt;=COUNTA('Phản ánh'!$A$6:$A$505),INDEX('Phản ánh'!$A$6:$A$505,ROW()-5),IF(ROW()-5-COUNTA('Phản ánh'!$A$6:$A$505)&lt;=COUNTA('Kế hoạch'!$A$6:$A$305),INDEX('Kế hoạch'!$A$6:$A$305,ROW()-5-COUNTA('Phản ánh'!$A$6:$A$505)),""))</f>
      </c>
    </row>
    <row r="48">
      <c r="P48" s="255">
        <f>IF(ROW()-5&lt;=COUNTA('Phản ánh'!$A$6:$A$505),INDEX('Phản ánh'!$A$6:$A$505,ROW()-5),IF(ROW()-5-COUNTA('Phản ánh'!$A$6:$A$505)&lt;=COUNTA('Kế hoạch'!$A$6:$A$305),INDEX('Kế hoạch'!$A$6:$A$305,ROW()-5-COUNTA('Phản ánh'!$A$6:$A$505)),""))</f>
      </c>
    </row>
    <row r="49">
      <c r="P49" s="255">
        <f>IF(ROW()-5&lt;=COUNTA('Phản ánh'!$A$6:$A$505),INDEX('Phản ánh'!$A$6:$A$505,ROW()-5),IF(ROW()-5-COUNTA('Phản ánh'!$A$6:$A$505)&lt;=COUNTA('Kế hoạch'!$A$6:$A$305),INDEX('Kế hoạch'!$A$6:$A$305,ROW()-5-COUNTA('Phản ánh'!$A$6:$A$505)),""))</f>
      </c>
    </row>
    <row r="50">
      <c r="P50" s="255">
        <f>IF(ROW()-5&lt;=COUNTA('Phản ánh'!$A$6:$A$505),INDEX('Phản ánh'!$A$6:$A$505,ROW()-5),IF(ROW()-5-COUNTA('Phản ánh'!$A$6:$A$505)&lt;=COUNTA('Kế hoạch'!$A$6:$A$305),INDEX('Kế hoạch'!$A$6:$A$305,ROW()-5-COUNTA('Phản ánh'!$A$6:$A$505)),""))</f>
      </c>
    </row>
    <row r="51">
      <c r="P51" s="255">
        <f>IF(ROW()-5&lt;=COUNTA('Phản ánh'!$A$6:$A$505),INDEX('Phản ánh'!$A$6:$A$505,ROW()-5),IF(ROW()-5-COUNTA('Phản ánh'!$A$6:$A$505)&lt;=COUNTA('Kế hoạch'!$A$6:$A$305),INDEX('Kế hoạch'!$A$6:$A$305,ROW()-5-COUNTA('Phản ánh'!$A$6:$A$505)),""))</f>
      </c>
    </row>
    <row r="52">
      <c r="P52" s="255">
        <f>IF(ROW()-5&lt;=COUNTA('Phản ánh'!$A$6:$A$505),INDEX('Phản ánh'!$A$6:$A$505,ROW()-5),IF(ROW()-5-COUNTA('Phản ánh'!$A$6:$A$505)&lt;=COUNTA('Kế hoạch'!$A$6:$A$305),INDEX('Kế hoạch'!$A$6:$A$305,ROW()-5-COUNTA('Phản ánh'!$A$6:$A$505)),""))</f>
      </c>
    </row>
    <row r="53">
      <c r="P53" s="255">
        <f>IF(ROW()-5&lt;=COUNTA('Phản ánh'!$A$6:$A$505),INDEX('Phản ánh'!$A$6:$A$505,ROW()-5),IF(ROW()-5-COUNTA('Phản ánh'!$A$6:$A$505)&lt;=COUNTA('Kế hoạch'!$A$6:$A$305),INDEX('Kế hoạch'!$A$6:$A$305,ROW()-5-COUNTA('Phản ánh'!$A$6:$A$505)),""))</f>
      </c>
    </row>
    <row r="54">
      <c r="P54" s="255">
        <f>IF(ROW()-5&lt;=COUNTA('Phản ánh'!$A$6:$A$505),INDEX('Phản ánh'!$A$6:$A$505,ROW()-5),IF(ROW()-5-COUNTA('Phản ánh'!$A$6:$A$505)&lt;=COUNTA('Kế hoạch'!$A$6:$A$305),INDEX('Kế hoạch'!$A$6:$A$305,ROW()-5-COUNTA('Phản ánh'!$A$6:$A$505)),""))</f>
      </c>
    </row>
    <row r="55">
      <c r="P55" s="255">
        <f>IF(ROW()-5&lt;=COUNTA('Phản ánh'!$A$6:$A$505),INDEX('Phản ánh'!$A$6:$A$505,ROW()-5),IF(ROW()-5-COUNTA('Phản ánh'!$A$6:$A$505)&lt;=COUNTA('Kế hoạch'!$A$6:$A$305),INDEX('Kế hoạch'!$A$6:$A$305,ROW()-5-COUNTA('Phản ánh'!$A$6:$A$505)),""))</f>
      </c>
    </row>
    <row r="56">
      <c r="P56" s="255">
        <f>IF(ROW()-5&lt;=COUNTA('Phản ánh'!$A$6:$A$505),INDEX('Phản ánh'!$A$6:$A$505,ROW()-5),IF(ROW()-5-COUNTA('Phản ánh'!$A$6:$A$505)&lt;=COUNTA('Kế hoạch'!$A$6:$A$305),INDEX('Kế hoạch'!$A$6:$A$305,ROW()-5-COUNTA('Phản ánh'!$A$6:$A$505)),""))</f>
      </c>
    </row>
    <row r="57">
      <c r="P57" s="255">
        <f>IF(ROW()-5&lt;=COUNTA('Phản ánh'!$A$6:$A$505),INDEX('Phản ánh'!$A$6:$A$505,ROW()-5),IF(ROW()-5-COUNTA('Phản ánh'!$A$6:$A$505)&lt;=COUNTA('Kế hoạch'!$A$6:$A$305),INDEX('Kế hoạch'!$A$6:$A$305,ROW()-5-COUNTA('Phản ánh'!$A$6:$A$505)),""))</f>
      </c>
    </row>
    <row r="58">
      <c r="P58" s="255">
        <f>IF(ROW()-5&lt;=COUNTA('Phản ánh'!$A$6:$A$505),INDEX('Phản ánh'!$A$6:$A$505,ROW()-5),IF(ROW()-5-COUNTA('Phản ánh'!$A$6:$A$505)&lt;=COUNTA('Kế hoạch'!$A$6:$A$305),INDEX('Kế hoạch'!$A$6:$A$305,ROW()-5-COUNTA('Phản ánh'!$A$6:$A$505)),""))</f>
      </c>
    </row>
    <row r="59">
      <c r="P59" s="255">
        <f>IF(ROW()-5&lt;=COUNTA('Phản ánh'!$A$6:$A$505),INDEX('Phản ánh'!$A$6:$A$505,ROW()-5),IF(ROW()-5-COUNTA('Phản ánh'!$A$6:$A$505)&lt;=COUNTA('Kế hoạch'!$A$6:$A$305),INDEX('Kế hoạch'!$A$6:$A$305,ROW()-5-COUNTA('Phản ánh'!$A$6:$A$505)),""))</f>
      </c>
    </row>
    <row r="60">
      <c r="P60" s="255">
        <f>IF(ROW()-5&lt;=COUNTA('Phản ánh'!$A$6:$A$505),INDEX('Phản ánh'!$A$6:$A$505,ROW()-5),IF(ROW()-5-COUNTA('Phản ánh'!$A$6:$A$505)&lt;=COUNTA('Kế hoạch'!$A$6:$A$305),INDEX('Kế hoạch'!$A$6:$A$305,ROW()-5-COUNTA('Phản ánh'!$A$6:$A$505)),""))</f>
      </c>
    </row>
    <row r="61">
      <c r="P61" s="255">
        <f>IF(ROW()-5&lt;=COUNTA('Phản ánh'!$A$6:$A$505),INDEX('Phản ánh'!$A$6:$A$505,ROW()-5),IF(ROW()-5-COUNTA('Phản ánh'!$A$6:$A$505)&lt;=COUNTA('Kế hoạch'!$A$6:$A$305),INDEX('Kế hoạch'!$A$6:$A$305,ROW()-5-COUNTA('Phản ánh'!$A$6:$A$505)),""))</f>
      </c>
    </row>
    <row r="62">
      <c r="P62" s="255">
        <f>IF(ROW()-5&lt;=COUNTA('Phản ánh'!$A$6:$A$505),INDEX('Phản ánh'!$A$6:$A$505,ROW()-5),IF(ROW()-5-COUNTA('Phản ánh'!$A$6:$A$505)&lt;=COUNTA('Kế hoạch'!$A$6:$A$305),INDEX('Kế hoạch'!$A$6:$A$305,ROW()-5-COUNTA('Phản ánh'!$A$6:$A$505)),""))</f>
      </c>
    </row>
    <row r="63">
      <c r="P63" s="255">
        <f>IF(ROW()-5&lt;=COUNTA('Phản ánh'!$A$6:$A$505),INDEX('Phản ánh'!$A$6:$A$505,ROW()-5),IF(ROW()-5-COUNTA('Phản ánh'!$A$6:$A$505)&lt;=COUNTA('Kế hoạch'!$A$6:$A$305),INDEX('Kế hoạch'!$A$6:$A$305,ROW()-5-COUNTA('Phản ánh'!$A$6:$A$505)),""))</f>
      </c>
    </row>
    <row r="64">
      <c r="P64" s="255">
        <f>IF(ROW()-5&lt;=COUNTA('Phản ánh'!$A$6:$A$505),INDEX('Phản ánh'!$A$6:$A$505,ROW()-5),IF(ROW()-5-COUNTA('Phản ánh'!$A$6:$A$505)&lt;=COUNTA('Kế hoạch'!$A$6:$A$305),INDEX('Kế hoạch'!$A$6:$A$305,ROW()-5-COUNTA('Phản ánh'!$A$6:$A$505)),""))</f>
      </c>
    </row>
    <row r="65">
      <c r="P65" s="255">
        <f>IF(ROW()-5&lt;=COUNTA('Phản ánh'!$A$6:$A$505),INDEX('Phản ánh'!$A$6:$A$505,ROW()-5),IF(ROW()-5-COUNTA('Phản ánh'!$A$6:$A$505)&lt;=COUNTA('Kế hoạch'!$A$6:$A$305),INDEX('Kế hoạch'!$A$6:$A$305,ROW()-5-COUNTA('Phản ánh'!$A$6:$A$505)),""))</f>
      </c>
    </row>
    <row r="66">
      <c r="P66" s="255">
        <f>IF(ROW()-5&lt;=COUNTA('Phản ánh'!$A$6:$A$505),INDEX('Phản ánh'!$A$6:$A$505,ROW()-5),IF(ROW()-5-COUNTA('Phản ánh'!$A$6:$A$505)&lt;=COUNTA('Kế hoạch'!$A$6:$A$305),INDEX('Kế hoạch'!$A$6:$A$305,ROW()-5-COUNTA('Phản ánh'!$A$6:$A$505)),""))</f>
      </c>
    </row>
    <row r="67">
      <c r="P67" s="255">
        <f>IF(ROW()-5&lt;=COUNTA('Phản ánh'!$A$6:$A$505),INDEX('Phản ánh'!$A$6:$A$505,ROW()-5),IF(ROW()-5-COUNTA('Phản ánh'!$A$6:$A$505)&lt;=COUNTA('Kế hoạch'!$A$6:$A$305),INDEX('Kế hoạch'!$A$6:$A$305,ROW()-5-COUNTA('Phản ánh'!$A$6:$A$505)),""))</f>
      </c>
    </row>
    <row r="68">
      <c r="P68" s="255">
        <f>IF(ROW()-5&lt;=COUNTA('Phản ánh'!$A$6:$A$505),INDEX('Phản ánh'!$A$6:$A$505,ROW()-5),IF(ROW()-5-COUNTA('Phản ánh'!$A$6:$A$505)&lt;=COUNTA('Kế hoạch'!$A$6:$A$305),INDEX('Kế hoạch'!$A$6:$A$305,ROW()-5-COUNTA('Phản ánh'!$A$6:$A$505)),""))</f>
      </c>
    </row>
    <row r="69">
      <c r="P69" s="255">
        <f>IF(ROW()-5&lt;=COUNTA('Phản ánh'!$A$6:$A$505),INDEX('Phản ánh'!$A$6:$A$505,ROW()-5),IF(ROW()-5-COUNTA('Phản ánh'!$A$6:$A$505)&lt;=COUNTA('Kế hoạch'!$A$6:$A$305),INDEX('Kế hoạch'!$A$6:$A$305,ROW()-5-COUNTA('Phản ánh'!$A$6:$A$505)),""))</f>
      </c>
    </row>
    <row r="70">
      <c r="P70" s="255">
        <f>IF(ROW()-5&lt;=COUNTA('Phản ánh'!$A$6:$A$505),INDEX('Phản ánh'!$A$6:$A$505,ROW()-5),IF(ROW()-5-COUNTA('Phản ánh'!$A$6:$A$505)&lt;=COUNTA('Kế hoạch'!$A$6:$A$305),INDEX('Kế hoạch'!$A$6:$A$305,ROW()-5-COUNTA('Phản ánh'!$A$6:$A$505)),""))</f>
      </c>
    </row>
    <row r="71">
      <c r="P71" s="255">
        <f>IF(ROW()-5&lt;=COUNTA('Phản ánh'!$A$6:$A$505),INDEX('Phản ánh'!$A$6:$A$505,ROW()-5),IF(ROW()-5-COUNTA('Phản ánh'!$A$6:$A$505)&lt;=COUNTA('Kế hoạch'!$A$6:$A$305),INDEX('Kế hoạch'!$A$6:$A$305,ROW()-5-COUNTA('Phản ánh'!$A$6:$A$505)),""))</f>
      </c>
    </row>
    <row r="72">
      <c r="P72" s="255">
        <f>IF(ROW()-5&lt;=COUNTA('Phản ánh'!$A$6:$A$505),INDEX('Phản ánh'!$A$6:$A$505,ROW()-5),IF(ROW()-5-COUNTA('Phản ánh'!$A$6:$A$505)&lt;=COUNTA('Kế hoạch'!$A$6:$A$305),INDEX('Kế hoạch'!$A$6:$A$305,ROW()-5-COUNTA('Phản ánh'!$A$6:$A$505)),""))</f>
      </c>
    </row>
    <row r="73">
      <c r="P73" s="255">
        <f>IF(ROW()-5&lt;=COUNTA('Phản ánh'!$A$6:$A$505),INDEX('Phản ánh'!$A$6:$A$505,ROW()-5),IF(ROW()-5-COUNTA('Phản ánh'!$A$6:$A$505)&lt;=COUNTA('Kế hoạch'!$A$6:$A$305),INDEX('Kế hoạch'!$A$6:$A$305,ROW()-5-COUNTA('Phản ánh'!$A$6:$A$505)),""))</f>
      </c>
    </row>
    <row r="74">
      <c r="P74" s="255">
        <f>IF(ROW()-5&lt;=COUNTA('Phản ánh'!$A$6:$A$505),INDEX('Phản ánh'!$A$6:$A$505,ROW()-5),IF(ROW()-5-COUNTA('Phản ánh'!$A$6:$A$505)&lt;=COUNTA('Kế hoạch'!$A$6:$A$305),INDEX('Kế hoạch'!$A$6:$A$305,ROW()-5-COUNTA('Phản ánh'!$A$6:$A$505)),""))</f>
      </c>
    </row>
    <row r="75">
      <c r="P75" s="255">
        <f>IF(ROW()-5&lt;=COUNTA('Phản ánh'!$A$6:$A$505),INDEX('Phản ánh'!$A$6:$A$505,ROW()-5),IF(ROW()-5-COUNTA('Phản ánh'!$A$6:$A$505)&lt;=COUNTA('Kế hoạch'!$A$6:$A$305),INDEX('Kế hoạch'!$A$6:$A$305,ROW()-5-COUNTA('Phản ánh'!$A$6:$A$505)),""))</f>
      </c>
    </row>
    <row r="76">
      <c r="P76" s="255">
        <f>IF(ROW()-5&lt;=COUNTA('Phản ánh'!$A$6:$A$505),INDEX('Phản ánh'!$A$6:$A$505,ROW()-5),IF(ROW()-5-COUNTA('Phản ánh'!$A$6:$A$505)&lt;=COUNTA('Kế hoạch'!$A$6:$A$305),INDEX('Kế hoạch'!$A$6:$A$305,ROW()-5-COUNTA('Phản ánh'!$A$6:$A$505)),""))</f>
      </c>
    </row>
    <row r="77">
      <c r="P77" s="255">
        <f>IF(ROW()-5&lt;=COUNTA('Phản ánh'!$A$6:$A$505),INDEX('Phản ánh'!$A$6:$A$505,ROW()-5),IF(ROW()-5-COUNTA('Phản ánh'!$A$6:$A$505)&lt;=COUNTA('Kế hoạch'!$A$6:$A$305),INDEX('Kế hoạch'!$A$6:$A$305,ROW()-5-COUNTA('Phản ánh'!$A$6:$A$505)),""))</f>
      </c>
    </row>
    <row r="78">
      <c r="P78" s="255">
        <f>IF(ROW()-5&lt;=COUNTA('Phản ánh'!$A$6:$A$505),INDEX('Phản ánh'!$A$6:$A$505,ROW()-5),IF(ROW()-5-COUNTA('Phản ánh'!$A$6:$A$505)&lt;=COUNTA('Kế hoạch'!$A$6:$A$305),INDEX('Kế hoạch'!$A$6:$A$305,ROW()-5-COUNTA('Phản ánh'!$A$6:$A$505)),""))</f>
      </c>
    </row>
    <row r="79">
      <c r="P79" s="255">
        <f>IF(ROW()-5&lt;=COUNTA('Phản ánh'!$A$6:$A$505),INDEX('Phản ánh'!$A$6:$A$505,ROW()-5),IF(ROW()-5-COUNTA('Phản ánh'!$A$6:$A$505)&lt;=COUNTA('Kế hoạch'!$A$6:$A$305),INDEX('Kế hoạch'!$A$6:$A$305,ROW()-5-COUNTA('Phản ánh'!$A$6:$A$505)),""))</f>
      </c>
    </row>
    <row r="80">
      <c r="P80" s="255">
        <f>IF(ROW()-5&lt;=COUNTA('Phản ánh'!$A$6:$A$505),INDEX('Phản ánh'!$A$6:$A$505,ROW()-5),IF(ROW()-5-COUNTA('Phản ánh'!$A$6:$A$505)&lt;=COUNTA('Kế hoạch'!$A$6:$A$305),INDEX('Kế hoạch'!$A$6:$A$305,ROW()-5-COUNTA('Phản ánh'!$A$6:$A$505)),""))</f>
      </c>
    </row>
    <row r="81">
      <c r="P81" s="255">
        <f>IF(ROW()-5&lt;=COUNTA('Phản ánh'!$A$6:$A$505),INDEX('Phản ánh'!$A$6:$A$505,ROW()-5),IF(ROW()-5-COUNTA('Phản ánh'!$A$6:$A$505)&lt;=COUNTA('Kế hoạch'!$A$6:$A$305),INDEX('Kế hoạch'!$A$6:$A$305,ROW()-5-COUNTA('Phản ánh'!$A$6:$A$505)),""))</f>
      </c>
    </row>
    <row r="82">
      <c r="P82" s="255">
        <f>IF(ROW()-5&lt;=COUNTA('Phản ánh'!$A$6:$A$505),INDEX('Phản ánh'!$A$6:$A$505,ROW()-5),IF(ROW()-5-COUNTA('Phản ánh'!$A$6:$A$505)&lt;=COUNTA('Kế hoạch'!$A$6:$A$305),INDEX('Kế hoạch'!$A$6:$A$305,ROW()-5-COUNTA('Phản ánh'!$A$6:$A$505)),""))</f>
      </c>
    </row>
    <row r="83">
      <c r="P83" s="255">
        <f>IF(ROW()-5&lt;=COUNTA('Phản ánh'!$A$6:$A$505),INDEX('Phản ánh'!$A$6:$A$505,ROW()-5),IF(ROW()-5-COUNTA('Phản ánh'!$A$6:$A$505)&lt;=COUNTA('Kế hoạch'!$A$6:$A$305),INDEX('Kế hoạch'!$A$6:$A$305,ROW()-5-COUNTA('Phản ánh'!$A$6:$A$505)),""))</f>
      </c>
    </row>
    <row r="84">
      <c r="P84" s="255">
        <f>IF(ROW()-5&lt;=COUNTA('Phản ánh'!$A$6:$A$505),INDEX('Phản ánh'!$A$6:$A$505,ROW()-5),IF(ROW()-5-COUNTA('Phản ánh'!$A$6:$A$505)&lt;=COUNTA('Kế hoạch'!$A$6:$A$305),INDEX('Kế hoạch'!$A$6:$A$305,ROW()-5-COUNTA('Phản ánh'!$A$6:$A$505)),""))</f>
      </c>
    </row>
    <row r="85">
      <c r="P85" s="255">
        <f>IF(ROW()-5&lt;=COUNTA('Phản ánh'!$A$6:$A$505),INDEX('Phản ánh'!$A$6:$A$505,ROW()-5),IF(ROW()-5-COUNTA('Phản ánh'!$A$6:$A$505)&lt;=COUNTA('Kế hoạch'!$A$6:$A$305),INDEX('Kế hoạch'!$A$6:$A$305,ROW()-5-COUNTA('Phản ánh'!$A$6:$A$505)),""))</f>
      </c>
    </row>
    <row r="86">
      <c r="P86" s="255">
        <f>IF(ROW()-5&lt;=COUNTA('Phản ánh'!$A$6:$A$505),INDEX('Phản ánh'!$A$6:$A$505,ROW()-5),IF(ROW()-5-COUNTA('Phản ánh'!$A$6:$A$505)&lt;=COUNTA('Kế hoạch'!$A$6:$A$305),INDEX('Kế hoạch'!$A$6:$A$305,ROW()-5-COUNTA('Phản ánh'!$A$6:$A$505)),""))</f>
      </c>
    </row>
    <row r="87">
      <c r="P87" s="255">
        <f>IF(ROW()-5&lt;=COUNTA('Phản ánh'!$A$6:$A$505),INDEX('Phản ánh'!$A$6:$A$505,ROW()-5),IF(ROW()-5-COUNTA('Phản ánh'!$A$6:$A$505)&lt;=COUNTA('Kế hoạch'!$A$6:$A$305),INDEX('Kế hoạch'!$A$6:$A$305,ROW()-5-COUNTA('Phản ánh'!$A$6:$A$505)),""))</f>
      </c>
    </row>
    <row r="88">
      <c r="P88" s="255">
        <f>IF(ROW()-5&lt;=COUNTA('Phản ánh'!$A$6:$A$505),INDEX('Phản ánh'!$A$6:$A$505,ROW()-5),IF(ROW()-5-COUNTA('Phản ánh'!$A$6:$A$505)&lt;=COUNTA('Kế hoạch'!$A$6:$A$305),INDEX('Kế hoạch'!$A$6:$A$305,ROW()-5-COUNTA('Phản ánh'!$A$6:$A$505)),""))</f>
      </c>
    </row>
    <row r="89">
      <c r="P89" s="255">
        <f>IF(ROW()-5&lt;=COUNTA('Phản ánh'!$A$6:$A$505),INDEX('Phản ánh'!$A$6:$A$505,ROW()-5),IF(ROW()-5-COUNTA('Phản ánh'!$A$6:$A$505)&lt;=COUNTA('Kế hoạch'!$A$6:$A$305),INDEX('Kế hoạch'!$A$6:$A$305,ROW()-5-COUNTA('Phản ánh'!$A$6:$A$505)),""))</f>
      </c>
    </row>
    <row r="90">
      <c r="P90" s="255">
        <f>IF(ROW()-5&lt;=COUNTA('Phản ánh'!$A$6:$A$505),INDEX('Phản ánh'!$A$6:$A$505,ROW()-5),IF(ROW()-5-COUNTA('Phản ánh'!$A$6:$A$505)&lt;=COUNTA('Kế hoạch'!$A$6:$A$305),INDEX('Kế hoạch'!$A$6:$A$305,ROW()-5-COUNTA('Phản ánh'!$A$6:$A$505)),""))</f>
      </c>
    </row>
    <row r="91">
      <c r="P91" s="255">
        <f>IF(ROW()-5&lt;=COUNTA('Phản ánh'!$A$6:$A$505),INDEX('Phản ánh'!$A$6:$A$505,ROW()-5),IF(ROW()-5-COUNTA('Phản ánh'!$A$6:$A$505)&lt;=COUNTA('Kế hoạch'!$A$6:$A$305),INDEX('Kế hoạch'!$A$6:$A$305,ROW()-5-COUNTA('Phản ánh'!$A$6:$A$505)),""))</f>
      </c>
    </row>
    <row r="92">
      <c r="P92" s="255">
        <f>IF(ROW()-5&lt;=COUNTA('Phản ánh'!$A$6:$A$505),INDEX('Phản ánh'!$A$6:$A$505,ROW()-5),IF(ROW()-5-COUNTA('Phản ánh'!$A$6:$A$505)&lt;=COUNTA('Kế hoạch'!$A$6:$A$305),INDEX('Kế hoạch'!$A$6:$A$305,ROW()-5-COUNTA('Phản ánh'!$A$6:$A$505)),""))</f>
      </c>
    </row>
    <row r="93">
      <c r="P93" s="255">
        <f>IF(ROW()-5&lt;=COUNTA('Phản ánh'!$A$6:$A$505),INDEX('Phản ánh'!$A$6:$A$505,ROW()-5),IF(ROW()-5-COUNTA('Phản ánh'!$A$6:$A$505)&lt;=COUNTA('Kế hoạch'!$A$6:$A$305),INDEX('Kế hoạch'!$A$6:$A$305,ROW()-5-COUNTA('Phản ánh'!$A$6:$A$505)),""))</f>
      </c>
    </row>
    <row r="94">
      <c r="P94" s="255">
        <f>IF(ROW()-5&lt;=COUNTA('Phản ánh'!$A$6:$A$505),INDEX('Phản ánh'!$A$6:$A$505,ROW()-5),IF(ROW()-5-COUNTA('Phản ánh'!$A$6:$A$505)&lt;=COUNTA('Kế hoạch'!$A$6:$A$305),INDEX('Kế hoạch'!$A$6:$A$305,ROW()-5-COUNTA('Phản ánh'!$A$6:$A$505)),""))</f>
      </c>
    </row>
    <row r="95">
      <c r="P95" s="255">
        <f>IF(ROW()-5&lt;=COUNTA('Phản ánh'!$A$6:$A$505),INDEX('Phản ánh'!$A$6:$A$505,ROW()-5),IF(ROW()-5-COUNTA('Phản ánh'!$A$6:$A$505)&lt;=COUNTA('Kế hoạch'!$A$6:$A$305),INDEX('Kế hoạch'!$A$6:$A$305,ROW()-5-COUNTA('Phản ánh'!$A$6:$A$505)),""))</f>
      </c>
    </row>
    <row r="96">
      <c r="P96" s="255">
        <f>IF(ROW()-5&lt;=COUNTA('Phản ánh'!$A$6:$A$505),INDEX('Phản ánh'!$A$6:$A$505,ROW()-5),IF(ROW()-5-COUNTA('Phản ánh'!$A$6:$A$505)&lt;=COUNTA('Kế hoạch'!$A$6:$A$305),INDEX('Kế hoạch'!$A$6:$A$305,ROW()-5-COUNTA('Phản ánh'!$A$6:$A$505)),""))</f>
      </c>
    </row>
    <row r="97">
      <c r="P97" s="255">
        <f>IF(ROW()-5&lt;=COUNTA('Phản ánh'!$A$6:$A$505),INDEX('Phản ánh'!$A$6:$A$505,ROW()-5),IF(ROW()-5-COUNTA('Phản ánh'!$A$6:$A$505)&lt;=COUNTA('Kế hoạch'!$A$6:$A$305),INDEX('Kế hoạch'!$A$6:$A$305,ROW()-5-COUNTA('Phản ánh'!$A$6:$A$505)),""))</f>
      </c>
    </row>
    <row r="98">
      <c r="P98" s="255">
        <f>IF(ROW()-5&lt;=COUNTA('Phản ánh'!$A$6:$A$505),INDEX('Phản ánh'!$A$6:$A$505,ROW()-5),IF(ROW()-5-COUNTA('Phản ánh'!$A$6:$A$505)&lt;=COUNTA('Kế hoạch'!$A$6:$A$305),INDEX('Kế hoạch'!$A$6:$A$305,ROW()-5-COUNTA('Phản ánh'!$A$6:$A$505)),""))</f>
      </c>
    </row>
    <row r="99">
      <c r="P99" s="255">
        <f>IF(ROW()-5&lt;=COUNTA('Phản ánh'!$A$6:$A$505),INDEX('Phản ánh'!$A$6:$A$505,ROW()-5),IF(ROW()-5-COUNTA('Phản ánh'!$A$6:$A$505)&lt;=COUNTA('Kế hoạch'!$A$6:$A$305),INDEX('Kế hoạch'!$A$6:$A$305,ROW()-5-COUNTA('Phản ánh'!$A$6:$A$505)),""))</f>
      </c>
    </row>
    <row r="100">
      <c r="P100" s="255">
        <f>IF(ROW()-5&lt;=COUNTA('Phản ánh'!$A$6:$A$505),INDEX('Phản ánh'!$A$6:$A$505,ROW()-5),IF(ROW()-5-COUNTA('Phản ánh'!$A$6:$A$505)&lt;=COUNTA('Kế hoạch'!$A$6:$A$305),INDEX('Kế hoạch'!$A$6:$A$305,ROW()-5-COUNTA('Phản ánh'!$A$6:$A$505)),""))</f>
      </c>
    </row>
    <row r="101">
      <c r="P101" s="255">
        <f>IF(ROW()-5&lt;=COUNTA('Phản ánh'!$A$6:$A$505),INDEX('Phản ánh'!$A$6:$A$505,ROW()-5),IF(ROW()-5-COUNTA('Phản ánh'!$A$6:$A$505)&lt;=COUNTA('Kế hoạch'!$A$6:$A$305),INDEX('Kế hoạch'!$A$6:$A$305,ROW()-5-COUNTA('Phản ánh'!$A$6:$A$505)),""))</f>
      </c>
    </row>
    <row r="102">
      <c r="P102" s="255">
        <f>IF(ROW()-5&lt;=COUNTA('Phản ánh'!$A$6:$A$505),INDEX('Phản ánh'!$A$6:$A$505,ROW()-5),IF(ROW()-5-COUNTA('Phản ánh'!$A$6:$A$505)&lt;=COUNTA('Kế hoạch'!$A$6:$A$305),INDEX('Kế hoạch'!$A$6:$A$305,ROW()-5-COUNTA('Phản ánh'!$A$6:$A$505)),""))</f>
      </c>
    </row>
    <row r="103">
      <c r="P103" s="255">
        <f>IF(ROW()-5&lt;=COUNTA('Phản ánh'!$A$6:$A$505),INDEX('Phản ánh'!$A$6:$A$505,ROW()-5),IF(ROW()-5-COUNTA('Phản ánh'!$A$6:$A$505)&lt;=COUNTA('Kế hoạch'!$A$6:$A$305),INDEX('Kế hoạch'!$A$6:$A$305,ROW()-5-COUNTA('Phản ánh'!$A$6:$A$505)),""))</f>
      </c>
    </row>
    <row r="104">
      <c r="P104" s="255">
        <f>IF(ROW()-5&lt;=COUNTA('Phản ánh'!$A$6:$A$505),INDEX('Phản ánh'!$A$6:$A$505,ROW()-5),IF(ROW()-5-COUNTA('Phản ánh'!$A$6:$A$505)&lt;=COUNTA('Kế hoạch'!$A$6:$A$305),INDEX('Kế hoạch'!$A$6:$A$305,ROW()-5-COUNTA('Phản ánh'!$A$6:$A$505)),""))</f>
      </c>
    </row>
    <row r="105">
      <c r="P105" s="255">
        <f>IF(ROW()-5&lt;=COUNTA('Phản ánh'!$A$6:$A$505),INDEX('Phản ánh'!$A$6:$A$505,ROW()-5),IF(ROW()-5-COUNTA('Phản ánh'!$A$6:$A$505)&lt;=COUNTA('Kế hoạch'!$A$6:$A$305),INDEX('Kế hoạch'!$A$6:$A$305,ROW()-5-COUNTA('Phản ánh'!$A$6:$A$505)),""))</f>
      </c>
    </row>
    <row r="106">
      <c r="P106" s="255">
        <f>IF(ROW()-5&lt;=COUNTA('Phản ánh'!$A$6:$A$505),INDEX('Phản ánh'!$A$6:$A$505,ROW()-5),IF(ROW()-5-COUNTA('Phản ánh'!$A$6:$A$505)&lt;=COUNTA('Kế hoạch'!$A$6:$A$305),INDEX('Kế hoạch'!$A$6:$A$305,ROW()-5-COUNTA('Phản ánh'!$A$6:$A$505)),""))</f>
      </c>
    </row>
    <row r="107">
      <c r="P107" s="255">
        <f>IF(ROW()-5&lt;=COUNTA('Phản ánh'!$A$6:$A$505),INDEX('Phản ánh'!$A$6:$A$505,ROW()-5),IF(ROW()-5-COUNTA('Phản ánh'!$A$6:$A$505)&lt;=COUNTA('Kế hoạch'!$A$6:$A$305),INDEX('Kế hoạch'!$A$6:$A$305,ROW()-5-COUNTA('Phản ánh'!$A$6:$A$505)),""))</f>
      </c>
    </row>
    <row r="108">
      <c r="P108" s="255">
        <f>IF(ROW()-5&lt;=COUNTA('Phản ánh'!$A$6:$A$505),INDEX('Phản ánh'!$A$6:$A$505,ROW()-5),IF(ROW()-5-COUNTA('Phản ánh'!$A$6:$A$505)&lt;=COUNTA('Kế hoạch'!$A$6:$A$305),INDEX('Kế hoạch'!$A$6:$A$305,ROW()-5-COUNTA('Phản ánh'!$A$6:$A$505)),""))</f>
      </c>
    </row>
    <row r="109">
      <c r="P109" s="255">
        <f>IF(ROW()-5&lt;=COUNTA('Phản ánh'!$A$6:$A$505),INDEX('Phản ánh'!$A$6:$A$505,ROW()-5),IF(ROW()-5-COUNTA('Phản ánh'!$A$6:$A$505)&lt;=COUNTA('Kế hoạch'!$A$6:$A$305),INDEX('Kế hoạch'!$A$6:$A$305,ROW()-5-COUNTA('Phản ánh'!$A$6:$A$505)),""))</f>
      </c>
    </row>
    <row r="110">
      <c r="P110" s="255">
        <f>IF(ROW()-5&lt;=COUNTA('Phản ánh'!$A$6:$A$505),INDEX('Phản ánh'!$A$6:$A$505,ROW()-5),IF(ROW()-5-COUNTA('Phản ánh'!$A$6:$A$505)&lt;=COUNTA('Kế hoạch'!$A$6:$A$305),INDEX('Kế hoạch'!$A$6:$A$305,ROW()-5-COUNTA('Phản ánh'!$A$6:$A$505)),""))</f>
      </c>
    </row>
    <row r="111">
      <c r="P111" s="255">
        <f>IF(ROW()-5&lt;=COUNTA('Phản ánh'!$A$6:$A$505),INDEX('Phản ánh'!$A$6:$A$505,ROW()-5),IF(ROW()-5-COUNTA('Phản ánh'!$A$6:$A$505)&lt;=COUNTA('Kế hoạch'!$A$6:$A$305),INDEX('Kế hoạch'!$A$6:$A$305,ROW()-5-COUNTA('Phản ánh'!$A$6:$A$505)),""))</f>
      </c>
    </row>
    <row r="112">
      <c r="P112" s="255">
        <f>IF(ROW()-5&lt;=COUNTA('Phản ánh'!$A$6:$A$505),INDEX('Phản ánh'!$A$6:$A$505,ROW()-5),IF(ROW()-5-COUNTA('Phản ánh'!$A$6:$A$505)&lt;=COUNTA('Kế hoạch'!$A$6:$A$305),INDEX('Kế hoạch'!$A$6:$A$305,ROW()-5-COUNTA('Phản ánh'!$A$6:$A$505)),""))</f>
      </c>
    </row>
    <row r="113">
      <c r="P113" s="255">
        <f>IF(ROW()-5&lt;=COUNTA('Phản ánh'!$A$6:$A$505),INDEX('Phản ánh'!$A$6:$A$505,ROW()-5),IF(ROW()-5-COUNTA('Phản ánh'!$A$6:$A$505)&lt;=COUNTA('Kế hoạch'!$A$6:$A$305),INDEX('Kế hoạch'!$A$6:$A$305,ROW()-5-COUNTA('Phản ánh'!$A$6:$A$505)),""))</f>
      </c>
    </row>
    <row r="114">
      <c r="P114" s="255">
        <f>IF(ROW()-5&lt;=COUNTA('Phản ánh'!$A$6:$A$505),INDEX('Phản ánh'!$A$6:$A$505,ROW()-5),IF(ROW()-5-COUNTA('Phản ánh'!$A$6:$A$505)&lt;=COUNTA('Kế hoạch'!$A$6:$A$305),INDEX('Kế hoạch'!$A$6:$A$305,ROW()-5-COUNTA('Phản ánh'!$A$6:$A$505)),""))</f>
      </c>
    </row>
    <row r="115">
      <c r="P115" s="255">
        <f>IF(ROW()-5&lt;=COUNTA('Phản ánh'!$A$6:$A$505),INDEX('Phản ánh'!$A$6:$A$505,ROW()-5),IF(ROW()-5-COUNTA('Phản ánh'!$A$6:$A$505)&lt;=COUNTA('Kế hoạch'!$A$6:$A$305),INDEX('Kế hoạch'!$A$6:$A$305,ROW()-5-COUNTA('Phản ánh'!$A$6:$A$505)),""))</f>
      </c>
    </row>
    <row r="116">
      <c r="P116" s="255">
        <f>IF(ROW()-5&lt;=COUNTA('Phản ánh'!$A$6:$A$505),INDEX('Phản ánh'!$A$6:$A$505,ROW()-5),IF(ROW()-5-COUNTA('Phản ánh'!$A$6:$A$505)&lt;=COUNTA('Kế hoạch'!$A$6:$A$305),INDEX('Kế hoạch'!$A$6:$A$305,ROW()-5-COUNTA('Phản ánh'!$A$6:$A$505)),""))</f>
      </c>
    </row>
    <row r="117">
      <c r="P117" s="255">
        <f>IF(ROW()-5&lt;=COUNTA('Phản ánh'!$A$6:$A$505),INDEX('Phản ánh'!$A$6:$A$505,ROW()-5),IF(ROW()-5-COUNTA('Phản ánh'!$A$6:$A$505)&lt;=COUNTA('Kế hoạch'!$A$6:$A$305),INDEX('Kế hoạch'!$A$6:$A$305,ROW()-5-COUNTA('Phản ánh'!$A$6:$A$505)),""))</f>
      </c>
    </row>
    <row r="118">
      <c r="P118" s="255">
        <f>IF(ROW()-5&lt;=COUNTA('Phản ánh'!$A$6:$A$505),INDEX('Phản ánh'!$A$6:$A$505,ROW()-5),IF(ROW()-5-COUNTA('Phản ánh'!$A$6:$A$505)&lt;=COUNTA('Kế hoạch'!$A$6:$A$305),INDEX('Kế hoạch'!$A$6:$A$305,ROW()-5-COUNTA('Phản ánh'!$A$6:$A$505)),""))</f>
      </c>
    </row>
    <row r="119">
      <c r="P119" s="255">
        <f>IF(ROW()-5&lt;=COUNTA('Phản ánh'!$A$6:$A$505),INDEX('Phản ánh'!$A$6:$A$505,ROW()-5),IF(ROW()-5-COUNTA('Phản ánh'!$A$6:$A$505)&lt;=COUNTA('Kế hoạch'!$A$6:$A$305),INDEX('Kế hoạch'!$A$6:$A$305,ROW()-5-COUNTA('Phản ánh'!$A$6:$A$505)),""))</f>
      </c>
    </row>
    <row r="120">
      <c r="P120" s="255">
        <f>IF(ROW()-5&lt;=COUNTA('Phản ánh'!$A$6:$A$505),INDEX('Phản ánh'!$A$6:$A$505,ROW()-5),IF(ROW()-5-COUNTA('Phản ánh'!$A$6:$A$505)&lt;=COUNTA('Kế hoạch'!$A$6:$A$305),INDEX('Kế hoạch'!$A$6:$A$305,ROW()-5-COUNTA('Phản ánh'!$A$6:$A$505)),""))</f>
      </c>
    </row>
    <row r="121">
      <c r="P121" s="255">
        <f>IF(ROW()-5&lt;=COUNTA('Phản ánh'!$A$6:$A$505),INDEX('Phản ánh'!$A$6:$A$505,ROW()-5),IF(ROW()-5-COUNTA('Phản ánh'!$A$6:$A$505)&lt;=COUNTA('Kế hoạch'!$A$6:$A$305),INDEX('Kế hoạch'!$A$6:$A$305,ROW()-5-COUNTA('Phản ánh'!$A$6:$A$505)),""))</f>
      </c>
    </row>
    <row r="122">
      <c r="P122" s="255">
        <f>IF(ROW()-5&lt;=COUNTA('Phản ánh'!$A$6:$A$505),INDEX('Phản ánh'!$A$6:$A$505,ROW()-5),IF(ROW()-5-COUNTA('Phản ánh'!$A$6:$A$505)&lt;=COUNTA('Kế hoạch'!$A$6:$A$305),INDEX('Kế hoạch'!$A$6:$A$305,ROW()-5-COUNTA('Phản ánh'!$A$6:$A$505)),""))</f>
      </c>
    </row>
    <row r="123">
      <c r="P123" s="255">
        <f>IF(ROW()-5&lt;=COUNTA('Phản ánh'!$A$6:$A$505),INDEX('Phản ánh'!$A$6:$A$505,ROW()-5),IF(ROW()-5-COUNTA('Phản ánh'!$A$6:$A$505)&lt;=COUNTA('Kế hoạch'!$A$6:$A$305),INDEX('Kế hoạch'!$A$6:$A$305,ROW()-5-COUNTA('Phản ánh'!$A$6:$A$505)),""))</f>
      </c>
    </row>
    <row r="124">
      <c r="P124" s="255">
        <f>IF(ROW()-5&lt;=COUNTA('Phản ánh'!$A$6:$A$505),INDEX('Phản ánh'!$A$6:$A$505,ROW()-5),IF(ROW()-5-COUNTA('Phản ánh'!$A$6:$A$505)&lt;=COUNTA('Kế hoạch'!$A$6:$A$305),INDEX('Kế hoạch'!$A$6:$A$305,ROW()-5-COUNTA('Phản ánh'!$A$6:$A$505)),""))</f>
      </c>
    </row>
    <row r="125">
      <c r="P125" s="255">
        <f>IF(ROW()-5&lt;=COUNTA('Phản ánh'!$A$6:$A$505),INDEX('Phản ánh'!$A$6:$A$505,ROW()-5),IF(ROW()-5-COUNTA('Phản ánh'!$A$6:$A$505)&lt;=COUNTA('Kế hoạch'!$A$6:$A$305),INDEX('Kế hoạch'!$A$6:$A$305,ROW()-5-COUNTA('Phản ánh'!$A$6:$A$505)),""))</f>
      </c>
    </row>
    <row r="126">
      <c r="P126" s="255">
        <f>IF(ROW()-5&lt;=COUNTA('Phản ánh'!$A$6:$A$505),INDEX('Phản ánh'!$A$6:$A$505,ROW()-5),IF(ROW()-5-COUNTA('Phản ánh'!$A$6:$A$505)&lt;=COUNTA('Kế hoạch'!$A$6:$A$305),INDEX('Kế hoạch'!$A$6:$A$305,ROW()-5-COUNTA('Phản ánh'!$A$6:$A$505)),""))</f>
      </c>
    </row>
    <row r="127">
      <c r="P127" s="255">
        <f>IF(ROW()-5&lt;=COUNTA('Phản ánh'!$A$6:$A$505),INDEX('Phản ánh'!$A$6:$A$505,ROW()-5),IF(ROW()-5-COUNTA('Phản ánh'!$A$6:$A$505)&lt;=COUNTA('Kế hoạch'!$A$6:$A$305),INDEX('Kế hoạch'!$A$6:$A$305,ROW()-5-COUNTA('Phản ánh'!$A$6:$A$505)),""))</f>
      </c>
    </row>
    <row r="128">
      <c r="P128" s="255">
        <f>IF(ROW()-5&lt;=COUNTA('Phản ánh'!$A$6:$A$505),INDEX('Phản ánh'!$A$6:$A$505,ROW()-5),IF(ROW()-5-COUNTA('Phản ánh'!$A$6:$A$505)&lt;=COUNTA('Kế hoạch'!$A$6:$A$305),INDEX('Kế hoạch'!$A$6:$A$305,ROW()-5-COUNTA('Phản ánh'!$A$6:$A$505)),""))</f>
      </c>
    </row>
    <row r="129">
      <c r="P129" s="255">
        <f>IF(ROW()-5&lt;=COUNTA('Phản ánh'!$A$6:$A$505),INDEX('Phản ánh'!$A$6:$A$505,ROW()-5),IF(ROW()-5-COUNTA('Phản ánh'!$A$6:$A$505)&lt;=COUNTA('Kế hoạch'!$A$6:$A$305),INDEX('Kế hoạch'!$A$6:$A$305,ROW()-5-COUNTA('Phản ánh'!$A$6:$A$505)),""))</f>
      </c>
    </row>
    <row r="130">
      <c r="P130" s="255">
        <f>IF(ROW()-5&lt;=COUNTA('Phản ánh'!$A$6:$A$505),INDEX('Phản ánh'!$A$6:$A$505,ROW()-5),IF(ROW()-5-COUNTA('Phản ánh'!$A$6:$A$505)&lt;=COUNTA('Kế hoạch'!$A$6:$A$305),INDEX('Kế hoạch'!$A$6:$A$305,ROW()-5-COUNTA('Phản ánh'!$A$6:$A$505)),""))</f>
      </c>
    </row>
    <row r="131">
      <c r="P131" s="255">
        <f>IF(ROW()-5&lt;=COUNTA('Phản ánh'!$A$6:$A$505),INDEX('Phản ánh'!$A$6:$A$505,ROW()-5),IF(ROW()-5-COUNTA('Phản ánh'!$A$6:$A$505)&lt;=COUNTA('Kế hoạch'!$A$6:$A$305),INDEX('Kế hoạch'!$A$6:$A$305,ROW()-5-COUNTA('Phản ánh'!$A$6:$A$505)),""))</f>
      </c>
    </row>
    <row r="132">
      <c r="P132" s="255">
        <f>IF(ROW()-5&lt;=COUNTA('Phản ánh'!$A$6:$A$505),INDEX('Phản ánh'!$A$6:$A$505,ROW()-5),IF(ROW()-5-COUNTA('Phản ánh'!$A$6:$A$505)&lt;=COUNTA('Kế hoạch'!$A$6:$A$305),INDEX('Kế hoạch'!$A$6:$A$305,ROW()-5-COUNTA('Phản ánh'!$A$6:$A$505)),""))</f>
      </c>
    </row>
    <row r="133">
      <c r="P133" s="255">
        <f>IF(ROW()-5&lt;=COUNTA('Phản ánh'!$A$6:$A$505),INDEX('Phản ánh'!$A$6:$A$505,ROW()-5),IF(ROW()-5-COUNTA('Phản ánh'!$A$6:$A$505)&lt;=COUNTA('Kế hoạch'!$A$6:$A$305),INDEX('Kế hoạch'!$A$6:$A$305,ROW()-5-COUNTA('Phản ánh'!$A$6:$A$505)),""))</f>
      </c>
    </row>
    <row r="134">
      <c r="P134" s="255">
        <f>IF(ROW()-5&lt;=COUNTA('Phản ánh'!$A$6:$A$505),INDEX('Phản ánh'!$A$6:$A$505,ROW()-5),IF(ROW()-5-COUNTA('Phản ánh'!$A$6:$A$505)&lt;=COUNTA('Kế hoạch'!$A$6:$A$305),INDEX('Kế hoạch'!$A$6:$A$305,ROW()-5-COUNTA('Phản ánh'!$A$6:$A$505)),""))</f>
      </c>
    </row>
    <row r="135">
      <c r="P135" s="255">
        <f>IF(ROW()-5&lt;=COUNTA('Phản ánh'!$A$6:$A$505),INDEX('Phản ánh'!$A$6:$A$505,ROW()-5),IF(ROW()-5-COUNTA('Phản ánh'!$A$6:$A$505)&lt;=COUNTA('Kế hoạch'!$A$6:$A$305),INDEX('Kế hoạch'!$A$6:$A$305,ROW()-5-COUNTA('Phản ánh'!$A$6:$A$505)),""))</f>
      </c>
    </row>
    <row r="136">
      <c r="P136" s="255">
        <f>IF(ROW()-5&lt;=COUNTA('Phản ánh'!$A$6:$A$505),INDEX('Phản ánh'!$A$6:$A$505,ROW()-5),IF(ROW()-5-COUNTA('Phản ánh'!$A$6:$A$505)&lt;=COUNTA('Kế hoạch'!$A$6:$A$305),INDEX('Kế hoạch'!$A$6:$A$305,ROW()-5-COUNTA('Phản ánh'!$A$6:$A$505)),""))</f>
      </c>
    </row>
    <row r="137">
      <c r="P137" s="255">
        <f>IF(ROW()-5&lt;=COUNTA('Phản ánh'!$A$6:$A$505),INDEX('Phản ánh'!$A$6:$A$505,ROW()-5),IF(ROW()-5-COUNTA('Phản ánh'!$A$6:$A$505)&lt;=COUNTA('Kế hoạch'!$A$6:$A$305),INDEX('Kế hoạch'!$A$6:$A$305,ROW()-5-COUNTA('Phản ánh'!$A$6:$A$505)),""))</f>
      </c>
    </row>
    <row r="138">
      <c r="P138" s="255">
        <f>IF(ROW()-5&lt;=COUNTA('Phản ánh'!$A$6:$A$505),INDEX('Phản ánh'!$A$6:$A$505,ROW()-5),IF(ROW()-5-COUNTA('Phản ánh'!$A$6:$A$505)&lt;=COUNTA('Kế hoạch'!$A$6:$A$305),INDEX('Kế hoạch'!$A$6:$A$305,ROW()-5-COUNTA('Phản ánh'!$A$6:$A$505)),""))</f>
      </c>
    </row>
    <row r="139">
      <c r="P139" s="255">
        <f>IF(ROW()-5&lt;=COUNTA('Phản ánh'!$A$6:$A$505),INDEX('Phản ánh'!$A$6:$A$505,ROW()-5),IF(ROW()-5-COUNTA('Phản ánh'!$A$6:$A$505)&lt;=COUNTA('Kế hoạch'!$A$6:$A$305),INDEX('Kế hoạch'!$A$6:$A$305,ROW()-5-COUNTA('Phản ánh'!$A$6:$A$505)),""))</f>
      </c>
    </row>
    <row r="140">
      <c r="P140" s="255">
        <f>IF(ROW()-5&lt;=COUNTA('Phản ánh'!$A$6:$A$505),INDEX('Phản ánh'!$A$6:$A$505,ROW()-5),IF(ROW()-5-COUNTA('Phản ánh'!$A$6:$A$505)&lt;=COUNTA('Kế hoạch'!$A$6:$A$305),INDEX('Kế hoạch'!$A$6:$A$305,ROW()-5-COUNTA('Phản ánh'!$A$6:$A$505)),""))</f>
      </c>
    </row>
    <row r="141">
      <c r="P141" s="255">
        <f>IF(ROW()-5&lt;=COUNTA('Phản ánh'!$A$6:$A$505),INDEX('Phản ánh'!$A$6:$A$505,ROW()-5),IF(ROW()-5-COUNTA('Phản ánh'!$A$6:$A$505)&lt;=COUNTA('Kế hoạch'!$A$6:$A$305),INDEX('Kế hoạch'!$A$6:$A$305,ROW()-5-COUNTA('Phản ánh'!$A$6:$A$505)),""))</f>
      </c>
    </row>
    <row r="142">
      <c r="P142" s="255">
        <f>IF(ROW()-5&lt;=COUNTA('Phản ánh'!$A$6:$A$505),INDEX('Phản ánh'!$A$6:$A$505,ROW()-5),IF(ROW()-5-COUNTA('Phản ánh'!$A$6:$A$505)&lt;=COUNTA('Kế hoạch'!$A$6:$A$305),INDEX('Kế hoạch'!$A$6:$A$305,ROW()-5-COUNTA('Phản ánh'!$A$6:$A$505)),""))</f>
      </c>
    </row>
    <row r="143">
      <c r="P143" s="255">
        <f>IF(ROW()-5&lt;=COUNTA('Phản ánh'!$A$6:$A$505),INDEX('Phản ánh'!$A$6:$A$505,ROW()-5),IF(ROW()-5-COUNTA('Phản ánh'!$A$6:$A$505)&lt;=COUNTA('Kế hoạch'!$A$6:$A$305),INDEX('Kế hoạch'!$A$6:$A$305,ROW()-5-COUNTA('Phản ánh'!$A$6:$A$505)),""))</f>
      </c>
    </row>
    <row r="144">
      <c r="P144" s="255">
        <f>IF(ROW()-5&lt;=COUNTA('Phản ánh'!$A$6:$A$505),INDEX('Phản ánh'!$A$6:$A$505,ROW()-5),IF(ROW()-5-COUNTA('Phản ánh'!$A$6:$A$505)&lt;=COUNTA('Kế hoạch'!$A$6:$A$305),INDEX('Kế hoạch'!$A$6:$A$305,ROW()-5-COUNTA('Phản ánh'!$A$6:$A$505)),""))</f>
      </c>
    </row>
    <row r="145">
      <c r="P145" s="255">
        <f>IF(ROW()-5&lt;=COUNTA('Phản ánh'!$A$6:$A$505),INDEX('Phản ánh'!$A$6:$A$505,ROW()-5),IF(ROW()-5-COUNTA('Phản ánh'!$A$6:$A$505)&lt;=COUNTA('Kế hoạch'!$A$6:$A$305),INDEX('Kế hoạch'!$A$6:$A$305,ROW()-5-COUNTA('Phản ánh'!$A$6:$A$505)),""))</f>
      </c>
    </row>
    <row r="146">
      <c r="P146" s="255">
        <f>IF(ROW()-5&lt;=COUNTA('Phản ánh'!$A$6:$A$505),INDEX('Phản ánh'!$A$6:$A$505,ROW()-5),IF(ROW()-5-COUNTA('Phản ánh'!$A$6:$A$505)&lt;=COUNTA('Kế hoạch'!$A$6:$A$305),INDEX('Kế hoạch'!$A$6:$A$305,ROW()-5-COUNTA('Phản ánh'!$A$6:$A$505)),""))</f>
      </c>
    </row>
    <row r="147">
      <c r="P147" s="255">
        <f>IF(ROW()-5&lt;=COUNTA('Phản ánh'!$A$6:$A$505),INDEX('Phản ánh'!$A$6:$A$505,ROW()-5),IF(ROW()-5-COUNTA('Phản ánh'!$A$6:$A$505)&lt;=COUNTA('Kế hoạch'!$A$6:$A$305),INDEX('Kế hoạch'!$A$6:$A$305,ROW()-5-COUNTA('Phản ánh'!$A$6:$A$505)),""))</f>
      </c>
    </row>
    <row r="148">
      <c r="P148" s="255">
        <f>IF(ROW()-5&lt;=COUNTA('Phản ánh'!$A$6:$A$505),INDEX('Phản ánh'!$A$6:$A$505,ROW()-5),IF(ROW()-5-COUNTA('Phản ánh'!$A$6:$A$505)&lt;=COUNTA('Kế hoạch'!$A$6:$A$305),INDEX('Kế hoạch'!$A$6:$A$305,ROW()-5-COUNTA('Phản ánh'!$A$6:$A$505)),""))</f>
      </c>
    </row>
    <row r="149">
      <c r="P149" s="255">
        <f>IF(ROW()-5&lt;=COUNTA('Phản ánh'!$A$6:$A$505),INDEX('Phản ánh'!$A$6:$A$505,ROW()-5),IF(ROW()-5-COUNTA('Phản ánh'!$A$6:$A$505)&lt;=COUNTA('Kế hoạch'!$A$6:$A$305),INDEX('Kế hoạch'!$A$6:$A$305,ROW()-5-COUNTA('Phản ánh'!$A$6:$A$505)),""))</f>
      </c>
    </row>
    <row r="150">
      <c r="P150" s="255">
        <f>IF(ROW()-5&lt;=COUNTA('Phản ánh'!$A$6:$A$505),INDEX('Phản ánh'!$A$6:$A$505,ROW()-5),IF(ROW()-5-COUNTA('Phản ánh'!$A$6:$A$505)&lt;=COUNTA('Kế hoạch'!$A$6:$A$305),INDEX('Kế hoạch'!$A$6:$A$305,ROW()-5-COUNTA('Phản ánh'!$A$6:$A$505)),""))</f>
      </c>
    </row>
    <row r="151">
      <c r="P151" s="255">
        <f>IF(ROW()-5&lt;=COUNTA('Phản ánh'!$A$6:$A$505),INDEX('Phản ánh'!$A$6:$A$505,ROW()-5),IF(ROW()-5-COUNTA('Phản ánh'!$A$6:$A$505)&lt;=COUNTA('Kế hoạch'!$A$6:$A$305),INDEX('Kế hoạch'!$A$6:$A$305,ROW()-5-COUNTA('Phản ánh'!$A$6:$A$505)),""))</f>
      </c>
    </row>
    <row r="152">
      <c r="P152" s="255">
        <f>IF(ROW()-5&lt;=COUNTA('Phản ánh'!$A$6:$A$505),INDEX('Phản ánh'!$A$6:$A$505,ROW()-5),IF(ROW()-5-COUNTA('Phản ánh'!$A$6:$A$505)&lt;=COUNTA('Kế hoạch'!$A$6:$A$305),INDEX('Kế hoạch'!$A$6:$A$305,ROW()-5-COUNTA('Phản ánh'!$A$6:$A$505)),""))</f>
      </c>
    </row>
    <row r="153">
      <c r="P153" s="255">
        <f>IF(ROW()-5&lt;=COUNTA('Phản ánh'!$A$6:$A$505),INDEX('Phản ánh'!$A$6:$A$505,ROW()-5),IF(ROW()-5-COUNTA('Phản ánh'!$A$6:$A$505)&lt;=COUNTA('Kế hoạch'!$A$6:$A$305),INDEX('Kế hoạch'!$A$6:$A$305,ROW()-5-COUNTA('Phản ánh'!$A$6:$A$505)),""))</f>
      </c>
    </row>
    <row r="154">
      <c r="P154" s="255">
        <f>IF(ROW()-5&lt;=COUNTA('Phản ánh'!$A$6:$A$505),INDEX('Phản ánh'!$A$6:$A$505,ROW()-5),IF(ROW()-5-COUNTA('Phản ánh'!$A$6:$A$505)&lt;=COUNTA('Kế hoạch'!$A$6:$A$305),INDEX('Kế hoạch'!$A$6:$A$305,ROW()-5-COUNTA('Phản ánh'!$A$6:$A$505)),""))</f>
      </c>
    </row>
    <row r="155">
      <c r="P155" s="255">
        <f>IF(ROW()-5&lt;=COUNTA('Phản ánh'!$A$6:$A$505),INDEX('Phản ánh'!$A$6:$A$505,ROW()-5),IF(ROW()-5-COUNTA('Phản ánh'!$A$6:$A$505)&lt;=COUNTA('Kế hoạch'!$A$6:$A$305),INDEX('Kế hoạch'!$A$6:$A$305,ROW()-5-COUNTA('Phản ánh'!$A$6:$A$505)),""))</f>
      </c>
    </row>
    <row r="156">
      <c r="P156" s="255">
        <f>IF(ROW()-5&lt;=COUNTA('Phản ánh'!$A$6:$A$505),INDEX('Phản ánh'!$A$6:$A$505,ROW()-5),IF(ROW()-5-COUNTA('Phản ánh'!$A$6:$A$505)&lt;=COUNTA('Kế hoạch'!$A$6:$A$305),INDEX('Kế hoạch'!$A$6:$A$305,ROW()-5-COUNTA('Phản ánh'!$A$6:$A$505)),""))</f>
      </c>
    </row>
    <row r="157">
      <c r="P157" s="255">
        <f>IF(ROW()-5&lt;=COUNTA('Phản ánh'!$A$6:$A$505),INDEX('Phản ánh'!$A$6:$A$505,ROW()-5),IF(ROW()-5-COUNTA('Phản ánh'!$A$6:$A$505)&lt;=COUNTA('Kế hoạch'!$A$6:$A$305),INDEX('Kế hoạch'!$A$6:$A$305,ROW()-5-COUNTA('Phản ánh'!$A$6:$A$505)),""))</f>
      </c>
    </row>
    <row r="158">
      <c r="P158" s="255">
        <f>IF(ROW()-5&lt;=COUNTA('Phản ánh'!$A$6:$A$505),INDEX('Phản ánh'!$A$6:$A$505,ROW()-5),IF(ROW()-5-COUNTA('Phản ánh'!$A$6:$A$505)&lt;=COUNTA('Kế hoạch'!$A$6:$A$305),INDEX('Kế hoạch'!$A$6:$A$305,ROW()-5-COUNTA('Phản ánh'!$A$6:$A$505)),""))</f>
      </c>
    </row>
    <row r="159">
      <c r="P159" s="255">
        <f>IF(ROW()-5&lt;=COUNTA('Phản ánh'!$A$6:$A$505),INDEX('Phản ánh'!$A$6:$A$505,ROW()-5),IF(ROW()-5-COUNTA('Phản ánh'!$A$6:$A$505)&lt;=COUNTA('Kế hoạch'!$A$6:$A$305),INDEX('Kế hoạch'!$A$6:$A$305,ROW()-5-COUNTA('Phản ánh'!$A$6:$A$505)),""))</f>
      </c>
    </row>
    <row r="160">
      <c r="P160" s="255">
        <f>IF(ROW()-5&lt;=COUNTA('Phản ánh'!$A$6:$A$505),INDEX('Phản ánh'!$A$6:$A$505,ROW()-5),IF(ROW()-5-COUNTA('Phản ánh'!$A$6:$A$505)&lt;=COUNTA('Kế hoạch'!$A$6:$A$305),INDEX('Kế hoạch'!$A$6:$A$305,ROW()-5-COUNTA('Phản ánh'!$A$6:$A$505)),""))</f>
      </c>
    </row>
    <row r="161">
      <c r="P161" s="255">
        <f>IF(ROW()-5&lt;=COUNTA('Phản ánh'!$A$6:$A$505),INDEX('Phản ánh'!$A$6:$A$505,ROW()-5),IF(ROW()-5-COUNTA('Phản ánh'!$A$6:$A$505)&lt;=COUNTA('Kế hoạch'!$A$6:$A$305),INDEX('Kế hoạch'!$A$6:$A$305,ROW()-5-COUNTA('Phản ánh'!$A$6:$A$505)),""))</f>
      </c>
    </row>
    <row r="162">
      <c r="P162" s="255">
        <f>IF(ROW()-5&lt;=COUNTA('Phản ánh'!$A$6:$A$505),INDEX('Phản ánh'!$A$6:$A$505,ROW()-5),IF(ROW()-5-COUNTA('Phản ánh'!$A$6:$A$505)&lt;=COUNTA('Kế hoạch'!$A$6:$A$305),INDEX('Kế hoạch'!$A$6:$A$305,ROW()-5-COUNTA('Phản ánh'!$A$6:$A$505)),""))</f>
      </c>
    </row>
    <row r="163">
      <c r="P163" s="255">
        <f>IF(ROW()-5&lt;=COUNTA('Phản ánh'!$A$6:$A$505),INDEX('Phản ánh'!$A$6:$A$505,ROW()-5),IF(ROW()-5-COUNTA('Phản ánh'!$A$6:$A$505)&lt;=COUNTA('Kế hoạch'!$A$6:$A$305),INDEX('Kế hoạch'!$A$6:$A$305,ROW()-5-COUNTA('Phản ánh'!$A$6:$A$505)),""))</f>
      </c>
    </row>
    <row r="164">
      <c r="P164" s="255">
        <f>IF(ROW()-5&lt;=COUNTA('Phản ánh'!$A$6:$A$505),INDEX('Phản ánh'!$A$6:$A$505,ROW()-5),IF(ROW()-5-COUNTA('Phản ánh'!$A$6:$A$505)&lt;=COUNTA('Kế hoạch'!$A$6:$A$305),INDEX('Kế hoạch'!$A$6:$A$305,ROW()-5-COUNTA('Phản ánh'!$A$6:$A$505)),""))</f>
      </c>
    </row>
    <row r="165">
      <c r="P165" s="255">
        <f>IF(ROW()-5&lt;=COUNTA('Phản ánh'!$A$6:$A$505),INDEX('Phản ánh'!$A$6:$A$505,ROW()-5),IF(ROW()-5-COUNTA('Phản ánh'!$A$6:$A$505)&lt;=COUNTA('Kế hoạch'!$A$6:$A$305),INDEX('Kế hoạch'!$A$6:$A$305,ROW()-5-COUNTA('Phản ánh'!$A$6:$A$505)),""))</f>
      </c>
    </row>
    <row r="166">
      <c r="P166" s="255">
        <f>IF(ROW()-5&lt;=COUNTA('Phản ánh'!$A$6:$A$505),INDEX('Phản ánh'!$A$6:$A$505,ROW()-5),IF(ROW()-5-COUNTA('Phản ánh'!$A$6:$A$505)&lt;=COUNTA('Kế hoạch'!$A$6:$A$305),INDEX('Kế hoạch'!$A$6:$A$305,ROW()-5-COUNTA('Phản ánh'!$A$6:$A$505)),""))</f>
      </c>
    </row>
    <row r="167">
      <c r="P167" s="255">
        <f>IF(ROW()-5&lt;=COUNTA('Phản ánh'!$A$6:$A$505),INDEX('Phản ánh'!$A$6:$A$505,ROW()-5),IF(ROW()-5-COUNTA('Phản ánh'!$A$6:$A$505)&lt;=COUNTA('Kế hoạch'!$A$6:$A$305),INDEX('Kế hoạch'!$A$6:$A$305,ROW()-5-COUNTA('Phản ánh'!$A$6:$A$505)),""))</f>
      </c>
    </row>
    <row r="168">
      <c r="P168" s="255">
        <f>IF(ROW()-5&lt;=COUNTA('Phản ánh'!$A$6:$A$505),INDEX('Phản ánh'!$A$6:$A$505,ROW()-5),IF(ROW()-5-COUNTA('Phản ánh'!$A$6:$A$505)&lt;=COUNTA('Kế hoạch'!$A$6:$A$305),INDEX('Kế hoạch'!$A$6:$A$305,ROW()-5-COUNTA('Phản ánh'!$A$6:$A$505)),""))</f>
      </c>
    </row>
    <row r="169">
      <c r="P169" s="255">
        <f>IF(ROW()-5&lt;=COUNTA('Phản ánh'!$A$6:$A$505),INDEX('Phản ánh'!$A$6:$A$505,ROW()-5),IF(ROW()-5-COUNTA('Phản ánh'!$A$6:$A$505)&lt;=COUNTA('Kế hoạch'!$A$6:$A$305),INDEX('Kế hoạch'!$A$6:$A$305,ROW()-5-COUNTA('Phản ánh'!$A$6:$A$505)),""))</f>
      </c>
    </row>
    <row r="170">
      <c r="P170" s="255">
        <f>IF(ROW()-5&lt;=COUNTA('Phản ánh'!$A$6:$A$505),INDEX('Phản ánh'!$A$6:$A$505,ROW()-5),IF(ROW()-5-COUNTA('Phản ánh'!$A$6:$A$505)&lt;=COUNTA('Kế hoạch'!$A$6:$A$305),INDEX('Kế hoạch'!$A$6:$A$305,ROW()-5-COUNTA('Phản ánh'!$A$6:$A$505)),""))</f>
      </c>
    </row>
    <row r="171">
      <c r="P171" s="255">
        <f>IF(ROW()-5&lt;=COUNTA('Phản ánh'!$A$6:$A$505),INDEX('Phản ánh'!$A$6:$A$505,ROW()-5),IF(ROW()-5-COUNTA('Phản ánh'!$A$6:$A$505)&lt;=COUNTA('Kế hoạch'!$A$6:$A$305),INDEX('Kế hoạch'!$A$6:$A$305,ROW()-5-COUNTA('Phản ánh'!$A$6:$A$505)),""))</f>
      </c>
    </row>
    <row r="172">
      <c r="P172" s="255">
        <f>IF(ROW()-5&lt;=COUNTA('Phản ánh'!$A$6:$A$505),INDEX('Phản ánh'!$A$6:$A$505,ROW()-5),IF(ROW()-5-COUNTA('Phản ánh'!$A$6:$A$505)&lt;=COUNTA('Kế hoạch'!$A$6:$A$305),INDEX('Kế hoạch'!$A$6:$A$305,ROW()-5-COUNTA('Phản ánh'!$A$6:$A$505)),""))</f>
      </c>
    </row>
    <row r="173">
      <c r="P173" s="255">
        <f>IF(ROW()-5&lt;=COUNTA('Phản ánh'!$A$6:$A$505),INDEX('Phản ánh'!$A$6:$A$505,ROW()-5),IF(ROW()-5-COUNTA('Phản ánh'!$A$6:$A$505)&lt;=COUNTA('Kế hoạch'!$A$6:$A$305),INDEX('Kế hoạch'!$A$6:$A$305,ROW()-5-COUNTA('Phản ánh'!$A$6:$A$505)),""))</f>
      </c>
    </row>
    <row r="174">
      <c r="P174" s="255">
        <f>IF(ROW()-5&lt;=COUNTA('Phản ánh'!$A$6:$A$505),INDEX('Phản ánh'!$A$6:$A$505,ROW()-5),IF(ROW()-5-COUNTA('Phản ánh'!$A$6:$A$505)&lt;=COUNTA('Kế hoạch'!$A$6:$A$305),INDEX('Kế hoạch'!$A$6:$A$305,ROW()-5-COUNTA('Phản ánh'!$A$6:$A$505)),""))</f>
      </c>
    </row>
    <row r="175">
      <c r="P175" s="255">
        <f>IF(ROW()-5&lt;=COUNTA('Phản ánh'!$A$6:$A$505),INDEX('Phản ánh'!$A$6:$A$505,ROW()-5),IF(ROW()-5-COUNTA('Phản ánh'!$A$6:$A$505)&lt;=COUNTA('Kế hoạch'!$A$6:$A$305),INDEX('Kế hoạch'!$A$6:$A$305,ROW()-5-COUNTA('Phản ánh'!$A$6:$A$505)),""))</f>
      </c>
    </row>
    <row r="176">
      <c r="P176" s="255">
        <f>IF(ROW()-5&lt;=COUNTA('Phản ánh'!$A$6:$A$505),INDEX('Phản ánh'!$A$6:$A$505,ROW()-5),IF(ROW()-5-COUNTA('Phản ánh'!$A$6:$A$505)&lt;=COUNTA('Kế hoạch'!$A$6:$A$305),INDEX('Kế hoạch'!$A$6:$A$305,ROW()-5-COUNTA('Phản ánh'!$A$6:$A$505)),""))</f>
      </c>
    </row>
    <row r="177">
      <c r="P177" s="255">
        <f>IF(ROW()-5&lt;=COUNTA('Phản ánh'!$A$6:$A$505),INDEX('Phản ánh'!$A$6:$A$505,ROW()-5),IF(ROW()-5-COUNTA('Phản ánh'!$A$6:$A$505)&lt;=COUNTA('Kế hoạch'!$A$6:$A$305),INDEX('Kế hoạch'!$A$6:$A$305,ROW()-5-COUNTA('Phản ánh'!$A$6:$A$505)),""))</f>
      </c>
    </row>
    <row r="178">
      <c r="P178" s="255">
        <f>IF(ROW()-5&lt;=COUNTA('Phản ánh'!$A$6:$A$505),INDEX('Phản ánh'!$A$6:$A$505,ROW()-5),IF(ROW()-5-COUNTA('Phản ánh'!$A$6:$A$505)&lt;=COUNTA('Kế hoạch'!$A$6:$A$305),INDEX('Kế hoạch'!$A$6:$A$305,ROW()-5-COUNTA('Phản ánh'!$A$6:$A$505)),""))</f>
      </c>
    </row>
    <row r="179">
      <c r="P179" s="255">
        <f>IF(ROW()-5&lt;=COUNTA('Phản ánh'!$A$6:$A$505),INDEX('Phản ánh'!$A$6:$A$505,ROW()-5),IF(ROW()-5-COUNTA('Phản ánh'!$A$6:$A$505)&lt;=COUNTA('Kế hoạch'!$A$6:$A$305),INDEX('Kế hoạch'!$A$6:$A$305,ROW()-5-COUNTA('Phản ánh'!$A$6:$A$505)),""))</f>
      </c>
    </row>
    <row r="180">
      <c r="P180" s="255">
        <f>IF(ROW()-5&lt;=COUNTA('Phản ánh'!$A$6:$A$505),INDEX('Phản ánh'!$A$6:$A$505,ROW()-5),IF(ROW()-5-COUNTA('Phản ánh'!$A$6:$A$505)&lt;=COUNTA('Kế hoạch'!$A$6:$A$305),INDEX('Kế hoạch'!$A$6:$A$305,ROW()-5-COUNTA('Phản ánh'!$A$6:$A$505)),""))</f>
      </c>
    </row>
    <row r="181">
      <c r="P181" s="255">
        <f>IF(ROW()-5&lt;=COUNTA('Phản ánh'!$A$6:$A$505),INDEX('Phản ánh'!$A$6:$A$505,ROW()-5),IF(ROW()-5-COUNTA('Phản ánh'!$A$6:$A$505)&lt;=COUNTA('Kế hoạch'!$A$6:$A$305),INDEX('Kế hoạch'!$A$6:$A$305,ROW()-5-COUNTA('Phản ánh'!$A$6:$A$505)),""))</f>
      </c>
    </row>
    <row r="182">
      <c r="P182" s="255">
        <f>IF(ROW()-5&lt;=COUNTA('Phản ánh'!$A$6:$A$505),INDEX('Phản ánh'!$A$6:$A$505,ROW()-5),IF(ROW()-5-COUNTA('Phản ánh'!$A$6:$A$505)&lt;=COUNTA('Kế hoạch'!$A$6:$A$305),INDEX('Kế hoạch'!$A$6:$A$305,ROW()-5-COUNTA('Phản ánh'!$A$6:$A$505)),""))</f>
      </c>
    </row>
    <row r="183">
      <c r="P183" s="255">
        <f>IF(ROW()-5&lt;=COUNTA('Phản ánh'!$A$6:$A$505),INDEX('Phản ánh'!$A$6:$A$505,ROW()-5),IF(ROW()-5-COUNTA('Phản ánh'!$A$6:$A$505)&lt;=COUNTA('Kế hoạch'!$A$6:$A$305),INDEX('Kế hoạch'!$A$6:$A$305,ROW()-5-COUNTA('Phản ánh'!$A$6:$A$505)),""))</f>
      </c>
    </row>
    <row r="184">
      <c r="P184" s="255">
        <f>IF(ROW()-5&lt;=COUNTA('Phản ánh'!$A$6:$A$505),INDEX('Phản ánh'!$A$6:$A$505,ROW()-5),IF(ROW()-5-COUNTA('Phản ánh'!$A$6:$A$505)&lt;=COUNTA('Kế hoạch'!$A$6:$A$305),INDEX('Kế hoạch'!$A$6:$A$305,ROW()-5-COUNTA('Phản ánh'!$A$6:$A$505)),""))</f>
      </c>
    </row>
    <row r="185">
      <c r="P185" s="255">
        <f>IF(ROW()-5&lt;=COUNTA('Phản ánh'!$A$6:$A$505),INDEX('Phản ánh'!$A$6:$A$505,ROW()-5),IF(ROW()-5-COUNTA('Phản ánh'!$A$6:$A$505)&lt;=COUNTA('Kế hoạch'!$A$6:$A$305),INDEX('Kế hoạch'!$A$6:$A$305,ROW()-5-COUNTA('Phản ánh'!$A$6:$A$505)),""))</f>
      </c>
    </row>
    <row r="186">
      <c r="P186" s="255">
        <f>IF(ROW()-5&lt;=COUNTA('Phản ánh'!$A$6:$A$505),INDEX('Phản ánh'!$A$6:$A$505,ROW()-5),IF(ROW()-5-COUNTA('Phản ánh'!$A$6:$A$505)&lt;=COUNTA('Kế hoạch'!$A$6:$A$305),INDEX('Kế hoạch'!$A$6:$A$305,ROW()-5-COUNTA('Phản ánh'!$A$6:$A$505)),""))</f>
      </c>
    </row>
    <row r="187">
      <c r="P187" s="255">
        <f>IF(ROW()-5&lt;=COUNTA('Phản ánh'!$A$6:$A$505),INDEX('Phản ánh'!$A$6:$A$505,ROW()-5),IF(ROW()-5-COUNTA('Phản ánh'!$A$6:$A$505)&lt;=COUNTA('Kế hoạch'!$A$6:$A$305),INDEX('Kế hoạch'!$A$6:$A$305,ROW()-5-COUNTA('Phản ánh'!$A$6:$A$505)),""))</f>
      </c>
    </row>
    <row r="188">
      <c r="P188" s="255">
        <f>IF(ROW()-5&lt;=COUNTA('Phản ánh'!$A$6:$A$505),INDEX('Phản ánh'!$A$6:$A$505,ROW()-5),IF(ROW()-5-COUNTA('Phản ánh'!$A$6:$A$505)&lt;=COUNTA('Kế hoạch'!$A$6:$A$305),INDEX('Kế hoạch'!$A$6:$A$305,ROW()-5-COUNTA('Phản ánh'!$A$6:$A$505)),""))</f>
      </c>
    </row>
    <row r="189">
      <c r="P189" s="255">
        <f>IF(ROW()-5&lt;=COUNTA('Phản ánh'!$A$6:$A$505),INDEX('Phản ánh'!$A$6:$A$505,ROW()-5),IF(ROW()-5-COUNTA('Phản ánh'!$A$6:$A$505)&lt;=COUNTA('Kế hoạch'!$A$6:$A$305),INDEX('Kế hoạch'!$A$6:$A$305,ROW()-5-COUNTA('Phản ánh'!$A$6:$A$505)),""))</f>
      </c>
    </row>
    <row r="190">
      <c r="P190" s="255">
        <f>IF(ROW()-5&lt;=COUNTA('Phản ánh'!$A$6:$A$505),INDEX('Phản ánh'!$A$6:$A$505,ROW()-5),IF(ROW()-5-COUNTA('Phản ánh'!$A$6:$A$505)&lt;=COUNTA('Kế hoạch'!$A$6:$A$305),INDEX('Kế hoạch'!$A$6:$A$305,ROW()-5-COUNTA('Phản ánh'!$A$6:$A$505)),""))</f>
      </c>
    </row>
    <row r="191">
      <c r="P191" s="255">
        <f>IF(ROW()-5&lt;=COUNTA('Phản ánh'!$A$6:$A$505),INDEX('Phản ánh'!$A$6:$A$505,ROW()-5),IF(ROW()-5-COUNTA('Phản ánh'!$A$6:$A$505)&lt;=COUNTA('Kế hoạch'!$A$6:$A$305),INDEX('Kế hoạch'!$A$6:$A$305,ROW()-5-COUNTA('Phản ánh'!$A$6:$A$505)),""))</f>
      </c>
    </row>
    <row r="192">
      <c r="P192" s="255">
        <f>IF(ROW()-5&lt;=COUNTA('Phản ánh'!$A$6:$A$505),INDEX('Phản ánh'!$A$6:$A$505,ROW()-5),IF(ROW()-5-COUNTA('Phản ánh'!$A$6:$A$505)&lt;=COUNTA('Kế hoạch'!$A$6:$A$305),INDEX('Kế hoạch'!$A$6:$A$305,ROW()-5-COUNTA('Phản ánh'!$A$6:$A$505)),""))</f>
      </c>
    </row>
    <row r="193">
      <c r="P193" s="255">
        <f>IF(ROW()-5&lt;=COUNTA('Phản ánh'!$A$6:$A$505),INDEX('Phản ánh'!$A$6:$A$505,ROW()-5),IF(ROW()-5-COUNTA('Phản ánh'!$A$6:$A$505)&lt;=COUNTA('Kế hoạch'!$A$6:$A$305),INDEX('Kế hoạch'!$A$6:$A$305,ROW()-5-COUNTA('Phản ánh'!$A$6:$A$505)),""))</f>
      </c>
    </row>
    <row r="194">
      <c r="P194" s="255">
        <f>IF(ROW()-5&lt;=COUNTA('Phản ánh'!$A$6:$A$505),INDEX('Phản ánh'!$A$6:$A$505,ROW()-5),IF(ROW()-5-COUNTA('Phản ánh'!$A$6:$A$505)&lt;=COUNTA('Kế hoạch'!$A$6:$A$305),INDEX('Kế hoạch'!$A$6:$A$305,ROW()-5-COUNTA('Phản ánh'!$A$6:$A$505)),""))</f>
      </c>
    </row>
    <row r="195">
      <c r="P195" s="255">
        <f>IF(ROW()-5&lt;=COUNTA('Phản ánh'!$A$6:$A$505),INDEX('Phản ánh'!$A$6:$A$505,ROW()-5),IF(ROW()-5-COUNTA('Phản ánh'!$A$6:$A$505)&lt;=COUNTA('Kế hoạch'!$A$6:$A$305),INDEX('Kế hoạch'!$A$6:$A$305,ROW()-5-COUNTA('Phản ánh'!$A$6:$A$505)),""))</f>
      </c>
    </row>
    <row r="196">
      <c r="P196" s="255">
        <f>IF(ROW()-5&lt;=COUNTA('Phản ánh'!$A$6:$A$505),INDEX('Phản ánh'!$A$6:$A$505,ROW()-5),IF(ROW()-5-COUNTA('Phản ánh'!$A$6:$A$505)&lt;=COUNTA('Kế hoạch'!$A$6:$A$305),INDEX('Kế hoạch'!$A$6:$A$305,ROW()-5-COUNTA('Phản ánh'!$A$6:$A$505)),""))</f>
      </c>
    </row>
    <row r="197">
      <c r="P197" s="255">
        <f>IF(ROW()-5&lt;=COUNTA('Phản ánh'!$A$6:$A$505),INDEX('Phản ánh'!$A$6:$A$505,ROW()-5),IF(ROW()-5-COUNTA('Phản ánh'!$A$6:$A$505)&lt;=COUNTA('Kế hoạch'!$A$6:$A$305),INDEX('Kế hoạch'!$A$6:$A$305,ROW()-5-COUNTA('Phản ánh'!$A$6:$A$505)),""))</f>
      </c>
    </row>
    <row r="198">
      <c r="P198" s="255">
        <f>IF(ROW()-5&lt;=COUNTA('Phản ánh'!$A$6:$A$505),INDEX('Phản ánh'!$A$6:$A$505,ROW()-5),IF(ROW()-5-COUNTA('Phản ánh'!$A$6:$A$505)&lt;=COUNTA('Kế hoạch'!$A$6:$A$305),INDEX('Kế hoạch'!$A$6:$A$305,ROW()-5-COUNTA('Phản ánh'!$A$6:$A$505)),""))</f>
      </c>
    </row>
    <row r="199">
      <c r="P199" s="255">
        <f>IF(ROW()-5&lt;=COUNTA('Phản ánh'!$A$6:$A$505),INDEX('Phản ánh'!$A$6:$A$505,ROW()-5),IF(ROW()-5-COUNTA('Phản ánh'!$A$6:$A$505)&lt;=COUNTA('Kế hoạch'!$A$6:$A$305),INDEX('Kế hoạch'!$A$6:$A$305,ROW()-5-COUNTA('Phản ánh'!$A$6:$A$505)),""))</f>
      </c>
    </row>
    <row r="200">
      <c r="P200" s="255">
        <f>IF(ROW()-5&lt;=COUNTA('Phản ánh'!$A$6:$A$505),INDEX('Phản ánh'!$A$6:$A$505,ROW()-5),IF(ROW()-5-COUNTA('Phản ánh'!$A$6:$A$505)&lt;=COUNTA('Kế hoạch'!$A$6:$A$305),INDEX('Kế hoạch'!$A$6:$A$305,ROW()-5-COUNTA('Phản ánh'!$A$6:$A$505)),""))</f>
      </c>
    </row>
    <row r="201">
      <c r="P201" s="255">
        <f>IF(ROW()-5&lt;=COUNTA('Phản ánh'!$A$6:$A$505),INDEX('Phản ánh'!$A$6:$A$505,ROW()-5),IF(ROW()-5-COUNTA('Phản ánh'!$A$6:$A$505)&lt;=COUNTA('Kế hoạch'!$A$6:$A$305),INDEX('Kế hoạch'!$A$6:$A$305,ROW()-5-COUNTA('Phản ánh'!$A$6:$A$505)),""))</f>
      </c>
    </row>
    <row r="202">
      <c r="P202" s="255">
        <f>IF(ROW()-5&lt;=COUNTA('Phản ánh'!$A$6:$A$505),INDEX('Phản ánh'!$A$6:$A$505,ROW()-5),IF(ROW()-5-COUNTA('Phản ánh'!$A$6:$A$505)&lt;=COUNTA('Kế hoạch'!$A$6:$A$305),INDEX('Kế hoạch'!$A$6:$A$305,ROW()-5-COUNTA('Phản ánh'!$A$6:$A$505)),""))</f>
      </c>
    </row>
    <row r="203">
      <c r="P203" s="255">
        <f>IF(ROW()-5&lt;=COUNTA('Phản ánh'!$A$6:$A$505),INDEX('Phản ánh'!$A$6:$A$505,ROW()-5),IF(ROW()-5-COUNTA('Phản ánh'!$A$6:$A$505)&lt;=COUNTA('Kế hoạch'!$A$6:$A$305),INDEX('Kế hoạch'!$A$6:$A$305,ROW()-5-COUNTA('Phản ánh'!$A$6:$A$505)),""))</f>
      </c>
    </row>
    <row r="204">
      <c r="P204" s="255">
        <f>IF(ROW()-5&lt;=COUNTA('Phản ánh'!$A$6:$A$505),INDEX('Phản ánh'!$A$6:$A$505,ROW()-5),IF(ROW()-5-COUNTA('Phản ánh'!$A$6:$A$505)&lt;=COUNTA('Kế hoạch'!$A$6:$A$305),INDEX('Kế hoạch'!$A$6:$A$305,ROW()-5-COUNTA('Phản ánh'!$A$6:$A$505)),""))</f>
      </c>
    </row>
    <row r="205">
      <c r="P205" s="255">
        <f>IF(ROW()-5&lt;=COUNTA('Phản ánh'!$A$6:$A$505),INDEX('Phản ánh'!$A$6:$A$505,ROW()-5),IF(ROW()-5-COUNTA('Phản ánh'!$A$6:$A$505)&lt;=COUNTA('Kế hoạch'!$A$6:$A$305),INDEX('Kế hoạch'!$A$6:$A$305,ROW()-5-COUNTA('Phản ánh'!$A$6:$A$505)),""))</f>
      </c>
    </row>
    <row r="206">
      <c r="P206" s="255">
        <f>IF(ROW()-5&lt;=COUNTA('Phản ánh'!$A$6:$A$505),INDEX('Phản ánh'!$A$6:$A$505,ROW()-5),IF(ROW()-5-COUNTA('Phản ánh'!$A$6:$A$505)&lt;=COUNTA('Kế hoạch'!$A$6:$A$305),INDEX('Kế hoạch'!$A$6:$A$305,ROW()-5-COUNTA('Phản ánh'!$A$6:$A$505)),""))</f>
      </c>
    </row>
    <row r="207">
      <c r="P207" s="255">
        <f>IF(ROW()-5&lt;=COUNTA('Phản ánh'!$A$6:$A$505),INDEX('Phản ánh'!$A$6:$A$505,ROW()-5),IF(ROW()-5-COUNTA('Phản ánh'!$A$6:$A$505)&lt;=COUNTA('Kế hoạch'!$A$6:$A$305),INDEX('Kế hoạch'!$A$6:$A$305,ROW()-5-COUNTA('Phản ánh'!$A$6:$A$505)),""))</f>
      </c>
    </row>
    <row r="208">
      <c r="P208" s="255">
        <f>IF(ROW()-5&lt;=COUNTA('Phản ánh'!$A$6:$A$505),INDEX('Phản ánh'!$A$6:$A$505,ROW()-5),IF(ROW()-5-COUNTA('Phản ánh'!$A$6:$A$505)&lt;=COUNTA('Kế hoạch'!$A$6:$A$305),INDEX('Kế hoạch'!$A$6:$A$305,ROW()-5-COUNTA('Phản ánh'!$A$6:$A$505)),""))</f>
      </c>
    </row>
    <row r="209">
      <c r="P209" s="255">
        <f>IF(ROW()-5&lt;=COUNTA('Phản ánh'!$A$6:$A$505),INDEX('Phản ánh'!$A$6:$A$505,ROW()-5),IF(ROW()-5-COUNTA('Phản ánh'!$A$6:$A$505)&lt;=COUNTA('Kế hoạch'!$A$6:$A$305),INDEX('Kế hoạch'!$A$6:$A$305,ROW()-5-COUNTA('Phản ánh'!$A$6:$A$505)),""))</f>
      </c>
    </row>
    <row r="210">
      <c r="P210" s="255">
        <f>IF(ROW()-5&lt;=COUNTA('Phản ánh'!$A$6:$A$505),INDEX('Phản ánh'!$A$6:$A$505,ROW()-5),IF(ROW()-5-COUNTA('Phản ánh'!$A$6:$A$505)&lt;=COUNTA('Kế hoạch'!$A$6:$A$305),INDEX('Kế hoạch'!$A$6:$A$305,ROW()-5-COUNTA('Phản ánh'!$A$6:$A$505)),""))</f>
      </c>
    </row>
    <row r="211">
      <c r="P211" s="255">
        <f>IF(ROW()-5&lt;=COUNTA('Phản ánh'!$A$6:$A$505),INDEX('Phản ánh'!$A$6:$A$505,ROW()-5),IF(ROW()-5-COUNTA('Phản ánh'!$A$6:$A$505)&lt;=COUNTA('Kế hoạch'!$A$6:$A$305),INDEX('Kế hoạch'!$A$6:$A$305,ROW()-5-COUNTA('Phản ánh'!$A$6:$A$505)),""))</f>
      </c>
    </row>
    <row r="212">
      <c r="P212" s="255">
        <f>IF(ROW()-5&lt;=COUNTA('Phản ánh'!$A$6:$A$505),INDEX('Phản ánh'!$A$6:$A$505,ROW()-5),IF(ROW()-5-COUNTA('Phản ánh'!$A$6:$A$505)&lt;=COUNTA('Kế hoạch'!$A$6:$A$305),INDEX('Kế hoạch'!$A$6:$A$305,ROW()-5-COUNTA('Phản ánh'!$A$6:$A$505)),""))</f>
      </c>
    </row>
    <row r="213">
      <c r="P213" s="255">
        <f>IF(ROW()-5&lt;=COUNTA('Phản ánh'!$A$6:$A$505),INDEX('Phản ánh'!$A$6:$A$505,ROW()-5),IF(ROW()-5-COUNTA('Phản ánh'!$A$6:$A$505)&lt;=COUNTA('Kế hoạch'!$A$6:$A$305),INDEX('Kế hoạch'!$A$6:$A$305,ROW()-5-COUNTA('Phản ánh'!$A$6:$A$505)),""))</f>
      </c>
    </row>
    <row r="214">
      <c r="P214" s="255">
        <f>IF(ROW()-5&lt;=COUNTA('Phản ánh'!$A$6:$A$505),INDEX('Phản ánh'!$A$6:$A$505,ROW()-5),IF(ROW()-5-COUNTA('Phản ánh'!$A$6:$A$505)&lt;=COUNTA('Kế hoạch'!$A$6:$A$305),INDEX('Kế hoạch'!$A$6:$A$305,ROW()-5-COUNTA('Phản ánh'!$A$6:$A$505)),""))</f>
      </c>
    </row>
    <row r="215">
      <c r="P215" s="255">
        <f>IF(ROW()-5&lt;=COUNTA('Phản ánh'!$A$6:$A$505),INDEX('Phản ánh'!$A$6:$A$505,ROW()-5),IF(ROW()-5-COUNTA('Phản ánh'!$A$6:$A$505)&lt;=COUNTA('Kế hoạch'!$A$6:$A$305),INDEX('Kế hoạch'!$A$6:$A$305,ROW()-5-COUNTA('Phản ánh'!$A$6:$A$505)),""))</f>
      </c>
    </row>
    <row r="216">
      <c r="P216" s="255">
        <f>IF(ROW()-5&lt;=COUNTA('Phản ánh'!$A$6:$A$505),INDEX('Phản ánh'!$A$6:$A$505,ROW()-5),IF(ROW()-5-COUNTA('Phản ánh'!$A$6:$A$505)&lt;=COUNTA('Kế hoạch'!$A$6:$A$305),INDEX('Kế hoạch'!$A$6:$A$305,ROW()-5-COUNTA('Phản ánh'!$A$6:$A$505)),""))</f>
      </c>
    </row>
    <row r="217">
      <c r="P217" s="255">
        <f>IF(ROW()-5&lt;=COUNTA('Phản ánh'!$A$6:$A$505),INDEX('Phản ánh'!$A$6:$A$505,ROW()-5),IF(ROW()-5-COUNTA('Phản ánh'!$A$6:$A$505)&lt;=COUNTA('Kế hoạch'!$A$6:$A$305),INDEX('Kế hoạch'!$A$6:$A$305,ROW()-5-COUNTA('Phản ánh'!$A$6:$A$505)),""))</f>
      </c>
    </row>
    <row r="218">
      <c r="P218" s="255">
        <f>IF(ROW()-5&lt;=COUNTA('Phản ánh'!$A$6:$A$505),INDEX('Phản ánh'!$A$6:$A$505,ROW()-5),IF(ROW()-5-COUNTA('Phản ánh'!$A$6:$A$505)&lt;=COUNTA('Kế hoạch'!$A$6:$A$305),INDEX('Kế hoạch'!$A$6:$A$305,ROW()-5-COUNTA('Phản ánh'!$A$6:$A$505)),""))</f>
      </c>
    </row>
    <row r="219">
      <c r="P219" s="255">
        <f>IF(ROW()-5&lt;=COUNTA('Phản ánh'!$A$6:$A$505),INDEX('Phản ánh'!$A$6:$A$505,ROW()-5),IF(ROW()-5-COUNTA('Phản ánh'!$A$6:$A$505)&lt;=COUNTA('Kế hoạch'!$A$6:$A$305),INDEX('Kế hoạch'!$A$6:$A$305,ROW()-5-COUNTA('Phản ánh'!$A$6:$A$505)),""))</f>
      </c>
    </row>
    <row r="220">
      <c r="P220" s="255">
        <f>IF(ROW()-5&lt;=COUNTA('Phản ánh'!$A$6:$A$505),INDEX('Phản ánh'!$A$6:$A$505,ROW()-5),IF(ROW()-5-COUNTA('Phản ánh'!$A$6:$A$505)&lt;=COUNTA('Kế hoạch'!$A$6:$A$305),INDEX('Kế hoạch'!$A$6:$A$305,ROW()-5-COUNTA('Phản ánh'!$A$6:$A$505)),""))</f>
      </c>
    </row>
    <row r="221">
      <c r="P221" s="255">
        <f>IF(ROW()-5&lt;=COUNTA('Phản ánh'!$A$6:$A$505),INDEX('Phản ánh'!$A$6:$A$505,ROW()-5),IF(ROW()-5-COUNTA('Phản ánh'!$A$6:$A$505)&lt;=COUNTA('Kế hoạch'!$A$6:$A$305),INDEX('Kế hoạch'!$A$6:$A$305,ROW()-5-COUNTA('Phản ánh'!$A$6:$A$505)),""))</f>
      </c>
    </row>
    <row r="222">
      <c r="P222" s="255">
        <f>IF(ROW()-5&lt;=COUNTA('Phản ánh'!$A$6:$A$505),INDEX('Phản ánh'!$A$6:$A$505,ROW()-5),IF(ROW()-5-COUNTA('Phản ánh'!$A$6:$A$505)&lt;=COUNTA('Kế hoạch'!$A$6:$A$305),INDEX('Kế hoạch'!$A$6:$A$305,ROW()-5-COUNTA('Phản ánh'!$A$6:$A$505)),""))</f>
      </c>
    </row>
    <row r="223">
      <c r="P223" s="255">
        <f>IF(ROW()-5&lt;=COUNTA('Phản ánh'!$A$6:$A$505),INDEX('Phản ánh'!$A$6:$A$505,ROW()-5),IF(ROW()-5-COUNTA('Phản ánh'!$A$6:$A$505)&lt;=COUNTA('Kế hoạch'!$A$6:$A$305),INDEX('Kế hoạch'!$A$6:$A$305,ROW()-5-COUNTA('Phản ánh'!$A$6:$A$505)),""))</f>
      </c>
    </row>
    <row r="224">
      <c r="P224" s="255">
        <f>IF(ROW()-5&lt;=COUNTA('Phản ánh'!$A$6:$A$505),INDEX('Phản ánh'!$A$6:$A$505,ROW()-5),IF(ROW()-5-COUNTA('Phản ánh'!$A$6:$A$505)&lt;=COUNTA('Kế hoạch'!$A$6:$A$305),INDEX('Kế hoạch'!$A$6:$A$305,ROW()-5-COUNTA('Phản ánh'!$A$6:$A$505)),""))</f>
      </c>
    </row>
    <row r="225">
      <c r="P225" s="255">
        <f>IF(ROW()-5&lt;=COUNTA('Phản ánh'!$A$6:$A$505),INDEX('Phản ánh'!$A$6:$A$505,ROW()-5),IF(ROW()-5-COUNTA('Phản ánh'!$A$6:$A$505)&lt;=COUNTA('Kế hoạch'!$A$6:$A$305),INDEX('Kế hoạch'!$A$6:$A$305,ROW()-5-COUNTA('Phản ánh'!$A$6:$A$505)),""))</f>
      </c>
    </row>
    <row r="226">
      <c r="P226" s="255">
        <f>IF(ROW()-5&lt;=COUNTA('Phản ánh'!$A$6:$A$505),INDEX('Phản ánh'!$A$6:$A$505,ROW()-5),IF(ROW()-5-COUNTA('Phản ánh'!$A$6:$A$505)&lt;=COUNTA('Kế hoạch'!$A$6:$A$305),INDEX('Kế hoạch'!$A$6:$A$305,ROW()-5-COUNTA('Phản ánh'!$A$6:$A$505)),""))</f>
      </c>
    </row>
    <row r="227">
      <c r="P227" s="255">
        <f>IF(ROW()-5&lt;=COUNTA('Phản ánh'!$A$6:$A$505),INDEX('Phản ánh'!$A$6:$A$505,ROW()-5),IF(ROW()-5-COUNTA('Phản ánh'!$A$6:$A$505)&lt;=COUNTA('Kế hoạch'!$A$6:$A$305),INDEX('Kế hoạch'!$A$6:$A$305,ROW()-5-COUNTA('Phản ánh'!$A$6:$A$505)),""))</f>
      </c>
    </row>
    <row r="228">
      <c r="P228" s="255">
        <f>IF(ROW()-5&lt;=COUNTA('Phản ánh'!$A$6:$A$505),INDEX('Phản ánh'!$A$6:$A$505,ROW()-5),IF(ROW()-5-COUNTA('Phản ánh'!$A$6:$A$505)&lt;=COUNTA('Kế hoạch'!$A$6:$A$305),INDEX('Kế hoạch'!$A$6:$A$305,ROW()-5-COUNTA('Phản ánh'!$A$6:$A$505)),""))</f>
      </c>
    </row>
    <row r="229">
      <c r="P229" s="255">
        <f>IF(ROW()-5&lt;=COUNTA('Phản ánh'!$A$6:$A$505),INDEX('Phản ánh'!$A$6:$A$505,ROW()-5),IF(ROW()-5-COUNTA('Phản ánh'!$A$6:$A$505)&lt;=COUNTA('Kế hoạch'!$A$6:$A$305),INDEX('Kế hoạch'!$A$6:$A$305,ROW()-5-COUNTA('Phản ánh'!$A$6:$A$505)),""))</f>
      </c>
    </row>
    <row r="230">
      <c r="P230" s="255">
        <f>IF(ROW()-5&lt;=COUNTA('Phản ánh'!$A$6:$A$505),INDEX('Phản ánh'!$A$6:$A$505,ROW()-5),IF(ROW()-5-COUNTA('Phản ánh'!$A$6:$A$505)&lt;=COUNTA('Kế hoạch'!$A$6:$A$305),INDEX('Kế hoạch'!$A$6:$A$305,ROW()-5-COUNTA('Phản ánh'!$A$6:$A$505)),""))</f>
      </c>
    </row>
    <row r="231">
      <c r="P231" s="255">
        <f>IF(ROW()-5&lt;=COUNTA('Phản ánh'!$A$6:$A$505),INDEX('Phản ánh'!$A$6:$A$505,ROW()-5),IF(ROW()-5-COUNTA('Phản ánh'!$A$6:$A$505)&lt;=COUNTA('Kế hoạch'!$A$6:$A$305),INDEX('Kế hoạch'!$A$6:$A$305,ROW()-5-COUNTA('Phản ánh'!$A$6:$A$505)),""))</f>
      </c>
    </row>
    <row r="232">
      <c r="P232" s="255">
        <f>IF(ROW()-5&lt;=COUNTA('Phản ánh'!$A$6:$A$505),INDEX('Phản ánh'!$A$6:$A$505,ROW()-5),IF(ROW()-5-COUNTA('Phản ánh'!$A$6:$A$505)&lt;=COUNTA('Kế hoạch'!$A$6:$A$305),INDEX('Kế hoạch'!$A$6:$A$305,ROW()-5-COUNTA('Phản ánh'!$A$6:$A$505)),""))</f>
      </c>
    </row>
    <row r="233">
      <c r="P233" s="255">
        <f>IF(ROW()-5&lt;=COUNTA('Phản ánh'!$A$6:$A$505),INDEX('Phản ánh'!$A$6:$A$505,ROW()-5),IF(ROW()-5-COUNTA('Phản ánh'!$A$6:$A$505)&lt;=COUNTA('Kế hoạch'!$A$6:$A$305),INDEX('Kế hoạch'!$A$6:$A$305,ROW()-5-COUNTA('Phản ánh'!$A$6:$A$505)),""))</f>
      </c>
    </row>
    <row r="234">
      <c r="P234" s="255">
        <f>IF(ROW()-5&lt;=COUNTA('Phản ánh'!$A$6:$A$505),INDEX('Phản ánh'!$A$6:$A$505,ROW()-5),IF(ROW()-5-COUNTA('Phản ánh'!$A$6:$A$505)&lt;=COUNTA('Kế hoạch'!$A$6:$A$305),INDEX('Kế hoạch'!$A$6:$A$305,ROW()-5-COUNTA('Phản ánh'!$A$6:$A$505)),""))</f>
      </c>
    </row>
    <row r="235">
      <c r="P235" s="255">
        <f>IF(ROW()-5&lt;=COUNTA('Phản ánh'!$A$6:$A$505),INDEX('Phản ánh'!$A$6:$A$505,ROW()-5),IF(ROW()-5-COUNTA('Phản ánh'!$A$6:$A$505)&lt;=COUNTA('Kế hoạch'!$A$6:$A$305),INDEX('Kế hoạch'!$A$6:$A$305,ROW()-5-COUNTA('Phản ánh'!$A$6:$A$505)),""))</f>
      </c>
    </row>
    <row r="236">
      <c r="P236" s="255">
        <f>IF(ROW()-5&lt;=COUNTA('Phản ánh'!$A$6:$A$505),INDEX('Phản ánh'!$A$6:$A$505,ROW()-5),IF(ROW()-5-COUNTA('Phản ánh'!$A$6:$A$505)&lt;=COUNTA('Kế hoạch'!$A$6:$A$305),INDEX('Kế hoạch'!$A$6:$A$305,ROW()-5-COUNTA('Phản ánh'!$A$6:$A$505)),""))</f>
      </c>
    </row>
    <row r="237">
      <c r="P237" s="255">
        <f>IF(ROW()-5&lt;=COUNTA('Phản ánh'!$A$6:$A$505),INDEX('Phản ánh'!$A$6:$A$505,ROW()-5),IF(ROW()-5-COUNTA('Phản ánh'!$A$6:$A$505)&lt;=COUNTA('Kế hoạch'!$A$6:$A$305),INDEX('Kế hoạch'!$A$6:$A$305,ROW()-5-COUNTA('Phản ánh'!$A$6:$A$505)),""))</f>
      </c>
    </row>
    <row r="238">
      <c r="P238" s="255">
        <f>IF(ROW()-5&lt;=COUNTA('Phản ánh'!$A$6:$A$505),INDEX('Phản ánh'!$A$6:$A$505,ROW()-5),IF(ROW()-5-COUNTA('Phản ánh'!$A$6:$A$505)&lt;=COUNTA('Kế hoạch'!$A$6:$A$305),INDEX('Kế hoạch'!$A$6:$A$305,ROW()-5-COUNTA('Phản ánh'!$A$6:$A$505)),""))</f>
      </c>
    </row>
    <row r="239">
      <c r="P239" s="255">
        <f>IF(ROW()-5&lt;=COUNTA('Phản ánh'!$A$6:$A$505),INDEX('Phản ánh'!$A$6:$A$505,ROW()-5),IF(ROW()-5-COUNTA('Phản ánh'!$A$6:$A$505)&lt;=COUNTA('Kế hoạch'!$A$6:$A$305),INDEX('Kế hoạch'!$A$6:$A$305,ROW()-5-COUNTA('Phản ánh'!$A$6:$A$505)),""))</f>
      </c>
    </row>
    <row r="240">
      <c r="P240" s="255">
        <f>IF(ROW()-5&lt;=COUNTA('Phản ánh'!$A$6:$A$505),INDEX('Phản ánh'!$A$6:$A$505,ROW()-5),IF(ROW()-5-COUNTA('Phản ánh'!$A$6:$A$505)&lt;=COUNTA('Kế hoạch'!$A$6:$A$305),INDEX('Kế hoạch'!$A$6:$A$305,ROW()-5-COUNTA('Phản ánh'!$A$6:$A$505)),""))</f>
      </c>
    </row>
    <row r="241">
      <c r="P241" s="255">
        <f>IF(ROW()-5&lt;=COUNTA('Phản ánh'!$A$6:$A$505),INDEX('Phản ánh'!$A$6:$A$505,ROW()-5),IF(ROW()-5-COUNTA('Phản ánh'!$A$6:$A$505)&lt;=COUNTA('Kế hoạch'!$A$6:$A$305),INDEX('Kế hoạch'!$A$6:$A$305,ROW()-5-COUNTA('Phản ánh'!$A$6:$A$505)),""))</f>
      </c>
    </row>
    <row r="242">
      <c r="P242" s="255">
        <f>IF(ROW()-5&lt;=COUNTA('Phản ánh'!$A$6:$A$505),INDEX('Phản ánh'!$A$6:$A$505,ROW()-5),IF(ROW()-5-COUNTA('Phản ánh'!$A$6:$A$505)&lt;=COUNTA('Kế hoạch'!$A$6:$A$305),INDEX('Kế hoạch'!$A$6:$A$305,ROW()-5-COUNTA('Phản ánh'!$A$6:$A$505)),""))</f>
      </c>
    </row>
    <row r="243">
      <c r="P243" s="255">
        <f>IF(ROW()-5&lt;=COUNTA('Phản ánh'!$A$6:$A$505),INDEX('Phản ánh'!$A$6:$A$505,ROW()-5),IF(ROW()-5-COUNTA('Phản ánh'!$A$6:$A$505)&lt;=COUNTA('Kế hoạch'!$A$6:$A$305),INDEX('Kế hoạch'!$A$6:$A$305,ROW()-5-COUNTA('Phản ánh'!$A$6:$A$505)),""))</f>
      </c>
    </row>
    <row r="244">
      <c r="P244" s="255">
        <f>IF(ROW()-5&lt;=COUNTA('Phản ánh'!$A$6:$A$505),INDEX('Phản ánh'!$A$6:$A$505,ROW()-5),IF(ROW()-5-COUNTA('Phản ánh'!$A$6:$A$505)&lt;=COUNTA('Kế hoạch'!$A$6:$A$305),INDEX('Kế hoạch'!$A$6:$A$305,ROW()-5-COUNTA('Phản ánh'!$A$6:$A$505)),""))</f>
      </c>
    </row>
    <row r="245">
      <c r="P245" s="255">
        <f>IF(ROW()-5&lt;=COUNTA('Phản ánh'!$A$6:$A$505),INDEX('Phản ánh'!$A$6:$A$505,ROW()-5),IF(ROW()-5-COUNTA('Phản ánh'!$A$6:$A$505)&lt;=COUNTA('Kế hoạch'!$A$6:$A$305),INDEX('Kế hoạch'!$A$6:$A$305,ROW()-5-COUNTA('Phản ánh'!$A$6:$A$505)),""))</f>
      </c>
    </row>
    <row r="246">
      <c r="P246" s="255">
        <f>IF(ROW()-5&lt;=COUNTA('Phản ánh'!$A$6:$A$505),INDEX('Phản ánh'!$A$6:$A$505,ROW()-5),IF(ROW()-5-COUNTA('Phản ánh'!$A$6:$A$505)&lt;=COUNTA('Kế hoạch'!$A$6:$A$305),INDEX('Kế hoạch'!$A$6:$A$305,ROW()-5-COUNTA('Phản ánh'!$A$6:$A$505)),""))</f>
      </c>
    </row>
    <row r="247">
      <c r="P247" s="255">
        <f>IF(ROW()-5&lt;=COUNTA('Phản ánh'!$A$6:$A$505),INDEX('Phản ánh'!$A$6:$A$505,ROW()-5),IF(ROW()-5-COUNTA('Phản ánh'!$A$6:$A$505)&lt;=COUNTA('Kế hoạch'!$A$6:$A$305),INDEX('Kế hoạch'!$A$6:$A$305,ROW()-5-COUNTA('Phản ánh'!$A$6:$A$505)),""))</f>
      </c>
    </row>
    <row r="248">
      <c r="P248" s="255">
        <f>IF(ROW()-5&lt;=COUNTA('Phản ánh'!$A$6:$A$505),INDEX('Phản ánh'!$A$6:$A$505,ROW()-5),IF(ROW()-5-COUNTA('Phản ánh'!$A$6:$A$505)&lt;=COUNTA('Kế hoạch'!$A$6:$A$305),INDEX('Kế hoạch'!$A$6:$A$305,ROW()-5-COUNTA('Phản ánh'!$A$6:$A$505)),""))</f>
      </c>
    </row>
    <row r="249">
      <c r="P249" s="255">
        <f>IF(ROW()-5&lt;=COUNTA('Phản ánh'!$A$6:$A$505),INDEX('Phản ánh'!$A$6:$A$505,ROW()-5),IF(ROW()-5-COUNTA('Phản ánh'!$A$6:$A$505)&lt;=COUNTA('Kế hoạch'!$A$6:$A$305),INDEX('Kế hoạch'!$A$6:$A$305,ROW()-5-COUNTA('Phản ánh'!$A$6:$A$505)),""))</f>
      </c>
    </row>
    <row r="250">
      <c r="P250" s="255">
        <f>IF(ROW()-5&lt;=COUNTA('Phản ánh'!$A$6:$A$505),INDEX('Phản ánh'!$A$6:$A$505,ROW()-5),IF(ROW()-5-COUNTA('Phản ánh'!$A$6:$A$505)&lt;=COUNTA('Kế hoạch'!$A$6:$A$305),INDEX('Kế hoạch'!$A$6:$A$305,ROW()-5-COUNTA('Phản ánh'!$A$6:$A$505)),""))</f>
      </c>
    </row>
    <row r="251">
      <c r="P251" s="255">
        <f>IF(ROW()-5&lt;=COUNTA('Phản ánh'!$A$6:$A$505),INDEX('Phản ánh'!$A$6:$A$505,ROW()-5),IF(ROW()-5-COUNTA('Phản ánh'!$A$6:$A$505)&lt;=COUNTA('Kế hoạch'!$A$6:$A$305),INDEX('Kế hoạch'!$A$6:$A$305,ROW()-5-COUNTA('Phản ánh'!$A$6:$A$505)),""))</f>
      </c>
    </row>
    <row r="252">
      <c r="P252" s="255">
        <f>IF(ROW()-5&lt;=COUNTA('Phản ánh'!$A$6:$A$505),INDEX('Phản ánh'!$A$6:$A$505,ROW()-5),IF(ROW()-5-COUNTA('Phản ánh'!$A$6:$A$505)&lt;=COUNTA('Kế hoạch'!$A$6:$A$305),INDEX('Kế hoạch'!$A$6:$A$305,ROW()-5-COUNTA('Phản ánh'!$A$6:$A$505)),""))</f>
      </c>
    </row>
    <row r="253">
      <c r="P253" s="255">
        <f>IF(ROW()-5&lt;=COUNTA('Phản ánh'!$A$6:$A$505),INDEX('Phản ánh'!$A$6:$A$505,ROW()-5),IF(ROW()-5-COUNTA('Phản ánh'!$A$6:$A$505)&lt;=COUNTA('Kế hoạch'!$A$6:$A$305),INDEX('Kế hoạch'!$A$6:$A$305,ROW()-5-COUNTA('Phản ánh'!$A$6:$A$505)),""))</f>
      </c>
    </row>
    <row r="254">
      <c r="P254" s="255">
        <f>IF(ROW()-5&lt;=COUNTA('Phản ánh'!$A$6:$A$505),INDEX('Phản ánh'!$A$6:$A$505,ROW()-5),IF(ROW()-5-COUNTA('Phản ánh'!$A$6:$A$505)&lt;=COUNTA('Kế hoạch'!$A$6:$A$305),INDEX('Kế hoạch'!$A$6:$A$305,ROW()-5-COUNTA('Phản ánh'!$A$6:$A$505)),""))</f>
      </c>
    </row>
    <row r="255">
      <c r="P255" s="255">
        <f>IF(ROW()-5&lt;=COUNTA('Phản ánh'!$A$6:$A$505),INDEX('Phản ánh'!$A$6:$A$505,ROW()-5),IF(ROW()-5-COUNTA('Phản ánh'!$A$6:$A$505)&lt;=COUNTA('Kế hoạch'!$A$6:$A$305),INDEX('Kế hoạch'!$A$6:$A$305,ROW()-5-COUNTA('Phản ánh'!$A$6:$A$505)),""))</f>
      </c>
    </row>
    <row r="256">
      <c r="P256" s="255">
        <f>IF(ROW()-5&lt;=COUNTA('Phản ánh'!$A$6:$A$505),INDEX('Phản ánh'!$A$6:$A$505,ROW()-5),IF(ROW()-5-COUNTA('Phản ánh'!$A$6:$A$505)&lt;=COUNTA('Kế hoạch'!$A$6:$A$305),INDEX('Kế hoạch'!$A$6:$A$305,ROW()-5-COUNTA('Phản ánh'!$A$6:$A$505)),""))</f>
      </c>
    </row>
    <row r="257">
      <c r="P257" s="255">
        <f>IF(ROW()-5&lt;=COUNTA('Phản ánh'!$A$6:$A$505),INDEX('Phản ánh'!$A$6:$A$505,ROW()-5),IF(ROW()-5-COUNTA('Phản ánh'!$A$6:$A$505)&lt;=COUNTA('Kế hoạch'!$A$6:$A$305),INDEX('Kế hoạch'!$A$6:$A$305,ROW()-5-COUNTA('Phản ánh'!$A$6:$A$505)),""))</f>
      </c>
    </row>
    <row r="258">
      <c r="P258" s="255">
        <f>IF(ROW()-5&lt;=COUNTA('Phản ánh'!$A$6:$A$505),INDEX('Phản ánh'!$A$6:$A$505,ROW()-5),IF(ROW()-5-COUNTA('Phản ánh'!$A$6:$A$505)&lt;=COUNTA('Kế hoạch'!$A$6:$A$305),INDEX('Kế hoạch'!$A$6:$A$305,ROW()-5-COUNTA('Phản ánh'!$A$6:$A$505)),""))</f>
      </c>
    </row>
    <row r="259">
      <c r="P259" s="255">
        <f>IF(ROW()-5&lt;=COUNTA('Phản ánh'!$A$6:$A$505),INDEX('Phản ánh'!$A$6:$A$505,ROW()-5),IF(ROW()-5-COUNTA('Phản ánh'!$A$6:$A$505)&lt;=COUNTA('Kế hoạch'!$A$6:$A$305),INDEX('Kế hoạch'!$A$6:$A$305,ROW()-5-COUNTA('Phản ánh'!$A$6:$A$505)),""))</f>
      </c>
    </row>
    <row r="260">
      <c r="P260" s="255">
        <f>IF(ROW()-5&lt;=COUNTA('Phản ánh'!$A$6:$A$505),INDEX('Phản ánh'!$A$6:$A$505,ROW()-5),IF(ROW()-5-COUNTA('Phản ánh'!$A$6:$A$505)&lt;=COUNTA('Kế hoạch'!$A$6:$A$305),INDEX('Kế hoạch'!$A$6:$A$305,ROW()-5-COUNTA('Phản ánh'!$A$6:$A$505)),""))</f>
      </c>
    </row>
    <row r="261">
      <c r="P261" s="255">
        <f>IF(ROW()-5&lt;=COUNTA('Phản ánh'!$A$6:$A$505),INDEX('Phản ánh'!$A$6:$A$505,ROW()-5),IF(ROW()-5-COUNTA('Phản ánh'!$A$6:$A$505)&lt;=COUNTA('Kế hoạch'!$A$6:$A$305),INDEX('Kế hoạch'!$A$6:$A$305,ROW()-5-COUNTA('Phản ánh'!$A$6:$A$505)),""))</f>
      </c>
    </row>
    <row r="262">
      <c r="P262" s="255">
        <f>IF(ROW()-5&lt;=COUNTA('Phản ánh'!$A$6:$A$505),INDEX('Phản ánh'!$A$6:$A$505,ROW()-5),IF(ROW()-5-COUNTA('Phản ánh'!$A$6:$A$505)&lt;=COUNTA('Kế hoạch'!$A$6:$A$305),INDEX('Kế hoạch'!$A$6:$A$305,ROW()-5-COUNTA('Phản ánh'!$A$6:$A$505)),""))</f>
      </c>
    </row>
    <row r="263">
      <c r="P263" s="255">
        <f>IF(ROW()-5&lt;=COUNTA('Phản ánh'!$A$6:$A$505),INDEX('Phản ánh'!$A$6:$A$505,ROW()-5),IF(ROW()-5-COUNTA('Phản ánh'!$A$6:$A$505)&lt;=COUNTA('Kế hoạch'!$A$6:$A$305),INDEX('Kế hoạch'!$A$6:$A$305,ROW()-5-COUNTA('Phản ánh'!$A$6:$A$505)),""))</f>
      </c>
    </row>
    <row r="264">
      <c r="P264" s="255">
        <f>IF(ROW()-5&lt;=COUNTA('Phản ánh'!$A$6:$A$505),INDEX('Phản ánh'!$A$6:$A$505,ROW()-5),IF(ROW()-5-COUNTA('Phản ánh'!$A$6:$A$505)&lt;=COUNTA('Kế hoạch'!$A$6:$A$305),INDEX('Kế hoạch'!$A$6:$A$305,ROW()-5-COUNTA('Phản ánh'!$A$6:$A$505)),""))</f>
      </c>
    </row>
    <row r="265">
      <c r="P265" s="255">
        <f>IF(ROW()-5&lt;=COUNTA('Phản ánh'!$A$6:$A$505),INDEX('Phản ánh'!$A$6:$A$505,ROW()-5),IF(ROW()-5-COUNTA('Phản ánh'!$A$6:$A$505)&lt;=COUNTA('Kế hoạch'!$A$6:$A$305),INDEX('Kế hoạch'!$A$6:$A$305,ROW()-5-COUNTA('Phản ánh'!$A$6:$A$505)),""))</f>
      </c>
    </row>
    <row r="266">
      <c r="P266" s="255">
        <f>IF(ROW()-5&lt;=COUNTA('Phản ánh'!$A$6:$A$505),INDEX('Phản ánh'!$A$6:$A$505,ROW()-5),IF(ROW()-5-COUNTA('Phản ánh'!$A$6:$A$505)&lt;=COUNTA('Kế hoạch'!$A$6:$A$305),INDEX('Kế hoạch'!$A$6:$A$305,ROW()-5-COUNTA('Phản ánh'!$A$6:$A$505)),""))</f>
      </c>
    </row>
    <row r="267">
      <c r="P267" s="255">
        <f>IF(ROW()-5&lt;=COUNTA('Phản ánh'!$A$6:$A$505),INDEX('Phản ánh'!$A$6:$A$505,ROW()-5),IF(ROW()-5-COUNTA('Phản ánh'!$A$6:$A$505)&lt;=COUNTA('Kế hoạch'!$A$6:$A$305),INDEX('Kế hoạch'!$A$6:$A$305,ROW()-5-COUNTA('Phản ánh'!$A$6:$A$505)),""))</f>
      </c>
    </row>
    <row r="268">
      <c r="P268" s="255">
        <f>IF(ROW()-5&lt;=COUNTA('Phản ánh'!$A$6:$A$505),INDEX('Phản ánh'!$A$6:$A$505,ROW()-5),IF(ROW()-5-COUNTA('Phản ánh'!$A$6:$A$505)&lt;=COUNTA('Kế hoạch'!$A$6:$A$305),INDEX('Kế hoạch'!$A$6:$A$305,ROW()-5-COUNTA('Phản ánh'!$A$6:$A$505)),""))</f>
      </c>
    </row>
    <row r="269">
      <c r="P269" s="255">
        <f>IF(ROW()-5&lt;=COUNTA('Phản ánh'!$A$6:$A$505),INDEX('Phản ánh'!$A$6:$A$505,ROW()-5),IF(ROW()-5-COUNTA('Phản ánh'!$A$6:$A$505)&lt;=COUNTA('Kế hoạch'!$A$6:$A$305),INDEX('Kế hoạch'!$A$6:$A$305,ROW()-5-COUNTA('Phản ánh'!$A$6:$A$505)),""))</f>
      </c>
    </row>
    <row r="270">
      <c r="P270" s="255">
        <f>IF(ROW()-5&lt;=COUNTA('Phản ánh'!$A$6:$A$505),INDEX('Phản ánh'!$A$6:$A$505,ROW()-5),IF(ROW()-5-COUNTA('Phản ánh'!$A$6:$A$505)&lt;=COUNTA('Kế hoạch'!$A$6:$A$305),INDEX('Kế hoạch'!$A$6:$A$305,ROW()-5-COUNTA('Phản ánh'!$A$6:$A$505)),""))</f>
      </c>
    </row>
    <row r="271">
      <c r="P271" s="255">
        <f>IF(ROW()-5&lt;=COUNTA('Phản ánh'!$A$6:$A$505),INDEX('Phản ánh'!$A$6:$A$505,ROW()-5),IF(ROW()-5-COUNTA('Phản ánh'!$A$6:$A$505)&lt;=COUNTA('Kế hoạch'!$A$6:$A$305),INDEX('Kế hoạch'!$A$6:$A$305,ROW()-5-COUNTA('Phản ánh'!$A$6:$A$505)),""))</f>
      </c>
    </row>
    <row r="272">
      <c r="P272" s="255">
        <f>IF(ROW()-5&lt;=COUNTA('Phản ánh'!$A$6:$A$505),INDEX('Phản ánh'!$A$6:$A$505,ROW()-5),IF(ROW()-5-COUNTA('Phản ánh'!$A$6:$A$505)&lt;=COUNTA('Kế hoạch'!$A$6:$A$305),INDEX('Kế hoạch'!$A$6:$A$305,ROW()-5-COUNTA('Phản ánh'!$A$6:$A$505)),""))</f>
      </c>
    </row>
    <row r="273">
      <c r="P273" s="255">
        <f>IF(ROW()-5&lt;=COUNTA('Phản ánh'!$A$6:$A$505),INDEX('Phản ánh'!$A$6:$A$505,ROW()-5),IF(ROW()-5-COUNTA('Phản ánh'!$A$6:$A$505)&lt;=COUNTA('Kế hoạch'!$A$6:$A$305),INDEX('Kế hoạch'!$A$6:$A$305,ROW()-5-COUNTA('Phản ánh'!$A$6:$A$505)),""))</f>
      </c>
    </row>
    <row r="274">
      <c r="P274" s="255">
        <f>IF(ROW()-5&lt;=COUNTA('Phản ánh'!$A$6:$A$505),INDEX('Phản ánh'!$A$6:$A$505,ROW()-5),IF(ROW()-5-COUNTA('Phản ánh'!$A$6:$A$505)&lt;=COUNTA('Kế hoạch'!$A$6:$A$305),INDEX('Kế hoạch'!$A$6:$A$305,ROW()-5-COUNTA('Phản ánh'!$A$6:$A$505)),""))</f>
      </c>
    </row>
    <row r="275">
      <c r="P275" s="255">
        <f>IF(ROW()-5&lt;=COUNTA('Phản ánh'!$A$6:$A$505),INDEX('Phản ánh'!$A$6:$A$505,ROW()-5),IF(ROW()-5-COUNTA('Phản ánh'!$A$6:$A$505)&lt;=COUNTA('Kế hoạch'!$A$6:$A$305),INDEX('Kế hoạch'!$A$6:$A$305,ROW()-5-COUNTA('Phản ánh'!$A$6:$A$505)),""))</f>
      </c>
    </row>
    <row r="276">
      <c r="P276" s="255">
        <f>IF(ROW()-5&lt;=COUNTA('Phản ánh'!$A$6:$A$505),INDEX('Phản ánh'!$A$6:$A$505,ROW()-5),IF(ROW()-5-COUNTA('Phản ánh'!$A$6:$A$505)&lt;=COUNTA('Kế hoạch'!$A$6:$A$305),INDEX('Kế hoạch'!$A$6:$A$305,ROW()-5-COUNTA('Phản ánh'!$A$6:$A$505)),""))</f>
      </c>
    </row>
    <row r="277">
      <c r="P277" s="255">
        <f>IF(ROW()-5&lt;=COUNTA('Phản ánh'!$A$6:$A$505),INDEX('Phản ánh'!$A$6:$A$505,ROW()-5),IF(ROW()-5-COUNTA('Phản ánh'!$A$6:$A$505)&lt;=COUNTA('Kế hoạch'!$A$6:$A$305),INDEX('Kế hoạch'!$A$6:$A$305,ROW()-5-COUNTA('Phản ánh'!$A$6:$A$505)),""))</f>
      </c>
    </row>
    <row r="278">
      <c r="P278" s="255">
        <f>IF(ROW()-5&lt;=COUNTA('Phản ánh'!$A$6:$A$505),INDEX('Phản ánh'!$A$6:$A$505,ROW()-5),IF(ROW()-5-COUNTA('Phản ánh'!$A$6:$A$505)&lt;=COUNTA('Kế hoạch'!$A$6:$A$305),INDEX('Kế hoạch'!$A$6:$A$305,ROW()-5-COUNTA('Phản ánh'!$A$6:$A$505)),""))</f>
      </c>
    </row>
    <row r="279">
      <c r="P279" s="255">
        <f>IF(ROW()-5&lt;=COUNTA('Phản ánh'!$A$6:$A$505),INDEX('Phản ánh'!$A$6:$A$505,ROW()-5),IF(ROW()-5-COUNTA('Phản ánh'!$A$6:$A$505)&lt;=COUNTA('Kế hoạch'!$A$6:$A$305),INDEX('Kế hoạch'!$A$6:$A$305,ROW()-5-COUNTA('Phản ánh'!$A$6:$A$505)),""))</f>
      </c>
    </row>
    <row r="280">
      <c r="P280" s="255">
        <f>IF(ROW()-5&lt;=COUNTA('Phản ánh'!$A$6:$A$505),INDEX('Phản ánh'!$A$6:$A$505,ROW()-5),IF(ROW()-5-COUNTA('Phản ánh'!$A$6:$A$505)&lt;=COUNTA('Kế hoạch'!$A$6:$A$305),INDEX('Kế hoạch'!$A$6:$A$305,ROW()-5-COUNTA('Phản ánh'!$A$6:$A$505)),""))</f>
      </c>
    </row>
    <row r="281">
      <c r="P281" s="255">
        <f>IF(ROW()-5&lt;=COUNTA('Phản ánh'!$A$6:$A$505),INDEX('Phản ánh'!$A$6:$A$505,ROW()-5),IF(ROW()-5-COUNTA('Phản ánh'!$A$6:$A$505)&lt;=COUNTA('Kế hoạch'!$A$6:$A$305),INDEX('Kế hoạch'!$A$6:$A$305,ROW()-5-COUNTA('Phản ánh'!$A$6:$A$505)),""))</f>
      </c>
    </row>
    <row r="282">
      <c r="P282" s="255">
        <f>IF(ROW()-5&lt;=COUNTA('Phản ánh'!$A$6:$A$505),INDEX('Phản ánh'!$A$6:$A$505,ROW()-5),IF(ROW()-5-COUNTA('Phản ánh'!$A$6:$A$505)&lt;=COUNTA('Kế hoạch'!$A$6:$A$305),INDEX('Kế hoạch'!$A$6:$A$305,ROW()-5-COUNTA('Phản ánh'!$A$6:$A$505)),""))</f>
      </c>
    </row>
    <row r="283">
      <c r="P283" s="255">
        <f>IF(ROW()-5&lt;=COUNTA('Phản ánh'!$A$6:$A$505),INDEX('Phản ánh'!$A$6:$A$505,ROW()-5),IF(ROW()-5-COUNTA('Phản ánh'!$A$6:$A$505)&lt;=COUNTA('Kế hoạch'!$A$6:$A$305),INDEX('Kế hoạch'!$A$6:$A$305,ROW()-5-COUNTA('Phản ánh'!$A$6:$A$505)),""))</f>
      </c>
    </row>
    <row r="284">
      <c r="P284" s="255">
        <f>IF(ROW()-5&lt;=COUNTA('Phản ánh'!$A$6:$A$505),INDEX('Phản ánh'!$A$6:$A$505,ROW()-5),IF(ROW()-5-COUNTA('Phản ánh'!$A$6:$A$505)&lt;=COUNTA('Kế hoạch'!$A$6:$A$305),INDEX('Kế hoạch'!$A$6:$A$305,ROW()-5-COUNTA('Phản ánh'!$A$6:$A$505)),""))</f>
      </c>
    </row>
    <row r="285">
      <c r="P285" s="255">
        <f>IF(ROW()-5&lt;=COUNTA('Phản ánh'!$A$6:$A$505),INDEX('Phản ánh'!$A$6:$A$505,ROW()-5),IF(ROW()-5-COUNTA('Phản ánh'!$A$6:$A$505)&lt;=COUNTA('Kế hoạch'!$A$6:$A$305),INDEX('Kế hoạch'!$A$6:$A$305,ROW()-5-COUNTA('Phản ánh'!$A$6:$A$505)),""))</f>
      </c>
    </row>
    <row r="286">
      <c r="P286" s="255">
        <f>IF(ROW()-5&lt;=COUNTA('Phản ánh'!$A$6:$A$505),INDEX('Phản ánh'!$A$6:$A$505,ROW()-5),IF(ROW()-5-COUNTA('Phản ánh'!$A$6:$A$505)&lt;=COUNTA('Kế hoạch'!$A$6:$A$305),INDEX('Kế hoạch'!$A$6:$A$305,ROW()-5-COUNTA('Phản ánh'!$A$6:$A$505)),""))</f>
      </c>
    </row>
    <row r="287">
      <c r="P287" s="255">
        <f>IF(ROW()-5&lt;=COUNTA('Phản ánh'!$A$6:$A$505),INDEX('Phản ánh'!$A$6:$A$505,ROW()-5),IF(ROW()-5-COUNTA('Phản ánh'!$A$6:$A$505)&lt;=COUNTA('Kế hoạch'!$A$6:$A$305),INDEX('Kế hoạch'!$A$6:$A$305,ROW()-5-COUNTA('Phản ánh'!$A$6:$A$505)),""))</f>
      </c>
    </row>
    <row r="288">
      <c r="P288" s="255">
        <f>IF(ROW()-5&lt;=COUNTA('Phản ánh'!$A$6:$A$505),INDEX('Phản ánh'!$A$6:$A$505,ROW()-5),IF(ROW()-5-COUNTA('Phản ánh'!$A$6:$A$505)&lt;=COUNTA('Kế hoạch'!$A$6:$A$305),INDEX('Kế hoạch'!$A$6:$A$305,ROW()-5-COUNTA('Phản ánh'!$A$6:$A$505)),""))</f>
      </c>
    </row>
    <row r="289">
      <c r="P289" s="255">
        <f>IF(ROW()-5&lt;=COUNTA('Phản ánh'!$A$6:$A$505),INDEX('Phản ánh'!$A$6:$A$505,ROW()-5),IF(ROW()-5-COUNTA('Phản ánh'!$A$6:$A$505)&lt;=COUNTA('Kế hoạch'!$A$6:$A$305),INDEX('Kế hoạch'!$A$6:$A$305,ROW()-5-COUNTA('Phản ánh'!$A$6:$A$505)),""))</f>
      </c>
    </row>
    <row r="290">
      <c r="P290" s="255">
        <f>IF(ROW()-5&lt;=COUNTA('Phản ánh'!$A$6:$A$505),INDEX('Phản ánh'!$A$6:$A$505,ROW()-5),IF(ROW()-5-COUNTA('Phản ánh'!$A$6:$A$505)&lt;=COUNTA('Kế hoạch'!$A$6:$A$305),INDEX('Kế hoạch'!$A$6:$A$305,ROW()-5-COUNTA('Phản ánh'!$A$6:$A$505)),""))</f>
      </c>
    </row>
    <row r="291">
      <c r="P291" s="255">
        <f>IF(ROW()-5&lt;=COUNTA('Phản ánh'!$A$6:$A$505),INDEX('Phản ánh'!$A$6:$A$505,ROW()-5),IF(ROW()-5-COUNTA('Phản ánh'!$A$6:$A$505)&lt;=COUNTA('Kế hoạch'!$A$6:$A$305),INDEX('Kế hoạch'!$A$6:$A$305,ROW()-5-COUNTA('Phản ánh'!$A$6:$A$505)),""))</f>
      </c>
    </row>
    <row r="292">
      <c r="P292" s="255">
        <f>IF(ROW()-5&lt;=COUNTA('Phản ánh'!$A$6:$A$505),INDEX('Phản ánh'!$A$6:$A$505,ROW()-5),IF(ROW()-5-COUNTA('Phản ánh'!$A$6:$A$505)&lt;=COUNTA('Kế hoạch'!$A$6:$A$305),INDEX('Kế hoạch'!$A$6:$A$305,ROW()-5-COUNTA('Phản ánh'!$A$6:$A$505)),""))</f>
      </c>
    </row>
    <row r="293">
      <c r="P293" s="255">
        <f>IF(ROW()-5&lt;=COUNTA('Phản ánh'!$A$6:$A$505),INDEX('Phản ánh'!$A$6:$A$505,ROW()-5),IF(ROW()-5-COUNTA('Phản ánh'!$A$6:$A$505)&lt;=COUNTA('Kế hoạch'!$A$6:$A$305),INDEX('Kế hoạch'!$A$6:$A$305,ROW()-5-COUNTA('Phản ánh'!$A$6:$A$505)),""))</f>
      </c>
    </row>
    <row r="294">
      <c r="P294" s="255">
        <f>IF(ROW()-5&lt;=COUNTA('Phản ánh'!$A$6:$A$505),INDEX('Phản ánh'!$A$6:$A$505,ROW()-5),IF(ROW()-5-COUNTA('Phản ánh'!$A$6:$A$505)&lt;=COUNTA('Kế hoạch'!$A$6:$A$305),INDEX('Kế hoạch'!$A$6:$A$305,ROW()-5-COUNTA('Phản ánh'!$A$6:$A$505)),""))</f>
      </c>
    </row>
    <row r="295">
      <c r="P295" s="255">
        <f>IF(ROW()-5&lt;=COUNTA('Phản ánh'!$A$6:$A$505),INDEX('Phản ánh'!$A$6:$A$505,ROW()-5),IF(ROW()-5-COUNTA('Phản ánh'!$A$6:$A$505)&lt;=COUNTA('Kế hoạch'!$A$6:$A$305),INDEX('Kế hoạch'!$A$6:$A$305,ROW()-5-COUNTA('Phản ánh'!$A$6:$A$505)),""))</f>
      </c>
    </row>
    <row r="296">
      <c r="P296" s="255">
        <f>IF(ROW()-5&lt;=COUNTA('Phản ánh'!$A$6:$A$505),INDEX('Phản ánh'!$A$6:$A$505,ROW()-5),IF(ROW()-5-COUNTA('Phản ánh'!$A$6:$A$505)&lt;=COUNTA('Kế hoạch'!$A$6:$A$305),INDEX('Kế hoạch'!$A$6:$A$305,ROW()-5-COUNTA('Phản ánh'!$A$6:$A$505)),""))</f>
      </c>
    </row>
    <row r="297">
      <c r="P297" s="255">
        <f>IF(ROW()-5&lt;=COUNTA('Phản ánh'!$A$6:$A$505),INDEX('Phản ánh'!$A$6:$A$505,ROW()-5),IF(ROW()-5-COUNTA('Phản ánh'!$A$6:$A$505)&lt;=COUNTA('Kế hoạch'!$A$6:$A$305),INDEX('Kế hoạch'!$A$6:$A$305,ROW()-5-COUNTA('Phản ánh'!$A$6:$A$505)),""))</f>
      </c>
    </row>
    <row r="298">
      <c r="P298" s="255">
        <f>IF(ROW()-5&lt;=COUNTA('Phản ánh'!$A$6:$A$505),INDEX('Phản ánh'!$A$6:$A$505,ROW()-5),IF(ROW()-5-COUNTA('Phản ánh'!$A$6:$A$505)&lt;=COUNTA('Kế hoạch'!$A$6:$A$305),INDEX('Kế hoạch'!$A$6:$A$305,ROW()-5-COUNTA('Phản ánh'!$A$6:$A$505)),""))</f>
      </c>
    </row>
    <row r="299">
      <c r="P299" s="255">
        <f>IF(ROW()-5&lt;=COUNTA('Phản ánh'!$A$6:$A$505),INDEX('Phản ánh'!$A$6:$A$505,ROW()-5),IF(ROW()-5-COUNTA('Phản ánh'!$A$6:$A$505)&lt;=COUNTA('Kế hoạch'!$A$6:$A$305),INDEX('Kế hoạch'!$A$6:$A$305,ROW()-5-COUNTA('Phản ánh'!$A$6:$A$505)),""))</f>
      </c>
    </row>
    <row r="300">
      <c r="P300" s="255">
        <f>IF(ROW()-5&lt;=COUNTA('Phản ánh'!$A$6:$A$505),INDEX('Phản ánh'!$A$6:$A$505,ROW()-5),IF(ROW()-5-COUNTA('Phản ánh'!$A$6:$A$505)&lt;=COUNTA('Kế hoạch'!$A$6:$A$305),INDEX('Kế hoạch'!$A$6:$A$305,ROW()-5-COUNTA('Phản ánh'!$A$6:$A$505)),""))</f>
      </c>
    </row>
    <row r="301">
      <c r="P301" s="255">
        <f>IF(ROW()-5&lt;=COUNTA('Phản ánh'!$A$6:$A$505),INDEX('Phản ánh'!$A$6:$A$505,ROW()-5),IF(ROW()-5-COUNTA('Phản ánh'!$A$6:$A$505)&lt;=COUNTA('Kế hoạch'!$A$6:$A$305),INDEX('Kế hoạch'!$A$6:$A$305,ROW()-5-COUNTA('Phản ánh'!$A$6:$A$505)),""))</f>
      </c>
    </row>
    <row r="302">
      <c r="P302" s="255">
        <f>IF(ROW()-5&lt;=COUNTA('Phản ánh'!$A$6:$A$505),INDEX('Phản ánh'!$A$6:$A$505,ROW()-5),IF(ROW()-5-COUNTA('Phản ánh'!$A$6:$A$505)&lt;=COUNTA('Kế hoạch'!$A$6:$A$305),INDEX('Kế hoạch'!$A$6:$A$305,ROW()-5-COUNTA('Phản ánh'!$A$6:$A$505)),""))</f>
      </c>
    </row>
    <row r="303">
      <c r="P303" s="255">
        <f>IF(ROW()-5&lt;=COUNTA('Phản ánh'!$A$6:$A$505),INDEX('Phản ánh'!$A$6:$A$505,ROW()-5),IF(ROW()-5-COUNTA('Phản ánh'!$A$6:$A$505)&lt;=COUNTA('Kế hoạch'!$A$6:$A$305),INDEX('Kế hoạch'!$A$6:$A$305,ROW()-5-COUNTA('Phản ánh'!$A$6:$A$505)),""))</f>
      </c>
    </row>
    <row r="304">
      <c r="P304" s="255">
        <f>IF(ROW()-5&lt;=COUNTA('Phản ánh'!$A$6:$A$505),INDEX('Phản ánh'!$A$6:$A$505,ROW()-5),IF(ROW()-5-COUNTA('Phản ánh'!$A$6:$A$505)&lt;=COUNTA('Kế hoạch'!$A$6:$A$305),INDEX('Kế hoạch'!$A$6:$A$305,ROW()-5-COUNTA('Phản ánh'!$A$6:$A$505)),""))</f>
      </c>
    </row>
    <row r="305">
      <c r="P305" s="255">
        <f>IF(ROW()-5&lt;=COUNTA('Phản ánh'!$A$6:$A$505),INDEX('Phản ánh'!$A$6:$A$505,ROW()-5),IF(ROW()-5-COUNTA('Phản ánh'!$A$6:$A$505)&lt;=COUNTA('Kế hoạch'!$A$6:$A$305),INDEX('Kế hoạch'!$A$6:$A$305,ROW()-5-COUNTA('Phản ánh'!$A$6:$A$505)),""))</f>
      </c>
    </row>
    <row r="306">
      <c r="P306" s="255">
        <f>IF(ROW()-5&lt;=COUNTA('Phản ánh'!$A$6:$A$505),INDEX('Phản ánh'!$A$6:$A$505,ROW()-5),IF(ROW()-5-COUNTA('Phản ánh'!$A$6:$A$505)&lt;=COUNTA('Kế hoạch'!$A$6:$A$305),INDEX('Kế hoạch'!$A$6:$A$305,ROW()-5-COUNTA('Phản ánh'!$A$6:$A$505)),""))</f>
      </c>
    </row>
    <row r="307">
      <c r="P307" s="255">
        <f>IF(ROW()-5&lt;=COUNTA('Phản ánh'!$A$6:$A$505),INDEX('Phản ánh'!$A$6:$A$505,ROW()-5),IF(ROW()-5-COUNTA('Phản ánh'!$A$6:$A$505)&lt;=COUNTA('Kế hoạch'!$A$6:$A$305),INDEX('Kế hoạch'!$A$6:$A$305,ROW()-5-COUNTA('Phản ánh'!$A$6:$A$505)),""))</f>
      </c>
    </row>
    <row r="308">
      <c r="P308" s="255">
        <f>IF(ROW()-5&lt;=COUNTA('Phản ánh'!$A$6:$A$505),INDEX('Phản ánh'!$A$6:$A$505,ROW()-5),IF(ROW()-5-COUNTA('Phản ánh'!$A$6:$A$505)&lt;=COUNTA('Kế hoạch'!$A$6:$A$305),INDEX('Kế hoạch'!$A$6:$A$305,ROW()-5-COUNTA('Phản ánh'!$A$6:$A$505)),""))</f>
      </c>
    </row>
    <row r="309">
      <c r="P309" s="255">
        <f>IF(ROW()-5&lt;=COUNTA('Phản ánh'!$A$6:$A$505),INDEX('Phản ánh'!$A$6:$A$505,ROW()-5),IF(ROW()-5-COUNTA('Phản ánh'!$A$6:$A$505)&lt;=COUNTA('Kế hoạch'!$A$6:$A$305),INDEX('Kế hoạch'!$A$6:$A$305,ROW()-5-COUNTA('Phản ánh'!$A$6:$A$505)),""))</f>
      </c>
    </row>
    <row r="310">
      <c r="P310" s="255">
        <f>IF(ROW()-5&lt;=COUNTA('Phản ánh'!$A$6:$A$505),INDEX('Phản ánh'!$A$6:$A$505,ROW()-5),IF(ROW()-5-COUNTA('Phản ánh'!$A$6:$A$505)&lt;=COUNTA('Kế hoạch'!$A$6:$A$305),INDEX('Kế hoạch'!$A$6:$A$305,ROW()-5-COUNTA('Phản ánh'!$A$6:$A$505)),""))</f>
      </c>
    </row>
    <row r="311">
      <c r="P311" s="255">
        <f>IF(ROW()-5&lt;=COUNTA('Phản ánh'!$A$6:$A$505),INDEX('Phản ánh'!$A$6:$A$505,ROW()-5),IF(ROW()-5-COUNTA('Phản ánh'!$A$6:$A$505)&lt;=COUNTA('Kế hoạch'!$A$6:$A$305),INDEX('Kế hoạch'!$A$6:$A$305,ROW()-5-COUNTA('Phản ánh'!$A$6:$A$505)),""))</f>
      </c>
    </row>
    <row r="312">
      <c r="P312" s="255">
        <f>IF(ROW()-5&lt;=COUNTA('Phản ánh'!$A$6:$A$505),INDEX('Phản ánh'!$A$6:$A$505,ROW()-5),IF(ROW()-5-COUNTA('Phản ánh'!$A$6:$A$505)&lt;=COUNTA('Kế hoạch'!$A$6:$A$305),INDEX('Kế hoạch'!$A$6:$A$305,ROW()-5-COUNTA('Phản ánh'!$A$6:$A$505)),""))</f>
      </c>
    </row>
    <row r="313">
      <c r="P313" s="255">
        <f>IF(ROW()-5&lt;=COUNTA('Phản ánh'!$A$6:$A$505),INDEX('Phản ánh'!$A$6:$A$505,ROW()-5),IF(ROW()-5-COUNTA('Phản ánh'!$A$6:$A$505)&lt;=COUNTA('Kế hoạch'!$A$6:$A$305),INDEX('Kế hoạch'!$A$6:$A$305,ROW()-5-COUNTA('Phản ánh'!$A$6:$A$505)),""))</f>
      </c>
    </row>
    <row r="314">
      <c r="P314" s="255">
        <f>IF(ROW()-5&lt;=COUNTA('Phản ánh'!$A$6:$A$505),INDEX('Phản ánh'!$A$6:$A$505,ROW()-5),IF(ROW()-5-COUNTA('Phản ánh'!$A$6:$A$505)&lt;=COUNTA('Kế hoạch'!$A$6:$A$305),INDEX('Kế hoạch'!$A$6:$A$305,ROW()-5-COUNTA('Phản ánh'!$A$6:$A$505)),""))</f>
      </c>
    </row>
    <row r="315">
      <c r="P315" s="255">
        <f>IF(ROW()-5&lt;=COUNTA('Phản ánh'!$A$6:$A$505),INDEX('Phản ánh'!$A$6:$A$505,ROW()-5),IF(ROW()-5-COUNTA('Phản ánh'!$A$6:$A$505)&lt;=COUNTA('Kế hoạch'!$A$6:$A$305),INDEX('Kế hoạch'!$A$6:$A$305,ROW()-5-COUNTA('Phản ánh'!$A$6:$A$505)),""))</f>
      </c>
    </row>
    <row r="316">
      <c r="P316" s="255">
        <f>IF(ROW()-5&lt;=COUNTA('Phản ánh'!$A$6:$A$505),INDEX('Phản ánh'!$A$6:$A$505,ROW()-5),IF(ROW()-5-COUNTA('Phản ánh'!$A$6:$A$505)&lt;=COUNTA('Kế hoạch'!$A$6:$A$305),INDEX('Kế hoạch'!$A$6:$A$305,ROW()-5-COUNTA('Phản ánh'!$A$6:$A$505)),""))</f>
      </c>
    </row>
    <row r="317">
      <c r="P317" s="255">
        <f>IF(ROW()-5&lt;=COUNTA('Phản ánh'!$A$6:$A$505),INDEX('Phản ánh'!$A$6:$A$505,ROW()-5),IF(ROW()-5-COUNTA('Phản ánh'!$A$6:$A$505)&lt;=COUNTA('Kế hoạch'!$A$6:$A$305),INDEX('Kế hoạch'!$A$6:$A$305,ROW()-5-COUNTA('Phản ánh'!$A$6:$A$505)),""))</f>
      </c>
    </row>
    <row r="318">
      <c r="P318" s="255">
        <f>IF(ROW()-5&lt;=COUNTA('Phản ánh'!$A$6:$A$505),INDEX('Phản ánh'!$A$6:$A$505,ROW()-5),IF(ROW()-5-COUNTA('Phản ánh'!$A$6:$A$505)&lt;=COUNTA('Kế hoạch'!$A$6:$A$305),INDEX('Kế hoạch'!$A$6:$A$305,ROW()-5-COUNTA('Phản ánh'!$A$6:$A$505)),""))</f>
      </c>
    </row>
    <row r="319">
      <c r="P319" s="255">
        <f>IF(ROW()-5&lt;=COUNTA('Phản ánh'!$A$6:$A$505),INDEX('Phản ánh'!$A$6:$A$505,ROW()-5),IF(ROW()-5-COUNTA('Phản ánh'!$A$6:$A$505)&lt;=COUNTA('Kế hoạch'!$A$6:$A$305),INDEX('Kế hoạch'!$A$6:$A$305,ROW()-5-COUNTA('Phản ánh'!$A$6:$A$505)),""))</f>
      </c>
    </row>
    <row r="320">
      <c r="P320" s="255">
        <f>IF(ROW()-5&lt;=COUNTA('Phản ánh'!$A$6:$A$505),INDEX('Phản ánh'!$A$6:$A$505,ROW()-5),IF(ROW()-5-COUNTA('Phản ánh'!$A$6:$A$505)&lt;=COUNTA('Kế hoạch'!$A$6:$A$305),INDEX('Kế hoạch'!$A$6:$A$305,ROW()-5-COUNTA('Phản ánh'!$A$6:$A$505)),""))</f>
      </c>
    </row>
    <row r="321">
      <c r="P321" s="255">
        <f>IF(ROW()-5&lt;=COUNTA('Phản ánh'!$A$6:$A$505),INDEX('Phản ánh'!$A$6:$A$505,ROW()-5),IF(ROW()-5-COUNTA('Phản ánh'!$A$6:$A$505)&lt;=COUNTA('Kế hoạch'!$A$6:$A$305),INDEX('Kế hoạch'!$A$6:$A$305,ROW()-5-COUNTA('Phản ánh'!$A$6:$A$505)),""))</f>
      </c>
    </row>
    <row r="322">
      <c r="P322" s="255">
        <f>IF(ROW()-5&lt;=COUNTA('Phản ánh'!$A$6:$A$505),INDEX('Phản ánh'!$A$6:$A$505,ROW()-5),IF(ROW()-5-COUNTA('Phản ánh'!$A$6:$A$505)&lt;=COUNTA('Kế hoạch'!$A$6:$A$305),INDEX('Kế hoạch'!$A$6:$A$305,ROW()-5-COUNTA('Phản ánh'!$A$6:$A$505)),""))</f>
      </c>
    </row>
    <row r="323">
      <c r="P323" s="255">
        <f>IF(ROW()-5&lt;=COUNTA('Phản ánh'!$A$6:$A$505),INDEX('Phản ánh'!$A$6:$A$505,ROW()-5),IF(ROW()-5-COUNTA('Phản ánh'!$A$6:$A$505)&lt;=COUNTA('Kế hoạch'!$A$6:$A$305),INDEX('Kế hoạch'!$A$6:$A$305,ROW()-5-COUNTA('Phản ánh'!$A$6:$A$505)),""))</f>
      </c>
    </row>
    <row r="324">
      <c r="P324" s="255">
        <f>IF(ROW()-5&lt;=COUNTA('Phản ánh'!$A$6:$A$505),INDEX('Phản ánh'!$A$6:$A$505,ROW()-5),IF(ROW()-5-COUNTA('Phản ánh'!$A$6:$A$505)&lt;=COUNTA('Kế hoạch'!$A$6:$A$305),INDEX('Kế hoạch'!$A$6:$A$305,ROW()-5-COUNTA('Phản ánh'!$A$6:$A$505)),""))</f>
      </c>
    </row>
    <row r="325">
      <c r="P325" s="255">
        <f>IF(ROW()-5&lt;=COUNTA('Phản ánh'!$A$6:$A$505),INDEX('Phản ánh'!$A$6:$A$505,ROW()-5),IF(ROW()-5-COUNTA('Phản ánh'!$A$6:$A$505)&lt;=COUNTA('Kế hoạch'!$A$6:$A$305),INDEX('Kế hoạch'!$A$6:$A$305,ROW()-5-COUNTA('Phản ánh'!$A$6:$A$505)),""))</f>
      </c>
    </row>
    <row r="326">
      <c r="P326" s="255">
        <f>IF(ROW()-5&lt;=COUNTA('Phản ánh'!$A$6:$A$505),INDEX('Phản ánh'!$A$6:$A$505,ROW()-5),IF(ROW()-5-COUNTA('Phản ánh'!$A$6:$A$505)&lt;=COUNTA('Kế hoạch'!$A$6:$A$305),INDEX('Kế hoạch'!$A$6:$A$305,ROW()-5-COUNTA('Phản ánh'!$A$6:$A$505)),""))</f>
      </c>
    </row>
    <row r="327">
      <c r="P327" s="255">
        <f>IF(ROW()-5&lt;=COUNTA('Phản ánh'!$A$6:$A$505),INDEX('Phản ánh'!$A$6:$A$505,ROW()-5),IF(ROW()-5-COUNTA('Phản ánh'!$A$6:$A$505)&lt;=COUNTA('Kế hoạch'!$A$6:$A$305),INDEX('Kế hoạch'!$A$6:$A$305,ROW()-5-COUNTA('Phản ánh'!$A$6:$A$505)),""))</f>
      </c>
    </row>
    <row r="328">
      <c r="P328" s="255">
        <f>IF(ROW()-5&lt;=COUNTA('Phản ánh'!$A$6:$A$505),INDEX('Phản ánh'!$A$6:$A$505,ROW()-5),IF(ROW()-5-COUNTA('Phản ánh'!$A$6:$A$505)&lt;=COUNTA('Kế hoạch'!$A$6:$A$305),INDEX('Kế hoạch'!$A$6:$A$305,ROW()-5-COUNTA('Phản ánh'!$A$6:$A$505)),""))</f>
      </c>
    </row>
    <row r="329">
      <c r="P329" s="255">
        <f>IF(ROW()-5&lt;=COUNTA('Phản ánh'!$A$6:$A$505),INDEX('Phản ánh'!$A$6:$A$505,ROW()-5),IF(ROW()-5-COUNTA('Phản ánh'!$A$6:$A$505)&lt;=COUNTA('Kế hoạch'!$A$6:$A$305),INDEX('Kế hoạch'!$A$6:$A$305,ROW()-5-COUNTA('Phản ánh'!$A$6:$A$505)),""))</f>
      </c>
    </row>
    <row r="330">
      <c r="P330" s="255">
        <f>IF(ROW()-5&lt;=COUNTA('Phản ánh'!$A$6:$A$505),INDEX('Phản ánh'!$A$6:$A$505,ROW()-5),IF(ROW()-5-COUNTA('Phản ánh'!$A$6:$A$505)&lt;=COUNTA('Kế hoạch'!$A$6:$A$305),INDEX('Kế hoạch'!$A$6:$A$305,ROW()-5-COUNTA('Phản ánh'!$A$6:$A$505)),""))</f>
      </c>
    </row>
    <row r="331">
      <c r="P331" s="255">
        <f>IF(ROW()-5&lt;=COUNTA('Phản ánh'!$A$6:$A$505),INDEX('Phản ánh'!$A$6:$A$505,ROW()-5),IF(ROW()-5-COUNTA('Phản ánh'!$A$6:$A$505)&lt;=COUNTA('Kế hoạch'!$A$6:$A$305),INDEX('Kế hoạch'!$A$6:$A$305,ROW()-5-COUNTA('Phản ánh'!$A$6:$A$505)),""))</f>
      </c>
    </row>
    <row r="332">
      <c r="P332" s="255">
        <f>IF(ROW()-5&lt;=COUNTA('Phản ánh'!$A$6:$A$505),INDEX('Phản ánh'!$A$6:$A$505,ROW()-5),IF(ROW()-5-COUNTA('Phản ánh'!$A$6:$A$505)&lt;=COUNTA('Kế hoạch'!$A$6:$A$305),INDEX('Kế hoạch'!$A$6:$A$305,ROW()-5-COUNTA('Phản ánh'!$A$6:$A$505)),""))</f>
      </c>
    </row>
    <row r="333">
      <c r="P333" s="255">
        <f>IF(ROW()-5&lt;=COUNTA('Phản ánh'!$A$6:$A$505),INDEX('Phản ánh'!$A$6:$A$505,ROW()-5),IF(ROW()-5-COUNTA('Phản ánh'!$A$6:$A$505)&lt;=COUNTA('Kế hoạch'!$A$6:$A$305),INDEX('Kế hoạch'!$A$6:$A$305,ROW()-5-COUNTA('Phản ánh'!$A$6:$A$505)),""))</f>
      </c>
    </row>
    <row r="334">
      <c r="P334" s="255">
        <f>IF(ROW()-5&lt;=COUNTA('Phản ánh'!$A$6:$A$505),INDEX('Phản ánh'!$A$6:$A$505,ROW()-5),IF(ROW()-5-COUNTA('Phản ánh'!$A$6:$A$505)&lt;=COUNTA('Kế hoạch'!$A$6:$A$305),INDEX('Kế hoạch'!$A$6:$A$305,ROW()-5-COUNTA('Phản ánh'!$A$6:$A$505)),""))</f>
      </c>
    </row>
    <row r="335">
      <c r="P335" s="255">
        <f>IF(ROW()-5&lt;=COUNTA('Phản ánh'!$A$6:$A$505),INDEX('Phản ánh'!$A$6:$A$505,ROW()-5),IF(ROW()-5-COUNTA('Phản ánh'!$A$6:$A$505)&lt;=COUNTA('Kế hoạch'!$A$6:$A$305),INDEX('Kế hoạch'!$A$6:$A$305,ROW()-5-COUNTA('Phản ánh'!$A$6:$A$505)),""))</f>
      </c>
    </row>
    <row r="336">
      <c r="P336" s="255">
        <f>IF(ROW()-5&lt;=COUNTA('Phản ánh'!$A$6:$A$505),INDEX('Phản ánh'!$A$6:$A$505,ROW()-5),IF(ROW()-5-COUNTA('Phản ánh'!$A$6:$A$505)&lt;=COUNTA('Kế hoạch'!$A$6:$A$305),INDEX('Kế hoạch'!$A$6:$A$305,ROW()-5-COUNTA('Phản ánh'!$A$6:$A$505)),""))</f>
      </c>
    </row>
    <row r="337">
      <c r="P337" s="255">
        <f>IF(ROW()-5&lt;=COUNTA('Phản ánh'!$A$6:$A$505),INDEX('Phản ánh'!$A$6:$A$505,ROW()-5),IF(ROW()-5-COUNTA('Phản ánh'!$A$6:$A$505)&lt;=COUNTA('Kế hoạch'!$A$6:$A$305),INDEX('Kế hoạch'!$A$6:$A$305,ROW()-5-COUNTA('Phản ánh'!$A$6:$A$505)),""))</f>
      </c>
    </row>
    <row r="338">
      <c r="P338" s="255">
        <f>IF(ROW()-5&lt;=COUNTA('Phản ánh'!$A$6:$A$505),INDEX('Phản ánh'!$A$6:$A$505,ROW()-5),IF(ROW()-5-COUNTA('Phản ánh'!$A$6:$A$505)&lt;=COUNTA('Kế hoạch'!$A$6:$A$305),INDEX('Kế hoạch'!$A$6:$A$305,ROW()-5-COUNTA('Phản ánh'!$A$6:$A$505)),""))</f>
      </c>
    </row>
    <row r="339">
      <c r="P339" s="255">
        <f>IF(ROW()-5&lt;=COUNTA('Phản ánh'!$A$6:$A$505),INDEX('Phản ánh'!$A$6:$A$505,ROW()-5),IF(ROW()-5-COUNTA('Phản ánh'!$A$6:$A$505)&lt;=COUNTA('Kế hoạch'!$A$6:$A$305),INDEX('Kế hoạch'!$A$6:$A$305,ROW()-5-COUNTA('Phản ánh'!$A$6:$A$505)),""))</f>
      </c>
    </row>
    <row r="340">
      <c r="P340" s="255">
        <f>IF(ROW()-5&lt;=COUNTA('Phản ánh'!$A$6:$A$505),INDEX('Phản ánh'!$A$6:$A$505,ROW()-5),IF(ROW()-5-COUNTA('Phản ánh'!$A$6:$A$505)&lt;=COUNTA('Kế hoạch'!$A$6:$A$305),INDEX('Kế hoạch'!$A$6:$A$305,ROW()-5-COUNTA('Phản ánh'!$A$6:$A$505)),""))</f>
      </c>
    </row>
    <row r="341">
      <c r="P341" s="255">
        <f>IF(ROW()-5&lt;=COUNTA('Phản ánh'!$A$6:$A$505),INDEX('Phản ánh'!$A$6:$A$505,ROW()-5),IF(ROW()-5-COUNTA('Phản ánh'!$A$6:$A$505)&lt;=COUNTA('Kế hoạch'!$A$6:$A$305),INDEX('Kế hoạch'!$A$6:$A$305,ROW()-5-COUNTA('Phản ánh'!$A$6:$A$505)),""))</f>
      </c>
    </row>
    <row r="342">
      <c r="P342" s="255">
        <f>IF(ROW()-5&lt;=COUNTA('Phản ánh'!$A$6:$A$505),INDEX('Phản ánh'!$A$6:$A$505,ROW()-5),IF(ROW()-5-COUNTA('Phản ánh'!$A$6:$A$505)&lt;=COUNTA('Kế hoạch'!$A$6:$A$305),INDEX('Kế hoạch'!$A$6:$A$305,ROW()-5-COUNTA('Phản ánh'!$A$6:$A$505)),""))</f>
      </c>
    </row>
    <row r="343">
      <c r="P343" s="255">
        <f>IF(ROW()-5&lt;=COUNTA('Phản ánh'!$A$6:$A$505),INDEX('Phản ánh'!$A$6:$A$505,ROW()-5),IF(ROW()-5-COUNTA('Phản ánh'!$A$6:$A$505)&lt;=COUNTA('Kế hoạch'!$A$6:$A$305),INDEX('Kế hoạch'!$A$6:$A$305,ROW()-5-COUNTA('Phản ánh'!$A$6:$A$505)),""))</f>
      </c>
    </row>
    <row r="344">
      <c r="P344" s="255">
        <f>IF(ROW()-5&lt;=COUNTA('Phản ánh'!$A$6:$A$505),INDEX('Phản ánh'!$A$6:$A$505,ROW()-5),IF(ROW()-5-COUNTA('Phản ánh'!$A$6:$A$505)&lt;=COUNTA('Kế hoạch'!$A$6:$A$305),INDEX('Kế hoạch'!$A$6:$A$305,ROW()-5-COUNTA('Phản ánh'!$A$6:$A$505)),""))</f>
      </c>
    </row>
    <row r="345">
      <c r="P345" s="255">
        <f>IF(ROW()-5&lt;=COUNTA('Phản ánh'!$A$6:$A$505),INDEX('Phản ánh'!$A$6:$A$505,ROW()-5),IF(ROW()-5-COUNTA('Phản ánh'!$A$6:$A$505)&lt;=COUNTA('Kế hoạch'!$A$6:$A$305),INDEX('Kế hoạch'!$A$6:$A$305,ROW()-5-COUNTA('Phản ánh'!$A$6:$A$505)),""))</f>
      </c>
    </row>
    <row r="346">
      <c r="P346" s="255">
        <f>IF(ROW()-5&lt;=COUNTA('Phản ánh'!$A$6:$A$505),INDEX('Phản ánh'!$A$6:$A$505,ROW()-5),IF(ROW()-5-COUNTA('Phản ánh'!$A$6:$A$505)&lt;=COUNTA('Kế hoạch'!$A$6:$A$305),INDEX('Kế hoạch'!$A$6:$A$305,ROW()-5-COUNTA('Phản ánh'!$A$6:$A$505)),""))</f>
      </c>
    </row>
    <row r="347">
      <c r="P347" s="255">
        <f>IF(ROW()-5&lt;=COUNTA('Phản ánh'!$A$6:$A$505),INDEX('Phản ánh'!$A$6:$A$505,ROW()-5),IF(ROW()-5-COUNTA('Phản ánh'!$A$6:$A$505)&lt;=COUNTA('Kế hoạch'!$A$6:$A$305),INDEX('Kế hoạch'!$A$6:$A$305,ROW()-5-COUNTA('Phản ánh'!$A$6:$A$505)),""))</f>
      </c>
    </row>
    <row r="348">
      <c r="P348" s="255">
        <f>IF(ROW()-5&lt;=COUNTA('Phản ánh'!$A$6:$A$505),INDEX('Phản ánh'!$A$6:$A$505,ROW()-5),IF(ROW()-5-COUNTA('Phản ánh'!$A$6:$A$505)&lt;=COUNTA('Kế hoạch'!$A$6:$A$305),INDEX('Kế hoạch'!$A$6:$A$305,ROW()-5-COUNTA('Phản ánh'!$A$6:$A$505)),""))</f>
      </c>
    </row>
    <row r="349">
      <c r="P349" s="255">
        <f>IF(ROW()-5&lt;=COUNTA('Phản ánh'!$A$6:$A$505),INDEX('Phản ánh'!$A$6:$A$505,ROW()-5),IF(ROW()-5-COUNTA('Phản ánh'!$A$6:$A$505)&lt;=COUNTA('Kế hoạch'!$A$6:$A$305),INDEX('Kế hoạch'!$A$6:$A$305,ROW()-5-COUNTA('Phản ánh'!$A$6:$A$505)),""))</f>
      </c>
    </row>
    <row r="350">
      <c r="P350" s="255">
        <f>IF(ROW()-5&lt;=COUNTA('Phản ánh'!$A$6:$A$505),INDEX('Phản ánh'!$A$6:$A$505,ROW()-5),IF(ROW()-5-COUNTA('Phản ánh'!$A$6:$A$505)&lt;=COUNTA('Kế hoạch'!$A$6:$A$305),INDEX('Kế hoạch'!$A$6:$A$305,ROW()-5-COUNTA('Phản ánh'!$A$6:$A$505)),""))</f>
      </c>
    </row>
    <row r="351">
      <c r="P351" s="255">
        <f>IF(ROW()-5&lt;=COUNTA('Phản ánh'!$A$6:$A$505),INDEX('Phản ánh'!$A$6:$A$505,ROW()-5),IF(ROW()-5-COUNTA('Phản ánh'!$A$6:$A$505)&lt;=COUNTA('Kế hoạch'!$A$6:$A$305),INDEX('Kế hoạch'!$A$6:$A$305,ROW()-5-COUNTA('Phản ánh'!$A$6:$A$505)),""))</f>
      </c>
    </row>
    <row r="352">
      <c r="P352" s="255">
        <f>IF(ROW()-5&lt;=COUNTA('Phản ánh'!$A$6:$A$505),INDEX('Phản ánh'!$A$6:$A$505,ROW()-5),IF(ROW()-5-COUNTA('Phản ánh'!$A$6:$A$505)&lt;=COUNTA('Kế hoạch'!$A$6:$A$305),INDEX('Kế hoạch'!$A$6:$A$305,ROW()-5-COUNTA('Phản ánh'!$A$6:$A$505)),""))</f>
      </c>
    </row>
    <row r="353">
      <c r="P353" s="255">
        <f>IF(ROW()-5&lt;=COUNTA('Phản ánh'!$A$6:$A$505),INDEX('Phản ánh'!$A$6:$A$505,ROW()-5),IF(ROW()-5-COUNTA('Phản ánh'!$A$6:$A$505)&lt;=COUNTA('Kế hoạch'!$A$6:$A$305),INDEX('Kế hoạch'!$A$6:$A$305,ROW()-5-COUNTA('Phản ánh'!$A$6:$A$505)),""))</f>
      </c>
    </row>
    <row r="354">
      <c r="P354" s="255">
        <f>IF(ROW()-5&lt;=COUNTA('Phản ánh'!$A$6:$A$505),INDEX('Phản ánh'!$A$6:$A$505,ROW()-5),IF(ROW()-5-COUNTA('Phản ánh'!$A$6:$A$505)&lt;=COUNTA('Kế hoạch'!$A$6:$A$305),INDEX('Kế hoạch'!$A$6:$A$305,ROW()-5-COUNTA('Phản ánh'!$A$6:$A$505)),""))</f>
      </c>
    </row>
    <row r="355">
      <c r="P355" s="255">
        <f>IF(ROW()-5&lt;=COUNTA('Phản ánh'!$A$6:$A$505),INDEX('Phản ánh'!$A$6:$A$505,ROW()-5),IF(ROW()-5-COUNTA('Phản ánh'!$A$6:$A$505)&lt;=COUNTA('Kế hoạch'!$A$6:$A$305),INDEX('Kế hoạch'!$A$6:$A$305,ROW()-5-COUNTA('Phản ánh'!$A$6:$A$505)),""))</f>
      </c>
    </row>
    <row r="356">
      <c r="P356" s="255">
        <f>IF(ROW()-5&lt;=COUNTA('Phản ánh'!$A$6:$A$505),INDEX('Phản ánh'!$A$6:$A$505,ROW()-5),IF(ROW()-5-COUNTA('Phản ánh'!$A$6:$A$505)&lt;=COUNTA('Kế hoạch'!$A$6:$A$305),INDEX('Kế hoạch'!$A$6:$A$305,ROW()-5-COUNTA('Phản ánh'!$A$6:$A$505)),""))</f>
      </c>
    </row>
    <row r="357">
      <c r="P357" s="255">
        <f>IF(ROW()-5&lt;=COUNTA('Phản ánh'!$A$6:$A$505),INDEX('Phản ánh'!$A$6:$A$505,ROW()-5),IF(ROW()-5-COUNTA('Phản ánh'!$A$6:$A$505)&lt;=COUNTA('Kế hoạch'!$A$6:$A$305),INDEX('Kế hoạch'!$A$6:$A$305,ROW()-5-COUNTA('Phản ánh'!$A$6:$A$505)),""))</f>
      </c>
    </row>
    <row r="358">
      <c r="P358" s="255">
        <f>IF(ROW()-5&lt;=COUNTA('Phản ánh'!$A$6:$A$505),INDEX('Phản ánh'!$A$6:$A$505,ROW()-5),IF(ROW()-5-COUNTA('Phản ánh'!$A$6:$A$505)&lt;=COUNTA('Kế hoạch'!$A$6:$A$305),INDEX('Kế hoạch'!$A$6:$A$305,ROW()-5-COUNTA('Phản ánh'!$A$6:$A$505)),""))</f>
      </c>
    </row>
    <row r="359">
      <c r="P359" s="255">
        <f>IF(ROW()-5&lt;=COUNTA('Phản ánh'!$A$6:$A$505),INDEX('Phản ánh'!$A$6:$A$505,ROW()-5),IF(ROW()-5-COUNTA('Phản ánh'!$A$6:$A$505)&lt;=COUNTA('Kế hoạch'!$A$6:$A$305),INDEX('Kế hoạch'!$A$6:$A$305,ROW()-5-COUNTA('Phản ánh'!$A$6:$A$505)),""))</f>
      </c>
    </row>
    <row r="360">
      <c r="P360" s="255">
        <f>IF(ROW()-5&lt;=COUNTA('Phản ánh'!$A$6:$A$505),INDEX('Phản ánh'!$A$6:$A$505,ROW()-5),IF(ROW()-5-COUNTA('Phản ánh'!$A$6:$A$505)&lt;=COUNTA('Kế hoạch'!$A$6:$A$305),INDEX('Kế hoạch'!$A$6:$A$305,ROW()-5-COUNTA('Phản ánh'!$A$6:$A$505)),""))</f>
      </c>
    </row>
    <row r="361">
      <c r="P361" s="255">
        <f>IF(ROW()-5&lt;=COUNTA('Phản ánh'!$A$6:$A$505),INDEX('Phản ánh'!$A$6:$A$505,ROW()-5),IF(ROW()-5-COUNTA('Phản ánh'!$A$6:$A$505)&lt;=COUNTA('Kế hoạch'!$A$6:$A$305),INDEX('Kế hoạch'!$A$6:$A$305,ROW()-5-COUNTA('Phản ánh'!$A$6:$A$505)),""))</f>
      </c>
    </row>
    <row r="362">
      <c r="P362" s="255">
        <f>IF(ROW()-5&lt;=COUNTA('Phản ánh'!$A$6:$A$505),INDEX('Phản ánh'!$A$6:$A$505,ROW()-5),IF(ROW()-5-COUNTA('Phản ánh'!$A$6:$A$505)&lt;=COUNTA('Kế hoạch'!$A$6:$A$305),INDEX('Kế hoạch'!$A$6:$A$305,ROW()-5-COUNTA('Phản ánh'!$A$6:$A$505)),""))</f>
      </c>
    </row>
    <row r="363">
      <c r="P363" s="255">
        <f>IF(ROW()-5&lt;=COUNTA('Phản ánh'!$A$6:$A$505),INDEX('Phản ánh'!$A$6:$A$505,ROW()-5),IF(ROW()-5-COUNTA('Phản ánh'!$A$6:$A$505)&lt;=COUNTA('Kế hoạch'!$A$6:$A$305),INDEX('Kế hoạch'!$A$6:$A$305,ROW()-5-COUNTA('Phản ánh'!$A$6:$A$505)),""))</f>
      </c>
    </row>
    <row r="364">
      <c r="P364" s="255">
        <f>IF(ROW()-5&lt;=COUNTA('Phản ánh'!$A$6:$A$505),INDEX('Phản ánh'!$A$6:$A$505,ROW()-5),IF(ROW()-5-COUNTA('Phản ánh'!$A$6:$A$505)&lt;=COUNTA('Kế hoạch'!$A$6:$A$305),INDEX('Kế hoạch'!$A$6:$A$305,ROW()-5-COUNTA('Phản ánh'!$A$6:$A$505)),""))</f>
      </c>
    </row>
    <row r="365">
      <c r="P365" s="255">
        <f>IF(ROW()-5&lt;=COUNTA('Phản ánh'!$A$6:$A$505),INDEX('Phản ánh'!$A$6:$A$505,ROW()-5),IF(ROW()-5-COUNTA('Phản ánh'!$A$6:$A$505)&lt;=COUNTA('Kế hoạch'!$A$6:$A$305),INDEX('Kế hoạch'!$A$6:$A$305,ROW()-5-COUNTA('Phản ánh'!$A$6:$A$505)),""))</f>
      </c>
    </row>
    <row r="366">
      <c r="P366" s="255">
        <f>IF(ROW()-5&lt;=COUNTA('Phản ánh'!$A$6:$A$505),INDEX('Phản ánh'!$A$6:$A$505,ROW()-5),IF(ROW()-5-COUNTA('Phản ánh'!$A$6:$A$505)&lt;=COUNTA('Kế hoạch'!$A$6:$A$305),INDEX('Kế hoạch'!$A$6:$A$305,ROW()-5-COUNTA('Phản ánh'!$A$6:$A$505)),""))</f>
      </c>
    </row>
    <row r="367">
      <c r="P367" s="255">
        <f>IF(ROW()-5&lt;=COUNTA('Phản ánh'!$A$6:$A$505),INDEX('Phản ánh'!$A$6:$A$505,ROW()-5),IF(ROW()-5-COUNTA('Phản ánh'!$A$6:$A$505)&lt;=COUNTA('Kế hoạch'!$A$6:$A$305),INDEX('Kế hoạch'!$A$6:$A$305,ROW()-5-COUNTA('Phản ánh'!$A$6:$A$505)),""))</f>
      </c>
    </row>
    <row r="368">
      <c r="P368" s="255">
        <f>IF(ROW()-5&lt;=COUNTA('Phản ánh'!$A$6:$A$505),INDEX('Phản ánh'!$A$6:$A$505,ROW()-5),IF(ROW()-5-COUNTA('Phản ánh'!$A$6:$A$505)&lt;=COUNTA('Kế hoạch'!$A$6:$A$305),INDEX('Kế hoạch'!$A$6:$A$305,ROW()-5-COUNTA('Phản ánh'!$A$6:$A$505)),""))</f>
      </c>
    </row>
    <row r="369">
      <c r="P369" s="255">
        <f>IF(ROW()-5&lt;=COUNTA('Phản ánh'!$A$6:$A$505),INDEX('Phản ánh'!$A$6:$A$505,ROW()-5),IF(ROW()-5-COUNTA('Phản ánh'!$A$6:$A$505)&lt;=COUNTA('Kế hoạch'!$A$6:$A$305),INDEX('Kế hoạch'!$A$6:$A$305,ROW()-5-COUNTA('Phản ánh'!$A$6:$A$505)),""))</f>
      </c>
    </row>
    <row r="370">
      <c r="P370" s="255">
        <f>IF(ROW()-5&lt;=COUNTA('Phản ánh'!$A$6:$A$505),INDEX('Phản ánh'!$A$6:$A$505,ROW()-5),IF(ROW()-5-COUNTA('Phản ánh'!$A$6:$A$505)&lt;=COUNTA('Kế hoạch'!$A$6:$A$305),INDEX('Kế hoạch'!$A$6:$A$305,ROW()-5-COUNTA('Phản ánh'!$A$6:$A$505)),""))</f>
      </c>
    </row>
    <row r="371">
      <c r="P371" s="255">
        <f>IF(ROW()-5&lt;=COUNTA('Phản ánh'!$A$6:$A$505),INDEX('Phản ánh'!$A$6:$A$505,ROW()-5),IF(ROW()-5-COUNTA('Phản ánh'!$A$6:$A$505)&lt;=COUNTA('Kế hoạch'!$A$6:$A$305),INDEX('Kế hoạch'!$A$6:$A$305,ROW()-5-COUNTA('Phản ánh'!$A$6:$A$505)),""))</f>
      </c>
    </row>
    <row r="372">
      <c r="P372" s="255">
        <f>IF(ROW()-5&lt;=COUNTA('Phản ánh'!$A$6:$A$505),INDEX('Phản ánh'!$A$6:$A$505,ROW()-5),IF(ROW()-5-COUNTA('Phản ánh'!$A$6:$A$505)&lt;=COUNTA('Kế hoạch'!$A$6:$A$305),INDEX('Kế hoạch'!$A$6:$A$305,ROW()-5-COUNTA('Phản ánh'!$A$6:$A$505)),""))</f>
      </c>
    </row>
    <row r="373">
      <c r="P373" s="255">
        <f>IF(ROW()-5&lt;=COUNTA('Phản ánh'!$A$6:$A$505),INDEX('Phản ánh'!$A$6:$A$505,ROW()-5),IF(ROW()-5-COUNTA('Phản ánh'!$A$6:$A$505)&lt;=COUNTA('Kế hoạch'!$A$6:$A$305),INDEX('Kế hoạch'!$A$6:$A$305,ROW()-5-COUNTA('Phản ánh'!$A$6:$A$505)),""))</f>
      </c>
    </row>
    <row r="374">
      <c r="P374" s="255">
        <f>IF(ROW()-5&lt;=COUNTA('Phản ánh'!$A$6:$A$505),INDEX('Phản ánh'!$A$6:$A$505,ROW()-5),IF(ROW()-5-COUNTA('Phản ánh'!$A$6:$A$505)&lt;=COUNTA('Kế hoạch'!$A$6:$A$305),INDEX('Kế hoạch'!$A$6:$A$305,ROW()-5-COUNTA('Phản ánh'!$A$6:$A$505)),""))</f>
      </c>
    </row>
    <row r="375">
      <c r="P375" s="255">
        <f>IF(ROW()-5&lt;=COUNTA('Phản ánh'!$A$6:$A$505),INDEX('Phản ánh'!$A$6:$A$505,ROW()-5),IF(ROW()-5-COUNTA('Phản ánh'!$A$6:$A$505)&lt;=COUNTA('Kế hoạch'!$A$6:$A$305),INDEX('Kế hoạch'!$A$6:$A$305,ROW()-5-COUNTA('Phản ánh'!$A$6:$A$505)),""))</f>
      </c>
    </row>
    <row r="376">
      <c r="P376" s="255">
        <f>IF(ROW()-5&lt;=COUNTA('Phản ánh'!$A$6:$A$505),INDEX('Phản ánh'!$A$6:$A$505,ROW()-5),IF(ROW()-5-COUNTA('Phản ánh'!$A$6:$A$505)&lt;=COUNTA('Kế hoạch'!$A$6:$A$305),INDEX('Kế hoạch'!$A$6:$A$305,ROW()-5-COUNTA('Phản ánh'!$A$6:$A$505)),""))</f>
      </c>
    </row>
    <row r="377">
      <c r="P377" s="255">
        <f>IF(ROW()-5&lt;=COUNTA('Phản ánh'!$A$6:$A$505),INDEX('Phản ánh'!$A$6:$A$505,ROW()-5),IF(ROW()-5-COUNTA('Phản ánh'!$A$6:$A$505)&lt;=COUNTA('Kế hoạch'!$A$6:$A$305),INDEX('Kế hoạch'!$A$6:$A$305,ROW()-5-COUNTA('Phản ánh'!$A$6:$A$505)),""))</f>
      </c>
    </row>
    <row r="378">
      <c r="P378" s="255">
        <f>IF(ROW()-5&lt;=COUNTA('Phản ánh'!$A$6:$A$505),INDEX('Phản ánh'!$A$6:$A$505,ROW()-5),IF(ROW()-5-COUNTA('Phản ánh'!$A$6:$A$505)&lt;=COUNTA('Kế hoạch'!$A$6:$A$305),INDEX('Kế hoạch'!$A$6:$A$305,ROW()-5-COUNTA('Phản ánh'!$A$6:$A$505)),""))</f>
      </c>
    </row>
    <row r="379">
      <c r="P379" s="255">
        <f>IF(ROW()-5&lt;=COUNTA('Phản ánh'!$A$6:$A$505),INDEX('Phản ánh'!$A$6:$A$505,ROW()-5),IF(ROW()-5-COUNTA('Phản ánh'!$A$6:$A$505)&lt;=COUNTA('Kế hoạch'!$A$6:$A$305),INDEX('Kế hoạch'!$A$6:$A$305,ROW()-5-COUNTA('Phản ánh'!$A$6:$A$505)),""))</f>
      </c>
    </row>
    <row r="380">
      <c r="P380" s="255">
        <f>IF(ROW()-5&lt;=COUNTA('Phản ánh'!$A$6:$A$505),INDEX('Phản ánh'!$A$6:$A$505,ROW()-5),IF(ROW()-5-COUNTA('Phản ánh'!$A$6:$A$505)&lt;=COUNTA('Kế hoạch'!$A$6:$A$305),INDEX('Kế hoạch'!$A$6:$A$305,ROW()-5-COUNTA('Phản ánh'!$A$6:$A$505)),""))</f>
      </c>
    </row>
    <row r="381">
      <c r="P381" s="255">
        <f>IF(ROW()-5&lt;=COUNTA('Phản ánh'!$A$6:$A$505),INDEX('Phản ánh'!$A$6:$A$505,ROW()-5),IF(ROW()-5-COUNTA('Phản ánh'!$A$6:$A$505)&lt;=COUNTA('Kế hoạch'!$A$6:$A$305),INDEX('Kế hoạch'!$A$6:$A$305,ROW()-5-COUNTA('Phản ánh'!$A$6:$A$505)),""))</f>
      </c>
    </row>
    <row r="382">
      <c r="P382" s="255">
        <f>IF(ROW()-5&lt;=COUNTA('Phản ánh'!$A$6:$A$505),INDEX('Phản ánh'!$A$6:$A$505,ROW()-5),IF(ROW()-5-COUNTA('Phản ánh'!$A$6:$A$505)&lt;=COUNTA('Kế hoạch'!$A$6:$A$305),INDEX('Kế hoạch'!$A$6:$A$305,ROW()-5-COUNTA('Phản ánh'!$A$6:$A$505)),""))</f>
      </c>
    </row>
    <row r="383">
      <c r="P383" s="255">
        <f>IF(ROW()-5&lt;=COUNTA('Phản ánh'!$A$6:$A$505),INDEX('Phản ánh'!$A$6:$A$505,ROW()-5),IF(ROW()-5-COUNTA('Phản ánh'!$A$6:$A$505)&lt;=COUNTA('Kế hoạch'!$A$6:$A$305),INDEX('Kế hoạch'!$A$6:$A$305,ROW()-5-COUNTA('Phản ánh'!$A$6:$A$505)),""))</f>
      </c>
    </row>
    <row r="384">
      <c r="P384" s="255">
        <f>IF(ROW()-5&lt;=COUNTA('Phản ánh'!$A$6:$A$505),INDEX('Phản ánh'!$A$6:$A$505,ROW()-5),IF(ROW()-5-COUNTA('Phản ánh'!$A$6:$A$505)&lt;=COUNTA('Kế hoạch'!$A$6:$A$305),INDEX('Kế hoạch'!$A$6:$A$305,ROW()-5-COUNTA('Phản ánh'!$A$6:$A$505)),""))</f>
      </c>
    </row>
    <row r="385">
      <c r="P385" s="255">
        <f>IF(ROW()-5&lt;=COUNTA('Phản ánh'!$A$6:$A$505),INDEX('Phản ánh'!$A$6:$A$505,ROW()-5),IF(ROW()-5-COUNTA('Phản ánh'!$A$6:$A$505)&lt;=COUNTA('Kế hoạch'!$A$6:$A$305),INDEX('Kế hoạch'!$A$6:$A$305,ROW()-5-COUNTA('Phản ánh'!$A$6:$A$505)),""))</f>
      </c>
    </row>
    <row r="386">
      <c r="P386" s="255">
        <f>IF(ROW()-5&lt;=COUNTA('Phản ánh'!$A$6:$A$505),INDEX('Phản ánh'!$A$6:$A$505,ROW()-5),IF(ROW()-5-COUNTA('Phản ánh'!$A$6:$A$505)&lt;=COUNTA('Kế hoạch'!$A$6:$A$305),INDEX('Kế hoạch'!$A$6:$A$305,ROW()-5-COUNTA('Phản ánh'!$A$6:$A$505)),""))</f>
      </c>
    </row>
    <row r="387">
      <c r="P387" s="255">
        <f>IF(ROW()-5&lt;=COUNTA('Phản ánh'!$A$6:$A$505),INDEX('Phản ánh'!$A$6:$A$505,ROW()-5),IF(ROW()-5-COUNTA('Phản ánh'!$A$6:$A$505)&lt;=COUNTA('Kế hoạch'!$A$6:$A$305),INDEX('Kế hoạch'!$A$6:$A$305,ROW()-5-COUNTA('Phản ánh'!$A$6:$A$505)),""))</f>
      </c>
    </row>
    <row r="388">
      <c r="P388" s="255">
        <f>IF(ROW()-5&lt;=COUNTA('Phản ánh'!$A$6:$A$505),INDEX('Phản ánh'!$A$6:$A$505,ROW()-5),IF(ROW()-5-COUNTA('Phản ánh'!$A$6:$A$505)&lt;=COUNTA('Kế hoạch'!$A$6:$A$305),INDEX('Kế hoạch'!$A$6:$A$305,ROW()-5-COUNTA('Phản ánh'!$A$6:$A$505)),""))</f>
      </c>
    </row>
    <row r="389">
      <c r="P389" s="255">
        <f>IF(ROW()-5&lt;=COUNTA('Phản ánh'!$A$6:$A$505),INDEX('Phản ánh'!$A$6:$A$505,ROW()-5),IF(ROW()-5-COUNTA('Phản ánh'!$A$6:$A$505)&lt;=COUNTA('Kế hoạch'!$A$6:$A$305),INDEX('Kế hoạch'!$A$6:$A$305,ROW()-5-COUNTA('Phản ánh'!$A$6:$A$505)),""))</f>
      </c>
    </row>
    <row r="390">
      <c r="P390" s="255">
        <f>IF(ROW()-5&lt;=COUNTA('Phản ánh'!$A$6:$A$505),INDEX('Phản ánh'!$A$6:$A$505,ROW()-5),IF(ROW()-5-COUNTA('Phản ánh'!$A$6:$A$505)&lt;=COUNTA('Kế hoạch'!$A$6:$A$305),INDEX('Kế hoạch'!$A$6:$A$305,ROW()-5-COUNTA('Phản ánh'!$A$6:$A$505)),""))</f>
      </c>
    </row>
    <row r="391">
      <c r="P391" s="255">
        <f>IF(ROW()-5&lt;=COUNTA('Phản ánh'!$A$6:$A$505),INDEX('Phản ánh'!$A$6:$A$505,ROW()-5),IF(ROW()-5-COUNTA('Phản ánh'!$A$6:$A$505)&lt;=COUNTA('Kế hoạch'!$A$6:$A$305),INDEX('Kế hoạch'!$A$6:$A$305,ROW()-5-COUNTA('Phản ánh'!$A$6:$A$505)),""))</f>
      </c>
    </row>
    <row r="392">
      <c r="P392" s="255">
        <f>IF(ROW()-5&lt;=COUNTA('Phản ánh'!$A$6:$A$505),INDEX('Phản ánh'!$A$6:$A$505,ROW()-5),IF(ROW()-5-COUNTA('Phản ánh'!$A$6:$A$505)&lt;=COUNTA('Kế hoạch'!$A$6:$A$305),INDEX('Kế hoạch'!$A$6:$A$305,ROW()-5-COUNTA('Phản ánh'!$A$6:$A$505)),""))</f>
      </c>
    </row>
    <row r="393">
      <c r="P393" s="255">
        <f>IF(ROW()-5&lt;=COUNTA('Phản ánh'!$A$6:$A$505),INDEX('Phản ánh'!$A$6:$A$505,ROW()-5),IF(ROW()-5-COUNTA('Phản ánh'!$A$6:$A$505)&lt;=COUNTA('Kế hoạch'!$A$6:$A$305),INDEX('Kế hoạch'!$A$6:$A$305,ROW()-5-COUNTA('Phản ánh'!$A$6:$A$505)),""))</f>
      </c>
    </row>
    <row r="394">
      <c r="P394" s="255">
        <f>IF(ROW()-5&lt;=COUNTA('Phản ánh'!$A$6:$A$505),INDEX('Phản ánh'!$A$6:$A$505,ROW()-5),IF(ROW()-5-COUNTA('Phản ánh'!$A$6:$A$505)&lt;=COUNTA('Kế hoạch'!$A$6:$A$305),INDEX('Kế hoạch'!$A$6:$A$305,ROW()-5-COUNTA('Phản ánh'!$A$6:$A$505)),""))</f>
      </c>
    </row>
    <row r="395">
      <c r="P395" s="255">
        <f>IF(ROW()-5&lt;=COUNTA('Phản ánh'!$A$6:$A$505),INDEX('Phản ánh'!$A$6:$A$505,ROW()-5),IF(ROW()-5-COUNTA('Phản ánh'!$A$6:$A$505)&lt;=COUNTA('Kế hoạch'!$A$6:$A$305),INDEX('Kế hoạch'!$A$6:$A$305,ROW()-5-COUNTA('Phản ánh'!$A$6:$A$505)),""))</f>
      </c>
    </row>
    <row r="396">
      <c r="P396" s="255">
        <f>IF(ROW()-5&lt;=COUNTA('Phản ánh'!$A$6:$A$505),INDEX('Phản ánh'!$A$6:$A$505,ROW()-5),IF(ROW()-5-COUNTA('Phản ánh'!$A$6:$A$505)&lt;=COUNTA('Kế hoạch'!$A$6:$A$305),INDEX('Kế hoạch'!$A$6:$A$305,ROW()-5-COUNTA('Phản ánh'!$A$6:$A$505)),""))</f>
      </c>
    </row>
    <row r="397">
      <c r="P397" s="255">
        <f>IF(ROW()-5&lt;=COUNTA('Phản ánh'!$A$6:$A$505),INDEX('Phản ánh'!$A$6:$A$505,ROW()-5),IF(ROW()-5-COUNTA('Phản ánh'!$A$6:$A$505)&lt;=COUNTA('Kế hoạch'!$A$6:$A$305),INDEX('Kế hoạch'!$A$6:$A$305,ROW()-5-COUNTA('Phản ánh'!$A$6:$A$505)),""))</f>
      </c>
    </row>
    <row r="398">
      <c r="P398" s="255">
        <f>IF(ROW()-5&lt;=COUNTA('Phản ánh'!$A$6:$A$505),INDEX('Phản ánh'!$A$6:$A$505,ROW()-5),IF(ROW()-5-COUNTA('Phản ánh'!$A$6:$A$505)&lt;=COUNTA('Kế hoạch'!$A$6:$A$305),INDEX('Kế hoạch'!$A$6:$A$305,ROW()-5-COUNTA('Phản ánh'!$A$6:$A$505)),""))</f>
      </c>
    </row>
    <row r="399">
      <c r="P399" s="255">
        <f>IF(ROW()-5&lt;=COUNTA('Phản ánh'!$A$6:$A$505),INDEX('Phản ánh'!$A$6:$A$505,ROW()-5),IF(ROW()-5-COUNTA('Phản ánh'!$A$6:$A$505)&lt;=COUNTA('Kế hoạch'!$A$6:$A$305),INDEX('Kế hoạch'!$A$6:$A$305,ROW()-5-COUNTA('Phản ánh'!$A$6:$A$505)),""))</f>
      </c>
    </row>
    <row r="400">
      <c r="P400" s="255">
        <f>IF(ROW()-5&lt;=COUNTA('Phản ánh'!$A$6:$A$505),INDEX('Phản ánh'!$A$6:$A$505,ROW()-5),IF(ROW()-5-COUNTA('Phản ánh'!$A$6:$A$505)&lt;=COUNTA('Kế hoạch'!$A$6:$A$305),INDEX('Kế hoạch'!$A$6:$A$305,ROW()-5-COUNTA('Phản ánh'!$A$6:$A$505)),""))</f>
      </c>
    </row>
    <row r="401">
      <c r="P401" s="255">
        <f>IF(ROW()-5&lt;=COUNTA('Phản ánh'!$A$6:$A$505),INDEX('Phản ánh'!$A$6:$A$505,ROW()-5),IF(ROW()-5-COUNTA('Phản ánh'!$A$6:$A$505)&lt;=COUNTA('Kế hoạch'!$A$6:$A$305),INDEX('Kế hoạch'!$A$6:$A$305,ROW()-5-COUNTA('Phản ánh'!$A$6:$A$505)),""))</f>
      </c>
    </row>
    <row r="402">
      <c r="P402" s="255">
        <f>IF(ROW()-5&lt;=COUNTA('Phản ánh'!$A$6:$A$505),INDEX('Phản ánh'!$A$6:$A$505,ROW()-5),IF(ROW()-5-COUNTA('Phản ánh'!$A$6:$A$505)&lt;=COUNTA('Kế hoạch'!$A$6:$A$305),INDEX('Kế hoạch'!$A$6:$A$305,ROW()-5-COUNTA('Phản ánh'!$A$6:$A$505)),""))</f>
      </c>
    </row>
    <row r="403">
      <c r="P403" s="255">
        <f>IF(ROW()-5&lt;=COUNTA('Phản ánh'!$A$6:$A$505),INDEX('Phản ánh'!$A$6:$A$505,ROW()-5),IF(ROW()-5-COUNTA('Phản ánh'!$A$6:$A$505)&lt;=COUNTA('Kế hoạch'!$A$6:$A$305),INDEX('Kế hoạch'!$A$6:$A$305,ROW()-5-COUNTA('Phản ánh'!$A$6:$A$505)),""))</f>
      </c>
    </row>
    <row r="404">
      <c r="P404" s="255">
        <f>IF(ROW()-5&lt;=COUNTA('Phản ánh'!$A$6:$A$505),INDEX('Phản ánh'!$A$6:$A$505,ROW()-5),IF(ROW()-5-COUNTA('Phản ánh'!$A$6:$A$505)&lt;=COUNTA('Kế hoạch'!$A$6:$A$305),INDEX('Kế hoạch'!$A$6:$A$305,ROW()-5-COUNTA('Phản ánh'!$A$6:$A$505)),""))</f>
      </c>
    </row>
    <row r="405">
      <c r="P405" s="255">
        <f>IF(ROW()-5&lt;=COUNTA('Phản ánh'!$A$6:$A$505),INDEX('Phản ánh'!$A$6:$A$505,ROW()-5),IF(ROW()-5-COUNTA('Phản ánh'!$A$6:$A$505)&lt;=COUNTA('Kế hoạch'!$A$6:$A$305),INDEX('Kế hoạch'!$A$6:$A$305,ROW()-5-COUNTA('Phản ánh'!$A$6:$A$505)),""))</f>
      </c>
    </row>
    <row r="406">
      <c r="P406" s="255">
        <f>IF(ROW()-5&lt;=COUNTA('Phản ánh'!$A$6:$A$505),INDEX('Phản ánh'!$A$6:$A$505,ROW()-5),IF(ROW()-5-COUNTA('Phản ánh'!$A$6:$A$505)&lt;=COUNTA('Kế hoạch'!$A$6:$A$305),INDEX('Kế hoạch'!$A$6:$A$305,ROW()-5-COUNTA('Phản ánh'!$A$6:$A$505)),""))</f>
      </c>
    </row>
    <row r="407">
      <c r="P407" s="255">
        <f>IF(ROW()-5&lt;=COUNTA('Phản ánh'!$A$6:$A$505),INDEX('Phản ánh'!$A$6:$A$505,ROW()-5),IF(ROW()-5-COUNTA('Phản ánh'!$A$6:$A$505)&lt;=COUNTA('Kế hoạch'!$A$6:$A$305),INDEX('Kế hoạch'!$A$6:$A$305,ROW()-5-COUNTA('Phản ánh'!$A$6:$A$505)),""))</f>
      </c>
    </row>
    <row r="408">
      <c r="P408" s="255">
        <f>IF(ROW()-5&lt;=COUNTA('Phản ánh'!$A$6:$A$505),INDEX('Phản ánh'!$A$6:$A$505,ROW()-5),IF(ROW()-5-COUNTA('Phản ánh'!$A$6:$A$505)&lt;=COUNTA('Kế hoạch'!$A$6:$A$305),INDEX('Kế hoạch'!$A$6:$A$305,ROW()-5-COUNTA('Phản ánh'!$A$6:$A$505)),""))</f>
      </c>
    </row>
    <row r="409">
      <c r="P409" s="255">
        <f>IF(ROW()-5&lt;=COUNTA('Phản ánh'!$A$6:$A$505),INDEX('Phản ánh'!$A$6:$A$505,ROW()-5),IF(ROW()-5-COUNTA('Phản ánh'!$A$6:$A$505)&lt;=COUNTA('Kế hoạch'!$A$6:$A$305),INDEX('Kế hoạch'!$A$6:$A$305,ROW()-5-COUNTA('Phản ánh'!$A$6:$A$505)),""))</f>
      </c>
    </row>
    <row r="410">
      <c r="P410" s="255">
        <f>IF(ROW()-5&lt;=COUNTA('Phản ánh'!$A$6:$A$505),INDEX('Phản ánh'!$A$6:$A$505,ROW()-5),IF(ROW()-5-COUNTA('Phản ánh'!$A$6:$A$505)&lt;=COUNTA('Kế hoạch'!$A$6:$A$305),INDEX('Kế hoạch'!$A$6:$A$305,ROW()-5-COUNTA('Phản ánh'!$A$6:$A$505)),""))</f>
      </c>
    </row>
    <row r="411">
      <c r="P411" s="255">
        <f>IF(ROW()-5&lt;=COUNTA('Phản ánh'!$A$6:$A$505),INDEX('Phản ánh'!$A$6:$A$505,ROW()-5),IF(ROW()-5-COUNTA('Phản ánh'!$A$6:$A$505)&lt;=COUNTA('Kế hoạch'!$A$6:$A$305),INDEX('Kế hoạch'!$A$6:$A$305,ROW()-5-COUNTA('Phản ánh'!$A$6:$A$505)),""))</f>
      </c>
    </row>
    <row r="412">
      <c r="P412" s="255">
        <f>IF(ROW()-5&lt;=COUNTA('Phản ánh'!$A$6:$A$505),INDEX('Phản ánh'!$A$6:$A$505,ROW()-5),IF(ROW()-5-COUNTA('Phản ánh'!$A$6:$A$505)&lt;=COUNTA('Kế hoạch'!$A$6:$A$305),INDEX('Kế hoạch'!$A$6:$A$305,ROW()-5-COUNTA('Phản ánh'!$A$6:$A$505)),""))</f>
      </c>
    </row>
    <row r="413">
      <c r="P413" s="255">
        <f>IF(ROW()-5&lt;=COUNTA('Phản ánh'!$A$6:$A$505),INDEX('Phản ánh'!$A$6:$A$505,ROW()-5),IF(ROW()-5-COUNTA('Phản ánh'!$A$6:$A$505)&lt;=COUNTA('Kế hoạch'!$A$6:$A$305),INDEX('Kế hoạch'!$A$6:$A$305,ROW()-5-COUNTA('Phản ánh'!$A$6:$A$505)),""))</f>
      </c>
    </row>
    <row r="414">
      <c r="P414" s="255">
        <f>IF(ROW()-5&lt;=COUNTA('Phản ánh'!$A$6:$A$505),INDEX('Phản ánh'!$A$6:$A$505,ROW()-5),IF(ROW()-5-COUNTA('Phản ánh'!$A$6:$A$505)&lt;=COUNTA('Kế hoạch'!$A$6:$A$305),INDEX('Kế hoạch'!$A$6:$A$305,ROW()-5-COUNTA('Phản ánh'!$A$6:$A$505)),""))</f>
      </c>
    </row>
    <row r="415">
      <c r="P415" s="255">
        <f>IF(ROW()-5&lt;=COUNTA('Phản ánh'!$A$6:$A$505),INDEX('Phản ánh'!$A$6:$A$505,ROW()-5),IF(ROW()-5-COUNTA('Phản ánh'!$A$6:$A$505)&lt;=COUNTA('Kế hoạch'!$A$6:$A$305),INDEX('Kế hoạch'!$A$6:$A$305,ROW()-5-COUNTA('Phản ánh'!$A$6:$A$505)),""))</f>
      </c>
    </row>
    <row r="416">
      <c r="P416" s="255">
        <f>IF(ROW()-5&lt;=COUNTA('Phản ánh'!$A$6:$A$505),INDEX('Phản ánh'!$A$6:$A$505,ROW()-5),IF(ROW()-5-COUNTA('Phản ánh'!$A$6:$A$505)&lt;=COUNTA('Kế hoạch'!$A$6:$A$305),INDEX('Kế hoạch'!$A$6:$A$305,ROW()-5-COUNTA('Phản ánh'!$A$6:$A$505)),""))</f>
      </c>
    </row>
    <row r="417">
      <c r="P417" s="255">
        <f>IF(ROW()-5&lt;=COUNTA('Phản ánh'!$A$6:$A$505),INDEX('Phản ánh'!$A$6:$A$505,ROW()-5),IF(ROW()-5-COUNTA('Phản ánh'!$A$6:$A$505)&lt;=COUNTA('Kế hoạch'!$A$6:$A$305),INDEX('Kế hoạch'!$A$6:$A$305,ROW()-5-COUNTA('Phản ánh'!$A$6:$A$505)),""))</f>
      </c>
    </row>
    <row r="418">
      <c r="P418" s="255">
        <f>IF(ROW()-5&lt;=COUNTA('Phản ánh'!$A$6:$A$505),INDEX('Phản ánh'!$A$6:$A$505,ROW()-5),IF(ROW()-5-COUNTA('Phản ánh'!$A$6:$A$505)&lt;=COUNTA('Kế hoạch'!$A$6:$A$305),INDEX('Kế hoạch'!$A$6:$A$305,ROW()-5-COUNTA('Phản ánh'!$A$6:$A$505)),""))</f>
      </c>
    </row>
    <row r="419">
      <c r="P419" s="255">
        <f>IF(ROW()-5&lt;=COUNTA('Phản ánh'!$A$6:$A$505),INDEX('Phản ánh'!$A$6:$A$505,ROW()-5),IF(ROW()-5-COUNTA('Phản ánh'!$A$6:$A$505)&lt;=COUNTA('Kế hoạch'!$A$6:$A$305),INDEX('Kế hoạch'!$A$6:$A$305,ROW()-5-COUNTA('Phản ánh'!$A$6:$A$505)),""))</f>
      </c>
    </row>
    <row r="420">
      <c r="P420" s="255">
        <f>IF(ROW()-5&lt;=COUNTA('Phản ánh'!$A$6:$A$505),INDEX('Phản ánh'!$A$6:$A$505,ROW()-5),IF(ROW()-5-COUNTA('Phản ánh'!$A$6:$A$505)&lt;=COUNTA('Kế hoạch'!$A$6:$A$305),INDEX('Kế hoạch'!$A$6:$A$305,ROW()-5-COUNTA('Phản ánh'!$A$6:$A$505)),""))</f>
      </c>
    </row>
    <row r="421">
      <c r="P421" s="255">
        <f>IF(ROW()-5&lt;=COUNTA('Phản ánh'!$A$6:$A$505),INDEX('Phản ánh'!$A$6:$A$505,ROW()-5),IF(ROW()-5-COUNTA('Phản ánh'!$A$6:$A$505)&lt;=COUNTA('Kế hoạch'!$A$6:$A$305),INDEX('Kế hoạch'!$A$6:$A$305,ROW()-5-COUNTA('Phản ánh'!$A$6:$A$505)),""))</f>
      </c>
    </row>
    <row r="422">
      <c r="P422" s="255">
        <f>IF(ROW()-5&lt;=COUNTA('Phản ánh'!$A$6:$A$505),INDEX('Phản ánh'!$A$6:$A$505,ROW()-5),IF(ROW()-5-COUNTA('Phản ánh'!$A$6:$A$505)&lt;=COUNTA('Kế hoạch'!$A$6:$A$305),INDEX('Kế hoạch'!$A$6:$A$305,ROW()-5-COUNTA('Phản ánh'!$A$6:$A$505)),""))</f>
      </c>
    </row>
    <row r="423">
      <c r="P423" s="255">
        <f>IF(ROW()-5&lt;=COUNTA('Phản ánh'!$A$6:$A$505),INDEX('Phản ánh'!$A$6:$A$505,ROW()-5),IF(ROW()-5-COUNTA('Phản ánh'!$A$6:$A$505)&lt;=COUNTA('Kế hoạch'!$A$6:$A$305),INDEX('Kế hoạch'!$A$6:$A$305,ROW()-5-COUNTA('Phản ánh'!$A$6:$A$505)),""))</f>
      </c>
    </row>
    <row r="424">
      <c r="P424" s="255">
        <f>IF(ROW()-5&lt;=COUNTA('Phản ánh'!$A$6:$A$505),INDEX('Phản ánh'!$A$6:$A$505,ROW()-5),IF(ROW()-5-COUNTA('Phản ánh'!$A$6:$A$505)&lt;=COUNTA('Kế hoạch'!$A$6:$A$305),INDEX('Kế hoạch'!$A$6:$A$305,ROW()-5-COUNTA('Phản ánh'!$A$6:$A$505)),""))</f>
      </c>
    </row>
    <row r="425">
      <c r="P425" s="255">
        <f>IF(ROW()-5&lt;=COUNTA('Phản ánh'!$A$6:$A$505),INDEX('Phản ánh'!$A$6:$A$505,ROW()-5),IF(ROW()-5-COUNTA('Phản ánh'!$A$6:$A$505)&lt;=COUNTA('Kế hoạch'!$A$6:$A$305),INDEX('Kế hoạch'!$A$6:$A$305,ROW()-5-COUNTA('Phản ánh'!$A$6:$A$505)),""))</f>
      </c>
    </row>
    <row r="426">
      <c r="P426" s="255">
        <f>IF(ROW()-5&lt;=COUNTA('Phản ánh'!$A$6:$A$505),INDEX('Phản ánh'!$A$6:$A$505,ROW()-5),IF(ROW()-5-COUNTA('Phản ánh'!$A$6:$A$505)&lt;=COUNTA('Kế hoạch'!$A$6:$A$305),INDEX('Kế hoạch'!$A$6:$A$305,ROW()-5-COUNTA('Phản ánh'!$A$6:$A$505)),""))</f>
      </c>
    </row>
    <row r="427">
      <c r="P427" s="255">
        <f>IF(ROW()-5&lt;=COUNTA('Phản ánh'!$A$6:$A$505),INDEX('Phản ánh'!$A$6:$A$505,ROW()-5),IF(ROW()-5-COUNTA('Phản ánh'!$A$6:$A$505)&lt;=COUNTA('Kế hoạch'!$A$6:$A$305),INDEX('Kế hoạch'!$A$6:$A$305,ROW()-5-COUNTA('Phản ánh'!$A$6:$A$505)),""))</f>
      </c>
    </row>
    <row r="428">
      <c r="P428" s="255">
        <f>IF(ROW()-5&lt;=COUNTA('Phản ánh'!$A$6:$A$505),INDEX('Phản ánh'!$A$6:$A$505,ROW()-5),IF(ROW()-5-COUNTA('Phản ánh'!$A$6:$A$505)&lt;=COUNTA('Kế hoạch'!$A$6:$A$305),INDEX('Kế hoạch'!$A$6:$A$305,ROW()-5-COUNTA('Phản ánh'!$A$6:$A$505)),""))</f>
      </c>
    </row>
    <row r="429">
      <c r="P429" s="255">
        <f>IF(ROW()-5&lt;=COUNTA('Phản ánh'!$A$6:$A$505),INDEX('Phản ánh'!$A$6:$A$505,ROW()-5),IF(ROW()-5-COUNTA('Phản ánh'!$A$6:$A$505)&lt;=COUNTA('Kế hoạch'!$A$6:$A$305),INDEX('Kế hoạch'!$A$6:$A$305,ROW()-5-COUNTA('Phản ánh'!$A$6:$A$505)),""))</f>
      </c>
    </row>
    <row r="430">
      <c r="P430" s="255">
        <f>IF(ROW()-5&lt;=COUNTA('Phản ánh'!$A$6:$A$505),INDEX('Phản ánh'!$A$6:$A$505,ROW()-5),IF(ROW()-5-COUNTA('Phản ánh'!$A$6:$A$505)&lt;=COUNTA('Kế hoạch'!$A$6:$A$305),INDEX('Kế hoạch'!$A$6:$A$305,ROW()-5-COUNTA('Phản ánh'!$A$6:$A$505)),""))</f>
      </c>
    </row>
    <row r="431">
      <c r="P431" s="255">
        <f>IF(ROW()-5&lt;=COUNTA('Phản ánh'!$A$6:$A$505),INDEX('Phản ánh'!$A$6:$A$505,ROW()-5),IF(ROW()-5-COUNTA('Phản ánh'!$A$6:$A$505)&lt;=COUNTA('Kế hoạch'!$A$6:$A$305),INDEX('Kế hoạch'!$A$6:$A$305,ROW()-5-COUNTA('Phản ánh'!$A$6:$A$505)),""))</f>
      </c>
    </row>
    <row r="432">
      <c r="P432" s="255">
        <f>IF(ROW()-5&lt;=COUNTA('Phản ánh'!$A$6:$A$505),INDEX('Phản ánh'!$A$6:$A$505,ROW()-5),IF(ROW()-5-COUNTA('Phản ánh'!$A$6:$A$505)&lt;=COUNTA('Kế hoạch'!$A$6:$A$305),INDEX('Kế hoạch'!$A$6:$A$305,ROW()-5-COUNTA('Phản ánh'!$A$6:$A$505)),""))</f>
      </c>
    </row>
    <row r="433">
      <c r="P433" s="255">
        <f>IF(ROW()-5&lt;=COUNTA('Phản ánh'!$A$6:$A$505),INDEX('Phản ánh'!$A$6:$A$505,ROW()-5),IF(ROW()-5-COUNTA('Phản ánh'!$A$6:$A$505)&lt;=COUNTA('Kế hoạch'!$A$6:$A$305),INDEX('Kế hoạch'!$A$6:$A$305,ROW()-5-COUNTA('Phản ánh'!$A$6:$A$505)),""))</f>
      </c>
    </row>
    <row r="434">
      <c r="P434" s="255">
        <f>IF(ROW()-5&lt;=COUNTA('Phản ánh'!$A$6:$A$505),INDEX('Phản ánh'!$A$6:$A$505,ROW()-5),IF(ROW()-5-COUNTA('Phản ánh'!$A$6:$A$505)&lt;=COUNTA('Kế hoạch'!$A$6:$A$305),INDEX('Kế hoạch'!$A$6:$A$305,ROW()-5-COUNTA('Phản ánh'!$A$6:$A$505)),""))</f>
      </c>
    </row>
    <row r="435">
      <c r="P435" s="255">
        <f>IF(ROW()-5&lt;=COUNTA('Phản ánh'!$A$6:$A$505),INDEX('Phản ánh'!$A$6:$A$505,ROW()-5),IF(ROW()-5-COUNTA('Phản ánh'!$A$6:$A$505)&lt;=COUNTA('Kế hoạch'!$A$6:$A$305),INDEX('Kế hoạch'!$A$6:$A$305,ROW()-5-COUNTA('Phản ánh'!$A$6:$A$505)),""))</f>
      </c>
    </row>
    <row r="436">
      <c r="P436" s="255">
        <f>IF(ROW()-5&lt;=COUNTA('Phản ánh'!$A$6:$A$505),INDEX('Phản ánh'!$A$6:$A$505,ROW()-5),IF(ROW()-5-COUNTA('Phản ánh'!$A$6:$A$505)&lt;=COUNTA('Kế hoạch'!$A$6:$A$305),INDEX('Kế hoạch'!$A$6:$A$305,ROW()-5-COUNTA('Phản ánh'!$A$6:$A$505)),""))</f>
      </c>
    </row>
    <row r="437">
      <c r="P437" s="255">
        <f>IF(ROW()-5&lt;=COUNTA('Phản ánh'!$A$6:$A$505),INDEX('Phản ánh'!$A$6:$A$505,ROW()-5),IF(ROW()-5-COUNTA('Phản ánh'!$A$6:$A$505)&lt;=COUNTA('Kế hoạch'!$A$6:$A$305),INDEX('Kế hoạch'!$A$6:$A$305,ROW()-5-COUNTA('Phản ánh'!$A$6:$A$505)),""))</f>
      </c>
    </row>
    <row r="438">
      <c r="P438" s="255">
        <f>IF(ROW()-5&lt;=COUNTA('Phản ánh'!$A$6:$A$505),INDEX('Phản ánh'!$A$6:$A$505,ROW()-5),IF(ROW()-5-COUNTA('Phản ánh'!$A$6:$A$505)&lt;=COUNTA('Kế hoạch'!$A$6:$A$305),INDEX('Kế hoạch'!$A$6:$A$305,ROW()-5-COUNTA('Phản ánh'!$A$6:$A$505)),""))</f>
      </c>
    </row>
    <row r="439">
      <c r="P439" s="255">
        <f>IF(ROW()-5&lt;=COUNTA('Phản ánh'!$A$6:$A$505),INDEX('Phản ánh'!$A$6:$A$505,ROW()-5),IF(ROW()-5-COUNTA('Phản ánh'!$A$6:$A$505)&lt;=COUNTA('Kế hoạch'!$A$6:$A$305),INDEX('Kế hoạch'!$A$6:$A$305,ROW()-5-COUNTA('Phản ánh'!$A$6:$A$505)),""))</f>
      </c>
    </row>
    <row r="440">
      <c r="P440" s="255">
        <f>IF(ROW()-5&lt;=COUNTA('Phản ánh'!$A$6:$A$505),INDEX('Phản ánh'!$A$6:$A$505,ROW()-5),IF(ROW()-5-COUNTA('Phản ánh'!$A$6:$A$505)&lt;=COUNTA('Kế hoạch'!$A$6:$A$305),INDEX('Kế hoạch'!$A$6:$A$305,ROW()-5-COUNTA('Phản ánh'!$A$6:$A$505)),""))</f>
      </c>
    </row>
    <row r="441">
      <c r="P441" s="255">
        <f>IF(ROW()-5&lt;=COUNTA('Phản ánh'!$A$6:$A$505),INDEX('Phản ánh'!$A$6:$A$505,ROW()-5),IF(ROW()-5-COUNTA('Phản ánh'!$A$6:$A$505)&lt;=COUNTA('Kế hoạch'!$A$6:$A$305),INDEX('Kế hoạch'!$A$6:$A$305,ROW()-5-COUNTA('Phản ánh'!$A$6:$A$505)),""))</f>
      </c>
    </row>
    <row r="442">
      <c r="P442" s="255">
        <f>IF(ROW()-5&lt;=COUNTA('Phản ánh'!$A$6:$A$505),INDEX('Phản ánh'!$A$6:$A$505,ROW()-5),IF(ROW()-5-COUNTA('Phản ánh'!$A$6:$A$505)&lt;=COUNTA('Kế hoạch'!$A$6:$A$305),INDEX('Kế hoạch'!$A$6:$A$305,ROW()-5-COUNTA('Phản ánh'!$A$6:$A$505)),""))</f>
      </c>
    </row>
    <row r="443">
      <c r="P443" s="255">
        <f>IF(ROW()-5&lt;=COUNTA('Phản ánh'!$A$6:$A$505),INDEX('Phản ánh'!$A$6:$A$505,ROW()-5),IF(ROW()-5-COUNTA('Phản ánh'!$A$6:$A$505)&lt;=COUNTA('Kế hoạch'!$A$6:$A$305),INDEX('Kế hoạch'!$A$6:$A$305,ROW()-5-COUNTA('Phản ánh'!$A$6:$A$505)),""))</f>
      </c>
    </row>
    <row r="444">
      <c r="P444" s="255">
        <f>IF(ROW()-5&lt;=COUNTA('Phản ánh'!$A$6:$A$505),INDEX('Phản ánh'!$A$6:$A$505,ROW()-5),IF(ROW()-5-COUNTA('Phản ánh'!$A$6:$A$505)&lt;=COUNTA('Kế hoạch'!$A$6:$A$305),INDEX('Kế hoạch'!$A$6:$A$305,ROW()-5-COUNTA('Phản ánh'!$A$6:$A$505)),""))</f>
      </c>
    </row>
    <row r="445">
      <c r="P445" s="255">
        <f>IF(ROW()-5&lt;=COUNTA('Phản ánh'!$A$6:$A$505),INDEX('Phản ánh'!$A$6:$A$505,ROW()-5),IF(ROW()-5-COUNTA('Phản ánh'!$A$6:$A$505)&lt;=COUNTA('Kế hoạch'!$A$6:$A$305),INDEX('Kế hoạch'!$A$6:$A$305,ROW()-5-COUNTA('Phản ánh'!$A$6:$A$505)),""))</f>
      </c>
    </row>
    <row r="446">
      <c r="P446" s="255">
        <f>IF(ROW()-5&lt;=COUNTA('Phản ánh'!$A$6:$A$505),INDEX('Phản ánh'!$A$6:$A$505,ROW()-5),IF(ROW()-5-COUNTA('Phản ánh'!$A$6:$A$505)&lt;=COUNTA('Kế hoạch'!$A$6:$A$305),INDEX('Kế hoạch'!$A$6:$A$305,ROW()-5-COUNTA('Phản ánh'!$A$6:$A$505)),""))</f>
      </c>
    </row>
    <row r="447">
      <c r="P447" s="255">
        <f>IF(ROW()-5&lt;=COUNTA('Phản ánh'!$A$6:$A$505),INDEX('Phản ánh'!$A$6:$A$505,ROW()-5),IF(ROW()-5-COUNTA('Phản ánh'!$A$6:$A$505)&lt;=COUNTA('Kế hoạch'!$A$6:$A$305),INDEX('Kế hoạch'!$A$6:$A$305,ROW()-5-COUNTA('Phản ánh'!$A$6:$A$505)),""))</f>
      </c>
    </row>
    <row r="448">
      <c r="P448" s="255">
        <f>IF(ROW()-5&lt;=COUNTA('Phản ánh'!$A$6:$A$505),INDEX('Phản ánh'!$A$6:$A$505,ROW()-5),IF(ROW()-5-COUNTA('Phản ánh'!$A$6:$A$505)&lt;=COUNTA('Kế hoạch'!$A$6:$A$305),INDEX('Kế hoạch'!$A$6:$A$305,ROW()-5-COUNTA('Phản ánh'!$A$6:$A$505)),""))</f>
      </c>
    </row>
    <row r="449">
      <c r="P449" s="255">
        <f>IF(ROW()-5&lt;=COUNTA('Phản ánh'!$A$6:$A$505),INDEX('Phản ánh'!$A$6:$A$505,ROW()-5),IF(ROW()-5-COUNTA('Phản ánh'!$A$6:$A$505)&lt;=COUNTA('Kế hoạch'!$A$6:$A$305),INDEX('Kế hoạch'!$A$6:$A$305,ROW()-5-COUNTA('Phản ánh'!$A$6:$A$505)),""))</f>
      </c>
    </row>
    <row r="450">
      <c r="P450" s="255">
        <f>IF(ROW()-5&lt;=COUNTA('Phản ánh'!$A$6:$A$505),INDEX('Phản ánh'!$A$6:$A$505,ROW()-5),IF(ROW()-5-COUNTA('Phản ánh'!$A$6:$A$505)&lt;=COUNTA('Kế hoạch'!$A$6:$A$305),INDEX('Kế hoạch'!$A$6:$A$305,ROW()-5-COUNTA('Phản ánh'!$A$6:$A$505)),""))</f>
      </c>
    </row>
    <row r="451">
      <c r="P451" s="255">
        <f>IF(ROW()-5&lt;=COUNTA('Phản ánh'!$A$6:$A$505),INDEX('Phản ánh'!$A$6:$A$505,ROW()-5),IF(ROW()-5-COUNTA('Phản ánh'!$A$6:$A$505)&lt;=COUNTA('Kế hoạch'!$A$6:$A$305),INDEX('Kế hoạch'!$A$6:$A$305,ROW()-5-COUNTA('Phản ánh'!$A$6:$A$505)),""))</f>
      </c>
    </row>
    <row r="452">
      <c r="P452" s="255">
        <f>IF(ROW()-5&lt;=COUNTA('Phản ánh'!$A$6:$A$505),INDEX('Phản ánh'!$A$6:$A$505,ROW()-5),IF(ROW()-5-COUNTA('Phản ánh'!$A$6:$A$505)&lt;=COUNTA('Kế hoạch'!$A$6:$A$305),INDEX('Kế hoạch'!$A$6:$A$305,ROW()-5-COUNTA('Phản ánh'!$A$6:$A$505)),""))</f>
      </c>
    </row>
    <row r="453">
      <c r="P453" s="255">
        <f>IF(ROW()-5&lt;=COUNTA('Phản ánh'!$A$6:$A$505),INDEX('Phản ánh'!$A$6:$A$505,ROW()-5),IF(ROW()-5-COUNTA('Phản ánh'!$A$6:$A$505)&lt;=COUNTA('Kế hoạch'!$A$6:$A$305),INDEX('Kế hoạch'!$A$6:$A$305,ROW()-5-COUNTA('Phản ánh'!$A$6:$A$505)),""))</f>
      </c>
    </row>
    <row r="454">
      <c r="P454" s="255">
        <f>IF(ROW()-5&lt;=COUNTA('Phản ánh'!$A$6:$A$505),INDEX('Phản ánh'!$A$6:$A$505,ROW()-5),IF(ROW()-5-COUNTA('Phản ánh'!$A$6:$A$505)&lt;=COUNTA('Kế hoạch'!$A$6:$A$305),INDEX('Kế hoạch'!$A$6:$A$305,ROW()-5-COUNTA('Phản ánh'!$A$6:$A$505)),""))</f>
      </c>
    </row>
    <row r="455">
      <c r="P455" s="255">
        <f>IF(ROW()-5&lt;=COUNTA('Phản ánh'!$A$6:$A$505),INDEX('Phản ánh'!$A$6:$A$505,ROW()-5),IF(ROW()-5-COUNTA('Phản ánh'!$A$6:$A$505)&lt;=COUNTA('Kế hoạch'!$A$6:$A$305),INDEX('Kế hoạch'!$A$6:$A$305,ROW()-5-COUNTA('Phản ánh'!$A$6:$A$505)),""))</f>
      </c>
    </row>
    <row r="456">
      <c r="P456" s="255">
        <f>IF(ROW()-5&lt;=COUNTA('Phản ánh'!$A$6:$A$505),INDEX('Phản ánh'!$A$6:$A$505,ROW()-5),IF(ROW()-5-COUNTA('Phản ánh'!$A$6:$A$505)&lt;=COUNTA('Kế hoạch'!$A$6:$A$305),INDEX('Kế hoạch'!$A$6:$A$305,ROW()-5-COUNTA('Phản ánh'!$A$6:$A$505)),""))</f>
      </c>
    </row>
    <row r="457">
      <c r="P457" s="255">
        <f>IF(ROW()-5&lt;=COUNTA('Phản ánh'!$A$6:$A$505),INDEX('Phản ánh'!$A$6:$A$505,ROW()-5),IF(ROW()-5-COUNTA('Phản ánh'!$A$6:$A$505)&lt;=COUNTA('Kế hoạch'!$A$6:$A$305),INDEX('Kế hoạch'!$A$6:$A$305,ROW()-5-COUNTA('Phản ánh'!$A$6:$A$505)),""))</f>
      </c>
    </row>
    <row r="458">
      <c r="P458" s="255">
        <f>IF(ROW()-5&lt;=COUNTA('Phản ánh'!$A$6:$A$505),INDEX('Phản ánh'!$A$6:$A$505,ROW()-5),IF(ROW()-5-COUNTA('Phản ánh'!$A$6:$A$505)&lt;=COUNTA('Kế hoạch'!$A$6:$A$305),INDEX('Kế hoạch'!$A$6:$A$305,ROW()-5-COUNTA('Phản ánh'!$A$6:$A$505)),""))</f>
      </c>
    </row>
    <row r="459">
      <c r="P459" s="255">
        <f>IF(ROW()-5&lt;=COUNTA('Phản ánh'!$A$6:$A$505),INDEX('Phản ánh'!$A$6:$A$505,ROW()-5),IF(ROW()-5-COUNTA('Phản ánh'!$A$6:$A$505)&lt;=COUNTA('Kế hoạch'!$A$6:$A$305),INDEX('Kế hoạch'!$A$6:$A$305,ROW()-5-COUNTA('Phản ánh'!$A$6:$A$505)),""))</f>
      </c>
    </row>
    <row r="460">
      <c r="P460" s="255">
        <f>IF(ROW()-5&lt;=COUNTA('Phản ánh'!$A$6:$A$505),INDEX('Phản ánh'!$A$6:$A$505,ROW()-5),IF(ROW()-5-COUNTA('Phản ánh'!$A$6:$A$505)&lt;=COUNTA('Kế hoạch'!$A$6:$A$305),INDEX('Kế hoạch'!$A$6:$A$305,ROW()-5-COUNTA('Phản ánh'!$A$6:$A$505)),""))</f>
      </c>
    </row>
    <row r="461">
      <c r="P461" s="255">
        <f>IF(ROW()-5&lt;=COUNTA('Phản ánh'!$A$6:$A$505),INDEX('Phản ánh'!$A$6:$A$505,ROW()-5),IF(ROW()-5-COUNTA('Phản ánh'!$A$6:$A$505)&lt;=COUNTA('Kế hoạch'!$A$6:$A$305),INDEX('Kế hoạch'!$A$6:$A$305,ROW()-5-COUNTA('Phản ánh'!$A$6:$A$505)),""))</f>
      </c>
    </row>
    <row r="462">
      <c r="P462" s="255">
        <f>IF(ROW()-5&lt;=COUNTA('Phản ánh'!$A$6:$A$505),INDEX('Phản ánh'!$A$6:$A$505,ROW()-5),IF(ROW()-5-COUNTA('Phản ánh'!$A$6:$A$505)&lt;=COUNTA('Kế hoạch'!$A$6:$A$305),INDEX('Kế hoạch'!$A$6:$A$305,ROW()-5-COUNTA('Phản ánh'!$A$6:$A$505)),""))</f>
      </c>
    </row>
    <row r="463">
      <c r="P463" s="255">
        <f>IF(ROW()-5&lt;=COUNTA('Phản ánh'!$A$6:$A$505),INDEX('Phản ánh'!$A$6:$A$505,ROW()-5),IF(ROW()-5-COUNTA('Phản ánh'!$A$6:$A$505)&lt;=COUNTA('Kế hoạch'!$A$6:$A$305),INDEX('Kế hoạch'!$A$6:$A$305,ROW()-5-COUNTA('Phản ánh'!$A$6:$A$505)),""))</f>
      </c>
    </row>
    <row r="464">
      <c r="P464" s="255">
        <f>IF(ROW()-5&lt;=COUNTA('Phản ánh'!$A$6:$A$505),INDEX('Phản ánh'!$A$6:$A$505,ROW()-5),IF(ROW()-5-COUNTA('Phản ánh'!$A$6:$A$505)&lt;=COUNTA('Kế hoạch'!$A$6:$A$305),INDEX('Kế hoạch'!$A$6:$A$305,ROW()-5-COUNTA('Phản ánh'!$A$6:$A$505)),""))</f>
      </c>
    </row>
    <row r="465">
      <c r="P465" s="255">
        <f>IF(ROW()-5&lt;=COUNTA('Phản ánh'!$A$6:$A$505),INDEX('Phản ánh'!$A$6:$A$505,ROW()-5),IF(ROW()-5-COUNTA('Phản ánh'!$A$6:$A$505)&lt;=COUNTA('Kế hoạch'!$A$6:$A$305),INDEX('Kế hoạch'!$A$6:$A$305,ROW()-5-COUNTA('Phản ánh'!$A$6:$A$505)),""))</f>
      </c>
    </row>
    <row r="466">
      <c r="P466" s="255">
        <f>IF(ROW()-5&lt;=COUNTA('Phản ánh'!$A$6:$A$505),INDEX('Phản ánh'!$A$6:$A$505,ROW()-5),IF(ROW()-5-COUNTA('Phản ánh'!$A$6:$A$505)&lt;=COUNTA('Kế hoạch'!$A$6:$A$305),INDEX('Kế hoạch'!$A$6:$A$305,ROW()-5-COUNTA('Phản ánh'!$A$6:$A$505)),""))</f>
      </c>
    </row>
    <row r="467">
      <c r="P467" s="255">
        <f>IF(ROW()-5&lt;=COUNTA('Phản ánh'!$A$6:$A$505),INDEX('Phản ánh'!$A$6:$A$505,ROW()-5),IF(ROW()-5-COUNTA('Phản ánh'!$A$6:$A$505)&lt;=COUNTA('Kế hoạch'!$A$6:$A$305),INDEX('Kế hoạch'!$A$6:$A$305,ROW()-5-COUNTA('Phản ánh'!$A$6:$A$505)),""))</f>
      </c>
    </row>
    <row r="468">
      <c r="P468" s="255">
        <f>IF(ROW()-5&lt;=COUNTA('Phản ánh'!$A$6:$A$505),INDEX('Phản ánh'!$A$6:$A$505,ROW()-5),IF(ROW()-5-COUNTA('Phản ánh'!$A$6:$A$505)&lt;=COUNTA('Kế hoạch'!$A$6:$A$305),INDEX('Kế hoạch'!$A$6:$A$305,ROW()-5-COUNTA('Phản ánh'!$A$6:$A$505)),""))</f>
      </c>
    </row>
    <row r="469">
      <c r="P469" s="255">
        <f>IF(ROW()-5&lt;=COUNTA('Phản ánh'!$A$6:$A$505),INDEX('Phản ánh'!$A$6:$A$505,ROW()-5),IF(ROW()-5-COUNTA('Phản ánh'!$A$6:$A$505)&lt;=COUNTA('Kế hoạch'!$A$6:$A$305),INDEX('Kế hoạch'!$A$6:$A$305,ROW()-5-COUNTA('Phản ánh'!$A$6:$A$505)),""))</f>
      </c>
    </row>
    <row r="470">
      <c r="P470" s="255">
        <f>IF(ROW()-5&lt;=COUNTA('Phản ánh'!$A$6:$A$505),INDEX('Phản ánh'!$A$6:$A$505,ROW()-5),IF(ROW()-5-COUNTA('Phản ánh'!$A$6:$A$505)&lt;=COUNTA('Kế hoạch'!$A$6:$A$305),INDEX('Kế hoạch'!$A$6:$A$305,ROW()-5-COUNTA('Phản ánh'!$A$6:$A$505)),""))</f>
      </c>
    </row>
    <row r="471">
      <c r="P471" s="255">
        <f>IF(ROW()-5&lt;=COUNTA('Phản ánh'!$A$6:$A$505),INDEX('Phản ánh'!$A$6:$A$505,ROW()-5),IF(ROW()-5-COUNTA('Phản ánh'!$A$6:$A$505)&lt;=COUNTA('Kế hoạch'!$A$6:$A$305),INDEX('Kế hoạch'!$A$6:$A$305,ROW()-5-COUNTA('Phản ánh'!$A$6:$A$505)),""))</f>
      </c>
    </row>
    <row r="472">
      <c r="P472" s="255">
        <f>IF(ROW()-5&lt;=COUNTA('Phản ánh'!$A$6:$A$505),INDEX('Phản ánh'!$A$6:$A$505,ROW()-5),IF(ROW()-5-COUNTA('Phản ánh'!$A$6:$A$505)&lt;=COUNTA('Kế hoạch'!$A$6:$A$305),INDEX('Kế hoạch'!$A$6:$A$305,ROW()-5-COUNTA('Phản ánh'!$A$6:$A$505)),""))</f>
      </c>
    </row>
    <row r="473">
      <c r="P473" s="255">
        <f>IF(ROW()-5&lt;=COUNTA('Phản ánh'!$A$6:$A$505),INDEX('Phản ánh'!$A$6:$A$505,ROW()-5),IF(ROW()-5-COUNTA('Phản ánh'!$A$6:$A$505)&lt;=COUNTA('Kế hoạch'!$A$6:$A$305),INDEX('Kế hoạch'!$A$6:$A$305,ROW()-5-COUNTA('Phản ánh'!$A$6:$A$505)),""))</f>
      </c>
    </row>
    <row r="474">
      <c r="P474" s="255">
        <f>IF(ROW()-5&lt;=COUNTA('Phản ánh'!$A$6:$A$505),INDEX('Phản ánh'!$A$6:$A$505,ROW()-5),IF(ROW()-5-COUNTA('Phản ánh'!$A$6:$A$505)&lt;=COUNTA('Kế hoạch'!$A$6:$A$305),INDEX('Kế hoạch'!$A$6:$A$305,ROW()-5-COUNTA('Phản ánh'!$A$6:$A$505)),""))</f>
      </c>
    </row>
    <row r="475">
      <c r="P475" s="255">
        <f>IF(ROW()-5&lt;=COUNTA('Phản ánh'!$A$6:$A$505),INDEX('Phản ánh'!$A$6:$A$505,ROW()-5),IF(ROW()-5-COUNTA('Phản ánh'!$A$6:$A$505)&lt;=COUNTA('Kế hoạch'!$A$6:$A$305),INDEX('Kế hoạch'!$A$6:$A$305,ROW()-5-COUNTA('Phản ánh'!$A$6:$A$505)),""))</f>
      </c>
    </row>
    <row r="476">
      <c r="P476" s="255">
        <f>IF(ROW()-5&lt;=COUNTA('Phản ánh'!$A$6:$A$505),INDEX('Phản ánh'!$A$6:$A$505,ROW()-5),IF(ROW()-5-COUNTA('Phản ánh'!$A$6:$A$505)&lt;=COUNTA('Kế hoạch'!$A$6:$A$305),INDEX('Kế hoạch'!$A$6:$A$305,ROW()-5-COUNTA('Phản ánh'!$A$6:$A$505)),""))</f>
      </c>
    </row>
    <row r="477">
      <c r="P477" s="255">
        <f>IF(ROW()-5&lt;=COUNTA('Phản ánh'!$A$6:$A$505),INDEX('Phản ánh'!$A$6:$A$505,ROW()-5),IF(ROW()-5-COUNTA('Phản ánh'!$A$6:$A$505)&lt;=COUNTA('Kế hoạch'!$A$6:$A$305),INDEX('Kế hoạch'!$A$6:$A$305,ROW()-5-COUNTA('Phản ánh'!$A$6:$A$505)),""))</f>
      </c>
    </row>
    <row r="478">
      <c r="P478" s="255">
        <f>IF(ROW()-5&lt;=COUNTA('Phản ánh'!$A$6:$A$505),INDEX('Phản ánh'!$A$6:$A$505,ROW()-5),IF(ROW()-5-COUNTA('Phản ánh'!$A$6:$A$505)&lt;=COUNTA('Kế hoạch'!$A$6:$A$305),INDEX('Kế hoạch'!$A$6:$A$305,ROW()-5-COUNTA('Phản ánh'!$A$6:$A$505)),""))</f>
      </c>
    </row>
    <row r="479">
      <c r="P479" s="255">
        <f>IF(ROW()-5&lt;=COUNTA('Phản ánh'!$A$6:$A$505),INDEX('Phản ánh'!$A$6:$A$505,ROW()-5),IF(ROW()-5-COUNTA('Phản ánh'!$A$6:$A$505)&lt;=COUNTA('Kế hoạch'!$A$6:$A$305),INDEX('Kế hoạch'!$A$6:$A$305,ROW()-5-COUNTA('Phản ánh'!$A$6:$A$505)),""))</f>
      </c>
    </row>
    <row r="480">
      <c r="P480" s="255">
        <f>IF(ROW()-5&lt;=COUNTA('Phản ánh'!$A$6:$A$505),INDEX('Phản ánh'!$A$6:$A$505,ROW()-5),IF(ROW()-5-COUNTA('Phản ánh'!$A$6:$A$505)&lt;=COUNTA('Kế hoạch'!$A$6:$A$305),INDEX('Kế hoạch'!$A$6:$A$305,ROW()-5-COUNTA('Phản ánh'!$A$6:$A$505)),""))</f>
      </c>
    </row>
    <row r="481">
      <c r="P481" s="255">
        <f>IF(ROW()-5&lt;=COUNTA('Phản ánh'!$A$6:$A$505),INDEX('Phản ánh'!$A$6:$A$505,ROW()-5),IF(ROW()-5-COUNTA('Phản ánh'!$A$6:$A$505)&lt;=COUNTA('Kế hoạch'!$A$6:$A$305),INDEX('Kế hoạch'!$A$6:$A$305,ROW()-5-COUNTA('Phản ánh'!$A$6:$A$505)),""))</f>
      </c>
    </row>
    <row r="482">
      <c r="P482" s="255">
        <f>IF(ROW()-5&lt;=COUNTA('Phản ánh'!$A$6:$A$505),INDEX('Phản ánh'!$A$6:$A$505,ROW()-5),IF(ROW()-5-COUNTA('Phản ánh'!$A$6:$A$505)&lt;=COUNTA('Kế hoạch'!$A$6:$A$305),INDEX('Kế hoạch'!$A$6:$A$305,ROW()-5-COUNTA('Phản ánh'!$A$6:$A$505)),""))</f>
      </c>
    </row>
    <row r="483">
      <c r="P483" s="255">
        <f>IF(ROW()-5&lt;=COUNTA('Phản ánh'!$A$6:$A$505),INDEX('Phản ánh'!$A$6:$A$505,ROW()-5),IF(ROW()-5-COUNTA('Phản ánh'!$A$6:$A$505)&lt;=COUNTA('Kế hoạch'!$A$6:$A$305),INDEX('Kế hoạch'!$A$6:$A$305,ROW()-5-COUNTA('Phản ánh'!$A$6:$A$505)),""))</f>
      </c>
    </row>
    <row r="484">
      <c r="P484" s="255">
        <f>IF(ROW()-5&lt;=COUNTA('Phản ánh'!$A$6:$A$505),INDEX('Phản ánh'!$A$6:$A$505,ROW()-5),IF(ROW()-5-COUNTA('Phản ánh'!$A$6:$A$505)&lt;=COUNTA('Kế hoạch'!$A$6:$A$305),INDEX('Kế hoạch'!$A$6:$A$305,ROW()-5-COUNTA('Phản ánh'!$A$6:$A$505)),""))</f>
      </c>
    </row>
    <row r="485">
      <c r="P485" s="255">
        <f>IF(ROW()-5&lt;=COUNTA('Phản ánh'!$A$6:$A$505),INDEX('Phản ánh'!$A$6:$A$505,ROW()-5),IF(ROW()-5-COUNTA('Phản ánh'!$A$6:$A$505)&lt;=COUNTA('Kế hoạch'!$A$6:$A$305),INDEX('Kế hoạch'!$A$6:$A$305,ROW()-5-COUNTA('Phản ánh'!$A$6:$A$505)),""))</f>
      </c>
    </row>
    <row r="486">
      <c r="P486" s="255">
        <f>IF(ROW()-5&lt;=COUNTA('Phản ánh'!$A$6:$A$505),INDEX('Phản ánh'!$A$6:$A$505,ROW()-5),IF(ROW()-5-COUNTA('Phản ánh'!$A$6:$A$505)&lt;=COUNTA('Kế hoạch'!$A$6:$A$305),INDEX('Kế hoạch'!$A$6:$A$305,ROW()-5-COUNTA('Phản ánh'!$A$6:$A$505)),""))</f>
      </c>
    </row>
    <row r="487">
      <c r="P487" s="255">
        <f>IF(ROW()-5&lt;=COUNTA('Phản ánh'!$A$6:$A$505),INDEX('Phản ánh'!$A$6:$A$505,ROW()-5),IF(ROW()-5-COUNTA('Phản ánh'!$A$6:$A$505)&lt;=COUNTA('Kế hoạch'!$A$6:$A$305),INDEX('Kế hoạch'!$A$6:$A$305,ROW()-5-COUNTA('Phản ánh'!$A$6:$A$505)),""))</f>
      </c>
    </row>
    <row r="488">
      <c r="P488" s="255">
        <f>IF(ROW()-5&lt;=COUNTA('Phản ánh'!$A$6:$A$505),INDEX('Phản ánh'!$A$6:$A$505,ROW()-5),IF(ROW()-5-COUNTA('Phản ánh'!$A$6:$A$505)&lt;=COUNTA('Kế hoạch'!$A$6:$A$305),INDEX('Kế hoạch'!$A$6:$A$305,ROW()-5-COUNTA('Phản ánh'!$A$6:$A$505)),""))</f>
      </c>
    </row>
    <row r="489">
      <c r="P489" s="255">
        <f>IF(ROW()-5&lt;=COUNTA('Phản ánh'!$A$6:$A$505),INDEX('Phản ánh'!$A$6:$A$505,ROW()-5),IF(ROW()-5-COUNTA('Phản ánh'!$A$6:$A$505)&lt;=COUNTA('Kế hoạch'!$A$6:$A$305),INDEX('Kế hoạch'!$A$6:$A$305,ROW()-5-COUNTA('Phản ánh'!$A$6:$A$505)),""))</f>
      </c>
    </row>
    <row r="490">
      <c r="P490" s="255">
        <f>IF(ROW()-5&lt;=COUNTA('Phản ánh'!$A$6:$A$505),INDEX('Phản ánh'!$A$6:$A$505,ROW()-5),IF(ROW()-5-COUNTA('Phản ánh'!$A$6:$A$505)&lt;=COUNTA('Kế hoạch'!$A$6:$A$305),INDEX('Kế hoạch'!$A$6:$A$305,ROW()-5-COUNTA('Phản ánh'!$A$6:$A$505)),""))</f>
      </c>
    </row>
    <row r="491">
      <c r="P491" s="255">
        <f>IF(ROW()-5&lt;=COUNTA('Phản ánh'!$A$6:$A$505),INDEX('Phản ánh'!$A$6:$A$505,ROW()-5),IF(ROW()-5-COUNTA('Phản ánh'!$A$6:$A$505)&lt;=COUNTA('Kế hoạch'!$A$6:$A$305),INDEX('Kế hoạch'!$A$6:$A$305,ROW()-5-COUNTA('Phản ánh'!$A$6:$A$505)),""))</f>
      </c>
    </row>
    <row r="492">
      <c r="P492" s="255">
        <f>IF(ROW()-5&lt;=COUNTA('Phản ánh'!$A$6:$A$505),INDEX('Phản ánh'!$A$6:$A$505,ROW()-5),IF(ROW()-5-COUNTA('Phản ánh'!$A$6:$A$505)&lt;=COUNTA('Kế hoạch'!$A$6:$A$305),INDEX('Kế hoạch'!$A$6:$A$305,ROW()-5-COUNTA('Phản ánh'!$A$6:$A$505)),""))</f>
      </c>
    </row>
    <row r="493">
      <c r="P493" s="255">
        <f>IF(ROW()-5&lt;=COUNTA('Phản ánh'!$A$6:$A$505),INDEX('Phản ánh'!$A$6:$A$505,ROW()-5),IF(ROW()-5-COUNTA('Phản ánh'!$A$6:$A$505)&lt;=COUNTA('Kế hoạch'!$A$6:$A$305),INDEX('Kế hoạch'!$A$6:$A$305,ROW()-5-COUNTA('Phản ánh'!$A$6:$A$505)),""))</f>
      </c>
    </row>
    <row r="494">
      <c r="P494" s="255">
        <f>IF(ROW()-5&lt;=COUNTA('Phản ánh'!$A$6:$A$505),INDEX('Phản ánh'!$A$6:$A$505,ROW()-5),IF(ROW()-5-COUNTA('Phản ánh'!$A$6:$A$505)&lt;=COUNTA('Kế hoạch'!$A$6:$A$305),INDEX('Kế hoạch'!$A$6:$A$305,ROW()-5-COUNTA('Phản ánh'!$A$6:$A$505)),""))</f>
      </c>
    </row>
    <row r="495">
      <c r="P495" s="255">
        <f>IF(ROW()-5&lt;=COUNTA('Phản ánh'!$A$6:$A$505),INDEX('Phản ánh'!$A$6:$A$505,ROW()-5),IF(ROW()-5-COUNTA('Phản ánh'!$A$6:$A$505)&lt;=COUNTA('Kế hoạch'!$A$6:$A$305),INDEX('Kế hoạch'!$A$6:$A$305,ROW()-5-COUNTA('Phản ánh'!$A$6:$A$505)),""))</f>
      </c>
    </row>
    <row r="496">
      <c r="P496" s="255">
        <f>IF(ROW()-5&lt;=COUNTA('Phản ánh'!$A$6:$A$505),INDEX('Phản ánh'!$A$6:$A$505,ROW()-5),IF(ROW()-5-COUNTA('Phản ánh'!$A$6:$A$505)&lt;=COUNTA('Kế hoạch'!$A$6:$A$305),INDEX('Kế hoạch'!$A$6:$A$305,ROW()-5-COUNTA('Phản ánh'!$A$6:$A$505)),""))</f>
      </c>
    </row>
    <row r="497">
      <c r="P497" s="255">
        <f>IF(ROW()-5&lt;=COUNTA('Phản ánh'!$A$6:$A$505),INDEX('Phản ánh'!$A$6:$A$505,ROW()-5),IF(ROW()-5-COUNTA('Phản ánh'!$A$6:$A$505)&lt;=COUNTA('Kế hoạch'!$A$6:$A$305),INDEX('Kế hoạch'!$A$6:$A$305,ROW()-5-COUNTA('Phản ánh'!$A$6:$A$505)),""))</f>
      </c>
    </row>
    <row r="498">
      <c r="P498" s="255">
        <f>IF(ROW()-5&lt;=COUNTA('Phản ánh'!$A$6:$A$505),INDEX('Phản ánh'!$A$6:$A$505,ROW()-5),IF(ROW()-5-COUNTA('Phản ánh'!$A$6:$A$505)&lt;=COUNTA('Kế hoạch'!$A$6:$A$305),INDEX('Kế hoạch'!$A$6:$A$305,ROW()-5-COUNTA('Phản ánh'!$A$6:$A$505)),""))</f>
      </c>
    </row>
    <row r="499">
      <c r="P499" s="255">
        <f>IF(ROW()-5&lt;=COUNTA('Phản ánh'!$A$6:$A$505),INDEX('Phản ánh'!$A$6:$A$505,ROW()-5),IF(ROW()-5-COUNTA('Phản ánh'!$A$6:$A$505)&lt;=COUNTA('Kế hoạch'!$A$6:$A$305),INDEX('Kế hoạch'!$A$6:$A$305,ROW()-5-COUNTA('Phản ánh'!$A$6:$A$505)),""))</f>
      </c>
    </row>
    <row r="500">
      <c r="P500" s="255">
        <f>IF(ROW()-5&lt;=COUNTA('Phản ánh'!$A$6:$A$505),INDEX('Phản ánh'!$A$6:$A$505,ROW()-5),IF(ROW()-5-COUNTA('Phản ánh'!$A$6:$A$505)&lt;=COUNTA('Kế hoạch'!$A$6:$A$305),INDEX('Kế hoạch'!$A$6:$A$305,ROW()-5-COUNTA('Phản ánh'!$A$6:$A$505)),""))</f>
      </c>
    </row>
    <row r="501">
      <c r="P501" s="255">
        <f>IF(ROW()-5&lt;=COUNTA('Phản ánh'!$A$6:$A$505),INDEX('Phản ánh'!$A$6:$A$505,ROW()-5),IF(ROW()-5-COUNTA('Phản ánh'!$A$6:$A$505)&lt;=COUNTA('Kế hoạch'!$A$6:$A$305),INDEX('Kế hoạch'!$A$6:$A$305,ROW()-5-COUNTA('Phản ánh'!$A$6:$A$505)),""))</f>
      </c>
    </row>
    <row r="502">
      <c r="P502" s="255">
        <f>IF(ROW()-5&lt;=COUNTA('Phản ánh'!$A$6:$A$505),INDEX('Phản ánh'!$A$6:$A$505,ROW()-5),IF(ROW()-5-COUNTA('Phản ánh'!$A$6:$A$505)&lt;=COUNTA('Kế hoạch'!$A$6:$A$305),INDEX('Kế hoạch'!$A$6:$A$305,ROW()-5-COUNTA('Phản ánh'!$A$6:$A$505)),""))</f>
      </c>
    </row>
    <row r="503">
      <c r="P503" s="255">
        <f>IF(ROW()-5&lt;=COUNTA('Phản ánh'!$A$6:$A$505),INDEX('Phản ánh'!$A$6:$A$505,ROW()-5),IF(ROW()-5-COUNTA('Phản ánh'!$A$6:$A$505)&lt;=COUNTA('Kế hoạch'!$A$6:$A$305),INDEX('Kế hoạch'!$A$6:$A$305,ROW()-5-COUNTA('Phản ánh'!$A$6:$A$505)),""))</f>
      </c>
    </row>
    <row r="504">
      <c r="P504" s="255">
        <f>IF(ROW()-5&lt;=COUNTA('Phản ánh'!$A$6:$A$505),INDEX('Phản ánh'!$A$6:$A$505,ROW()-5),IF(ROW()-5-COUNTA('Phản ánh'!$A$6:$A$505)&lt;=COUNTA('Kế hoạch'!$A$6:$A$305),INDEX('Kế hoạch'!$A$6:$A$305,ROW()-5-COUNTA('Phản ánh'!$A$6:$A$505)),""))</f>
      </c>
    </row>
    <row r="505">
      <c r="P505" s="255">
        <f>IF(ROW()-5&lt;=COUNTA('Phản ánh'!$A$6:$A$505),INDEX('Phản ánh'!$A$6:$A$505,ROW()-5),IF(ROW()-5-COUNTA('Phản ánh'!$A$6:$A$505)&lt;=COUNTA('Kế hoạch'!$A$6:$A$305),INDEX('Kế hoạch'!$A$6:$A$305,ROW()-5-COUNTA('Phản ánh'!$A$6:$A$505)),""))</f>
      </c>
    </row>
    <row r="506">
      <c r="P506" s="255">
        <f>IF(ROW()-5&lt;=COUNTA('Phản ánh'!$A$6:$A$505),INDEX('Phản ánh'!$A$6:$A$505,ROW()-5),IF(ROW()-5-COUNTA('Phản ánh'!$A$6:$A$505)&lt;=COUNTA('Kế hoạch'!$A$6:$A$305),INDEX('Kế hoạch'!$A$6:$A$305,ROW()-5-COUNTA('Phản ánh'!$A$6:$A$505)),""))</f>
      </c>
    </row>
    <row r="507">
      <c r="P507" s="255">
        <f>IF(ROW()-5&lt;=COUNTA('Phản ánh'!$A$6:$A$505),INDEX('Phản ánh'!$A$6:$A$505,ROW()-5),IF(ROW()-5-COUNTA('Phản ánh'!$A$6:$A$505)&lt;=COUNTA('Kế hoạch'!$A$6:$A$305),INDEX('Kế hoạch'!$A$6:$A$305,ROW()-5-COUNTA('Phản ánh'!$A$6:$A$505)),""))</f>
      </c>
    </row>
    <row r="508">
      <c r="P508" s="255">
        <f>IF(ROW()-5&lt;=COUNTA('Phản ánh'!$A$6:$A$505),INDEX('Phản ánh'!$A$6:$A$505,ROW()-5),IF(ROW()-5-COUNTA('Phản ánh'!$A$6:$A$505)&lt;=COUNTA('Kế hoạch'!$A$6:$A$305),INDEX('Kế hoạch'!$A$6:$A$305,ROW()-5-COUNTA('Phản ánh'!$A$6:$A$505)),""))</f>
      </c>
    </row>
    <row r="509">
      <c r="P509" s="255">
        <f>IF(ROW()-5&lt;=COUNTA('Phản ánh'!$A$6:$A$505),INDEX('Phản ánh'!$A$6:$A$505,ROW()-5),IF(ROW()-5-COUNTA('Phản ánh'!$A$6:$A$505)&lt;=COUNTA('Kế hoạch'!$A$6:$A$305),INDEX('Kế hoạch'!$A$6:$A$305,ROW()-5-COUNTA('Phản ánh'!$A$6:$A$505)),""))</f>
      </c>
    </row>
    <row r="510">
      <c r="P510" s="255">
        <f>IF(ROW()-5&lt;=COUNTA('Phản ánh'!$A$6:$A$505),INDEX('Phản ánh'!$A$6:$A$505,ROW()-5),IF(ROW()-5-COUNTA('Phản ánh'!$A$6:$A$505)&lt;=COUNTA('Kế hoạch'!$A$6:$A$305),INDEX('Kế hoạch'!$A$6:$A$305,ROW()-5-COUNTA('Phản ánh'!$A$6:$A$505)),""))</f>
      </c>
    </row>
    <row r="511">
      <c r="P511" s="255">
        <f>IF(ROW()-5&lt;=COUNTA('Phản ánh'!$A$6:$A$505),INDEX('Phản ánh'!$A$6:$A$505,ROW()-5),IF(ROW()-5-COUNTA('Phản ánh'!$A$6:$A$505)&lt;=COUNTA('Kế hoạch'!$A$6:$A$305),INDEX('Kế hoạch'!$A$6:$A$305,ROW()-5-COUNTA('Phản ánh'!$A$6:$A$505)),""))</f>
      </c>
    </row>
    <row r="512">
      <c r="P512" s="255">
        <f>IF(ROW()-5&lt;=COUNTA('Phản ánh'!$A$6:$A$505),INDEX('Phản ánh'!$A$6:$A$505,ROW()-5),IF(ROW()-5-COUNTA('Phản ánh'!$A$6:$A$505)&lt;=COUNTA('Kế hoạch'!$A$6:$A$305),INDEX('Kế hoạch'!$A$6:$A$305,ROW()-5-COUNTA('Phản ánh'!$A$6:$A$505)),""))</f>
      </c>
    </row>
    <row r="513">
      <c r="P513" s="255">
        <f>IF(ROW()-5&lt;=COUNTA('Phản ánh'!$A$6:$A$505),INDEX('Phản ánh'!$A$6:$A$505,ROW()-5),IF(ROW()-5-COUNTA('Phản ánh'!$A$6:$A$505)&lt;=COUNTA('Kế hoạch'!$A$6:$A$305),INDEX('Kế hoạch'!$A$6:$A$305,ROW()-5-COUNTA('Phản ánh'!$A$6:$A$505)),""))</f>
      </c>
    </row>
    <row r="514">
      <c r="P514" s="255">
        <f>IF(ROW()-5&lt;=COUNTA('Phản ánh'!$A$6:$A$505),INDEX('Phản ánh'!$A$6:$A$505,ROW()-5),IF(ROW()-5-COUNTA('Phản ánh'!$A$6:$A$505)&lt;=COUNTA('Kế hoạch'!$A$6:$A$305),INDEX('Kế hoạch'!$A$6:$A$305,ROW()-5-COUNTA('Phản ánh'!$A$6:$A$505)),""))</f>
      </c>
    </row>
    <row r="515">
      <c r="P515" s="255">
        <f>IF(ROW()-5&lt;=COUNTA('Phản ánh'!$A$6:$A$505),INDEX('Phản ánh'!$A$6:$A$505,ROW()-5),IF(ROW()-5-COUNTA('Phản ánh'!$A$6:$A$505)&lt;=COUNTA('Kế hoạch'!$A$6:$A$305),INDEX('Kế hoạch'!$A$6:$A$305,ROW()-5-COUNTA('Phản ánh'!$A$6:$A$505)),""))</f>
      </c>
    </row>
    <row r="516">
      <c r="P516" s="255">
        <f>IF(ROW()-5&lt;=COUNTA('Phản ánh'!$A$6:$A$505),INDEX('Phản ánh'!$A$6:$A$505,ROW()-5),IF(ROW()-5-COUNTA('Phản ánh'!$A$6:$A$505)&lt;=COUNTA('Kế hoạch'!$A$6:$A$305),INDEX('Kế hoạch'!$A$6:$A$305,ROW()-5-COUNTA('Phản ánh'!$A$6:$A$505)),""))</f>
      </c>
    </row>
    <row r="517">
      <c r="P517" s="255">
        <f>IF(ROW()-5&lt;=COUNTA('Phản ánh'!$A$6:$A$505),INDEX('Phản ánh'!$A$6:$A$505,ROW()-5),IF(ROW()-5-COUNTA('Phản ánh'!$A$6:$A$505)&lt;=COUNTA('Kế hoạch'!$A$6:$A$305),INDEX('Kế hoạch'!$A$6:$A$305,ROW()-5-COUNTA('Phản ánh'!$A$6:$A$505)),""))</f>
      </c>
    </row>
    <row r="518">
      <c r="P518" s="255">
        <f>IF(ROW()-5&lt;=COUNTA('Phản ánh'!$A$6:$A$505),INDEX('Phản ánh'!$A$6:$A$505,ROW()-5),IF(ROW()-5-COUNTA('Phản ánh'!$A$6:$A$505)&lt;=COUNTA('Kế hoạch'!$A$6:$A$305),INDEX('Kế hoạch'!$A$6:$A$305,ROW()-5-COUNTA('Phản ánh'!$A$6:$A$505)),""))</f>
      </c>
    </row>
    <row r="519">
      <c r="P519" s="255">
        <f>IF(ROW()-5&lt;=COUNTA('Phản ánh'!$A$6:$A$505),INDEX('Phản ánh'!$A$6:$A$505,ROW()-5),IF(ROW()-5-COUNTA('Phản ánh'!$A$6:$A$505)&lt;=COUNTA('Kế hoạch'!$A$6:$A$305),INDEX('Kế hoạch'!$A$6:$A$305,ROW()-5-COUNTA('Phản ánh'!$A$6:$A$505)),""))</f>
      </c>
    </row>
    <row r="520">
      <c r="P520" s="255">
        <f>IF(ROW()-5&lt;=COUNTA('Phản ánh'!$A$6:$A$505),INDEX('Phản ánh'!$A$6:$A$505,ROW()-5),IF(ROW()-5-COUNTA('Phản ánh'!$A$6:$A$505)&lt;=COUNTA('Kế hoạch'!$A$6:$A$305),INDEX('Kế hoạch'!$A$6:$A$305,ROW()-5-COUNTA('Phản ánh'!$A$6:$A$505)),""))</f>
      </c>
    </row>
    <row r="521">
      <c r="P521" s="255">
        <f>IF(ROW()-5&lt;=COUNTA('Phản ánh'!$A$6:$A$505),INDEX('Phản ánh'!$A$6:$A$505,ROW()-5),IF(ROW()-5-COUNTA('Phản ánh'!$A$6:$A$505)&lt;=COUNTA('Kế hoạch'!$A$6:$A$305),INDEX('Kế hoạch'!$A$6:$A$305,ROW()-5-COUNTA('Phản ánh'!$A$6:$A$505)),""))</f>
      </c>
    </row>
    <row r="522">
      <c r="P522" s="255">
        <f>IF(ROW()-5&lt;=COUNTA('Phản ánh'!$A$6:$A$505),INDEX('Phản ánh'!$A$6:$A$505,ROW()-5),IF(ROW()-5-COUNTA('Phản ánh'!$A$6:$A$505)&lt;=COUNTA('Kế hoạch'!$A$6:$A$305),INDEX('Kế hoạch'!$A$6:$A$305,ROW()-5-COUNTA('Phản ánh'!$A$6:$A$505)),""))</f>
      </c>
    </row>
    <row r="523">
      <c r="P523" s="255">
        <f>IF(ROW()-5&lt;=COUNTA('Phản ánh'!$A$6:$A$505),INDEX('Phản ánh'!$A$6:$A$505,ROW()-5),IF(ROW()-5-COUNTA('Phản ánh'!$A$6:$A$505)&lt;=COUNTA('Kế hoạch'!$A$6:$A$305),INDEX('Kế hoạch'!$A$6:$A$305,ROW()-5-COUNTA('Phản ánh'!$A$6:$A$505)),""))</f>
      </c>
    </row>
    <row r="524">
      <c r="P524" s="255">
        <f>IF(ROW()-5&lt;=COUNTA('Phản ánh'!$A$6:$A$505),INDEX('Phản ánh'!$A$6:$A$505,ROW()-5),IF(ROW()-5-COUNTA('Phản ánh'!$A$6:$A$505)&lt;=COUNTA('Kế hoạch'!$A$6:$A$305),INDEX('Kế hoạch'!$A$6:$A$305,ROW()-5-COUNTA('Phản ánh'!$A$6:$A$505)),""))</f>
      </c>
    </row>
    <row r="525">
      <c r="P525" s="255">
        <f>IF(ROW()-5&lt;=COUNTA('Phản ánh'!$A$6:$A$505),INDEX('Phản ánh'!$A$6:$A$505,ROW()-5),IF(ROW()-5-COUNTA('Phản ánh'!$A$6:$A$505)&lt;=COUNTA('Kế hoạch'!$A$6:$A$305),INDEX('Kế hoạch'!$A$6:$A$305,ROW()-5-COUNTA('Phản ánh'!$A$6:$A$505)),""))</f>
      </c>
    </row>
    <row r="526">
      <c r="P526" s="255">
        <f>IF(ROW()-5&lt;=COUNTA('Phản ánh'!$A$6:$A$505),INDEX('Phản ánh'!$A$6:$A$505,ROW()-5),IF(ROW()-5-COUNTA('Phản ánh'!$A$6:$A$505)&lt;=COUNTA('Kế hoạch'!$A$6:$A$305),INDEX('Kế hoạch'!$A$6:$A$305,ROW()-5-COUNTA('Phản ánh'!$A$6:$A$505)),""))</f>
      </c>
    </row>
    <row r="527">
      <c r="P527" s="255">
        <f>IF(ROW()-5&lt;=COUNTA('Phản ánh'!$A$6:$A$505),INDEX('Phản ánh'!$A$6:$A$505,ROW()-5),IF(ROW()-5-COUNTA('Phản ánh'!$A$6:$A$505)&lt;=COUNTA('Kế hoạch'!$A$6:$A$305),INDEX('Kế hoạch'!$A$6:$A$305,ROW()-5-COUNTA('Phản ánh'!$A$6:$A$505)),""))</f>
      </c>
    </row>
    <row r="528">
      <c r="P528" s="255">
        <f>IF(ROW()-5&lt;=COUNTA('Phản ánh'!$A$6:$A$505),INDEX('Phản ánh'!$A$6:$A$505,ROW()-5),IF(ROW()-5-COUNTA('Phản ánh'!$A$6:$A$505)&lt;=COUNTA('Kế hoạch'!$A$6:$A$305),INDEX('Kế hoạch'!$A$6:$A$305,ROW()-5-COUNTA('Phản ánh'!$A$6:$A$505)),""))</f>
      </c>
    </row>
    <row r="529">
      <c r="P529" s="255">
        <f>IF(ROW()-5&lt;=COUNTA('Phản ánh'!$A$6:$A$505),INDEX('Phản ánh'!$A$6:$A$505,ROW()-5),IF(ROW()-5-COUNTA('Phản ánh'!$A$6:$A$505)&lt;=COUNTA('Kế hoạch'!$A$6:$A$305),INDEX('Kế hoạch'!$A$6:$A$305,ROW()-5-COUNTA('Phản ánh'!$A$6:$A$505)),""))</f>
      </c>
    </row>
    <row r="530">
      <c r="P530" s="255">
        <f>IF(ROW()-5&lt;=COUNTA('Phản ánh'!$A$6:$A$505),INDEX('Phản ánh'!$A$6:$A$505,ROW()-5),IF(ROW()-5-COUNTA('Phản ánh'!$A$6:$A$505)&lt;=COUNTA('Kế hoạch'!$A$6:$A$305),INDEX('Kế hoạch'!$A$6:$A$305,ROW()-5-COUNTA('Phản ánh'!$A$6:$A$505)),""))</f>
      </c>
    </row>
    <row r="531">
      <c r="P531" s="255">
        <f>IF(ROW()-5&lt;=COUNTA('Phản ánh'!$A$6:$A$505),INDEX('Phản ánh'!$A$6:$A$505,ROW()-5),IF(ROW()-5-COUNTA('Phản ánh'!$A$6:$A$505)&lt;=COUNTA('Kế hoạch'!$A$6:$A$305),INDEX('Kế hoạch'!$A$6:$A$305,ROW()-5-COUNTA('Phản ánh'!$A$6:$A$505)),""))</f>
      </c>
    </row>
    <row r="532">
      <c r="P532" s="255">
        <f>IF(ROW()-5&lt;=COUNTA('Phản ánh'!$A$6:$A$505),INDEX('Phản ánh'!$A$6:$A$505,ROW()-5),IF(ROW()-5-COUNTA('Phản ánh'!$A$6:$A$505)&lt;=COUNTA('Kế hoạch'!$A$6:$A$305),INDEX('Kế hoạch'!$A$6:$A$305,ROW()-5-COUNTA('Phản ánh'!$A$6:$A$505)),""))</f>
      </c>
    </row>
    <row r="533">
      <c r="P533" s="255">
        <f>IF(ROW()-5&lt;=COUNTA('Phản ánh'!$A$6:$A$505),INDEX('Phản ánh'!$A$6:$A$505,ROW()-5),IF(ROW()-5-COUNTA('Phản ánh'!$A$6:$A$505)&lt;=COUNTA('Kế hoạch'!$A$6:$A$305),INDEX('Kế hoạch'!$A$6:$A$305,ROW()-5-COUNTA('Phản ánh'!$A$6:$A$505)),""))</f>
      </c>
    </row>
    <row r="534">
      <c r="P534" s="255">
        <f>IF(ROW()-5&lt;=COUNTA('Phản ánh'!$A$6:$A$505),INDEX('Phản ánh'!$A$6:$A$505,ROW()-5),IF(ROW()-5-COUNTA('Phản ánh'!$A$6:$A$505)&lt;=COUNTA('Kế hoạch'!$A$6:$A$305),INDEX('Kế hoạch'!$A$6:$A$305,ROW()-5-COUNTA('Phản ánh'!$A$6:$A$505)),""))</f>
      </c>
    </row>
    <row r="535">
      <c r="P535" s="255">
        <f>IF(ROW()-5&lt;=COUNTA('Phản ánh'!$A$6:$A$505),INDEX('Phản ánh'!$A$6:$A$505,ROW()-5),IF(ROW()-5-COUNTA('Phản ánh'!$A$6:$A$505)&lt;=COUNTA('Kế hoạch'!$A$6:$A$305),INDEX('Kế hoạch'!$A$6:$A$305,ROW()-5-COUNTA('Phản ánh'!$A$6:$A$505)),""))</f>
      </c>
    </row>
    <row r="536">
      <c r="P536" s="255">
        <f>IF(ROW()-5&lt;=COUNTA('Phản ánh'!$A$6:$A$505),INDEX('Phản ánh'!$A$6:$A$505,ROW()-5),IF(ROW()-5-COUNTA('Phản ánh'!$A$6:$A$505)&lt;=COUNTA('Kế hoạch'!$A$6:$A$305),INDEX('Kế hoạch'!$A$6:$A$305,ROW()-5-COUNTA('Phản ánh'!$A$6:$A$505)),""))</f>
      </c>
    </row>
    <row r="537">
      <c r="P537" s="255">
        <f>IF(ROW()-5&lt;=COUNTA('Phản ánh'!$A$6:$A$505),INDEX('Phản ánh'!$A$6:$A$505,ROW()-5),IF(ROW()-5-COUNTA('Phản ánh'!$A$6:$A$505)&lt;=COUNTA('Kế hoạch'!$A$6:$A$305),INDEX('Kế hoạch'!$A$6:$A$305,ROW()-5-COUNTA('Phản ánh'!$A$6:$A$505)),""))</f>
      </c>
    </row>
    <row r="538">
      <c r="P538" s="255">
        <f>IF(ROW()-5&lt;=COUNTA('Phản ánh'!$A$6:$A$505),INDEX('Phản ánh'!$A$6:$A$505,ROW()-5),IF(ROW()-5-COUNTA('Phản ánh'!$A$6:$A$505)&lt;=COUNTA('Kế hoạch'!$A$6:$A$305),INDEX('Kế hoạch'!$A$6:$A$305,ROW()-5-COUNTA('Phản ánh'!$A$6:$A$505)),""))</f>
      </c>
    </row>
    <row r="539">
      <c r="P539" s="255">
        <f>IF(ROW()-5&lt;=COUNTA('Phản ánh'!$A$6:$A$505),INDEX('Phản ánh'!$A$6:$A$505,ROW()-5),IF(ROW()-5-COUNTA('Phản ánh'!$A$6:$A$505)&lt;=COUNTA('Kế hoạch'!$A$6:$A$305),INDEX('Kế hoạch'!$A$6:$A$305,ROW()-5-COUNTA('Phản ánh'!$A$6:$A$505)),""))</f>
      </c>
    </row>
    <row r="540">
      <c r="P540" s="255">
        <f>IF(ROW()-5&lt;=COUNTA('Phản ánh'!$A$6:$A$505),INDEX('Phản ánh'!$A$6:$A$505,ROW()-5),IF(ROW()-5-COUNTA('Phản ánh'!$A$6:$A$505)&lt;=COUNTA('Kế hoạch'!$A$6:$A$305),INDEX('Kế hoạch'!$A$6:$A$305,ROW()-5-COUNTA('Phản ánh'!$A$6:$A$505)),""))</f>
      </c>
    </row>
    <row r="541">
      <c r="P541" s="255">
        <f>IF(ROW()-5&lt;=COUNTA('Phản ánh'!$A$6:$A$505),INDEX('Phản ánh'!$A$6:$A$505,ROW()-5),IF(ROW()-5-COUNTA('Phản ánh'!$A$6:$A$505)&lt;=COUNTA('Kế hoạch'!$A$6:$A$305),INDEX('Kế hoạch'!$A$6:$A$305,ROW()-5-COUNTA('Phản ánh'!$A$6:$A$505)),""))</f>
      </c>
    </row>
    <row r="542">
      <c r="P542" s="255">
        <f>IF(ROW()-5&lt;=COUNTA('Phản ánh'!$A$6:$A$505),INDEX('Phản ánh'!$A$6:$A$505,ROW()-5),IF(ROW()-5-COUNTA('Phản ánh'!$A$6:$A$505)&lt;=COUNTA('Kế hoạch'!$A$6:$A$305),INDEX('Kế hoạch'!$A$6:$A$305,ROW()-5-COUNTA('Phản ánh'!$A$6:$A$505)),""))</f>
      </c>
    </row>
    <row r="543">
      <c r="P543" s="255">
        <f>IF(ROW()-5&lt;=COUNTA('Phản ánh'!$A$6:$A$505),INDEX('Phản ánh'!$A$6:$A$505,ROW()-5),IF(ROW()-5-COUNTA('Phản ánh'!$A$6:$A$505)&lt;=COUNTA('Kế hoạch'!$A$6:$A$305),INDEX('Kế hoạch'!$A$6:$A$305,ROW()-5-COUNTA('Phản ánh'!$A$6:$A$505)),""))</f>
      </c>
    </row>
    <row r="544">
      <c r="P544" s="255">
        <f>IF(ROW()-5&lt;=COUNTA('Phản ánh'!$A$6:$A$505),INDEX('Phản ánh'!$A$6:$A$505,ROW()-5),IF(ROW()-5-COUNTA('Phản ánh'!$A$6:$A$505)&lt;=COUNTA('Kế hoạch'!$A$6:$A$305),INDEX('Kế hoạch'!$A$6:$A$305,ROW()-5-COUNTA('Phản ánh'!$A$6:$A$505)),""))</f>
      </c>
    </row>
    <row r="545">
      <c r="P545" s="255">
        <f>IF(ROW()-5&lt;=COUNTA('Phản ánh'!$A$6:$A$505),INDEX('Phản ánh'!$A$6:$A$505,ROW()-5),IF(ROW()-5-COUNTA('Phản ánh'!$A$6:$A$505)&lt;=COUNTA('Kế hoạch'!$A$6:$A$305),INDEX('Kế hoạch'!$A$6:$A$305,ROW()-5-COUNTA('Phản ánh'!$A$6:$A$505)),""))</f>
      </c>
    </row>
    <row r="546">
      <c r="P546" s="255">
        <f>IF(ROW()-5&lt;=COUNTA('Phản ánh'!$A$6:$A$505),INDEX('Phản ánh'!$A$6:$A$505,ROW()-5),IF(ROW()-5-COUNTA('Phản ánh'!$A$6:$A$505)&lt;=COUNTA('Kế hoạch'!$A$6:$A$305),INDEX('Kế hoạch'!$A$6:$A$305,ROW()-5-COUNTA('Phản ánh'!$A$6:$A$505)),""))</f>
      </c>
    </row>
    <row r="547">
      <c r="P547" s="255">
        <f>IF(ROW()-5&lt;=COUNTA('Phản ánh'!$A$6:$A$505),INDEX('Phản ánh'!$A$6:$A$505,ROW()-5),IF(ROW()-5-COUNTA('Phản ánh'!$A$6:$A$505)&lt;=COUNTA('Kế hoạch'!$A$6:$A$305),INDEX('Kế hoạch'!$A$6:$A$305,ROW()-5-COUNTA('Phản ánh'!$A$6:$A$505)),""))</f>
      </c>
    </row>
    <row r="548">
      <c r="P548" s="255">
        <f>IF(ROW()-5&lt;=COUNTA('Phản ánh'!$A$6:$A$505),INDEX('Phản ánh'!$A$6:$A$505,ROW()-5),IF(ROW()-5-COUNTA('Phản ánh'!$A$6:$A$505)&lt;=COUNTA('Kế hoạch'!$A$6:$A$305),INDEX('Kế hoạch'!$A$6:$A$305,ROW()-5-COUNTA('Phản ánh'!$A$6:$A$505)),""))</f>
      </c>
    </row>
    <row r="549">
      <c r="P549" s="255">
        <f>IF(ROW()-5&lt;=COUNTA('Phản ánh'!$A$6:$A$505),INDEX('Phản ánh'!$A$6:$A$505,ROW()-5),IF(ROW()-5-COUNTA('Phản ánh'!$A$6:$A$505)&lt;=COUNTA('Kế hoạch'!$A$6:$A$305),INDEX('Kế hoạch'!$A$6:$A$305,ROW()-5-COUNTA('Phản ánh'!$A$6:$A$505)),""))</f>
      </c>
    </row>
    <row r="550">
      <c r="P550" s="255">
        <f>IF(ROW()-5&lt;=COUNTA('Phản ánh'!$A$6:$A$505),INDEX('Phản ánh'!$A$6:$A$505,ROW()-5),IF(ROW()-5-COUNTA('Phản ánh'!$A$6:$A$505)&lt;=COUNTA('Kế hoạch'!$A$6:$A$305),INDEX('Kế hoạch'!$A$6:$A$305,ROW()-5-COUNTA('Phản ánh'!$A$6:$A$505)),""))</f>
      </c>
    </row>
    <row r="551">
      <c r="P551" s="255">
        <f>IF(ROW()-5&lt;=COUNTA('Phản ánh'!$A$6:$A$505),INDEX('Phản ánh'!$A$6:$A$505,ROW()-5),IF(ROW()-5-COUNTA('Phản ánh'!$A$6:$A$505)&lt;=COUNTA('Kế hoạch'!$A$6:$A$305),INDEX('Kế hoạch'!$A$6:$A$305,ROW()-5-COUNTA('Phản ánh'!$A$6:$A$505)),""))</f>
      </c>
    </row>
    <row r="552">
      <c r="P552" s="255">
        <f>IF(ROW()-5&lt;=COUNTA('Phản ánh'!$A$6:$A$505),INDEX('Phản ánh'!$A$6:$A$505,ROW()-5),IF(ROW()-5-COUNTA('Phản ánh'!$A$6:$A$505)&lt;=COUNTA('Kế hoạch'!$A$6:$A$305),INDEX('Kế hoạch'!$A$6:$A$305,ROW()-5-COUNTA('Phản ánh'!$A$6:$A$505)),""))</f>
      </c>
    </row>
    <row r="553">
      <c r="P553" s="255">
        <f>IF(ROW()-5&lt;=COUNTA('Phản ánh'!$A$6:$A$505),INDEX('Phản ánh'!$A$6:$A$505,ROW()-5),IF(ROW()-5-COUNTA('Phản ánh'!$A$6:$A$505)&lt;=COUNTA('Kế hoạch'!$A$6:$A$305),INDEX('Kế hoạch'!$A$6:$A$305,ROW()-5-COUNTA('Phản ánh'!$A$6:$A$505)),""))</f>
      </c>
    </row>
    <row r="554">
      <c r="P554" s="255">
        <f>IF(ROW()-5&lt;=COUNTA('Phản ánh'!$A$6:$A$505),INDEX('Phản ánh'!$A$6:$A$505,ROW()-5),IF(ROW()-5-COUNTA('Phản ánh'!$A$6:$A$505)&lt;=COUNTA('Kế hoạch'!$A$6:$A$305),INDEX('Kế hoạch'!$A$6:$A$305,ROW()-5-COUNTA('Phản ánh'!$A$6:$A$505)),""))</f>
      </c>
    </row>
    <row r="555">
      <c r="P555" s="255">
        <f>IF(ROW()-5&lt;=COUNTA('Phản ánh'!$A$6:$A$505),INDEX('Phản ánh'!$A$6:$A$505,ROW()-5),IF(ROW()-5-COUNTA('Phản ánh'!$A$6:$A$505)&lt;=COUNTA('Kế hoạch'!$A$6:$A$305),INDEX('Kế hoạch'!$A$6:$A$305,ROW()-5-COUNTA('Phản ánh'!$A$6:$A$505)),""))</f>
      </c>
    </row>
    <row r="556">
      <c r="P556" s="255">
        <f>IF(ROW()-5&lt;=COUNTA('Phản ánh'!$A$6:$A$505),INDEX('Phản ánh'!$A$6:$A$505,ROW()-5),IF(ROW()-5-COUNTA('Phản ánh'!$A$6:$A$505)&lt;=COUNTA('Kế hoạch'!$A$6:$A$305),INDEX('Kế hoạch'!$A$6:$A$305,ROW()-5-COUNTA('Phản ánh'!$A$6:$A$505)),""))</f>
      </c>
    </row>
    <row r="557">
      <c r="P557" s="255">
        <f>IF(ROW()-5&lt;=COUNTA('Phản ánh'!$A$6:$A$505),INDEX('Phản ánh'!$A$6:$A$505,ROW()-5),IF(ROW()-5-COUNTA('Phản ánh'!$A$6:$A$505)&lt;=COUNTA('Kế hoạch'!$A$6:$A$305),INDEX('Kế hoạch'!$A$6:$A$305,ROW()-5-COUNTA('Phản ánh'!$A$6:$A$505)),""))</f>
      </c>
    </row>
    <row r="558">
      <c r="P558" s="255">
        <f>IF(ROW()-5&lt;=COUNTA('Phản ánh'!$A$6:$A$505),INDEX('Phản ánh'!$A$6:$A$505,ROW()-5),IF(ROW()-5-COUNTA('Phản ánh'!$A$6:$A$505)&lt;=COUNTA('Kế hoạch'!$A$6:$A$305),INDEX('Kế hoạch'!$A$6:$A$305,ROW()-5-COUNTA('Phản ánh'!$A$6:$A$505)),""))</f>
      </c>
    </row>
    <row r="559">
      <c r="P559" s="255">
        <f>IF(ROW()-5&lt;=COUNTA('Phản ánh'!$A$6:$A$505),INDEX('Phản ánh'!$A$6:$A$505,ROW()-5),IF(ROW()-5-COUNTA('Phản ánh'!$A$6:$A$505)&lt;=COUNTA('Kế hoạch'!$A$6:$A$305),INDEX('Kế hoạch'!$A$6:$A$305,ROW()-5-COUNTA('Phản ánh'!$A$6:$A$505)),""))</f>
      </c>
    </row>
    <row r="560">
      <c r="P560" s="255">
        <f>IF(ROW()-5&lt;=COUNTA('Phản ánh'!$A$6:$A$505),INDEX('Phản ánh'!$A$6:$A$505,ROW()-5),IF(ROW()-5-COUNTA('Phản ánh'!$A$6:$A$505)&lt;=COUNTA('Kế hoạch'!$A$6:$A$305),INDEX('Kế hoạch'!$A$6:$A$305,ROW()-5-COUNTA('Phản ánh'!$A$6:$A$505)),""))</f>
      </c>
    </row>
    <row r="561">
      <c r="P561" s="255">
        <f>IF(ROW()-5&lt;=COUNTA('Phản ánh'!$A$6:$A$505),INDEX('Phản ánh'!$A$6:$A$505,ROW()-5),IF(ROW()-5-COUNTA('Phản ánh'!$A$6:$A$505)&lt;=COUNTA('Kế hoạch'!$A$6:$A$305),INDEX('Kế hoạch'!$A$6:$A$305,ROW()-5-COUNTA('Phản ánh'!$A$6:$A$505)),""))</f>
      </c>
    </row>
    <row r="562">
      <c r="P562" s="255">
        <f>IF(ROW()-5&lt;=COUNTA('Phản ánh'!$A$6:$A$505),INDEX('Phản ánh'!$A$6:$A$505,ROW()-5),IF(ROW()-5-COUNTA('Phản ánh'!$A$6:$A$505)&lt;=COUNTA('Kế hoạch'!$A$6:$A$305),INDEX('Kế hoạch'!$A$6:$A$305,ROW()-5-COUNTA('Phản ánh'!$A$6:$A$505)),""))</f>
      </c>
    </row>
    <row r="563">
      <c r="P563" s="255">
        <f>IF(ROW()-5&lt;=COUNTA('Phản ánh'!$A$6:$A$505),INDEX('Phản ánh'!$A$6:$A$505,ROW()-5),IF(ROW()-5-COUNTA('Phản ánh'!$A$6:$A$505)&lt;=COUNTA('Kế hoạch'!$A$6:$A$305),INDEX('Kế hoạch'!$A$6:$A$305,ROW()-5-COUNTA('Phản ánh'!$A$6:$A$505)),""))</f>
      </c>
    </row>
    <row r="564">
      <c r="P564" s="255">
        <f>IF(ROW()-5&lt;=COUNTA('Phản ánh'!$A$6:$A$505),INDEX('Phản ánh'!$A$6:$A$505,ROW()-5),IF(ROW()-5-COUNTA('Phản ánh'!$A$6:$A$505)&lt;=COUNTA('Kế hoạch'!$A$6:$A$305),INDEX('Kế hoạch'!$A$6:$A$305,ROW()-5-COUNTA('Phản ánh'!$A$6:$A$505)),""))</f>
      </c>
    </row>
    <row r="565">
      <c r="P565" s="255">
        <f>IF(ROW()-5&lt;=COUNTA('Phản ánh'!$A$6:$A$505),INDEX('Phản ánh'!$A$6:$A$505,ROW()-5),IF(ROW()-5-COUNTA('Phản ánh'!$A$6:$A$505)&lt;=COUNTA('Kế hoạch'!$A$6:$A$305),INDEX('Kế hoạch'!$A$6:$A$305,ROW()-5-COUNTA('Phản ánh'!$A$6:$A$505)),""))</f>
      </c>
    </row>
    <row r="566">
      <c r="P566" s="255">
        <f>IF(ROW()-5&lt;=COUNTA('Phản ánh'!$A$6:$A$505),INDEX('Phản ánh'!$A$6:$A$505,ROW()-5),IF(ROW()-5-COUNTA('Phản ánh'!$A$6:$A$505)&lt;=COUNTA('Kế hoạch'!$A$6:$A$305),INDEX('Kế hoạch'!$A$6:$A$305,ROW()-5-COUNTA('Phản ánh'!$A$6:$A$505)),""))</f>
      </c>
    </row>
    <row r="567">
      <c r="P567" s="255">
        <f>IF(ROW()-5&lt;=COUNTA('Phản ánh'!$A$6:$A$505),INDEX('Phản ánh'!$A$6:$A$505,ROW()-5),IF(ROW()-5-COUNTA('Phản ánh'!$A$6:$A$505)&lt;=COUNTA('Kế hoạch'!$A$6:$A$305),INDEX('Kế hoạch'!$A$6:$A$305,ROW()-5-COUNTA('Phản ánh'!$A$6:$A$505)),""))</f>
      </c>
    </row>
    <row r="568">
      <c r="P568" s="255">
        <f>IF(ROW()-5&lt;=COUNTA('Phản ánh'!$A$6:$A$505),INDEX('Phản ánh'!$A$6:$A$505,ROW()-5),IF(ROW()-5-COUNTA('Phản ánh'!$A$6:$A$505)&lt;=COUNTA('Kế hoạch'!$A$6:$A$305),INDEX('Kế hoạch'!$A$6:$A$305,ROW()-5-COUNTA('Phản ánh'!$A$6:$A$505)),""))</f>
      </c>
    </row>
    <row r="569">
      <c r="P569" s="255">
        <f>IF(ROW()-5&lt;=COUNTA('Phản ánh'!$A$6:$A$505),INDEX('Phản ánh'!$A$6:$A$505,ROW()-5),IF(ROW()-5-COUNTA('Phản ánh'!$A$6:$A$505)&lt;=COUNTA('Kế hoạch'!$A$6:$A$305),INDEX('Kế hoạch'!$A$6:$A$305,ROW()-5-COUNTA('Phản ánh'!$A$6:$A$505)),""))</f>
      </c>
    </row>
    <row r="570">
      <c r="P570" s="255">
        <f>IF(ROW()-5&lt;=COUNTA('Phản ánh'!$A$6:$A$505),INDEX('Phản ánh'!$A$6:$A$505,ROW()-5),IF(ROW()-5-COUNTA('Phản ánh'!$A$6:$A$505)&lt;=COUNTA('Kế hoạch'!$A$6:$A$305),INDEX('Kế hoạch'!$A$6:$A$305,ROW()-5-COUNTA('Phản ánh'!$A$6:$A$505)),""))</f>
      </c>
    </row>
    <row r="571">
      <c r="P571" s="255">
        <f>IF(ROW()-5&lt;=COUNTA('Phản ánh'!$A$6:$A$505),INDEX('Phản ánh'!$A$6:$A$505,ROW()-5),IF(ROW()-5-COUNTA('Phản ánh'!$A$6:$A$505)&lt;=COUNTA('Kế hoạch'!$A$6:$A$305),INDEX('Kế hoạch'!$A$6:$A$305,ROW()-5-COUNTA('Phản ánh'!$A$6:$A$505)),""))</f>
      </c>
    </row>
    <row r="572">
      <c r="P572" s="255">
        <f>IF(ROW()-5&lt;=COUNTA('Phản ánh'!$A$6:$A$505),INDEX('Phản ánh'!$A$6:$A$505,ROW()-5),IF(ROW()-5-COUNTA('Phản ánh'!$A$6:$A$505)&lt;=COUNTA('Kế hoạch'!$A$6:$A$305),INDEX('Kế hoạch'!$A$6:$A$305,ROW()-5-COUNTA('Phản ánh'!$A$6:$A$505)),""))</f>
      </c>
    </row>
    <row r="573">
      <c r="P573" s="255">
        <f>IF(ROW()-5&lt;=COUNTA('Phản ánh'!$A$6:$A$505),INDEX('Phản ánh'!$A$6:$A$505,ROW()-5),IF(ROW()-5-COUNTA('Phản ánh'!$A$6:$A$505)&lt;=COUNTA('Kế hoạch'!$A$6:$A$305),INDEX('Kế hoạch'!$A$6:$A$305,ROW()-5-COUNTA('Phản ánh'!$A$6:$A$505)),""))</f>
      </c>
    </row>
    <row r="574">
      <c r="P574" s="255">
        <f>IF(ROW()-5&lt;=COUNTA('Phản ánh'!$A$6:$A$505),INDEX('Phản ánh'!$A$6:$A$505,ROW()-5),IF(ROW()-5-COUNTA('Phản ánh'!$A$6:$A$505)&lt;=COUNTA('Kế hoạch'!$A$6:$A$305),INDEX('Kế hoạch'!$A$6:$A$305,ROW()-5-COUNTA('Phản ánh'!$A$6:$A$505)),""))</f>
      </c>
    </row>
    <row r="575">
      <c r="P575" s="255">
        <f>IF(ROW()-5&lt;=COUNTA('Phản ánh'!$A$6:$A$505),INDEX('Phản ánh'!$A$6:$A$505,ROW()-5),IF(ROW()-5-COUNTA('Phản ánh'!$A$6:$A$505)&lt;=COUNTA('Kế hoạch'!$A$6:$A$305),INDEX('Kế hoạch'!$A$6:$A$305,ROW()-5-COUNTA('Phản ánh'!$A$6:$A$505)),""))</f>
      </c>
    </row>
    <row r="576">
      <c r="P576" s="255">
        <f>IF(ROW()-5&lt;=COUNTA('Phản ánh'!$A$6:$A$505),INDEX('Phản ánh'!$A$6:$A$505,ROW()-5),IF(ROW()-5-COUNTA('Phản ánh'!$A$6:$A$505)&lt;=COUNTA('Kế hoạch'!$A$6:$A$305),INDEX('Kế hoạch'!$A$6:$A$305,ROW()-5-COUNTA('Phản ánh'!$A$6:$A$505)),""))</f>
      </c>
    </row>
    <row r="577">
      <c r="P577" s="255">
        <f>IF(ROW()-5&lt;=COUNTA('Phản ánh'!$A$6:$A$505),INDEX('Phản ánh'!$A$6:$A$505,ROW()-5),IF(ROW()-5-COUNTA('Phản ánh'!$A$6:$A$505)&lt;=COUNTA('Kế hoạch'!$A$6:$A$305),INDEX('Kế hoạch'!$A$6:$A$305,ROW()-5-COUNTA('Phản ánh'!$A$6:$A$505)),""))</f>
      </c>
    </row>
    <row r="578">
      <c r="P578" s="255">
        <f>IF(ROW()-5&lt;=COUNTA('Phản ánh'!$A$6:$A$505),INDEX('Phản ánh'!$A$6:$A$505,ROW()-5),IF(ROW()-5-COUNTA('Phản ánh'!$A$6:$A$505)&lt;=COUNTA('Kế hoạch'!$A$6:$A$305),INDEX('Kế hoạch'!$A$6:$A$305,ROW()-5-COUNTA('Phản ánh'!$A$6:$A$505)),""))</f>
      </c>
    </row>
    <row r="579">
      <c r="P579" s="255">
        <f>IF(ROW()-5&lt;=COUNTA('Phản ánh'!$A$6:$A$505),INDEX('Phản ánh'!$A$6:$A$505,ROW()-5),IF(ROW()-5-COUNTA('Phản ánh'!$A$6:$A$505)&lt;=COUNTA('Kế hoạch'!$A$6:$A$305),INDEX('Kế hoạch'!$A$6:$A$305,ROW()-5-COUNTA('Phản ánh'!$A$6:$A$505)),""))</f>
      </c>
    </row>
    <row r="580">
      <c r="P580" s="255">
        <f>IF(ROW()-5&lt;=COUNTA('Phản ánh'!$A$6:$A$505),INDEX('Phản ánh'!$A$6:$A$505,ROW()-5),IF(ROW()-5-COUNTA('Phản ánh'!$A$6:$A$505)&lt;=COUNTA('Kế hoạch'!$A$6:$A$305),INDEX('Kế hoạch'!$A$6:$A$305,ROW()-5-COUNTA('Phản ánh'!$A$6:$A$505)),""))</f>
      </c>
    </row>
    <row r="581">
      <c r="P581" s="255">
        <f>IF(ROW()-5&lt;=COUNTA('Phản ánh'!$A$6:$A$505),INDEX('Phản ánh'!$A$6:$A$505,ROW()-5),IF(ROW()-5-COUNTA('Phản ánh'!$A$6:$A$505)&lt;=COUNTA('Kế hoạch'!$A$6:$A$305),INDEX('Kế hoạch'!$A$6:$A$305,ROW()-5-COUNTA('Phản ánh'!$A$6:$A$505)),""))</f>
      </c>
    </row>
    <row r="582">
      <c r="P582" s="255">
        <f>IF(ROW()-5&lt;=COUNTA('Phản ánh'!$A$6:$A$505),INDEX('Phản ánh'!$A$6:$A$505,ROW()-5),IF(ROW()-5-COUNTA('Phản ánh'!$A$6:$A$505)&lt;=COUNTA('Kế hoạch'!$A$6:$A$305),INDEX('Kế hoạch'!$A$6:$A$305,ROW()-5-COUNTA('Phản ánh'!$A$6:$A$505)),""))</f>
      </c>
    </row>
    <row r="583">
      <c r="P583" s="255">
        <f>IF(ROW()-5&lt;=COUNTA('Phản ánh'!$A$6:$A$505),INDEX('Phản ánh'!$A$6:$A$505,ROW()-5),IF(ROW()-5-COUNTA('Phản ánh'!$A$6:$A$505)&lt;=COUNTA('Kế hoạch'!$A$6:$A$305),INDEX('Kế hoạch'!$A$6:$A$305,ROW()-5-COUNTA('Phản ánh'!$A$6:$A$505)),""))</f>
      </c>
    </row>
    <row r="584">
      <c r="P584" s="255">
        <f>IF(ROW()-5&lt;=COUNTA('Phản ánh'!$A$6:$A$505),INDEX('Phản ánh'!$A$6:$A$505,ROW()-5),IF(ROW()-5-COUNTA('Phản ánh'!$A$6:$A$505)&lt;=COUNTA('Kế hoạch'!$A$6:$A$305),INDEX('Kế hoạch'!$A$6:$A$305,ROW()-5-COUNTA('Phản ánh'!$A$6:$A$505)),""))</f>
      </c>
    </row>
    <row r="585">
      <c r="P585" s="255">
        <f>IF(ROW()-5&lt;=COUNTA('Phản ánh'!$A$6:$A$505),INDEX('Phản ánh'!$A$6:$A$505,ROW()-5),IF(ROW()-5-COUNTA('Phản ánh'!$A$6:$A$505)&lt;=COUNTA('Kế hoạch'!$A$6:$A$305),INDEX('Kế hoạch'!$A$6:$A$305,ROW()-5-COUNTA('Phản ánh'!$A$6:$A$505)),""))</f>
      </c>
    </row>
    <row r="586">
      <c r="P586" s="255">
        <f>IF(ROW()-5&lt;=COUNTA('Phản ánh'!$A$6:$A$505),INDEX('Phản ánh'!$A$6:$A$505,ROW()-5),IF(ROW()-5-COUNTA('Phản ánh'!$A$6:$A$505)&lt;=COUNTA('Kế hoạch'!$A$6:$A$305),INDEX('Kế hoạch'!$A$6:$A$305,ROW()-5-COUNTA('Phản ánh'!$A$6:$A$505)),""))</f>
      </c>
    </row>
    <row r="587">
      <c r="P587" s="255">
        <f>IF(ROW()-5&lt;=COUNTA('Phản ánh'!$A$6:$A$505),INDEX('Phản ánh'!$A$6:$A$505,ROW()-5),IF(ROW()-5-COUNTA('Phản ánh'!$A$6:$A$505)&lt;=COUNTA('Kế hoạch'!$A$6:$A$305),INDEX('Kế hoạch'!$A$6:$A$305,ROW()-5-COUNTA('Phản ánh'!$A$6:$A$505)),""))</f>
      </c>
    </row>
    <row r="588">
      <c r="P588" s="255">
        <f>IF(ROW()-5&lt;=COUNTA('Phản ánh'!$A$6:$A$505),INDEX('Phản ánh'!$A$6:$A$505,ROW()-5),IF(ROW()-5-COUNTA('Phản ánh'!$A$6:$A$505)&lt;=COUNTA('Kế hoạch'!$A$6:$A$305),INDEX('Kế hoạch'!$A$6:$A$305,ROW()-5-COUNTA('Phản ánh'!$A$6:$A$505)),""))</f>
      </c>
    </row>
    <row r="589">
      <c r="P589" s="255">
        <f>IF(ROW()-5&lt;=COUNTA('Phản ánh'!$A$6:$A$505),INDEX('Phản ánh'!$A$6:$A$505,ROW()-5),IF(ROW()-5-COUNTA('Phản ánh'!$A$6:$A$505)&lt;=COUNTA('Kế hoạch'!$A$6:$A$305),INDEX('Kế hoạch'!$A$6:$A$305,ROW()-5-COUNTA('Phản ánh'!$A$6:$A$505)),""))</f>
      </c>
    </row>
    <row r="590">
      <c r="P590" s="255">
        <f>IF(ROW()-5&lt;=COUNTA('Phản ánh'!$A$6:$A$505),INDEX('Phản ánh'!$A$6:$A$505,ROW()-5),IF(ROW()-5-COUNTA('Phản ánh'!$A$6:$A$505)&lt;=COUNTA('Kế hoạch'!$A$6:$A$305),INDEX('Kế hoạch'!$A$6:$A$305,ROW()-5-COUNTA('Phản ánh'!$A$6:$A$505)),""))</f>
      </c>
    </row>
    <row r="591">
      <c r="P591" s="255">
        <f>IF(ROW()-5&lt;=COUNTA('Phản ánh'!$A$6:$A$505),INDEX('Phản ánh'!$A$6:$A$505,ROW()-5),IF(ROW()-5-COUNTA('Phản ánh'!$A$6:$A$505)&lt;=COUNTA('Kế hoạch'!$A$6:$A$305),INDEX('Kế hoạch'!$A$6:$A$305,ROW()-5-COUNTA('Phản ánh'!$A$6:$A$505)),""))</f>
      </c>
    </row>
    <row r="592">
      <c r="P592" s="255">
        <f>IF(ROW()-5&lt;=COUNTA('Phản ánh'!$A$6:$A$505),INDEX('Phản ánh'!$A$6:$A$505,ROW()-5),IF(ROW()-5-COUNTA('Phản ánh'!$A$6:$A$505)&lt;=COUNTA('Kế hoạch'!$A$6:$A$305),INDEX('Kế hoạch'!$A$6:$A$305,ROW()-5-COUNTA('Phản ánh'!$A$6:$A$505)),""))</f>
      </c>
    </row>
    <row r="593">
      <c r="P593" s="255">
        <f>IF(ROW()-5&lt;=COUNTA('Phản ánh'!$A$6:$A$505),INDEX('Phản ánh'!$A$6:$A$505,ROW()-5),IF(ROW()-5-COUNTA('Phản ánh'!$A$6:$A$505)&lt;=COUNTA('Kế hoạch'!$A$6:$A$305),INDEX('Kế hoạch'!$A$6:$A$305,ROW()-5-COUNTA('Phản ánh'!$A$6:$A$505)),""))</f>
      </c>
    </row>
    <row r="594">
      <c r="P594" s="255">
        <f>IF(ROW()-5&lt;=COUNTA('Phản ánh'!$A$6:$A$505),INDEX('Phản ánh'!$A$6:$A$505,ROW()-5),IF(ROW()-5-COUNTA('Phản ánh'!$A$6:$A$505)&lt;=COUNTA('Kế hoạch'!$A$6:$A$305),INDEX('Kế hoạch'!$A$6:$A$305,ROW()-5-COUNTA('Phản ánh'!$A$6:$A$505)),""))</f>
      </c>
    </row>
    <row r="595">
      <c r="P595" s="255">
        <f>IF(ROW()-5&lt;=COUNTA('Phản ánh'!$A$6:$A$505),INDEX('Phản ánh'!$A$6:$A$505,ROW()-5),IF(ROW()-5-COUNTA('Phản ánh'!$A$6:$A$505)&lt;=COUNTA('Kế hoạch'!$A$6:$A$305),INDEX('Kế hoạch'!$A$6:$A$305,ROW()-5-COUNTA('Phản ánh'!$A$6:$A$505)),""))</f>
      </c>
    </row>
    <row r="596">
      <c r="P596" s="255">
        <f>IF(ROW()-5&lt;=COUNTA('Phản ánh'!$A$6:$A$505),INDEX('Phản ánh'!$A$6:$A$505,ROW()-5),IF(ROW()-5-COUNTA('Phản ánh'!$A$6:$A$505)&lt;=COUNTA('Kế hoạch'!$A$6:$A$305),INDEX('Kế hoạch'!$A$6:$A$305,ROW()-5-COUNTA('Phản ánh'!$A$6:$A$505)),""))</f>
      </c>
    </row>
    <row r="597">
      <c r="P597" s="255">
        <f>IF(ROW()-5&lt;=COUNTA('Phản ánh'!$A$6:$A$505),INDEX('Phản ánh'!$A$6:$A$505,ROW()-5),IF(ROW()-5-COUNTA('Phản ánh'!$A$6:$A$505)&lt;=COUNTA('Kế hoạch'!$A$6:$A$305),INDEX('Kế hoạch'!$A$6:$A$305,ROW()-5-COUNTA('Phản ánh'!$A$6:$A$505)),""))</f>
      </c>
    </row>
    <row r="598">
      <c r="P598" s="255">
        <f>IF(ROW()-5&lt;=COUNTA('Phản ánh'!$A$6:$A$505),INDEX('Phản ánh'!$A$6:$A$505,ROW()-5),IF(ROW()-5-COUNTA('Phản ánh'!$A$6:$A$505)&lt;=COUNTA('Kế hoạch'!$A$6:$A$305),INDEX('Kế hoạch'!$A$6:$A$305,ROW()-5-COUNTA('Phản ánh'!$A$6:$A$505)),""))</f>
      </c>
    </row>
    <row r="599">
      <c r="P599" s="255">
        <f>IF(ROW()-5&lt;=COUNTA('Phản ánh'!$A$6:$A$505),INDEX('Phản ánh'!$A$6:$A$505,ROW()-5),IF(ROW()-5-COUNTA('Phản ánh'!$A$6:$A$505)&lt;=COUNTA('Kế hoạch'!$A$6:$A$305),INDEX('Kế hoạch'!$A$6:$A$305,ROW()-5-COUNTA('Phản ánh'!$A$6:$A$505)),""))</f>
      </c>
    </row>
    <row r="600">
      <c r="P600" s="255">
        <f>IF(ROW()-5&lt;=COUNTA('Phản ánh'!$A$6:$A$505),INDEX('Phản ánh'!$A$6:$A$505,ROW()-5),IF(ROW()-5-COUNTA('Phản ánh'!$A$6:$A$505)&lt;=COUNTA('Kế hoạch'!$A$6:$A$305),INDEX('Kế hoạch'!$A$6:$A$305,ROW()-5-COUNTA('Phản ánh'!$A$6:$A$505)),""))</f>
      </c>
    </row>
    <row r="601">
      <c r="P601" s="255">
        <f>IF(ROW()-5&lt;=COUNTA('Phản ánh'!$A$6:$A$505),INDEX('Phản ánh'!$A$6:$A$505,ROW()-5),IF(ROW()-5-COUNTA('Phản ánh'!$A$6:$A$505)&lt;=COUNTA('Kế hoạch'!$A$6:$A$305),INDEX('Kế hoạch'!$A$6:$A$305,ROW()-5-COUNTA('Phản ánh'!$A$6:$A$505)),""))</f>
      </c>
    </row>
    <row r="602">
      <c r="P602" s="255">
        <f>IF(ROW()-5&lt;=COUNTA('Phản ánh'!$A$6:$A$505),INDEX('Phản ánh'!$A$6:$A$505,ROW()-5),IF(ROW()-5-COUNTA('Phản ánh'!$A$6:$A$505)&lt;=COUNTA('Kế hoạch'!$A$6:$A$305),INDEX('Kế hoạch'!$A$6:$A$305,ROW()-5-COUNTA('Phản ánh'!$A$6:$A$505)),""))</f>
      </c>
    </row>
    <row r="603">
      <c r="P603" s="255">
        <f>IF(ROW()-5&lt;=COUNTA('Phản ánh'!$A$6:$A$505),INDEX('Phản ánh'!$A$6:$A$505,ROW()-5),IF(ROW()-5-COUNTA('Phản ánh'!$A$6:$A$505)&lt;=COUNTA('Kế hoạch'!$A$6:$A$305),INDEX('Kế hoạch'!$A$6:$A$305,ROW()-5-COUNTA('Phản ánh'!$A$6:$A$505)),""))</f>
      </c>
    </row>
    <row r="604">
      <c r="P604" s="255">
        <f>IF(ROW()-5&lt;=COUNTA('Phản ánh'!$A$6:$A$505),INDEX('Phản ánh'!$A$6:$A$505,ROW()-5),IF(ROW()-5-COUNTA('Phản ánh'!$A$6:$A$505)&lt;=COUNTA('Kế hoạch'!$A$6:$A$305),INDEX('Kế hoạch'!$A$6:$A$305,ROW()-5-COUNTA('Phản ánh'!$A$6:$A$505)),""))</f>
      </c>
    </row>
    <row r="605">
      <c r="P605" s="255">
        <f>IF(ROW()-5&lt;=COUNTA('Phản ánh'!$A$6:$A$505),INDEX('Phản ánh'!$A$6:$A$505,ROW()-5),IF(ROW()-5-COUNTA('Phản ánh'!$A$6:$A$505)&lt;=COUNTA('Kế hoạch'!$A$6:$A$305),INDEX('Kế hoạch'!$A$6:$A$305,ROW()-5-COUNTA('Phản ánh'!$A$6:$A$505)),""))</f>
      </c>
    </row>
    <row r="606">
      <c r="P606" s="255">
        <f>IF(ROW()-5&lt;=COUNTA('Phản ánh'!$A$6:$A$505),INDEX('Phản ánh'!$A$6:$A$505,ROW()-5),IF(ROW()-5-COUNTA('Phản ánh'!$A$6:$A$505)&lt;=COUNTA('Kế hoạch'!$A$6:$A$305),INDEX('Kế hoạch'!$A$6:$A$305,ROW()-5-COUNTA('Phản ánh'!$A$6:$A$505)),""))</f>
      </c>
    </row>
    <row r="607">
      <c r="P607" s="255">
        <f>IF(ROW()-5&lt;=COUNTA('Phản ánh'!$A$6:$A$505),INDEX('Phản ánh'!$A$6:$A$505,ROW()-5),IF(ROW()-5-COUNTA('Phản ánh'!$A$6:$A$505)&lt;=COUNTA('Kế hoạch'!$A$6:$A$305),INDEX('Kế hoạch'!$A$6:$A$305,ROW()-5-COUNTA('Phản ánh'!$A$6:$A$505)),""))</f>
      </c>
    </row>
    <row r="608">
      <c r="P608" s="255">
        <f>IF(ROW()-5&lt;=COUNTA('Phản ánh'!$A$6:$A$505),INDEX('Phản ánh'!$A$6:$A$505,ROW()-5),IF(ROW()-5-COUNTA('Phản ánh'!$A$6:$A$505)&lt;=COUNTA('Kế hoạch'!$A$6:$A$305),INDEX('Kế hoạch'!$A$6:$A$305,ROW()-5-COUNTA('Phản ánh'!$A$6:$A$505)),""))</f>
      </c>
    </row>
    <row r="609">
      <c r="P609" s="255">
        <f>IF(ROW()-5&lt;=COUNTA('Phản ánh'!$A$6:$A$505),INDEX('Phản ánh'!$A$6:$A$505,ROW()-5),IF(ROW()-5-COUNTA('Phản ánh'!$A$6:$A$505)&lt;=COUNTA('Kế hoạch'!$A$6:$A$305),INDEX('Kế hoạch'!$A$6:$A$305,ROW()-5-COUNTA('Phản ánh'!$A$6:$A$505)),""))</f>
      </c>
    </row>
    <row r="610">
      <c r="P610" s="255">
        <f>IF(ROW()-5&lt;=COUNTA('Phản ánh'!$A$6:$A$505),INDEX('Phản ánh'!$A$6:$A$505,ROW()-5),IF(ROW()-5-COUNTA('Phản ánh'!$A$6:$A$505)&lt;=COUNTA('Kế hoạch'!$A$6:$A$305),INDEX('Kế hoạch'!$A$6:$A$305,ROW()-5-COUNTA('Phản ánh'!$A$6:$A$505)),""))</f>
      </c>
    </row>
    <row r="611">
      <c r="P611" s="255">
        <f>IF(ROW()-5&lt;=COUNTA('Phản ánh'!$A$6:$A$505),INDEX('Phản ánh'!$A$6:$A$505,ROW()-5),IF(ROW()-5-COUNTA('Phản ánh'!$A$6:$A$505)&lt;=COUNTA('Kế hoạch'!$A$6:$A$305),INDEX('Kế hoạch'!$A$6:$A$305,ROW()-5-COUNTA('Phản ánh'!$A$6:$A$505)),""))</f>
      </c>
    </row>
    <row r="612">
      <c r="P612" s="255">
        <f>IF(ROW()-5&lt;=COUNTA('Phản ánh'!$A$6:$A$505),INDEX('Phản ánh'!$A$6:$A$505,ROW()-5),IF(ROW()-5-COUNTA('Phản ánh'!$A$6:$A$505)&lt;=COUNTA('Kế hoạch'!$A$6:$A$305),INDEX('Kế hoạch'!$A$6:$A$305,ROW()-5-COUNTA('Phản ánh'!$A$6:$A$505)),""))</f>
      </c>
    </row>
    <row r="613">
      <c r="P613" s="255">
        <f>IF(ROW()-5&lt;=COUNTA('Phản ánh'!$A$6:$A$505),INDEX('Phản ánh'!$A$6:$A$505,ROW()-5),IF(ROW()-5-COUNTA('Phản ánh'!$A$6:$A$505)&lt;=COUNTA('Kế hoạch'!$A$6:$A$305),INDEX('Kế hoạch'!$A$6:$A$305,ROW()-5-COUNTA('Phản ánh'!$A$6:$A$505)),""))</f>
      </c>
    </row>
    <row r="614">
      <c r="P614" s="255">
        <f>IF(ROW()-5&lt;=COUNTA('Phản ánh'!$A$6:$A$505),INDEX('Phản ánh'!$A$6:$A$505,ROW()-5),IF(ROW()-5-COUNTA('Phản ánh'!$A$6:$A$505)&lt;=COUNTA('Kế hoạch'!$A$6:$A$305),INDEX('Kế hoạch'!$A$6:$A$305,ROW()-5-COUNTA('Phản ánh'!$A$6:$A$505)),""))</f>
      </c>
    </row>
    <row r="615">
      <c r="P615" s="255">
        <f>IF(ROW()-5&lt;=COUNTA('Phản ánh'!$A$6:$A$505),INDEX('Phản ánh'!$A$6:$A$505,ROW()-5),IF(ROW()-5-COUNTA('Phản ánh'!$A$6:$A$505)&lt;=COUNTA('Kế hoạch'!$A$6:$A$305),INDEX('Kế hoạch'!$A$6:$A$305,ROW()-5-COUNTA('Phản ánh'!$A$6:$A$505)),""))</f>
      </c>
    </row>
    <row r="616">
      <c r="P616" s="255">
        <f>IF(ROW()-5&lt;=COUNTA('Phản ánh'!$A$6:$A$505),INDEX('Phản ánh'!$A$6:$A$505,ROW()-5),IF(ROW()-5-COUNTA('Phản ánh'!$A$6:$A$505)&lt;=COUNTA('Kế hoạch'!$A$6:$A$305),INDEX('Kế hoạch'!$A$6:$A$305,ROW()-5-COUNTA('Phản ánh'!$A$6:$A$505)),""))</f>
      </c>
    </row>
    <row r="617">
      <c r="P617" s="255">
        <f>IF(ROW()-5&lt;=COUNTA('Phản ánh'!$A$6:$A$505),INDEX('Phản ánh'!$A$6:$A$505,ROW()-5),IF(ROW()-5-COUNTA('Phản ánh'!$A$6:$A$505)&lt;=COUNTA('Kế hoạch'!$A$6:$A$305),INDEX('Kế hoạch'!$A$6:$A$305,ROW()-5-COUNTA('Phản ánh'!$A$6:$A$505)),""))</f>
      </c>
    </row>
    <row r="618">
      <c r="P618" s="255">
        <f>IF(ROW()-5&lt;=COUNTA('Phản ánh'!$A$6:$A$505),INDEX('Phản ánh'!$A$6:$A$505,ROW()-5),IF(ROW()-5-COUNTA('Phản ánh'!$A$6:$A$505)&lt;=COUNTA('Kế hoạch'!$A$6:$A$305),INDEX('Kế hoạch'!$A$6:$A$305,ROW()-5-COUNTA('Phản ánh'!$A$6:$A$505)),""))</f>
      </c>
    </row>
    <row r="619">
      <c r="P619" s="255">
        <f>IF(ROW()-5&lt;=COUNTA('Phản ánh'!$A$6:$A$505),INDEX('Phản ánh'!$A$6:$A$505,ROW()-5),IF(ROW()-5-COUNTA('Phản ánh'!$A$6:$A$505)&lt;=COUNTA('Kế hoạch'!$A$6:$A$305),INDEX('Kế hoạch'!$A$6:$A$305,ROW()-5-COUNTA('Phản ánh'!$A$6:$A$505)),""))</f>
      </c>
    </row>
    <row r="620">
      <c r="P620" s="255">
        <f>IF(ROW()-5&lt;=COUNTA('Phản ánh'!$A$6:$A$505),INDEX('Phản ánh'!$A$6:$A$505,ROW()-5),IF(ROW()-5-COUNTA('Phản ánh'!$A$6:$A$505)&lt;=COUNTA('Kế hoạch'!$A$6:$A$305),INDEX('Kế hoạch'!$A$6:$A$305,ROW()-5-COUNTA('Phản ánh'!$A$6:$A$505)),""))</f>
      </c>
    </row>
    <row r="621">
      <c r="P621" s="255">
        <f>IF(ROW()-5&lt;=COUNTA('Phản ánh'!$A$6:$A$505),INDEX('Phản ánh'!$A$6:$A$505,ROW()-5),IF(ROW()-5-COUNTA('Phản ánh'!$A$6:$A$505)&lt;=COUNTA('Kế hoạch'!$A$6:$A$305),INDEX('Kế hoạch'!$A$6:$A$305,ROW()-5-COUNTA('Phản ánh'!$A$6:$A$505)),""))</f>
      </c>
    </row>
    <row r="622">
      <c r="P622" s="255">
        <f>IF(ROW()-5&lt;=COUNTA('Phản ánh'!$A$6:$A$505),INDEX('Phản ánh'!$A$6:$A$505,ROW()-5),IF(ROW()-5-COUNTA('Phản ánh'!$A$6:$A$505)&lt;=COUNTA('Kế hoạch'!$A$6:$A$305),INDEX('Kế hoạch'!$A$6:$A$305,ROW()-5-COUNTA('Phản ánh'!$A$6:$A$505)),""))</f>
      </c>
    </row>
    <row r="623">
      <c r="P623" s="255">
        <f>IF(ROW()-5&lt;=COUNTA('Phản ánh'!$A$6:$A$505),INDEX('Phản ánh'!$A$6:$A$505,ROW()-5),IF(ROW()-5-COUNTA('Phản ánh'!$A$6:$A$505)&lt;=COUNTA('Kế hoạch'!$A$6:$A$305),INDEX('Kế hoạch'!$A$6:$A$305,ROW()-5-COUNTA('Phản ánh'!$A$6:$A$505)),""))</f>
      </c>
    </row>
    <row r="624">
      <c r="P624" s="255">
        <f>IF(ROW()-5&lt;=COUNTA('Phản ánh'!$A$6:$A$505),INDEX('Phản ánh'!$A$6:$A$505,ROW()-5),IF(ROW()-5-COUNTA('Phản ánh'!$A$6:$A$505)&lt;=COUNTA('Kế hoạch'!$A$6:$A$305),INDEX('Kế hoạch'!$A$6:$A$305,ROW()-5-COUNTA('Phản ánh'!$A$6:$A$505)),""))</f>
      </c>
    </row>
    <row r="625">
      <c r="P625" s="255">
        <f>IF(ROW()-5&lt;=COUNTA('Phản ánh'!$A$6:$A$505),INDEX('Phản ánh'!$A$6:$A$505,ROW()-5),IF(ROW()-5-COUNTA('Phản ánh'!$A$6:$A$505)&lt;=COUNTA('Kế hoạch'!$A$6:$A$305),INDEX('Kế hoạch'!$A$6:$A$305,ROW()-5-COUNTA('Phản ánh'!$A$6:$A$505)),""))</f>
      </c>
    </row>
    <row r="626">
      <c r="P626" s="255">
        <f>IF(ROW()-5&lt;=COUNTA('Phản ánh'!$A$6:$A$505),INDEX('Phản ánh'!$A$6:$A$505,ROW()-5),IF(ROW()-5-COUNTA('Phản ánh'!$A$6:$A$505)&lt;=COUNTA('Kế hoạch'!$A$6:$A$305),INDEX('Kế hoạch'!$A$6:$A$305,ROW()-5-COUNTA('Phản ánh'!$A$6:$A$505)),""))</f>
      </c>
    </row>
    <row r="627">
      <c r="P627" s="255">
        <f>IF(ROW()-5&lt;=COUNTA('Phản ánh'!$A$6:$A$505),INDEX('Phản ánh'!$A$6:$A$505,ROW()-5),IF(ROW()-5-COUNTA('Phản ánh'!$A$6:$A$505)&lt;=COUNTA('Kế hoạch'!$A$6:$A$305),INDEX('Kế hoạch'!$A$6:$A$305,ROW()-5-COUNTA('Phản ánh'!$A$6:$A$505)),""))</f>
      </c>
    </row>
    <row r="628">
      <c r="P628" s="255">
        <f>IF(ROW()-5&lt;=COUNTA('Phản ánh'!$A$6:$A$505),INDEX('Phản ánh'!$A$6:$A$505,ROW()-5),IF(ROW()-5-COUNTA('Phản ánh'!$A$6:$A$505)&lt;=COUNTA('Kế hoạch'!$A$6:$A$305),INDEX('Kế hoạch'!$A$6:$A$305,ROW()-5-COUNTA('Phản ánh'!$A$6:$A$505)),""))</f>
      </c>
    </row>
    <row r="629">
      <c r="P629" s="255">
        <f>IF(ROW()-5&lt;=COUNTA('Phản ánh'!$A$6:$A$505),INDEX('Phản ánh'!$A$6:$A$505,ROW()-5),IF(ROW()-5-COUNTA('Phản ánh'!$A$6:$A$505)&lt;=COUNTA('Kế hoạch'!$A$6:$A$305),INDEX('Kế hoạch'!$A$6:$A$305,ROW()-5-COUNTA('Phản ánh'!$A$6:$A$505)),""))</f>
      </c>
    </row>
    <row r="630">
      <c r="P630" s="255">
        <f>IF(ROW()-5&lt;=COUNTA('Phản ánh'!$A$6:$A$505),INDEX('Phản ánh'!$A$6:$A$505,ROW()-5),IF(ROW()-5-COUNTA('Phản ánh'!$A$6:$A$505)&lt;=COUNTA('Kế hoạch'!$A$6:$A$305),INDEX('Kế hoạch'!$A$6:$A$305,ROW()-5-COUNTA('Phản ánh'!$A$6:$A$505)),""))</f>
      </c>
    </row>
    <row r="631">
      <c r="P631" s="255">
        <f>IF(ROW()-5&lt;=COUNTA('Phản ánh'!$A$6:$A$505),INDEX('Phản ánh'!$A$6:$A$505,ROW()-5),IF(ROW()-5-COUNTA('Phản ánh'!$A$6:$A$505)&lt;=COUNTA('Kế hoạch'!$A$6:$A$305),INDEX('Kế hoạch'!$A$6:$A$305,ROW()-5-COUNTA('Phản ánh'!$A$6:$A$505)),""))</f>
      </c>
    </row>
    <row r="632">
      <c r="P632" s="255">
        <f>IF(ROW()-5&lt;=COUNTA('Phản ánh'!$A$6:$A$505),INDEX('Phản ánh'!$A$6:$A$505,ROW()-5),IF(ROW()-5-COUNTA('Phản ánh'!$A$6:$A$505)&lt;=COUNTA('Kế hoạch'!$A$6:$A$305),INDEX('Kế hoạch'!$A$6:$A$305,ROW()-5-COUNTA('Phản ánh'!$A$6:$A$505)),""))</f>
      </c>
    </row>
    <row r="633">
      <c r="P633" s="255">
        <f>IF(ROW()-5&lt;=COUNTA('Phản ánh'!$A$6:$A$505),INDEX('Phản ánh'!$A$6:$A$505,ROW()-5),IF(ROW()-5-COUNTA('Phản ánh'!$A$6:$A$505)&lt;=COUNTA('Kế hoạch'!$A$6:$A$305),INDEX('Kế hoạch'!$A$6:$A$305,ROW()-5-COUNTA('Phản ánh'!$A$6:$A$505)),""))</f>
      </c>
    </row>
    <row r="634">
      <c r="P634" s="255">
        <f>IF(ROW()-5&lt;=COUNTA('Phản ánh'!$A$6:$A$505),INDEX('Phản ánh'!$A$6:$A$505,ROW()-5),IF(ROW()-5-COUNTA('Phản ánh'!$A$6:$A$505)&lt;=COUNTA('Kế hoạch'!$A$6:$A$305),INDEX('Kế hoạch'!$A$6:$A$305,ROW()-5-COUNTA('Phản ánh'!$A$6:$A$505)),""))</f>
      </c>
    </row>
    <row r="635">
      <c r="P635" s="255">
        <f>IF(ROW()-5&lt;=COUNTA('Phản ánh'!$A$6:$A$505),INDEX('Phản ánh'!$A$6:$A$505,ROW()-5),IF(ROW()-5-COUNTA('Phản ánh'!$A$6:$A$505)&lt;=COUNTA('Kế hoạch'!$A$6:$A$305),INDEX('Kế hoạch'!$A$6:$A$305,ROW()-5-COUNTA('Phản ánh'!$A$6:$A$505)),""))</f>
      </c>
    </row>
    <row r="636">
      <c r="P636" s="255">
        <f>IF(ROW()-5&lt;=COUNTA('Phản ánh'!$A$6:$A$505),INDEX('Phản ánh'!$A$6:$A$505,ROW()-5),IF(ROW()-5-COUNTA('Phản ánh'!$A$6:$A$505)&lt;=COUNTA('Kế hoạch'!$A$6:$A$305),INDEX('Kế hoạch'!$A$6:$A$305,ROW()-5-COUNTA('Phản ánh'!$A$6:$A$505)),""))</f>
      </c>
    </row>
    <row r="637">
      <c r="P637" s="255">
        <f>IF(ROW()-5&lt;=COUNTA('Phản ánh'!$A$6:$A$505),INDEX('Phản ánh'!$A$6:$A$505,ROW()-5),IF(ROW()-5-COUNTA('Phản ánh'!$A$6:$A$505)&lt;=COUNTA('Kế hoạch'!$A$6:$A$305),INDEX('Kế hoạch'!$A$6:$A$305,ROW()-5-COUNTA('Phản ánh'!$A$6:$A$505)),""))</f>
      </c>
    </row>
    <row r="638">
      <c r="P638" s="255">
        <f>IF(ROW()-5&lt;=COUNTA('Phản ánh'!$A$6:$A$505),INDEX('Phản ánh'!$A$6:$A$505,ROW()-5),IF(ROW()-5-COUNTA('Phản ánh'!$A$6:$A$505)&lt;=COUNTA('Kế hoạch'!$A$6:$A$305),INDEX('Kế hoạch'!$A$6:$A$305,ROW()-5-COUNTA('Phản ánh'!$A$6:$A$505)),""))</f>
      </c>
    </row>
    <row r="639">
      <c r="P639" s="255">
        <f>IF(ROW()-5&lt;=COUNTA('Phản ánh'!$A$6:$A$505),INDEX('Phản ánh'!$A$6:$A$505,ROW()-5),IF(ROW()-5-COUNTA('Phản ánh'!$A$6:$A$505)&lt;=COUNTA('Kế hoạch'!$A$6:$A$305),INDEX('Kế hoạch'!$A$6:$A$305,ROW()-5-COUNTA('Phản ánh'!$A$6:$A$505)),""))</f>
      </c>
    </row>
    <row r="640">
      <c r="P640" s="255">
        <f>IF(ROW()-5&lt;=COUNTA('Phản ánh'!$A$6:$A$505),INDEX('Phản ánh'!$A$6:$A$505,ROW()-5),IF(ROW()-5-COUNTA('Phản ánh'!$A$6:$A$505)&lt;=COUNTA('Kế hoạch'!$A$6:$A$305),INDEX('Kế hoạch'!$A$6:$A$305,ROW()-5-COUNTA('Phản ánh'!$A$6:$A$505)),""))</f>
      </c>
    </row>
    <row r="641">
      <c r="P641" s="255">
        <f>IF(ROW()-5&lt;=COUNTA('Phản ánh'!$A$6:$A$505),INDEX('Phản ánh'!$A$6:$A$505,ROW()-5),IF(ROW()-5-COUNTA('Phản ánh'!$A$6:$A$505)&lt;=COUNTA('Kế hoạch'!$A$6:$A$305),INDEX('Kế hoạch'!$A$6:$A$305,ROW()-5-COUNTA('Phản ánh'!$A$6:$A$505)),""))</f>
      </c>
    </row>
    <row r="642">
      <c r="P642" s="255">
        <f>IF(ROW()-5&lt;=COUNTA('Phản ánh'!$A$6:$A$505),INDEX('Phản ánh'!$A$6:$A$505,ROW()-5),IF(ROW()-5-COUNTA('Phản ánh'!$A$6:$A$505)&lt;=COUNTA('Kế hoạch'!$A$6:$A$305),INDEX('Kế hoạch'!$A$6:$A$305,ROW()-5-COUNTA('Phản ánh'!$A$6:$A$505)),""))</f>
      </c>
    </row>
    <row r="643">
      <c r="P643" s="255">
        <f>IF(ROW()-5&lt;=COUNTA('Phản ánh'!$A$6:$A$505),INDEX('Phản ánh'!$A$6:$A$505,ROW()-5),IF(ROW()-5-COUNTA('Phản ánh'!$A$6:$A$505)&lt;=COUNTA('Kế hoạch'!$A$6:$A$305),INDEX('Kế hoạch'!$A$6:$A$305,ROW()-5-COUNTA('Phản ánh'!$A$6:$A$505)),""))</f>
      </c>
    </row>
    <row r="644">
      <c r="P644" s="255">
        <f>IF(ROW()-5&lt;=COUNTA('Phản ánh'!$A$6:$A$505),INDEX('Phản ánh'!$A$6:$A$505,ROW()-5),IF(ROW()-5-COUNTA('Phản ánh'!$A$6:$A$505)&lt;=COUNTA('Kế hoạch'!$A$6:$A$305),INDEX('Kế hoạch'!$A$6:$A$305,ROW()-5-COUNTA('Phản ánh'!$A$6:$A$505)),""))</f>
      </c>
    </row>
    <row r="645">
      <c r="P645" s="255">
        <f>IF(ROW()-5&lt;=COUNTA('Phản ánh'!$A$6:$A$505),INDEX('Phản ánh'!$A$6:$A$505,ROW()-5),IF(ROW()-5-COUNTA('Phản ánh'!$A$6:$A$505)&lt;=COUNTA('Kế hoạch'!$A$6:$A$305),INDEX('Kế hoạch'!$A$6:$A$305,ROW()-5-COUNTA('Phản ánh'!$A$6:$A$505)),""))</f>
      </c>
    </row>
    <row r="646">
      <c r="P646" s="255">
        <f>IF(ROW()-5&lt;=COUNTA('Phản ánh'!$A$6:$A$505),INDEX('Phản ánh'!$A$6:$A$505,ROW()-5),IF(ROW()-5-COUNTA('Phản ánh'!$A$6:$A$505)&lt;=COUNTA('Kế hoạch'!$A$6:$A$305),INDEX('Kế hoạch'!$A$6:$A$305,ROW()-5-COUNTA('Phản ánh'!$A$6:$A$505)),""))</f>
      </c>
    </row>
    <row r="647">
      <c r="P647" s="255">
        <f>IF(ROW()-5&lt;=COUNTA('Phản ánh'!$A$6:$A$505),INDEX('Phản ánh'!$A$6:$A$505,ROW()-5),IF(ROW()-5-COUNTA('Phản ánh'!$A$6:$A$505)&lt;=COUNTA('Kế hoạch'!$A$6:$A$305),INDEX('Kế hoạch'!$A$6:$A$305,ROW()-5-COUNTA('Phản ánh'!$A$6:$A$505)),""))</f>
      </c>
    </row>
    <row r="648">
      <c r="P648" s="255">
        <f>IF(ROW()-5&lt;=COUNTA('Phản ánh'!$A$6:$A$505),INDEX('Phản ánh'!$A$6:$A$505,ROW()-5),IF(ROW()-5-COUNTA('Phản ánh'!$A$6:$A$505)&lt;=COUNTA('Kế hoạch'!$A$6:$A$305),INDEX('Kế hoạch'!$A$6:$A$305,ROW()-5-COUNTA('Phản ánh'!$A$6:$A$505)),""))</f>
      </c>
    </row>
    <row r="649">
      <c r="P649" s="255">
        <f>IF(ROW()-5&lt;=COUNTA('Phản ánh'!$A$6:$A$505),INDEX('Phản ánh'!$A$6:$A$505,ROW()-5),IF(ROW()-5-COUNTA('Phản ánh'!$A$6:$A$505)&lt;=COUNTA('Kế hoạch'!$A$6:$A$305),INDEX('Kế hoạch'!$A$6:$A$305,ROW()-5-COUNTA('Phản ánh'!$A$6:$A$505)),""))</f>
      </c>
    </row>
    <row r="650">
      <c r="P650" s="255">
        <f>IF(ROW()-5&lt;=COUNTA('Phản ánh'!$A$6:$A$505),INDEX('Phản ánh'!$A$6:$A$505,ROW()-5),IF(ROW()-5-COUNTA('Phản ánh'!$A$6:$A$505)&lt;=COUNTA('Kế hoạch'!$A$6:$A$305),INDEX('Kế hoạch'!$A$6:$A$305,ROW()-5-COUNTA('Phản ánh'!$A$6:$A$505)),""))</f>
      </c>
    </row>
    <row r="651">
      <c r="P651" s="255">
        <f>IF(ROW()-5&lt;=COUNTA('Phản ánh'!$A$6:$A$505),INDEX('Phản ánh'!$A$6:$A$505,ROW()-5),IF(ROW()-5-COUNTA('Phản ánh'!$A$6:$A$505)&lt;=COUNTA('Kế hoạch'!$A$6:$A$305),INDEX('Kế hoạch'!$A$6:$A$305,ROW()-5-COUNTA('Phản ánh'!$A$6:$A$505)),""))</f>
      </c>
    </row>
    <row r="652">
      <c r="P652" s="255">
        <f>IF(ROW()-5&lt;=COUNTA('Phản ánh'!$A$6:$A$505),INDEX('Phản ánh'!$A$6:$A$505,ROW()-5),IF(ROW()-5-COUNTA('Phản ánh'!$A$6:$A$505)&lt;=COUNTA('Kế hoạch'!$A$6:$A$305),INDEX('Kế hoạch'!$A$6:$A$305,ROW()-5-COUNTA('Phản ánh'!$A$6:$A$505)),""))</f>
      </c>
    </row>
    <row r="653">
      <c r="P653" s="255">
        <f>IF(ROW()-5&lt;=COUNTA('Phản ánh'!$A$6:$A$505),INDEX('Phản ánh'!$A$6:$A$505,ROW()-5),IF(ROW()-5-COUNTA('Phản ánh'!$A$6:$A$505)&lt;=COUNTA('Kế hoạch'!$A$6:$A$305),INDEX('Kế hoạch'!$A$6:$A$305,ROW()-5-COUNTA('Phản ánh'!$A$6:$A$505)),""))</f>
      </c>
    </row>
    <row r="654">
      <c r="P654" s="255">
        <f>IF(ROW()-5&lt;=COUNTA('Phản ánh'!$A$6:$A$505),INDEX('Phản ánh'!$A$6:$A$505,ROW()-5),IF(ROW()-5-COUNTA('Phản ánh'!$A$6:$A$505)&lt;=COUNTA('Kế hoạch'!$A$6:$A$305),INDEX('Kế hoạch'!$A$6:$A$305,ROW()-5-COUNTA('Phản ánh'!$A$6:$A$505)),""))</f>
      </c>
    </row>
    <row r="655">
      <c r="P655" s="255">
        <f>IF(ROW()-5&lt;=COUNTA('Phản ánh'!$A$6:$A$505),INDEX('Phản ánh'!$A$6:$A$505,ROW()-5),IF(ROW()-5-COUNTA('Phản ánh'!$A$6:$A$505)&lt;=COUNTA('Kế hoạch'!$A$6:$A$305),INDEX('Kế hoạch'!$A$6:$A$305,ROW()-5-COUNTA('Phản ánh'!$A$6:$A$505)),""))</f>
      </c>
    </row>
    <row r="656">
      <c r="P656" s="255">
        <f>IF(ROW()-5&lt;=COUNTA('Phản ánh'!$A$6:$A$505),INDEX('Phản ánh'!$A$6:$A$505,ROW()-5),IF(ROW()-5-COUNTA('Phản ánh'!$A$6:$A$505)&lt;=COUNTA('Kế hoạch'!$A$6:$A$305),INDEX('Kế hoạch'!$A$6:$A$305,ROW()-5-COUNTA('Phản ánh'!$A$6:$A$505)),""))</f>
      </c>
    </row>
    <row r="657">
      <c r="P657" s="255">
        <f>IF(ROW()-5&lt;=COUNTA('Phản ánh'!$A$6:$A$505),INDEX('Phản ánh'!$A$6:$A$505,ROW()-5),IF(ROW()-5-COUNTA('Phản ánh'!$A$6:$A$505)&lt;=COUNTA('Kế hoạch'!$A$6:$A$305),INDEX('Kế hoạch'!$A$6:$A$305,ROW()-5-COUNTA('Phản ánh'!$A$6:$A$505)),""))</f>
      </c>
    </row>
    <row r="658">
      <c r="P658" s="255">
        <f>IF(ROW()-5&lt;=COUNTA('Phản ánh'!$A$6:$A$505),INDEX('Phản ánh'!$A$6:$A$505,ROW()-5),IF(ROW()-5-COUNTA('Phản ánh'!$A$6:$A$505)&lt;=COUNTA('Kế hoạch'!$A$6:$A$305),INDEX('Kế hoạch'!$A$6:$A$305,ROW()-5-COUNTA('Phản ánh'!$A$6:$A$505)),""))</f>
      </c>
    </row>
    <row r="659">
      <c r="P659" s="255">
        <f>IF(ROW()-5&lt;=COUNTA('Phản ánh'!$A$6:$A$505),INDEX('Phản ánh'!$A$6:$A$505,ROW()-5),IF(ROW()-5-COUNTA('Phản ánh'!$A$6:$A$505)&lt;=COUNTA('Kế hoạch'!$A$6:$A$305),INDEX('Kế hoạch'!$A$6:$A$305,ROW()-5-COUNTA('Phản ánh'!$A$6:$A$505)),""))</f>
      </c>
    </row>
    <row r="660">
      <c r="P660" s="255">
        <f>IF(ROW()-5&lt;=COUNTA('Phản ánh'!$A$6:$A$505),INDEX('Phản ánh'!$A$6:$A$505,ROW()-5),IF(ROW()-5-COUNTA('Phản ánh'!$A$6:$A$505)&lt;=COUNTA('Kế hoạch'!$A$6:$A$305),INDEX('Kế hoạch'!$A$6:$A$305,ROW()-5-COUNTA('Phản ánh'!$A$6:$A$505)),""))</f>
      </c>
    </row>
    <row r="661">
      <c r="P661" s="255">
        <f>IF(ROW()-5&lt;=COUNTA('Phản ánh'!$A$6:$A$505),INDEX('Phản ánh'!$A$6:$A$505,ROW()-5),IF(ROW()-5-COUNTA('Phản ánh'!$A$6:$A$505)&lt;=COUNTA('Kế hoạch'!$A$6:$A$305),INDEX('Kế hoạch'!$A$6:$A$305,ROW()-5-COUNTA('Phản ánh'!$A$6:$A$505)),""))</f>
      </c>
    </row>
    <row r="662">
      <c r="P662" s="255">
        <f>IF(ROW()-5&lt;=COUNTA('Phản ánh'!$A$6:$A$505),INDEX('Phản ánh'!$A$6:$A$505,ROW()-5),IF(ROW()-5-COUNTA('Phản ánh'!$A$6:$A$505)&lt;=COUNTA('Kế hoạch'!$A$6:$A$305),INDEX('Kế hoạch'!$A$6:$A$305,ROW()-5-COUNTA('Phản ánh'!$A$6:$A$505)),""))</f>
      </c>
    </row>
    <row r="663">
      <c r="P663" s="255">
        <f>IF(ROW()-5&lt;=COUNTA('Phản ánh'!$A$6:$A$505),INDEX('Phản ánh'!$A$6:$A$505,ROW()-5),IF(ROW()-5-COUNTA('Phản ánh'!$A$6:$A$505)&lt;=COUNTA('Kế hoạch'!$A$6:$A$305),INDEX('Kế hoạch'!$A$6:$A$305,ROW()-5-COUNTA('Phản ánh'!$A$6:$A$505)),""))</f>
      </c>
    </row>
    <row r="664">
      <c r="P664" s="255">
        <f>IF(ROW()-5&lt;=COUNTA('Phản ánh'!$A$6:$A$505),INDEX('Phản ánh'!$A$6:$A$505,ROW()-5),IF(ROW()-5-COUNTA('Phản ánh'!$A$6:$A$505)&lt;=COUNTA('Kế hoạch'!$A$6:$A$305),INDEX('Kế hoạch'!$A$6:$A$305,ROW()-5-COUNTA('Phản ánh'!$A$6:$A$505)),""))</f>
      </c>
    </row>
    <row r="665">
      <c r="P665" s="255">
        <f>IF(ROW()-5&lt;=COUNTA('Phản ánh'!$A$6:$A$505),INDEX('Phản ánh'!$A$6:$A$505,ROW()-5),IF(ROW()-5-COUNTA('Phản ánh'!$A$6:$A$505)&lt;=COUNTA('Kế hoạch'!$A$6:$A$305),INDEX('Kế hoạch'!$A$6:$A$305,ROW()-5-COUNTA('Phản ánh'!$A$6:$A$505)),""))</f>
      </c>
    </row>
    <row r="666">
      <c r="P666" s="255">
        <f>IF(ROW()-5&lt;=COUNTA('Phản ánh'!$A$6:$A$505),INDEX('Phản ánh'!$A$6:$A$505,ROW()-5),IF(ROW()-5-COUNTA('Phản ánh'!$A$6:$A$505)&lt;=COUNTA('Kế hoạch'!$A$6:$A$305),INDEX('Kế hoạch'!$A$6:$A$305,ROW()-5-COUNTA('Phản ánh'!$A$6:$A$505)),""))</f>
      </c>
    </row>
    <row r="667">
      <c r="P667" s="255">
        <f>IF(ROW()-5&lt;=COUNTA('Phản ánh'!$A$6:$A$505),INDEX('Phản ánh'!$A$6:$A$505,ROW()-5),IF(ROW()-5-COUNTA('Phản ánh'!$A$6:$A$505)&lt;=COUNTA('Kế hoạch'!$A$6:$A$305),INDEX('Kế hoạch'!$A$6:$A$305,ROW()-5-COUNTA('Phản ánh'!$A$6:$A$505)),""))</f>
      </c>
    </row>
    <row r="668">
      <c r="P668" s="255">
        <f>IF(ROW()-5&lt;=COUNTA('Phản ánh'!$A$6:$A$505),INDEX('Phản ánh'!$A$6:$A$505,ROW()-5),IF(ROW()-5-COUNTA('Phản ánh'!$A$6:$A$505)&lt;=COUNTA('Kế hoạch'!$A$6:$A$305),INDEX('Kế hoạch'!$A$6:$A$305,ROW()-5-COUNTA('Phản ánh'!$A$6:$A$505)),""))</f>
      </c>
    </row>
    <row r="669">
      <c r="P669" s="255">
        <f>IF(ROW()-5&lt;=COUNTA('Phản ánh'!$A$6:$A$505),INDEX('Phản ánh'!$A$6:$A$505,ROW()-5),IF(ROW()-5-COUNTA('Phản ánh'!$A$6:$A$505)&lt;=COUNTA('Kế hoạch'!$A$6:$A$305),INDEX('Kế hoạch'!$A$6:$A$305,ROW()-5-COUNTA('Phản ánh'!$A$6:$A$505)),""))</f>
      </c>
    </row>
    <row r="670">
      <c r="P670" s="255">
        <f>IF(ROW()-5&lt;=COUNTA('Phản ánh'!$A$6:$A$505),INDEX('Phản ánh'!$A$6:$A$505,ROW()-5),IF(ROW()-5-COUNTA('Phản ánh'!$A$6:$A$505)&lt;=COUNTA('Kế hoạch'!$A$6:$A$305),INDEX('Kế hoạch'!$A$6:$A$305,ROW()-5-COUNTA('Phản ánh'!$A$6:$A$505)),""))</f>
      </c>
    </row>
    <row r="671">
      <c r="P671" s="255">
        <f>IF(ROW()-5&lt;=COUNTA('Phản ánh'!$A$6:$A$505),INDEX('Phản ánh'!$A$6:$A$505,ROW()-5),IF(ROW()-5-COUNTA('Phản ánh'!$A$6:$A$505)&lt;=COUNTA('Kế hoạch'!$A$6:$A$305),INDEX('Kế hoạch'!$A$6:$A$305,ROW()-5-COUNTA('Phản ánh'!$A$6:$A$505)),""))</f>
      </c>
    </row>
    <row r="672">
      <c r="P672" s="255">
        <f>IF(ROW()-5&lt;=COUNTA('Phản ánh'!$A$6:$A$505),INDEX('Phản ánh'!$A$6:$A$505,ROW()-5),IF(ROW()-5-COUNTA('Phản ánh'!$A$6:$A$505)&lt;=COUNTA('Kế hoạch'!$A$6:$A$305),INDEX('Kế hoạch'!$A$6:$A$305,ROW()-5-COUNTA('Phản ánh'!$A$6:$A$505)),""))</f>
      </c>
    </row>
    <row r="673">
      <c r="P673" s="255">
        <f>IF(ROW()-5&lt;=COUNTA('Phản ánh'!$A$6:$A$505),INDEX('Phản ánh'!$A$6:$A$505,ROW()-5),IF(ROW()-5-COUNTA('Phản ánh'!$A$6:$A$505)&lt;=COUNTA('Kế hoạch'!$A$6:$A$305),INDEX('Kế hoạch'!$A$6:$A$305,ROW()-5-COUNTA('Phản ánh'!$A$6:$A$505)),""))</f>
      </c>
    </row>
    <row r="674">
      <c r="P674" s="255">
        <f>IF(ROW()-5&lt;=COUNTA('Phản ánh'!$A$6:$A$505),INDEX('Phản ánh'!$A$6:$A$505,ROW()-5),IF(ROW()-5-COUNTA('Phản ánh'!$A$6:$A$505)&lt;=COUNTA('Kế hoạch'!$A$6:$A$305),INDEX('Kế hoạch'!$A$6:$A$305,ROW()-5-COUNTA('Phản ánh'!$A$6:$A$505)),""))</f>
      </c>
    </row>
    <row r="675">
      <c r="P675" s="255">
        <f>IF(ROW()-5&lt;=COUNTA('Phản ánh'!$A$6:$A$505),INDEX('Phản ánh'!$A$6:$A$505,ROW()-5),IF(ROW()-5-COUNTA('Phản ánh'!$A$6:$A$505)&lt;=COUNTA('Kế hoạch'!$A$6:$A$305),INDEX('Kế hoạch'!$A$6:$A$305,ROW()-5-COUNTA('Phản ánh'!$A$6:$A$505)),""))</f>
      </c>
    </row>
    <row r="676">
      <c r="P676" s="255">
        <f>IF(ROW()-5&lt;=COUNTA('Phản ánh'!$A$6:$A$505),INDEX('Phản ánh'!$A$6:$A$505,ROW()-5),IF(ROW()-5-COUNTA('Phản ánh'!$A$6:$A$505)&lt;=COUNTA('Kế hoạch'!$A$6:$A$305),INDEX('Kế hoạch'!$A$6:$A$305,ROW()-5-COUNTA('Phản ánh'!$A$6:$A$505)),""))</f>
      </c>
    </row>
    <row r="677">
      <c r="P677" s="255">
        <f>IF(ROW()-5&lt;=COUNTA('Phản ánh'!$A$6:$A$505),INDEX('Phản ánh'!$A$6:$A$505,ROW()-5),IF(ROW()-5-COUNTA('Phản ánh'!$A$6:$A$505)&lt;=COUNTA('Kế hoạch'!$A$6:$A$305),INDEX('Kế hoạch'!$A$6:$A$305,ROW()-5-COUNTA('Phản ánh'!$A$6:$A$505)),""))</f>
      </c>
    </row>
    <row r="678">
      <c r="P678" s="255">
        <f>IF(ROW()-5&lt;=COUNTA('Phản ánh'!$A$6:$A$505),INDEX('Phản ánh'!$A$6:$A$505,ROW()-5),IF(ROW()-5-COUNTA('Phản ánh'!$A$6:$A$505)&lt;=COUNTA('Kế hoạch'!$A$6:$A$305),INDEX('Kế hoạch'!$A$6:$A$305,ROW()-5-COUNTA('Phản ánh'!$A$6:$A$505)),""))</f>
      </c>
    </row>
    <row r="679">
      <c r="P679" s="255">
        <f>IF(ROW()-5&lt;=COUNTA('Phản ánh'!$A$6:$A$505),INDEX('Phản ánh'!$A$6:$A$505,ROW()-5),IF(ROW()-5-COUNTA('Phản ánh'!$A$6:$A$505)&lt;=COUNTA('Kế hoạch'!$A$6:$A$305),INDEX('Kế hoạch'!$A$6:$A$305,ROW()-5-COUNTA('Phản ánh'!$A$6:$A$505)),""))</f>
      </c>
    </row>
    <row r="680">
      <c r="P680" s="255">
        <f>IF(ROW()-5&lt;=COUNTA('Phản ánh'!$A$6:$A$505),INDEX('Phản ánh'!$A$6:$A$505,ROW()-5),IF(ROW()-5-COUNTA('Phản ánh'!$A$6:$A$505)&lt;=COUNTA('Kế hoạch'!$A$6:$A$305),INDEX('Kế hoạch'!$A$6:$A$305,ROW()-5-COUNTA('Phản ánh'!$A$6:$A$505)),""))</f>
      </c>
    </row>
    <row r="681">
      <c r="P681" s="255">
        <f>IF(ROW()-5&lt;=COUNTA('Phản ánh'!$A$6:$A$505),INDEX('Phản ánh'!$A$6:$A$505,ROW()-5),IF(ROW()-5-COUNTA('Phản ánh'!$A$6:$A$505)&lt;=COUNTA('Kế hoạch'!$A$6:$A$305),INDEX('Kế hoạch'!$A$6:$A$305,ROW()-5-COUNTA('Phản ánh'!$A$6:$A$505)),""))</f>
      </c>
    </row>
    <row r="682">
      <c r="P682" s="255">
        <f>IF(ROW()-5&lt;=COUNTA('Phản ánh'!$A$6:$A$505),INDEX('Phản ánh'!$A$6:$A$505,ROW()-5),IF(ROW()-5-COUNTA('Phản ánh'!$A$6:$A$505)&lt;=COUNTA('Kế hoạch'!$A$6:$A$305),INDEX('Kế hoạch'!$A$6:$A$305,ROW()-5-COUNTA('Phản ánh'!$A$6:$A$505)),""))</f>
      </c>
    </row>
    <row r="683">
      <c r="P683" s="255">
        <f>IF(ROW()-5&lt;=COUNTA('Phản ánh'!$A$6:$A$505),INDEX('Phản ánh'!$A$6:$A$505,ROW()-5),IF(ROW()-5-COUNTA('Phản ánh'!$A$6:$A$505)&lt;=COUNTA('Kế hoạch'!$A$6:$A$305),INDEX('Kế hoạch'!$A$6:$A$305,ROW()-5-COUNTA('Phản ánh'!$A$6:$A$505)),""))</f>
      </c>
    </row>
    <row r="684">
      <c r="P684" s="255">
        <f>IF(ROW()-5&lt;=COUNTA('Phản ánh'!$A$6:$A$505),INDEX('Phản ánh'!$A$6:$A$505,ROW()-5),IF(ROW()-5-COUNTA('Phản ánh'!$A$6:$A$505)&lt;=COUNTA('Kế hoạch'!$A$6:$A$305),INDEX('Kế hoạch'!$A$6:$A$305,ROW()-5-COUNTA('Phản ánh'!$A$6:$A$505)),""))</f>
      </c>
    </row>
    <row r="685">
      <c r="P685" s="255">
        <f>IF(ROW()-5&lt;=COUNTA('Phản ánh'!$A$6:$A$505),INDEX('Phản ánh'!$A$6:$A$505,ROW()-5),IF(ROW()-5-COUNTA('Phản ánh'!$A$6:$A$505)&lt;=COUNTA('Kế hoạch'!$A$6:$A$305),INDEX('Kế hoạch'!$A$6:$A$305,ROW()-5-COUNTA('Phản ánh'!$A$6:$A$505)),""))</f>
      </c>
    </row>
    <row r="686">
      <c r="P686" s="255">
        <f>IF(ROW()-5&lt;=COUNTA('Phản ánh'!$A$6:$A$505),INDEX('Phản ánh'!$A$6:$A$505,ROW()-5),IF(ROW()-5-COUNTA('Phản ánh'!$A$6:$A$505)&lt;=COUNTA('Kế hoạch'!$A$6:$A$305),INDEX('Kế hoạch'!$A$6:$A$305,ROW()-5-COUNTA('Phản ánh'!$A$6:$A$505)),""))</f>
      </c>
    </row>
    <row r="687">
      <c r="P687" s="255">
        <f>IF(ROW()-5&lt;=COUNTA('Phản ánh'!$A$6:$A$505),INDEX('Phản ánh'!$A$6:$A$505,ROW()-5),IF(ROW()-5-COUNTA('Phản ánh'!$A$6:$A$505)&lt;=COUNTA('Kế hoạch'!$A$6:$A$305),INDEX('Kế hoạch'!$A$6:$A$305,ROW()-5-COUNTA('Phản ánh'!$A$6:$A$505)),""))</f>
      </c>
    </row>
    <row r="688">
      <c r="P688" s="255">
        <f>IF(ROW()-5&lt;=COUNTA('Phản ánh'!$A$6:$A$505),INDEX('Phản ánh'!$A$6:$A$505,ROW()-5),IF(ROW()-5-COUNTA('Phản ánh'!$A$6:$A$505)&lt;=COUNTA('Kế hoạch'!$A$6:$A$305),INDEX('Kế hoạch'!$A$6:$A$305,ROW()-5-COUNTA('Phản ánh'!$A$6:$A$505)),""))</f>
      </c>
    </row>
    <row r="689">
      <c r="P689" s="255">
        <f>IF(ROW()-5&lt;=COUNTA('Phản ánh'!$A$6:$A$505),INDEX('Phản ánh'!$A$6:$A$505,ROW()-5),IF(ROW()-5-COUNTA('Phản ánh'!$A$6:$A$505)&lt;=COUNTA('Kế hoạch'!$A$6:$A$305),INDEX('Kế hoạch'!$A$6:$A$305,ROW()-5-COUNTA('Phản ánh'!$A$6:$A$505)),""))</f>
      </c>
    </row>
    <row r="690">
      <c r="P690" s="255">
        <f>IF(ROW()-5&lt;=COUNTA('Phản ánh'!$A$6:$A$505),INDEX('Phản ánh'!$A$6:$A$505,ROW()-5),IF(ROW()-5-COUNTA('Phản ánh'!$A$6:$A$505)&lt;=COUNTA('Kế hoạch'!$A$6:$A$305),INDEX('Kế hoạch'!$A$6:$A$305,ROW()-5-COUNTA('Phản ánh'!$A$6:$A$505)),""))</f>
      </c>
    </row>
    <row r="691">
      <c r="P691" s="255">
        <f>IF(ROW()-5&lt;=COUNTA('Phản ánh'!$A$6:$A$505),INDEX('Phản ánh'!$A$6:$A$505,ROW()-5),IF(ROW()-5-COUNTA('Phản ánh'!$A$6:$A$505)&lt;=COUNTA('Kế hoạch'!$A$6:$A$305),INDEX('Kế hoạch'!$A$6:$A$305,ROW()-5-COUNTA('Phản ánh'!$A$6:$A$505)),""))</f>
      </c>
    </row>
    <row r="692">
      <c r="P692" s="255">
        <f>IF(ROW()-5&lt;=COUNTA('Phản ánh'!$A$6:$A$505),INDEX('Phản ánh'!$A$6:$A$505,ROW()-5),IF(ROW()-5-COUNTA('Phản ánh'!$A$6:$A$505)&lt;=COUNTA('Kế hoạch'!$A$6:$A$305),INDEX('Kế hoạch'!$A$6:$A$305,ROW()-5-COUNTA('Phản ánh'!$A$6:$A$505)),""))</f>
      </c>
    </row>
    <row r="693">
      <c r="P693" s="255">
        <f>IF(ROW()-5&lt;=COUNTA('Phản ánh'!$A$6:$A$505),INDEX('Phản ánh'!$A$6:$A$505,ROW()-5),IF(ROW()-5-COUNTA('Phản ánh'!$A$6:$A$505)&lt;=COUNTA('Kế hoạch'!$A$6:$A$305),INDEX('Kế hoạch'!$A$6:$A$305,ROW()-5-COUNTA('Phản ánh'!$A$6:$A$505)),""))</f>
      </c>
    </row>
    <row r="694">
      <c r="P694" s="255">
        <f>IF(ROW()-5&lt;=COUNTA('Phản ánh'!$A$6:$A$505),INDEX('Phản ánh'!$A$6:$A$505,ROW()-5),IF(ROW()-5-COUNTA('Phản ánh'!$A$6:$A$505)&lt;=COUNTA('Kế hoạch'!$A$6:$A$305),INDEX('Kế hoạch'!$A$6:$A$305,ROW()-5-COUNTA('Phản ánh'!$A$6:$A$505)),""))</f>
      </c>
    </row>
    <row r="695">
      <c r="P695" s="255">
        <f>IF(ROW()-5&lt;=COUNTA('Phản ánh'!$A$6:$A$505),INDEX('Phản ánh'!$A$6:$A$505,ROW()-5),IF(ROW()-5-COUNTA('Phản ánh'!$A$6:$A$505)&lt;=COUNTA('Kế hoạch'!$A$6:$A$305),INDEX('Kế hoạch'!$A$6:$A$305,ROW()-5-COUNTA('Phản ánh'!$A$6:$A$505)),""))</f>
      </c>
    </row>
    <row r="696">
      <c r="P696" s="255">
        <f>IF(ROW()-5&lt;=COUNTA('Phản ánh'!$A$6:$A$505),INDEX('Phản ánh'!$A$6:$A$505,ROW()-5),IF(ROW()-5-COUNTA('Phản ánh'!$A$6:$A$505)&lt;=COUNTA('Kế hoạch'!$A$6:$A$305),INDEX('Kế hoạch'!$A$6:$A$305,ROW()-5-COUNTA('Phản ánh'!$A$6:$A$505)),""))</f>
      </c>
    </row>
    <row r="697">
      <c r="P697" s="255">
        <f>IF(ROW()-5&lt;=COUNTA('Phản ánh'!$A$6:$A$505),INDEX('Phản ánh'!$A$6:$A$505,ROW()-5),IF(ROW()-5-COUNTA('Phản ánh'!$A$6:$A$505)&lt;=COUNTA('Kế hoạch'!$A$6:$A$305),INDEX('Kế hoạch'!$A$6:$A$305,ROW()-5-COUNTA('Phản ánh'!$A$6:$A$505)),""))</f>
      </c>
    </row>
    <row r="698">
      <c r="P698" s="255">
        <f>IF(ROW()-5&lt;=COUNTA('Phản ánh'!$A$6:$A$505),INDEX('Phản ánh'!$A$6:$A$505,ROW()-5),IF(ROW()-5-COUNTA('Phản ánh'!$A$6:$A$505)&lt;=COUNTA('Kế hoạch'!$A$6:$A$305),INDEX('Kế hoạch'!$A$6:$A$305,ROW()-5-COUNTA('Phản ánh'!$A$6:$A$505)),""))</f>
      </c>
    </row>
    <row r="699">
      <c r="P699" s="255">
        <f>IF(ROW()-5&lt;=COUNTA('Phản ánh'!$A$6:$A$505),INDEX('Phản ánh'!$A$6:$A$505,ROW()-5),IF(ROW()-5-COUNTA('Phản ánh'!$A$6:$A$505)&lt;=COUNTA('Kế hoạch'!$A$6:$A$305),INDEX('Kế hoạch'!$A$6:$A$305,ROW()-5-COUNTA('Phản ánh'!$A$6:$A$505)),""))</f>
      </c>
    </row>
    <row r="700">
      <c r="P700" s="255">
        <f>IF(ROW()-5&lt;=COUNTA('Phản ánh'!$A$6:$A$505),INDEX('Phản ánh'!$A$6:$A$505,ROW()-5),IF(ROW()-5-COUNTA('Phản ánh'!$A$6:$A$505)&lt;=COUNTA('Kế hoạch'!$A$6:$A$305),INDEX('Kế hoạch'!$A$6:$A$305,ROW()-5-COUNTA('Phản ánh'!$A$6:$A$505)),""))</f>
      </c>
    </row>
    <row r="701">
      <c r="P701" s="255">
        <f>IF(ROW()-5&lt;=COUNTA('Phản ánh'!$A$6:$A$505),INDEX('Phản ánh'!$A$6:$A$505,ROW()-5),IF(ROW()-5-COUNTA('Phản ánh'!$A$6:$A$505)&lt;=COUNTA('Kế hoạch'!$A$6:$A$305),INDEX('Kế hoạch'!$A$6:$A$305,ROW()-5-COUNTA('Phản ánh'!$A$6:$A$505)),""))</f>
      </c>
    </row>
    <row r="702">
      <c r="P702" s="255">
        <f>IF(ROW()-5&lt;=COUNTA('Phản ánh'!$A$6:$A$505),INDEX('Phản ánh'!$A$6:$A$505,ROW()-5),IF(ROW()-5-COUNTA('Phản ánh'!$A$6:$A$505)&lt;=COUNTA('Kế hoạch'!$A$6:$A$305),INDEX('Kế hoạch'!$A$6:$A$305,ROW()-5-COUNTA('Phản ánh'!$A$6:$A$505)),""))</f>
      </c>
    </row>
    <row r="703">
      <c r="P703" s="255">
        <f>IF(ROW()-5&lt;=COUNTA('Phản ánh'!$A$6:$A$505),INDEX('Phản ánh'!$A$6:$A$505,ROW()-5),IF(ROW()-5-COUNTA('Phản ánh'!$A$6:$A$505)&lt;=COUNTA('Kế hoạch'!$A$6:$A$305),INDEX('Kế hoạch'!$A$6:$A$305,ROW()-5-COUNTA('Phản ánh'!$A$6:$A$505)),""))</f>
      </c>
    </row>
    <row r="704">
      <c r="P704" s="255">
        <f>IF(ROW()-5&lt;=COUNTA('Phản ánh'!$A$6:$A$505),INDEX('Phản ánh'!$A$6:$A$505,ROW()-5),IF(ROW()-5-COUNTA('Phản ánh'!$A$6:$A$505)&lt;=COUNTA('Kế hoạch'!$A$6:$A$305),INDEX('Kế hoạch'!$A$6:$A$305,ROW()-5-COUNTA('Phản ánh'!$A$6:$A$505)),""))</f>
      </c>
    </row>
    <row r="705">
      <c r="P705" s="255">
        <f>IF(ROW()-5&lt;=COUNTA('Phản ánh'!$A$6:$A$505),INDEX('Phản ánh'!$A$6:$A$505,ROW()-5),IF(ROW()-5-COUNTA('Phản ánh'!$A$6:$A$505)&lt;=COUNTA('Kế hoạch'!$A$6:$A$305),INDEX('Kế hoạch'!$A$6:$A$305,ROW()-5-COUNTA('Phản ánh'!$A$6:$A$505)),""))</f>
      </c>
    </row>
    <row r="706">
      <c r="P706" s="255">
        <f>IF(ROW()-5&lt;=COUNTA('Phản ánh'!$A$6:$A$505),INDEX('Phản ánh'!$A$6:$A$505,ROW()-5),IF(ROW()-5-COUNTA('Phản ánh'!$A$6:$A$505)&lt;=COUNTA('Kế hoạch'!$A$6:$A$305),INDEX('Kế hoạch'!$A$6:$A$305,ROW()-5-COUNTA('Phản ánh'!$A$6:$A$505)),""))</f>
      </c>
    </row>
    <row r="707">
      <c r="P707" s="255">
        <f>IF(ROW()-5&lt;=COUNTA('Phản ánh'!$A$6:$A$505),INDEX('Phản ánh'!$A$6:$A$505,ROW()-5),IF(ROW()-5-COUNTA('Phản ánh'!$A$6:$A$505)&lt;=COUNTA('Kế hoạch'!$A$6:$A$305),INDEX('Kế hoạch'!$A$6:$A$305,ROW()-5-COUNTA('Phản ánh'!$A$6:$A$505)),""))</f>
      </c>
    </row>
    <row r="708">
      <c r="P708" s="255">
        <f>IF(ROW()-5&lt;=COUNTA('Phản ánh'!$A$6:$A$505),INDEX('Phản ánh'!$A$6:$A$505,ROW()-5),IF(ROW()-5-COUNTA('Phản ánh'!$A$6:$A$505)&lt;=COUNTA('Kế hoạch'!$A$6:$A$305),INDEX('Kế hoạch'!$A$6:$A$305,ROW()-5-COUNTA('Phản ánh'!$A$6:$A$505)),""))</f>
      </c>
    </row>
    <row r="709">
      <c r="P709" s="255">
        <f>IF(ROW()-5&lt;=COUNTA('Phản ánh'!$A$6:$A$505),INDEX('Phản ánh'!$A$6:$A$505,ROW()-5),IF(ROW()-5-COUNTA('Phản ánh'!$A$6:$A$505)&lt;=COUNTA('Kế hoạch'!$A$6:$A$305),INDEX('Kế hoạch'!$A$6:$A$305,ROW()-5-COUNTA('Phản ánh'!$A$6:$A$505)),""))</f>
      </c>
    </row>
    <row r="710">
      <c r="P710" s="255">
        <f>IF(ROW()-5&lt;=COUNTA('Phản ánh'!$A$6:$A$505),INDEX('Phản ánh'!$A$6:$A$505,ROW()-5),IF(ROW()-5-COUNTA('Phản ánh'!$A$6:$A$505)&lt;=COUNTA('Kế hoạch'!$A$6:$A$305),INDEX('Kế hoạch'!$A$6:$A$305,ROW()-5-COUNTA('Phản ánh'!$A$6:$A$505)),""))</f>
      </c>
    </row>
    <row r="711">
      <c r="P711" s="255">
        <f>IF(ROW()-5&lt;=COUNTA('Phản ánh'!$A$6:$A$505),INDEX('Phản ánh'!$A$6:$A$505,ROW()-5),IF(ROW()-5-COUNTA('Phản ánh'!$A$6:$A$505)&lt;=COUNTA('Kế hoạch'!$A$6:$A$305),INDEX('Kế hoạch'!$A$6:$A$305,ROW()-5-COUNTA('Phản ánh'!$A$6:$A$505)),""))</f>
      </c>
    </row>
    <row r="712">
      <c r="P712" s="255">
        <f>IF(ROW()-5&lt;=COUNTA('Phản ánh'!$A$6:$A$505),INDEX('Phản ánh'!$A$6:$A$505,ROW()-5),IF(ROW()-5-COUNTA('Phản ánh'!$A$6:$A$505)&lt;=COUNTA('Kế hoạch'!$A$6:$A$305),INDEX('Kế hoạch'!$A$6:$A$305,ROW()-5-COUNTA('Phản ánh'!$A$6:$A$505)),""))</f>
      </c>
    </row>
    <row r="713">
      <c r="P713" s="255">
        <f>IF(ROW()-5&lt;=COUNTA('Phản ánh'!$A$6:$A$505),INDEX('Phản ánh'!$A$6:$A$505,ROW()-5),IF(ROW()-5-COUNTA('Phản ánh'!$A$6:$A$505)&lt;=COUNTA('Kế hoạch'!$A$6:$A$305),INDEX('Kế hoạch'!$A$6:$A$305,ROW()-5-COUNTA('Phản ánh'!$A$6:$A$505)),""))</f>
      </c>
    </row>
    <row r="714">
      <c r="P714" s="255">
        <f>IF(ROW()-5&lt;=COUNTA('Phản ánh'!$A$6:$A$505),INDEX('Phản ánh'!$A$6:$A$505,ROW()-5),IF(ROW()-5-COUNTA('Phản ánh'!$A$6:$A$505)&lt;=COUNTA('Kế hoạch'!$A$6:$A$305),INDEX('Kế hoạch'!$A$6:$A$305,ROW()-5-COUNTA('Phản ánh'!$A$6:$A$505)),""))</f>
      </c>
    </row>
    <row r="715">
      <c r="P715" s="255">
        <f>IF(ROW()-5&lt;=COUNTA('Phản ánh'!$A$6:$A$505),INDEX('Phản ánh'!$A$6:$A$505,ROW()-5),IF(ROW()-5-COUNTA('Phản ánh'!$A$6:$A$505)&lt;=COUNTA('Kế hoạch'!$A$6:$A$305),INDEX('Kế hoạch'!$A$6:$A$305,ROW()-5-COUNTA('Phản ánh'!$A$6:$A$505)),""))</f>
      </c>
    </row>
    <row r="716">
      <c r="P716" s="255">
        <f>IF(ROW()-5&lt;=COUNTA('Phản ánh'!$A$6:$A$505),INDEX('Phản ánh'!$A$6:$A$505,ROW()-5),IF(ROW()-5-COUNTA('Phản ánh'!$A$6:$A$505)&lt;=COUNTA('Kế hoạch'!$A$6:$A$305),INDEX('Kế hoạch'!$A$6:$A$305,ROW()-5-COUNTA('Phản ánh'!$A$6:$A$505)),""))</f>
      </c>
    </row>
    <row r="717">
      <c r="P717" s="255">
        <f>IF(ROW()-5&lt;=COUNTA('Phản ánh'!$A$6:$A$505),INDEX('Phản ánh'!$A$6:$A$505,ROW()-5),IF(ROW()-5-COUNTA('Phản ánh'!$A$6:$A$505)&lt;=COUNTA('Kế hoạch'!$A$6:$A$305),INDEX('Kế hoạch'!$A$6:$A$305,ROW()-5-COUNTA('Phản ánh'!$A$6:$A$505)),""))</f>
      </c>
    </row>
    <row r="718">
      <c r="P718" s="255">
        <f>IF(ROW()-5&lt;=COUNTA('Phản ánh'!$A$6:$A$505),INDEX('Phản ánh'!$A$6:$A$505,ROW()-5),IF(ROW()-5-COUNTA('Phản ánh'!$A$6:$A$505)&lt;=COUNTA('Kế hoạch'!$A$6:$A$305),INDEX('Kế hoạch'!$A$6:$A$305,ROW()-5-COUNTA('Phản ánh'!$A$6:$A$505)),""))</f>
      </c>
    </row>
    <row r="719">
      <c r="P719" s="255">
        <f>IF(ROW()-5&lt;=COUNTA('Phản ánh'!$A$6:$A$505),INDEX('Phản ánh'!$A$6:$A$505,ROW()-5),IF(ROW()-5-COUNTA('Phản ánh'!$A$6:$A$505)&lt;=COUNTA('Kế hoạch'!$A$6:$A$305),INDEX('Kế hoạch'!$A$6:$A$305,ROW()-5-COUNTA('Phản ánh'!$A$6:$A$505)),""))</f>
      </c>
    </row>
    <row r="720">
      <c r="P720" s="255">
        <f>IF(ROW()-5&lt;=COUNTA('Phản ánh'!$A$6:$A$505),INDEX('Phản ánh'!$A$6:$A$505,ROW()-5),IF(ROW()-5-COUNTA('Phản ánh'!$A$6:$A$505)&lt;=COUNTA('Kế hoạch'!$A$6:$A$305),INDEX('Kế hoạch'!$A$6:$A$305,ROW()-5-COUNTA('Phản ánh'!$A$6:$A$505)),""))</f>
      </c>
    </row>
    <row r="721">
      <c r="P721" s="255">
        <f>IF(ROW()-5&lt;=COUNTA('Phản ánh'!$A$6:$A$505),INDEX('Phản ánh'!$A$6:$A$505,ROW()-5),IF(ROW()-5-COUNTA('Phản ánh'!$A$6:$A$505)&lt;=COUNTA('Kế hoạch'!$A$6:$A$305),INDEX('Kế hoạch'!$A$6:$A$305,ROW()-5-COUNTA('Phản ánh'!$A$6:$A$505)),""))</f>
      </c>
    </row>
    <row r="722">
      <c r="P722" s="255">
        <f>IF(ROW()-5&lt;=COUNTA('Phản ánh'!$A$6:$A$505),INDEX('Phản ánh'!$A$6:$A$505,ROW()-5),IF(ROW()-5-COUNTA('Phản ánh'!$A$6:$A$505)&lt;=COUNTA('Kế hoạch'!$A$6:$A$305),INDEX('Kế hoạch'!$A$6:$A$305,ROW()-5-COUNTA('Phản ánh'!$A$6:$A$505)),""))</f>
      </c>
    </row>
    <row r="723">
      <c r="P723" s="255">
        <f>IF(ROW()-5&lt;=COUNTA('Phản ánh'!$A$6:$A$505),INDEX('Phản ánh'!$A$6:$A$505,ROW()-5),IF(ROW()-5-COUNTA('Phản ánh'!$A$6:$A$505)&lt;=COUNTA('Kế hoạch'!$A$6:$A$305),INDEX('Kế hoạch'!$A$6:$A$305,ROW()-5-COUNTA('Phản ánh'!$A$6:$A$505)),""))</f>
      </c>
    </row>
    <row r="724">
      <c r="P724" s="255">
        <f>IF(ROW()-5&lt;=COUNTA('Phản ánh'!$A$6:$A$505),INDEX('Phản ánh'!$A$6:$A$505,ROW()-5),IF(ROW()-5-COUNTA('Phản ánh'!$A$6:$A$505)&lt;=COUNTA('Kế hoạch'!$A$6:$A$305),INDEX('Kế hoạch'!$A$6:$A$305,ROW()-5-COUNTA('Phản ánh'!$A$6:$A$505)),""))</f>
      </c>
    </row>
    <row r="725">
      <c r="P725" s="255">
        <f>IF(ROW()-5&lt;=COUNTA('Phản ánh'!$A$6:$A$505),INDEX('Phản ánh'!$A$6:$A$505,ROW()-5),IF(ROW()-5-COUNTA('Phản ánh'!$A$6:$A$505)&lt;=COUNTA('Kế hoạch'!$A$6:$A$305),INDEX('Kế hoạch'!$A$6:$A$305,ROW()-5-COUNTA('Phản ánh'!$A$6:$A$505)),""))</f>
      </c>
    </row>
    <row r="726">
      <c r="P726" s="255">
        <f>IF(ROW()-5&lt;=COUNTA('Phản ánh'!$A$6:$A$505),INDEX('Phản ánh'!$A$6:$A$505,ROW()-5),IF(ROW()-5-COUNTA('Phản ánh'!$A$6:$A$505)&lt;=COUNTA('Kế hoạch'!$A$6:$A$305),INDEX('Kế hoạch'!$A$6:$A$305,ROW()-5-COUNTA('Phản ánh'!$A$6:$A$505)),""))</f>
      </c>
    </row>
    <row r="727">
      <c r="P727" s="255">
        <f>IF(ROW()-5&lt;=COUNTA('Phản ánh'!$A$6:$A$505),INDEX('Phản ánh'!$A$6:$A$505,ROW()-5),IF(ROW()-5-COUNTA('Phản ánh'!$A$6:$A$505)&lt;=COUNTA('Kế hoạch'!$A$6:$A$305),INDEX('Kế hoạch'!$A$6:$A$305,ROW()-5-COUNTA('Phản ánh'!$A$6:$A$505)),""))</f>
      </c>
    </row>
    <row r="728">
      <c r="P728" s="255">
        <f>IF(ROW()-5&lt;=COUNTA('Phản ánh'!$A$6:$A$505),INDEX('Phản ánh'!$A$6:$A$505,ROW()-5),IF(ROW()-5-COUNTA('Phản ánh'!$A$6:$A$505)&lt;=COUNTA('Kế hoạch'!$A$6:$A$305),INDEX('Kế hoạch'!$A$6:$A$305,ROW()-5-COUNTA('Phản ánh'!$A$6:$A$505)),""))</f>
      </c>
    </row>
    <row r="729">
      <c r="P729" s="255">
        <f>IF(ROW()-5&lt;=COUNTA('Phản ánh'!$A$6:$A$505),INDEX('Phản ánh'!$A$6:$A$505,ROW()-5),IF(ROW()-5-COUNTA('Phản ánh'!$A$6:$A$505)&lt;=COUNTA('Kế hoạch'!$A$6:$A$305),INDEX('Kế hoạch'!$A$6:$A$305,ROW()-5-COUNTA('Phản ánh'!$A$6:$A$505)),""))</f>
      </c>
    </row>
    <row r="730">
      <c r="P730" s="255">
        <f>IF(ROW()-5&lt;=COUNTA('Phản ánh'!$A$6:$A$505),INDEX('Phản ánh'!$A$6:$A$505,ROW()-5),IF(ROW()-5-COUNTA('Phản ánh'!$A$6:$A$505)&lt;=COUNTA('Kế hoạch'!$A$6:$A$305),INDEX('Kế hoạch'!$A$6:$A$305,ROW()-5-COUNTA('Phản ánh'!$A$6:$A$505)),""))</f>
      </c>
    </row>
    <row r="731">
      <c r="P731" s="255">
        <f>IF(ROW()-5&lt;=COUNTA('Phản ánh'!$A$6:$A$505),INDEX('Phản ánh'!$A$6:$A$505,ROW()-5),IF(ROW()-5-COUNTA('Phản ánh'!$A$6:$A$505)&lt;=COUNTA('Kế hoạch'!$A$6:$A$305),INDEX('Kế hoạch'!$A$6:$A$305,ROW()-5-COUNTA('Phản ánh'!$A$6:$A$505)),""))</f>
      </c>
    </row>
    <row r="732">
      <c r="P732" s="255">
        <f>IF(ROW()-5&lt;=COUNTA('Phản ánh'!$A$6:$A$505),INDEX('Phản ánh'!$A$6:$A$505,ROW()-5),IF(ROW()-5-COUNTA('Phản ánh'!$A$6:$A$505)&lt;=COUNTA('Kế hoạch'!$A$6:$A$305),INDEX('Kế hoạch'!$A$6:$A$305,ROW()-5-COUNTA('Phản ánh'!$A$6:$A$505)),""))</f>
      </c>
    </row>
    <row r="733">
      <c r="P733" s="255">
        <f>IF(ROW()-5&lt;=COUNTA('Phản ánh'!$A$6:$A$505),INDEX('Phản ánh'!$A$6:$A$505,ROW()-5),IF(ROW()-5-COUNTA('Phản ánh'!$A$6:$A$505)&lt;=COUNTA('Kế hoạch'!$A$6:$A$305),INDEX('Kế hoạch'!$A$6:$A$305,ROW()-5-COUNTA('Phản ánh'!$A$6:$A$505)),""))</f>
      </c>
    </row>
    <row r="734">
      <c r="P734" s="255">
        <f>IF(ROW()-5&lt;=COUNTA('Phản ánh'!$A$6:$A$505),INDEX('Phản ánh'!$A$6:$A$505,ROW()-5),IF(ROW()-5-COUNTA('Phản ánh'!$A$6:$A$505)&lt;=COUNTA('Kế hoạch'!$A$6:$A$305),INDEX('Kế hoạch'!$A$6:$A$305,ROW()-5-COUNTA('Phản ánh'!$A$6:$A$505)),""))</f>
      </c>
    </row>
    <row r="735">
      <c r="P735" s="255">
        <f>IF(ROW()-5&lt;=COUNTA('Phản ánh'!$A$6:$A$505),INDEX('Phản ánh'!$A$6:$A$505,ROW()-5),IF(ROW()-5-COUNTA('Phản ánh'!$A$6:$A$505)&lt;=COUNTA('Kế hoạch'!$A$6:$A$305),INDEX('Kế hoạch'!$A$6:$A$305,ROW()-5-COUNTA('Phản ánh'!$A$6:$A$505)),""))</f>
      </c>
    </row>
    <row r="736">
      <c r="P736" s="255">
        <f>IF(ROW()-5&lt;=COUNTA('Phản ánh'!$A$6:$A$505),INDEX('Phản ánh'!$A$6:$A$505,ROW()-5),IF(ROW()-5-COUNTA('Phản ánh'!$A$6:$A$505)&lt;=COUNTA('Kế hoạch'!$A$6:$A$305),INDEX('Kế hoạch'!$A$6:$A$305,ROW()-5-COUNTA('Phản ánh'!$A$6:$A$505)),""))</f>
      </c>
    </row>
    <row r="737">
      <c r="P737" s="255">
        <f>IF(ROW()-5&lt;=COUNTA('Phản ánh'!$A$6:$A$505),INDEX('Phản ánh'!$A$6:$A$505,ROW()-5),IF(ROW()-5-COUNTA('Phản ánh'!$A$6:$A$505)&lt;=COUNTA('Kế hoạch'!$A$6:$A$305),INDEX('Kế hoạch'!$A$6:$A$305,ROW()-5-COUNTA('Phản ánh'!$A$6:$A$505)),""))</f>
      </c>
    </row>
    <row r="738">
      <c r="P738" s="255">
        <f>IF(ROW()-5&lt;=COUNTA('Phản ánh'!$A$6:$A$505),INDEX('Phản ánh'!$A$6:$A$505,ROW()-5),IF(ROW()-5-COUNTA('Phản ánh'!$A$6:$A$505)&lt;=COUNTA('Kế hoạch'!$A$6:$A$305),INDEX('Kế hoạch'!$A$6:$A$305,ROW()-5-COUNTA('Phản ánh'!$A$6:$A$505)),""))</f>
      </c>
    </row>
    <row r="739">
      <c r="P739" s="255">
        <f>IF(ROW()-5&lt;=COUNTA('Phản ánh'!$A$6:$A$505),INDEX('Phản ánh'!$A$6:$A$505,ROW()-5),IF(ROW()-5-COUNTA('Phản ánh'!$A$6:$A$505)&lt;=COUNTA('Kế hoạch'!$A$6:$A$305),INDEX('Kế hoạch'!$A$6:$A$305,ROW()-5-COUNTA('Phản ánh'!$A$6:$A$505)),""))</f>
      </c>
    </row>
    <row r="740">
      <c r="P740" s="255">
        <f>IF(ROW()-5&lt;=COUNTA('Phản ánh'!$A$6:$A$505),INDEX('Phản ánh'!$A$6:$A$505,ROW()-5),IF(ROW()-5-COUNTA('Phản ánh'!$A$6:$A$505)&lt;=COUNTA('Kế hoạch'!$A$6:$A$305),INDEX('Kế hoạch'!$A$6:$A$305,ROW()-5-COUNTA('Phản ánh'!$A$6:$A$505)),""))</f>
      </c>
    </row>
    <row r="741">
      <c r="P741" s="255">
        <f>IF(ROW()-5&lt;=COUNTA('Phản ánh'!$A$6:$A$505),INDEX('Phản ánh'!$A$6:$A$505,ROW()-5),IF(ROW()-5-COUNTA('Phản ánh'!$A$6:$A$505)&lt;=COUNTA('Kế hoạch'!$A$6:$A$305),INDEX('Kế hoạch'!$A$6:$A$305,ROW()-5-COUNTA('Phản ánh'!$A$6:$A$505)),""))</f>
      </c>
    </row>
    <row r="742">
      <c r="P742" s="255">
        <f>IF(ROW()-5&lt;=COUNTA('Phản ánh'!$A$6:$A$505),INDEX('Phản ánh'!$A$6:$A$505,ROW()-5),IF(ROW()-5-COUNTA('Phản ánh'!$A$6:$A$505)&lt;=COUNTA('Kế hoạch'!$A$6:$A$305),INDEX('Kế hoạch'!$A$6:$A$305,ROW()-5-COUNTA('Phản ánh'!$A$6:$A$505)),""))</f>
      </c>
    </row>
    <row r="743">
      <c r="P743" s="255">
        <f>IF(ROW()-5&lt;=COUNTA('Phản ánh'!$A$6:$A$505),INDEX('Phản ánh'!$A$6:$A$505,ROW()-5),IF(ROW()-5-COUNTA('Phản ánh'!$A$6:$A$505)&lt;=COUNTA('Kế hoạch'!$A$6:$A$305),INDEX('Kế hoạch'!$A$6:$A$305,ROW()-5-COUNTA('Phản ánh'!$A$6:$A$505)),""))</f>
      </c>
    </row>
    <row r="744">
      <c r="P744" s="255">
        <f>IF(ROW()-5&lt;=COUNTA('Phản ánh'!$A$6:$A$505),INDEX('Phản ánh'!$A$6:$A$505,ROW()-5),IF(ROW()-5-COUNTA('Phản ánh'!$A$6:$A$505)&lt;=COUNTA('Kế hoạch'!$A$6:$A$305),INDEX('Kế hoạch'!$A$6:$A$305,ROW()-5-COUNTA('Phản ánh'!$A$6:$A$505)),""))</f>
      </c>
    </row>
    <row r="745">
      <c r="P745" s="255">
        <f>IF(ROW()-5&lt;=COUNTA('Phản ánh'!$A$6:$A$505),INDEX('Phản ánh'!$A$6:$A$505,ROW()-5),IF(ROW()-5-COUNTA('Phản ánh'!$A$6:$A$505)&lt;=COUNTA('Kế hoạch'!$A$6:$A$305),INDEX('Kế hoạch'!$A$6:$A$305,ROW()-5-COUNTA('Phản ánh'!$A$6:$A$505)),""))</f>
      </c>
    </row>
    <row r="746">
      <c r="P746" s="255">
        <f>IF(ROW()-5&lt;=COUNTA('Phản ánh'!$A$6:$A$505),INDEX('Phản ánh'!$A$6:$A$505,ROW()-5),IF(ROW()-5-COUNTA('Phản ánh'!$A$6:$A$505)&lt;=COUNTA('Kế hoạch'!$A$6:$A$305),INDEX('Kế hoạch'!$A$6:$A$305,ROW()-5-COUNTA('Phản ánh'!$A$6:$A$505)),""))</f>
      </c>
    </row>
    <row r="747">
      <c r="P747" s="255">
        <f>IF(ROW()-5&lt;=COUNTA('Phản ánh'!$A$6:$A$505),INDEX('Phản ánh'!$A$6:$A$505,ROW()-5),IF(ROW()-5-COUNTA('Phản ánh'!$A$6:$A$505)&lt;=COUNTA('Kế hoạch'!$A$6:$A$305),INDEX('Kế hoạch'!$A$6:$A$305,ROW()-5-COUNTA('Phản ánh'!$A$6:$A$505)),""))</f>
      </c>
    </row>
    <row r="748">
      <c r="P748" s="255">
        <f>IF(ROW()-5&lt;=COUNTA('Phản ánh'!$A$6:$A$505),INDEX('Phản ánh'!$A$6:$A$505,ROW()-5),IF(ROW()-5-COUNTA('Phản ánh'!$A$6:$A$505)&lt;=COUNTA('Kế hoạch'!$A$6:$A$305),INDEX('Kế hoạch'!$A$6:$A$305,ROW()-5-COUNTA('Phản ánh'!$A$6:$A$505)),""))</f>
      </c>
    </row>
    <row r="749">
      <c r="P749" s="255">
        <f>IF(ROW()-5&lt;=COUNTA('Phản ánh'!$A$6:$A$505),INDEX('Phản ánh'!$A$6:$A$505,ROW()-5),IF(ROW()-5-COUNTA('Phản ánh'!$A$6:$A$505)&lt;=COUNTA('Kế hoạch'!$A$6:$A$305),INDEX('Kế hoạch'!$A$6:$A$305,ROW()-5-COUNTA('Phản ánh'!$A$6:$A$505)),""))</f>
      </c>
    </row>
    <row r="750">
      <c r="P750" s="255">
        <f>IF(ROW()-5&lt;=COUNTA('Phản ánh'!$A$6:$A$505),INDEX('Phản ánh'!$A$6:$A$505,ROW()-5),IF(ROW()-5-COUNTA('Phản ánh'!$A$6:$A$505)&lt;=COUNTA('Kế hoạch'!$A$6:$A$305),INDEX('Kế hoạch'!$A$6:$A$305,ROW()-5-COUNTA('Phản ánh'!$A$6:$A$505)),""))</f>
      </c>
    </row>
    <row r="751">
      <c r="P751" s="255">
        <f>IF(ROW()-5&lt;=COUNTA('Phản ánh'!$A$6:$A$505),INDEX('Phản ánh'!$A$6:$A$505,ROW()-5),IF(ROW()-5-COUNTA('Phản ánh'!$A$6:$A$505)&lt;=COUNTA('Kế hoạch'!$A$6:$A$305),INDEX('Kế hoạch'!$A$6:$A$305,ROW()-5-COUNTA('Phản ánh'!$A$6:$A$505)),""))</f>
      </c>
    </row>
    <row r="752">
      <c r="P752" s="255">
        <f>IF(ROW()-5&lt;=COUNTA('Phản ánh'!$A$6:$A$505),INDEX('Phản ánh'!$A$6:$A$505,ROW()-5),IF(ROW()-5-COUNTA('Phản ánh'!$A$6:$A$505)&lt;=COUNTA('Kế hoạch'!$A$6:$A$305),INDEX('Kế hoạch'!$A$6:$A$305,ROW()-5-COUNTA('Phản ánh'!$A$6:$A$505)),""))</f>
      </c>
    </row>
    <row r="753">
      <c r="P753" s="255">
        <f>IF(ROW()-5&lt;=COUNTA('Phản ánh'!$A$6:$A$505),INDEX('Phản ánh'!$A$6:$A$505,ROW()-5),IF(ROW()-5-COUNTA('Phản ánh'!$A$6:$A$505)&lt;=COUNTA('Kế hoạch'!$A$6:$A$305),INDEX('Kế hoạch'!$A$6:$A$305,ROW()-5-COUNTA('Phản ánh'!$A$6:$A$505)),""))</f>
      </c>
    </row>
    <row r="754">
      <c r="P754" s="255">
        <f>IF(ROW()-5&lt;=COUNTA('Phản ánh'!$A$6:$A$505),INDEX('Phản ánh'!$A$6:$A$505,ROW()-5),IF(ROW()-5-COUNTA('Phản ánh'!$A$6:$A$505)&lt;=COUNTA('Kế hoạch'!$A$6:$A$305),INDEX('Kế hoạch'!$A$6:$A$305,ROW()-5-COUNTA('Phản ánh'!$A$6:$A$505)),""))</f>
      </c>
    </row>
    <row r="755">
      <c r="P755" s="255">
        <f>IF(ROW()-5&lt;=COUNTA('Phản ánh'!$A$6:$A$505),INDEX('Phản ánh'!$A$6:$A$505,ROW()-5),IF(ROW()-5-COUNTA('Phản ánh'!$A$6:$A$505)&lt;=COUNTA('Kế hoạch'!$A$6:$A$305),INDEX('Kế hoạch'!$A$6:$A$305,ROW()-5-COUNTA('Phản ánh'!$A$6:$A$505)),""))</f>
      </c>
    </row>
    <row r="756">
      <c r="P756" s="255">
        <f>IF(ROW()-5&lt;=COUNTA('Phản ánh'!$A$6:$A$505),INDEX('Phản ánh'!$A$6:$A$505,ROW()-5),IF(ROW()-5-COUNTA('Phản ánh'!$A$6:$A$505)&lt;=COUNTA('Kế hoạch'!$A$6:$A$305),INDEX('Kế hoạch'!$A$6:$A$305,ROW()-5-COUNTA('Phản ánh'!$A$6:$A$505)),""))</f>
      </c>
    </row>
    <row r="757">
      <c r="P757" s="255">
        <f>IF(ROW()-5&lt;=COUNTA('Phản ánh'!$A$6:$A$505),INDEX('Phản ánh'!$A$6:$A$505,ROW()-5),IF(ROW()-5-COUNTA('Phản ánh'!$A$6:$A$505)&lt;=COUNTA('Kế hoạch'!$A$6:$A$305),INDEX('Kế hoạch'!$A$6:$A$305,ROW()-5-COUNTA('Phản ánh'!$A$6:$A$505)),""))</f>
      </c>
    </row>
    <row r="758">
      <c r="P758" s="255">
        <f>IF(ROW()-5&lt;=COUNTA('Phản ánh'!$A$6:$A$505),INDEX('Phản ánh'!$A$6:$A$505,ROW()-5),IF(ROW()-5-COUNTA('Phản ánh'!$A$6:$A$505)&lt;=COUNTA('Kế hoạch'!$A$6:$A$305),INDEX('Kế hoạch'!$A$6:$A$305,ROW()-5-COUNTA('Phản ánh'!$A$6:$A$505)),""))</f>
      </c>
    </row>
    <row r="759">
      <c r="P759" s="255">
        <f>IF(ROW()-5&lt;=COUNTA('Phản ánh'!$A$6:$A$505),INDEX('Phản ánh'!$A$6:$A$505,ROW()-5),IF(ROW()-5-COUNTA('Phản ánh'!$A$6:$A$505)&lt;=COUNTA('Kế hoạch'!$A$6:$A$305),INDEX('Kế hoạch'!$A$6:$A$305,ROW()-5-COUNTA('Phản ánh'!$A$6:$A$505)),""))</f>
      </c>
    </row>
    <row r="760">
      <c r="P760" s="255">
        <f>IF(ROW()-5&lt;=COUNTA('Phản ánh'!$A$6:$A$505),INDEX('Phản ánh'!$A$6:$A$505,ROW()-5),IF(ROW()-5-COUNTA('Phản ánh'!$A$6:$A$505)&lt;=COUNTA('Kế hoạch'!$A$6:$A$305),INDEX('Kế hoạch'!$A$6:$A$305,ROW()-5-COUNTA('Phản ánh'!$A$6:$A$505)),""))</f>
      </c>
    </row>
    <row r="761">
      <c r="P761" s="255">
        <f>IF(ROW()-5&lt;=COUNTA('Phản ánh'!$A$6:$A$505),INDEX('Phản ánh'!$A$6:$A$505,ROW()-5),IF(ROW()-5-COUNTA('Phản ánh'!$A$6:$A$505)&lt;=COUNTA('Kế hoạch'!$A$6:$A$305),INDEX('Kế hoạch'!$A$6:$A$305,ROW()-5-COUNTA('Phản ánh'!$A$6:$A$505)),""))</f>
      </c>
    </row>
    <row r="762">
      <c r="P762" s="255">
        <f>IF(ROW()-5&lt;=COUNTA('Phản ánh'!$A$6:$A$505),INDEX('Phản ánh'!$A$6:$A$505,ROW()-5),IF(ROW()-5-COUNTA('Phản ánh'!$A$6:$A$505)&lt;=COUNTA('Kế hoạch'!$A$6:$A$305),INDEX('Kế hoạch'!$A$6:$A$305,ROW()-5-COUNTA('Phản ánh'!$A$6:$A$505)),""))</f>
      </c>
    </row>
    <row r="763">
      <c r="P763" s="255">
        <f>IF(ROW()-5&lt;=COUNTA('Phản ánh'!$A$6:$A$505),INDEX('Phản ánh'!$A$6:$A$505,ROW()-5),IF(ROW()-5-COUNTA('Phản ánh'!$A$6:$A$505)&lt;=COUNTA('Kế hoạch'!$A$6:$A$305),INDEX('Kế hoạch'!$A$6:$A$305,ROW()-5-COUNTA('Phản ánh'!$A$6:$A$505)),""))</f>
      </c>
    </row>
    <row r="764">
      <c r="P764" s="255">
        <f>IF(ROW()-5&lt;=COUNTA('Phản ánh'!$A$6:$A$505),INDEX('Phản ánh'!$A$6:$A$505,ROW()-5),IF(ROW()-5-COUNTA('Phản ánh'!$A$6:$A$505)&lt;=COUNTA('Kế hoạch'!$A$6:$A$305),INDEX('Kế hoạch'!$A$6:$A$305,ROW()-5-COUNTA('Phản ánh'!$A$6:$A$505)),""))</f>
      </c>
    </row>
    <row r="765">
      <c r="P765" s="255">
        <f>IF(ROW()-5&lt;=COUNTA('Phản ánh'!$A$6:$A$505),INDEX('Phản ánh'!$A$6:$A$505,ROW()-5),IF(ROW()-5-COUNTA('Phản ánh'!$A$6:$A$505)&lt;=COUNTA('Kế hoạch'!$A$6:$A$305),INDEX('Kế hoạch'!$A$6:$A$305,ROW()-5-COUNTA('Phản ánh'!$A$6:$A$505)),""))</f>
      </c>
    </row>
    <row r="766">
      <c r="P766" s="255">
        <f>IF(ROW()-5&lt;=COUNTA('Phản ánh'!$A$6:$A$505),INDEX('Phản ánh'!$A$6:$A$505,ROW()-5),IF(ROW()-5-COUNTA('Phản ánh'!$A$6:$A$505)&lt;=COUNTA('Kế hoạch'!$A$6:$A$305),INDEX('Kế hoạch'!$A$6:$A$305,ROW()-5-COUNTA('Phản ánh'!$A$6:$A$505)),""))</f>
      </c>
    </row>
    <row r="767">
      <c r="P767" s="255">
        <f>IF(ROW()-5&lt;=COUNTA('Phản ánh'!$A$6:$A$505),INDEX('Phản ánh'!$A$6:$A$505,ROW()-5),IF(ROW()-5-COUNTA('Phản ánh'!$A$6:$A$505)&lt;=COUNTA('Kế hoạch'!$A$6:$A$305),INDEX('Kế hoạch'!$A$6:$A$305,ROW()-5-COUNTA('Phản ánh'!$A$6:$A$505)),""))</f>
      </c>
    </row>
    <row r="768">
      <c r="P768" s="255">
        <f>IF(ROW()-5&lt;=COUNTA('Phản ánh'!$A$6:$A$505),INDEX('Phản ánh'!$A$6:$A$505,ROW()-5),IF(ROW()-5-COUNTA('Phản ánh'!$A$6:$A$505)&lt;=COUNTA('Kế hoạch'!$A$6:$A$305),INDEX('Kế hoạch'!$A$6:$A$305,ROW()-5-COUNTA('Phản ánh'!$A$6:$A$505)),""))</f>
      </c>
    </row>
    <row r="769">
      <c r="P769" s="255">
        <f>IF(ROW()-5&lt;=COUNTA('Phản ánh'!$A$6:$A$505),INDEX('Phản ánh'!$A$6:$A$505,ROW()-5),IF(ROW()-5-COUNTA('Phản ánh'!$A$6:$A$505)&lt;=COUNTA('Kế hoạch'!$A$6:$A$305),INDEX('Kế hoạch'!$A$6:$A$305,ROW()-5-COUNTA('Phản ánh'!$A$6:$A$505)),""))</f>
      </c>
    </row>
    <row r="770">
      <c r="P770" s="255">
        <f>IF(ROW()-5&lt;=COUNTA('Phản ánh'!$A$6:$A$505),INDEX('Phản ánh'!$A$6:$A$505,ROW()-5),IF(ROW()-5-COUNTA('Phản ánh'!$A$6:$A$505)&lt;=COUNTA('Kế hoạch'!$A$6:$A$305),INDEX('Kế hoạch'!$A$6:$A$305,ROW()-5-COUNTA('Phản ánh'!$A$6:$A$505)),""))</f>
      </c>
    </row>
    <row r="771">
      <c r="P771" s="255">
        <f>IF(ROW()-5&lt;=COUNTA('Phản ánh'!$A$6:$A$505),INDEX('Phản ánh'!$A$6:$A$505,ROW()-5),IF(ROW()-5-COUNTA('Phản ánh'!$A$6:$A$505)&lt;=COUNTA('Kế hoạch'!$A$6:$A$305),INDEX('Kế hoạch'!$A$6:$A$305,ROW()-5-COUNTA('Phản ánh'!$A$6:$A$505)),""))</f>
      </c>
    </row>
    <row r="772">
      <c r="P772" s="255">
        <f>IF(ROW()-5&lt;=COUNTA('Phản ánh'!$A$6:$A$505),INDEX('Phản ánh'!$A$6:$A$505,ROW()-5),IF(ROW()-5-COUNTA('Phản ánh'!$A$6:$A$505)&lt;=COUNTA('Kế hoạch'!$A$6:$A$305),INDEX('Kế hoạch'!$A$6:$A$305,ROW()-5-COUNTA('Phản ánh'!$A$6:$A$505)),""))</f>
      </c>
    </row>
    <row r="773">
      <c r="P773" s="255">
        <f>IF(ROW()-5&lt;=COUNTA('Phản ánh'!$A$6:$A$505),INDEX('Phản ánh'!$A$6:$A$505,ROW()-5),IF(ROW()-5-COUNTA('Phản ánh'!$A$6:$A$505)&lt;=COUNTA('Kế hoạch'!$A$6:$A$305),INDEX('Kế hoạch'!$A$6:$A$305,ROW()-5-COUNTA('Phản ánh'!$A$6:$A$505)),""))</f>
      </c>
    </row>
    <row r="774">
      <c r="P774" s="255">
        <f>IF(ROW()-5&lt;=COUNTA('Phản ánh'!$A$6:$A$505),INDEX('Phản ánh'!$A$6:$A$505,ROW()-5),IF(ROW()-5-COUNTA('Phản ánh'!$A$6:$A$505)&lt;=COUNTA('Kế hoạch'!$A$6:$A$305),INDEX('Kế hoạch'!$A$6:$A$305,ROW()-5-COUNTA('Phản ánh'!$A$6:$A$505)),""))</f>
      </c>
    </row>
    <row r="775">
      <c r="P775" s="255">
        <f>IF(ROW()-5&lt;=COUNTA('Phản ánh'!$A$6:$A$505),INDEX('Phản ánh'!$A$6:$A$505,ROW()-5),IF(ROW()-5-COUNTA('Phản ánh'!$A$6:$A$505)&lt;=COUNTA('Kế hoạch'!$A$6:$A$305),INDEX('Kế hoạch'!$A$6:$A$305,ROW()-5-COUNTA('Phản ánh'!$A$6:$A$505)),""))</f>
      </c>
    </row>
    <row r="776">
      <c r="P776" s="255">
        <f>IF(ROW()-5&lt;=COUNTA('Phản ánh'!$A$6:$A$505),INDEX('Phản ánh'!$A$6:$A$505,ROW()-5),IF(ROW()-5-COUNTA('Phản ánh'!$A$6:$A$505)&lt;=COUNTA('Kế hoạch'!$A$6:$A$305),INDEX('Kế hoạch'!$A$6:$A$305,ROW()-5-COUNTA('Phản ánh'!$A$6:$A$505)),""))</f>
      </c>
    </row>
    <row r="777">
      <c r="P777" s="255">
        <f>IF(ROW()-5&lt;=COUNTA('Phản ánh'!$A$6:$A$505),INDEX('Phản ánh'!$A$6:$A$505,ROW()-5),IF(ROW()-5-COUNTA('Phản ánh'!$A$6:$A$505)&lt;=COUNTA('Kế hoạch'!$A$6:$A$305),INDEX('Kế hoạch'!$A$6:$A$305,ROW()-5-COUNTA('Phản ánh'!$A$6:$A$505)),""))</f>
      </c>
    </row>
    <row r="778">
      <c r="P778" s="255">
        <f>IF(ROW()-5&lt;=COUNTA('Phản ánh'!$A$6:$A$505),INDEX('Phản ánh'!$A$6:$A$505,ROW()-5),IF(ROW()-5-COUNTA('Phản ánh'!$A$6:$A$505)&lt;=COUNTA('Kế hoạch'!$A$6:$A$305),INDEX('Kế hoạch'!$A$6:$A$305,ROW()-5-COUNTA('Phản ánh'!$A$6:$A$505)),""))</f>
      </c>
    </row>
    <row r="779">
      <c r="P779" s="255">
        <f>IF(ROW()-5&lt;=COUNTA('Phản ánh'!$A$6:$A$505),INDEX('Phản ánh'!$A$6:$A$505,ROW()-5),IF(ROW()-5-COUNTA('Phản ánh'!$A$6:$A$505)&lt;=COUNTA('Kế hoạch'!$A$6:$A$305),INDEX('Kế hoạch'!$A$6:$A$305,ROW()-5-COUNTA('Phản ánh'!$A$6:$A$505)),""))</f>
      </c>
    </row>
    <row r="780">
      <c r="P780" s="255">
        <f>IF(ROW()-5&lt;=COUNTA('Phản ánh'!$A$6:$A$505),INDEX('Phản ánh'!$A$6:$A$505,ROW()-5),IF(ROW()-5-COUNTA('Phản ánh'!$A$6:$A$505)&lt;=COUNTA('Kế hoạch'!$A$6:$A$305),INDEX('Kế hoạch'!$A$6:$A$305,ROW()-5-COUNTA('Phản ánh'!$A$6:$A$505)),""))</f>
      </c>
    </row>
    <row r="781">
      <c r="P781" s="255">
        <f>IF(ROW()-5&lt;=COUNTA('Phản ánh'!$A$6:$A$505),INDEX('Phản ánh'!$A$6:$A$505,ROW()-5),IF(ROW()-5-COUNTA('Phản ánh'!$A$6:$A$505)&lt;=COUNTA('Kế hoạch'!$A$6:$A$305),INDEX('Kế hoạch'!$A$6:$A$305,ROW()-5-COUNTA('Phản ánh'!$A$6:$A$505)),""))</f>
      </c>
    </row>
    <row r="782">
      <c r="P782" s="255">
        <f>IF(ROW()-5&lt;=COUNTA('Phản ánh'!$A$6:$A$505),INDEX('Phản ánh'!$A$6:$A$505,ROW()-5),IF(ROW()-5-COUNTA('Phản ánh'!$A$6:$A$505)&lt;=COUNTA('Kế hoạch'!$A$6:$A$305),INDEX('Kế hoạch'!$A$6:$A$305,ROW()-5-COUNTA('Phản ánh'!$A$6:$A$505)),""))</f>
      </c>
    </row>
    <row r="783">
      <c r="P783" s="255">
        <f>IF(ROW()-5&lt;=COUNTA('Phản ánh'!$A$6:$A$505),INDEX('Phản ánh'!$A$6:$A$505,ROW()-5),IF(ROW()-5-COUNTA('Phản ánh'!$A$6:$A$505)&lt;=COUNTA('Kế hoạch'!$A$6:$A$305),INDEX('Kế hoạch'!$A$6:$A$305,ROW()-5-COUNTA('Phản ánh'!$A$6:$A$505)),""))</f>
      </c>
    </row>
    <row r="784">
      <c r="P784" s="255">
        <f>IF(ROW()-5&lt;=COUNTA('Phản ánh'!$A$6:$A$505),INDEX('Phản ánh'!$A$6:$A$505,ROW()-5),IF(ROW()-5-COUNTA('Phản ánh'!$A$6:$A$505)&lt;=COUNTA('Kế hoạch'!$A$6:$A$305),INDEX('Kế hoạch'!$A$6:$A$305,ROW()-5-COUNTA('Phản ánh'!$A$6:$A$505)),""))</f>
      </c>
    </row>
    <row r="785">
      <c r="P785" s="255">
        <f>IF(ROW()-5&lt;=COUNTA('Phản ánh'!$A$6:$A$505),INDEX('Phản ánh'!$A$6:$A$505,ROW()-5),IF(ROW()-5-COUNTA('Phản ánh'!$A$6:$A$505)&lt;=COUNTA('Kế hoạch'!$A$6:$A$305),INDEX('Kế hoạch'!$A$6:$A$305,ROW()-5-COUNTA('Phản ánh'!$A$6:$A$505)),""))</f>
      </c>
    </row>
    <row r="786">
      <c r="P786" s="255">
        <f>IF(ROW()-5&lt;=COUNTA('Phản ánh'!$A$6:$A$505),INDEX('Phản ánh'!$A$6:$A$505,ROW()-5),IF(ROW()-5-COUNTA('Phản ánh'!$A$6:$A$505)&lt;=COUNTA('Kế hoạch'!$A$6:$A$305),INDEX('Kế hoạch'!$A$6:$A$305,ROW()-5-COUNTA('Phản ánh'!$A$6:$A$505)),""))</f>
      </c>
    </row>
    <row r="787">
      <c r="P787" s="255">
        <f>IF(ROW()-5&lt;=COUNTA('Phản ánh'!$A$6:$A$505),INDEX('Phản ánh'!$A$6:$A$505,ROW()-5),IF(ROW()-5-COUNTA('Phản ánh'!$A$6:$A$505)&lt;=COUNTA('Kế hoạch'!$A$6:$A$305),INDEX('Kế hoạch'!$A$6:$A$305,ROW()-5-COUNTA('Phản ánh'!$A$6:$A$505)),""))</f>
      </c>
    </row>
    <row r="788">
      <c r="P788" s="255">
        <f>IF(ROW()-5&lt;=COUNTA('Phản ánh'!$A$6:$A$505),INDEX('Phản ánh'!$A$6:$A$505,ROW()-5),IF(ROW()-5-COUNTA('Phản ánh'!$A$6:$A$505)&lt;=COUNTA('Kế hoạch'!$A$6:$A$305),INDEX('Kế hoạch'!$A$6:$A$305,ROW()-5-COUNTA('Phản ánh'!$A$6:$A$505)),""))</f>
      </c>
    </row>
    <row r="789">
      <c r="P789" s="255">
        <f>IF(ROW()-5&lt;=COUNTA('Phản ánh'!$A$6:$A$505),INDEX('Phản ánh'!$A$6:$A$505,ROW()-5),IF(ROW()-5-COUNTA('Phản ánh'!$A$6:$A$505)&lt;=COUNTA('Kế hoạch'!$A$6:$A$305),INDEX('Kế hoạch'!$A$6:$A$305,ROW()-5-COUNTA('Phản ánh'!$A$6:$A$505)),""))</f>
      </c>
    </row>
    <row r="790">
      <c r="P790" s="255">
        <f>IF(ROW()-5&lt;=COUNTA('Phản ánh'!$A$6:$A$505),INDEX('Phản ánh'!$A$6:$A$505,ROW()-5),IF(ROW()-5-COUNTA('Phản ánh'!$A$6:$A$505)&lt;=COUNTA('Kế hoạch'!$A$6:$A$305),INDEX('Kế hoạch'!$A$6:$A$305,ROW()-5-COUNTA('Phản ánh'!$A$6:$A$505)),""))</f>
      </c>
    </row>
    <row r="791">
      <c r="P791" s="255">
        <f>IF(ROW()-5&lt;=COUNTA('Phản ánh'!$A$6:$A$505),INDEX('Phản ánh'!$A$6:$A$505,ROW()-5),IF(ROW()-5-COUNTA('Phản ánh'!$A$6:$A$505)&lt;=COUNTA('Kế hoạch'!$A$6:$A$305),INDEX('Kế hoạch'!$A$6:$A$305,ROW()-5-COUNTA('Phản ánh'!$A$6:$A$505)),""))</f>
      </c>
    </row>
    <row r="792">
      <c r="P792" s="255">
        <f>IF(ROW()-5&lt;=COUNTA('Phản ánh'!$A$6:$A$505),INDEX('Phản ánh'!$A$6:$A$505,ROW()-5),IF(ROW()-5-COUNTA('Phản ánh'!$A$6:$A$505)&lt;=COUNTA('Kế hoạch'!$A$6:$A$305),INDEX('Kế hoạch'!$A$6:$A$305,ROW()-5-COUNTA('Phản ánh'!$A$6:$A$505)),""))</f>
      </c>
    </row>
    <row r="793">
      <c r="P793" s="255">
        <f>IF(ROW()-5&lt;=COUNTA('Phản ánh'!$A$6:$A$505),INDEX('Phản ánh'!$A$6:$A$505,ROW()-5),IF(ROW()-5-COUNTA('Phản ánh'!$A$6:$A$505)&lt;=COUNTA('Kế hoạch'!$A$6:$A$305),INDEX('Kế hoạch'!$A$6:$A$305,ROW()-5-COUNTA('Phản ánh'!$A$6:$A$505)),""))</f>
      </c>
    </row>
    <row r="794">
      <c r="P794" s="255">
        <f>IF(ROW()-5&lt;=COUNTA('Phản ánh'!$A$6:$A$505),INDEX('Phản ánh'!$A$6:$A$505,ROW()-5),IF(ROW()-5-COUNTA('Phản ánh'!$A$6:$A$505)&lt;=COUNTA('Kế hoạch'!$A$6:$A$305),INDEX('Kế hoạch'!$A$6:$A$305,ROW()-5-COUNTA('Phản ánh'!$A$6:$A$505)),""))</f>
      </c>
    </row>
    <row r="795">
      <c r="P795" s="255">
        <f>IF(ROW()-5&lt;=COUNTA('Phản ánh'!$A$6:$A$505),INDEX('Phản ánh'!$A$6:$A$505,ROW()-5),IF(ROW()-5-COUNTA('Phản ánh'!$A$6:$A$505)&lt;=COUNTA('Kế hoạch'!$A$6:$A$305),INDEX('Kế hoạch'!$A$6:$A$305,ROW()-5-COUNTA('Phản ánh'!$A$6:$A$505)),""))</f>
      </c>
    </row>
    <row r="796">
      <c r="P796" s="255">
        <f>IF(ROW()-5&lt;=COUNTA('Phản ánh'!$A$6:$A$505),INDEX('Phản ánh'!$A$6:$A$505,ROW()-5),IF(ROW()-5-COUNTA('Phản ánh'!$A$6:$A$505)&lt;=COUNTA('Kế hoạch'!$A$6:$A$305),INDEX('Kế hoạch'!$A$6:$A$305,ROW()-5-COUNTA('Phản ánh'!$A$6:$A$505)),""))</f>
      </c>
    </row>
    <row r="797">
      <c r="P797" s="255">
        <f>IF(ROW()-5&lt;=COUNTA('Phản ánh'!$A$6:$A$505),INDEX('Phản ánh'!$A$6:$A$505,ROW()-5),IF(ROW()-5-COUNTA('Phản ánh'!$A$6:$A$505)&lt;=COUNTA('Kế hoạch'!$A$6:$A$305),INDEX('Kế hoạch'!$A$6:$A$305,ROW()-5-COUNTA('Phản ánh'!$A$6:$A$505)),""))</f>
      </c>
    </row>
    <row r="798">
      <c r="P798" s="255">
        <f>IF(ROW()-5&lt;=COUNTA('Phản ánh'!$A$6:$A$505),INDEX('Phản ánh'!$A$6:$A$505,ROW()-5),IF(ROW()-5-COUNTA('Phản ánh'!$A$6:$A$505)&lt;=COUNTA('Kế hoạch'!$A$6:$A$305),INDEX('Kế hoạch'!$A$6:$A$305,ROW()-5-COUNTA('Phản ánh'!$A$6:$A$505)),""))</f>
      </c>
    </row>
    <row r="799">
      <c r="P799" s="255">
        <f>IF(ROW()-5&lt;=COUNTA('Phản ánh'!$A$6:$A$505),INDEX('Phản ánh'!$A$6:$A$505,ROW()-5),IF(ROW()-5-COUNTA('Phản ánh'!$A$6:$A$505)&lt;=COUNTA('Kế hoạch'!$A$6:$A$305),INDEX('Kế hoạch'!$A$6:$A$305,ROW()-5-COUNTA('Phản ánh'!$A$6:$A$505)),""))</f>
      </c>
    </row>
    <row r="800">
      <c r="P800" s="255">
        <f>IF(ROW()-5&lt;=COUNTA('Phản ánh'!$A$6:$A$505),INDEX('Phản ánh'!$A$6:$A$505,ROW()-5),IF(ROW()-5-COUNTA('Phản ánh'!$A$6:$A$505)&lt;=COUNTA('Kế hoạch'!$A$6:$A$305),INDEX('Kế hoạch'!$A$6:$A$305,ROW()-5-COUNTA('Phản ánh'!$A$6:$A$505)),""))</f>
      </c>
    </row>
    <row r="801">
      <c r="P801" s="255">
        <f>IF(ROW()-5&lt;=COUNTA('Phản ánh'!$A$6:$A$505),INDEX('Phản ánh'!$A$6:$A$505,ROW()-5),IF(ROW()-5-COUNTA('Phản ánh'!$A$6:$A$505)&lt;=COUNTA('Kế hoạch'!$A$6:$A$305),INDEX('Kế hoạch'!$A$6:$A$305,ROW()-5-COUNTA('Phản ánh'!$A$6:$A$505)),""))</f>
      </c>
    </row>
    <row r="802">
      <c r="P802" s="255">
        <f>IF(ROW()-5&lt;=COUNTA('Phản ánh'!$A$6:$A$505),INDEX('Phản ánh'!$A$6:$A$505,ROW()-5),IF(ROW()-5-COUNTA('Phản ánh'!$A$6:$A$505)&lt;=COUNTA('Kế hoạch'!$A$6:$A$305),INDEX('Kế hoạch'!$A$6:$A$305,ROW()-5-COUNTA('Phản ánh'!$A$6:$A$505)),""))</f>
      </c>
    </row>
    <row r="803">
      <c r="P803" s="255">
        <f>IF(ROW()-5&lt;=COUNTA('Phản ánh'!$A$6:$A$505),INDEX('Phản ánh'!$A$6:$A$505,ROW()-5),IF(ROW()-5-COUNTA('Phản ánh'!$A$6:$A$505)&lt;=COUNTA('Kế hoạch'!$A$6:$A$305),INDEX('Kế hoạch'!$A$6:$A$305,ROW()-5-COUNTA('Phản ánh'!$A$6:$A$505)),""))</f>
      </c>
    </row>
    <row r="804">
      <c r="P804" s="255">
        <f>IF(ROW()-5&lt;=COUNTA('Phản ánh'!$A$6:$A$505),INDEX('Phản ánh'!$A$6:$A$505,ROW()-5),IF(ROW()-5-COUNTA('Phản ánh'!$A$6:$A$505)&lt;=COUNTA('Kế hoạch'!$A$6:$A$305),INDEX('Kế hoạch'!$A$6:$A$305,ROW()-5-COUNTA('Phản ánh'!$A$6:$A$505)),""))</f>
      </c>
    </row>
    <row r="805">
      <c r="P805" s="255">
        <f>IF(ROW()-5&lt;=COUNTA('Phản ánh'!$A$6:$A$505),INDEX('Phản ánh'!$A$6:$A$505,ROW()-5),IF(ROW()-5-COUNTA('Phản ánh'!$A$6:$A$505)&lt;=COUNTA('Kế hoạch'!$A$6:$A$305),INDEX('Kế hoạch'!$A$6:$A$305,ROW()-5-COUNTA('Phản ánh'!$A$6:$A$505)),""))</f>
      </c>
    </row>
  </sheetData>
  <sheetProtection selectLockedCells="0" selectUnlockedCells="0" sheet="1" objects="0" insertRows="1" insertHyperlinks="1" autoFilter="0" scenarios="0" formatColumns="0" deleteColumns="1" insertColumns="1" pivotTables="1" deleteRows="1" formatCells="1" formatRows="0" sort="1" password="88D8"/>
  <protectedRanges>
    <protectedRange password="DF96" sqref="M6:N30 R6:T17 V6:X35 Z6:Z17 AC6:AC9" name="DanhMuc"/>
  </protectedRanges>
  <mergeCells count="4">
    <mergeCell ref="A1:AE1"/>
    <mergeCell ref="A4:AE4"/>
    <mergeCell ref="AB11:AC13"/>
    <mergeCell ref="A2:AE2"/>
  </mergeCells>
  <pageMargins left="0.75" right="0.75" top="1" bottom="1" header="0.5" footer="0.5"/>
  <pageSetup orientation="landscape" paperSize="9" fitToHeight="0" fitToWidth="1"/>
  <legacyDrawing xmlns:r="http://schemas.openxmlformats.org/officeDocument/2006/relationships" r:id="anysvml"/>
</worksheet>
</file>

<file path=xl/worksheets/sheet9.xml><?xml version="1.0" encoding="utf-8"?>
<worksheet xmlns="http://schemas.openxmlformats.org/spreadsheetml/2006/main">
  <sheetPr>
    <tabColor rgb="009AA5A0"/>
    <outlinePr summaryBelow="1" summaryRight="1"/>
    <pageSetUpPr fitToPage="1"/>
  </sheetPr>
  <dimension ref="A1:F57"/>
  <sheetViews>
    <sheetView showGridLines="0" tabSelected="0" zoomScale="100" workbookViewId="0">
      <selection activeCell="A1" sqref="A1"/>
    </sheetView>
  </sheetViews>
  <sheetFormatPr baseColWidth="8" defaultRowHeight="15"/>
  <cols>
    <col width="2" customWidth="1" min="1" max="1"/>
    <col width="26" customWidth="1" min="2" max="2"/>
    <col width="16" customWidth="1" min="3" max="3"/>
    <col width="16" customWidth="1" min="4" max="4"/>
    <col width="16" customWidth="1" min="5" max="5"/>
    <col width="4" customWidth="1" min="6" max="6"/>
  </cols>
  <sheetData>
    <row r="1" ht="34" customHeight="1">
      <c r="A1" s="183" t="inlineStr">
        <is>
          <t>SỐ LIỆU CHO BIỂU ĐỒ</t>
        </is>
      </c>
    </row>
    <row r="2" ht="20" customHeight="1">
      <c r="A2" s="259" t="inlineStr">
        <is>
          <t>Bảng tự tính để vẽ biểu đồ ở tab Tổng quan. Không cần sửa.</t>
        </is>
      </c>
      <c r="B2" s="260" t="n"/>
      <c r="C2" s="260" t="n"/>
      <c r="D2" s="260" t="n"/>
      <c r="E2" s="260" t="n"/>
      <c r="F2" s="260" t="n"/>
    </row>
    <row r="5">
      <c r="B5" s="261" t="inlineStr">
        <is>
          <t>Trạng thái phản ánh</t>
        </is>
      </c>
      <c r="C5" s="261" t="inlineStr">
        <is>
          <t>Số lượng</t>
        </is>
      </c>
    </row>
    <row r="6">
      <c r="B6" s="252" t="inlineStr">
        <is>
          <t>Mới tiếp nhận</t>
        </is>
      </c>
      <c r="C6" s="252">
        <f>COUNTIF('Phản ánh'!$V$6:$V$505,B6)</f>
      </c>
    </row>
    <row r="7">
      <c r="B7" s="252" t="inlineStr">
        <is>
          <t>Đang xử lý</t>
        </is>
      </c>
      <c r="C7" s="252">
        <f>COUNTIF('Phản ánh'!$V$6:$V$505,B7)</f>
      </c>
    </row>
    <row r="8">
      <c r="B8" s="252" t="inlineStr">
        <is>
          <t>Chờ nhà thầu</t>
        </is>
      </c>
      <c r="C8" s="252">
        <f>COUNTIF('Phản ánh'!$V$6:$V$505,B8)</f>
      </c>
    </row>
    <row r="9">
      <c r="B9" s="252" t="inlineStr">
        <is>
          <t>Đã xử lý</t>
        </is>
      </c>
      <c r="C9" s="252">
        <f>COUNTIF('Phản ánh'!$V$6:$V$505,B9)</f>
      </c>
    </row>
    <row r="12">
      <c r="B12" s="261" t="inlineStr">
        <is>
          <t>Phân loại</t>
        </is>
      </c>
      <c r="C12" s="261" t="inlineStr">
        <is>
          <t>Tồn đọng</t>
        </is>
      </c>
      <c r="D12" s="261" t="inlineStr">
        <is>
          <t>Đã xử lý</t>
        </is>
      </c>
    </row>
    <row r="13">
      <c r="B13" s="252" t="inlineStr">
        <is>
          <t>An ninh</t>
        </is>
      </c>
      <c r="C13" s="252">
        <f>COUNTIFS('Phản ánh'!$I$6:$I$505,B13,'Phản ánh'!$A$6:$A$505,"?*",'Phản ánh'!$V$6:$V$505,"&lt;&gt;Đã xử lý")</f>
      </c>
      <c r="D13" s="252">
        <f>COUNTIFS('Phản ánh'!$I$6:$I$505,B13,'Phản ánh'!$V$6:$V$505,"Đã xử lý")</f>
      </c>
    </row>
    <row r="14">
      <c r="B14" s="252" t="inlineStr">
        <is>
          <t>Kỹ thuật</t>
        </is>
      </c>
      <c r="C14" s="252">
        <f>COUNTIFS('Phản ánh'!$I$6:$I$505,B14,'Phản ánh'!$A$6:$A$505,"?*",'Phản ánh'!$V$6:$V$505,"&lt;&gt;Đã xử lý")</f>
      </c>
      <c r="D14" s="252">
        <f>COUNTIFS('Phản ánh'!$I$6:$I$505,B14,'Phản ánh'!$V$6:$V$505,"Đã xử lý")</f>
      </c>
    </row>
    <row r="15">
      <c r="B15" s="252" t="inlineStr">
        <is>
          <t>Xây dựng</t>
        </is>
      </c>
      <c r="C15" s="252">
        <f>COUNTIFS('Phản ánh'!$I$6:$I$505,B15,'Phản ánh'!$A$6:$A$505,"?*",'Phản ánh'!$V$6:$V$505,"&lt;&gt;Đã xử lý")</f>
      </c>
      <c r="D15" s="252">
        <f>COUNTIFS('Phản ánh'!$I$6:$I$505,B15,'Phản ánh'!$V$6:$V$505,"Đã xử lý")</f>
      </c>
    </row>
    <row r="16">
      <c r="B16" s="252" t="inlineStr">
        <is>
          <t>Môi trường</t>
        </is>
      </c>
      <c r="C16" s="252">
        <f>COUNTIFS('Phản ánh'!$I$6:$I$505,B16,'Phản ánh'!$A$6:$A$505,"?*",'Phản ánh'!$V$6:$V$505,"&lt;&gt;Đã xử lý")</f>
      </c>
      <c r="D16" s="252">
        <f>COUNTIFS('Phản ánh'!$I$6:$I$505,B16,'Phản ánh'!$V$6:$V$505,"Đã xử lý")</f>
      </c>
    </row>
    <row r="17">
      <c r="B17" s="252" t="inlineStr">
        <is>
          <t>Văn hóa</t>
        </is>
      </c>
      <c r="C17" s="252">
        <f>COUNTIFS('Phản ánh'!$I$6:$I$505,B17,'Phản ánh'!$A$6:$A$505,"?*",'Phản ánh'!$V$6:$V$505,"&lt;&gt;Đã xử lý")</f>
      </c>
      <c r="D17" s="252">
        <f>COUNTIFS('Phản ánh'!$I$6:$I$505,B17,'Phản ánh'!$V$6:$V$505,"Đã xử lý")</f>
      </c>
    </row>
    <row r="18">
      <c r="B18" s="252" t="inlineStr">
        <is>
          <t>Thể thao</t>
        </is>
      </c>
      <c r="C18" s="252">
        <f>COUNTIFS('Phản ánh'!$I$6:$I$505,B18,'Phản ánh'!$A$6:$A$505,"?*",'Phản ánh'!$V$6:$V$505,"&lt;&gt;Đã xử lý")</f>
      </c>
      <c r="D18" s="252">
        <f>COUNTIFS('Phản ánh'!$I$6:$I$505,B18,'Phản ánh'!$V$6:$V$505,"Đã xử lý")</f>
      </c>
    </row>
    <row r="19">
      <c r="B19" s="252" t="inlineStr">
        <is>
          <t>Tài chính</t>
        </is>
      </c>
      <c r="C19" s="252">
        <f>COUNTIFS('Phản ánh'!$I$6:$I$505,B19,'Phản ánh'!$A$6:$A$505,"?*",'Phản ánh'!$V$6:$V$505,"&lt;&gt;Đã xử lý")</f>
      </c>
      <c r="D19" s="252">
        <f>COUNTIFS('Phản ánh'!$I$6:$I$505,B19,'Phản ánh'!$V$6:$V$505,"Đã xử lý")</f>
      </c>
    </row>
    <row r="20">
      <c r="B20" s="252" t="inlineStr">
        <is>
          <t>Khác</t>
        </is>
      </c>
      <c r="C20" s="252">
        <f>COUNTIFS('Phản ánh'!$I$6:$I$505,B20,'Phản ánh'!$A$6:$A$505,"?*",'Phản ánh'!$V$6:$V$505,"&lt;&gt;Đã xử lý")</f>
      </c>
      <c r="D20" s="252">
        <f>COUNTIFS('Phản ánh'!$I$6:$I$505,B20,'Phản ánh'!$V$6:$V$505,"Đã xử lý")</f>
      </c>
    </row>
    <row r="23">
      <c r="B23" s="261" t="inlineStr">
        <is>
          <t>Cấp độ khẩn</t>
        </is>
      </c>
      <c r="C23" s="261" t="inlineStr">
        <is>
          <t>Tồn đọng</t>
        </is>
      </c>
    </row>
    <row r="24">
      <c r="B24" s="252" t="inlineStr">
        <is>
          <t>Khẩn cấp</t>
        </is>
      </c>
      <c r="C24" s="252">
        <f>COUNTIFS('Phản ánh'!$J$6:$J$505,B24,'Phản ánh'!$A$6:$A$505,"?*",'Phản ánh'!$V$6:$V$505,"&lt;&gt;Đã xử lý")</f>
      </c>
    </row>
    <row r="25">
      <c r="B25" s="252" t="inlineStr">
        <is>
          <t>Cao</t>
        </is>
      </c>
      <c r="C25" s="252">
        <f>COUNTIFS('Phản ánh'!$J$6:$J$505,B25,'Phản ánh'!$A$6:$A$505,"?*",'Phản ánh'!$V$6:$V$505,"&lt;&gt;Đã xử lý")</f>
      </c>
    </row>
    <row r="26">
      <c r="B26" s="252" t="inlineStr">
        <is>
          <t>Trung bình</t>
        </is>
      </c>
      <c r="C26" s="252">
        <f>COUNTIFS('Phản ánh'!$J$6:$J$505,B26,'Phản ánh'!$A$6:$A$505,"?*",'Phản ánh'!$V$6:$V$505,"&lt;&gt;Đã xử lý")</f>
      </c>
    </row>
    <row r="27">
      <c r="B27" s="252" t="inlineStr">
        <is>
          <t>Thấp</t>
        </is>
      </c>
      <c r="C27" s="252">
        <f>COUNTIFS('Phản ánh'!$J$6:$J$505,B27,'Phản ánh'!$A$6:$A$505,"?*",'Phản ánh'!$V$6:$V$505,"&lt;&gt;Đã xử lý")</f>
      </c>
    </row>
    <row r="30">
      <c r="B30" s="261" t="inlineStr">
        <is>
          <t>Tuần bắt đầu</t>
        </is>
      </c>
      <c r="C30" s="261" t="inlineStr">
        <is>
          <t>Tuần</t>
        </is>
      </c>
      <c r="D30" s="261" t="inlineStr">
        <is>
          <t>Phản ánh mới</t>
        </is>
      </c>
      <c r="E30" s="261" t="inlineStr">
        <is>
          <t>Đã xử lý xong</t>
        </is>
      </c>
    </row>
    <row r="31">
      <c r="B31" s="262">
        <f>NgayBC-WEEKDAY(NgayBC,2)+1-7*7</f>
      </c>
      <c r="C31" s="252">
        <f>"Tuần "&amp;TEXT(B31,"dd/mm")</f>
      </c>
      <c r="D31" s="252">
        <f>COUNTIFS('Phản ánh'!$B$6:$B$505,"&gt;="&amp;B31,'Phản ánh'!$B$6:$B$505,"&lt;"&amp;(B31+7))</f>
      </c>
      <c r="E31" s="252">
        <f>COUNTIFS('Phản ánh'!$AA$6:$AA$505,"&gt;="&amp;B31,'Phản ánh'!$AA$6:$AA$505,"&lt;"&amp;(B31+7))</f>
      </c>
    </row>
    <row r="32">
      <c r="B32" s="262">
        <f>NgayBC-WEEKDAY(NgayBC,2)+1-7*6</f>
      </c>
      <c r="C32" s="252">
        <f>"Tuần "&amp;TEXT(B32,"dd/mm")</f>
      </c>
      <c r="D32" s="252">
        <f>COUNTIFS('Phản ánh'!$B$6:$B$505,"&gt;="&amp;B32,'Phản ánh'!$B$6:$B$505,"&lt;"&amp;(B32+7))</f>
      </c>
      <c r="E32" s="252">
        <f>COUNTIFS('Phản ánh'!$AA$6:$AA$505,"&gt;="&amp;B32,'Phản ánh'!$AA$6:$AA$505,"&lt;"&amp;(B32+7))</f>
      </c>
    </row>
    <row r="33">
      <c r="B33" s="262">
        <f>NgayBC-WEEKDAY(NgayBC,2)+1-7*5</f>
      </c>
      <c r="C33" s="252">
        <f>"Tuần "&amp;TEXT(B33,"dd/mm")</f>
      </c>
      <c r="D33" s="252">
        <f>COUNTIFS('Phản ánh'!$B$6:$B$505,"&gt;="&amp;B33,'Phản ánh'!$B$6:$B$505,"&lt;"&amp;(B33+7))</f>
      </c>
      <c r="E33" s="252">
        <f>COUNTIFS('Phản ánh'!$AA$6:$AA$505,"&gt;="&amp;B33,'Phản ánh'!$AA$6:$AA$505,"&lt;"&amp;(B33+7))</f>
      </c>
    </row>
    <row r="34">
      <c r="B34" s="262">
        <f>NgayBC-WEEKDAY(NgayBC,2)+1-7*4</f>
      </c>
      <c r="C34" s="252">
        <f>"Tuần "&amp;TEXT(B34,"dd/mm")</f>
      </c>
      <c r="D34" s="252">
        <f>COUNTIFS('Phản ánh'!$B$6:$B$505,"&gt;="&amp;B34,'Phản ánh'!$B$6:$B$505,"&lt;"&amp;(B34+7))</f>
      </c>
      <c r="E34" s="252">
        <f>COUNTIFS('Phản ánh'!$AA$6:$AA$505,"&gt;="&amp;B34,'Phản ánh'!$AA$6:$AA$505,"&lt;"&amp;(B34+7))</f>
      </c>
    </row>
    <row r="35">
      <c r="B35" s="262">
        <f>NgayBC-WEEKDAY(NgayBC,2)+1-7*3</f>
      </c>
      <c r="C35" s="252">
        <f>"Tuần "&amp;TEXT(B35,"dd/mm")</f>
      </c>
      <c r="D35" s="252">
        <f>COUNTIFS('Phản ánh'!$B$6:$B$505,"&gt;="&amp;B35,'Phản ánh'!$B$6:$B$505,"&lt;"&amp;(B35+7))</f>
      </c>
      <c r="E35" s="252">
        <f>COUNTIFS('Phản ánh'!$AA$6:$AA$505,"&gt;="&amp;B35,'Phản ánh'!$AA$6:$AA$505,"&lt;"&amp;(B35+7))</f>
      </c>
    </row>
    <row r="36">
      <c r="B36" s="262">
        <f>NgayBC-WEEKDAY(NgayBC,2)+1-7*2</f>
      </c>
      <c r="C36" s="252">
        <f>"Tuần "&amp;TEXT(B36,"dd/mm")</f>
      </c>
      <c r="D36" s="252">
        <f>COUNTIFS('Phản ánh'!$B$6:$B$505,"&gt;="&amp;B36,'Phản ánh'!$B$6:$B$505,"&lt;"&amp;(B36+7))</f>
      </c>
      <c r="E36" s="252">
        <f>COUNTIFS('Phản ánh'!$AA$6:$AA$505,"&gt;="&amp;B36,'Phản ánh'!$AA$6:$AA$505,"&lt;"&amp;(B36+7))</f>
      </c>
    </row>
    <row r="37">
      <c r="B37" s="262">
        <f>NgayBC-WEEKDAY(NgayBC,2)+1-7*1</f>
      </c>
      <c r="C37" s="252">
        <f>"Tuần "&amp;TEXT(B37,"dd/mm")</f>
      </c>
      <c r="D37" s="252">
        <f>COUNTIFS('Phản ánh'!$B$6:$B$505,"&gt;="&amp;B37,'Phản ánh'!$B$6:$B$505,"&lt;"&amp;(B37+7))</f>
      </c>
      <c r="E37" s="252">
        <f>COUNTIFS('Phản ánh'!$AA$6:$AA$505,"&gt;="&amp;B37,'Phản ánh'!$AA$6:$AA$505,"&lt;"&amp;(B37+7))</f>
      </c>
    </row>
    <row r="38">
      <c r="B38" s="262">
        <f>NgayBC-WEEKDAY(NgayBC,2)+1-7*0</f>
      </c>
      <c r="C38" s="252">
        <f>"Tuần "&amp;TEXT(B38,"dd/mm")</f>
      </c>
      <c r="D38" s="252">
        <f>COUNTIFS('Phản ánh'!$B$6:$B$505,"&gt;="&amp;B38,'Phản ánh'!$B$6:$B$505,"&lt;"&amp;(B38+7))</f>
      </c>
      <c r="E38" s="252">
        <f>COUNTIFS('Phản ánh'!$AA$6:$AA$505,"&gt;="&amp;B38,'Phản ánh'!$AA$6:$AA$505,"&lt;"&amp;(B38+7))</f>
      </c>
    </row>
    <row r="41">
      <c r="B41" s="261" t="inlineStr">
        <is>
          <t>Nhóm việc</t>
        </is>
      </c>
      <c r="C41" s="261" t="inlineStr">
        <is>
          <t>Định kỳ</t>
        </is>
      </c>
      <c r="D41" s="261" t="inlineStr">
        <is>
          <t>Đột xuất đang mở</t>
        </is>
      </c>
    </row>
    <row r="42">
      <c r="B42" s="252" t="inlineStr">
        <is>
          <t>Bảo trì kỹ thuật</t>
        </is>
      </c>
      <c r="C42" s="252">
        <f>COUNTIFS('Kế hoạch'!$D$6:$D$305,B42,'Kế hoạch'!$B$6:$B$305,"Định kỳ")</f>
      </c>
      <c r="D42" s="252">
        <f>COUNTIFS('Kế hoạch'!$D$6:$D$305,B42,'Kế hoạch'!$B$6:$B$305,"Đột xuất",'Kế hoạch'!$AO$6:$AO$305,1)</f>
      </c>
    </row>
    <row r="43">
      <c r="B43" s="252" t="inlineStr">
        <is>
          <t>Sửa chữa xây dựng</t>
        </is>
      </c>
      <c r="C43" s="252">
        <f>COUNTIFS('Kế hoạch'!$D$6:$D$305,B43,'Kế hoạch'!$B$6:$B$305,"Định kỳ")</f>
      </c>
      <c r="D43" s="252">
        <f>COUNTIFS('Kế hoạch'!$D$6:$D$305,B43,'Kế hoạch'!$B$6:$B$305,"Đột xuất",'Kế hoạch'!$AO$6:$AO$305,1)</f>
      </c>
    </row>
    <row r="44">
      <c r="B44" s="252" t="inlineStr">
        <is>
          <t>Vệ sinh môi trường</t>
        </is>
      </c>
      <c r="C44" s="252">
        <f>COUNTIFS('Kế hoạch'!$D$6:$D$305,B44,'Kế hoạch'!$B$6:$B$305,"Định kỳ")</f>
      </c>
      <c r="D44" s="252">
        <f>COUNTIFS('Kế hoạch'!$D$6:$D$305,B44,'Kế hoạch'!$B$6:$B$305,"Đột xuất",'Kế hoạch'!$AO$6:$AO$305,1)</f>
      </c>
    </row>
    <row r="45">
      <c r="B45" s="252" t="inlineStr">
        <is>
          <t>Cảnh quan cây xanh</t>
        </is>
      </c>
      <c r="C45" s="252">
        <f>COUNTIFS('Kế hoạch'!$D$6:$D$305,B45,'Kế hoạch'!$B$6:$B$305,"Định kỳ")</f>
      </c>
      <c r="D45" s="252">
        <f>COUNTIFS('Kế hoạch'!$D$6:$D$305,B45,'Kế hoạch'!$B$6:$B$305,"Đột xuất",'Kế hoạch'!$AO$6:$AO$305,1)</f>
      </c>
    </row>
    <row r="46">
      <c r="B46" s="252" t="inlineStr">
        <is>
          <t>PCCC và an ninh</t>
        </is>
      </c>
      <c r="C46" s="252">
        <f>COUNTIFS('Kế hoạch'!$D$6:$D$305,B46,'Kế hoạch'!$B$6:$B$305,"Định kỳ")</f>
      </c>
      <c r="D46" s="252">
        <f>COUNTIFS('Kế hoạch'!$D$6:$D$305,B46,'Kế hoạch'!$B$6:$B$305,"Đột xuất",'Kế hoạch'!$AO$6:$AO$305,1)</f>
      </c>
    </row>
    <row r="47">
      <c r="B47" s="252" t="inlineStr">
        <is>
          <t>Hồ bơi và tiện ích</t>
        </is>
      </c>
      <c r="C47" s="252">
        <f>COUNTIFS('Kế hoạch'!$D$6:$D$305,B47,'Kế hoạch'!$B$6:$B$305,"Định kỳ")</f>
      </c>
      <c r="D47" s="252">
        <f>COUNTIFS('Kế hoạch'!$D$6:$D$305,B47,'Kế hoạch'!$B$6:$B$305,"Đột xuất",'Kế hoạch'!$AO$6:$AO$305,1)</f>
      </c>
    </row>
    <row r="48">
      <c r="B48" s="252" t="inlineStr">
        <is>
          <t>Khác</t>
        </is>
      </c>
      <c r="C48" s="252">
        <f>COUNTIFS('Kế hoạch'!$D$6:$D$305,B48,'Kế hoạch'!$B$6:$B$305,"Định kỳ")</f>
      </c>
      <c r="D48" s="252">
        <f>COUNTIFS('Kế hoạch'!$D$6:$D$305,B48,'Kế hoạch'!$B$6:$B$305,"Đột xuất",'Kế hoạch'!$AO$6:$AO$305,1)</f>
      </c>
    </row>
    <row r="51">
      <c r="B51" s="261" t="inlineStr">
        <is>
          <t>Đánh giá tiến độ</t>
        </is>
      </c>
      <c r="C51" s="261" t="inlineStr">
        <is>
          <t>Số đầu việc đang mở</t>
        </is>
      </c>
    </row>
    <row r="52">
      <c r="B52" s="252" t="inlineStr">
        <is>
          <t>Đúng tiến độ</t>
        </is>
      </c>
      <c r="C52" s="252">
        <f>COUNTIF('Phản ánh'!$Y$6:$Y$505,B52)+COUNTIF('Kế hoạch'!$AD$6:$AD$305,B52)</f>
      </c>
    </row>
    <row r="53">
      <c r="B53" s="252" t="inlineStr">
        <is>
          <t>Theo lịch</t>
        </is>
      </c>
      <c r="C53" s="252">
        <f>COUNTIF('Phản ánh'!$Y$6:$Y$505,B53)+COUNTIF('Kế hoạch'!$AD$6:$AD$305,B53)</f>
      </c>
    </row>
    <row r="54">
      <c r="B54" s="252" t="inlineStr">
        <is>
          <t>Sắp đến hạn</t>
        </is>
      </c>
      <c r="C54" s="252">
        <f>COUNTIF('Phản ánh'!$Y$6:$Y$505,B54)+COUNTIF('Kế hoạch'!$AD$6:$AD$305,B54)</f>
      </c>
    </row>
    <row r="55">
      <c r="B55" s="252" t="inlineStr">
        <is>
          <t>Đến hạn hôm nay</t>
        </is>
      </c>
      <c r="C55" s="252">
        <f>COUNTIF('Phản ánh'!$Y$6:$Y$505,B55)+COUNTIF('Kế hoạch'!$AD$6:$AD$305,B55)</f>
      </c>
    </row>
    <row r="56">
      <c r="B56" s="252" t="inlineStr">
        <is>
          <t>Chậm tiến độ</t>
        </is>
      </c>
      <c r="C56" s="252">
        <f>COUNTIF('Phản ánh'!$Y$6:$Y$505,B56)+COUNTIF('Kế hoạch'!$AD$6:$AD$305,B56)</f>
      </c>
    </row>
    <row r="57">
      <c r="B57" s="252" t="inlineStr">
        <is>
          <t>Quá hạn</t>
        </is>
      </c>
      <c r="C57" s="252">
        <f>COUNTIF('Phản ánh'!$Y$6:$Y$505,B57)+COUNTIF('Kế hoạch'!$AD$6:$AD$305,B57)</f>
      </c>
    </row>
  </sheetData>
  <sheetProtection selectLockedCells="0" selectUnlockedCells="0" sheet="1" objects="0" insertRows="1" insertHyperlinks="1" autoFilter="0" scenarios="0" formatColumns="0" deleteColumns="1" insertColumns="1" pivotTables="1" deleteRows="1" formatCells="1" formatRows="0" sort="1" password="88D8"/>
  <mergeCells count="2">
    <mergeCell ref="A2:F2"/>
    <mergeCell ref="A1:F1"/>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2026-09-25T04:16:08Z</dcterms:created>
  <dcterms:modified xmlns:dcterms="http://purl.org/dc/terms/" xmlns:xsi="http://www.w3.org/2001/XMLSchema-instance" xsi:type="dcterms:W3CDTF">2026-09-25T04:16:20Z</dcterms:modified>
</cp:coreProperties>
</file>